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codeName="ThisWorkbook" defaultThemeVersion="124226"/>
  <bookViews>
    <workbookView xWindow="120" yWindow="75" windowWidth="19095" windowHeight="11760"/>
  </bookViews>
  <sheets>
    <sheet name="instruction" sheetId="13" r:id="rId1"/>
    <sheet name="Master Sheet"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MARKSHEET" sheetId="4" r:id="rId11"/>
    <sheet name="Double MarkSheet" sheetId="19" r:id="rId12"/>
    <sheet name="Marksheet After Supp. Result" sheetId="18" r:id="rId13"/>
  </sheets>
  <externalReferences>
    <externalReference r:id="rId14"/>
  </externalReferences>
  <definedNames>
    <definedName name="MKPIC">INDEX('Student DATA Entry'!$N$4:$N$203,MATCH(MARKSHEET!$N$6,'Student DATA Entry'!$B$4:$B$203,0))</definedName>
    <definedName name="Pic">INDEX('Student DATA Entry'!$N$4:$N$203,MATCH('Marksheet After Supp. Result'!$O$6,'Student DATA Entry'!$B$4:$B$203,0))</definedName>
    <definedName name="Picture">INDEX('Master Sheet'!$I$25,MATCH('Master Sheet'!$H$24,'Master Sheet'!$H$25,0))</definedName>
    <definedName name="_xlnm.Print_Area" localSheetId="11">'Double MarkSheet'!$B$1:$AF$28,'Double MarkSheet'!$B$30:$AF$57,'Double MarkSheet'!$B$59:$AF$86,'Double MarkSheet'!$B$88:$AF$115,'Double MarkSheet'!$B$117:$AF$144,'Double MarkSheet'!$AH$1:$AL$12</definedName>
    <definedName name="_xlnm.Print_Area" localSheetId="5">'Green sheet'!$A$1:$AG$221</definedName>
    <definedName name="_xlnm.Print_Area" localSheetId="10">MARKSHEET!$A$1:$T$26</definedName>
    <definedName name="_xlnm.Print_Area" localSheetId="12">'Marksheet After Supp. Result'!$A$1:$T$26</definedName>
    <definedName name="_xlnm.Print_Area" localSheetId="9">'Result Subject-wise'!$A$1:$T$217</definedName>
    <definedName name="_xlnm.Print_Area" localSheetId="4">'Statement of Marks'!$A$2:$HI$219</definedName>
    <definedName name="_xlnm.Print_Area" localSheetId="7">'Teacher &amp; Cat. Wise Result'!$A$1:$O$23,'Teacher &amp; Cat. Wise Result'!$A$25:$O$44</definedName>
    <definedName name="rolln">'Student DATA Entry'!$B$4:$B$203</definedName>
    <definedName name="section">#REF!</definedName>
    <definedName name="sub">OFFSET('Master Sheet'!$AC$4,,,COUNTIF('Master Sheet'!$AC$4:XFA63,"?*"))</definedName>
    <definedName name="Subject">'Master Sheet'!$AB$4:$AB$67</definedName>
    <definedName name="subject5">'Green sheet'!$AT$8:$AT$16</definedName>
  </definedNames>
  <calcPr calcId="124519"/>
</workbook>
</file>

<file path=xl/calcChain.xml><?xml version="1.0" encoding="utf-8"?>
<calcChain xmlns="http://schemas.openxmlformats.org/spreadsheetml/2006/main">
  <c r="AX123" i="19"/>
  <c r="AR123"/>
  <c r="AX94"/>
  <c r="AR94"/>
  <c r="AX65"/>
  <c r="AR65"/>
  <c r="AX36"/>
  <c r="AR36"/>
  <c r="AX7"/>
  <c r="AR7"/>
  <c r="AZ123"/>
  <c r="AT123"/>
  <c r="AZ94"/>
  <c r="AT94"/>
  <c r="AZ65"/>
  <c r="AT65"/>
  <c r="AZ36"/>
  <c r="AT36"/>
  <c r="AZ7"/>
  <c r="AT7"/>
  <c r="N2" i="11"/>
  <c r="H1" i="8"/>
  <c r="G1"/>
  <c r="DD9" i="9"/>
  <c r="DE9"/>
  <c r="DF9"/>
  <c r="DG9"/>
  <c r="DI9"/>
  <c r="DJ9"/>
  <c r="DM9"/>
  <c r="DN9"/>
  <c r="DR9" s="1"/>
  <c r="DO9"/>
  <c r="DD10"/>
  <c r="DE10"/>
  <c r="DF10"/>
  <c r="DG10"/>
  <c r="DI10"/>
  <c r="DJ10"/>
  <c r="DM10"/>
  <c r="DN10"/>
  <c r="DR10" s="1"/>
  <c r="DO10"/>
  <c r="DE11"/>
  <c r="DF11"/>
  <c r="DG11"/>
  <c r="DI11"/>
  <c r="DJ11"/>
  <c r="DE12"/>
  <c r="DF12"/>
  <c r="DG12"/>
  <c r="DI12"/>
  <c r="DJ12"/>
  <c r="DE13"/>
  <c r="DF13"/>
  <c r="DG13"/>
  <c r="DI13"/>
  <c r="DJ13"/>
  <c r="DD14"/>
  <c r="DE14"/>
  <c r="DF14"/>
  <c r="DG14"/>
  <c r="DI14"/>
  <c r="DJ14"/>
  <c r="DM14"/>
  <c r="DN14"/>
  <c r="DR14" s="1"/>
  <c r="DO14"/>
  <c r="DD15"/>
  <c r="DE15"/>
  <c r="DF15"/>
  <c r="DG15"/>
  <c r="DI15"/>
  <c r="DJ15"/>
  <c r="DM15"/>
  <c r="DN15"/>
  <c r="DR15" s="1"/>
  <c r="DO15"/>
  <c r="DD16"/>
  <c r="DE16"/>
  <c r="DF16"/>
  <c r="DG16"/>
  <c r="DI16"/>
  <c r="DJ16"/>
  <c r="DM16"/>
  <c r="DN16"/>
  <c r="DR16" s="1"/>
  <c r="DO16"/>
  <c r="DS16" s="1"/>
  <c r="DX16" s="1"/>
  <c r="DD17"/>
  <c r="DE17"/>
  <c r="DF17"/>
  <c r="DG17"/>
  <c r="DI17"/>
  <c r="DJ17"/>
  <c r="DM17"/>
  <c r="DN17"/>
  <c r="DR17" s="1"/>
  <c r="DO17"/>
  <c r="DD18"/>
  <c r="DE18"/>
  <c r="DF18"/>
  <c r="DG18"/>
  <c r="DI18"/>
  <c r="DJ18"/>
  <c r="DM18"/>
  <c r="DN18"/>
  <c r="DR18" s="1"/>
  <c r="DO18"/>
  <c r="DD19"/>
  <c r="DE19"/>
  <c r="DF19"/>
  <c r="DG19"/>
  <c r="DI19"/>
  <c r="DJ19"/>
  <c r="DM19"/>
  <c r="DN19"/>
  <c r="DR19" s="1"/>
  <c r="DO19"/>
  <c r="DD20"/>
  <c r="DE20"/>
  <c r="DF20"/>
  <c r="DG20"/>
  <c r="DI20"/>
  <c r="DJ20"/>
  <c r="DM20"/>
  <c r="DN20"/>
  <c r="DR20" s="1"/>
  <c r="DO20"/>
  <c r="DD21"/>
  <c r="DE21"/>
  <c r="DF21"/>
  <c r="DG21"/>
  <c r="DI21"/>
  <c r="DJ21"/>
  <c r="DM21"/>
  <c r="DN21"/>
  <c r="DR21" s="1"/>
  <c r="DO21"/>
  <c r="DD22"/>
  <c r="DE22"/>
  <c r="DF22"/>
  <c r="DG22"/>
  <c r="DI22"/>
  <c r="DJ22"/>
  <c r="DM22"/>
  <c r="DN22"/>
  <c r="DR22" s="1"/>
  <c r="DO22"/>
  <c r="DD23"/>
  <c r="DE23"/>
  <c r="DF23"/>
  <c r="DG23"/>
  <c r="DI23"/>
  <c r="DJ23"/>
  <c r="DM23"/>
  <c r="DN23"/>
  <c r="DR23" s="1"/>
  <c r="DO23"/>
  <c r="DD24"/>
  <c r="DE24"/>
  <c r="DF24"/>
  <c r="DG24"/>
  <c r="DI24"/>
  <c r="DJ24"/>
  <c r="DM24"/>
  <c r="DN24"/>
  <c r="DR24" s="1"/>
  <c r="DO24"/>
  <c r="DD25"/>
  <c r="DE25"/>
  <c r="DF25"/>
  <c r="DG25"/>
  <c r="DI25"/>
  <c r="DJ25"/>
  <c r="DM25"/>
  <c r="DN25"/>
  <c r="DR25" s="1"/>
  <c r="DO25"/>
  <c r="DD26"/>
  <c r="DE26"/>
  <c r="DF26"/>
  <c r="DG26"/>
  <c r="DI26"/>
  <c r="DJ26"/>
  <c r="DM26"/>
  <c r="DN26"/>
  <c r="DR26" s="1"/>
  <c r="DO26"/>
  <c r="DS26" s="1"/>
  <c r="DX26" s="1"/>
  <c r="DD27"/>
  <c r="DE27"/>
  <c r="DF27"/>
  <c r="DG27"/>
  <c r="DI27"/>
  <c r="DJ27"/>
  <c r="DM27"/>
  <c r="DN27"/>
  <c r="DR27" s="1"/>
  <c r="DO27"/>
  <c r="DD28"/>
  <c r="DE28"/>
  <c r="DF28"/>
  <c r="DG28"/>
  <c r="DI28"/>
  <c r="DJ28"/>
  <c r="DM28"/>
  <c r="DN28"/>
  <c r="DR28" s="1"/>
  <c r="DO28"/>
  <c r="DD29"/>
  <c r="DE29"/>
  <c r="DF29"/>
  <c r="DG29"/>
  <c r="DI29"/>
  <c r="DJ29"/>
  <c r="DM29"/>
  <c r="DN29"/>
  <c r="DR29" s="1"/>
  <c r="DO29"/>
  <c r="DD30"/>
  <c r="DE30"/>
  <c r="DF30"/>
  <c r="DG30"/>
  <c r="DI30"/>
  <c r="DJ30"/>
  <c r="DM30"/>
  <c r="DN30"/>
  <c r="DR30" s="1"/>
  <c r="DO30"/>
  <c r="DD31"/>
  <c r="DE31"/>
  <c r="DF31"/>
  <c r="DG31"/>
  <c r="DI31"/>
  <c r="DJ31"/>
  <c r="DM31"/>
  <c r="DN31"/>
  <c r="DR31" s="1"/>
  <c r="DO31"/>
  <c r="DD32"/>
  <c r="DE32"/>
  <c r="DF32"/>
  <c r="DG32"/>
  <c r="DI32"/>
  <c r="DJ32"/>
  <c r="DM32"/>
  <c r="DN32"/>
  <c r="DR32" s="1"/>
  <c r="DO32"/>
  <c r="DD33"/>
  <c r="DE33"/>
  <c r="DF33"/>
  <c r="DG33"/>
  <c r="DI33"/>
  <c r="DJ33"/>
  <c r="DM33"/>
  <c r="DN33"/>
  <c r="DR33" s="1"/>
  <c r="DO33"/>
  <c r="DD34"/>
  <c r="DE34"/>
  <c r="DF34"/>
  <c r="DG34"/>
  <c r="DI34"/>
  <c r="DJ34"/>
  <c r="DM34"/>
  <c r="DN34"/>
  <c r="DR34" s="1"/>
  <c r="DO34"/>
  <c r="DD35"/>
  <c r="DE35"/>
  <c r="DF35"/>
  <c r="DG35"/>
  <c r="DI35"/>
  <c r="DJ35"/>
  <c r="DM35"/>
  <c r="DN35"/>
  <c r="DR35" s="1"/>
  <c r="DO35"/>
  <c r="DD36"/>
  <c r="DE36"/>
  <c r="DF36"/>
  <c r="DG36"/>
  <c r="DI36"/>
  <c r="DJ36"/>
  <c r="DM36"/>
  <c r="DN36"/>
  <c r="DR36" s="1"/>
  <c r="DO36"/>
  <c r="DD37"/>
  <c r="DE37"/>
  <c r="DF37"/>
  <c r="DG37"/>
  <c r="DI37"/>
  <c r="DJ37"/>
  <c r="DM37"/>
  <c r="DN37"/>
  <c r="DR37" s="1"/>
  <c r="DO37"/>
  <c r="DD38"/>
  <c r="DE38"/>
  <c r="DF38"/>
  <c r="DG38"/>
  <c r="DI38"/>
  <c r="DJ38"/>
  <c r="DM38"/>
  <c r="DN38"/>
  <c r="DR38" s="1"/>
  <c r="DO38"/>
  <c r="DD39"/>
  <c r="DE39"/>
  <c r="DF39"/>
  <c r="DH39" s="1"/>
  <c r="DG39"/>
  <c r="DI39"/>
  <c r="DJ39"/>
  <c r="DM39"/>
  <c r="DN39"/>
  <c r="DO39"/>
  <c r="DD40"/>
  <c r="DE40"/>
  <c r="DF40"/>
  <c r="DG40"/>
  <c r="DI40"/>
  <c r="DJ40"/>
  <c r="DM40"/>
  <c r="DN40"/>
  <c r="DR40" s="1"/>
  <c r="DO40"/>
  <c r="DS40"/>
  <c r="DX40" s="1"/>
  <c r="DD41"/>
  <c r="DE41"/>
  <c r="DF41"/>
  <c r="DG41"/>
  <c r="DI41"/>
  <c r="DJ41"/>
  <c r="DM41"/>
  <c r="DN41"/>
  <c r="DR41" s="1"/>
  <c r="DO41"/>
  <c r="DD42"/>
  <c r="DE42"/>
  <c r="DF42"/>
  <c r="DG42"/>
  <c r="DI42"/>
  <c r="DJ42"/>
  <c r="DM42"/>
  <c r="DN42"/>
  <c r="DR42" s="1"/>
  <c r="DO42"/>
  <c r="DD43"/>
  <c r="DE43"/>
  <c r="DH43" s="1"/>
  <c r="DQ43" s="1"/>
  <c r="DF43"/>
  <c r="DG43"/>
  <c r="DI43"/>
  <c r="DJ43"/>
  <c r="DS43" s="1"/>
  <c r="DX43" s="1"/>
  <c r="DM43"/>
  <c r="DN43"/>
  <c r="DO43"/>
  <c r="DR43"/>
  <c r="DD44"/>
  <c r="DE44"/>
  <c r="DF44"/>
  <c r="DG44"/>
  <c r="DI44"/>
  <c r="DJ44"/>
  <c r="DM44"/>
  <c r="DN44"/>
  <c r="DR44" s="1"/>
  <c r="DO44"/>
  <c r="DD45"/>
  <c r="DE45"/>
  <c r="DF45"/>
  <c r="DG45"/>
  <c r="DI45"/>
  <c r="DJ45"/>
  <c r="DM45"/>
  <c r="DN45"/>
  <c r="DR45" s="1"/>
  <c r="DO45"/>
  <c r="DD46"/>
  <c r="DE46"/>
  <c r="DF46"/>
  <c r="DG46"/>
  <c r="DI46"/>
  <c r="DJ46"/>
  <c r="DM46"/>
  <c r="DN46"/>
  <c r="DR46" s="1"/>
  <c r="DO46"/>
  <c r="DD47"/>
  <c r="DE47"/>
  <c r="DF47"/>
  <c r="DG47"/>
  <c r="DI47"/>
  <c r="DJ47"/>
  <c r="DM47"/>
  <c r="DN47"/>
  <c r="DR47" s="1"/>
  <c r="DO47"/>
  <c r="DD48"/>
  <c r="DE48"/>
  <c r="DF48"/>
  <c r="DG48"/>
  <c r="DI48"/>
  <c r="DJ48"/>
  <c r="DM48"/>
  <c r="DN48"/>
  <c r="DR48" s="1"/>
  <c r="DO48"/>
  <c r="DD49"/>
  <c r="DE49"/>
  <c r="DF49"/>
  <c r="DG49"/>
  <c r="DI49"/>
  <c r="DJ49"/>
  <c r="DM49"/>
  <c r="DN49"/>
  <c r="DR49" s="1"/>
  <c r="DO49"/>
  <c r="DD50"/>
  <c r="DE50"/>
  <c r="DF50"/>
  <c r="DG50"/>
  <c r="DI50"/>
  <c r="DJ50"/>
  <c r="DM50"/>
  <c r="DN50"/>
  <c r="DR50" s="1"/>
  <c r="DO50"/>
  <c r="DD51"/>
  <c r="DE51"/>
  <c r="DF51"/>
  <c r="DH51" s="1"/>
  <c r="DG51"/>
  <c r="DI51"/>
  <c r="DJ51"/>
  <c r="DM51"/>
  <c r="DN51"/>
  <c r="DR51" s="1"/>
  <c r="DO51"/>
  <c r="DS51" s="1"/>
  <c r="DX51" s="1"/>
  <c r="DD52"/>
  <c r="DE52"/>
  <c r="DF52"/>
  <c r="DG52"/>
  <c r="DI52"/>
  <c r="DJ52"/>
  <c r="DM52"/>
  <c r="DN52"/>
  <c r="DO52"/>
  <c r="DD53"/>
  <c r="DE53"/>
  <c r="DF53"/>
  <c r="DG53"/>
  <c r="DI53"/>
  <c r="DJ53"/>
  <c r="DM53"/>
  <c r="DN53"/>
  <c r="DR53" s="1"/>
  <c r="DO53"/>
  <c r="DD54"/>
  <c r="DE54"/>
  <c r="DF54"/>
  <c r="DG54"/>
  <c r="DI54"/>
  <c r="DJ54"/>
  <c r="DM54"/>
  <c r="DN54"/>
  <c r="DR54" s="1"/>
  <c r="DO54"/>
  <c r="DD55"/>
  <c r="DE55"/>
  <c r="DF55"/>
  <c r="DG55"/>
  <c r="DI55"/>
  <c r="DJ55"/>
  <c r="DM55"/>
  <c r="DN55"/>
  <c r="DR55" s="1"/>
  <c r="DO55"/>
  <c r="DD56"/>
  <c r="DE56"/>
  <c r="DF56"/>
  <c r="DG56"/>
  <c r="DI56"/>
  <c r="DJ56"/>
  <c r="DM56"/>
  <c r="DN56"/>
  <c r="DR56" s="1"/>
  <c r="DO56"/>
  <c r="DD57"/>
  <c r="DE57"/>
  <c r="DF57"/>
  <c r="DG57"/>
  <c r="DI57"/>
  <c r="DJ57"/>
  <c r="DM57"/>
  <c r="DN57"/>
  <c r="DR57" s="1"/>
  <c r="DO57"/>
  <c r="DD58"/>
  <c r="DE58"/>
  <c r="DF58"/>
  <c r="DG58"/>
  <c r="DI58"/>
  <c r="DJ58"/>
  <c r="DM58"/>
  <c r="DN58"/>
  <c r="DR58" s="1"/>
  <c r="DO58"/>
  <c r="DD59"/>
  <c r="DE59"/>
  <c r="DF59"/>
  <c r="DG59"/>
  <c r="DI59"/>
  <c r="DJ59"/>
  <c r="DM59"/>
  <c r="DN59"/>
  <c r="DR59" s="1"/>
  <c r="DO59"/>
  <c r="DD60"/>
  <c r="DE60"/>
  <c r="DF60"/>
  <c r="DG60"/>
  <c r="DI60"/>
  <c r="DJ60"/>
  <c r="DM60"/>
  <c r="DN60"/>
  <c r="DR60" s="1"/>
  <c r="DO60"/>
  <c r="DD61"/>
  <c r="DE61"/>
  <c r="DF61"/>
  <c r="DG61"/>
  <c r="DI61"/>
  <c r="DJ61"/>
  <c r="DM61"/>
  <c r="DN61"/>
  <c r="DR61" s="1"/>
  <c r="DO61"/>
  <c r="DD62"/>
  <c r="DE62"/>
  <c r="DF62"/>
  <c r="DG62"/>
  <c r="DI62"/>
  <c r="DJ62"/>
  <c r="DM62"/>
  <c r="DN62"/>
  <c r="DR62" s="1"/>
  <c r="DO62"/>
  <c r="DD63"/>
  <c r="DE63"/>
  <c r="DF63"/>
  <c r="DG63"/>
  <c r="DI63"/>
  <c r="DJ63"/>
  <c r="DM63"/>
  <c r="DN63"/>
  <c r="DO63"/>
  <c r="DS63" s="1"/>
  <c r="DX63" s="1"/>
  <c r="DD64"/>
  <c r="DE64"/>
  <c r="DF64"/>
  <c r="DG64"/>
  <c r="DI64"/>
  <c r="DJ64"/>
  <c r="DM64"/>
  <c r="DN64"/>
  <c r="DR64" s="1"/>
  <c r="DO64"/>
  <c r="DD65"/>
  <c r="DE65"/>
  <c r="DF65"/>
  <c r="DG65"/>
  <c r="DI65"/>
  <c r="DJ65"/>
  <c r="DM65"/>
  <c r="DN65"/>
  <c r="DR65" s="1"/>
  <c r="DO65"/>
  <c r="DD66"/>
  <c r="DE66"/>
  <c r="DF66"/>
  <c r="DG66"/>
  <c r="DI66"/>
  <c r="DJ66"/>
  <c r="DM66"/>
  <c r="DN66"/>
  <c r="DR66" s="1"/>
  <c r="DO66"/>
  <c r="DD67"/>
  <c r="DE67"/>
  <c r="DF67"/>
  <c r="DG67"/>
  <c r="DI67"/>
  <c r="DJ67"/>
  <c r="DM67"/>
  <c r="DN67"/>
  <c r="DR67" s="1"/>
  <c r="DO67"/>
  <c r="DD68"/>
  <c r="DE68"/>
  <c r="DF68"/>
  <c r="DG68"/>
  <c r="DI68"/>
  <c r="DJ68"/>
  <c r="DM68"/>
  <c r="DN68"/>
  <c r="DR68" s="1"/>
  <c r="DO68"/>
  <c r="DD69"/>
  <c r="DE69"/>
  <c r="DF69"/>
  <c r="DG69"/>
  <c r="DI69"/>
  <c r="DJ69"/>
  <c r="DM69"/>
  <c r="DN69"/>
  <c r="DR69" s="1"/>
  <c r="DO69"/>
  <c r="DD70"/>
  <c r="DE70"/>
  <c r="DF70"/>
  <c r="DG70"/>
  <c r="DI70"/>
  <c r="DJ70"/>
  <c r="DM70"/>
  <c r="DN70"/>
  <c r="DR70" s="1"/>
  <c r="DO70"/>
  <c r="DD71"/>
  <c r="DE71"/>
  <c r="DF71"/>
  <c r="DG71"/>
  <c r="DI71"/>
  <c r="DJ71"/>
  <c r="DM71"/>
  <c r="DN71"/>
  <c r="DR71" s="1"/>
  <c r="DO71"/>
  <c r="DS71" s="1"/>
  <c r="DX71" s="1"/>
  <c r="DD72"/>
  <c r="DE72"/>
  <c r="DF72"/>
  <c r="DG72"/>
  <c r="DI72"/>
  <c r="DJ72"/>
  <c r="DM72"/>
  <c r="DN72"/>
  <c r="DR72" s="1"/>
  <c r="DO72"/>
  <c r="DD73"/>
  <c r="DE73"/>
  <c r="DF73"/>
  <c r="DG73"/>
  <c r="DI73"/>
  <c r="DJ73"/>
  <c r="DM73"/>
  <c r="DN73"/>
  <c r="DR73" s="1"/>
  <c r="DO73"/>
  <c r="DD74"/>
  <c r="DE74"/>
  <c r="DF74"/>
  <c r="DG74"/>
  <c r="DI74"/>
  <c r="DJ74"/>
  <c r="DM74"/>
  <c r="DN74"/>
  <c r="DR74" s="1"/>
  <c r="DO74"/>
  <c r="DD75"/>
  <c r="DE75"/>
  <c r="DF75"/>
  <c r="DG75"/>
  <c r="DI75"/>
  <c r="DJ75"/>
  <c r="DM75"/>
  <c r="DN75"/>
  <c r="DR75" s="1"/>
  <c r="DO75"/>
  <c r="DD76"/>
  <c r="DE76"/>
  <c r="DF76"/>
  <c r="DG76"/>
  <c r="DI76"/>
  <c r="DJ76"/>
  <c r="DM76"/>
  <c r="DN76"/>
  <c r="DR76" s="1"/>
  <c r="DO76"/>
  <c r="DD77"/>
  <c r="DE77"/>
  <c r="DF77"/>
  <c r="DG77"/>
  <c r="DI77"/>
  <c r="DJ77"/>
  <c r="DM77"/>
  <c r="DN77"/>
  <c r="DR77" s="1"/>
  <c r="DO77"/>
  <c r="DD78"/>
  <c r="DE78"/>
  <c r="DF78"/>
  <c r="DG78"/>
  <c r="DI78"/>
  <c r="DJ78"/>
  <c r="DM78"/>
  <c r="DN78"/>
  <c r="DR78" s="1"/>
  <c r="DO78"/>
  <c r="DD79"/>
  <c r="DE79"/>
  <c r="DF79"/>
  <c r="DG79"/>
  <c r="DI79"/>
  <c r="DJ79"/>
  <c r="DM79"/>
  <c r="DN79"/>
  <c r="DO79"/>
  <c r="DD80"/>
  <c r="DE80"/>
  <c r="DF80"/>
  <c r="DG80"/>
  <c r="DI80"/>
  <c r="DJ80"/>
  <c r="DM80"/>
  <c r="DN80"/>
  <c r="DR80" s="1"/>
  <c r="DO80"/>
  <c r="DD81"/>
  <c r="DE81"/>
  <c r="DF81"/>
  <c r="DG81"/>
  <c r="DI81"/>
  <c r="DJ81"/>
  <c r="DM81"/>
  <c r="DN81"/>
  <c r="DR81" s="1"/>
  <c r="DO81"/>
  <c r="DD82"/>
  <c r="DE82"/>
  <c r="DF82"/>
  <c r="DG82"/>
  <c r="DI82"/>
  <c r="DJ82"/>
  <c r="DM82"/>
  <c r="DN82"/>
  <c r="DR82" s="1"/>
  <c r="DO82"/>
  <c r="DD83"/>
  <c r="DE83"/>
  <c r="DF83"/>
  <c r="DG83"/>
  <c r="DI83"/>
  <c r="DJ83"/>
  <c r="DM83"/>
  <c r="DN83"/>
  <c r="DR83" s="1"/>
  <c r="DO83"/>
  <c r="DD84"/>
  <c r="DE84"/>
  <c r="DF84"/>
  <c r="DG84"/>
  <c r="DI84"/>
  <c r="DJ84"/>
  <c r="DM84"/>
  <c r="DN84"/>
  <c r="DR84" s="1"/>
  <c r="DO84"/>
  <c r="DD85"/>
  <c r="DE85"/>
  <c r="DF85"/>
  <c r="DG85"/>
  <c r="DI85"/>
  <c r="DJ85"/>
  <c r="DM85"/>
  <c r="DN85"/>
  <c r="DR85" s="1"/>
  <c r="DO85"/>
  <c r="DD86"/>
  <c r="DE86"/>
  <c r="DF86"/>
  <c r="DG86"/>
  <c r="DI86"/>
  <c r="DJ86"/>
  <c r="DM86"/>
  <c r="DN86"/>
  <c r="DR86" s="1"/>
  <c r="DO86"/>
  <c r="DD87"/>
  <c r="DE87"/>
  <c r="DF87"/>
  <c r="DG87"/>
  <c r="DI87"/>
  <c r="DJ87"/>
  <c r="DM87"/>
  <c r="DN87"/>
  <c r="DR87" s="1"/>
  <c r="DO87"/>
  <c r="DD88"/>
  <c r="DE88"/>
  <c r="DF88"/>
  <c r="DG88"/>
  <c r="DI88"/>
  <c r="DJ88"/>
  <c r="DM88"/>
  <c r="DN88"/>
  <c r="DR88" s="1"/>
  <c r="DO88"/>
  <c r="DD89"/>
  <c r="DE89"/>
  <c r="DF89"/>
  <c r="DG89"/>
  <c r="DI89"/>
  <c r="DJ89"/>
  <c r="DM89"/>
  <c r="DN89"/>
  <c r="DR89" s="1"/>
  <c r="DO89"/>
  <c r="DD90"/>
  <c r="DE90"/>
  <c r="DF90"/>
  <c r="DG90"/>
  <c r="DI90"/>
  <c r="DJ90"/>
  <c r="DM90"/>
  <c r="DN90"/>
  <c r="DR90" s="1"/>
  <c r="DO90"/>
  <c r="DD91"/>
  <c r="DE91"/>
  <c r="DF91"/>
  <c r="DG91"/>
  <c r="DI91"/>
  <c r="DJ91"/>
  <c r="DM91"/>
  <c r="DN91"/>
  <c r="DO91"/>
  <c r="DR91"/>
  <c r="DD92"/>
  <c r="DE92"/>
  <c r="DF92"/>
  <c r="DG92"/>
  <c r="DI92"/>
  <c r="DJ92"/>
  <c r="DM92"/>
  <c r="DN92"/>
  <c r="DR92" s="1"/>
  <c r="DO92"/>
  <c r="DD93"/>
  <c r="DE93"/>
  <c r="DF93"/>
  <c r="DG93"/>
  <c r="DI93"/>
  <c r="DJ93"/>
  <c r="DM93"/>
  <c r="DN93"/>
  <c r="DR93" s="1"/>
  <c r="DO93"/>
  <c r="DD94"/>
  <c r="DE94"/>
  <c r="DF94"/>
  <c r="DG94"/>
  <c r="DI94"/>
  <c r="DJ94"/>
  <c r="DM94"/>
  <c r="DN94"/>
  <c r="DO94"/>
  <c r="DR94"/>
  <c r="DD95"/>
  <c r="DE95"/>
  <c r="DF95"/>
  <c r="DG95"/>
  <c r="DI95"/>
  <c r="DJ95"/>
  <c r="DM95"/>
  <c r="DN95"/>
  <c r="DO95"/>
  <c r="DD96"/>
  <c r="DE96"/>
  <c r="DF96"/>
  <c r="DG96"/>
  <c r="DI96"/>
  <c r="DJ96"/>
  <c r="DM96"/>
  <c r="DN96"/>
  <c r="DR96" s="1"/>
  <c r="DO96"/>
  <c r="DD97"/>
  <c r="DE97"/>
  <c r="DF97"/>
  <c r="DG97"/>
  <c r="DI97"/>
  <c r="DJ97"/>
  <c r="DM97"/>
  <c r="DN97"/>
  <c r="DR97" s="1"/>
  <c r="DO97"/>
  <c r="DD98"/>
  <c r="DE98"/>
  <c r="DF98"/>
  <c r="DG98"/>
  <c r="DI98"/>
  <c r="DJ98"/>
  <c r="DM98"/>
  <c r="DN98"/>
  <c r="DR98" s="1"/>
  <c r="DO98"/>
  <c r="DD99"/>
  <c r="DE99"/>
  <c r="DF99"/>
  <c r="DG99"/>
  <c r="DI99"/>
  <c r="DJ99"/>
  <c r="DM99"/>
  <c r="DN99"/>
  <c r="DR99" s="1"/>
  <c r="DO99"/>
  <c r="DD100"/>
  <c r="DE100"/>
  <c r="DF100"/>
  <c r="DG100"/>
  <c r="DI100"/>
  <c r="DJ100"/>
  <c r="DM100"/>
  <c r="DN100"/>
  <c r="DR100" s="1"/>
  <c r="DO100"/>
  <c r="DD101"/>
  <c r="DE101"/>
  <c r="DF101"/>
  <c r="DG101"/>
  <c r="DI101"/>
  <c r="DJ101"/>
  <c r="DM101"/>
  <c r="DN101"/>
  <c r="DR101" s="1"/>
  <c r="DO101"/>
  <c r="DD102"/>
  <c r="DE102"/>
  <c r="DF102"/>
  <c r="DG102"/>
  <c r="DI102"/>
  <c r="DJ102"/>
  <c r="DM102"/>
  <c r="DN102"/>
  <c r="DR102" s="1"/>
  <c r="DO102"/>
  <c r="DD103"/>
  <c r="DE103"/>
  <c r="DF103"/>
  <c r="DG103"/>
  <c r="DI103"/>
  <c r="DJ103"/>
  <c r="DM103"/>
  <c r="DN103"/>
  <c r="DR103" s="1"/>
  <c r="DO103"/>
  <c r="DD104"/>
  <c r="DE104"/>
  <c r="DF104"/>
  <c r="DG104"/>
  <c r="DI104"/>
  <c r="DJ104"/>
  <c r="DM104"/>
  <c r="DN104"/>
  <c r="DR104" s="1"/>
  <c r="DO104"/>
  <c r="DD105"/>
  <c r="DE105"/>
  <c r="DF105"/>
  <c r="DG105"/>
  <c r="DI105"/>
  <c r="DJ105"/>
  <c r="DM105"/>
  <c r="DN105"/>
  <c r="DR105" s="1"/>
  <c r="DO105"/>
  <c r="DD106"/>
  <c r="DE106"/>
  <c r="DF106"/>
  <c r="DG106"/>
  <c r="DI106"/>
  <c r="DJ106"/>
  <c r="DM106"/>
  <c r="DN106"/>
  <c r="DR106" s="1"/>
  <c r="DO106"/>
  <c r="DD107"/>
  <c r="DE107"/>
  <c r="DF107"/>
  <c r="DG107"/>
  <c r="DI107"/>
  <c r="DJ107"/>
  <c r="DM107"/>
  <c r="DN107"/>
  <c r="DR107" s="1"/>
  <c r="DO107"/>
  <c r="DD108"/>
  <c r="DE108"/>
  <c r="DF108"/>
  <c r="DG108"/>
  <c r="DI108"/>
  <c r="DJ108"/>
  <c r="DM108"/>
  <c r="DN108"/>
  <c r="DR108" s="1"/>
  <c r="DO108"/>
  <c r="DD109"/>
  <c r="DE109"/>
  <c r="DF109"/>
  <c r="DG109"/>
  <c r="DI109"/>
  <c r="DJ109"/>
  <c r="DM109"/>
  <c r="DN109"/>
  <c r="DR109" s="1"/>
  <c r="DO109"/>
  <c r="DD110"/>
  <c r="DE110"/>
  <c r="DF110"/>
  <c r="DG110"/>
  <c r="DI110"/>
  <c r="DJ110"/>
  <c r="DM110"/>
  <c r="DN110"/>
  <c r="DR110" s="1"/>
  <c r="DO110"/>
  <c r="DD111"/>
  <c r="DE111"/>
  <c r="DF111"/>
  <c r="DG111"/>
  <c r="DI111"/>
  <c r="DJ111"/>
  <c r="DM111"/>
  <c r="DN111"/>
  <c r="DO111"/>
  <c r="DD112"/>
  <c r="DE112"/>
  <c r="DF112"/>
  <c r="DG112"/>
  <c r="DI112"/>
  <c r="DJ112"/>
  <c r="DM112"/>
  <c r="DN112"/>
  <c r="DR112" s="1"/>
  <c r="DO112"/>
  <c r="DD113"/>
  <c r="DE113"/>
  <c r="DF113"/>
  <c r="DG113"/>
  <c r="DI113"/>
  <c r="DJ113"/>
  <c r="DM113"/>
  <c r="DN113"/>
  <c r="DR113" s="1"/>
  <c r="DO113"/>
  <c r="DD114"/>
  <c r="DE114"/>
  <c r="DF114"/>
  <c r="DG114"/>
  <c r="DI114"/>
  <c r="DJ114"/>
  <c r="DM114"/>
  <c r="DN114"/>
  <c r="DR114" s="1"/>
  <c r="DO114"/>
  <c r="DD115"/>
  <c r="DE115"/>
  <c r="DF115"/>
  <c r="DG115"/>
  <c r="DI115"/>
  <c r="DJ115"/>
  <c r="DM115"/>
  <c r="DN115"/>
  <c r="DR115" s="1"/>
  <c r="DO115"/>
  <c r="DD116"/>
  <c r="DE116"/>
  <c r="DF116"/>
  <c r="DG116"/>
  <c r="DI116"/>
  <c r="DJ116"/>
  <c r="DM116"/>
  <c r="DN116"/>
  <c r="DR116" s="1"/>
  <c r="DO116"/>
  <c r="DD117"/>
  <c r="DE117"/>
  <c r="DF117"/>
  <c r="DG117"/>
  <c r="DI117"/>
  <c r="DJ117"/>
  <c r="DM117"/>
  <c r="DN117"/>
  <c r="DR117" s="1"/>
  <c r="DO117"/>
  <c r="DD118"/>
  <c r="DE118"/>
  <c r="DF118"/>
  <c r="DG118"/>
  <c r="DI118"/>
  <c r="DJ118"/>
  <c r="DM118"/>
  <c r="DN118"/>
  <c r="DR118" s="1"/>
  <c r="DO118"/>
  <c r="DD119"/>
  <c r="DE119"/>
  <c r="DF119"/>
  <c r="DG119"/>
  <c r="DI119"/>
  <c r="DJ119"/>
  <c r="DM119"/>
  <c r="DN119"/>
  <c r="DR119" s="1"/>
  <c r="DO119"/>
  <c r="DD120"/>
  <c r="DE120"/>
  <c r="DF120"/>
  <c r="DG120"/>
  <c r="DI120"/>
  <c r="DJ120"/>
  <c r="DM120"/>
  <c r="DN120"/>
  <c r="DR120" s="1"/>
  <c r="DO120"/>
  <c r="DD121"/>
  <c r="DE121"/>
  <c r="DF121"/>
  <c r="DG121"/>
  <c r="DI121"/>
  <c r="DJ121"/>
  <c r="DM121"/>
  <c r="DN121"/>
  <c r="DR121" s="1"/>
  <c r="DO121"/>
  <c r="DD122"/>
  <c r="DE122"/>
  <c r="DF122"/>
  <c r="DG122"/>
  <c r="DI122"/>
  <c r="DJ122"/>
  <c r="DM122"/>
  <c r="DN122"/>
  <c r="DR122" s="1"/>
  <c r="DO122"/>
  <c r="DD123"/>
  <c r="DE123"/>
  <c r="DF123"/>
  <c r="DG123"/>
  <c r="DI123"/>
  <c r="DJ123"/>
  <c r="DM123"/>
  <c r="DN123"/>
  <c r="DR123" s="1"/>
  <c r="DO123"/>
  <c r="DD124"/>
  <c r="DE124"/>
  <c r="DF124"/>
  <c r="DG124"/>
  <c r="DI124"/>
  <c r="DJ124"/>
  <c r="DM124"/>
  <c r="DN124"/>
  <c r="DR124" s="1"/>
  <c r="DO124"/>
  <c r="DD125"/>
  <c r="DE125"/>
  <c r="DF125"/>
  <c r="DG125"/>
  <c r="DI125"/>
  <c r="DJ125"/>
  <c r="DM125"/>
  <c r="DN125"/>
  <c r="DR125" s="1"/>
  <c r="DO125"/>
  <c r="DD126"/>
  <c r="DE126"/>
  <c r="DF126"/>
  <c r="DG126"/>
  <c r="DI126"/>
  <c r="DJ126"/>
  <c r="DM126"/>
  <c r="DN126"/>
  <c r="DR126" s="1"/>
  <c r="DO126"/>
  <c r="DD127"/>
  <c r="DE127"/>
  <c r="DF127"/>
  <c r="DG127"/>
  <c r="DI127"/>
  <c r="DJ127"/>
  <c r="DM127"/>
  <c r="DN127"/>
  <c r="DR127" s="1"/>
  <c r="DO127"/>
  <c r="DD128"/>
  <c r="DE128"/>
  <c r="DF128"/>
  <c r="DG128"/>
  <c r="DI128"/>
  <c r="DJ128"/>
  <c r="DM128"/>
  <c r="DN128"/>
  <c r="DR128" s="1"/>
  <c r="DO128"/>
  <c r="DD129"/>
  <c r="DE129"/>
  <c r="DF129"/>
  <c r="DG129"/>
  <c r="DI129"/>
  <c r="DJ129"/>
  <c r="DM129"/>
  <c r="DN129"/>
  <c r="DR129" s="1"/>
  <c r="DO129"/>
  <c r="DD130"/>
  <c r="DE130"/>
  <c r="DF130"/>
  <c r="DG130"/>
  <c r="DI130"/>
  <c r="DJ130"/>
  <c r="DM130"/>
  <c r="DN130"/>
  <c r="DR130" s="1"/>
  <c r="DO130"/>
  <c r="DD131"/>
  <c r="DE131"/>
  <c r="DF131"/>
  <c r="DG131"/>
  <c r="DI131"/>
  <c r="DJ131"/>
  <c r="DM131"/>
  <c r="DN131"/>
  <c r="DR131" s="1"/>
  <c r="DO131"/>
  <c r="DD132"/>
  <c r="DE132"/>
  <c r="DF132"/>
  <c r="DG132"/>
  <c r="DI132"/>
  <c r="DJ132"/>
  <c r="DM132"/>
  <c r="DN132"/>
  <c r="DR132" s="1"/>
  <c r="DO132"/>
  <c r="DD133"/>
  <c r="DE133"/>
  <c r="DF133"/>
  <c r="DG133"/>
  <c r="DI133"/>
  <c r="DJ133"/>
  <c r="DM133"/>
  <c r="DN133"/>
  <c r="DR133" s="1"/>
  <c r="DO133"/>
  <c r="DD134"/>
  <c r="DE134"/>
  <c r="DF134"/>
  <c r="DG134"/>
  <c r="DI134"/>
  <c r="DJ134"/>
  <c r="DM134"/>
  <c r="DN134"/>
  <c r="DR134" s="1"/>
  <c r="DO134"/>
  <c r="DD135"/>
  <c r="DE135"/>
  <c r="DF135"/>
  <c r="DG135"/>
  <c r="DI135"/>
  <c r="DJ135"/>
  <c r="DM135"/>
  <c r="DN135"/>
  <c r="DR135" s="1"/>
  <c r="DO135"/>
  <c r="DD136"/>
  <c r="DE136"/>
  <c r="DF136"/>
  <c r="DG136"/>
  <c r="DI136"/>
  <c r="DJ136"/>
  <c r="DM136"/>
  <c r="DN136"/>
  <c r="DR136" s="1"/>
  <c r="DO136"/>
  <c r="DD137"/>
  <c r="DE137"/>
  <c r="DF137"/>
  <c r="DG137"/>
  <c r="DI137"/>
  <c r="DJ137"/>
  <c r="DM137"/>
  <c r="DN137"/>
  <c r="DR137" s="1"/>
  <c r="DO137"/>
  <c r="DD138"/>
  <c r="DE138"/>
  <c r="DF138"/>
  <c r="DG138"/>
  <c r="DI138"/>
  <c r="DJ138"/>
  <c r="DM138"/>
  <c r="DN138"/>
  <c r="DR138" s="1"/>
  <c r="DO138"/>
  <c r="DD139"/>
  <c r="DE139"/>
  <c r="DF139"/>
  <c r="DG139"/>
  <c r="DI139"/>
  <c r="DJ139"/>
  <c r="DM139"/>
  <c r="DN139"/>
  <c r="DR139" s="1"/>
  <c r="DO139"/>
  <c r="DD140"/>
  <c r="DE140"/>
  <c r="DF140"/>
  <c r="DG140"/>
  <c r="DI140"/>
  <c r="DJ140"/>
  <c r="DM140"/>
  <c r="DN140"/>
  <c r="DR140" s="1"/>
  <c r="DO140"/>
  <c r="DD141"/>
  <c r="DE141"/>
  <c r="DF141"/>
  <c r="DG141"/>
  <c r="DI141"/>
  <c r="DJ141"/>
  <c r="DM141"/>
  <c r="DN141"/>
  <c r="DR141" s="1"/>
  <c r="DO141"/>
  <c r="DD142"/>
  <c r="DE142"/>
  <c r="DF142"/>
  <c r="DG142"/>
  <c r="DI142"/>
  <c r="DJ142"/>
  <c r="DM142"/>
  <c r="DN142"/>
  <c r="DR142" s="1"/>
  <c r="DO142"/>
  <c r="DD143"/>
  <c r="DE143"/>
  <c r="DF143"/>
  <c r="DG143"/>
  <c r="DI143"/>
  <c r="DJ143"/>
  <c r="DM143"/>
  <c r="DN143"/>
  <c r="DO143"/>
  <c r="DD144"/>
  <c r="DE144"/>
  <c r="DF144"/>
  <c r="DG144"/>
  <c r="DI144"/>
  <c r="DJ144"/>
  <c r="DM144"/>
  <c r="DN144"/>
  <c r="DR144" s="1"/>
  <c r="DO144"/>
  <c r="DD145"/>
  <c r="DE145"/>
  <c r="DF145"/>
  <c r="DG145"/>
  <c r="DI145"/>
  <c r="DJ145"/>
  <c r="DM145"/>
  <c r="DN145"/>
  <c r="DR145" s="1"/>
  <c r="DO145"/>
  <c r="DD146"/>
  <c r="DE146"/>
  <c r="DF146"/>
  <c r="DG146"/>
  <c r="DI146"/>
  <c r="DJ146"/>
  <c r="DM146"/>
  <c r="DN146"/>
  <c r="DR146" s="1"/>
  <c r="DO146"/>
  <c r="DD147"/>
  <c r="DE147"/>
  <c r="DF147"/>
  <c r="DG147"/>
  <c r="DI147"/>
  <c r="DJ147"/>
  <c r="DM147"/>
  <c r="DN147"/>
  <c r="DR147" s="1"/>
  <c r="DO147"/>
  <c r="DD148"/>
  <c r="DE148"/>
  <c r="DF148"/>
  <c r="DG148"/>
  <c r="DI148"/>
  <c r="DJ148"/>
  <c r="DM148"/>
  <c r="DN148"/>
  <c r="DR148" s="1"/>
  <c r="DO148"/>
  <c r="DD149"/>
  <c r="DE149"/>
  <c r="DF149"/>
  <c r="DG149"/>
  <c r="DI149"/>
  <c r="DJ149"/>
  <c r="DM149"/>
  <c r="DN149"/>
  <c r="DR149" s="1"/>
  <c r="DO149"/>
  <c r="DD150"/>
  <c r="DE150"/>
  <c r="DF150"/>
  <c r="DG150"/>
  <c r="DI150"/>
  <c r="DJ150"/>
  <c r="DM150"/>
  <c r="DN150"/>
  <c r="DR150" s="1"/>
  <c r="DO150"/>
  <c r="DD151"/>
  <c r="DE151"/>
  <c r="DF151"/>
  <c r="DG151"/>
  <c r="DI151"/>
  <c r="DJ151"/>
  <c r="DM151"/>
  <c r="DN151"/>
  <c r="DR151" s="1"/>
  <c r="DO151"/>
  <c r="DD152"/>
  <c r="DE152"/>
  <c r="DF152"/>
  <c r="DG152"/>
  <c r="DI152"/>
  <c r="DJ152"/>
  <c r="DM152"/>
  <c r="DN152"/>
  <c r="DO152"/>
  <c r="DD153"/>
  <c r="DE153"/>
  <c r="DF153"/>
  <c r="DG153"/>
  <c r="DI153"/>
  <c r="DJ153"/>
  <c r="DM153"/>
  <c r="DN153"/>
  <c r="DR153" s="1"/>
  <c r="DO153"/>
  <c r="DD154"/>
  <c r="DE154"/>
  <c r="DF154"/>
  <c r="DG154"/>
  <c r="DI154"/>
  <c r="DJ154"/>
  <c r="DM154"/>
  <c r="DN154"/>
  <c r="DR154" s="1"/>
  <c r="DO154"/>
  <c r="DD155"/>
  <c r="DE155"/>
  <c r="DF155"/>
  <c r="DG155"/>
  <c r="DI155"/>
  <c r="DJ155"/>
  <c r="DM155"/>
  <c r="DN155"/>
  <c r="DR155" s="1"/>
  <c r="DO155"/>
  <c r="DD156"/>
  <c r="DE156"/>
  <c r="DF156"/>
  <c r="DG156"/>
  <c r="DI156"/>
  <c r="DJ156"/>
  <c r="DM156"/>
  <c r="DN156"/>
  <c r="DR156" s="1"/>
  <c r="DO156"/>
  <c r="DD157"/>
  <c r="DE157"/>
  <c r="DF157"/>
  <c r="DG157"/>
  <c r="DI157"/>
  <c r="DJ157"/>
  <c r="DM157"/>
  <c r="DN157"/>
  <c r="DR157" s="1"/>
  <c r="DO157"/>
  <c r="DD158"/>
  <c r="DE158"/>
  <c r="DF158"/>
  <c r="DG158"/>
  <c r="DI158"/>
  <c r="DJ158"/>
  <c r="DM158"/>
  <c r="DN158"/>
  <c r="DO158"/>
  <c r="DD159"/>
  <c r="DE159"/>
  <c r="DF159"/>
  <c r="DG159"/>
  <c r="DI159"/>
  <c r="DJ159"/>
  <c r="DM159"/>
  <c r="DN159"/>
  <c r="DR159" s="1"/>
  <c r="DO159"/>
  <c r="DD160"/>
  <c r="DE160"/>
  <c r="DF160"/>
  <c r="DG160"/>
  <c r="DI160"/>
  <c r="DJ160"/>
  <c r="DM160"/>
  <c r="DN160"/>
  <c r="DR160" s="1"/>
  <c r="DO160"/>
  <c r="DD161"/>
  <c r="DE161"/>
  <c r="DF161"/>
  <c r="DG161"/>
  <c r="DI161"/>
  <c r="DJ161"/>
  <c r="DM161"/>
  <c r="DN161"/>
  <c r="DR161" s="1"/>
  <c r="DO161"/>
  <c r="DD162"/>
  <c r="DE162"/>
  <c r="DF162"/>
  <c r="DG162"/>
  <c r="DI162"/>
  <c r="DJ162"/>
  <c r="DM162"/>
  <c r="DN162"/>
  <c r="DR162" s="1"/>
  <c r="DO162"/>
  <c r="DD163"/>
  <c r="DE163"/>
  <c r="DF163"/>
  <c r="DG163"/>
  <c r="DI163"/>
  <c r="DJ163"/>
  <c r="DM163"/>
  <c r="DN163"/>
  <c r="DR163" s="1"/>
  <c r="DO163"/>
  <c r="DD164"/>
  <c r="DE164"/>
  <c r="DF164"/>
  <c r="DG164"/>
  <c r="DI164"/>
  <c r="DJ164"/>
  <c r="DM164"/>
  <c r="DN164"/>
  <c r="DR164" s="1"/>
  <c r="DO164"/>
  <c r="DD165"/>
  <c r="DE165"/>
  <c r="DF165"/>
  <c r="DG165"/>
  <c r="DI165"/>
  <c r="DJ165"/>
  <c r="DM165"/>
  <c r="DN165"/>
  <c r="DR165" s="1"/>
  <c r="DO165"/>
  <c r="DD166"/>
  <c r="DE166"/>
  <c r="DF166"/>
  <c r="DG166"/>
  <c r="DI166"/>
  <c r="DJ166"/>
  <c r="DM166"/>
  <c r="DN166"/>
  <c r="DR166" s="1"/>
  <c r="DO166"/>
  <c r="DD167"/>
  <c r="DE167"/>
  <c r="DF167"/>
  <c r="DG167"/>
  <c r="DI167"/>
  <c r="DJ167"/>
  <c r="DM167"/>
  <c r="DN167"/>
  <c r="DR167" s="1"/>
  <c r="DO167"/>
  <c r="DD168"/>
  <c r="DE168"/>
  <c r="DF168"/>
  <c r="DG168"/>
  <c r="DI168"/>
  <c r="DJ168"/>
  <c r="DM168"/>
  <c r="DN168"/>
  <c r="DR168" s="1"/>
  <c r="DO168"/>
  <c r="DD169"/>
  <c r="DE169"/>
  <c r="DF169"/>
  <c r="DG169"/>
  <c r="DI169"/>
  <c r="DJ169"/>
  <c r="DM169"/>
  <c r="DN169"/>
  <c r="DR169" s="1"/>
  <c r="DO169"/>
  <c r="DD170"/>
  <c r="DE170"/>
  <c r="DF170"/>
  <c r="DG170"/>
  <c r="DI170"/>
  <c r="DJ170"/>
  <c r="DM170"/>
  <c r="DN170"/>
  <c r="DR170" s="1"/>
  <c r="DO170"/>
  <c r="DD171"/>
  <c r="DE171"/>
  <c r="DF171"/>
  <c r="DG171"/>
  <c r="DI171"/>
  <c r="DJ171"/>
  <c r="DM171"/>
  <c r="DN171"/>
  <c r="DR171" s="1"/>
  <c r="DO171"/>
  <c r="DD172"/>
  <c r="DE172"/>
  <c r="DF172"/>
  <c r="DG172"/>
  <c r="DI172"/>
  <c r="DJ172"/>
  <c r="DM172"/>
  <c r="DN172"/>
  <c r="DR172" s="1"/>
  <c r="DO172"/>
  <c r="DD173"/>
  <c r="DE173"/>
  <c r="DF173"/>
  <c r="DG173"/>
  <c r="DI173"/>
  <c r="DJ173"/>
  <c r="DM173"/>
  <c r="DN173"/>
  <c r="DR173" s="1"/>
  <c r="DO173"/>
  <c r="DD174"/>
  <c r="DE174"/>
  <c r="DF174"/>
  <c r="DG174"/>
  <c r="DI174"/>
  <c r="DJ174"/>
  <c r="DM174"/>
  <c r="DN174"/>
  <c r="DO174"/>
  <c r="DD175"/>
  <c r="DE175"/>
  <c r="DF175"/>
  <c r="DG175"/>
  <c r="DI175"/>
  <c r="DJ175"/>
  <c r="DM175"/>
  <c r="DN175"/>
  <c r="DR175" s="1"/>
  <c r="DO175"/>
  <c r="DD176"/>
  <c r="DE176"/>
  <c r="DF176"/>
  <c r="DG176"/>
  <c r="DI176"/>
  <c r="DJ176"/>
  <c r="DM176"/>
  <c r="DN176"/>
  <c r="DR176" s="1"/>
  <c r="DO176"/>
  <c r="DD177"/>
  <c r="DE177"/>
  <c r="DF177"/>
  <c r="DG177"/>
  <c r="DI177"/>
  <c r="DJ177"/>
  <c r="DM177"/>
  <c r="DN177"/>
  <c r="DR177" s="1"/>
  <c r="DO177"/>
  <c r="DD178"/>
  <c r="DE178"/>
  <c r="DF178"/>
  <c r="DG178"/>
  <c r="DI178"/>
  <c r="DJ178"/>
  <c r="DM178"/>
  <c r="DN178"/>
  <c r="DR178" s="1"/>
  <c r="DO178"/>
  <c r="DD179"/>
  <c r="DE179"/>
  <c r="DF179"/>
  <c r="DG179"/>
  <c r="DI179"/>
  <c r="DJ179"/>
  <c r="DM179"/>
  <c r="DN179"/>
  <c r="DR179" s="1"/>
  <c r="DO179"/>
  <c r="DD180"/>
  <c r="DE180"/>
  <c r="DF180"/>
  <c r="DG180"/>
  <c r="DI180"/>
  <c r="DJ180"/>
  <c r="DM180"/>
  <c r="DN180"/>
  <c r="DR180" s="1"/>
  <c r="DO180"/>
  <c r="DD181"/>
  <c r="DE181"/>
  <c r="DF181"/>
  <c r="DG181"/>
  <c r="DI181"/>
  <c r="DJ181"/>
  <c r="DM181"/>
  <c r="DN181"/>
  <c r="DR181" s="1"/>
  <c r="DO181"/>
  <c r="DD182"/>
  <c r="DE182"/>
  <c r="DF182"/>
  <c r="DG182"/>
  <c r="DI182"/>
  <c r="DJ182"/>
  <c r="DM182"/>
  <c r="DN182"/>
  <c r="DR182" s="1"/>
  <c r="DO182"/>
  <c r="DD183"/>
  <c r="DE183"/>
  <c r="DF183"/>
  <c r="DG183"/>
  <c r="DI183"/>
  <c r="DJ183"/>
  <c r="DM183"/>
  <c r="DN183"/>
  <c r="DR183" s="1"/>
  <c r="DO183"/>
  <c r="DD184"/>
  <c r="DE184"/>
  <c r="DF184"/>
  <c r="DG184"/>
  <c r="DI184"/>
  <c r="DJ184"/>
  <c r="DM184"/>
  <c r="DN184"/>
  <c r="DR184" s="1"/>
  <c r="DO184"/>
  <c r="DD185"/>
  <c r="DE185"/>
  <c r="DF185"/>
  <c r="DG185"/>
  <c r="DI185"/>
  <c r="DJ185"/>
  <c r="DM185"/>
  <c r="DN185"/>
  <c r="DR185" s="1"/>
  <c r="DO185"/>
  <c r="DD186"/>
  <c r="DE186"/>
  <c r="DF186"/>
  <c r="DG186"/>
  <c r="DI186"/>
  <c r="DJ186"/>
  <c r="DM186"/>
  <c r="DN186"/>
  <c r="DR186" s="1"/>
  <c r="DO186"/>
  <c r="DD187"/>
  <c r="DE187"/>
  <c r="DF187"/>
  <c r="DG187"/>
  <c r="DI187"/>
  <c r="DJ187"/>
  <c r="DM187"/>
  <c r="DN187"/>
  <c r="DR187" s="1"/>
  <c r="DO187"/>
  <c r="DD188"/>
  <c r="DE188"/>
  <c r="DF188"/>
  <c r="DG188"/>
  <c r="DI188"/>
  <c r="DJ188"/>
  <c r="DM188"/>
  <c r="DN188"/>
  <c r="DR188" s="1"/>
  <c r="DO188"/>
  <c r="DD189"/>
  <c r="DE189"/>
  <c r="DF189"/>
  <c r="DG189"/>
  <c r="DI189"/>
  <c r="DJ189"/>
  <c r="DM189"/>
  <c r="DN189"/>
  <c r="DR189" s="1"/>
  <c r="DO189"/>
  <c r="DD190"/>
  <c r="DE190"/>
  <c r="DF190"/>
  <c r="DG190"/>
  <c r="DI190"/>
  <c r="DJ190"/>
  <c r="DM190"/>
  <c r="DN190"/>
  <c r="DO190"/>
  <c r="DD191"/>
  <c r="DE191"/>
  <c r="DF191"/>
  <c r="DG191"/>
  <c r="DI191"/>
  <c r="DJ191"/>
  <c r="DM191"/>
  <c r="DN191"/>
  <c r="DR191" s="1"/>
  <c r="DO191"/>
  <c r="DD192"/>
  <c r="DE192"/>
  <c r="DF192"/>
  <c r="DG192"/>
  <c r="DI192"/>
  <c r="DJ192"/>
  <c r="DM192"/>
  <c r="DN192"/>
  <c r="DR192" s="1"/>
  <c r="DO192"/>
  <c r="DD193"/>
  <c r="DE193"/>
  <c r="DF193"/>
  <c r="DG193"/>
  <c r="DI193"/>
  <c r="DJ193"/>
  <c r="DM193"/>
  <c r="DN193"/>
  <c r="DR193" s="1"/>
  <c r="DO193"/>
  <c r="DD194"/>
  <c r="DE194"/>
  <c r="DF194"/>
  <c r="DG194"/>
  <c r="DI194"/>
  <c r="DJ194"/>
  <c r="DM194"/>
  <c r="DN194"/>
  <c r="DR194" s="1"/>
  <c r="DO194"/>
  <c r="DD195"/>
  <c r="DE195"/>
  <c r="DF195"/>
  <c r="DG195"/>
  <c r="DI195"/>
  <c r="DJ195"/>
  <c r="DM195"/>
  <c r="DN195"/>
  <c r="DR195" s="1"/>
  <c r="DO195"/>
  <c r="DD196"/>
  <c r="DE196"/>
  <c r="DF196"/>
  <c r="DG196"/>
  <c r="DI196"/>
  <c r="DJ196"/>
  <c r="DM196"/>
  <c r="DN196"/>
  <c r="DR196" s="1"/>
  <c r="DO196"/>
  <c r="DD197"/>
  <c r="DE197"/>
  <c r="DF197"/>
  <c r="DG197"/>
  <c r="DI197"/>
  <c r="DJ197"/>
  <c r="DM197"/>
  <c r="DN197"/>
  <c r="DR197" s="1"/>
  <c r="DO197"/>
  <c r="DD198"/>
  <c r="DE198"/>
  <c r="DF198"/>
  <c r="DG198"/>
  <c r="DI198"/>
  <c r="DJ198"/>
  <c r="DM198"/>
  <c r="DN198"/>
  <c r="DR198" s="1"/>
  <c r="DO198"/>
  <c r="DD199"/>
  <c r="DE199"/>
  <c r="DF199"/>
  <c r="DG199"/>
  <c r="DI199"/>
  <c r="DJ199"/>
  <c r="DM199"/>
  <c r="DN199"/>
  <c r="DR199" s="1"/>
  <c r="DO199"/>
  <c r="DD200"/>
  <c r="DE200"/>
  <c r="DF200"/>
  <c r="DG200"/>
  <c r="DI200"/>
  <c r="DJ200"/>
  <c r="DM200"/>
  <c r="DN200"/>
  <c r="DR200" s="1"/>
  <c r="DO200"/>
  <c r="DD201"/>
  <c r="DE201"/>
  <c r="DF201"/>
  <c r="DG201"/>
  <c r="DI201"/>
  <c r="DJ201"/>
  <c r="DM201"/>
  <c r="DN201"/>
  <c r="DR201" s="1"/>
  <c r="DO201"/>
  <c r="DD202"/>
  <c r="DE202"/>
  <c r="DF202"/>
  <c r="DG202"/>
  <c r="DI202"/>
  <c r="DJ202"/>
  <c r="DM202"/>
  <c r="DN202"/>
  <c r="DR202" s="1"/>
  <c r="DO202"/>
  <c r="DD203"/>
  <c r="DE203"/>
  <c r="DF203"/>
  <c r="DG203"/>
  <c r="DI203"/>
  <c r="DJ203"/>
  <c r="DM203"/>
  <c r="DN203"/>
  <c r="DR203" s="1"/>
  <c r="DO203"/>
  <c r="DD204"/>
  <c r="DE204"/>
  <c r="DF204"/>
  <c r="DG204"/>
  <c r="DI204"/>
  <c r="DJ204"/>
  <c r="DM204"/>
  <c r="DN204"/>
  <c r="DR204" s="1"/>
  <c r="DO204"/>
  <c r="DD205"/>
  <c r="DE205"/>
  <c r="DF205"/>
  <c r="DG205"/>
  <c r="DI205"/>
  <c r="DJ205"/>
  <c r="DM205"/>
  <c r="DN205"/>
  <c r="DR205" s="1"/>
  <c r="DO205"/>
  <c r="DD206"/>
  <c r="DE206"/>
  <c r="DF206"/>
  <c r="DG206"/>
  <c r="DI206"/>
  <c r="DJ206"/>
  <c r="DM206"/>
  <c r="DN206"/>
  <c r="DR206" s="1"/>
  <c r="DO206"/>
  <c r="DD207"/>
  <c r="DE207"/>
  <c r="DF207"/>
  <c r="DG207"/>
  <c r="DI207"/>
  <c r="DJ207"/>
  <c r="DM207"/>
  <c r="DN207"/>
  <c r="DR207" s="1"/>
  <c r="DO207"/>
  <c r="DO8"/>
  <c r="DN8"/>
  <c r="DJ8"/>
  <c r="DN7"/>
  <c r="DJ7"/>
  <c r="A206" i="20"/>
  <c r="B206"/>
  <c r="K206" s="1"/>
  <c r="C206"/>
  <c r="D206"/>
  <c r="E206"/>
  <c r="F206"/>
  <c r="G206"/>
  <c r="H206"/>
  <c r="I206"/>
  <c r="J206"/>
  <c r="R206"/>
  <c r="A207"/>
  <c r="B207"/>
  <c r="L207" s="1"/>
  <c r="C207"/>
  <c r="D207"/>
  <c r="E207"/>
  <c r="F207"/>
  <c r="G207"/>
  <c r="H207"/>
  <c r="I207"/>
  <c r="J207"/>
  <c r="A208"/>
  <c r="B208"/>
  <c r="M208" s="1"/>
  <c r="C208"/>
  <c r="D208"/>
  <c r="E208"/>
  <c r="F208"/>
  <c r="G208"/>
  <c r="H208"/>
  <c r="I208"/>
  <c r="J208"/>
  <c r="AG5"/>
  <c r="HI4" i="9"/>
  <c r="AW209" i="20"/>
  <c r="AX209"/>
  <c r="AW210"/>
  <c r="AX210"/>
  <c r="DA8" i="9"/>
  <c r="BG8"/>
  <c r="CD8"/>
  <c r="BV6"/>
  <c r="CB8"/>
  <c r="BY8"/>
  <c r="CR10"/>
  <c r="CY8"/>
  <c r="CX8"/>
  <c r="CW8"/>
  <c r="AC8" i="20"/>
  <c r="C8" i="9"/>
  <c r="AF5" i="20"/>
  <c r="AE5"/>
  <c r="V6"/>
  <c r="AW5" i="9"/>
  <c r="U6" i="20"/>
  <c r="Q6"/>
  <c r="T6"/>
  <c r="P6"/>
  <c r="AS5" i="9"/>
  <c r="AH5" i="8"/>
  <c r="AG5"/>
  <c r="T5" i="20"/>
  <c r="BM209"/>
  <c r="BN209"/>
  <c r="BO209"/>
  <c r="BP209"/>
  <c r="BM210"/>
  <c r="BN210"/>
  <c r="BO210"/>
  <c r="BP210"/>
  <c r="C16" i="4"/>
  <c r="C18"/>
  <c r="AE8" i="20"/>
  <c r="K5"/>
  <c r="AT10"/>
  <c r="AT13"/>
  <c r="AT11"/>
  <c r="AT12"/>
  <c r="AT9"/>
  <c r="AT8"/>
  <c r="M3"/>
  <c r="I3"/>
  <c r="H3"/>
  <c r="G3"/>
  <c r="C5"/>
  <c r="D5"/>
  <c r="E3"/>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G221"/>
  <c r="G220"/>
  <c r="G219"/>
  <c r="G218"/>
  <c r="G217"/>
  <c r="G216"/>
  <c r="G215"/>
  <c r="G214"/>
  <c r="G213"/>
  <c r="G212"/>
  <c r="G211"/>
  <c r="G210"/>
  <c r="W5"/>
  <c r="J5"/>
  <c r="I5"/>
  <c r="H5"/>
  <c r="G5"/>
  <c r="F5"/>
  <c r="E5"/>
  <c r="B5"/>
  <c r="A5"/>
  <c r="B3"/>
  <c r="A1"/>
  <c r="DS39" i="9" l="1"/>
  <c r="DX39" s="1"/>
  <c r="DK33"/>
  <c r="DS32"/>
  <c r="DX32" s="1"/>
  <c r="DK26"/>
  <c r="DS27"/>
  <c r="DX27" s="1"/>
  <c r="DS18"/>
  <c r="DX18" s="1"/>
  <c r="DS90"/>
  <c r="DX90" s="1"/>
  <c r="DS80"/>
  <c r="DX80" s="1"/>
  <c r="DK185"/>
  <c r="DK140"/>
  <c r="DP95"/>
  <c r="DS94"/>
  <c r="DX94" s="1"/>
  <c r="DH94"/>
  <c r="DQ94" s="1"/>
  <c r="DK195"/>
  <c r="DS163"/>
  <c r="DX163" s="1"/>
  <c r="DS143"/>
  <c r="DX143" s="1"/>
  <c r="DS108"/>
  <c r="DX108" s="1"/>
  <c r="DK205"/>
  <c r="DS150"/>
  <c r="DX150" s="1"/>
  <c r="DS122"/>
  <c r="DX122" s="1"/>
  <c r="DS115"/>
  <c r="DX115" s="1"/>
  <c r="DS112"/>
  <c r="DX112" s="1"/>
  <c r="DK112"/>
  <c r="DK105"/>
  <c r="DS104"/>
  <c r="DX104" s="1"/>
  <c r="DS96"/>
  <c r="DX96" s="1"/>
  <c r="DS83"/>
  <c r="DX83" s="1"/>
  <c r="DS10"/>
  <c r="DX10" s="1"/>
  <c r="DK10"/>
  <c r="DS206"/>
  <c r="DX206" s="1"/>
  <c r="DS99"/>
  <c r="DX99" s="1"/>
  <c r="DS95"/>
  <c r="DX95" s="1"/>
  <c r="DS79"/>
  <c r="DX79" s="1"/>
  <c r="DS186"/>
  <c r="DX186" s="1"/>
  <c r="DP167"/>
  <c r="DS166"/>
  <c r="DX166" s="1"/>
  <c r="DK107"/>
  <c r="DK95"/>
  <c r="DK93"/>
  <c r="DS195"/>
  <c r="DX195" s="1"/>
  <c r="DS179"/>
  <c r="DX179" s="1"/>
  <c r="DS154"/>
  <c r="DX154" s="1"/>
  <c r="DS153"/>
  <c r="DX153" s="1"/>
  <c r="DH79"/>
  <c r="DS74"/>
  <c r="DX74" s="1"/>
  <c r="DK74"/>
  <c r="DS58"/>
  <c r="DX58" s="1"/>
  <c r="DK91"/>
  <c r="DK15"/>
  <c r="DH154"/>
  <c r="DK152"/>
  <c r="DK75"/>
  <c r="DH71"/>
  <c r="DY71" s="1"/>
  <c r="DP25"/>
  <c r="DS23"/>
  <c r="DX23" s="1"/>
  <c r="DK23"/>
  <c r="DH197"/>
  <c r="DY197" s="1"/>
  <c r="DS193"/>
  <c r="DX193" s="1"/>
  <c r="DS190"/>
  <c r="DX190" s="1"/>
  <c r="DK190"/>
  <c r="DK179"/>
  <c r="DS178"/>
  <c r="DX178" s="1"/>
  <c r="DS175"/>
  <c r="DX175" s="1"/>
  <c r="DK175"/>
  <c r="DS171"/>
  <c r="DX171" s="1"/>
  <c r="DS161"/>
  <c r="DX161" s="1"/>
  <c r="DS158"/>
  <c r="DX158" s="1"/>
  <c r="DK158"/>
  <c r="DS155"/>
  <c r="DX155" s="1"/>
  <c r="DK155"/>
  <c r="DP150"/>
  <c r="DS148"/>
  <c r="DX148" s="1"/>
  <c r="DK148"/>
  <c r="DP143"/>
  <c r="DS142"/>
  <c r="DX142" s="1"/>
  <c r="DH142"/>
  <c r="DY142" s="1"/>
  <c r="DS127"/>
  <c r="DX127" s="1"/>
  <c r="DH127"/>
  <c r="DK113"/>
  <c r="DK64"/>
  <c r="DP63"/>
  <c r="DK56"/>
  <c r="DK53"/>
  <c r="DK46"/>
  <c r="DS36"/>
  <c r="DX36" s="1"/>
  <c r="DK35"/>
  <c r="DS19"/>
  <c r="DX19" s="1"/>
  <c r="DK19"/>
  <c r="DS198"/>
  <c r="DX198" s="1"/>
  <c r="DK196"/>
  <c r="DK173"/>
  <c r="DK163"/>
  <c r="DS149"/>
  <c r="DX149" s="1"/>
  <c r="DS146"/>
  <c r="DX146" s="1"/>
  <c r="DK143"/>
  <c r="DK141"/>
  <c r="DS118"/>
  <c r="DX118" s="1"/>
  <c r="DH118"/>
  <c r="DY118" s="1"/>
  <c r="DS114"/>
  <c r="DX114" s="1"/>
  <c r="DS103"/>
  <c r="DX103" s="1"/>
  <c r="DS100"/>
  <c r="DX100" s="1"/>
  <c r="DK86"/>
  <c r="DS76"/>
  <c r="DX76" s="1"/>
  <c r="DK73"/>
  <c r="DS72"/>
  <c r="DX72" s="1"/>
  <c r="DS70"/>
  <c r="DX70" s="1"/>
  <c r="DK63"/>
  <c r="DS60"/>
  <c r="DX60" s="1"/>
  <c r="DK60"/>
  <c r="DH57"/>
  <c r="DY57" s="1"/>
  <c r="DS55"/>
  <c r="DX55" s="1"/>
  <c r="DK55"/>
  <c r="DP52"/>
  <c r="DS47"/>
  <c r="DX47" s="1"/>
  <c r="DS34"/>
  <c r="DX34" s="1"/>
  <c r="DK34"/>
  <c r="DS30"/>
  <c r="DX30" s="1"/>
  <c r="DK30"/>
  <c r="DK20"/>
  <c r="DP110"/>
  <c r="DH104"/>
  <c r="DY104" s="1"/>
  <c r="DH83"/>
  <c r="DQ83" s="1"/>
  <c r="DY51"/>
  <c r="DK201"/>
  <c r="DS194"/>
  <c r="DX194" s="1"/>
  <c r="DS191"/>
  <c r="DX191" s="1"/>
  <c r="DK191"/>
  <c r="DH190"/>
  <c r="DY190" s="1"/>
  <c r="DS187"/>
  <c r="DX187" s="1"/>
  <c r="DH181"/>
  <c r="DY181" s="1"/>
  <c r="DS177"/>
  <c r="DX177" s="1"/>
  <c r="DS174"/>
  <c r="DX174" s="1"/>
  <c r="DK174"/>
  <c r="DS170"/>
  <c r="DX170" s="1"/>
  <c r="DK157"/>
  <c r="DH155"/>
  <c r="DS138"/>
  <c r="DX138" s="1"/>
  <c r="DH138"/>
  <c r="DY138" s="1"/>
  <c r="DS136"/>
  <c r="DX136" s="1"/>
  <c r="DS135"/>
  <c r="DX135" s="1"/>
  <c r="DS130"/>
  <c r="DX130" s="1"/>
  <c r="DH130"/>
  <c r="DY130" s="1"/>
  <c r="DS128"/>
  <c r="DX128" s="1"/>
  <c r="DS119"/>
  <c r="DX119" s="1"/>
  <c r="DK119"/>
  <c r="DH111"/>
  <c r="DS106"/>
  <c r="DX106" s="1"/>
  <c r="DK106"/>
  <c r="DS102"/>
  <c r="DX102" s="1"/>
  <c r="DP99"/>
  <c r="DK98"/>
  <c r="DS92"/>
  <c r="DX92" s="1"/>
  <c r="DK92"/>
  <c r="DS87"/>
  <c r="DX87" s="1"/>
  <c r="DK87"/>
  <c r="DK81"/>
  <c r="DH80"/>
  <c r="DS68"/>
  <c r="DX68" s="1"/>
  <c r="DH68"/>
  <c r="DQ68" s="1"/>
  <c r="DK66"/>
  <c r="DK61"/>
  <c r="DH55"/>
  <c r="DK47"/>
  <c r="DK41"/>
  <c r="DS25"/>
  <c r="DX25" s="1"/>
  <c r="DS22"/>
  <c r="DX22" s="1"/>
  <c r="DH22"/>
  <c r="DQ22" s="1"/>
  <c r="DK17"/>
  <c r="DH14"/>
  <c r="DQ14" s="1"/>
  <c r="DH11"/>
  <c r="DH174"/>
  <c r="DY174" s="1"/>
  <c r="DH165"/>
  <c r="DY165" s="1"/>
  <c r="DL155"/>
  <c r="DH119"/>
  <c r="DH114"/>
  <c r="DY114" s="1"/>
  <c r="DP113"/>
  <c r="DP103"/>
  <c r="DH91"/>
  <c r="DY91" s="1"/>
  <c r="DH87"/>
  <c r="DP60"/>
  <c r="DH47"/>
  <c r="DH31"/>
  <c r="DP19"/>
  <c r="DP14"/>
  <c r="DH12"/>
  <c r="DS202"/>
  <c r="DX202" s="1"/>
  <c r="DK189"/>
  <c r="DP183"/>
  <c r="DS182"/>
  <c r="DX182" s="1"/>
  <c r="DK180"/>
  <c r="DK169"/>
  <c r="DS162"/>
  <c r="DX162" s="1"/>
  <c r="DS159"/>
  <c r="DX159" s="1"/>
  <c r="DK159"/>
  <c r="DH158"/>
  <c r="DY158" s="1"/>
  <c r="DK147"/>
  <c r="DS139"/>
  <c r="DX139" s="1"/>
  <c r="DH134"/>
  <c r="DY134" s="1"/>
  <c r="DS131"/>
  <c r="DX131" s="1"/>
  <c r="DK127"/>
  <c r="DS126"/>
  <c r="DX126" s="1"/>
  <c r="DS123"/>
  <c r="DX123" s="1"/>
  <c r="DH123"/>
  <c r="DQ123" s="1"/>
  <c r="DS120"/>
  <c r="DX120" s="1"/>
  <c r="DS111"/>
  <c r="DX111" s="1"/>
  <c r="DP106"/>
  <c r="DH103"/>
  <c r="DS101"/>
  <c r="DX101" s="1"/>
  <c r="DH101"/>
  <c r="DQ101" s="1"/>
  <c r="DK99"/>
  <c r="DK96"/>
  <c r="DK88"/>
  <c r="DS82"/>
  <c r="DX82" s="1"/>
  <c r="DK80"/>
  <c r="DL80" s="1"/>
  <c r="DS69"/>
  <c r="DX69" s="1"/>
  <c r="DS67"/>
  <c r="DX67" s="1"/>
  <c r="DK67"/>
  <c r="DS64"/>
  <c r="DX64" s="1"/>
  <c r="DP64"/>
  <c r="DS62"/>
  <c r="DX62" s="1"/>
  <c r="DP59"/>
  <c r="DK59"/>
  <c r="DK54"/>
  <c r="DK48"/>
  <c r="DS42"/>
  <c r="DX42" s="1"/>
  <c r="DK40"/>
  <c r="DS29"/>
  <c r="DX29" s="1"/>
  <c r="DK24"/>
  <c r="DH9"/>
  <c r="DQ9" s="1"/>
  <c r="DS140"/>
  <c r="DX140" s="1"/>
  <c r="DY79"/>
  <c r="DY39"/>
  <c r="DP29"/>
  <c r="DQ154"/>
  <c r="DY154"/>
  <c r="DY123"/>
  <c r="DQ103"/>
  <c r="DY103"/>
  <c r="DH206"/>
  <c r="DH202"/>
  <c r="DP198"/>
  <c r="DH194"/>
  <c r="DH193"/>
  <c r="DH186"/>
  <c r="DP182"/>
  <c r="DH178"/>
  <c r="DH177"/>
  <c r="DH170"/>
  <c r="DP166"/>
  <c r="DH162"/>
  <c r="DH161"/>
  <c r="DH151"/>
  <c r="DY151" s="1"/>
  <c r="DH147"/>
  <c r="DH146"/>
  <c r="DY146" s="1"/>
  <c r="DH139"/>
  <c r="DL127"/>
  <c r="DP206"/>
  <c r="DP202"/>
  <c r="DP193"/>
  <c r="DP177"/>
  <c r="DP161"/>
  <c r="DQ127"/>
  <c r="DY127"/>
  <c r="DS204"/>
  <c r="DX204" s="1"/>
  <c r="DH204"/>
  <c r="DS200"/>
  <c r="DX200" s="1"/>
  <c r="DH200"/>
  <c r="DH198"/>
  <c r="DK197"/>
  <c r="DL197" s="1"/>
  <c r="DK194"/>
  <c r="DP190"/>
  <c r="DK187"/>
  <c r="DK184"/>
  <c r="DH184"/>
  <c r="DH182"/>
  <c r="DK181"/>
  <c r="DL181" s="1"/>
  <c r="DK178"/>
  <c r="DP174"/>
  <c r="DK171"/>
  <c r="DK168"/>
  <c r="DH168"/>
  <c r="DH166"/>
  <c r="DK165"/>
  <c r="DL165" s="1"/>
  <c r="DK162"/>
  <c r="DP158"/>
  <c r="DK154"/>
  <c r="DP152"/>
  <c r="DS151"/>
  <c r="DX151" s="1"/>
  <c r="DH150"/>
  <c r="DY150" s="1"/>
  <c r="DH149"/>
  <c r="DP147"/>
  <c r="DS144"/>
  <c r="DX144" s="1"/>
  <c r="DK144"/>
  <c r="DP204"/>
  <c r="DP200"/>
  <c r="DP196"/>
  <c r="DP189"/>
  <c r="DP184"/>
  <c r="DP180"/>
  <c r="DP173"/>
  <c r="DP168"/>
  <c r="DP164"/>
  <c r="DP157"/>
  <c r="DQ155"/>
  <c r="DY155"/>
  <c r="DP137"/>
  <c r="DP129"/>
  <c r="DQ55"/>
  <c r="DY55"/>
  <c r="DL147"/>
  <c r="DP194"/>
  <c r="DP178"/>
  <c r="DP162"/>
  <c r="DQ119"/>
  <c r="DY119"/>
  <c r="DQ87"/>
  <c r="DY87"/>
  <c r="DQ47"/>
  <c r="DY47"/>
  <c r="DQ31"/>
  <c r="DY31"/>
  <c r="DS207"/>
  <c r="DX207" s="1"/>
  <c r="DK206"/>
  <c r="DS203"/>
  <c r="DX203" s="1"/>
  <c r="DK202"/>
  <c r="DS199"/>
  <c r="DX199" s="1"/>
  <c r="DH191"/>
  <c r="DY191" s="1"/>
  <c r="DH188"/>
  <c r="DY188" s="1"/>
  <c r="DP186"/>
  <c r="DK186"/>
  <c r="DS183"/>
  <c r="DX183" s="1"/>
  <c r="DH175"/>
  <c r="DY175" s="1"/>
  <c r="DH172"/>
  <c r="DY172" s="1"/>
  <c r="DP170"/>
  <c r="DK170"/>
  <c r="DS167"/>
  <c r="DX167" s="1"/>
  <c r="DH159"/>
  <c r="DY159" s="1"/>
  <c r="DK156"/>
  <c r="DK151"/>
  <c r="DK150"/>
  <c r="DP149"/>
  <c r="DH143"/>
  <c r="DK139"/>
  <c r="DL139" s="1"/>
  <c r="DK136"/>
  <c r="DK135"/>
  <c r="DS132"/>
  <c r="DX132" s="1"/>
  <c r="DK131"/>
  <c r="DK128"/>
  <c r="DH128"/>
  <c r="DP127"/>
  <c r="DK126"/>
  <c r="DS125"/>
  <c r="DX125" s="1"/>
  <c r="DP123"/>
  <c r="DK122"/>
  <c r="DS116"/>
  <c r="DX116" s="1"/>
  <c r="DH116"/>
  <c r="DK115"/>
  <c r="DP112"/>
  <c r="DK111"/>
  <c r="DL111" s="1"/>
  <c r="DK109"/>
  <c r="DP108"/>
  <c r="DP107"/>
  <c r="DH105"/>
  <c r="DY105" s="1"/>
  <c r="DK102"/>
  <c r="DP101"/>
  <c r="DS98"/>
  <c r="DX98" s="1"/>
  <c r="DH98"/>
  <c r="DY98" s="1"/>
  <c r="DP97"/>
  <c r="DP94"/>
  <c r="DP90"/>
  <c r="DK89"/>
  <c r="DS88"/>
  <c r="DX88" s="1"/>
  <c r="DH88"/>
  <c r="DY88" s="1"/>
  <c r="DP87"/>
  <c r="DS85"/>
  <c r="DX85" s="1"/>
  <c r="DH85"/>
  <c r="DP83"/>
  <c r="DK82"/>
  <c r="DP79"/>
  <c r="DS78"/>
  <c r="DX78" s="1"/>
  <c r="DH78"/>
  <c r="DK76"/>
  <c r="DH75"/>
  <c r="DK72"/>
  <c r="DK71"/>
  <c r="DL71" s="1"/>
  <c r="DH67"/>
  <c r="DK65"/>
  <c r="DH63"/>
  <c r="DK58"/>
  <c r="DK52"/>
  <c r="DK51"/>
  <c r="DL51" s="1"/>
  <c r="DP50"/>
  <c r="DK49"/>
  <c r="DS48"/>
  <c r="DX48" s="1"/>
  <c r="DH48"/>
  <c r="DY48" s="1"/>
  <c r="DP47"/>
  <c r="DS45"/>
  <c r="DX45" s="1"/>
  <c r="DH45"/>
  <c r="DP43"/>
  <c r="DK42"/>
  <c r="DP39"/>
  <c r="DS38"/>
  <c r="DX38" s="1"/>
  <c r="DH38"/>
  <c r="DK36"/>
  <c r="DH35"/>
  <c r="DK32"/>
  <c r="DS28"/>
  <c r="DX28" s="1"/>
  <c r="DH28"/>
  <c r="DK27"/>
  <c r="DS20"/>
  <c r="DX20" s="1"/>
  <c r="DP20"/>
  <c r="DH19"/>
  <c r="DS15"/>
  <c r="DX15" s="1"/>
  <c r="DY101"/>
  <c r="DY9"/>
  <c r="DH135"/>
  <c r="DH131"/>
  <c r="DH126"/>
  <c r="DY126" s="1"/>
  <c r="DH122"/>
  <c r="DY122" s="1"/>
  <c r="DL119"/>
  <c r="DH115"/>
  <c r="DQ111"/>
  <c r="DH100"/>
  <c r="DP96"/>
  <c r="DP92"/>
  <c r="DP91"/>
  <c r="DH89"/>
  <c r="DY89" s="1"/>
  <c r="DP85"/>
  <c r="DH82"/>
  <c r="DY82" s="1"/>
  <c r="DP81"/>
  <c r="DQ80"/>
  <c r="DP78"/>
  <c r="DP74"/>
  <c r="DH72"/>
  <c r="DY72" s="1"/>
  <c r="DP71"/>
  <c r="DH69"/>
  <c r="DP67"/>
  <c r="DH62"/>
  <c r="DH59"/>
  <c r="DL55"/>
  <c r="DP54"/>
  <c r="DS52"/>
  <c r="DX52" s="1"/>
  <c r="DP51"/>
  <c r="DH49"/>
  <c r="DY49" s="1"/>
  <c r="DP45"/>
  <c r="DH42"/>
  <c r="DY42" s="1"/>
  <c r="DP41"/>
  <c r="DP38"/>
  <c r="DP34"/>
  <c r="DH32"/>
  <c r="DY32" s="1"/>
  <c r="DS31"/>
  <c r="DX31" s="1"/>
  <c r="DK31"/>
  <c r="DL31" s="1"/>
  <c r="DH27"/>
  <c r="DH23"/>
  <c r="DK21"/>
  <c r="DK16"/>
  <c r="DP15"/>
  <c r="DS14"/>
  <c r="DX14" s="1"/>
  <c r="DK14"/>
  <c r="DH13"/>
  <c r="DS9"/>
  <c r="DX9" s="1"/>
  <c r="DK9"/>
  <c r="DY94"/>
  <c r="DY22"/>
  <c r="DY14"/>
  <c r="DS152"/>
  <c r="DX152" s="1"/>
  <c r="DP146"/>
  <c r="DH144"/>
  <c r="DP142"/>
  <c r="DP140"/>
  <c r="DP139"/>
  <c r="DK138"/>
  <c r="DL138" s="1"/>
  <c r="DP135"/>
  <c r="DK134"/>
  <c r="DS133"/>
  <c r="DX133" s="1"/>
  <c r="DP131"/>
  <c r="DK130"/>
  <c r="DL130" s="1"/>
  <c r="DS124"/>
  <c r="DX124" s="1"/>
  <c r="DK123"/>
  <c r="DK120"/>
  <c r="DP119"/>
  <c r="DK118"/>
  <c r="DS117"/>
  <c r="DX117" s="1"/>
  <c r="DP115"/>
  <c r="DK114"/>
  <c r="DP111"/>
  <c r="DS110"/>
  <c r="DX110" s="1"/>
  <c r="DH110"/>
  <c r="DK108"/>
  <c r="DH107"/>
  <c r="DK104"/>
  <c r="DL104" s="1"/>
  <c r="DK103"/>
  <c r="DL103" s="1"/>
  <c r="DT103" s="1"/>
  <c r="EA103" s="1"/>
  <c r="DH99"/>
  <c r="DL99" s="1"/>
  <c r="DT99" s="1"/>
  <c r="DK97"/>
  <c r="DH95"/>
  <c r="DK90"/>
  <c r="DS86"/>
  <c r="DX86" s="1"/>
  <c r="DS84"/>
  <c r="DX84" s="1"/>
  <c r="DH84"/>
  <c r="DK83"/>
  <c r="DP80"/>
  <c r="DK79"/>
  <c r="DK77"/>
  <c r="DP76"/>
  <c r="DP75"/>
  <c r="DH73"/>
  <c r="DY73" s="1"/>
  <c r="DK70"/>
  <c r="DP69"/>
  <c r="DS66"/>
  <c r="DX66" s="1"/>
  <c r="DH66"/>
  <c r="DY66" s="1"/>
  <c r="DP65"/>
  <c r="DH64"/>
  <c r="DP62"/>
  <c r="DP58"/>
  <c r="DK57"/>
  <c r="DS56"/>
  <c r="DX56" s="1"/>
  <c r="DP55"/>
  <c r="DH53"/>
  <c r="DY53" s="1"/>
  <c r="DK50"/>
  <c r="DS46"/>
  <c r="DX46" s="1"/>
  <c r="DS44"/>
  <c r="DX44" s="1"/>
  <c r="DH44"/>
  <c r="DK43"/>
  <c r="DP40"/>
  <c r="DK39"/>
  <c r="DK37"/>
  <c r="DP36"/>
  <c r="DP35"/>
  <c r="DH33"/>
  <c r="DY33" s="1"/>
  <c r="DP31"/>
  <c r="DH29"/>
  <c r="DP27"/>
  <c r="DP23"/>
  <c r="DP18"/>
  <c r="DY111"/>
  <c r="DY83"/>
  <c r="DY43"/>
  <c r="DQ91"/>
  <c r="DL88"/>
  <c r="DL87"/>
  <c r="DT87" s="1"/>
  <c r="EA87" s="1"/>
  <c r="DQ79"/>
  <c r="DQ71"/>
  <c r="DQ51"/>
  <c r="DL47"/>
  <c r="DT47" s="1"/>
  <c r="EA47" s="1"/>
  <c r="DQ39"/>
  <c r="DS24"/>
  <c r="DX24" s="1"/>
  <c r="DP9"/>
  <c r="DY80"/>
  <c r="DY68"/>
  <c r="DL107"/>
  <c r="DT107" s="1"/>
  <c r="DL19"/>
  <c r="DT19" s="1"/>
  <c r="DL14"/>
  <c r="DT14" s="1"/>
  <c r="EA14" s="1"/>
  <c r="DL206"/>
  <c r="DT206" s="1"/>
  <c r="DL202"/>
  <c r="DT202" s="1"/>
  <c r="DL123"/>
  <c r="DT123" s="1"/>
  <c r="DL91"/>
  <c r="DT91" s="1"/>
  <c r="EA91" s="1"/>
  <c r="DL83"/>
  <c r="DT83" s="1"/>
  <c r="EA83" s="1"/>
  <c r="DL79"/>
  <c r="DT79" s="1"/>
  <c r="EA79" s="1"/>
  <c r="DL43"/>
  <c r="DT43" s="1"/>
  <c r="EA43" s="1"/>
  <c r="DL39"/>
  <c r="DT39" s="1"/>
  <c r="EA39" s="1"/>
  <c r="DQ150"/>
  <c r="DL150"/>
  <c r="DT150" s="1"/>
  <c r="DL143"/>
  <c r="DT143" s="1"/>
  <c r="DL75"/>
  <c r="DT75" s="1"/>
  <c r="DL67"/>
  <c r="DT67" s="1"/>
  <c r="DL63"/>
  <c r="DT63" s="1"/>
  <c r="DL35"/>
  <c r="DT35" s="1"/>
  <c r="DP207"/>
  <c r="DP205"/>
  <c r="DK204"/>
  <c r="DL204" s="1"/>
  <c r="DT204" s="1"/>
  <c r="DP203"/>
  <c r="DP201"/>
  <c r="DK200"/>
  <c r="DL200" s="1"/>
  <c r="DT200" s="1"/>
  <c r="DP199"/>
  <c r="DK198"/>
  <c r="DL198" s="1"/>
  <c r="DT198" s="1"/>
  <c r="DS196"/>
  <c r="DX196" s="1"/>
  <c r="DH196"/>
  <c r="DP195"/>
  <c r="DK193"/>
  <c r="DL193" s="1"/>
  <c r="DT193" s="1"/>
  <c r="DP192"/>
  <c r="DR190"/>
  <c r="DS189"/>
  <c r="DX189" s="1"/>
  <c r="DH189"/>
  <c r="DH187"/>
  <c r="DP185"/>
  <c r="DK182"/>
  <c r="DL182" s="1"/>
  <c r="DT182" s="1"/>
  <c r="DS180"/>
  <c r="DX180" s="1"/>
  <c r="DH180"/>
  <c r="DP179"/>
  <c r="DK177"/>
  <c r="DP176"/>
  <c r="DR174"/>
  <c r="DS173"/>
  <c r="DX173" s="1"/>
  <c r="DH173"/>
  <c r="DH171"/>
  <c r="DP169"/>
  <c r="DK166"/>
  <c r="DL166" s="1"/>
  <c r="DT166" s="1"/>
  <c r="DK164"/>
  <c r="DH164"/>
  <c r="DP163"/>
  <c r="DK161"/>
  <c r="DL161" s="1"/>
  <c r="DT161" s="1"/>
  <c r="DP160"/>
  <c r="DR158"/>
  <c r="DS157"/>
  <c r="DX157" s="1"/>
  <c r="DH157"/>
  <c r="DL157" s="1"/>
  <c r="DT157" s="1"/>
  <c r="DP154"/>
  <c r="DK153"/>
  <c r="DS147"/>
  <c r="DX147" s="1"/>
  <c r="DK146"/>
  <c r="DL146" s="1"/>
  <c r="DT146" s="1"/>
  <c r="DP145"/>
  <c r="DR143"/>
  <c r="DK142"/>
  <c r="DS141"/>
  <c r="DX141" s="1"/>
  <c r="DH141"/>
  <c r="DY141" s="1"/>
  <c r="DS137"/>
  <c r="DX137" s="1"/>
  <c r="DK133"/>
  <c r="DS129"/>
  <c r="DX129" s="1"/>
  <c r="DH129"/>
  <c r="DK125"/>
  <c r="DS121"/>
  <c r="DX121" s="1"/>
  <c r="DH121"/>
  <c r="DS113"/>
  <c r="DX113" s="1"/>
  <c r="DH113"/>
  <c r="DH112"/>
  <c r="DR111"/>
  <c r="DK110"/>
  <c r="DP109"/>
  <c r="DS107"/>
  <c r="DX107" s="1"/>
  <c r="DH106"/>
  <c r="DL106" s="1"/>
  <c r="DT106" s="1"/>
  <c r="DP104"/>
  <c r="DT104" s="1"/>
  <c r="DP102"/>
  <c r="DK101"/>
  <c r="DS97"/>
  <c r="DX97" s="1"/>
  <c r="DH97"/>
  <c r="DH96"/>
  <c r="DR95"/>
  <c r="DK94"/>
  <c r="DP93"/>
  <c r="DS91"/>
  <c r="DX91" s="1"/>
  <c r="DH90"/>
  <c r="DP88"/>
  <c r="DT88" s="1"/>
  <c r="DP86"/>
  <c r="DK85"/>
  <c r="DS81"/>
  <c r="DX81" s="1"/>
  <c r="DH81"/>
  <c r="DL81" s="1"/>
  <c r="DT81" s="1"/>
  <c r="DR79"/>
  <c r="DK78"/>
  <c r="DP77"/>
  <c r="DS75"/>
  <c r="DX75" s="1"/>
  <c r="DH74"/>
  <c r="DP72"/>
  <c r="DP70"/>
  <c r="DK69"/>
  <c r="DL69" s="1"/>
  <c r="DT69" s="1"/>
  <c r="DS65"/>
  <c r="DX65" s="1"/>
  <c r="DH65"/>
  <c r="DR63"/>
  <c r="DK62"/>
  <c r="DL62" s="1"/>
  <c r="DT62" s="1"/>
  <c r="DP61"/>
  <c r="DS59"/>
  <c r="DX59" s="1"/>
  <c r="DH58"/>
  <c r="DP56"/>
  <c r="DS54"/>
  <c r="DX54" s="1"/>
  <c r="DH54"/>
  <c r="DS50"/>
  <c r="DX50" s="1"/>
  <c r="DH50"/>
  <c r="DL50" s="1"/>
  <c r="DT50" s="1"/>
  <c r="DP48"/>
  <c r="DP46"/>
  <c r="DK45"/>
  <c r="DL45" s="1"/>
  <c r="DS41"/>
  <c r="DX41" s="1"/>
  <c r="DH41"/>
  <c r="DH40"/>
  <c r="DR39"/>
  <c r="DK38"/>
  <c r="DL38" s="1"/>
  <c r="DT38" s="1"/>
  <c r="DP37"/>
  <c r="DS35"/>
  <c r="DX35" s="1"/>
  <c r="DH34"/>
  <c r="DP32"/>
  <c r="DP30"/>
  <c r="DK29"/>
  <c r="DL29" s="1"/>
  <c r="DH25"/>
  <c r="DH24"/>
  <c r="DK22"/>
  <c r="DL22" s="1"/>
  <c r="DP21"/>
  <c r="DH20"/>
  <c r="DH18"/>
  <c r="DP16"/>
  <c r="DK13"/>
  <c r="DL13" s="1"/>
  <c r="DK12"/>
  <c r="DP10"/>
  <c r="DQ191"/>
  <c r="DQ190"/>
  <c r="DL186"/>
  <c r="DT186" s="1"/>
  <c r="DQ175"/>
  <c r="DQ174"/>
  <c r="DL170"/>
  <c r="DT170" s="1"/>
  <c r="DQ159"/>
  <c r="DQ158"/>
  <c r="DQ151"/>
  <c r="DL112"/>
  <c r="DL96"/>
  <c r="DL9"/>
  <c r="DT9" s="1"/>
  <c r="EA9" s="1"/>
  <c r="DK207"/>
  <c r="DH207"/>
  <c r="DK203"/>
  <c r="DH203"/>
  <c r="DK199"/>
  <c r="DS197"/>
  <c r="DX197" s="1"/>
  <c r="DQ197"/>
  <c r="DH195"/>
  <c r="DL190"/>
  <c r="DT190" s="1"/>
  <c r="EA190" s="1"/>
  <c r="DK188"/>
  <c r="DL188" s="1"/>
  <c r="DQ188"/>
  <c r="DP187"/>
  <c r="DK183"/>
  <c r="DS181"/>
  <c r="DX181" s="1"/>
  <c r="DQ181"/>
  <c r="DH179"/>
  <c r="DL174"/>
  <c r="DT174" s="1"/>
  <c r="EA174" s="1"/>
  <c r="DK172"/>
  <c r="DL172" s="1"/>
  <c r="DQ172"/>
  <c r="DP171"/>
  <c r="DK167"/>
  <c r="DS165"/>
  <c r="DX165" s="1"/>
  <c r="DQ165"/>
  <c r="DH163"/>
  <c r="DL158"/>
  <c r="DT158" s="1"/>
  <c r="DS156"/>
  <c r="DX156" s="1"/>
  <c r="DP155"/>
  <c r="DT155" s="1"/>
  <c r="EA155" s="1"/>
  <c r="DL154"/>
  <c r="DT154" s="1"/>
  <c r="EA154" s="1"/>
  <c r="DH136"/>
  <c r="DQ134"/>
  <c r="DS134"/>
  <c r="DX134" s="1"/>
  <c r="DK132"/>
  <c r="DQ126"/>
  <c r="DK124"/>
  <c r="DQ118"/>
  <c r="DK116"/>
  <c r="DL116" s="1"/>
  <c r="DQ114"/>
  <c r="DS105"/>
  <c r="DX105" s="1"/>
  <c r="DQ105"/>
  <c r="DQ104"/>
  <c r="DK100"/>
  <c r="DL100" s="1"/>
  <c r="DQ98"/>
  <c r="DS89"/>
  <c r="DX89" s="1"/>
  <c r="DQ89"/>
  <c r="DQ88"/>
  <c r="DK84"/>
  <c r="DL84" s="1"/>
  <c r="DQ82"/>
  <c r="DS73"/>
  <c r="DX73" s="1"/>
  <c r="DQ73"/>
  <c r="DQ72"/>
  <c r="DK68"/>
  <c r="DL68" s="1"/>
  <c r="DQ66"/>
  <c r="DS57"/>
  <c r="DX57" s="1"/>
  <c r="DQ57"/>
  <c r="DS53"/>
  <c r="DX53" s="1"/>
  <c r="DQ53"/>
  <c r="DS49"/>
  <c r="DX49" s="1"/>
  <c r="DQ49"/>
  <c r="DQ48"/>
  <c r="DK44"/>
  <c r="DL44" s="1"/>
  <c r="DQ42"/>
  <c r="DS33"/>
  <c r="DX33" s="1"/>
  <c r="DQ33"/>
  <c r="DQ32"/>
  <c r="DK28"/>
  <c r="DL28" s="1"/>
  <c r="DH26"/>
  <c r="DP24"/>
  <c r="DP22"/>
  <c r="DS17"/>
  <c r="DX17" s="1"/>
  <c r="DH17"/>
  <c r="DH16"/>
  <c r="DH15"/>
  <c r="DK11"/>
  <c r="DL11" s="1"/>
  <c r="DH10"/>
  <c r="DS205"/>
  <c r="DX205" s="1"/>
  <c r="DH205"/>
  <c r="DS201"/>
  <c r="DX201" s="1"/>
  <c r="DH201"/>
  <c r="DH199"/>
  <c r="DP197"/>
  <c r="DT197" s="1"/>
  <c r="EA197" s="1"/>
  <c r="DL194"/>
  <c r="DT194" s="1"/>
  <c r="DK192"/>
  <c r="DH192"/>
  <c r="DP191"/>
  <c r="DL189"/>
  <c r="DP188"/>
  <c r="DS185"/>
  <c r="DX185" s="1"/>
  <c r="DH185"/>
  <c r="DH183"/>
  <c r="DP181"/>
  <c r="DT181" s="1"/>
  <c r="EA181" s="1"/>
  <c r="DL180"/>
  <c r="DL178"/>
  <c r="DT178" s="1"/>
  <c r="DK176"/>
  <c r="DH176"/>
  <c r="DP175"/>
  <c r="DL173"/>
  <c r="DP172"/>
  <c r="DS169"/>
  <c r="DX169" s="1"/>
  <c r="DH169"/>
  <c r="DH167"/>
  <c r="DP165"/>
  <c r="DT165" s="1"/>
  <c r="EA165" s="1"/>
  <c r="DL162"/>
  <c r="DT162" s="1"/>
  <c r="DK160"/>
  <c r="DH160"/>
  <c r="DP159"/>
  <c r="DP156"/>
  <c r="DH148"/>
  <c r="DS145"/>
  <c r="DX145" s="1"/>
  <c r="DL141"/>
  <c r="DP138"/>
  <c r="DT138" s="1"/>
  <c r="DP134"/>
  <c r="DP132"/>
  <c r="DP130"/>
  <c r="DP126"/>
  <c r="DP124"/>
  <c r="DP122"/>
  <c r="DP118"/>
  <c r="DP116"/>
  <c r="DP114"/>
  <c r="DL113"/>
  <c r="DT113" s="1"/>
  <c r="DS109"/>
  <c r="DX109" s="1"/>
  <c r="DH109"/>
  <c r="DH108"/>
  <c r="DL108" s="1"/>
  <c r="DT108" s="1"/>
  <c r="DP105"/>
  <c r="DH102"/>
  <c r="DP100"/>
  <c r="DT100" s="1"/>
  <c r="DP98"/>
  <c r="DL97"/>
  <c r="DT97" s="1"/>
  <c r="DS93"/>
  <c r="DX93" s="1"/>
  <c r="DH93"/>
  <c r="DL93" s="1"/>
  <c r="DT93" s="1"/>
  <c r="DH92"/>
  <c r="DL90"/>
  <c r="DT90" s="1"/>
  <c r="DP89"/>
  <c r="DH86"/>
  <c r="DP84"/>
  <c r="DP82"/>
  <c r="DS77"/>
  <c r="DX77" s="1"/>
  <c r="DH77"/>
  <c r="DH76"/>
  <c r="DL74"/>
  <c r="DT74" s="1"/>
  <c r="DP73"/>
  <c r="DH70"/>
  <c r="DP68"/>
  <c r="DP66"/>
  <c r="DL65"/>
  <c r="DT65" s="1"/>
  <c r="DS61"/>
  <c r="DX61" s="1"/>
  <c r="DH61"/>
  <c r="DH60"/>
  <c r="DL58"/>
  <c r="DT58" s="1"/>
  <c r="DP57"/>
  <c r="DH56"/>
  <c r="DL54"/>
  <c r="DT54" s="1"/>
  <c r="DP53"/>
  <c r="DR52"/>
  <c r="DH52"/>
  <c r="DP49"/>
  <c r="DH46"/>
  <c r="DP44"/>
  <c r="DP42"/>
  <c r="DL41"/>
  <c r="DT41" s="1"/>
  <c r="DS37"/>
  <c r="DX37" s="1"/>
  <c r="DH37"/>
  <c r="DH36"/>
  <c r="DL34"/>
  <c r="DT34" s="1"/>
  <c r="DP33"/>
  <c r="DH30"/>
  <c r="DP28"/>
  <c r="DP26"/>
  <c r="DK25"/>
  <c r="DS21"/>
  <c r="DX21" s="1"/>
  <c r="DH21"/>
  <c r="DK18"/>
  <c r="DL18" s="1"/>
  <c r="DT18" s="1"/>
  <c r="DP17"/>
  <c r="DL191"/>
  <c r="DL177"/>
  <c r="DT177" s="1"/>
  <c r="DL175"/>
  <c r="DT175" s="1"/>
  <c r="EA175" s="1"/>
  <c r="DL159"/>
  <c r="DT159" s="1"/>
  <c r="EA159" s="1"/>
  <c r="DL151"/>
  <c r="DL205"/>
  <c r="DT205" s="1"/>
  <c r="DL201"/>
  <c r="DT201" s="1"/>
  <c r="DL199"/>
  <c r="DT199" s="1"/>
  <c r="DT188"/>
  <c r="EA188" s="1"/>
  <c r="DL185"/>
  <c r="DT185" s="1"/>
  <c r="DL183"/>
  <c r="DT183" s="1"/>
  <c r="DT172"/>
  <c r="EA172" s="1"/>
  <c r="DL169"/>
  <c r="DT169" s="1"/>
  <c r="DL167"/>
  <c r="DT167" s="1"/>
  <c r="DL196"/>
  <c r="DT196" s="1"/>
  <c r="DT189"/>
  <c r="DT180"/>
  <c r="DT173"/>
  <c r="DS192"/>
  <c r="DX192" s="1"/>
  <c r="DS188"/>
  <c r="DX188" s="1"/>
  <c r="DS184"/>
  <c r="DX184" s="1"/>
  <c r="DS176"/>
  <c r="DX176" s="1"/>
  <c r="DS172"/>
  <c r="DX172" s="1"/>
  <c r="DS168"/>
  <c r="DX168" s="1"/>
  <c r="DS164"/>
  <c r="DX164" s="1"/>
  <c r="DS160"/>
  <c r="DX160" s="1"/>
  <c r="DP151"/>
  <c r="DQ146"/>
  <c r="DP144"/>
  <c r="DQ141"/>
  <c r="DH140"/>
  <c r="DL140" s="1"/>
  <c r="DT140" s="1"/>
  <c r="DQ138"/>
  <c r="DT130"/>
  <c r="DL128"/>
  <c r="DP121"/>
  <c r="DH120"/>
  <c r="DK117"/>
  <c r="DL110"/>
  <c r="DT110" s="1"/>
  <c r="DL101"/>
  <c r="DT101" s="1"/>
  <c r="EA101" s="1"/>
  <c r="DL94"/>
  <c r="DT94" s="1"/>
  <c r="EA94" s="1"/>
  <c r="DL92"/>
  <c r="DT92" s="1"/>
  <c r="DL85"/>
  <c r="DT85" s="1"/>
  <c r="DL78"/>
  <c r="DT78" s="1"/>
  <c r="DL76"/>
  <c r="DT76" s="1"/>
  <c r="DL60"/>
  <c r="DT60" s="1"/>
  <c r="DT45"/>
  <c r="DL36"/>
  <c r="DT36" s="1"/>
  <c r="DT29"/>
  <c r="DT22"/>
  <c r="EA22" s="1"/>
  <c r="DL12"/>
  <c r="DH156"/>
  <c r="DH153"/>
  <c r="DP148"/>
  <c r="DK145"/>
  <c r="DL142"/>
  <c r="DT142" s="1"/>
  <c r="DP141"/>
  <c r="DK137"/>
  <c r="DP136"/>
  <c r="DH133"/>
  <c r="DQ130"/>
  <c r="DP128"/>
  <c r="DH125"/>
  <c r="DH124"/>
  <c r="DQ122"/>
  <c r="DP120"/>
  <c r="DH117"/>
  <c r="DL114"/>
  <c r="DT112"/>
  <c r="DL105"/>
  <c r="DT105" s="1"/>
  <c r="EA105" s="1"/>
  <c r="DL98"/>
  <c r="DT98" s="1"/>
  <c r="EA98" s="1"/>
  <c r="DT96"/>
  <c r="DL89"/>
  <c r="DT89" s="1"/>
  <c r="EA89" s="1"/>
  <c r="DL82"/>
  <c r="DT82" s="1"/>
  <c r="EA82" s="1"/>
  <c r="DT80"/>
  <c r="EA80" s="1"/>
  <c r="DL73"/>
  <c r="DL66"/>
  <c r="DT66" s="1"/>
  <c r="EA66" s="1"/>
  <c r="DL57"/>
  <c r="DT57" s="1"/>
  <c r="EA57" s="1"/>
  <c r="DL53"/>
  <c r="DL49"/>
  <c r="DL42"/>
  <c r="DT42" s="1"/>
  <c r="EA42" s="1"/>
  <c r="DL40"/>
  <c r="DT40" s="1"/>
  <c r="DL33"/>
  <c r="DT33" s="1"/>
  <c r="EA33" s="1"/>
  <c r="DL26"/>
  <c r="DL24"/>
  <c r="DT24" s="1"/>
  <c r="DL17"/>
  <c r="DT17" s="1"/>
  <c r="DP153"/>
  <c r="DR152"/>
  <c r="DH152"/>
  <c r="DK149"/>
  <c r="DL149" s="1"/>
  <c r="DT149" s="1"/>
  <c r="DH145"/>
  <c r="DQ142"/>
  <c r="DH137"/>
  <c r="DL134"/>
  <c r="DP133"/>
  <c r="DH132"/>
  <c r="DK129"/>
  <c r="DL129" s="1"/>
  <c r="DT129" s="1"/>
  <c r="DL126"/>
  <c r="DT126" s="1"/>
  <c r="EA126" s="1"/>
  <c r="DP125"/>
  <c r="DL124"/>
  <c r="DK121"/>
  <c r="DL121" s="1"/>
  <c r="DT121" s="1"/>
  <c r="DL118"/>
  <c r="DT118" s="1"/>
  <c r="EA118" s="1"/>
  <c r="DP117"/>
  <c r="DL109"/>
  <c r="DT109" s="1"/>
  <c r="DL102"/>
  <c r="DT102" s="1"/>
  <c r="DL86"/>
  <c r="DT86" s="1"/>
  <c r="DT84"/>
  <c r="DL77"/>
  <c r="DT77" s="1"/>
  <c r="DL70"/>
  <c r="DT70" s="1"/>
  <c r="DT68"/>
  <c r="EA68" s="1"/>
  <c r="DL61"/>
  <c r="DT61" s="1"/>
  <c r="DT141"/>
  <c r="EA141" s="1"/>
  <c r="DL48"/>
  <c r="DT48" s="1"/>
  <c r="EA48" s="1"/>
  <c r="DL32"/>
  <c r="DT32" s="1"/>
  <c r="EA32" s="1"/>
  <c r="DL25"/>
  <c r="DT25" s="1"/>
  <c r="DL16"/>
  <c r="DT16" s="1"/>
  <c r="DL10"/>
  <c r="AE207" i="20"/>
  <c r="AF207" s="1"/>
  <c r="Q207"/>
  <c r="S207"/>
  <c r="U207"/>
  <c r="AB207" s="1"/>
  <c r="V206"/>
  <c r="N206"/>
  <c r="R208"/>
  <c r="W207"/>
  <c r="AG207" s="1"/>
  <c r="N207"/>
  <c r="V208"/>
  <c r="V207"/>
  <c r="R207"/>
  <c r="M207"/>
  <c r="P206"/>
  <c r="N208"/>
  <c r="AC207"/>
  <c r="T207"/>
  <c r="AA207" s="1"/>
  <c r="P207"/>
  <c r="K207"/>
  <c r="T206"/>
  <c r="AA206" s="1"/>
  <c r="L206"/>
  <c r="AE208"/>
  <c r="AF208" s="1"/>
  <c r="W208"/>
  <c r="AG208" s="1"/>
  <c r="K208"/>
  <c r="AC206"/>
  <c r="U206"/>
  <c r="AB206" s="1"/>
  <c r="Q206"/>
  <c r="M206"/>
  <c r="S208"/>
  <c r="T208"/>
  <c r="AA208" s="1"/>
  <c r="P208"/>
  <c r="L208"/>
  <c r="AC208"/>
  <c r="U208"/>
  <c r="AB208" s="1"/>
  <c r="Q208"/>
  <c r="AE206"/>
  <c r="AF206" s="1"/>
  <c r="W206"/>
  <c r="AG206" s="1"/>
  <c r="S206"/>
  <c r="U210"/>
  <c r="U8"/>
  <c r="U7"/>
  <c r="O210"/>
  <c r="Q7"/>
  <c r="I210"/>
  <c r="M7"/>
  <c r="Q8"/>
  <c r="L8"/>
  <c r="N8"/>
  <c r="L7"/>
  <c r="N7"/>
  <c r="M8"/>
  <c r="C10"/>
  <c r="G10"/>
  <c r="B11"/>
  <c r="F11"/>
  <c r="J11"/>
  <c r="E12"/>
  <c r="I12"/>
  <c r="D13"/>
  <c r="H13"/>
  <c r="C14"/>
  <c r="G14"/>
  <c r="B15"/>
  <c r="N15" s="1"/>
  <c r="F15"/>
  <c r="J15"/>
  <c r="E16"/>
  <c r="I16"/>
  <c r="D17"/>
  <c r="H17"/>
  <c r="C18"/>
  <c r="G18"/>
  <c r="B19"/>
  <c r="F19"/>
  <c r="J19"/>
  <c r="E20"/>
  <c r="I20"/>
  <c r="D21"/>
  <c r="H21"/>
  <c r="C22"/>
  <c r="G22"/>
  <c r="B23"/>
  <c r="F23"/>
  <c r="J23"/>
  <c r="E24"/>
  <c r="I24"/>
  <c r="D25"/>
  <c r="H25"/>
  <c r="C26"/>
  <c r="G26"/>
  <c r="B27"/>
  <c r="F27"/>
  <c r="J27"/>
  <c r="E28"/>
  <c r="I28"/>
  <c r="D29"/>
  <c r="H29"/>
  <c r="C30"/>
  <c r="G30"/>
  <c r="B31"/>
  <c r="W31" s="1"/>
  <c r="AG31" s="1"/>
  <c r="F31"/>
  <c r="J31"/>
  <c r="E32"/>
  <c r="I32"/>
  <c r="D33"/>
  <c r="H33"/>
  <c r="C34"/>
  <c r="G34"/>
  <c r="B35"/>
  <c r="F35"/>
  <c r="J35"/>
  <c r="E36"/>
  <c r="I36"/>
  <c r="D37"/>
  <c r="H37"/>
  <c r="C38"/>
  <c r="G38"/>
  <c r="B39"/>
  <c r="F39"/>
  <c r="J39"/>
  <c r="E40"/>
  <c r="I40"/>
  <c r="D41"/>
  <c r="H41"/>
  <c r="C42"/>
  <c r="G42"/>
  <c r="B43"/>
  <c r="F43"/>
  <c r="J43"/>
  <c r="E44"/>
  <c r="I44"/>
  <c r="D45"/>
  <c r="H45"/>
  <c r="C46"/>
  <c r="G46"/>
  <c r="B47"/>
  <c r="W47" s="1"/>
  <c r="AG47" s="1"/>
  <c r="F47"/>
  <c r="J47"/>
  <c r="E48"/>
  <c r="I48"/>
  <c r="D49"/>
  <c r="H49"/>
  <c r="C50"/>
  <c r="G50"/>
  <c r="B51"/>
  <c r="F51"/>
  <c r="J51"/>
  <c r="E52"/>
  <c r="I52"/>
  <c r="D53"/>
  <c r="H53"/>
  <c r="C54"/>
  <c r="G54"/>
  <c r="B55"/>
  <c r="F55"/>
  <c r="B10"/>
  <c r="M10" s="1"/>
  <c r="F10"/>
  <c r="J10"/>
  <c r="E11"/>
  <c r="I11"/>
  <c r="D12"/>
  <c r="H12"/>
  <c r="C13"/>
  <c r="G13"/>
  <c r="B14"/>
  <c r="F14"/>
  <c r="J14"/>
  <c r="E15"/>
  <c r="I15"/>
  <c r="D16"/>
  <c r="H16"/>
  <c r="C17"/>
  <c r="G17"/>
  <c r="B18"/>
  <c r="F18"/>
  <c r="J18"/>
  <c r="E19"/>
  <c r="I19"/>
  <c r="D20"/>
  <c r="H20"/>
  <c r="C21"/>
  <c r="G21"/>
  <c r="B22"/>
  <c r="F22"/>
  <c r="J22"/>
  <c r="E23"/>
  <c r="I23"/>
  <c r="D24"/>
  <c r="H24"/>
  <c r="C25"/>
  <c r="G25"/>
  <c r="B26"/>
  <c r="M26" s="1"/>
  <c r="F26"/>
  <c r="J26"/>
  <c r="E27"/>
  <c r="I27"/>
  <c r="D28"/>
  <c r="H28"/>
  <c r="C29"/>
  <c r="G29"/>
  <c r="B30"/>
  <c r="F30"/>
  <c r="J30"/>
  <c r="E31"/>
  <c r="I31"/>
  <c r="D32"/>
  <c r="H32"/>
  <c r="C33"/>
  <c r="G33"/>
  <c r="B34"/>
  <c r="F34"/>
  <c r="J34"/>
  <c r="E35"/>
  <c r="I35"/>
  <c r="D36"/>
  <c r="H36"/>
  <c r="C37"/>
  <c r="G37"/>
  <c r="B38"/>
  <c r="F38"/>
  <c r="J38"/>
  <c r="E39"/>
  <c r="I39"/>
  <c r="D40"/>
  <c r="H40"/>
  <c r="C41"/>
  <c r="G41"/>
  <c r="B42"/>
  <c r="M42" s="1"/>
  <c r="F42"/>
  <c r="J42"/>
  <c r="E43"/>
  <c r="I43"/>
  <c r="D44"/>
  <c r="H44"/>
  <c r="C45"/>
  <c r="G45"/>
  <c r="B46"/>
  <c r="F46"/>
  <c r="J46"/>
  <c r="E47"/>
  <c r="I47"/>
  <c r="D48"/>
  <c r="H48"/>
  <c r="C49"/>
  <c r="G49"/>
  <c r="B50"/>
  <c r="F50"/>
  <c r="J50"/>
  <c r="E51"/>
  <c r="I51"/>
  <c r="D52"/>
  <c r="H52"/>
  <c r="C53"/>
  <c r="G53"/>
  <c r="B54"/>
  <c r="F54"/>
  <c r="J54"/>
  <c r="E55"/>
  <c r="E10"/>
  <c r="I10"/>
  <c r="D11"/>
  <c r="H11"/>
  <c r="C12"/>
  <c r="G12"/>
  <c r="B13"/>
  <c r="F13"/>
  <c r="J13"/>
  <c r="E14"/>
  <c r="I14"/>
  <c r="D15"/>
  <c r="H15"/>
  <c r="C16"/>
  <c r="G16"/>
  <c r="B17"/>
  <c r="F17"/>
  <c r="J17"/>
  <c r="E18"/>
  <c r="I18"/>
  <c r="D19"/>
  <c r="H19"/>
  <c r="C20"/>
  <c r="G20"/>
  <c r="B21"/>
  <c r="F21"/>
  <c r="J21"/>
  <c r="E22"/>
  <c r="I22"/>
  <c r="D23"/>
  <c r="H23"/>
  <c r="C24"/>
  <c r="G24"/>
  <c r="B25"/>
  <c r="S25" s="1"/>
  <c r="F25"/>
  <c r="J25"/>
  <c r="E26"/>
  <c r="I26"/>
  <c r="D27"/>
  <c r="H27"/>
  <c r="C28"/>
  <c r="G28"/>
  <c r="B29"/>
  <c r="F29"/>
  <c r="J29"/>
  <c r="E30"/>
  <c r="I30"/>
  <c r="D31"/>
  <c r="H31"/>
  <c r="C32"/>
  <c r="G32"/>
  <c r="B33"/>
  <c r="F33"/>
  <c r="J33"/>
  <c r="E34"/>
  <c r="I34"/>
  <c r="D35"/>
  <c r="H35"/>
  <c r="C36"/>
  <c r="G36"/>
  <c r="B37"/>
  <c r="F37"/>
  <c r="J37"/>
  <c r="E38"/>
  <c r="I38"/>
  <c r="D39"/>
  <c r="H39"/>
  <c r="C40"/>
  <c r="G40"/>
  <c r="B41"/>
  <c r="S41" s="1"/>
  <c r="F41"/>
  <c r="J41"/>
  <c r="E42"/>
  <c r="I42"/>
  <c r="D43"/>
  <c r="H43"/>
  <c r="C44"/>
  <c r="G44"/>
  <c r="B45"/>
  <c r="F45"/>
  <c r="J45"/>
  <c r="E46"/>
  <c r="I46"/>
  <c r="D47"/>
  <c r="H47"/>
  <c r="C48"/>
  <c r="G48"/>
  <c r="B49"/>
  <c r="F49"/>
  <c r="J49"/>
  <c r="E50"/>
  <c r="I50"/>
  <c r="D51"/>
  <c r="H51"/>
  <c r="C52"/>
  <c r="G52"/>
  <c r="B53"/>
  <c r="F53"/>
  <c r="J53"/>
  <c r="E54"/>
  <c r="I54"/>
  <c r="D55"/>
  <c r="D10"/>
  <c r="H10"/>
  <c r="C11"/>
  <c r="G11"/>
  <c r="B12"/>
  <c r="F12"/>
  <c r="J12"/>
  <c r="E13"/>
  <c r="I13"/>
  <c r="D14"/>
  <c r="H14"/>
  <c r="C15"/>
  <c r="G15"/>
  <c r="B16"/>
  <c r="F16"/>
  <c r="J16"/>
  <c r="E17"/>
  <c r="I17"/>
  <c r="D18"/>
  <c r="H18"/>
  <c r="C19"/>
  <c r="G19"/>
  <c r="B20"/>
  <c r="F20"/>
  <c r="J20"/>
  <c r="E21"/>
  <c r="I21"/>
  <c r="D22"/>
  <c r="H22"/>
  <c r="C23"/>
  <c r="G23"/>
  <c r="B24"/>
  <c r="W24" s="1"/>
  <c r="AG24" s="1"/>
  <c r="F24"/>
  <c r="J24"/>
  <c r="E25"/>
  <c r="I25"/>
  <c r="D26"/>
  <c r="H26"/>
  <c r="C27"/>
  <c r="G27"/>
  <c r="B28"/>
  <c r="F28"/>
  <c r="J28"/>
  <c r="E29"/>
  <c r="I29"/>
  <c r="D30"/>
  <c r="H30"/>
  <c r="C31"/>
  <c r="G31"/>
  <c r="B32"/>
  <c r="F32"/>
  <c r="J32"/>
  <c r="E33"/>
  <c r="I33"/>
  <c r="D34"/>
  <c r="H34"/>
  <c r="C35"/>
  <c r="G35"/>
  <c r="B36"/>
  <c r="F36"/>
  <c r="J36"/>
  <c r="E37"/>
  <c r="I37"/>
  <c r="D38"/>
  <c r="H38"/>
  <c r="C39"/>
  <c r="G39"/>
  <c r="B40"/>
  <c r="W40" s="1"/>
  <c r="AG40" s="1"/>
  <c r="F40"/>
  <c r="J40"/>
  <c r="E41"/>
  <c r="I41"/>
  <c r="D42"/>
  <c r="H42"/>
  <c r="C43"/>
  <c r="G43"/>
  <c r="B44"/>
  <c r="F44"/>
  <c r="J44"/>
  <c r="E45"/>
  <c r="I45"/>
  <c r="D46"/>
  <c r="H46"/>
  <c r="C47"/>
  <c r="G47"/>
  <c r="B48"/>
  <c r="F48"/>
  <c r="J48"/>
  <c r="E49"/>
  <c r="I49"/>
  <c r="D50"/>
  <c r="H50"/>
  <c r="C51"/>
  <c r="G51"/>
  <c r="B52"/>
  <c r="F52"/>
  <c r="J52"/>
  <c r="E53"/>
  <c r="I53"/>
  <c r="D54"/>
  <c r="H54"/>
  <c r="C55"/>
  <c r="T8"/>
  <c r="P8"/>
  <c r="R8" s="1"/>
  <c r="P7"/>
  <c r="T7"/>
  <c r="B9"/>
  <c r="E9"/>
  <c r="I9"/>
  <c r="J205"/>
  <c r="F205"/>
  <c r="B205"/>
  <c r="V205" s="1"/>
  <c r="G204"/>
  <c r="C204"/>
  <c r="H203"/>
  <c r="D203"/>
  <c r="I202"/>
  <c r="E202"/>
  <c r="J201"/>
  <c r="F201"/>
  <c r="B201"/>
  <c r="G200"/>
  <c r="C200"/>
  <c r="H199"/>
  <c r="D199"/>
  <c r="I198"/>
  <c r="E198"/>
  <c r="J197"/>
  <c r="F197"/>
  <c r="B197"/>
  <c r="G196"/>
  <c r="C196"/>
  <c r="H195"/>
  <c r="D195"/>
  <c r="I194"/>
  <c r="E194"/>
  <c r="J193"/>
  <c r="F193"/>
  <c r="B193"/>
  <c r="G192"/>
  <c r="C192"/>
  <c r="H191"/>
  <c r="D191"/>
  <c r="I190"/>
  <c r="E190"/>
  <c r="J189"/>
  <c r="F189"/>
  <c r="B189"/>
  <c r="V189" s="1"/>
  <c r="G188"/>
  <c r="C188"/>
  <c r="H187"/>
  <c r="D187"/>
  <c r="I186"/>
  <c r="E186"/>
  <c r="J185"/>
  <c r="F185"/>
  <c r="B185"/>
  <c r="G184"/>
  <c r="C184"/>
  <c r="H183"/>
  <c r="D183"/>
  <c r="I182"/>
  <c r="E182"/>
  <c r="J181"/>
  <c r="F181"/>
  <c r="B181"/>
  <c r="G180"/>
  <c r="C180"/>
  <c r="H179"/>
  <c r="D179"/>
  <c r="I178"/>
  <c r="E178"/>
  <c r="J177"/>
  <c r="F177"/>
  <c r="B177"/>
  <c r="G176"/>
  <c r="C176"/>
  <c r="H175"/>
  <c r="D175"/>
  <c r="I174"/>
  <c r="E174"/>
  <c r="J173"/>
  <c r="F173"/>
  <c r="B173"/>
  <c r="V173" s="1"/>
  <c r="G172"/>
  <c r="C172"/>
  <c r="H171"/>
  <c r="D171"/>
  <c r="I170"/>
  <c r="E170"/>
  <c r="J169"/>
  <c r="F169"/>
  <c r="B169"/>
  <c r="G168"/>
  <c r="C168"/>
  <c r="H167"/>
  <c r="D167"/>
  <c r="I166"/>
  <c r="E166"/>
  <c r="J165"/>
  <c r="F165"/>
  <c r="B165"/>
  <c r="G164"/>
  <c r="C164"/>
  <c r="H163"/>
  <c r="D163"/>
  <c r="I162"/>
  <c r="E162"/>
  <c r="J161"/>
  <c r="F161"/>
  <c r="B161"/>
  <c r="G160"/>
  <c r="C160"/>
  <c r="H159"/>
  <c r="D159"/>
  <c r="I158"/>
  <c r="E158"/>
  <c r="J157"/>
  <c r="F157"/>
  <c r="B157"/>
  <c r="V157" s="1"/>
  <c r="G156"/>
  <c r="C156"/>
  <c r="H155"/>
  <c r="D155"/>
  <c r="I154"/>
  <c r="E154"/>
  <c r="J153"/>
  <c r="F153"/>
  <c r="B153"/>
  <c r="G152"/>
  <c r="C152"/>
  <c r="H151"/>
  <c r="D151"/>
  <c r="I150"/>
  <c r="E150"/>
  <c r="J149"/>
  <c r="F149"/>
  <c r="B149"/>
  <c r="G148"/>
  <c r="C148"/>
  <c r="H147"/>
  <c r="D147"/>
  <c r="I146"/>
  <c r="E146"/>
  <c r="J145"/>
  <c r="F145"/>
  <c r="B145"/>
  <c r="G144"/>
  <c r="C144"/>
  <c r="H143"/>
  <c r="D143"/>
  <c r="I142"/>
  <c r="E142"/>
  <c r="J141"/>
  <c r="F141"/>
  <c r="B141"/>
  <c r="T141" s="1"/>
  <c r="G140"/>
  <c r="C140"/>
  <c r="H139"/>
  <c r="D139"/>
  <c r="I138"/>
  <c r="E138"/>
  <c r="J137"/>
  <c r="F137"/>
  <c r="B137"/>
  <c r="G136"/>
  <c r="C136"/>
  <c r="H135"/>
  <c r="D135"/>
  <c r="I134"/>
  <c r="E134"/>
  <c r="J133"/>
  <c r="F133"/>
  <c r="B133"/>
  <c r="G132"/>
  <c r="C132"/>
  <c r="H131"/>
  <c r="D131"/>
  <c r="I130"/>
  <c r="E130"/>
  <c r="J129"/>
  <c r="F129"/>
  <c r="B129"/>
  <c r="G128"/>
  <c r="C128"/>
  <c r="H127"/>
  <c r="D127"/>
  <c r="I126"/>
  <c r="E126"/>
  <c r="J125"/>
  <c r="F125"/>
  <c r="B125"/>
  <c r="V125" s="1"/>
  <c r="G124"/>
  <c r="C124"/>
  <c r="H123"/>
  <c r="D123"/>
  <c r="I122"/>
  <c r="E122"/>
  <c r="J121"/>
  <c r="F121"/>
  <c r="B121"/>
  <c r="G120"/>
  <c r="C120"/>
  <c r="H119"/>
  <c r="D119"/>
  <c r="I118"/>
  <c r="E118"/>
  <c r="J117"/>
  <c r="F117"/>
  <c r="B117"/>
  <c r="G116"/>
  <c r="C116"/>
  <c r="H115"/>
  <c r="D115"/>
  <c r="I114"/>
  <c r="E114"/>
  <c r="J113"/>
  <c r="F113"/>
  <c r="B113"/>
  <c r="G112"/>
  <c r="C112"/>
  <c r="H111"/>
  <c r="D111"/>
  <c r="I110"/>
  <c r="E110"/>
  <c r="J109"/>
  <c r="F109"/>
  <c r="B109"/>
  <c r="U109" s="1"/>
  <c r="G108"/>
  <c r="C108"/>
  <c r="H107"/>
  <c r="D107"/>
  <c r="I106"/>
  <c r="E106"/>
  <c r="J105"/>
  <c r="F105"/>
  <c r="B105"/>
  <c r="G104"/>
  <c r="C104"/>
  <c r="H103"/>
  <c r="D103"/>
  <c r="I102"/>
  <c r="E102"/>
  <c r="J101"/>
  <c r="F101"/>
  <c r="B101"/>
  <c r="G100"/>
  <c r="C100"/>
  <c r="H99"/>
  <c r="D99"/>
  <c r="I98"/>
  <c r="E98"/>
  <c r="J97"/>
  <c r="F97"/>
  <c r="B97"/>
  <c r="G96"/>
  <c r="C96"/>
  <c r="H95"/>
  <c r="D95"/>
  <c r="I94"/>
  <c r="E94"/>
  <c r="J93"/>
  <c r="F93"/>
  <c r="B93"/>
  <c r="V93" s="1"/>
  <c r="G92"/>
  <c r="C92"/>
  <c r="H91"/>
  <c r="D91"/>
  <c r="I90"/>
  <c r="E90"/>
  <c r="J89"/>
  <c r="F89"/>
  <c r="B89"/>
  <c r="G88"/>
  <c r="C88"/>
  <c r="H87"/>
  <c r="D87"/>
  <c r="I86"/>
  <c r="E86"/>
  <c r="J85"/>
  <c r="F85"/>
  <c r="B85"/>
  <c r="G84"/>
  <c r="C84"/>
  <c r="H83"/>
  <c r="D83"/>
  <c r="I82"/>
  <c r="E82"/>
  <c r="J81"/>
  <c r="F81"/>
  <c r="B81"/>
  <c r="G80"/>
  <c r="C80"/>
  <c r="H79"/>
  <c r="D79"/>
  <c r="I78"/>
  <c r="E78"/>
  <c r="J77"/>
  <c r="F77"/>
  <c r="B77"/>
  <c r="V77" s="1"/>
  <c r="G76"/>
  <c r="C76"/>
  <c r="H75"/>
  <c r="D75"/>
  <c r="I74"/>
  <c r="E74"/>
  <c r="J73"/>
  <c r="F73"/>
  <c r="B73"/>
  <c r="G72"/>
  <c r="C72"/>
  <c r="H71"/>
  <c r="D71"/>
  <c r="I70"/>
  <c r="E70"/>
  <c r="J69"/>
  <c r="F69"/>
  <c r="B69"/>
  <c r="G68"/>
  <c r="C68"/>
  <c r="H67"/>
  <c r="D67"/>
  <c r="I66"/>
  <c r="E66"/>
  <c r="J65"/>
  <c r="F65"/>
  <c r="B65"/>
  <c r="G64"/>
  <c r="C64"/>
  <c r="H63"/>
  <c r="D63"/>
  <c r="I62"/>
  <c r="E62"/>
  <c r="J61"/>
  <c r="F61"/>
  <c r="B61"/>
  <c r="T61" s="1"/>
  <c r="G60"/>
  <c r="C60"/>
  <c r="H59"/>
  <c r="D59"/>
  <c r="I58"/>
  <c r="E58"/>
  <c r="J57"/>
  <c r="F57"/>
  <c r="B57"/>
  <c r="G56"/>
  <c r="C56"/>
  <c r="H55"/>
  <c r="D9"/>
  <c r="H9"/>
  <c r="G205"/>
  <c r="C205"/>
  <c r="H204"/>
  <c r="D204"/>
  <c r="I203"/>
  <c r="E203"/>
  <c r="J202"/>
  <c r="F202"/>
  <c r="B202"/>
  <c r="G201"/>
  <c r="C201"/>
  <c r="H200"/>
  <c r="D200"/>
  <c r="I199"/>
  <c r="E199"/>
  <c r="J198"/>
  <c r="F198"/>
  <c r="B198"/>
  <c r="W198" s="1"/>
  <c r="AG198" s="1"/>
  <c r="G197"/>
  <c r="C197"/>
  <c r="H196"/>
  <c r="D196"/>
  <c r="I195"/>
  <c r="E195"/>
  <c r="J194"/>
  <c r="F194"/>
  <c r="B194"/>
  <c r="G193"/>
  <c r="C193"/>
  <c r="H192"/>
  <c r="D192"/>
  <c r="I191"/>
  <c r="E191"/>
  <c r="J190"/>
  <c r="F190"/>
  <c r="B190"/>
  <c r="G189"/>
  <c r="C189"/>
  <c r="H188"/>
  <c r="D188"/>
  <c r="I187"/>
  <c r="E187"/>
  <c r="J186"/>
  <c r="F186"/>
  <c r="B186"/>
  <c r="G185"/>
  <c r="C185"/>
  <c r="H184"/>
  <c r="D184"/>
  <c r="I183"/>
  <c r="E183"/>
  <c r="J182"/>
  <c r="F182"/>
  <c r="B182"/>
  <c r="W182" s="1"/>
  <c r="AG182" s="1"/>
  <c r="G181"/>
  <c r="C181"/>
  <c r="H180"/>
  <c r="D180"/>
  <c r="I179"/>
  <c r="E179"/>
  <c r="J178"/>
  <c r="F178"/>
  <c r="B178"/>
  <c r="G177"/>
  <c r="C177"/>
  <c r="H176"/>
  <c r="D176"/>
  <c r="I175"/>
  <c r="E175"/>
  <c r="J174"/>
  <c r="F174"/>
  <c r="B174"/>
  <c r="G173"/>
  <c r="C173"/>
  <c r="H172"/>
  <c r="D172"/>
  <c r="I171"/>
  <c r="E171"/>
  <c r="J170"/>
  <c r="F170"/>
  <c r="B170"/>
  <c r="G169"/>
  <c r="C169"/>
  <c r="H168"/>
  <c r="D168"/>
  <c r="I167"/>
  <c r="E167"/>
  <c r="J166"/>
  <c r="F166"/>
  <c r="B166"/>
  <c r="W166" s="1"/>
  <c r="AG166" s="1"/>
  <c r="G165"/>
  <c r="C165"/>
  <c r="H164"/>
  <c r="D164"/>
  <c r="I163"/>
  <c r="E163"/>
  <c r="J162"/>
  <c r="F162"/>
  <c r="B162"/>
  <c r="G161"/>
  <c r="C161"/>
  <c r="H160"/>
  <c r="D160"/>
  <c r="I159"/>
  <c r="E159"/>
  <c r="J158"/>
  <c r="F158"/>
  <c r="B158"/>
  <c r="G157"/>
  <c r="C157"/>
  <c r="H156"/>
  <c r="D156"/>
  <c r="I155"/>
  <c r="E155"/>
  <c r="J154"/>
  <c r="F154"/>
  <c r="B154"/>
  <c r="G153"/>
  <c r="C153"/>
  <c r="H152"/>
  <c r="D152"/>
  <c r="I151"/>
  <c r="E151"/>
  <c r="J150"/>
  <c r="F150"/>
  <c r="B150"/>
  <c r="W150" s="1"/>
  <c r="AG150" s="1"/>
  <c r="G149"/>
  <c r="C149"/>
  <c r="H148"/>
  <c r="D148"/>
  <c r="I147"/>
  <c r="E147"/>
  <c r="J146"/>
  <c r="F146"/>
  <c r="B146"/>
  <c r="G145"/>
  <c r="C145"/>
  <c r="H144"/>
  <c r="D144"/>
  <c r="I143"/>
  <c r="E143"/>
  <c r="J142"/>
  <c r="F142"/>
  <c r="B142"/>
  <c r="G141"/>
  <c r="C141"/>
  <c r="H140"/>
  <c r="D140"/>
  <c r="I139"/>
  <c r="E139"/>
  <c r="J138"/>
  <c r="F138"/>
  <c r="B138"/>
  <c r="G137"/>
  <c r="C137"/>
  <c r="H136"/>
  <c r="D136"/>
  <c r="I135"/>
  <c r="E135"/>
  <c r="J134"/>
  <c r="F134"/>
  <c r="B134"/>
  <c r="W134" s="1"/>
  <c r="AG134" s="1"/>
  <c r="G133"/>
  <c r="C133"/>
  <c r="H132"/>
  <c r="D132"/>
  <c r="I131"/>
  <c r="E131"/>
  <c r="J130"/>
  <c r="F130"/>
  <c r="B130"/>
  <c r="G129"/>
  <c r="C129"/>
  <c r="H128"/>
  <c r="D128"/>
  <c r="I127"/>
  <c r="E127"/>
  <c r="J126"/>
  <c r="F126"/>
  <c r="B126"/>
  <c r="G125"/>
  <c r="C125"/>
  <c r="H124"/>
  <c r="D124"/>
  <c r="I123"/>
  <c r="E123"/>
  <c r="J122"/>
  <c r="F122"/>
  <c r="B122"/>
  <c r="G121"/>
  <c r="C121"/>
  <c r="H120"/>
  <c r="D120"/>
  <c r="I119"/>
  <c r="E119"/>
  <c r="J118"/>
  <c r="F118"/>
  <c r="B118"/>
  <c r="W118" s="1"/>
  <c r="AG118" s="1"/>
  <c r="G117"/>
  <c r="C117"/>
  <c r="H116"/>
  <c r="D116"/>
  <c r="I115"/>
  <c r="E115"/>
  <c r="J114"/>
  <c r="F114"/>
  <c r="B114"/>
  <c r="G113"/>
  <c r="C113"/>
  <c r="H112"/>
  <c r="D112"/>
  <c r="I111"/>
  <c r="E111"/>
  <c r="J110"/>
  <c r="F110"/>
  <c r="B110"/>
  <c r="G109"/>
  <c r="C109"/>
  <c r="H108"/>
  <c r="D108"/>
  <c r="I107"/>
  <c r="E107"/>
  <c r="J106"/>
  <c r="F106"/>
  <c r="B106"/>
  <c r="G105"/>
  <c r="C105"/>
  <c r="H104"/>
  <c r="D104"/>
  <c r="I103"/>
  <c r="E103"/>
  <c r="J102"/>
  <c r="F102"/>
  <c r="B102"/>
  <c r="W102" s="1"/>
  <c r="AG102" s="1"/>
  <c r="G101"/>
  <c r="C101"/>
  <c r="H100"/>
  <c r="D100"/>
  <c r="I99"/>
  <c r="E99"/>
  <c r="J98"/>
  <c r="F98"/>
  <c r="B98"/>
  <c r="G97"/>
  <c r="C97"/>
  <c r="H96"/>
  <c r="D96"/>
  <c r="I95"/>
  <c r="E95"/>
  <c r="J94"/>
  <c r="F94"/>
  <c r="B94"/>
  <c r="G93"/>
  <c r="C93"/>
  <c r="H92"/>
  <c r="D92"/>
  <c r="I91"/>
  <c r="E91"/>
  <c r="J90"/>
  <c r="F90"/>
  <c r="B90"/>
  <c r="G89"/>
  <c r="C89"/>
  <c r="H88"/>
  <c r="D88"/>
  <c r="I87"/>
  <c r="E87"/>
  <c r="J86"/>
  <c r="F86"/>
  <c r="B86"/>
  <c r="W86" s="1"/>
  <c r="AG86" s="1"/>
  <c r="G85"/>
  <c r="C85"/>
  <c r="H84"/>
  <c r="D84"/>
  <c r="I83"/>
  <c r="E83"/>
  <c r="J82"/>
  <c r="F82"/>
  <c r="B82"/>
  <c r="G81"/>
  <c r="C81"/>
  <c r="H80"/>
  <c r="D80"/>
  <c r="I79"/>
  <c r="E79"/>
  <c r="J78"/>
  <c r="F78"/>
  <c r="B78"/>
  <c r="G77"/>
  <c r="C77"/>
  <c r="H76"/>
  <c r="D76"/>
  <c r="I75"/>
  <c r="E75"/>
  <c r="J74"/>
  <c r="F74"/>
  <c r="B74"/>
  <c r="G73"/>
  <c r="C73"/>
  <c r="H72"/>
  <c r="D72"/>
  <c r="I71"/>
  <c r="E71"/>
  <c r="J70"/>
  <c r="F70"/>
  <c r="B70"/>
  <c r="W70" s="1"/>
  <c r="AG70" s="1"/>
  <c r="G69"/>
  <c r="C69"/>
  <c r="H68"/>
  <c r="D68"/>
  <c r="I67"/>
  <c r="E67"/>
  <c r="J66"/>
  <c r="F66"/>
  <c r="B66"/>
  <c r="G65"/>
  <c r="C65"/>
  <c r="H64"/>
  <c r="D64"/>
  <c r="I63"/>
  <c r="E63"/>
  <c r="J62"/>
  <c r="F62"/>
  <c r="B62"/>
  <c r="G61"/>
  <c r="C61"/>
  <c r="H60"/>
  <c r="D60"/>
  <c r="I59"/>
  <c r="E59"/>
  <c r="J58"/>
  <c r="F58"/>
  <c r="B58"/>
  <c r="G57"/>
  <c r="C57"/>
  <c r="H56"/>
  <c r="D56"/>
  <c r="I55"/>
  <c r="C9"/>
  <c r="G9"/>
  <c r="H205"/>
  <c r="D205"/>
  <c r="I204"/>
  <c r="E204"/>
  <c r="J203"/>
  <c r="F203"/>
  <c r="B203"/>
  <c r="G202"/>
  <c r="C202"/>
  <c r="H201"/>
  <c r="D201"/>
  <c r="I200"/>
  <c r="E200"/>
  <c r="J199"/>
  <c r="F199"/>
  <c r="B199"/>
  <c r="G198"/>
  <c r="C198"/>
  <c r="H197"/>
  <c r="D197"/>
  <c r="I196"/>
  <c r="E196"/>
  <c r="J195"/>
  <c r="F195"/>
  <c r="B195"/>
  <c r="G194"/>
  <c r="C194"/>
  <c r="H193"/>
  <c r="D193"/>
  <c r="I192"/>
  <c r="E192"/>
  <c r="J191"/>
  <c r="F191"/>
  <c r="B191"/>
  <c r="W191" s="1"/>
  <c r="AG191" s="1"/>
  <c r="G190"/>
  <c r="C190"/>
  <c r="H189"/>
  <c r="D189"/>
  <c r="I188"/>
  <c r="E188"/>
  <c r="J187"/>
  <c r="F187"/>
  <c r="B187"/>
  <c r="G186"/>
  <c r="C186"/>
  <c r="H185"/>
  <c r="D185"/>
  <c r="I184"/>
  <c r="E184"/>
  <c r="J183"/>
  <c r="F183"/>
  <c r="B183"/>
  <c r="G182"/>
  <c r="C182"/>
  <c r="H181"/>
  <c r="D181"/>
  <c r="I180"/>
  <c r="E180"/>
  <c r="J179"/>
  <c r="F179"/>
  <c r="B179"/>
  <c r="G178"/>
  <c r="C178"/>
  <c r="H177"/>
  <c r="D177"/>
  <c r="I176"/>
  <c r="E176"/>
  <c r="J175"/>
  <c r="F175"/>
  <c r="B175"/>
  <c r="W175" s="1"/>
  <c r="AG175" s="1"/>
  <c r="G174"/>
  <c r="C174"/>
  <c r="H173"/>
  <c r="D173"/>
  <c r="I172"/>
  <c r="E172"/>
  <c r="J171"/>
  <c r="F171"/>
  <c r="B171"/>
  <c r="G170"/>
  <c r="C170"/>
  <c r="H169"/>
  <c r="D169"/>
  <c r="I168"/>
  <c r="E168"/>
  <c r="J167"/>
  <c r="F167"/>
  <c r="B167"/>
  <c r="G166"/>
  <c r="C166"/>
  <c r="H165"/>
  <c r="D165"/>
  <c r="I164"/>
  <c r="E164"/>
  <c r="J163"/>
  <c r="F163"/>
  <c r="B163"/>
  <c r="G162"/>
  <c r="C162"/>
  <c r="H161"/>
  <c r="D161"/>
  <c r="I160"/>
  <c r="E160"/>
  <c r="J159"/>
  <c r="F159"/>
  <c r="B159"/>
  <c r="W159" s="1"/>
  <c r="AG159" s="1"/>
  <c r="G158"/>
  <c r="C158"/>
  <c r="H157"/>
  <c r="D157"/>
  <c r="I156"/>
  <c r="E156"/>
  <c r="J155"/>
  <c r="F155"/>
  <c r="B155"/>
  <c r="G154"/>
  <c r="C154"/>
  <c r="H153"/>
  <c r="D153"/>
  <c r="I152"/>
  <c r="E152"/>
  <c r="J151"/>
  <c r="F151"/>
  <c r="B151"/>
  <c r="G150"/>
  <c r="C150"/>
  <c r="H149"/>
  <c r="D149"/>
  <c r="I148"/>
  <c r="E148"/>
  <c r="J147"/>
  <c r="F147"/>
  <c r="B147"/>
  <c r="G146"/>
  <c r="C146"/>
  <c r="H145"/>
  <c r="D145"/>
  <c r="I144"/>
  <c r="E144"/>
  <c r="J143"/>
  <c r="F143"/>
  <c r="B143"/>
  <c r="W143" s="1"/>
  <c r="AG143" s="1"/>
  <c r="G142"/>
  <c r="C142"/>
  <c r="H141"/>
  <c r="D141"/>
  <c r="I140"/>
  <c r="E140"/>
  <c r="J139"/>
  <c r="F139"/>
  <c r="B139"/>
  <c r="G138"/>
  <c r="C138"/>
  <c r="H137"/>
  <c r="D137"/>
  <c r="I136"/>
  <c r="E136"/>
  <c r="J135"/>
  <c r="F135"/>
  <c r="B135"/>
  <c r="G134"/>
  <c r="C134"/>
  <c r="H133"/>
  <c r="D133"/>
  <c r="I132"/>
  <c r="E132"/>
  <c r="J131"/>
  <c r="F131"/>
  <c r="B131"/>
  <c r="G130"/>
  <c r="C130"/>
  <c r="H129"/>
  <c r="D129"/>
  <c r="I128"/>
  <c r="E128"/>
  <c r="J127"/>
  <c r="F127"/>
  <c r="B127"/>
  <c r="W127" s="1"/>
  <c r="AG127" s="1"/>
  <c r="G126"/>
  <c r="C126"/>
  <c r="H125"/>
  <c r="D125"/>
  <c r="I124"/>
  <c r="E124"/>
  <c r="J123"/>
  <c r="F123"/>
  <c r="B123"/>
  <c r="G122"/>
  <c r="C122"/>
  <c r="H121"/>
  <c r="D121"/>
  <c r="I120"/>
  <c r="E120"/>
  <c r="J119"/>
  <c r="F119"/>
  <c r="B119"/>
  <c r="G118"/>
  <c r="C118"/>
  <c r="H117"/>
  <c r="D117"/>
  <c r="I116"/>
  <c r="E116"/>
  <c r="J115"/>
  <c r="F115"/>
  <c r="B115"/>
  <c r="G114"/>
  <c r="C114"/>
  <c r="H113"/>
  <c r="D113"/>
  <c r="I112"/>
  <c r="E112"/>
  <c r="J111"/>
  <c r="F111"/>
  <c r="B111"/>
  <c r="W111" s="1"/>
  <c r="AG111" s="1"/>
  <c r="G110"/>
  <c r="C110"/>
  <c r="H109"/>
  <c r="D109"/>
  <c r="I108"/>
  <c r="E108"/>
  <c r="J107"/>
  <c r="F107"/>
  <c r="B107"/>
  <c r="G106"/>
  <c r="C106"/>
  <c r="H105"/>
  <c r="D105"/>
  <c r="I104"/>
  <c r="E104"/>
  <c r="J103"/>
  <c r="F103"/>
  <c r="B103"/>
  <c r="G102"/>
  <c r="C102"/>
  <c r="H101"/>
  <c r="D101"/>
  <c r="I100"/>
  <c r="E100"/>
  <c r="J99"/>
  <c r="F99"/>
  <c r="B99"/>
  <c r="G98"/>
  <c r="C98"/>
  <c r="H97"/>
  <c r="D97"/>
  <c r="I96"/>
  <c r="E96"/>
  <c r="J95"/>
  <c r="F95"/>
  <c r="B95"/>
  <c r="W95" s="1"/>
  <c r="AG95" s="1"/>
  <c r="G94"/>
  <c r="C94"/>
  <c r="H93"/>
  <c r="D93"/>
  <c r="I92"/>
  <c r="E92"/>
  <c r="J91"/>
  <c r="F91"/>
  <c r="B91"/>
  <c r="G90"/>
  <c r="C90"/>
  <c r="H89"/>
  <c r="D89"/>
  <c r="I88"/>
  <c r="E88"/>
  <c r="J87"/>
  <c r="F87"/>
  <c r="B87"/>
  <c r="G86"/>
  <c r="C86"/>
  <c r="H85"/>
  <c r="D85"/>
  <c r="I84"/>
  <c r="E84"/>
  <c r="J83"/>
  <c r="F83"/>
  <c r="B83"/>
  <c r="G82"/>
  <c r="C82"/>
  <c r="H81"/>
  <c r="D81"/>
  <c r="I80"/>
  <c r="E80"/>
  <c r="J79"/>
  <c r="F79"/>
  <c r="B79"/>
  <c r="W79" s="1"/>
  <c r="AG79" s="1"/>
  <c r="G78"/>
  <c r="C78"/>
  <c r="H77"/>
  <c r="D77"/>
  <c r="I76"/>
  <c r="E76"/>
  <c r="J75"/>
  <c r="F75"/>
  <c r="B75"/>
  <c r="G74"/>
  <c r="C74"/>
  <c r="H73"/>
  <c r="D73"/>
  <c r="I72"/>
  <c r="E72"/>
  <c r="J71"/>
  <c r="F71"/>
  <c r="B71"/>
  <c r="G70"/>
  <c r="C70"/>
  <c r="H69"/>
  <c r="D69"/>
  <c r="I68"/>
  <c r="E68"/>
  <c r="J67"/>
  <c r="F67"/>
  <c r="B67"/>
  <c r="G66"/>
  <c r="C66"/>
  <c r="H65"/>
  <c r="D65"/>
  <c r="I64"/>
  <c r="E64"/>
  <c r="J63"/>
  <c r="F63"/>
  <c r="B63"/>
  <c r="W63" s="1"/>
  <c r="AG63" s="1"/>
  <c r="G62"/>
  <c r="C62"/>
  <c r="H61"/>
  <c r="D61"/>
  <c r="I60"/>
  <c r="E60"/>
  <c r="J59"/>
  <c r="F59"/>
  <c r="B59"/>
  <c r="G58"/>
  <c r="C58"/>
  <c r="H57"/>
  <c r="D57"/>
  <c r="I56"/>
  <c r="E56"/>
  <c r="J55"/>
  <c r="F9"/>
  <c r="J9"/>
  <c r="I205"/>
  <c r="E205"/>
  <c r="J204"/>
  <c r="F204"/>
  <c r="B204"/>
  <c r="G203"/>
  <c r="C203"/>
  <c r="H202"/>
  <c r="D202"/>
  <c r="I201"/>
  <c r="E201"/>
  <c r="J200"/>
  <c r="F200"/>
  <c r="B200"/>
  <c r="V200" s="1"/>
  <c r="G199"/>
  <c r="C199"/>
  <c r="H198"/>
  <c r="D198"/>
  <c r="I197"/>
  <c r="E197"/>
  <c r="J196"/>
  <c r="F196"/>
  <c r="B196"/>
  <c r="G195"/>
  <c r="C195"/>
  <c r="H194"/>
  <c r="D194"/>
  <c r="I193"/>
  <c r="E193"/>
  <c r="J192"/>
  <c r="F192"/>
  <c r="B192"/>
  <c r="G191"/>
  <c r="C191"/>
  <c r="H190"/>
  <c r="D190"/>
  <c r="I189"/>
  <c r="E189"/>
  <c r="J188"/>
  <c r="F188"/>
  <c r="B188"/>
  <c r="G187"/>
  <c r="C187"/>
  <c r="H186"/>
  <c r="D186"/>
  <c r="I185"/>
  <c r="E185"/>
  <c r="J184"/>
  <c r="F184"/>
  <c r="B184"/>
  <c r="V184" s="1"/>
  <c r="G183"/>
  <c r="C183"/>
  <c r="H182"/>
  <c r="D182"/>
  <c r="I181"/>
  <c r="E181"/>
  <c r="J180"/>
  <c r="F180"/>
  <c r="B180"/>
  <c r="G179"/>
  <c r="C179"/>
  <c r="H178"/>
  <c r="D178"/>
  <c r="I177"/>
  <c r="E177"/>
  <c r="J176"/>
  <c r="F176"/>
  <c r="B176"/>
  <c r="G175"/>
  <c r="C175"/>
  <c r="H174"/>
  <c r="D174"/>
  <c r="I173"/>
  <c r="E173"/>
  <c r="J172"/>
  <c r="F172"/>
  <c r="B172"/>
  <c r="G171"/>
  <c r="C171"/>
  <c r="H170"/>
  <c r="D170"/>
  <c r="I169"/>
  <c r="E169"/>
  <c r="J168"/>
  <c r="F168"/>
  <c r="B168"/>
  <c r="V168" s="1"/>
  <c r="G167"/>
  <c r="C167"/>
  <c r="H166"/>
  <c r="D166"/>
  <c r="I165"/>
  <c r="E165"/>
  <c r="J164"/>
  <c r="F164"/>
  <c r="B164"/>
  <c r="G163"/>
  <c r="C163"/>
  <c r="H162"/>
  <c r="D162"/>
  <c r="I161"/>
  <c r="E161"/>
  <c r="J160"/>
  <c r="F160"/>
  <c r="B160"/>
  <c r="G159"/>
  <c r="C159"/>
  <c r="H158"/>
  <c r="D158"/>
  <c r="I157"/>
  <c r="E157"/>
  <c r="J156"/>
  <c r="F156"/>
  <c r="B156"/>
  <c r="G155"/>
  <c r="C155"/>
  <c r="H154"/>
  <c r="D154"/>
  <c r="I153"/>
  <c r="E153"/>
  <c r="J152"/>
  <c r="F152"/>
  <c r="B152"/>
  <c r="V152" s="1"/>
  <c r="G151"/>
  <c r="C151"/>
  <c r="H150"/>
  <c r="D150"/>
  <c r="I149"/>
  <c r="E149"/>
  <c r="J148"/>
  <c r="F148"/>
  <c r="B148"/>
  <c r="G147"/>
  <c r="C147"/>
  <c r="H146"/>
  <c r="D146"/>
  <c r="I145"/>
  <c r="E145"/>
  <c r="J144"/>
  <c r="F144"/>
  <c r="B144"/>
  <c r="U144" s="1"/>
  <c r="G143"/>
  <c r="C143"/>
  <c r="H142"/>
  <c r="D142"/>
  <c r="I141"/>
  <c r="E141"/>
  <c r="J140"/>
  <c r="F140"/>
  <c r="B140"/>
  <c r="G139"/>
  <c r="C139"/>
  <c r="H138"/>
  <c r="D138"/>
  <c r="I137"/>
  <c r="E137"/>
  <c r="J136"/>
  <c r="F136"/>
  <c r="B136"/>
  <c r="V136" s="1"/>
  <c r="G135"/>
  <c r="C135"/>
  <c r="H134"/>
  <c r="D134"/>
  <c r="I133"/>
  <c r="E133"/>
  <c r="J132"/>
  <c r="F132"/>
  <c r="B132"/>
  <c r="G131"/>
  <c r="C131"/>
  <c r="H130"/>
  <c r="D130"/>
  <c r="I129"/>
  <c r="E129"/>
  <c r="J128"/>
  <c r="F128"/>
  <c r="B128"/>
  <c r="U128" s="1"/>
  <c r="G127"/>
  <c r="C127"/>
  <c r="H126"/>
  <c r="D126"/>
  <c r="I125"/>
  <c r="E125"/>
  <c r="J124"/>
  <c r="F124"/>
  <c r="B124"/>
  <c r="G123"/>
  <c r="C123"/>
  <c r="H122"/>
  <c r="D122"/>
  <c r="I121"/>
  <c r="E121"/>
  <c r="J120"/>
  <c r="F120"/>
  <c r="B120"/>
  <c r="V120" s="1"/>
  <c r="G119"/>
  <c r="C119"/>
  <c r="H118"/>
  <c r="D118"/>
  <c r="I117"/>
  <c r="E117"/>
  <c r="J116"/>
  <c r="F116"/>
  <c r="B116"/>
  <c r="G115"/>
  <c r="C115"/>
  <c r="H114"/>
  <c r="D114"/>
  <c r="I113"/>
  <c r="E113"/>
  <c r="J112"/>
  <c r="F112"/>
  <c r="B112"/>
  <c r="W112" s="1"/>
  <c r="AG112" s="1"/>
  <c r="G111"/>
  <c r="C111"/>
  <c r="H110"/>
  <c r="D110"/>
  <c r="I109"/>
  <c r="E109"/>
  <c r="J108"/>
  <c r="F108"/>
  <c r="B108"/>
  <c r="G107"/>
  <c r="C107"/>
  <c r="H106"/>
  <c r="D106"/>
  <c r="I105"/>
  <c r="E105"/>
  <c r="J104"/>
  <c r="F104"/>
  <c r="B104"/>
  <c r="T104" s="1"/>
  <c r="G103"/>
  <c r="C103"/>
  <c r="H102"/>
  <c r="D102"/>
  <c r="I101"/>
  <c r="E101"/>
  <c r="J100"/>
  <c r="F100"/>
  <c r="B100"/>
  <c r="G99"/>
  <c r="C99"/>
  <c r="H98"/>
  <c r="D98"/>
  <c r="I97"/>
  <c r="E97"/>
  <c r="J96"/>
  <c r="F96"/>
  <c r="B96"/>
  <c r="U96" s="1"/>
  <c r="G95"/>
  <c r="C95"/>
  <c r="H94"/>
  <c r="D94"/>
  <c r="I93"/>
  <c r="E93"/>
  <c r="J92"/>
  <c r="F92"/>
  <c r="B92"/>
  <c r="G91"/>
  <c r="C91"/>
  <c r="H90"/>
  <c r="D90"/>
  <c r="I89"/>
  <c r="E89"/>
  <c r="J88"/>
  <c r="F88"/>
  <c r="B88"/>
  <c r="V88" s="1"/>
  <c r="G87"/>
  <c r="C87"/>
  <c r="H86"/>
  <c r="D86"/>
  <c r="I85"/>
  <c r="E85"/>
  <c r="J84"/>
  <c r="F84"/>
  <c r="B84"/>
  <c r="G83"/>
  <c r="C83"/>
  <c r="H82"/>
  <c r="D82"/>
  <c r="I81"/>
  <c r="E81"/>
  <c r="J80"/>
  <c r="F80"/>
  <c r="B80"/>
  <c r="U80" s="1"/>
  <c r="G79"/>
  <c r="C79"/>
  <c r="H78"/>
  <c r="D78"/>
  <c r="I77"/>
  <c r="E77"/>
  <c r="J76"/>
  <c r="F76"/>
  <c r="B76"/>
  <c r="W76" s="1"/>
  <c r="AG76" s="1"/>
  <c r="G75"/>
  <c r="C75"/>
  <c r="H74"/>
  <c r="D74"/>
  <c r="I73"/>
  <c r="E73"/>
  <c r="J72"/>
  <c r="F72"/>
  <c r="B72"/>
  <c r="W72" s="1"/>
  <c r="AG72" s="1"/>
  <c r="G71"/>
  <c r="C71"/>
  <c r="H70"/>
  <c r="D70"/>
  <c r="I69"/>
  <c r="E69"/>
  <c r="J68"/>
  <c r="F68"/>
  <c r="B68"/>
  <c r="G67"/>
  <c r="C67"/>
  <c r="H66"/>
  <c r="D66"/>
  <c r="I65"/>
  <c r="E65"/>
  <c r="J64"/>
  <c r="F64"/>
  <c r="B64"/>
  <c r="W64" s="1"/>
  <c r="AG64" s="1"/>
  <c r="G63"/>
  <c r="C63"/>
  <c r="H62"/>
  <c r="D62"/>
  <c r="I61"/>
  <c r="E61"/>
  <c r="J60"/>
  <c r="F60"/>
  <c r="B60"/>
  <c r="W60" s="1"/>
  <c r="AG60" s="1"/>
  <c r="G59"/>
  <c r="C59"/>
  <c r="H58"/>
  <c r="D58"/>
  <c r="I57"/>
  <c r="E57"/>
  <c r="J56"/>
  <c r="F56"/>
  <c r="B56"/>
  <c r="V56" s="1"/>
  <c r="G55"/>
  <c r="W202"/>
  <c r="AG202" s="1"/>
  <c r="W194"/>
  <c r="AG194" s="1"/>
  <c r="W190"/>
  <c r="AG190" s="1"/>
  <c r="W186"/>
  <c r="AG186" s="1"/>
  <c r="W178"/>
  <c r="AG178" s="1"/>
  <c r="W174"/>
  <c r="AG174" s="1"/>
  <c r="W170"/>
  <c r="AG170" s="1"/>
  <c r="W162"/>
  <c r="AG162" s="1"/>
  <c r="W158"/>
  <c r="AG158" s="1"/>
  <c r="W154"/>
  <c r="AG154" s="1"/>
  <c r="W146"/>
  <c r="AG146" s="1"/>
  <c r="W142"/>
  <c r="AG142" s="1"/>
  <c r="W138"/>
  <c r="AG138" s="1"/>
  <c r="W130"/>
  <c r="AG130" s="1"/>
  <c r="W126"/>
  <c r="AG126" s="1"/>
  <c r="W122"/>
  <c r="AG122" s="1"/>
  <c r="W114"/>
  <c r="AG114" s="1"/>
  <c r="W110"/>
  <c r="AG110" s="1"/>
  <c r="W106"/>
  <c r="AG106" s="1"/>
  <c r="W98"/>
  <c r="AG98" s="1"/>
  <c r="W94"/>
  <c r="AG94" s="1"/>
  <c r="W90"/>
  <c r="AG90" s="1"/>
  <c r="W82"/>
  <c r="AG82" s="1"/>
  <c r="W78"/>
  <c r="AG78" s="1"/>
  <c r="W74"/>
  <c r="AG74" s="1"/>
  <c r="W66"/>
  <c r="AG66" s="1"/>
  <c r="W62"/>
  <c r="AG62" s="1"/>
  <c r="W58"/>
  <c r="AG58" s="1"/>
  <c r="W54"/>
  <c r="AG54" s="1"/>
  <c r="W50"/>
  <c r="AG50" s="1"/>
  <c r="W46"/>
  <c r="AG46" s="1"/>
  <c r="W38"/>
  <c r="AG38" s="1"/>
  <c r="W34"/>
  <c r="AG34" s="1"/>
  <c r="W30"/>
  <c r="AG30" s="1"/>
  <c r="W22"/>
  <c r="AG22" s="1"/>
  <c r="W203"/>
  <c r="AG203" s="1"/>
  <c r="W199"/>
  <c r="AG199" s="1"/>
  <c r="W195"/>
  <c r="AG195" s="1"/>
  <c r="W187"/>
  <c r="AG187" s="1"/>
  <c r="W183"/>
  <c r="AG183" s="1"/>
  <c r="W179"/>
  <c r="AG179" s="1"/>
  <c r="W171"/>
  <c r="AG171" s="1"/>
  <c r="W167"/>
  <c r="AG167" s="1"/>
  <c r="W163"/>
  <c r="AG163" s="1"/>
  <c r="W155"/>
  <c r="AG155" s="1"/>
  <c r="W151"/>
  <c r="AG151" s="1"/>
  <c r="W147"/>
  <c r="AG147" s="1"/>
  <c r="W139"/>
  <c r="AG139" s="1"/>
  <c r="W135"/>
  <c r="AG135" s="1"/>
  <c r="W131"/>
  <c r="AG131" s="1"/>
  <c r="W123"/>
  <c r="AG123" s="1"/>
  <c r="W119"/>
  <c r="AG119" s="1"/>
  <c r="W115"/>
  <c r="AG115" s="1"/>
  <c r="W107"/>
  <c r="AG107" s="1"/>
  <c r="W103"/>
  <c r="AG103" s="1"/>
  <c r="W99"/>
  <c r="AG99" s="1"/>
  <c r="W91"/>
  <c r="AG91" s="1"/>
  <c r="W87"/>
  <c r="AG87" s="1"/>
  <c r="W83"/>
  <c r="AG83" s="1"/>
  <c r="W75"/>
  <c r="AG75" s="1"/>
  <c r="W71"/>
  <c r="AG71" s="1"/>
  <c r="W67"/>
  <c r="AG67" s="1"/>
  <c r="W59"/>
  <c r="AG59" s="1"/>
  <c r="W55"/>
  <c r="AG55" s="1"/>
  <c r="W51"/>
  <c r="AG51" s="1"/>
  <c r="W43"/>
  <c r="AG43" s="1"/>
  <c r="W39"/>
  <c r="AG39" s="1"/>
  <c r="W35"/>
  <c r="AG35" s="1"/>
  <c r="W27"/>
  <c r="AG27" s="1"/>
  <c r="W23"/>
  <c r="AG23" s="1"/>
  <c r="W204"/>
  <c r="AG204" s="1"/>
  <c r="W196"/>
  <c r="AG196" s="1"/>
  <c r="W192"/>
  <c r="AG192" s="1"/>
  <c r="W188"/>
  <c r="AG188" s="1"/>
  <c r="W180"/>
  <c r="AG180" s="1"/>
  <c r="W176"/>
  <c r="AG176" s="1"/>
  <c r="W172"/>
  <c r="AG172" s="1"/>
  <c r="W164"/>
  <c r="AG164" s="1"/>
  <c r="W160"/>
  <c r="AG160" s="1"/>
  <c r="W156"/>
  <c r="AG156" s="1"/>
  <c r="W148"/>
  <c r="AG148" s="1"/>
  <c r="W140"/>
  <c r="AG140" s="1"/>
  <c r="W132"/>
  <c r="AG132" s="1"/>
  <c r="W124"/>
  <c r="AG124" s="1"/>
  <c r="W116"/>
  <c r="AG116" s="1"/>
  <c r="W108"/>
  <c r="AG108" s="1"/>
  <c r="W100"/>
  <c r="AG100" s="1"/>
  <c r="W92"/>
  <c r="AG92" s="1"/>
  <c r="W52"/>
  <c r="AG52" s="1"/>
  <c r="W48"/>
  <c r="AG48" s="1"/>
  <c r="W44"/>
  <c r="AG44" s="1"/>
  <c r="W36"/>
  <c r="AG36" s="1"/>
  <c r="W32"/>
  <c r="AG32" s="1"/>
  <c r="W28"/>
  <c r="AG28" s="1"/>
  <c r="W20"/>
  <c r="AG20" s="1"/>
  <c r="W201"/>
  <c r="AG201" s="1"/>
  <c r="W197"/>
  <c r="AG197" s="1"/>
  <c r="W193"/>
  <c r="AG193" s="1"/>
  <c r="W185"/>
  <c r="AG185" s="1"/>
  <c r="W181"/>
  <c r="AG181" s="1"/>
  <c r="W177"/>
  <c r="AG177" s="1"/>
  <c r="W169"/>
  <c r="AG169" s="1"/>
  <c r="W165"/>
  <c r="AG165" s="1"/>
  <c r="W161"/>
  <c r="AG161" s="1"/>
  <c r="W153"/>
  <c r="AG153" s="1"/>
  <c r="W149"/>
  <c r="AG149" s="1"/>
  <c r="W145"/>
  <c r="AG145" s="1"/>
  <c r="W137"/>
  <c r="AG137" s="1"/>
  <c r="W133"/>
  <c r="AG133" s="1"/>
  <c r="W129"/>
  <c r="AG129" s="1"/>
  <c r="W121"/>
  <c r="AG121" s="1"/>
  <c r="W117"/>
  <c r="AG117" s="1"/>
  <c r="W113"/>
  <c r="AG113" s="1"/>
  <c r="W105"/>
  <c r="AG105" s="1"/>
  <c r="W101"/>
  <c r="AG101" s="1"/>
  <c r="W97"/>
  <c r="AG97" s="1"/>
  <c r="W89"/>
  <c r="AG89" s="1"/>
  <c r="W85"/>
  <c r="AG85" s="1"/>
  <c r="W81"/>
  <c r="AG81" s="1"/>
  <c r="W73"/>
  <c r="AG73" s="1"/>
  <c r="W69"/>
  <c r="AG69" s="1"/>
  <c r="W65"/>
  <c r="AG65" s="1"/>
  <c r="W57"/>
  <c r="AG57" s="1"/>
  <c r="W53"/>
  <c r="AG53" s="1"/>
  <c r="W49"/>
  <c r="AG49" s="1"/>
  <c r="W45"/>
  <c r="AG45" s="1"/>
  <c r="W37"/>
  <c r="AG37" s="1"/>
  <c r="W33"/>
  <c r="AG33" s="1"/>
  <c r="W29"/>
  <c r="AG29" s="1"/>
  <c r="W21"/>
  <c r="AG21" s="1"/>
  <c r="U203"/>
  <c r="T202"/>
  <c r="S201"/>
  <c r="U199"/>
  <c r="S197"/>
  <c r="U195"/>
  <c r="T194"/>
  <c r="S193"/>
  <c r="T190"/>
  <c r="U187"/>
  <c r="T186"/>
  <c r="S185"/>
  <c r="U183"/>
  <c r="S181"/>
  <c r="U179"/>
  <c r="T178"/>
  <c r="S177"/>
  <c r="T174"/>
  <c r="U171"/>
  <c r="T170"/>
  <c r="S169"/>
  <c r="U167"/>
  <c r="S165"/>
  <c r="U163"/>
  <c r="T162"/>
  <c r="S161"/>
  <c r="T158"/>
  <c r="U155"/>
  <c r="T154"/>
  <c r="S153"/>
  <c r="U151"/>
  <c r="S149"/>
  <c r="U147"/>
  <c r="T146"/>
  <c r="S145"/>
  <c r="T142"/>
  <c r="U139"/>
  <c r="T138"/>
  <c r="S137"/>
  <c r="U135"/>
  <c r="S133"/>
  <c r="U131"/>
  <c r="T130"/>
  <c r="S129"/>
  <c r="T126"/>
  <c r="U123"/>
  <c r="T122"/>
  <c r="S121"/>
  <c r="U119"/>
  <c r="S117"/>
  <c r="U115"/>
  <c r="T114"/>
  <c r="S113"/>
  <c r="T110"/>
  <c r="U107"/>
  <c r="T106"/>
  <c r="S105"/>
  <c r="U103"/>
  <c r="S101"/>
  <c r="U99"/>
  <c r="T98"/>
  <c r="S97"/>
  <c r="T94"/>
  <c r="U91"/>
  <c r="T90"/>
  <c r="S89"/>
  <c r="U87"/>
  <c r="S85"/>
  <c r="U83"/>
  <c r="T82"/>
  <c r="S81"/>
  <c r="T78"/>
  <c r="U75"/>
  <c r="T74"/>
  <c r="S73"/>
  <c r="U71"/>
  <c r="S69"/>
  <c r="U67"/>
  <c r="T66"/>
  <c r="S65"/>
  <c r="T62"/>
  <c r="U59"/>
  <c r="T58"/>
  <c r="S57"/>
  <c r="U55"/>
  <c r="T54"/>
  <c r="S53"/>
  <c r="U51"/>
  <c r="T50"/>
  <c r="S49"/>
  <c r="T46"/>
  <c r="S45"/>
  <c r="U43"/>
  <c r="U39"/>
  <c r="T38"/>
  <c r="S37"/>
  <c r="U35"/>
  <c r="T34"/>
  <c r="S33"/>
  <c r="T30"/>
  <c r="S29"/>
  <c r="U27"/>
  <c r="U23"/>
  <c r="T22"/>
  <c r="S21"/>
  <c r="U19"/>
  <c r="T18"/>
  <c r="T14"/>
  <c r="U11"/>
  <c r="V202"/>
  <c r="V194"/>
  <c r="V190"/>
  <c r="V186"/>
  <c r="V178"/>
  <c r="V174"/>
  <c r="V170"/>
  <c r="V162"/>
  <c r="V158"/>
  <c r="V154"/>
  <c r="V146"/>
  <c r="V142"/>
  <c r="V138"/>
  <c r="V130"/>
  <c r="V126"/>
  <c r="V122"/>
  <c r="V114"/>
  <c r="V110"/>
  <c r="V106"/>
  <c r="V98"/>
  <c r="V94"/>
  <c r="V90"/>
  <c r="V82"/>
  <c r="V78"/>
  <c r="V74"/>
  <c r="V66"/>
  <c r="V62"/>
  <c r="V58"/>
  <c r="V54"/>
  <c r="V50"/>
  <c r="V46"/>
  <c r="V38"/>
  <c r="V34"/>
  <c r="V30"/>
  <c r="V22"/>
  <c r="U9"/>
  <c r="S204"/>
  <c r="U202"/>
  <c r="T201"/>
  <c r="T197"/>
  <c r="S196"/>
  <c r="U194"/>
  <c r="T193"/>
  <c r="S192"/>
  <c r="U190"/>
  <c r="S188"/>
  <c r="U186"/>
  <c r="T185"/>
  <c r="T181"/>
  <c r="S180"/>
  <c r="U178"/>
  <c r="T177"/>
  <c r="S176"/>
  <c r="U174"/>
  <c r="S172"/>
  <c r="U170"/>
  <c r="T169"/>
  <c r="T165"/>
  <c r="S164"/>
  <c r="U162"/>
  <c r="T161"/>
  <c r="S160"/>
  <c r="U158"/>
  <c r="T157"/>
  <c r="S156"/>
  <c r="U154"/>
  <c r="T153"/>
  <c r="S152"/>
  <c r="T149"/>
  <c r="S148"/>
  <c r="U146"/>
  <c r="T145"/>
  <c r="U142"/>
  <c r="S140"/>
  <c r="U138"/>
  <c r="T137"/>
  <c r="T133"/>
  <c r="S132"/>
  <c r="U130"/>
  <c r="T129"/>
  <c r="S128"/>
  <c r="U126"/>
  <c r="S124"/>
  <c r="U122"/>
  <c r="T121"/>
  <c r="T117"/>
  <c r="S116"/>
  <c r="U114"/>
  <c r="T113"/>
  <c r="U110"/>
  <c r="S108"/>
  <c r="U106"/>
  <c r="T105"/>
  <c r="T101"/>
  <c r="S100"/>
  <c r="U98"/>
  <c r="T97"/>
  <c r="U94"/>
  <c r="S92"/>
  <c r="U90"/>
  <c r="T89"/>
  <c r="T85"/>
  <c r="S84"/>
  <c r="U82"/>
  <c r="T81"/>
  <c r="U78"/>
  <c r="S76"/>
  <c r="U74"/>
  <c r="T73"/>
  <c r="T69"/>
  <c r="S68"/>
  <c r="U66"/>
  <c r="T65"/>
  <c r="S64"/>
  <c r="U62"/>
  <c r="S60"/>
  <c r="U58"/>
  <c r="T57"/>
  <c r="U54"/>
  <c r="T53"/>
  <c r="S52"/>
  <c r="U50"/>
  <c r="T49"/>
  <c r="S48"/>
  <c r="U46"/>
  <c r="T45"/>
  <c r="S44"/>
  <c r="U42"/>
  <c r="U38"/>
  <c r="T37"/>
  <c r="S36"/>
  <c r="U34"/>
  <c r="T33"/>
  <c r="S32"/>
  <c r="U30"/>
  <c r="T29"/>
  <c r="S28"/>
  <c r="U22"/>
  <c r="T21"/>
  <c r="S20"/>
  <c r="U18"/>
  <c r="T17"/>
  <c r="U14"/>
  <c r="T13"/>
  <c r="V203"/>
  <c r="V199"/>
  <c r="V195"/>
  <c r="V187"/>
  <c r="V183"/>
  <c r="V179"/>
  <c r="V171"/>
  <c r="V167"/>
  <c r="V163"/>
  <c r="V155"/>
  <c r="V151"/>
  <c r="V147"/>
  <c r="V139"/>
  <c r="V135"/>
  <c r="V131"/>
  <c r="V123"/>
  <c r="V119"/>
  <c r="V115"/>
  <c r="V107"/>
  <c r="V103"/>
  <c r="V99"/>
  <c r="V91"/>
  <c r="V87"/>
  <c r="V83"/>
  <c r="V75"/>
  <c r="V71"/>
  <c r="V67"/>
  <c r="V59"/>
  <c r="V55"/>
  <c r="V51"/>
  <c r="V43"/>
  <c r="V39"/>
  <c r="V35"/>
  <c r="V27"/>
  <c r="V23"/>
  <c r="T9"/>
  <c r="T204"/>
  <c r="S203"/>
  <c r="U201"/>
  <c r="S199"/>
  <c r="U197"/>
  <c r="T196"/>
  <c r="S195"/>
  <c r="U193"/>
  <c r="T192"/>
  <c r="T188"/>
  <c r="S187"/>
  <c r="U185"/>
  <c r="S183"/>
  <c r="U181"/>
  <c r="T180"/>
  <c r="S179"/>
  <c r="U177"/>
  <c r="T176"/>
  <c r="T172"/>
  <c r="S171"/>
  <c r="U169"/>
  <c r="S167"/>
  <c r="U165"/>
  <c r="T164"/>
  <c r="S163"/>
  <c r="U161"/>
  <c r="T160"/>
  <c r="T156"/>
  <c r="S155"/>
  <c r="U153"/>
  <c r="S151"/>
  <c r="U149"/>
  <c r="T148"/>
  <c r="S147"/>
  <c r="U145"/>
  <c r="T140"/>
  <c r="S139"/>
  <c r="U137"/>
  <c r="S135"/>
  <c r="U133"/>
  <c r="T132"/>
  <c r="S131"/>
  <c r="U129"/>
  <c r="T124"/>
  <c r="S123"/>
  <c r="U121"/>
  <c r="S119"/>
  <c r="U117"/>
  <c r="T116"/>
  <c r="S115"/>
  <c r="U113"/>
  <c r="T108"/>
  <c r="S107"/>
  <c r="U105"/>
  <c r="S103"/>
  <c r="U101"/>
  <c r="T100"/>
  <c r="S99"/>
  <c r="U97"/>
  <c r="T92"/>
  <c r="S91"/>
  <c r="U89"/>
  <c r="S87"/>
  <c r="U85"/>
  <c r="T84"/>
  <c r="S83"/>
  <c r="U81"/>
  <c r="T80"/>
  <c r="T76"/>
  <c r="S75"/>
  <c r="U73"/>
  <c r="S71"/>
  <c r="U69"/>
  <c r="T68"/>
  <c r="S67"/>
  <c r="U65"/>
  <c r="T60"/>
  <c r="S59"/>
  <c r="U57"/>
  <c r="S55"/>
  <c r="U53"/>
  <c r="T52"/>
  <c r="S51"/>
  <c r="U49"/>
  <c r="T48"/>
  <c r="U45"/>
  <c r="T44"/>
  <c r="S43"/>
  <c r="S39"/>
  <c r="U37"/>
  <c r="T36"/>
  <c r="S35"/>
  <c r="U33"/>
  <c r="T32"/>
  <c r="U29"/>
  <c r="T28"/>
  <c r="S27"/>
  <c r="S23"/>
  <c r="U21"/>
  <c r="T20"/>
  <c r="U17"/>
  <c r="T16"/>
  <c r="U13"/>
  <c r="T12"/>
  <c r="V204"/>
  <c r="V196"/>
  <c r="V192"/>
  <c r="V188"/>
  <c r="V180"/>
  <c r="V176"/>
  <c r="V172"/>
  <c r="V164"/>
  <c r="V160"/>
  <c r="V156"/>
  <c r="V148"/>
  <c r="V144"/>
  <c r="V140"/>
  <c r="V132"/>
  <c r="V128"/>
  <c r="V124"/>
  <c r="V116"/>
  <c r="V112"/>
  <c r="V108"/>
  <c r="V100"/>
  <c r="V96"/>
  <c r="V92"/>
  <c r="V84"/>
  <c r="V80"/>
  <c r="V76"/>
  <c r="V68"/>
  <c r="V64"/>
  <c r="V60"/>
  <c r="V52"/>
  <c r="V48"/>
  <c r="V44"/>
  <c r="V36"/>
  <c r="V32"/>
  <c r="V28"/>
  <c r="V20"/>
  <c r="U204"/>
  <c r="T203"/>
  <c r="S202"/>
  <c r="U200"/>
  <c r="T199"/>
  <c r="U196"/>
  <c r="T195"/>
  <c r="S194"/>
  <c r="U192"/>
  <c r="S190"/>
  <c r="U188"/>
  <c r="T187"/>
  <c r="S186"/>
  <c r="T183"/>
  <c r="U180"/>
  <c r="T179"/>
  <c r="S178"/>
  <c r="U176"/>
  <c r="S174"/>
  <c r="U172"/>
  <c r="T171"/>
  <c r="S170"/>
  <c r="U168"/>
  <c r="T167"/>
  <c r="U164"/>
  <c r="T163"/>
  <c r="S162"/>
  <c r="U160"/>
  <c r="S158"/>
  <c r="U156"/>
  <c r="T155"/>
  <c r="S154"/>
  <c r="T151"/>
  <c r="U148"/>
  <c r="T147"/>
  <c r="S146"/>
  <c r="S142"/>
  <c r="U140"/>
  <c r="T139"/>
  <c r="S138"/>
  <c r="T135"/>
  <c r="U132"/>
  <c r="T131"/>
  <c r="S130"/>
  <c r="S126"/>
  <c r="U124"/>
  <c r="T123"/>
  <c r="S122"/>
  <c r="T119"/>
  <c r="S118"/>
  <c r="U116"/>
  <c r="T115"/>
  <c r="S114"/>
  <c r="T111"/>
  <c r="S110"/>
  <c r="U108"/>
  <c r="T107"/>
  <c r="S106"/>
  <c r="T103"/>
  <c r="U100"/>
  <c r="T99"/>
  <c r="S98"/>
  <c r="S94"/>
  <c r="U92"/>
  <c r="T91"/>
  <c r="S90"/>
  <c r="T87"/>
  <c r="U84"/>
  <c r="T83"/>
  <c r="S82"/>
  <c r="S78"/>
  <c r="U76"/>
  <c r="T75"/>
  <c r="S74"/>
  <c r="T71"/>
  <c r="U68"/>
  <c r="T67"/>
  <c r="S66"/>
  <c r="S62"/>
  <c r="U60"/>
  <c r="T59"/>
  <c r="S58"/>
  <c r="T55"/>
  <c r="S54"/>
  <c r="U52"/>
  <c r="T51"/>
  <c r="S50"/>
  <c r="U48"/>
  <c r="S46"/>
  <c r="U44"/>
  <c r="T43"/>
  <c r="T39"/>
  <c r="S38"/>
  <c r="U36"/>
  <c r="T35"/>
  <c r="S34"/>
  <c r="U32"/>
  <c r="S30"/>
  <c r="U28"/>
  <c r="T27"/>
  <c r="T23"/>
  <c r="S22"/>
  <c r="U20"/>
  <c r="T19"/>
  <c r="U16"/>
  <c r="U12"/>
  <c r="T11"/>
  <c r="V201"/>
  <c r="V197"/>
  <c r="V193"/>
  <c r="V185"/>
  <c r="V181"/>
  <c r="V177"/>
  <c r="V169"/>
  <c r="V165"/>
  <c r="V161"/>
  <c r="V153"/>
  <c r="V149"/>
  <c r="V145"/>
  <c r="V137"/>
  <c r="V133"/>
  <c r="V129"/>
  <c r="V121"/>
  <c r="V117"/>
  <c r="V113"/>
  <c r="V105"/>
  <c r="V101"/>
  <c r="V97"/>
  <c r="V89"/>
  <c r="V85"/>
  <c r="V81"/>
  <c r="V73"/>
  <c r="V69"/>
  <c r="V65"/>
  <c r="V57"/>
  <c r="V53"/>
  <c r="V49"/>
  <c r="V45"/>
  <c r="V37"/>
  <c r="V33"/>
  <c r="V29"/>
  <c r="V21"/>
  <c r="R202"/>
  <c r="R194"/>
  <c r="R190"/>
  <c r="R186"/>
  <c r="R178"/>
  <c r="R174"/>
  <c r="R170"/>
  <c r="R162"/>
  <c r="R158"/>
  <c r="R154"/>
  <c r="R146"/>
  <c r="R142"/>
  <c r="R138"/>
  <c r="R130"/>
  <c r="R126"/>
  <c r="R122"/>
  <c r="R114"/>
  <c r="R110"/>
  <c r="R106"/>
  <c r="R98"/>
  <c r="R94"/>
  <c r="R90"/>
  <c r="R82"/>
  <c r="R78"/>
  <c r="R74"/>
  <c r="R66"/>
  <c r="R62"/>
  <c r="R58"/>
  <c r="R54"/>
  <c r="R50"/>
  <c r="R46"/>
  <c r="R38"/>
  <c r="R34"/>
  <c r="R30"/>
  <c r="R22"/>
  <c r="R203"/>
  <c r="R199"/>
  <c r="R195"/>
  <c r="R187"/>
  <c r="R183"/>
  <c r="R179"/>
  <c r="R171"/>
  <c r="R167"/>
  <c r="R163"/>
  <c r="R155"/>
  <c r="R151"/>
  <c r="R147"/>
  <c r="R139"/>
  <c r="R135"/>
  <c r="R131"/>
  <c r="R123"/>
  <c r="R119"/>
  <c r="R115"/>
  <c r="R107"/>
  <c r="R103"/>
  <c r="R99"/>
  <c r="R91"/>
  <c r="R87"/>
  <c r="R83"/>
  <c r="R75"/>
  <c r="R71"/>
  <c r="R67"/>
  <c r="R59"/>
  <c r="R55"/>
  <c r="R51"/>
  <c r="R43"/>
  <c r="R39"/>
  <c r="R35"/>
  <c r="R27"/>
  <c r="R23"/>
  <c r="R204"/>
  <c r="R196"/>
  <c r="R192"/>
  <c r="R188"/>
  <c r="R180"/>
  <c r="R176"/>
  <c r="R172"/>
  <c r="R164"/>
  <c r="R160"/>
  <c r="R156"/>
  <c r="R148"/>
  <c r="R140"/>
  <c r="R132"/>
  <c r="R124"/>
  <c r="R116"/>
  <c r="R108"/>
  <c r="R100"/>
  <c r="R92"/>
  <c r="R84"/>
  <c r="R76"/>
  <c r="R68"/>
  <c r="R60"/>
  <c r="R52"/>
  <c r="R48"/>
  <c r="R44"/>
  <c r="R36"/>
  <c r="R32"/>
  <c r="R28"/>
  <c r="R20"/>
  <c r="R201"/>
  <c r="R197"/>
  <c r="R193"/>
  <c r="R185"/>
  <c r="R181"/>
  <c r="R177"/>
  <c r="R169"/>
  <c r="R165"/>
  <c r="R161"/>
  <c r="R153"/>
  <c r="R149"/>
  <c r="R145"/>
  <c r="R137"/>
  <c r="R133"/>
  <c r="R129"/>
  <c r="R121"/>
  <c r="R117"/>
  <c r="R113"/>
  <c r="R105"/>
  <c r="R101"/>
  <c r="R97"/>
  <c r="R89"/>
  <c r="R85"/>
  <c r="R81"/>
  <c r="R73"/>
  <c r="R69"/>
  <c r="R65"/>
  <c r="R57"/>
  <c r="R53"/>
  <c r="R49"/>
  <c r="R45"/>
  <c r="R41"/>
  <c r="R37"/>
  <c r="R33"/>
  <c r="R29"/>
  <c r="R25"/>
  <c r="R21"/>
  <c r="P9"/>
  <c r="P204"/>
  <c r="P200"/>
  <c r="P196"/>
  <c r="P192"/>
  <c r="P188"/>
  <c r="P184"/>
  <c r="P180"/>
  <c r="P176"/>
  <c r="P172"/>
  <c r="P168"/>
  <c r="P164"/>
  <c r="P160"/>
  <c r="P156"/>
  <c r="P152"/>
  <c r="P148"/>
  <c r="P140"/>
  <c r="P132"/>
  <c r="P124"/>
  <c r="P116"/>
  <c r="P108"/>
  <c r="P100"/>
  <c r="P92"/>
  <c r="P84"/>
  <c r="P76"/>
  <c r="P68"/>
  <c r="P60"/>
  <c r="P52"/>
  <c r="P48"/>
  <c r="P44"/>
  <c r="P36"/>
  <c r="P32"/>
  <c r="P28"/>
  <c r="P20"/>
  <c r="P16"/>
  <c r="P12"/>
  <c r="Q201"/>
  <c r="Q197"/>
  <c r="Y197" s="1"/>
  <c r="Q193"/>
  <c r="Q185"/>
  <c r="Q181"/>
  <c r="Y181" s="1"/>
  <c r="Q177"/>
  <c r="Q169"/>
  <c r="Y169" s="1"/>
  <c r="Q165"/>
  <c r="Q161"/>
  <c r="Q153"/>
  <c r="Y153" s="1"/>
  <c r="Q149"/>
  <c r="Y149" s="1"/>
  <c r="Q145"/>
  <c r="Q137"/>
  <c r="Q133"/>
  <c r="Q129"/>
  <c r="Q121"/>
  <c r="Y121" s="1"/>
  <c r="Q117"/>
  <c r="Q113"/>
  <c r="Q105"/>
  <c r="Y105" s="1"/>
  <c r="Q101"/>
  <c r="Q97"/>
  <c r="Q89"/>
  <c r="Y89" s="1"/>
  <c r="Q85"/>
  <c r="Q81"/>
  <c r="Y81" s="1"/>
  <c r="Q73"/>
  <c r="Q69"/>
  <c r="Y69" s="1"/>
  <c r="Q65"/>
  <c r="Y65" s="1"/>
  <c r="Q57"/>
  <c r="Q53"/>
  <c r="Y53" s="1"/>
  <c r="Q49"/>
  <c r="Q45"/>
  <c r="Y45" s="1"/>
  <c r="Q37"/>
  <c r="Y37" s="1"/>
  <c r="Q33"/>
  <c r="Q29"/>
  <c r="Y29" s="1"/>
  <c r="Q21"/>
  <c r="Q17"/>
  <c r="Q13"/>
  <c r="P201"/>
  <c r="P197"/>
  <c r="P193"/>
  <c r="P185"/>
  <c r="P181"/>
  <c r="P177"/>
  <c r="P169"/>
  <c r="P165"/>
  <c r="P161"/>
  <c r="P153"/>
  <c r="P149"/>
  <c r="P145"/>
  <c r="P137"/>
  <c r="P133"/>
  <c r="P129"/>
  <c r="P121"/>
  <c r="P117"/>
  <c r="P113"/>
  <c r="P105"/>
  <c r="P101"/>
  <c r="P97"/>
  <c r="P89"/>
  <c r="P85"/>
  <c r="P81"/>
  <c r="P73"/>
  <c r="P69"/>
  <c r="P65"/>
  <c r="P57"/>
  <c r="P53"/>
  <c r="P49"/>
  <c r="P45"/>
  <c r="P37"/>
  <c r="P33"/>
  <c r="P29"/>
  <c r="P21"/>
  <c r="P17"/>
  <c r="P13"/>
  <c r="Q202"/>
  <c r="Y202" s="1"/>
  <c r="Q194"/>
  <c r="Q190"/>
  <c r="Y190" s="1"/>
  <c r="Q186"/>
  <c r="Q178"/>
  <c r="Q174"/>
  <c r="Y174" s="1"/>
  <c r="Q170"/>
  <c r="Q162"/>
  <c r="Q158"/>
  <c r="Y158" s="1"/>
  <c r="Q154"/>
  <c r="Y154" s="1"/>
  <c r="Q146"/>
  <c r="Q142"/>
  <c r="Y142" s="1"/>
  <c r="Q138"/>
  <c r="Y138" s="1"/>
  <c r="Q130"/>
  <c r="Y130" s="1"/>
  <c r="Q126"/>
  <c r="Y126" s="1"/>
  <c r="Q122"/>
  <c r="Q114"/>
  <c r="Q110"/>
  <c r="Q106"/>
  <c r="Q98"/>
  <c r="Q94"/>
  <c r="Q90"/>
  <c r="Q82"/>
  <c r="Q78"/>
  <c r="Q74"/>
  <c r="Y74" s="1"/>
  <c r="Q66"/>
  <c r="Q62"/>
  <c r="Y62" s="1"/>
  <c r="Q58"/>
  <c r="Q54"/>
  <c r="Q50"/>
  <c r="Y50" s="1"/>
  <c r="Q46"/>
  <c r="Q38"/>
  <c r="Q34"/>
  <c r="Y34" s="1"/>
  <c r="Q30"/>
  <c r="Q22"/>
  <c r="Q18"/>
  <c r="Y18" s="1"/>
  <c r="Q14"/>
  <c r="P202"/>
  <c r="P194"/>
  <c r="P190"/>
  <c r="P186"/>
  <c r="P178"/>
  <c r="P174"/>
  <c r="P170"/>
  <c r="P162"/>
  <c r="P158"/>
  <c r="P154"/>
  <c r="P146"/>
  <c r="P142"/>
  <c r="P138"/>
  <c r="P130"/>
  <c r="P126"/>
  <c r="P122"/>
  <c r="P114"/>
  <c r="P110"/>
  <c r="P106"/>
  <c r="P98"/>
  <c r="P94"/>
  <c r="P90"/>
  <c r="P82"/>
  <c r="P78"/>
  <c r="P74"/>
  <c r="P66"/>
  <c r="P62"/>
  <c r="P58"/>
  <c r="P54"/>
  <c r="P50"/>
  <c r="P46"/>
  <c r="P38"/>
  <c r="P34"/>
  <c r="P30"/>
  <c r="P22"/>
  <c r="P18"/>
  <c r="P14"/>
  <c r="Q203"/>
  <c r="Q199"/>
  <c r="Q195"/>
  <c r="Y195" s="1"/>
  <c r="Q187"/>
  <c r="Y187" s="1"/>
  <c r="Q183"/>
  <c r="Q179"/>
  <c r="Y179" s="1"/>
  <c r="Q171"/>
  <c r="Q167"/>
  <c r="Q163"/>
  <c r="Y163" s="1"/>
  <c r="Q155"/>
  <c r="Y155" s="1"/>
  <c r="Q151"/>
  <c r="Q147"/>
  <c r="Q139"/>
  <c r="Q135"/>
  <c r="Q131"/>
  <c r="Y131" s="1"/>
  <c r="Q123"/>
  <c r="Y123" s="1"/>
  <c r="Q119"/>
  <c r="Q115"/>
  <c r="Y115" s="1"/>
  <c r="Q107"/>
  <c r="Q103"/>
  <c r="Q99"/>
  <c r="Y99" s="1"/>
  <c r="Q91"/>
  <c r="Y91" s="1"/>
  <c r="Q87"/>
  <c r="Q83"/>
  <c r="Q75"/>
  <c r="Q71"/>
  <c r="Q67"/>
  <c r="Y67" s="1"/>
  <c r="Q59"/>
  <c r="Y59" s="1"/>
  <c r="Q55"/>
  <c r="Q51"/>
  <c r="Q43"/>
  <c r="Y43" s="1"/>
  <c r="Q39"/>
  <c r="Q35"/>
  <c r="Q27"/>
  <c r="Y27" s="1"/>
  <c r="Q23"/>
  <c r="Q19"/>
  <c r="Y19" s="1"/>
  <c r="Q11"/>
  <c r="Y11" s="1"/>
  <c r="P203"/>
  <c r="P199"/>
  <c r="P195"/>
  <c r="P187"/>
  <c r="P183"/>
  <c r="P179"/>
  <c r="P171"/>
  <c r="P167"/>
  <c r="P163"/>
  <c r="P155"/>
  <c r="P151"/>
  <c r="P147"/>
  <c r="P139"/>
  <c r="P135"/>
  <c r="P131"/>
  <c r="P123"/>
  <c r="P119"/>
  <c r="P115"/>
  <c r="P107"/>
  <c r="P103"/>
  <c r="P99"/>
  <c r="P91"/>
  <c r="P87"/>
  <c r="P83"/>
  <c r="P75"/>
  <c r="P71"/>
  <c r="P67"/>
  <c r="P59"/>
  <c r="P55"/>
  <c r="P51"/>
  <c r="P43"/>
  <c r="P39"/>
  <c r="P35"/>
  <c r="P27"/>
  <c r="P23"/>
  <c r="P19"/>
  <c r="P11"/>
  <c r="Q9"/>
  <c r="Q204"/>
  <c r="Q196"/>
  <c r="Q192"/>
  <c r="Q188"/>
  <c r="Y188" s="1"/>
  <c r="Q180"/>
  <c r="Q176"/>
  <c r="Y176" s="1"/>
  <c r="Q172"/>
  <c r="Y172" s="1"/>
  <c r="Q164"/>
  <c r="Q160"/>
  <c r="Y160" s="1"/>
  <c r="Q156"/>
  <c r="Y156" s="1"/>
  <c r="Q148"/>
  <c r="Q140"/>
  <c r="Q132"/>
  <c r="Q124"/>
  <c r="Y124" s="1"/>
  <c r="Q116"/>
  <c r="Q108"/>
  <c r="Y108" s="1"/>
  <c r="Q100"/>
  <c r="Q92"/>
  <c r="Y92" s="1"/>
  <c r="Q84"/>
  <c r="Q76"/>
  <c r="Y76" s="1"/>
  <c r="Q68"/>
  <c r="Q60"/>
  <c r="Y60" s="1"/>
  <c r="Q52"/>
  <c r="Q48"/>
  <c r="Q44"/>
  <c r="Y44" s="1"/>
  <c r="Q36"/>
  <c r="Q32"/>
  <c r="Q28"/>
  <c r="Y28" s="1"/>
  <c r="Q20"/>
  <c r="Q16"/>
  <c r="Q12"/>
  <c r="N204"/>
  <c r="M203"/>
  <c r="L202"/>
  <c r="M199"/>
  <c r="N196"/>
  <c r="M195"/>
  <c r="L194"/>
  <c r="N192"/>
  <c r="L190"/>
  <c r="N188"/>
  <c r="M187"/>
  <c r="L186"/>
  <c r="M183"/>
  <c r="N180"/>
  <c r="M179"/>
  <c r="L178"/>
  <c r="N176"/>
  <c r="L174"/>
  <c r="N172"/>
  <c r="M171"/>
  <c r="L170"/>
  <c r="M167"/>
  <c r="N164"/>
  <c r="M163"/>
  <c r="L162"/>
  <c r="N160"/>
  <c r="L158"/>
  <c r="N156"/>
  <c r="M155"/>
  <c r="L154"/>
  <c r="M151"/>
  <c r="N148"/>
  <c r="M147"/>
  <c r="L146"/>
  <c r="L142"/>
  <c r="N140"/>
  <c r="M139"/>
  <c r="L138"/>
  <c r="M135"/>
  <c r="N132"/>
  <c r="M131"/>
  <c r="L130"/>
  <c r="L126"/>
  <c r="N124"/>
  <c r="M123"/>
  <c r="L122"/>
  <c r="M119"/>
  <c r="N116"/>
  <c r="M115"/>
  <c r="L114"/>
  <c r="L110"/>
  <c r="N108"/>
  <c r="M107"/>
  <c r="L106"/>
  <c r="M103"/>
  <c r="N100"/>
  <c r="M99"/>
  <c r="L98"/>
  <c r="L94"/>
  <c r="N92"/>
  <c r="M91"/>
  <c r="L90"/>
  <c r="M87"/>
  <c r="N84"/>
  <c r="M83"/>
  <c r="L82"/>
  <c r="L78"/>
  <c r="N76"/>
  <c r="M75"/>
  <c r="L74"/>
  <c r="M71"/>
  <c r="L70"/>
  <c r="N68"/>
  <c r="M67"/>
  <c r="L66"/>
  <c r="M63"/>
  <c r="L62"/>
  <c r="N60"/>
  <c r="M59"/>
  <c r="L58"/>
  <c r="M55"/>
  <c r="L54"/>
  <c r="N52"/>
  <c r="M51"/>
  <c r="L50"/>
  <c r="N48"/>
  <c r="L46"/>
  <c r="N44"/>
  <c r="M43"/>
  <c r="M39"/>
  <c r="L38"/>
  <c r="N36"/>
  <c r="M35"/>
  <c r="L34"/>
  <c r="N32"/>
  <c r="L30"/>
  <c r="N28"/>
  <c r="M27"/>
  <c r="M23"/>
  <c r="L22"/>
  <c r="N20"/>
  <c r="M19"/>
  <c r="L18"/>
  <c r="N16"/>
  <c r="L14"/>
  <c r="N12"/>
  <c r="M11"/>
  <c r="N203"/>
  <c r="M202"/>
  <c r="L201"/>
  <c r="N199"/>
  <c r="L197"/>
  <c r="N195"/>
  <c r="M194"/>
  <c r="L193"/>
  <c r="M190"/>
  <c r="N187"/>
  <c r="M186"/>
  <c r="L185"/>
  <c r="N183"/>
  <c r="L181"/>
  <c r="N179"/>
  <c r="M178"/>
  <c r="L177"/>
  <c r="M174"/>
  <c r="N171"/>
  <c r="M170"/>
  <c r="L169"/>
  <c r="N167"/>
  <c r="L165"/>
  <c r="N163"/>
  <c r="M162"/>
  <c r="L161"/>
  <c r="M158"/>
  <c r="N155"/>
  <c r="M154"/>
  <c r="L153"/>
  <c r="N151"/>
  <c r="L149"/>
  <c r="N147"/>
  <c r="M146"/>
  <c r="L145"/>
  <c r="M142"/>
  <c r="N139"/>
  <c r="M138"/>
  <c r="L137"/>
  <c r="N135"/>
  <c r="L133"/>
  <c r="N131"/>
  <c r="M130"/>
  <c r="L129"/>
  <c r="M126"/>
  <c r="N123"/>
  <c r="M122"/>
  <c r="L121"/>
  <c r="N119"/>
  <c r="L117"/>
  <c r="N115"/>
  <c r="M114"/>
  <c r="L113"/>
  <c r="M110"/>
  <c r="N107"/>
  <c r="M106"/>
  <c r="L105"/>
  <c r="N103"/>
  <c r="L101"/>
  <c r="N99"/>
  <c r="M98"/>
  <c r="L97"/>
  <c r="M94"/>
  <c r="N91"/>
  <c r="M90"/>
  <c r="L89"/>
  <c r="N87"/>
  <c r="L85"/>
  <c r="N83"/>
  <c r="M82"/>
  <c r="L81"/>
  <c r="M78"/>
  <c r="N75"/>
  <c r="M74"/>
  <c r="L73"/>
  <c r="N71"/>
  <c r="L69"/>
  <c r="N67"/>
  <c r="M66"/>
  <c r="L65"/>
  <c r="M62"/>
  <c r="N59"/>
  <c r="M58"/>
  <c r="L57"/>
  <c r="N55"/>
  <c r="M54"/>
  <c r="L53"/>
  <c r="N51"/>
  <c r="M50"/>
  <c r="L49"/>
  <c r="M46"/>
  <c r="L45"/>
  <c r="N43"/>
  <c r="N39"/>
  <c r="M38"/>
  <c r="L37"/>
  <c r="N35"/>
  <c r="M34"/>
  <c r="L33"/>
  <c r="M30"/>
  <c r="L29"/>
  <c r="N27"/>
  <c r="N23"/>
  <c r="M22"/>
  <c r="L21"/>
  <c r="N19"/>
  <c r="M18"/>
  <c r="L17"/>
  <c r="M14"/>
  <c r="L13"/>
  <c r="N11"/>
  <c r="L9"/>
  <c r="N9"/>
  <c r="L204"/>
  <c r="M201"/>
  <c r="M197"/>
  <c r="L196"/>
  <c r="M193"/>
  <c r="L192"/>
  <c r="L188"/>
  <c r="M185"/>
  <c r="M181"/>
  <c r="L180"/>
  <c r="M177"/>
  <c r="L176"/>
  <c r="L172"/>
  <c r="M169"/>
  <c r="M165"/>
  <c r="L164"/>
  <c r="M161"/>
  <c r="L160"/>
  <c r="L156"/>
  <c r="M153"/>
  <c r="M149"/>
  <c r="L148"/>
  <c r="M145"/>
  <c r="L144"/>
  <c r="L140"/>
  <c r="M137"/>
  <c r="M133"/>
  <c r="L132"/>
  <c r="M129"/>
  <c r="L124"/>
  <c r="M121"/>
  <c r="L120"/>
  <c r="M117"/>
  <c r="L116"/>
  <c r="M113"/>
  <c r="M109"/>
  <c r="L108"/>
  <c r="M105"/>
  <c r="M101"/>
  <c r="L100"/>
  <c r="M97"/>
  <c r="L92"/>
  <c r="M89"/>
  <c r="M85"/>
  <c r="L84"/>
  <c r="M81"/>
  <c r="L76"/>
  <c r="M73"/>
  <c r="M69"/>
  <c r="L68"/>
  <c r="M65"/>
  <c r="L60"/>
  <c r="M57"/>
  <c r="M53"/>
  <c r="L52"/>
  <c r="M49"/>
  <c r="L48"/>
  <c r="M45"/>
  <c r="L44"/>
  <c r="M37"/>
  <c r="L36"/>
  <c r="M33"/>
  <c r="L32"/>
  <c r="M29"/>
  <c r="L28"/>
  <c r="L24"/>
  <c r="M21"/>
  <c r="L20"/>
  <c r="M17"/>
  <c r="L16"/>
  <c r="M13"/>
  <c r="L12"/>
  <c r="BO13"/>
  <c r="BN13"/>
  <c r="BM13"/>
  <c r="BO17"/>
  <c r="BN17"/>
  <c r="BM17"/>
  <c r="BO14"/>
  <c r="BN14"/>
  <c r="BM14"/>
  <c r="BO18"/>
  <c r="BN18"/>
  <c r="BM18"/>
  <c r="BO22"/>
  <c r="BN22"/>
  <c r="BM22"/>
  <c r="K22"/>
  <c r="BO27"/>
  <c r="BN27"/>
  <c r="K27"/>
  <c r="BM27"/>
  <c r="BO34"/>
  <c r="BN34"/>
  <c r="BM34"/>
  <c r="K34"/>
  <c r="BN41"/>
  <c r="K45"/>
  <c r="BO45"/>
  <c r="BN45"/>
  <c r="BM45"/>
  <c r="K49"/>
  <c r="BO49"/>
  <c r="BN49"/>
  <c r="BM49"/>
  <c r="BO55"/>
  <c r="BN55"/>
  <c r="K55"/>
  <c r="BM55"/>
  <c r="BO60"/>
  <c r="K60"/>
  <c r="BN60"/>
  <c r="BM60"/>
  <c r="BO62"/>
  <c r="BN62"/>
  <c r="BM62"/>
  <c r="K62"/>
  <c r="K65"/>
  <c r="BO65"/>
  <c r="BN65"/>
  <c r="BM65"/>
  <c r="BO71"/>
  <c r="BN71"/>
  <c r="K71"/>
  <c r="BM71"/>
  <c r="BO76"/>
  <c r="K76"/>
  <c r="BN76"/>
  <c r="BM76"/>
  <c r="BO78"/>
  <c r="BN78"/>
  <c r="BM78"/>
  <c r="K78"/>
  <c r="K81"/>
  <c r="BO81"/>
  <c r="BN81"/>
  <c r="BM81"/>
  <c r="BO87"/>
  <c r="BN87"/>
  <c r="K87"/>
  <c r="BM87"/>
  <c r="BO92"/>
  <c r="K92"/>
  <c r="BN92"/>
  <c r="BM92"/>
  <c r="BO94"/>
  <c r="BN94"/>
  <c r="BM94"/>
  <c r="K94"/>
  <c r="K97"/>
  <c r="BO97"/>
  <c r="BN97"/>
  <c r="BM97"/>
  <c r="BO103"/>
  <c r="BN103"/>
  <c r="K103"/>
  <c r="BM103"/>
  <c r="BO108"/>
  <c r="K108"/>
  <c r="BN108"/>
  <c r="BM108"/>
  <c r="BO110"/>
  <c r="BN110"/>
  <c r="BM110"/>
  <c r="K110"/>
  <c r="K113"/>
  <c r="BO113"/>
  <c r="BN113"/>
  <c r="BM113"/>
  <c r="BO119"/>
  <c r="BN119"/>
  <c r="K119"/>
  <c r="BM119"/>
  <c r="BO124"/>
  <c r="K124"/>
  <c r="BN124"/>
  <c r="BM124"/>
  <c r="BO126"/>
  <c r="BN126"/>
  <c r="BM126"/>
  <c r="K126"/>
  <c r="K129"/>
  <c r="BO129"/>
  <c r="BN129"/>
  <c r="BM129"/>
  <c r="BO135"/>
  <c r="BN135"/>
  <c r="K135"/>
  <c r="BM135"/>
  <c r="BO140"/>
  <c r="K140"/>
  <c r="BN140"/>
  <c r="BM140"/>
  <c r="BO142"/>
  <c r="BN142"/>
  <c r="BM142"/>
  <c r="K142"/>
  <c r="K145"/>
  <c r="BO145"/>
  <c r="BN145"/>
  <c r="BM145"/>
  <c r="BO151"/>
  <c r="BN151"/>
  <c r="K151"/>
  <c r="BM151"/>
  <c r="BO156"/>
  <c r="K156"/>
  <c r="BN156"/>
  <c r="BM156"/>
  <c r="BO158"/>
  <c r="BN158"/>
  <c r="BM158"/>
  <c r="K158"/>
  <c r="K161"/>
  <c r="BO161"/>
  <c r="BN161"/>
  <c r="BM161"/>
  <c r="BO167"/>
  <c r="BN167"/>
  <c r="K167"/>
  <c r="BM167"/>
  <c r="BO172"/>
  <c r="K172"/>
  <c r="BN172"/>
  <c r="BM172"/>
  <c r="BO174"/>
  <c r="BN174"/>
  <c r="BM174"/>
  <c r="K174"/>
  <c r="K177"/>
  <c r="BO177"/>
  <c r="BN177"/>
  <c r="BM177"/>
  <c r="K181"/>
  <c r="BO181"/>
  <c r="BN181"/>
  <c r="BM181"/>
  <c r="BO186"/>
  <c r="BN186"/>
  <c r="BM186"/>
  <c r="K186"/>
  <c r="BO188"/>
  <c r="K188"/>
  <c r="BN188"/>
  <c r="BM188"/>
  <c r="K197"/>
  <c r="BO197"/>
  <c r="BN197"/>
  <c r="BM197"/>
  <c r="K21"/>
  <c r="BO21"/>
  <c r="BN21"/>
  <c r="BM21"/>
  <c r="K29"/>
  <c r="BO29"/>
  <c r="BN29"/>
  <c r="BM29"/>
  <c r="BO38"/>
  <c r="BN38"/>
  <c r="BM38"/>
  <c r="K38"/>
  <c r="BN40"/>
  <c r="BO44"/>
  <c r="K44"/>
  <c r="BN44"/>
  <c r="BM44"/>
  <c r="BO46"/>
  <c r="BN46"/>
  <c r="BM46"/>
  <c r="K46"/>
  <c r="BO48"/>
  <c r="K48"/>
  <c r="BN48"/>
  <c r="BM48"/>
  <c r="BO50"/>
  <c r="BN50"/>
  <c r="BM50"/>
  <c r="K50"/>
  <c r="K53"/>
  <c r="BO53"/>
  <c r="BN53"/>
  <c r="BM53"/>
  <c r="BO59"/>
  <c r="BN59"/>
  <c r="K59"/>
  <c r="BM59"/>
  <c r="BO64"/>
  <c r="K64"/>
  <c r="BN64"/>
  <c r="BM64"/>
  <c r="BO66"/>
  <c r="BN66"/>
  <c r="BM66"/>
  <c r="K66"/>
  <c r="K69"/>
  <c r="BO69"/>
  <c r="BN69"/>
  <c r="BM69"/>
  <c r="BO75"/>
  <c r="BN75"/>
  <c r="K75"/>
  <c r="BM75"/>
  <c r="BO80"/>
  <c r="K80"/>
  <c r="BN80"/>
  <c r="BM80"/>
  <c r="BO82"/>
  <c r="BN82"/>
  <c r="BM82"/>
  <c r="K82"/>
  <c r="K85"/>
  <c r="BO85"/>
  <c r="BN85"/>
  <c r="BM85"/>
  <c r="BO91"/>
  <c r="BN91"/>
  <c r="K91"/>
  <c r="BM91"/>
  <c r="BO96"/>
  <c r="K96"/>
  <c r="BN96"/>
  <c r="BM96"/>
  <c r="BO98"/>
  <c r="BN98"/>
  <c r="BM98"/>
  <c r="K98"/>
  <c r="K101"/>
  <c r="BO101"/>
  <c r="BN101"/>
  <c r="BM101"/>
  <c r="BO107"/>
  <c r="BN107"/>
  <c r="K107"/>
  <c r="BM107"/>
  <c r="BO112"/>
  <c r="K112"/>
  <c r="BN112"/>
  <c r="BM112"/>
  <c r="BO114"/>
  <c r="BN114"/>
  <c r="BM114"/>
  <c r="K114"/>
  <c r="K117"/>
  <c r="BO117"/>
  <c r="BN117"/>
  <c r="BM117"/>
  <c r="BO123"/>
  <c r="BN123"/>
  <c r="K123"/>
  <c r="BM123"/>
  <c r="BO128"/>
  <c r="K128"/>
  <c r="BN128"/>
  <c r="BM128"/>
  <c r="BO130"/>
  <c r="BN130"/>
  <c r="BM130"/>
  <c r="K130"/>
  <c r="K133"/>
  <c r="BO133"/>
  <c r="BN133"/>
  <c r="BM133"/>
  <c r="BO139"/>
  <c r="BN139"/>
  <c r="K139"/>
  <c r="BM139"/>
  <c r="BO144"/>
  <c r="K144"/>
  <c r="BN144"/>
  <c r="BM144"/>
  <c r="BO146"/>
  <c r="BN146"/>
  <c r="BM146"/>
  <c r="K146"/>
  <c r="K149"/>
  <c r="BO149"/>
  <c r="BN149"/>
  <c r="BM149"/>
  <c r="BO155"/>
  <c r="BN155"/>
  <c r="K155"/>
  <c r="BM155"/>
  <c r="BO160"/>
  <c r="K160"/>
  <c r="BN160"/>
  <c r="BM160"/>
  <c r="BO162"/>
  <c r="BN162"/>
  <c r="BM162"/>
  <c r="K162"/>
  <c r="K165"/>
  <c r="BO165"/>
  <c r="BN165"/>
  <c r="BM165"/>
  <c r="BO171"/>
  <c r="BN171"/>
  <c r="K171"/>
  <c r="BM171"/>
  <c r="BO176"/>
  <c r="K176"/>
  <c r="BN176"/>
  <c r="BM176"/>
  <c r="BO178"/>
  <c r="BN178"/>
  <c r="BM178"/>
  <c r="K178"/>
  <c r="BO180"/>
  <c r="K180"/>
  <c r="BN180"/>
  <c r="BM180"/>
  <c r="BO187"/>
  <c r="BN187"/>
  <c r="K187"/>
  <c r="BM187"/>
  <c r="K193"/>
  <c r="BO193"/>
  <c r="BN193"/>
  <c r="BM193"/>
  <c r="BM198"/>
  <c r="BO202"/>
  <c r="BN202"/>
  <c r="BM202"/>
  <c r="K202"/>
  <c r="BO12"/>
  <c r="BN12"/>
  <c r="BM12"/>
  <c r="BO16"/>
  <c r="BN16"/>
  <c r="BM16"/>
  <c r="BO20"/>
  <c r="K20"/>
  <c r="BN20"/>
  <c r="BM20"/>
  <c r="BO26"/>
  <c r="BO28"/>
  <c r="K28"/>
  <c r="BN28"/>
  <c r="BM28"/>
  <c r="K33"/>
  <c r="BO33"/>
  <c r="BN33"/>
  <c r="BM33"/>
  <c r="BO35"/>
  <c r="BN35"/>
  <c r="K35"/>
  <c r="BM35"/>
  <c r="K37"/>
  <c r="BO37"/>
  <c r="BN37"/>
  <c r="BM37"/>
  <c r="BO39"/>
  <c r="BN39"/>
  <c r="K39"/>
  <c r="BM39"/>
  <c r="BO43"/>
  <c r="BN43"/>
  <c r="K43"/>
  <c r="BM43"/>
  <c r="BO52"/>
  <c r="K52"/>
  <c r="BN52"/>
  <c r="BM52"/>
  <c r="BO54"/>
  <c r="BN54"/>
  <c r="BM54"/>
  <c r="K54"/>
  <c r="K57"/>
  <c r="BO57"/>
  <c r="BN57"/>
  <c r="BM57"/>
  <c r="BO68"/>
  <c r="K68"/>
  <c r="BN68"/>
  <c r="BM68"/>
  <c r="K73"/>
  <c r="BO73"/>
  <c r="BN73"/>
  <c r="BM73"/>
  <c r="BO79"/>
  <c r="BO84"/>
  <c r="K84"/>
  <c r="BN84"/>
  <c r="BM84"/>
  <c r="K89"/>
  <c r="BO89"/>
  <c r="BN89"/>
  <c r="BM89"/>
  <c r="BO100"/>
  <c r="K100"/>
  <c r="BN100"/>
  <c r="BM100"/>
  <c r="K105"/>
  <c r="BO105"/>
  <c r="BN105"/>
  <c r="BM105"/>
  <c r="BO111"/>
  <c r="BO116"/>
  <c r="K116"/>
  <c r="BN116"/>
  <c r="BM116"/>
  <c r="K121"/>
  <c r="BO121"/>
  <c r="BN121"/>
  <c r="BM121"/>
  <c r="BO132"/>
  <c r="K132"/>
  <c r="BN132"/>
  <c r="BM132"/>
  <c r="K137"/>
  <c r="BO137"/>
  <c r="BN137"/>
  <c r="BM137"/>
  <c r="BO143"/>
  <c r="BO148"/>
  <c r="K148"/>
  <c r="BN148"/>
  <c r="BM148"/>
  <c r="K153"/>
  <c r="BO153"/>
  <c r="BN153"/>
  <c r="BM153"/>
  <c r="BO164"/>
  <c r="K164"/>
  <c r="BN164"/>
  <c r="BM164"/>
  <c r="K169"/>
  <c r="BO169"/>
  <c r="BN169"/>
  <c r="BM169"/>
  <c r="BO175"/>
  <c r="BO179"/>
  <c r="BN179"/>
  <c r="K179"/>
  <c r="BM179"/>
  <c r="BO183"/>
  <c r="BN183"/>
  <c r="K183"/>
  <c r="BM183"/>
  <c r="BO194"/>
  <c r="BN194"/>
  <c r="BM194"/>
  <c r="K194"/>
  <c r="BO196"/>
  <c r="K196"/>
  <c r="BN196"/>
  <c r="BM196"/>
  <c r="BO199"/>
  <c r="BN199"/>
  <c r="K199"/>
  <c r="BM199"/>
  <c r="BN9"/>
  <c r="BO9"/>
  <c r="BM9"/>
  <c r="BO11"/>
  <c r="BN11"/>
  <c r="BM11"/>
  <c r="BM15"/>
  <c r="BO19"/>
  <c r="BN19"/>
  <c r="BM19"/>
  <c r="BO23"/>
  <c r="BN23"/>
  <c r="K23"/>
  <c r="BM23"/>
  <c r="BO30"/>
  <c r="BN30"/>
  <c r="BM30"/>
  <c r="K30"/>
  <c r="BO32"/>
  <c r="K32"/>
  <c r="BN32"/>
  <c r="BM32"/>
  <c r="BO36"/>
  <c r="K36"/>
  <c r="BN36"/>
  <c r="BM36"/>
  <c r="BO51"/>
  <c r="BN51"/>
  <c r="K51"/>
  <c r="BM51"/>
  <c r="BO56"/>
  <c r="BO58"/>
  <c r="BN58"/>
  <c r="BM58"/>
  <c r="K58"/>
  <c r="BO67"/>
  <c r="BN67"/>
  <c r="K67"/>
  <c r="BM67"/>
  <c r="BO74"/>
  <c r="BN74"/>
  <c r="BM74"/>
  <c r="K74"/>
  <c r="BO83"/>
  <c r="BN83"/>
  <c r="K83"/>
  <c r="BM83"/>
  <c r="BO88"/>
  <c r="BO90"/>
  <c r="BN90"/>
  <c r="BM90"/>
  <c r="K90"/>
  <c r="BO99"/>
  <c r="BN99"/>
  <c r="K99"/>
  <c r="BM99"/>
  <c r="BO106"/>
  <c r="BN106"/>
  <c r="BM106"/>
  <c r="K106"/>
  <c r="BO115"/>
  <c r="BN115"/>
  <c r="K115"/>
  <c r="BM115"/>
  <c r="BO120"/>
  <c r="BO122"/>
  <c r="BN122"/>
  <c r="BM122"/>
  <c r="K122"/>
  <c r="BO131"/>
  <c r="BN131"/>
  <c r="K131"/>
  <c r="BM131"/>
  <c r="BO138"/>
  <c r="BN138"/>
  <c r="BM138"/>
  <c r="K138"/>
  <c r="BO147"/>
  <c r="BN147"/>
  <c r="K147"/>
  <c r="BM147"/>
  <c r="BO152"/>
  <c r="BO154"/>
  <c r="BN154"/>
  <c r="BM154"/>
  <c r="K154"/>
  <c r="BO163"/>
  <c r="BN163"/>
  <c r="K163"/>
  <c r="BM163"/>
  <c r="BO170"/>
  <c r="BN170"/>
  <c r="BM170"/>
  <c r="K170"/>
  <c r="K185"/>
  <c r="BO185"/>
  <c r="BN185"/>
  <c r="BM185"/>
  <c r="BO190"/>
  <c r="BN190"/>
  <c r="BM190"/>
  <c r="K190"/>
  <c r="BO192"/>
  <c r="K192"/>
  <c r="BN192"/>
  <c r="BM192"/>
  <c r="BO195"/>
  <c r="BN195"/>
  <c r="K195"/>
  <c r="BM195"/>
  <c r="K201"/>
  <c r="BO201"/>
  <c r="BN201"/>
  <c r="BM201"/>
  <c r="BM208"/>
  <c r="BM207"/>
  <c r="BM204"/>
  <c r="BM203"/>
  <c r="K203"/>
  <c r="BN208"/>
  <c r="BN207"/>
  <c r="BN204"/>
  <c r="BN203"/>
  <c r="K204"/>
  <c r="BO208"/>
  <c r="BO207"/>
  <c r="BO204"/>
  <c r="BO203"/>
  <c r="Y83" l="1"/>
  <c r="Y147"/>
  <c r="Y90"/>
  <c r="Y35"/>
  <c r="Y75"/>
  <c r="Y139"/>
  <c r="Y203"/>
  <c r="Y82"/>
  <c r="Y106"/>
  <c r="Y170"/>
  <c r="DT116" i="9"/>
  <c r="DT134"/>
  <c r="EA134" s="1"/>
  <c r="EA158"/>
  <c r="DT53"/>
  <c r="EA53" s="1"/>
  <c r="DT191"/>
  <c r="EA191" s="1"/>
  <c r="DT10"/>
  <c r="DT124"/>
  <c r="DT26"/>
  <c r="DT49"/>
  <c r="EA49" s="1"/>
  <c r="DT73"/>
  <c r="EA73" s="1"/>
  <c r="DT114"/>
  <c r="EA114" s="1"/>
  <c r="DT147"/>
  <c r="DL168"/>
  <c r="EA123"/>
  <c r="EA150"/>
  <c r="EA142"/>
  <c r="DL192"/>
  <c r="DT192" s="1"/>
  <c r="EA138"/>
  <c r="EA130"/>
  <c r="EA88"/>
  <c r="EA146"/>
  <c r="DL184"/>
  <c r="DT184" s="1"/>
  <c r="EA104"/>
  <c r="Y204" i="20"/>
  <c r="Y185"/>
  <c r="W80"/>
  <c r="AG80" s="1"/>
  <c r="Y192"/>
  <c r="W128"/>
  <c r="AG128" s="1"/>
  <c r="DQ117" i="9"/>
  <c r="DY117"/>
  <c r="DQ125"/>
  <c r="DY125"/>
  <c r="DQ156"/>
  <c r="DY156"/>
  <c r="DQ21"/>
  <c r="DY21"/>
  <c r="DQ36"/>
  <c r="EA36" s="1"/>
  <c r="DY36"/>
  <c r="DQ60"/>
  <c r="EA60" s="1"/>
  <c r="DY60"/>
  <c r="DQ102"/>
  <c r="EA102" s="1"/>
  <c r="DY102"/>
  <c r="DQ109"/>
  <c r="EA109" s="1"/>
  <c r="DY109"/>
  <c r="DQ169"/>
  <c r="EA169" s="1"/>
  <c r="DY169"/>
  <c r="DQ192"/>
  <c r="EA192" s="1"/>
  <c r="DY192"/>
  <c r="DQ199"/>
  <c r="EA199" s="1"/>
  <c r="DY199"/>
  <c r="DQ16"/>
  <c r="EA16" s="1"/>
  <c r="DY16"/>
  <c r="DQ20"/>
  <c r="DY20"/>
  <c r="DQ25"/>
  <c r="EA25" s="1"/>
  <c r="DY25"/>
  <c r="DQ34"/>
  <c r="EA34" s="1"/>
  <c r="DY34"/>
  <c r="DQ58"/>
  <c r="EA58" s="1"/>
  <c r="DY58"/>
  <c r="DQ90"/>
  <c r="EA90" s="1"/>
  <c r="DY90"/>
  <c r="DQ112"/>
  <c r="EA112" s="1"/>
  <c r="DY112"/>
  <c r="DQ180"/>
  <c r="EA180" s="1"/>
  <c r="DY180"/>
  <c r="DQ187"/>
  <c r="DY187"/>
  <c r="DQ29"/>
  <c r="EA29" s="1"/>
  <c r="DY29"/>
  <c r="DQ84"/>
  <c r="EA84" s="1"/>
  <c r="DY84"/>
  <c r="DQ95"/>
  <c r="DY95"/>
  <c r="DQ23"/>
  <c r="DY23"/>
  <c r="DQ62"/>
  <c r="EA62" s="1"/>
  <c r="DY62"/>
  <c r="DQ135"/>
  <c r="DY135"/>
  <c r="DQ38"/>
  <c r="EA38" s="1"/>
  <c r="DY38"/>
  <c r="DQ75"/>
  <c r="EA75" s="1"/>
  <c r="DY75"/>
  <c r="DQ149"/>
  <c r="EA149" s="1"/>
  <c r="DY149"/>
  <c r="DQ184"/>
  <c r="DY184"/>
  <c r="DQ147"/>
  <c r="EA147" s="1"/>
  <c r="DY147"/>
  <c r="DQ162"/>
  <c r="EA162" s="1"/>
  <c r="DY162"/>
  <c r="DQ170"/>
  <c r="EA170" s="1"/>
  <c r="DY170"/>
  <c r="DQ177"/>
  <c r="EA177" s="1"/>
  <c r="DY177"/>
  <c r="DT119"/>
  <c r="EA119" s="1"/>
  <c r="DT51"/>
  <c r="EA51" s="1"/>
  <c r="DT111"/>
  <c r="EA111" s="1"/>
  <c r="DL131"/>
  <c r="DT131" s="1"/>
  <c r="DT139"/>
  <c r="DT168"/>
  <c r="DQ145"/>
  <c r="DY145"/>
  <c r="DQ124"/>
  <c r="EA124" s="1"/>
  <c r="DY124"/>
  <c r="DQ133"/>
  <c r="DY133"/>
  <c r="DQ153"/>
  <c r="DY153"/>
  <c r="DQ120"/>
  <c r="DY120"/>
  <c r="DQ86"/>
  <c r="EA86" s="1"/>
  <c r="DY86"/>
  <c r="DQ93"/>
  <c r="EA93" s="1"/>
  <c r="DY93"/>
  <c r="DQ108"/>
  <c r="EA108" s="1"/>
  <c r="DY108"/>
  <c r="DQ148"/>
  <c r="DY148"/>
  <c r="DQ160"/>
  <c r="DY160"/>
  <c r="DQ167"/>
  <c r="EA167" s="1"/>
  <c r="DY167"/>
  <c r="DQ185"/>
  <c r="EA185" s="1"/>
  <c r="DY185"/>
  <c r="DQ205"/>
  <c r="EA205" s="1"/>
  <c r="DY205"/>
  <c r="DQ15"/>
  <c r="DY15"/>
  <c r="DQ163"/>
  <c r="DY163"/>
  <c r="DQ179"/>
  <c r="DY179"/>
  <c r="DQ195"/>
  <c r="DY195"/>
  <c r="DQ203"/>
  <c r="DY203"/>
  <c r="DQ18"/>
  <c r="EA18" s="1"/>
  <c r="DY18"/>
  <c r="DQ24"/>
  <c r="EA24" s="1"/>
  <c r="DY24"/>
  <c r="DQ50"/>
  <c r="EA50" s="1"/>
  <c r="DY50"/>
  <c r="DQ81"/>
  <c r="EA81" s="1"/>
  <c r="DY81"/>
  <c r="DQ106"/>
  <c r="EA106" s="1"/>
  <c r="DY106"/>
  <c r="DQ121"/>
  <c r="EA121" s="1"/>
  <c r="DY121"/>
  <c r="DQ157"/>
  <c r="EA157" s="1"/>
  <c r="DY157"/>
  <c r="DQ196"/>
  <c r="EA196" s="1"/>
  <c r="DY196"/>
  <c r="DQ64"/>
  <c r="DY64"/>
  <c r="DQ110"/>
  <c r="EA110" s="1"/>
  <c r="DY110"/>
  <c r="DQ144"/>
  <c r="DY144"/>
  <c r="DQ59"/>
  <c r="DY59"/>
  <c r="DQ115"/>
  <c r="DY115"/>
  <c r="DQ131"/>
  <c r="DY131"/>
  <c r="DQ28"/>
  <c r="DY28"/>
  <c r="DQ63"/>
  <c r="EA63" s="1"/>
  <c r="DY63"/>
  <c r="DQ85"/>
  <c r="EA85" s="1"/>
  <c r="DY85"/>
  <c r="DQ116"/>
  <c r="EA116" s="1"/>
  <c r="DY116"/>
  <c r="DQ168"/>
  <c r="DY168"/>
  <c r="DQ198"/>
  <c r="EA198" s="1"/>
  <c r="DY198"/>
  <c r="DQ204"/>
  <c r="EA204" s="1"/>
  <c r="DY204"/>
  <c r="DQ161"/>
  <c r="EA161" s="1"/>
  <c r="DY161"/>
  <c r="DL72"/>
  <c r="DL64"/>
  <c r="DT64" s="1"/>
  <c r="DL144"/>
  <c r="DT144" s="1"/>
  <c r="DQ132"/>
  <c r="DY132"/>
  <c r="DQ46"/>
  <c r="DY46"/>
  <c r="DQ70"/>
  <c r="EA70" s="1"/>
  <c r="DY70"/>
  <c r="DQ77"/>
  <c r="EA77" s="1"/>
  <c r="DY77"/>
  <c r="DQ92"/>
  <c r="EA92" s="1"/>
  <c r="DY92"/>
  <c r="DQ183"/>
  <c r="EA183" s="1"/>
  <c r="DY183"/>
  <c r="DQ136"/>
  <c r="DY136"/>
  <c r="DQ41"/>
  <c r="EA41" s="1"/>
  <c r="DY41"/>
  <c r="DQ74"/>
  <c r="EA74" s="1"/>
  <c r="DY74"/>
  <c r="DQ97"/>
  <c r="EA97" s="1"/>
  <c r="DY97"/>
  <c r="DQ129"/>
  <c r="EA129" s="1"/>
  <c r="DY129"/>
  <c r="DQ173"/>
  <c r="EA173" s="1"/>
  <c r="DY173"/>
  <c r="DQ99"/>
  <c r="EA99" s="1"/>
  <c r="DY99"/>
  <c r="DQ69"/>
  <c r="EA69" s="1"/>
  <c r="DY69"/>
  <c r="DQ19"/>
  <c r="EA19" s="1"/>
  <c r="DY19"/>
  <c r="DQ35"/>
  <c r="EA35" s="1"/>
  <c r="DY35"/>
  <c r="DQ78"/>
  <c r="EA78" s="1"/>
  <c r="DY78"/>
  <c r="DQ128"/>
  <c r="DY128"/>
  <c r="DQ182"/>
  <c r="EA182" s="1"/>
  <c r="DY182"/>
  <c r="DQ194"/>
  <c r="EA194" s="1"/>
  <c r="DY194"/>
  <c r="DQ202"/>
  <c r="EA202" s="1"/>
  <c r="DY202"/>
  <c r="DT31"/>
  <c r="EA31" s="1"/>
  <c r="DT55"/>
  <c r="EA55" s="1"/>
  <c r="DL95"/>
  <c r="DT95" s="1"/>
  <c r="EA95" s="1"/>
  <c r="DL27"/>
  <c r="DT27" s="1"/>
  <c r="DT71"/>
  <c r="EA71" s="1"/>
  <c r="DL115"/>
  <c r="DT115" s="1"/>
  <c r="EA115" s="1"/>
  <c r="DL135"/>
  <c r="DT135" s="1"/>
  <c r="EA135" s="1"/>
  <c r="DQ137"/>
  <c r="DY137"/>
  <c r="DQ152"/>
  <c r="DY152"/>
  <c r="DQ140"/>
  <c r="EA140" s="1"/>
  <c r="DY140"/>
  <c r="DQ30"/>
  <c r="DY30"/>
  <c r="DQ37"/>
  <c r="DY37"/>
  <c r="DQ52"/>
  <c r="DY52"/>
  <c r="DQ56"/>
  <c r="DY56"/>
  <c r="DQ61"/>
  <c r="EA61" s="1"/>
  <c r="DY61"/>
  <c r="DQ76"/>
  <c r="EA76" s="1"/>
  <c r="DY76"/>
  <c r="DQ176"/>
  <c r="DY176"/>
  <c r="DQ201"/>
  <c r="EA201" s="1"/>
  <c r="DY201"/>
  <c r="DQ10"/>
  <c r="DY10"/>
  <c r="DQ17"/>
  <c r="EA17" s="1"/>
  <c r="DY17"/>
  <c r="DQ26"/>
  <c r="EA26" s="1"/>
  <c r="DY26"/>
  <c r="DQ207"/>
  <c r="DY207"/>
  <c r="DQ40"/>
  <c r="EA40" s="1"/>
  <c r="DY40"/>
  <c r="DQ54"/>
  <c r="EA54" s="1"/>
  <c r="DY54"/>
  <c r="DQ65"/>
  <c r="EA65" s="1"/>
  <c r="DY65"/>
  <c r="DQ96"/>
  <c r="EA96" s="1"/>
  <c r="DY96"/>
  <c r="DQ113"/>
  <c r="EA113" s="1"/>
  <c r="DY113"/>
  <c r="DQ164"/>
  <c r="DY164"/>
  <c r="DQ171"/>
  <c r="DY171"/>
  <c r="DQ189"/>
  <c r="EA189" s="1"/>
  <c r="DY189"/>
  <c r="DQ44"/>
  <c r="DY44"/>
  <c r="DQ107"/>
  <c r="EA107" s="1"/>
  <c r="DY107"/>
  <c r="DQ27"/>
  <c r="DY27"/>
  <c r="DQ100"/>
  <c r="EA100" s="1"/>
  <c r="DY100"/>
  <c r="DQ45"/>
  <c r="EA45" s="1"/>
  <c r="DY45"/>
  <c r="DQ67"/>
  <c r="EA67" s="1"/>
  <c r="DY67"/>
  <c r="DQ143"/>
  <c r="EA143" s="1"/>
  <c r="DY143"/>
  <c r="DQ166"/>
  <c r="EA166" s="1"/>
  <c r="DY166"/>
  <c r="DQ200"/>
  <c r="EA200" s="1"/>
  <c r="DY200"/>
  <c r="DQ139"/>
  <c r="DY139"/>
  <c r="DQ178"/>
  <c r="EA178" s="1"/>
  <c r="DY178"/>
  <c r="DQ186"/>
  <c r="EA186" s="1"/>
  <c r="DY186"/>
  <c r="DQ193"/>
  <c r="EA193" s="1"/>
  <c r="DY193"/>
  <c r="DQ206"/>
  <c r="EA206" s="1"/>
  <c r="DY206"/>
  <c r="DT72"/>
  <c r="EA72" s="1"/>
  <c r="DL23"/>
  <c r="DT23" s="1"/>
  <c r="EA23" s="1"/>
  <c r="DL122"/>
  <c r="DT122" s="1"/>
  <c r="EA122" s="1"/>
  <c r="DL59"/>
  <c r="DT59" s="1"/>
  <c r="EA59" s="1"/>
  <c r="DT127"/>
  <c r="EA127" s="1"/>
  <c r="DL132"/>
  <c r="DT132" s="1"/>
  <c r="DL152"/>
  <c r="DT152" s="1"/>
  <c r="EA152" s="1"/>
  <c r="DL160"/>
  <c r="DT160" s="1"/>
  <c r="EA160" s="1"/>
  <c r="DL30"/>
  <c r="DT30" s="1"/>
  <c r="EA30" s="1"/>
  <c r="DL37"/>
  <c r="DT37" s="1"/>
  <c r="EA37" s="1"/>
  <c r="DL203"/>
  <c r="DT203" s="1"/>
  <c r="EA203" s="1"/>
  <c r="DL164"/>
  <c r="DT164" s="1"/>
  <c r="EA164" s="1"/>
  <c r="DL52"/>
  <c r="DT52" s="1"/>
  <c r="EA52" s="1"/>
  <c r="DL187"/>
  <c r="DT187" s="1"/>
  <c r="EA187" s="1"/>
  <c r="DL21"/>
  <c r="DT21" s="1"/>
  <c r="EA21" s="1"/>
  <c r="DT28"/>
  <c r="EA28" s="1"/>
  <c r="DL46"/>
  <c r="DT46" s="1"/>
  <c r="EA46" s="1"/>
  <c r="DL195"/>
  <c r="DT195" s="1"/>
  <c r="EA195" s="1"/>
  <c r="DL171"/>
  <c r="DT171" s="1"/>
  <c r="EA171" s="1"/>
  <c r="DL176"/>
  <c r="DT176" s="1"/>
  <c r="EA176" s="1"/>
  <c r="DT44"/>
  <c r="DL207"/>
  <c r="DT207" s="1"/>
  <c r="EA207" s="1"/>
  <c r="DL179"/>
  <c r="DT179" s="1"/>
  <c r="EA179" s="1"/>
  <c r="DL20"/>
  <c r="DT20" s="1"/>
  <c r="EA20" s="1"/>
  <c r="DL136"/>
  <c r="DT136" s="1"/>
  <c r="EA136" s="1"/>
  <c r="DL56"/>
  <c r="DT56" s="1"/>
  <c r="EA56" s="1"/>
  <c r="DL148"/>
  <c r="DT148" s="1"/>
  <c r="EA148" s="1"/>
  <c r="DL163"/>
  <c r="DT163" s="1"/>
  <c r="EA163" s="1"/>
  <c r="DL15"/>
  <c r="DT15" s="1"/>
  <c r="EA15" s="1"/>
  <c r="DL125"/>
  <c r="DT125" s="1"/>
  <c r="EA125" s="1"/>
  <c r="DL156"/>
  <c r="DT156" s="1"/>
  <c r="EA156" s="1"/>
  <c r="DL117"/>
  <c r="DT117" s="1"/>
  <c r="EA117" s="1"/>
  <c r="DL133"/>
  <c r="DT133" s="1"/>
  <c r="EA133" s="1"/>
  <c r="DL153"/>
  <c r="DT153" s="1"/>
  <c r="EA153" s="1"/>
  <c r="DL137"/>
  <c r="DT137" s="1"/>
  <c r="EA137" s="1"/>
  <c r="DL145"/>
  <c r="DT145" s="1"/>
  <c r="EA145" s="1"/>
  <c r="DT151"/>
  <c r="EA151" s="1"/>
  <c r="DL120"/>
  <c r="DT120" s="1"/>
  <c r="EA120" s="1"/>
  <c r="DT128"/>
  <c r="EA128" s="1"/>
  <c r="Y207" i="20"/>
  <c r="K157"/>
  <c r="K125"/>
  <c r="K93"/>
  <c r="K61"/>
  <c r="K189"/>
  <c r="BO150"/>
  <c r="BO118"/>
  <c r="BO86"/>
  <c r="BO47"/>
  <c r="BN200"/>
  <c r="BM42"/>
  <c r="K191"/>
  <c r="L40"/>
  <c r="L25"/>
  <c r="L10"/>
  <c r="M15"/>
  <c r="M127"/>
  <c r="L134"/>
  <c r="Q120"/>
  <c r="Y51"/>
  <c r="Y21"/>
  <c r="P88"/>
  <c r="T15"/>
  <c r="U88"/>
  <c r="S79"/>
  <c r="S143"/>
  <c r="U70"/>
  <c r="T77"/>
  <c r="S168"/>
  <c r="T173"/>
  <c r="S61"/>
  <c r="S93"/>
  <c r="S125"/>
  <c r="S157"/>
  <c r="S189"/>
  <c r="AD207"/>
  <c r="BO168"/>
  <c r="BO136"/>
  <c r="BO104"/>
  <c r="BO72"/>
  <c r="BO159"/>
  <c r="BO127"/>
  <c r="BO95"/>
  <c r="BO63"/>
  <c r="BM182"/>
  <c r="BN24"/>
  <c r="L56"/>
  <c r="L26"/>
  <c r="M31"/>
  <c r="N104"/>
  <c r="Q24"/>
  <c r="Q40"/>
  <c r="Q56"/>
  <c r="Y140"/>
  <c r="Y107"/>
  <c r="Y171"/>
  <c r="Q10"/>
  <c r="Q26"/>
  <c r="Q42"/>
  <c r="Y42" s="1"/>
  <c r="Y78"/>
  <c r="Y186"/>
  <c r="Y101"/>
  <c r="Y165"/>
  <c r="U152"/>
  <c r="U184"/>
  <c r="AB184" s="1"/>
  <c r="T120"/>
  <c r="U125"/>
  <c r="U26"/>
  <c r="S184"/>
  <c r="T189"/>
  <c r="T10"/>
  <c r="BN205"/>
  <c r="K173"/>
  <c r="K141"/>
  <c r="K109"/>
  <c r="K77"/>
  <c r="BO166"/>
  <c r="BO134"/>
  <c r="BO102"/>
  <c r="BO70"/>
  <c r="BN184"/>
  <c r="K31"/>
  <c r="BN25"/>
  <c r="L41"/>
  <c r="L42"/>
  <c r="M47"/>
  <c r="Y94"/>
  <c r="Y114"/>
  <c r="P25"/>
  <c r="P41"/>
  <c r="Y117"/>
  <c r="Y201"/>
  <c r="R104"/>
  <c r="V25"/>
  <c r="V41"/>
  <c r="U102"/>
  <c r="T109"/>
  <c r="AA109" s="1"/>
  <c r="S200"/>
  <c r="T205"/>
  <c r="S77"/>
  <c r="S109"/>
  <c r="S141"/>
  <c r="S173"/>
  <c r="S205"/>
  <c r="BO173"/>
  <c r="K168"/>
  <c r="BO157"/>
  <c r="K152"/>
  <c r="BO141"/>
  <c r="K136"/>
  <c r="BO125"/>
  <c r="K120"/>
  <c r="BO109"/>
  <c r="K104"/>
  <c r="BO93"/>
  <c r="K88"/>
  <c r="BO77"/>
  <c r="K72"/>
  <c r="BO61"/>
  <c r="K56"/>
  <c r="BO189"/>
  <c r="BN175"/>
  <c r="BN166"/>
  <c r="BN159"/>
  <c r="BN150"/>
  <c r="BN143"/>
  <c r="BN134"/>
  <c r="BN127"/>
  <c r="BN118"/>
  <c r="BN111"/>
  <c r="BN102"/>
  <c r="BN95"/>
  <c r="BN86"/>
  <c r="BN79"/>
  <c r="BN70"/>
  <c r="BN63"/>
  <c r="BN47"/>
  <c r="BN26"/>
  <c r="BM200"/>
  <c r="K198"/>
  <c r="BM184"/>
  <c r="K182"/>
  <c r="K42"/>
  <c r="BM40"/>
  <c r="BM31"/>
  <c r="BM24"/>
  <c r="BM191"/>
  <c r="BM41"/>
  <c r="BM25"/>
  <c r="BO10"/>
  <c r="M61"/>
  <c r="L72"/>
  <c r="M125"/>
  <c r="L136"/>
  <c r="L152"/>
  <c r="L168"/>
  <c r="L184"/>
  <c r="L200"/>
  <c r="L61"/>
  <c r="L77"/>
  <c r="L93"/>
  <c r="L109"/>
  <c r="L125"/>
  <c r="L141"/>
  <c r="L157"/>
  <c r="L173"/>
  <c r="L189"/>
  <c r="L205"/>
  <c r="N24"/>
  <c r="N40"/>
  <c r="N56"/>
  <c r="M79"/>
  <c r="L86"/>
  <c r="N120"/>
  <c r="M143"/>
  <c r="L150"/>
  <c r="L166"/>
  <c r="L182"/>
  <c r="L198"/>
  <c r="Q72"/>
  <c r="Q136"/>
  <c r="Q15"/>
  <c r="Q31"/>
  <c r="Q47"/>
  <c r="Q63"/>
  <c r="Q79"/>
  <c r="Q95"/>
  <c r="Q111"/>
  <c r="Q127"/>
  <c r="Q143"/>
  <c r="Q159"/>
  <c r="Q175"/>
  <c r="Q191"/>
  <c r="P10"/>
  <c r="P26"/>
  <c r="P42"/>
  <c r="Q70"/>
  <c r="Q86"/>
  <c r="Q102"/>
  <c r="Q118"/>
  <c r="Q134"/>
  <c r="Q150"/>
  <c r="Q166"/>
  <c r="Q182"/>
  <c r="Q198"/>
  <c r="P104"/>
  <c r="R24"/>
  <c r="R40"/>
  <c r="R56"/>
  <c r="R120"/>
  <c r="S26"/>
  <c r="T31"/>
  <c r="S42"/>
  <c r="T47"/>
  <c r="AA47" s="1"/>
  <c r="T63"/>
  <c r="S70"/>
  <c r="U104"/>
  <c r="AB104" s="1"/>
  <c r="T127"/>
  <c r="S134"/>
  <c r="U25"/>
  <c r="S31"/>
  <c r="U41"/>
  <c r="AB41" s="1"/>
  <c r="S47"/>
  <c r="U77"/>
  <c r="S95"/>
  <c r="T136"/>
  <c r="AA136" s="1"/>
  <c r="U141"/>
  <c r="AB141" s="1"/>
  <c r="S159"/>
  <c r="S175"/>
  <c r="S191"/>
  <c r="T25"/>
  <c r="AA25" s="1"/>
  <c r="T41"/>
  <c r="U150"/>
  <c r="AB150" s="1"/>
  <c r="U166"/>
  <c r="AB166" s="1"/>
  <c r="U182"/>
  <c r="AB182" s="1"/>
  <c r="U198"/>
  <c r="V26"/>
  <c r="V42"/>
  <c r="U15"/>
  <c r="T70"/>
  <c r="T86"/>
  <c r="AA86" s="1"/>
  <c r="T102"/>
  <c r="AA102" s="1"/>
  <c r="T118"/>
  <c r="AA118" s="1"/>
  <c r="T134"/>
  <c r="T150"/>
  <c r="AA150" s="1"/>
  <c r="T166"/>
  <c r="T182"/>
  <c r="AA182" s="1"/>
  <c r="T198"/>
  <c r="W61"/>
  <c r="AG61" s="1"/>
  <c r="W77"/>
  <c r="AG77" s="1"/>
  <c r="W93"/>
  <c r="AG93" s="1"/>
  <c r="W109"/>
  <c r="AG109" s="1"/>
  <c r="W125"/>
  <c r="AG125" s="1"/>
  <c r="W141"/>
  <c r="AG141" s="1"/>
  <c r="W157"/>
  <c r="AG157" s="1"/>
  <c r="W173"/>
  <c r="AG173" s="1"/>
  <c r="W189"/>
  <c r="AG189" s="1"/>
  <c r="W205"/>
  <c r="AG205" s="1"/>
  <c r="BN168"/>
  <c r="BN157"/>
  <c r="BN152"/>
  <c r="BN141"/>
  <c r="BN120"/>
  <c r="BN109"/>
  <c r="BN88"/>
  <c r="BN77"/>
  <c r="BN72"/>
  <c r="BN56"/>
  <c r="BO15"/>
  <c r="BN189"/>
  <c r="K175"/>
  <c r="BM166"/>
  <c r="K159"/>
  <c r="BM150"/>
  <c r="K143"/>
  <c r="BM134"/>
  <c r="K127"/>
  <c r="BM118"/>
  <c r="K111"/>
  <c r="BM102"/>
  <c r="K95"/>
  <c r="BM86"/>
  <c r="K79"/>
  <c r="BM70"/>
  <c r="K63"/>
  <c r="K47"/>
  <c r="BM26"/>
  <c r="BO200"/>
  <c r="BO198"/>
  <c r="BO184"/>
  <c r="BO182"/>
  <c r="BO42"/>
  <c r="BO40"/>
  <c r="BO31"/>
  <c r="BO24"/>
  <c r="BO191"/>
  <c r="K41"/>
  <c r="K25"/>
  <c r="BN10"/>
  <c r="M77"/>
  <c r="L88"/>
  <c r="M141"/>
  <c r="M157"/>
  <c r="M173"/>
  <c r="M189"/>
  <c r="M205"/>
  <c r="M70"/>
  <c r="M86"/>
  <c r="M102"/>
  <c r="M118"/>
  <c r="M134"/>
  <c r="M150"/>
  <c r="M166"/>
  <c r="M182"/>
  <c r="M198"/>
  <c r="N72"/>
  <c r="M95"/>
  <c r="L102"/>
  <c r="N136"/>
  <c r="M159"/>
  <c r="M175"/>
  <c r="M191"/>
  <c r="Q88"/>
  <c r="Y88" s="1"/>
  <c r="Q152"/>
  <c r="Y152" s="1"/>
  <c r="Q168"/>
  <c r="Y168" s="1"/>
  <c r="Q184"/>
  <c r="Q200"/>
  <c r="Y200" s="1"/>
  <c r="P15"/>
  <c r="P31"/>
  <c r="P47"/>
  <c r="P63"/>
  <c r="P79"/>
  <c r="P95"/>
  <c r="P111"/>
  <c r="P127"/>
  <c r="P143"/>
  <c r="P159"/>
  <c r="P175"/>
  <c r="P191"/>
  <c r="P70"/>
  <c r="P86"/>
  <c r="P102"/>
  <c r="P118"/>
  <c r="P134"/>
  <c r="P150"/>
  <c r="P166"/>
  <c r="P182"/>
  <c r="P198"/>
  <c r="Q61"/>
  <c r="Q77"/>
  <c r="Q93"/>
  <c r="Q109"/>
  <c r="Y109" s="1"/>
  <c r="Q125"/>
  <c r="Q141"/>
  <c r="Q157"/>
  <c r="Q173"/>
  <c r="Q189"/>
  <c r="Q205"/>
  <c r="P24"/>
  <c r="P40"/>
  <c r="P56"/>
  <c r="P120"/>
  <c r="R72"/>
  <c r="R136"/>
  <c r="R26"/>
  <c r="R42"/>
  <c r="U24"/>
  <c r="Y24" s="1"/>
  <c r="U40"/>
  <c r="Y40" s="1"/>
  <c r="U56"/>
  <c r="Y56" s="1"/>
  <c r="T79"/>
  <c r="AA79" s="1"/>
  <c r="S86"/>
  <c r="U120"/>
  <c r="T143"/>
  <c r="AA143" s="1"/>
  <c r="S150"/>
  <c r="S166"/>
  <c r="S182"/>
  <c r="S198"/>
  <c r="T24"/>
  <c r="AA24" s="1"/>
  <c r="T40"/>
  <c r="S63"/>
  <c r="U93"/>
  <c r="AB93" s="1"/>
  <c r="S111"/>
  <c r="T152"/>
  <c r="U157"/>
  <c r="T168"/>
  <c r="AA168" s="1"/>
  <c r="U173"/>
  <c r="AB173" s="1"/>
  <c r="T184"/>
  <c r="U189"/>
  <c r="T200"/>
  <c r="AA200" s="1"/>
  <c r="U205"/>
  <c r="AB205" s="1"/>
  <c r="V31"/>
  <c r="V47"/>
  <c r="V63"/>
  <c r="V79"/>
  <c r="V95"/>
  <c r="V111"/>
  <c r="V127"/>
  <c r="V143"/>
  <c r="V159"/>
  <c r="V175"/>
  <c r="V191"/>
  <c r="U10"/>
  <c r="AB10" s="1"/>
  <c r="S24"/>
  <c r="S40"/>
  <c r="U86"/>
  <c r="AB86" s="1"/>
  <c r="T93"/>
  <c r="AA93" s="1"/>
  <c r="U118"/>
  <c r="T125"/>
  <c r="V70"/>
  <c r="V86"/>
  <c r="V102"/>
  <c r="V118"/>
  <c r="V134"/>
  <c r="V150"/>
  <c r="V166"/>
  <c r="V182"/>
  <c r="V198"/>
  <c r="T26"/>
  <c r="AA26" s="1"/>
  <c r="U31"/>
  <c r="T42"/>
  <c r="U47"/>
  <c r="AB47" s="1"/>
  <c r="U63"/>
  <c r="AB63" s="1"/>
  <c r="U79"/>
  <c r="U95"/>
  <c r="U111"/>
  <c r="AB111" s="1"/>
  <c r="U127"/>
  <c r="AB127" s="1"/>
  <c r="U143"/>
  <c r="U159"/>
  <c r="U175"/>
  <c r="AB175" s="1"/>
  <c r="U191"/>
  <c r="AB191" s="1"/>
  <c r="W25"/>
  <c r="AG25" s="1"/>
  <c r="W41"/>
  <c r="AG41" s="1"/>
  <c r="W26"/>
  <c r="AG26" s="1"/>
  <c r="W42"/>
  <c r="AG42" s="1"/>
  <c r="BO205"/>
  <c r="BM205"/>
  <c r="BN173"/>
  <c r="BN136"/>
  <c r="BN125"/>
  <c r="BN104"/>
  <c r="BN93"/>
  <c r="BN61"/>
  <c r="BM173"/>
  <c r="BM168"/>
  <c r="BM157"/>
  <c r="BM152"/>
  <c r="BM141"/>
  <c r="BM136"/>
  <c r="BM125"/>
  <c r="BM120"/>
  <c r="BM109"/>
  <c r="BM104"/>
  <c r="BM93"/>
  <c r="BM88"/>
  <c r="BM77"/>
  <c r="BM72"/>
  <c r="BM61"/>
  <c r="BM56"/>
  <c r="BN15"/>
  <c r="BM189"/>
  <c r="BM175"/>
  <c r="K166"/>
  <c r="BM159"/>
  <c r="K150"/>
  <c r="BM143"/>
  <c r="K134"/>
  <c r="BM127"/>
  <c r="K118"/>
  <c r="BM111"/>
  <c r="K102"/>
  <c r="BM95"/>
  <c r="K86"/>
  <c r="BM79"/>
  <c r="K70"/>
  <c r="BM63"/>
  <c r="BM47"/>
  <c r="K26"/>
  <c r="K200"/>
  <c r="BN198"/>
  <c r="K184"/>
  <c r="BN182"/>
  <c r="BN42"/>
  <c r="K40"/>
  <c r="BN31"/>
  <c r="K24"/>
  <c r="BN191"/>
  <c r="BO41"/>
  <c r="BO25"/>
  <c r="BM10"/>
  <c r="M25"/>
  <c r="M41"/>
  <c r="M93"/>
  <c r="L104"/>
  <c r="N31"/>
  <c r="N47"/>
  <c r="N63"/>
  <c r="N79"/>
  <c r="N95"/>
  <c r="N111"/>
  <c r="N127"/>
  <c r="N143"/>
  <c r="N159"/>
  <c r="N175"/>
  <c r="N191"/>
  <c r="N88"/>
  <c r="M111"/>
  <c r="L118"/>
  <c r="N152"/>
  <c r="N168"/>
  <c r="N184"/>
  <c r="N200"/>
  <c r="Q104"/>
  <c r="P61"/>
  <c r="P77"/>
  <c r="P93"/>
  <c r="P109"/>
  <c r="P125"/>
  <c r="P141"/>
  <c r="P157"/>
  <c r="P173"/>
  <c r="P189"/>
  <c r="P205"/>
  <c r="Q25"/>
  <c r="Q41"/>
  <c r="P72"/>
  <c r="P136"/>
  <c r="R61"/>
  <c r="R77"/>
  <c r="R93"/>
  <c r="R109"/>
  <c r="R125"/>
  <c r="R141"/>
  <c r="R157"/>
  <c r="R173"/>
  <c r="R189"/>
  <c r="R205"/>
  <c r="R88"/>
  <c r="R152"/>
  <c r="R168"/>
  <c r="R184"/>
  <c r="R200"/>
  <c r="R31"/>
  <c r="R47"/>
  <c r="R63"/>
  <c r="R79"/>
  <c r="R95"/>
  <c r="R111"/>
  <c r="R127"/>
  <c r="R143"/>
  <c r="R159"/>
  <c r="R175"/>
  <c r="R191"/>
  <c r="R70"/>
  <c r="R86"/>
  <c r="R102"/>
  <c r="R118"/>
  <c r="R134"/>
  <c r="R150"/>
  <c r="R166"/>
  <c r="R182"/>
  <c r="R198"/>
  <c r="V61"/>
  <c r="V109"/>
  <c r="V141"/>
  <c r="U72"/>
  <c r="T95"/>
  <c r="AA95" s="1"/>
  <c r="S102"/>
  <c r="U136"/>
  <c r="AB136" s="1"/>
  <c r="T159"/>
  <c r="AA159" s="1"/>
  <c r="T175"/>
  <c r="T191"/>
  <c r="V24"/>
  <c r="V40"/>
  <c r="V72"/>
  <c r="V104"/>
  <c r="U61"/>
  <c r="S127"/>
  <c r="U134"/>
  <c r="Y102"/>
  <c r="Y32"/>
  <c r="Y48"/>
  <c r="Y146"/>
  <c r="Y162"/>
  <c r="Y178"/>
  <c r="Y194"/>
  <c r="Y13"/>
  <c r="Y23"/>
  <c r="Y39"/>
  <c r="Y55"/>
  <c r="Y71"/>
  <c r="Y87"/>
  <c r="Y103"/>
  <c r="Y119"/>
  <c r="Y135"/>
  <c r="Y151"/>
  <c r="Y167"/>
  <c r="Y183"/>
  <c r="Y199"/>
  <c r="Y14"/>
  <c r="Y73"/>
  <c r="Y137"/>
  <c r="Y9"/>
  <c r="Y133"/>
  <c r="Y22"/>
  <c r="Y38"/>
  <c r="Y54"/>
  <c r="Y33"/>
  <c r="Y49"/>
  <c r="Y66"/>
  <c r="Y206"/>
  <c r="AD206"/>
  <c r="Y208"/>
  <c r="AD208"/>
  <c r="Y16"/>
  <c r="Y20"/>
  <c r="Y36"/>
  <c r="Y52"/>
  <c r="Y68"/>
  <c r="Y84"/>
  <c r="Y100"/>
  <c r="Y116"/>
  <c r="Y132"/>
  <c r="Y148"/>
  <c r="Y164"/>
  <c r="Y180"/>
  <c r="Y196"/>
  <c r="Y98"/>
  <c r="Y57"/>
  <c r="T96"/>
  <c r="AA96" s="1"/>
  <c r="T112"/>
  <c r="T128"/>
  <c r="AA128" s="1"/>
  <c r="T144"/>
  <c r="AA144" s="1"/>
  <c r="S80"/>
  <c r="S144"/>
  <c r="W144"/>
  <c r="AG144" s="1"/>
  <c r="Q64"/>
  <c r="Q80"/>
  <c r="Y80" s="1"/>
  <c r="Q96"/>
  <c r="Y96" s="1"/>
  <c r="Q112"/>
  <c r="Q128"/>
  <c r="Y128" s="1"/>
  <c r="Q144"/>
  <c r="Y144" s="1"/>
  <c r="Y30"/>
  <c r="Y46"/>
  <c r="Y110"/>
  <c r="Y85"/>
  <c r="P64"/>
  <c r="P80"/>
  <c r="P96"/>
  <c r="P112"/>
  <c r="P128"/>
  <c r="P144"/>
  <c r="R64"/>
  <c r="R80"/>
  <c r="R96"/>
  <c r="R112"/>
  <c r="R128"/>
  <c r="R144"/>
  <c r="S96"/>
  <c r="W96"/>
  <c r="AG96" s="1"/>
  <c r="L64"/>
  <c r="L80"/>
  <c r="L96"/>
  <c r="L112"/>
  <c r="L128"/>
  <c r="N64"/>
  <c r="N80"/>
  <c r="N96"/>
  <c r="N112"/>
  <c r="N128"/>
  <c r="N144"/>
  <c r="Y12"/>
  <c r="Y58"/>
  <c r="Y122"/>
  <c r="Y17"/>
  <c r="Y97"/>
  <c r="Y113"/>
  <c r="Y129"/>
  <c r="Y145"/>
  <c r="Y161"/>
  <c r="Y177"/>
  <c r="Y193"/>
  <c r="U64"/>
  <c r="AB64" s="1"/>
  <c r="U112"/>
  <c r="AB112" s="1"/>
  <c r="T64"/>
  <c r="AA64" s="1"/>
  <c r="S112"/>
  <c r="AE64"/>
  <c r="AF64" s="1"/>
  <c r="AX64"/>
  <c r="AW64"/>
  <c r="AE80"/>
  <c r="AF80" s="1"/>
  <c r="AX80"/>
  <c r="AW80"/>
  <c r="AE96"/>
  <c r="AF96" s="1"/>
  <c r="AX96"/>
  <c r="AW96"/>
  <c r="AE112"/>
  <c r="AF112" s="1"/>
  <c r="AX112"/>
  <c r="AW112"/>
  <c r="AE128"/>
  <c r="AF128" s="1"/>
  <c r="AX128"/>
  <c r="AW128"/>
  <c r="AE144"/>
  <c r="AF144" s="1"/>
  <c r="AX144"/>
  <c r="AW144"/>
  <c r="AE160"/>
  <c r="AF160" s="1"/>
  <c r="AX160"/>
  <c r="AW160"/>
  <c r="AE176"/>
  <c r="AF176" s="1"/>
  <c r="AX176"/>
  <c r="AW176"/>
  <c r="AE192"/>
  <c r="AF192" s="1"/>
  <c r="AX192"/>
  <c r="AW192"/>
  <c r="AX59"/>
  <c r="AE59"/>
  <c r="AF59" s="1"/>
  <c r="AW59"/>
  <c r="AX75"/>
  <c r="AE75"/>
  <c r="AF75" s="1"/>
  <c r="AW75"/>
  <c r="AX91"/>
  <c r="AE91"/>
  <c r="AF91" s="1"/>
  <c r="AW91"/>
  <c r="AX107"/>
  <c r="AE107"/>
  <c r="AF107" s="1"/>
  <c r="AW107"/>
  <c r="AX123"/>
  <c r="AE123"/>
  <c r="AF123" s="1"/>
  <c r="AW123"/>
  <c r="AX139"/>
  <c r="AE139"/>
  <c r="AF139" s="1"/>
  <c r="AW139"/>
  <c r="AX155"/>
  <c r="AE155"/>
  <c r="AF155" s="1"/>
  <c r="AW155"/>
  <c r="AX171"/>
  <c r="AE171"/>
  <c r="AF171" s="1"/>
  <c r="AW171"/>
  <c r="AX187"/>
  <c r="AE187"/>
  <c r="AF187" s="1"/>
  <c r="AW187"/>
  <c r="AX203"/>
  <c r="AE203"/>
  <c r="AF203" s="1"/>
  <c r="AW203"/>
  <c r="AE62"/>
  <c r="AF62" s="1"/>
  <c r="AX62"/>
  <c r="AW62"/>
  <c r="AE78"/>
  <c r="AF78" s="1"/>
  <c r="AX78"/>
  <c r="AW78"/>
  <c r="AE94"/>
  <c r="AF94" s="1"/>
  <c r="AX94"/>
  <c r="AW94"/>
  <c r="AE110"/>
  <c r="AF110" s="1"/>
  <c r="AX110"/>
  <c r="AW110"/>
  <c r="AE126"/>
  <c r="AF126" s="1"/>
  <c r="AX126"/>
  <c r="AW126"/>
  <c r="AE142"/>
  <c r="AF142" s="1"/>
  <c r="AX142"/>
  <c r="AW142"/>
  <c r="AE158"/>
  <c r="AF158" s="1"/>
  <c r="AX158"/>
  <c r="AW158"/>
  <c r="AE174"/>
  <c r="AF174" s="1"/>
  <c r="AX174"/>
  <c r="AW174"/>
  <c r="AE190"/>
  <c r="AF190" s="1"/>
  <c r="AX190"/>
  <c r="AW190"/>
  <c r="AX207"/>
  <c r="AW207"/>
  <c r="AX57"/>
  <c r="AW57"/>
  <c r="AE57"/>
  <c r="AF57" s="1"/>
  <c r="AX73"/>
  <c r="AW73"/>
  <c r="AE73"/>
  <c r="AF73" s="1"/>
  <c r="AX89"/>
  <c r="AW89"/>
  <c r="AE89"/>
  <c r="AF89" s="1"/>
  <c r="AX105"/>
  <c r="AW105"/>
  <c r="AE105"/>
  <c r="AF105" s="1"/>
  <c r="AX121"/>
  <c r="AW121"/>
  <c r="AE121"/>
  <c r="AF121" s="1"/>
  <c r="AX137"/>
  <c r="AW137"/>
  <c r="AE137"/>
  <c r="AF137" s="1"/>
  <c r="AX153"/>
  <c r="AW153"/>
  <c r="AE153"/>
  <c r="AF153" s="1"/>
  <c r="AX169"/>
  <c r="AW169"/>
  <c r="AE169"/>
  <c r="AF169" s="1"/>
  <c r="AX185"/>
  <c r="AW185"/>
  <c r="AE185"/>
  <c r="AF185" s="1"/>
  <c r="AX201"/>
  <c r="AW201"/>
  <c r="AE201"/>
  <c r="AF201" s="1"/>
  <c r="AE40"/>
  <c r="AF40" s="1"/>
  <c r="AX40"/>
  <c r="AW40"/>
  <c r="AE24"/>
  <c r="AF24" s="1"/>
  <c r="AX24"/>
  <c r="AW24"/>
  <c r="AX41"/>
  <c r="AW41"/>
  <c r="AE41"/>
  <c r="AF41" s="1"/>
  <c r="AX25"/>
  <c r="AW25"/>
  <c r="AE25"/>
  <c r="AF25" s="1"/>
  <c r="AE42"/>
  <c r="AF42" s="1"/>
  <c r="AX42"/>
  <c r="AW42"/>
  <c r="AE26"/>
  <c r="AF26" s="1"/>
  <c r="AX26"/>
  <c r="AW26"/>
  <c r="AX47"/>
  <c r="AE47"/>
  <c r="AF47" s="1"/>
  <c r="AW47"/>
  <c r="AX31"/>
  <c r="AE31"/>
  <c r="AF31" s="1"/>
  <c r="AW31"/>
  <c r="AE60"/>
  <c r="AF60" s="1"/>
  <c r="AX60"/>
  <c r="AW60"/>
  <c r="AE76"/>
  <c r="AF76" s="1"/>
  <c r="AX76"/>
  <c r="AW76"/>
  <c r="AE92"/>
  <c r="AF92" s="1"/>
  <c r="AX92"/>
  <c r="AW92"/>
  <c r="AE108"/>
  <c r="AF108" s="1"/>
  <c r="AX108"/>
  <c r="AW108"/>
  <c r="AE124"/>
  <c r="AF124" s="1"/>
  <c r="AX124"/>
  <c r="AW124"/>
  <c r="AE140"/>
  <c r="AF140" s="1"/>
  <c r="AX140"/>
  <c r="AW140"/>
  <c r="AE156"/>
  <c r="AF156" s="1"/>
  <c r="AX156"/>
  <c r="AW156"/>
  <c r="AE172"/>
  <c r="AF172" s="1"/>
  <c r="AX172"/>
  <c r="AW172"/>
  <c r="AE188"/>
  <c r="AF188" s="1"/>
  <c r="AX188"/>
  <c r="AW188"/>
  <c r="AE204"/>
  <c r="AF204" s="1"/>
  <c r="AX204"/>
  <c r="AW204"/>
  <c r="AX71"/>
  <c r="AE71"/>
  <c r="AF71" s="1"/>
  <c r="AW71"/>
  <c r="AX87"/>
  <c r="AE87"/>
  <c r="AF87" s="1"/>
  <c r="AW87"/>
  <c r="AX103"/>
  <c r="AE103"/>
  <c r="AF103" s="1"/>
  <c r="AW103"/>
  <c r="AX119"/>
  <c r="AE119"/>
  <c r="AF119" s="1"/>
  <c r="AW119"/>
  <c r="AX135"/>
  <c r="AE135"/>
  <c r="AF135" s="1"/>
  <c r="AW135"/>
  <c r="AX151"/>
  <c r="AE151"/>
  <c r="AF151" s="1"/>
  <c r="AW151"/>
  <c r="AX167"/>
  <c r="AE167"/>
  <c r="AF167" s="1"/>
  <c r="AW167"/>
  <c r="AX183"/>
  <c r="AE183"/>
  <c r="AF183" s="1"/>
  <c r="AW183"/>
  <c r="AX199"/>
  <c r="AE199"/>
  <c r="AF199" s="1"/>
  <c r="AW199"/>
  <c r="AE58"/>
  <c r="AF58" s="1"/>
  <c r="AX58"/>
  <c r="AW58"/>
  <c r="AE74"/>
  <c r="AF74" s="1"/>
  <c r="AX74"/>
  <c r="AW74"/>
  <c r="AE90"/>
  <c r="AF90" s="1"/>
  <c r="AX90"/>
  <c r="AW90"/>
  <c r="AE106"/>
  <c r="AF106" s="1"/>
  <c r="AX106"/>
  <c r="AW106"/>
  <c r="AE122"/>
  <c r="AF122" s="1"/>
  <c r="AX122"/>
  <c r="AW122"/>
  <c r="AE138"/>
  <c r="AF138" s="1"/>
  <c r="AX138"/>
  <c r="AW138"/>
  <c r="AE154"/>
  <c r="AF154" s="1"/>
  <c r="AX154"/>
  <c r="AW154"/>
  <c r="AE170"/>
  <c r="AF170" s="1"/>
  <c r="AX170"/>
  <c r="AW170"/>
  <c r="AE186"/>
  <c r="AF186" s="1"/>
  <c r="AX186"/>
  <c r="AW186"/>
  <c r="AE202"/>
  <c r="AF202" s="1"/>
  <c r="AX202"/>
  <c r="AW202"/>
  <c r="AX69"/>
  <c r="AW69"/>
  <c r="AE69"/>
  <c r="AF69" s="1"/>
  <c r="AX85"/>
  <c r="AW85"/>
  <c r="AE85"/>
  <c r="AF85" s="1"/>
  <c r="AX101"/>
  <c r="AW101"/>
  <c r="AE101"/>
  <c r="AF101" s="1"/>
  <c r="AX117"/>
  <c r="AW117"/>
  <c r="AE117"/>
  <c r="AF117" s="1"/>
  <c r="AX133"/>
  <c r="AW133"/>
  <c r="AE133"/>
  <c r="AF133" s="1"/>
  <c r="AX149"/>
  <c r="AW149"/>
  <c r="AE149"/>
  <c r="AF149" s="1"/>
  <c r="AX165"/>
  <c r="AW165"/>
  <c r="AE165"/>
  <c r="AF165" s="1"/>
  <c r="AX181"/>
  <c r="AW181"/>
  <c r="AE181"/>
  <c r="AF181" s="1"/>
  <c r="AX197"/>
  <c r="AW197"/>
  <c r="AE197"/>
  <c r="AE44"/>
  <c r="AF44" s="1"/>
  <c r="AX44"/>
  <c r="AW44"/>
  <c r="AE28"/>
  <c r="AF28" s="1"/>
  <c r="AX28"/>
  <c r="AW28"/>
  <c r="AX45"/>
  <c r="AW45"/>
  <c r="AE45"/>
  <c r="AF45" s="1"/>
  <c r="AX29"/>
  <c r="AW29"/>
  <c r="AE29"/>
  <c r="AE46"/>
  <c r="AF46" s="1"/>
  <c r="AX46"/>
  <c r="AW46"/>
  <c r="AE30"/>
  <c r="AF30" s="1"/>
  <c r="AX30"/>
  <c r="AW30"/>
  <c r="AX51"/>
  <c r="AE51"/>
  <c r="AF51" s="1"/>
  <c r="AW51"/>
  <c r="AX35"/>
  <c r="AE35"/>
  <c r="AF35" s="1"/>
  <c r="AW35"/>
  <c r="W56"/>
  <c r="AG56" s="1"/>
  <c r="AE56"/>
  <c r="AF56" s="1"/>
  <c r="AX56"/>
  <c r="AW56"/>
  <c r="S72"/>
  <c r="AE72"/>
  <c r="AF72" s="1"/>
  <c r="AX72"/>
  <c r="AW72"/>
  <c r="S88"/>
  <c r="AE88"/>
  <c r="AF88" s="1"/>
  <c r="AX88"/>
  <c r="AW88"/>
  <c r="S104"/>
  <c r="AE104"/>
  <c r="AF104" s="1"/>
  <c r="AX104"/>
  <c r="AW104"/>
  <c r="S120"/>
  <c r="AE120"/>
  <c r="AF120" s="1"/>
  <c r="AX120"/>
  <c r="AW120"/>
  <c r="S136"/>
  <c r="AE136"/>
  <c r="AF136" s="1"/>
  <c r="AX136"/>
  <c r="AW136"/>
  <c r="W152"/>
  <c r="AG152" s="1"/>
  <c r="AE152"/>
  <c r="AF152" s="1"/>
  <c r="AX152"/>
  <c r="AW152"/>
  <c r="W168"/>
  <c r="AG168" s="1"/>
  <c r="AE168"/>
  <c r="AF168" s="1"/>
  <c r="AX168"/>
  <c r="AW168"/>
  <c r="W184"/>
  <c r="AG184" s="1"/>
  <c r="AE184"/>
  <c r="AF184" s="1"/>
  <c r="AX184"/>
  <c r="AW184"/>
  <c r="W200"/>
  <c r="AG200" s="1"/>
  <c r="AE200"/>
  <c r="AF200" s="1"/>
  <c r="AX200"/>
  <c r="AW200"/>
  <c r="AX67"/>
  <c r="AE67"/>
  <c r="AF67" s="1"/>
  <c r="AW67"/>
  <c r="AX83"/>
  <c r="AE83"/>
  <c r="AF83" s="1"/>
  <c r="AW83"/>
  <c r="AX99"/>
  <c r="AE99"/>
  <c r="AW99"/>
  <c r="AX115"/>
  <c r="AE115"/>
  <c r="AF115" s="1"/>
  <c r="AW115"/>
  <c r="AX131"/>
  <c r="AE131"/>
  <c r="AF131" s="1"/>
  <c r="AW131"/>
  <c r="AX147"/>
  <c r="AE147"/>
  <c r="AF147" s="1"/>
  <c r="AW147"/>
  <c r="AX163"/>
  <c r="AE163"/>
  <c r="AF163" s="1"/>
  <c r="AW163"/>
  <c r="AX179"/>
  <c r="AE179"/>
  <c r="AF179" s="1"/>
  <c r="AW179"/>
  <c r="AX195"/>
  <c r="AE195"/>
  <c r="AF195" s="1"/>
  <c r="AW195"/>
  <c r="AE70"/>
  <c r="AF70" s="1"/>
  <c r="AX70"/>
  <c r="AW70"/>
  <c r="AE86"/>
  <c r="AF86" s="1"/>
  <c r="AX86"/>
  <c r="AW86"/>
  <c r="AE102"/>
  <c r="AF102" s="1"/>
  <c r="AX102"/>
  <c r="AW102"/>
  <c r="AE118"/>
  <c r="AF118" s="1"/>
  <c r="AX118"/>
  <c r="AW118"/>
  <c r="AE134"/>
  <c r="AX134"/>
  <c r="AW134"/>
  <c r="AE150"/>
  <c r="AF150" s="1"/>
  <c r="AX150"/>
  <c r="AW150"/>
  <c r="AE166"/>
  <c r="AF166" s="1"/>
  <c r="AX166"/>
  <c r="AW166"/>
  <c r="AE182"/>
  <c r="AX182"/>
  <c r="AW182"/>
  <c r="AE198"/>
  <c r="AF198" s="1"/>
  <c r="AX198"/>
  <c r="AW198"/>
  <c r="AX65"/>
  <c r="AW65"/>
  <c r="AE65"/>
  <c r="AF65" s="1"/>
  <c r="AX81"/>
  <c r="AW81"/>
  <c r="AE81"/>
  <c r="AF81" s="1"/>
  <c r="AX97"/>
  <c r="AW97"/>
  <c r="AE97"/>
  <c r="AF97" s="1"/>
  <c r="AX113"/>
  <c r="AW113"/>
  <c r="AE113"/>
  <c r="AF113" s="1"/>
  <c r="AX129"/>
  <c r="AW129"/>
  <c r="AE129"/>
  <c r="AF129" s="1"/>
  <c r="AX145"/>
  <c r="AW145"/>
  <c r="AE145"/>
  <c r="AF145" s="1"/>
  <c r="AX161"/>
  <c r="AW161"/>
  <c r="AE161"/>
  <c r="AF161" s="1"/>
  <c r="AX177"/>
  <c r="AW177"/>
  <c r="AE177"/>
  <c r="AF177" s="1"/>
  <c r="AX193"/>
  <c r="AW193"/>
  <c r="AE193"/>
  <c r="AF193" s="1"/>
  <c r="AE48"/>
  <c r="AF48" s="1"/>
  <c r="AX48"/>
  <c r="AW48"/>
  <c r="AE32"/>
  <c r="AF32" s="1"/>
  <c r="AX32"/>
  <c r="AW32"/>
  <c r="AX49"/>
  <c r="AW49"/>
  <c r="AE49"/>
  <c r="AF49" s="1"/>
  <c r="AX33"/>
  <c r="AW33"/>
  <c r="AE33"/>
  <c r="AF33" s="1"/>
  <c r="AE50"/>
  <c r="AF50" s="1"/>
  <c r="AX50"/>
  <c r="AW50"/>
  <c r="AE34"/>
  <c r="AF34" s="1"/>
  <c r="AX34"/>
  <c r="AW34"/>
  <c r="AX55"/>
  <c r="AE55"/>
  <c r="AF55" s="1"/>
  <c r="AW55"/>
  <c r="AX39"/>
  <c r="AE39"/>
  <c r="AF39" s="1"/>
  <c r="AW39"/>
  <c r="AX23"/>
  <c r="AE23"/>
  <c r="AF23" s="1"/>
  <c r="AW23"/>
  <c r="AE68"/>
  <c r="AF68" s="1"/>
  <c r="AX68"/>
  <c r="AW68"/>
  <c r="AE84"/>
  <c r="AF84" s="1"/>
  <c r="AX84"/>
  <c r="AW84"/>
  <c r="AE100"/>
  <c r="AF100" s="1"/>
  <c r="AX100"/>
  <c r="AW100"/>
  <c r="AE116"/>
  <c r="AF116" s="1"/>
  <c r="AX116"/>
  <c r="AW116"/>
  <c r="AE132"/>
  <c r="AF132" s="1"/>
  <c r="AX132"/>
  <c r="AW132"/>
  <c r="AE148"/>
  <c r="AF148" s="1"/>
  <c r="AX148"/>
  <c r="AW148"/>
  <c r="AE164"/>
  <c r="AX164"/>
  <c r="AW164"/>
  <c r="AE180"/>
  <c r="AF180" s="1"/>
  <c r="AX180"/>
  <c r="AW180"/>
  <c r="AE196"/>
  <c r="AF196" s="1"/>
  <c r="AX196"/>
  <c r="AW196"/>
  <c r="AX63"/>
  <c r="AE63"/>
  <c r="AF63" s="1"/>
  <c r="AW63"/>
  <c r="AX79"/>
  <c r="AE79"/>
  <c r="AF79" s="1"/>
  <c r="AW79"/>
  <c r="AX95"/>
  <c r="AE95"/>
  <c r="AF95" s="1"/>
  <c r="AW95"/>
  <c r="AX111"/>
  <c r="AE111"/>
  <c r="AF111" s="1"/>
  <c r="AW111"/>
  <c r="AX127"/>
  <c r="AE127"/>
  <c r="AF127" s="1"/>
  <c r="AW127"/>
  <c r="AX143"/>
  <c r="AE143"/>
  <c r="AF143" s="1"/>
  <c r="AW143"/>
  <c r="AX159"/>
  <c r="AE159"/>
  <c r="AF159" s="1"/>
  <c r="AW159"/>
  <c r="AX175"/>
  <c r="AE175"/>
  <c r="AF175" s="1"/>
  <c r="AW175"/>
  <c r="AX191"/>
  <c r="AE191"/>
  <c r="AF191" s="1"/>
  <c r="AW191"/>
  <c r="AX208"/>
  <c r="AW208"/>
  <c r="AE66"/>
  <c r="AF66" s="1"/>
  <c r="AX66"/>
  <c r="AW66"/>
  <c r="AE82"/>
  <c r="AF82" s="1"/>
  <c r="AX82"/>
  <c r="AW82"/>
  <c r="AE98"/>
  <c r="AF98" s="1"/>
  <c r="AX98"/>
  <c r="AW98"/>
  <c r="AE114"/>
  <c r="AF114" s="1"/>
  <c r="AX114"/>
  <c r="AW114"/>
  <c r="AE130"/>
  <c r="AF130" s="1"/>
  <c r="AX130"/>
  <c r="AW130"/>
  <c r="AE146"/>
  <c r="AF146" s="1"/>
  <c r="AX146"/>
  <c r="AW146"/>
  <c r="AE162"/>
  <c r="AF162" s="1"/>
  <c r="AX162"/>
  <c r="AW162"/>
  <c r="AE178"/>
  <c r="AF178" s="1"/>
  <c r="AX178"/>
  <c r="AW178"/>
  <c r="AE194"/>
  <c r="AF194" s="1"/>
  <c r="AX194"/>
  <c r="AW194"/>
  <c r="AX61"/>
  <c r="AW61"/>
  <c r="AE61"/>
  <c r="AF61" s="1"/>
  <c r="AX77"/>
  <c r="AW77"/>
  <c r="AE77"/>
  <c r="AF77" s="1"/>
  <c r="AX93"/>
  <c r="AW93"/>
  <c r="AE93"/>
  <c r="AF93" s="1"/>
  <c r="AX109"/>
  <c r="AW109"/>
  <c r="AE109"/>
  <c r="AF109" s="1"/>
  <c r="AX125"/>
  <c r="AW125"/>
  <c r="AE125"/>
  <c r="AF125" s="1"/>
  <c r="AX141"/>
  <c r="AW141"/>
  <c r="AE141"/>
  <c r="AF141" s="1"/>
  <c r="AX157"/>
  <c r="AW157"/>
  <c r="AE157"/>
  <c r="AF157" s="1"/>
  <c r="AX173"/>
  <c r="AW173"/>
  <c r="AE173"/>
  <c r="AF173" s="1"/>
  <c r="AX189"/>
  <c r="AW189"/>
  <c r="AE189"/>
  <c r="AF189" s="1"/>
  <c r="AX205"/>
  <c r="AW205"/>
  <c r="AE205"/>
  <c r="AF205" s="1"/>
  <c r="AE52"/>
  <c r="AF52" s="1"/>
  <c r="AX52"/>
  <c r="AW52"/>
  <c r="AE36"/>
  <c r="AF36" s="1"/>
  <c r="AX36"/>
  <c r="AW36"/>
  <c r="AE20"/>
  <c r="AF20" s="1"/>
  <c r="AX20"/>
  <c r="AW20"/>
  <c r="AX53"/>
  <c r="AW53"/>
  <c r="AE53"/>
  <c r="AF53" s="1"/>
  <c r="AX37"/>
  <c r="AW37"/>
  <c r="AE37"/>
  <c r="AF37" s="1"/>
  <c r="AX21"/>
  <c r="AW21"/>
  <c r="AE21"/>
  <c r="AF21" s="1"/>
  <c r="AE54"/>
  <c r="AF54" s="1"/>
  <c r="AX54"/>
  <c r="AW54"/>
  <c r="AE38"/>
  <c r="AF38" s="1"/>
  <c r="AX38"/>
  <c r="AW38"/>
  <c r="AE22"/>
  <c r="AF22" s="1"/>
  <c r="AX22"/>
  <c r="AW22"/>
  <c r="AX43"/>
  <c r="AE43"/>
  <c r="AF43" s="1"/>
  <c r="AW43"/>
  <c r="AX27"/>
  <c r="AE27"/>
  <c r="AF27" s="1"/>
  <c r="AW27"/>
  <c r="T56"/>
  <c r="AA56" s="1"/>
  <c r="T72"/>
  <c r="AA72" s="1"/>
  <c r="T88"/>
  <c r="AA88" s="1"/>
  <c r="W88"/>
  <c r="AG88" s="1"/>
  <c r="W104"/>
  <c r="AG104" s="1"/>
  <c r="W120"/>
  <c r="AG120" s="1"/>
  <c r="W136"/>
  <c r="AG136" s="1"/>
  <c r="S56"/>
  <c r="AF164"/>
  <c r="AF197"/>
  <c r="AF29"/>
  <c r="AF99"/>
  <c r="AF134"/>
  <c r="AF182"/>
  <c r="K11"/>
  <c r="AB9"/>
  <c r="AC68"/>
  <c r="AC84"/>
  <c r="AC100"/>
  <c r="AC116"/>
  <c r="AC132"/>
  <c r="AC148"/>
  <c r="AC164"/>
  <c r="AC180"/>
  <c r="AC196"/>
  <c r="AC63"/>
  <c r="AC79"/>
  <c r="AC95"/>
  <c r="AC111"/>
  <c r="AC127"/>
  <c r="AC143"/>
  <c r="AC159"/>
  <c r="AC175"/>
  <c r="AC191"/>
  <c r="AC66"/>
  <c r="AC82"/>
  <c r="AC98"/>
  <c r="AC114"/>
  <c r="AC130"/>
  <c r="AC146"/>
  <c r="AC162"/>
  <c r="AC178"/>
  <c r="AC194"/>
  <c r="AC57"/>
  <c r="AC73"/>
  <c r="AC89"/>
  <c r="AC105"/>
  <c r="AC121"/>
  <c r="AC137"/>
  <c r="AC153"/>
  <c r="AC169"/>
  <c r="AC185"/>
  <c r="AC201"/>
  <c r="AC40"/>
  <c r="AC24"/>
  <c r="AC41"/>
  <c r="AC25"/>
  <c r="AC42"/>
  <c r="AC26"/>
  <c r="AC47"/>
  <c r="AC31"/>
  <c r="AC64"/>
  <c r="AC80"/>
  <c r="AC96"/>
  <c r="AC112"/>
  <c r="AC128"/>
  <c r="AC144"/>
  <c r="AC160"/>
  <c r="AC176"/>
  <c r="AC192"/>
  <c r="AC59"/>
  <c r="AC75"/>
  <c r="AC91"/>
  <c r="AC107"/>
  <c r="AC123"/>
  <c r="AC139"/>
  <c r="AC155"/>
  <c r="AC171"/>
  <c r="AC187"/>
  <c r="AC203"/>
  <c r="AC62"/>
  <c r="AC78"/>
  <c r="AC94"/>
  <c r="AC110"/>
  <c r="AC126"/>
  <c r="AC142"/>
  <c r="AC158"/>
  <c r="AC174"/>
  <c r="AC190"/>
  <c r="AC69"/>
  <c r="AC85"/>
  <c r="AC101"/>
  <c r="AC117"/>
  <c r="AC133"/>
  <c r="AC149"/>
  <c r="AC165"/>
  <c r="AC181"/>
  <c r="AC197"/>
  <c r="AC44"/>
  <c r="AC28"/>
  <c r="AC45"/>
  <c r="AC29"/>
  <c r="AC46"/>
  <c r="AC30"/>
  <c r="AC51"/>
  <c r="AC35"/>
  <c r="AC60"/>
  <c r="AC76"/>
  <c r="AC92"/>
  <c r="AC108"/>
  <c r="AC124"/>
  <c r="AC140"/>
  <c r="AC156"/>
  <c r="AC172"/>
  <c r="AC188"/>
  <c r="AC204"/>
  <c r="AC71"/>
  <c r="AC87"/>
  <c r="AC103"/>
  <c r="AC119"/>
  <c r="AC135"/>
  <c r="AC151"/>
  <c r="AC167"/>
  <c r="AC183"/>
  <c r="AC199"/>
  <c r="AC58"/>
  <c r="AC74"/>
  <c r="AC90"/>
  <c r="AC106"/>
  <c r="AC122"/>
  <c r="AC138"/>
  <c r="AC154"/>
  <c r="AC170"/>
  <c r="AC186"/>
  <c r="AC202"/>
  <c r="AC65"/>
  <c r="AC81"/>
  <c r="AC97"/>
  <c r="AC113"/>
  <c r="AC129"/>
  <c r="AC145"/>
  <c r="AC161"/>
  <c r="AC177"/>
  <c r="AC193"/>
  <c r="AC48"/>
  <c r="AC32"/>
  <c r="AC49"/>
  <c r="AC33"/>
  <c r="AC50"/>
  <c r="AC34"/>
  <c r="AC55"/>
  <c r="AC39"/>
  <c r="AC23"/>
  <c r="AC56"/>
  <c r="AC72"/>
  <c r="AC88"/>
  <c r="AC104"/>
  <c r="AC120"/>
  <c r="AC136"/>
  <c r="AC152"/>
  <c r="AC168"/>
  <c r="AC184"/>
  <c r="AC200"/>
  <c r="AC67"/>
  <c r="AC83"/>
  <c r="AC99"/>
  <c r="AC115"/>
  <c r="AC131"/>
  <c r="AC147"/>
  <c r="AC163"/>
  <c r="AC179"/>
  <c r="AC195"/>
  <c r="AC70"/>
  <c r="AC86"/>
  <c r="AC102"/>
  <c r="AC118"/>
  <c r="AC134"/>
  <c r="AC150"/>
  <c r="AC166"/>
  <c r="AC182"/>
  <c r="AC198"/>
  <c r="AC61"/>
  <c r="AC77"/>
  <c r="AC93"/>
  <c r="AC109"/>
  <c r="AC125"/>
  <c r="AC141"/>
  <c r="AC157"/>
  <c r="AC173"/>
  <c r="AC189"/>
  <c r="AC205"/>
  <c r="AC52"/>
  <c r="AC36"/>
  <c r="AC20"/>
  <c r="AC53"/>
  <c r="AC37"/>
  <c r="AC21"/>
  <c r="AC54"/>
  <c r="AC38"/>
  <c r="AC22"/>
  <c r="AC43"/>
  <c r="AC27"/>
  <c r="Y7"/>
  <c r="Y8"/>
  <c r="AB88"/>
  <c r="AA104"/>
  <c r="AB120"/>
  <c r="AA120"/>
  <c r="AB152"/>
  <c r="AA152"/>
  <c r="AB168"/>
  <c r="AA184"/>
  <c r="AB200"/>
  <c r="AB67"/>
  <c r="AA67"/>
  <c r="AB83"/>
  <c r="AA83"/>
  <c r="AB99"/>
  <c r="AA99"/>
  <c r="AB115"/>
  <c r="AA115"/>
  <c r="AB131"/>
  <c r="AA131"/>
  <c r="AB147"/>
  <c r="AA147"/>
  <c r="AB163"/>
  <c r="AA163"/>
  <c r="AB179"/>
  <c r="AA179"/>
  <c r="AB195"/>
  <c r="AA195"/>
  <c r="AB70"/>
  <c r="AA70"/>
  <c r="AB102"/>
  <c r="AB118"/>
  <c r="AB134"/>
  <c r="AA134"/>
  <c r="AA166"/>
  <c r="AB198"/>
  <c r="AA198"/>
  <c r="AA61"/>
  <c r="AB77"/>
  <c r="AA77"/>
  <c r="AB109"/>
  <c r="AB125"/>
  <c r="AA125"/>
  <c r="AA141"/>
  <c r="AB157"/>
  <c r="AA157"/>
  <c r="AA173"/>
  <c r="AB189"/>
  <c r="AA189"/>
  <c r="AA205"/>
  <c r="AB52"/>
  <c r="AA52"/>
  <c r="AB36"/>
  <c r="AA36"/>
  <c r="AB20"/>
  <c r="AA20"/>
  <c r="AB53"/>
  <c r="AA53"/>
  <c r="AB37"/>
  <c r="AA37"/>
  <c r="AB21"/>
  <c r="AA21"/>
  <c r="AB54"/>
  <c r="AA54"/>
  <c r="AB38"/>
  <c r="AA38"/>
  <c r="AB22"/>
  <c r="AA22"/>
  <c r="AB43"/>
  <c r="AA43"/>
  <c r="AB27"/>
  <c r="AA27"/>
  <c r="AB11"/>
  <c r="AA11"/>
  <c r="AB68"/>
  <c r="AA68"/>
  <c r="AB84"/>
  <c r="AA84"/>
  <c r="AB100"/>
  <c r="AA100"/>
  <c r="AB116"/>
  <c r="AA116"/>
  <c r="AB132"/>
  <c r="AA132"/>
  <c r="AB148"/>
  <c r="AA148"/>
  <c r="AB164"/>
  <c r="AA164"/>
  <c r="AB180"/>
  <c r="AA180"/>
  <c r="AB196"/>
  <c r="AA196"/>
  <c r="AA63"/>
  <c r="AB79"/>
  <c r="AB95"/>
  <c r="AA111"/>
  <c r="AA127"/>
  <c r="AB143"/>
  <c r="AB159"/>
  <c r="AA175"/>
  <c r="AA191"/>
  <c r="AB66"/>
  <c r="AA66"/>
  <c r="AB82"/>
  <c r="AA82"/>
  <c r="AB98"/>
  <c r="AA98"/>
  <c r="AB114"/>
  <c r="AA114"/>
  <c r="AB130"/>
  <c r="AA130"/>
  <c r="AB146"/>
  <c r="AA146"/>
  <c r="AB162"/>
  <c r="AA162"/>
  <c r="AB178"/>
  <c r="AA178"/>
  <c r="AB194"/>
  <c r="AA194"/>
  <c r="AB57"/>
  <c r="AA57"/>
  <c r="AB73"/>
  <c r="AA73"/>
  <c r="AB89"/>
  <c r="AA89"/>
  <c r="AB105"/>
  <c r="AA105"/>
  <c r="AB121"/>
  <c r="AA121"/>
  <c r="AB137"/>
  <c r="AA137"/>
  <c r="AB153"/>
  <c r="AA153"/>
  <c r="AB169"/>
  <c r="AA169"/>
  <c r="AB185"/>
  <c r="AA185"/>
  <c r="AB201"/>
  <c r="AA201"/>
  <c r="AB40"/>
  <c r="AA40"/>
  <c r="AB24"/>
  <c r="AA41"/>
  <c r="AB25"/>
  <c r="AB42"/>
  <c r="AA42"/>
  <c r="AB26"/>
  <c r="AB31"/>
  <c r="AA31"/>
  <c r="AB80"/>
  <c r="AA80"/>
  <c r="AB96"/>
  <c r="AA112"/>
  <c r="AB128"/>
  <c r="AB144"/>
  <c r="AB160"/>
  <c r="AA160"/>
  <c r="AB176"/>
  <c r="AA176"/>
  <c r="AB192"/>
  <c r="AA192"/>
  <c r="AB59"/>
  <c r="AA59"/>
  <c r="AB75"/>
  <c r="AA75"/>
  <c r="AB91"/>
  <c r="AA91"/>
  <c r="AB107"/>
  <c r="AA107"/>
  <c r="AB123"/>
  <c r="AA123"/>
  <c r="AB139"/>
  <c r="AA139"/>
  <c r="AB155"/>
  <c r="AA155"/>
  <c r="AB171"/>
  <c r="AA171"/>
  <c r="AB187"/>
  <c r="AA187"/>
  <c r="AB203"/>
  <c r="AA203"/>
  <c r="AB62"/>
  <c r="AA62"/>
  <c r="AB78"/>
  <c r="AA78"/>
  <c r="AB94"/>
  <c r="AA94"/>
  <c r="AB110"/>
  <c r="AA110"/>
  <c r="AB126"/>
  <c r="AA126"/>
  <c r="AB142"/>
  <c r="AA142"/>
  <c r="AB158"/>
  <c r="AA158"/>
  <c r="AB174"/>
  <c r="AA174"/>
  <c r="AB190"/>
  <c r="AA190"/>
  <c r="AB69"/>
  <c r="AA69"/>
  <c r="AB85"/>
  <c r="AA85"/>
  <c r="AB101"/>
  <c r="AA101"/>
  <c r="AB117"/>
  <c r="AA117"/>
  <c r="AB133"/>
  <c r="AA133"/>
  <c r="AB149"/>
  <c r="AA149"/>
  <c r="AB165"/>
  <c r="AA165"/>
  <c r="AB181"/>
  <c r="AA181"/>
  <c r="AB197"/>
  <c r="AA197"/>
  <c r="AB44"/>
  <c r="AA44"/>
  <c r="AB28"/>
  <c r="AA28"/>
  <c r="AB12"/>
  <c r="AA12"/>
  <c r="AB45"/>
  <c r="AA45"/>
  <c r="AB29"/>
  <c r="AA29"/>
  <c r="AB13"/>
  <c r="AA13"/>
  <c r="AB46"/>
  <c r="AA46"/>
  <c r="AB30"/>
  <c r="AA30"/>
  <c r="AB14"/>
  <c r="AA14"/>
  <c r="AB51"/>
  <c r="AA51"/>
  <c r="AB35"/>
  <c r="AA35"/>
  <c r="AB19"/>
  <c r="AA19"/>
  <c r="AB60"/>
  <c r="AA60"/>
  <c r="AB76"/>
  <c r="AA76"/>
  <c r="AB92"/>
  <c r="AA92"/>
  <c r="AB108"/>
  <c r="AA108"/>
  <c r="AB124"/>
  <c r="AA124"/>
  <c r="AB140"/>
  <c r="AA140"/>
  <c r="AB156"/>
  <c r="AA156"/>
  <c r="AB172"/>
  <c r="AA172"/>
  <c r="AB188"/>
  <c r="AA188"/>
  <c r="AB204"/>
  <c r="AA204"/>
  <c r="AB71"/>
  <c r="AA71"/>
  <c r="AB87"/>
  <c r="AA87"/>
  <c r="AB103"/>
  <c r="AA103"/>
  <c r="AB119"/>
  <c r="AA119"/>
  <c r="AB135"/>
  <c r="AA135"/>
  <c r="AB151"/>
  <c r="AA151"/>
  <c r="AB167"/>
  <c r="AA167"/>
  <c r="AB183"/>
  <c r="AA183"/>
  <c r="AB199"/>
  <c r="AA199"/>
  <c r="AB58"/>
  <c r="AA58"/>
  <c r="AB74"/>
  <c r="AA74"/>
  <c r="AB90"/>
  <c r="AA90"/>
  <c r="AB106"/>
  <c r="AA106"/>
  <c r="AB122"/>
  <c r="AA122"/>
  <c r="AB138"/>
  <c r="AA138"/>
  <c r="AB154"/>
  <c r="AA154"/>
  <c r="AB170"/>
  <c r="AA170"/>
  <c r="AB186"/>
  <c r="AA186"/>
  <c r="AB202"/>
  <c r="AA202"/>
  <c r="AB65"/>
  <c r="AA65"/>
  <c r="AB81"/>
  <c r="AA81"/>
  <c r="AB97"/>
  <c r="AA97"/>
  <c r="AB113"/>
  <c r="AA113"/>
  <c r="AB129"/>
  <c r="AA129"/>
  <c r="AB145"/>
  <c r="AA145"/>
  <c r="AB161"/>
  <c r="AA161"/>
  <c r="AB177"/>
  <c r="AA177"/>
  <c r="AB193"/>
  <c r="AA193"/>
  <c r="AA9"/>
  <c r="AB48"/>
  <c r="AA48"/>
  <c r="AB32"/>
  <c r="AA32"/>
  <c r="AB16"/>
  <c r="AA16"/>
  <c r="AB49"/>
  <c r="AA49"/>
  <c r="AB33"/>
  <c r="AA33"/>
  <c r="AB17"/>
  <c r="AA17"/>
  <c r="AB50"/>
  <c r="AA50"/>
  <c r="AB34"/>
  <c r="AA34"/>
  <c r="AB18"/>
  <c r="AA18"/>
  <c r="AB55"/>
  <c r="AA55"/>
  <c r="AB39"/>
  <c r="AA39"/>
  <c r="AB23"/>
  <c r="AA23"/>
  <c r="M68"/>
  <c r="M84"/>
  <c r="M100"/>
  <c r="M116"/>
  <c r="M132"/>
  <c r="M148"/>
  <c r="M164"/>
  <c r="M180"/>
  <c r="M196"/>
  <c r="L63"/>
  <c r="L79"/>
  <c r="L95"/>
  <c r="L111"/>
  <c r="L127"/>
  <c r="L143"/>
  <c r="L159"/>
  <c r="L175"/>
  <c r="L191"/>
  <c r="N66"/>
  <c r="N82"/>
  <c r="N98"/>
  <c r="N114"/>
  <c r="N130"/>
  <c r="N146"/>
  <c r="N162"/>
  <c r="N178"/>
  <c r="N194"/>
  <c r="N57"/>
  <c r="AD57" s="1"/>
  <c r="N73"/>
  <c r="AD73" s="1"/>
  <c r="N89"/>
  <c r="AD89" s="1"/>
  <c r="N105"/>
  <c r="AD105" s="1"/>
  <c r="N121"/>
  <c r="AD121" s="1"/>
  <c r="N137"/>
  <c r="AD137" s="1"/>
  <c r="N153"/>
  <c r="N169"/>
  <c r="AD169" s="1"/>
  <c r="N185"/>
  <c r="AD185" s="1"/>
  <c r="N201"/>
  <c r="AD201" s="1"/>
  <c r="M44"/>
  <c r="AD44" s="1"/>
  <c r="M28"/>
  <c r="AD28" s="1"/>
  <c r="M12"/>
  <c r="N45"/>
  <c r="N29"/>
  <c r="AD29" s="1"/>
  <c r="N13"/>
  <c r="N46"/>
  <c r="N30"/>
  <c r="N14"/>
  <c r="L51"/>
  <c r="AD51" s="1"/>
  <c r="L35"/>
  <c r="AD35" s="1"/>
  <c r="L19"/>
  <c r="M64"/>
  <c r="M80"/>
  <c r="M96"/>
  <c r="M112"/>
  <c r="M128"/>
  <c r="M144"/>
  <c r="M160"/>
  <c r="AD160" s="1"/>
  <c r="M176"/>
  <c r="AD176" s="1"/>
  <c r="M192"/>
  <c r="AD192" s="1"/>
  <c r="L59"/>
  <c r="AD59" s="1"/>
  <c r="L75"/>
  <c r="AD75" s="1"/>
  <c r="L91"/>
  <c r="AD91" s="1"/>
  <c r="L107"/>
  <c r="AD107" s="1"/>
  <c r="L123"/>
  <c r="AD123" s="1"/>
  <c r="L139"/>
  <c r="AD139" s="1"/>
  <c r="L155"/>
  <c r="AD155" s="1"/>
  <c r="L171"/>
  <c r="AD171" s="1"/>
  <c r="L187"/>
  <c r="AD187" s="1"/>
  <c r="L203"/>
  <c r="AD203" s="1"/>
  <c r="N62"/>
  <c r="N78"/>
  <c r="N94"/>
  <c r="N110"/>
  <c r="N126"/>
  <c r="N142"/>
  <c r="N158"/>
  <c r="N174"/>
  <c r="N190"/>
  <c r="N69"/>
  <c r="N85"/>
  <c r="AD85" s="1"/>
  <c r="N101"/>
  <c r="AD101" s="1"/>
  <c r="N117"/>
  <c r="AD117" s="1"/>
  <c r="N133"/>
  <c r="N149"/>
  <c r="AD149" s="1"/>
  <c r="N165"/>
  <c r="AD165" s="1"/>
  <c r="N181"/>
  <c r="AD181" s="1"/>
  <c r="N197"/>
  <c r="M48"/>
  <c r="AD48" s="1"/>
  <c r="M32"/>
  <c r="AD32" s="1"/>
  <c r="M16"/>
  <c r="N49"/>
  <c r="AD49" s="1"/>
  <c r="N33"/>
  <c r="AD33" s="1"/>
  <c r="N17"/>
  <c r="N50"/>
  <c r="N34"/>
  <c r="N18"/>
  <c r="L55"/>
  <c r="AD55" s="1"/>
  <c r="L39"/>
  <c r="AD39" s="1"/>
  <c r="L23"/>
  <c r="AD23" s="1"/>
  <c r="W68"/>
  <c r="AG68" s="1"/>
  <c r="W84"/>
  <c r="AG84" s="1"/>
  <c r="M60"/>
  <c r="AD60" s="1"/>
  <c r="M76"/>
  <c r="M92"/>
  <c r="AD92" s="1"/>
  <c r="M108"/>
  <c r="AD108" s="1"/>
  <c r="M124"/>
  <c r="AD124" s="1"/>
  <c r="M140"/>
  <c r="M156"/>
  <c r="AD156" s="1"/>
  <c r="M172"/>
  <c r="AD172" s="1"/>
  <c r="M188"/>
  <c r="AD188" s="1"/>
  <c r="M204"/>
  <c r="L71"/>
  <c r="AD71" s="1"/>
  <c r="L87"/>
  <c r="AD87" s="1"/>
  <c r="L103"/>
  <c r="AD103" s="1"/>
  <c r="L119"/>
  <c r="AD119" s="1"/>
  <c r="L135"/>
  <c r="AD135" s="1"/>
  <c r="L151"/>
  <c r="AD151" s="1"/>
  <c r="L167"/>
  <c r="AD167" s="1"/>
  <c r="L183"/>
  <c r="AD183" s="1"/>
  <c r="L199"/>
  <c r="AD199" s="1"/>
  <c r="N58"/>
  <c r="AD58" s="1"/>
  <c r="N74"/>
  <c r="AD74" s="1"/>
  <c r="N90"/>
  <c r="AD90" s="1"/>
  <c r="N106"/>
  <c r="AD106" s="1"/>
  <c r="N122"/>
  <c r="AD122" s="1"/>
  <c r="N138"/>
  <c r="AD138" s="1"/>
  <c r="N154"/>
  <c r="AD154" s="1"/>
  <c r="N170"/>
  <c r="AD170" s="1"/>
  <c r="N186"/>
  <c r="AD186" s="1"/>
  <c r="N202"/>
  <c r="AD202" s="1"/>
  <c r="N65"/>
  <c r="AD65" s="1"/>
  <c r="N81"/>
  <c r="AD81" s="1"/>
  <c r="N97"/>
  <c r="AD97" s="1"/>
  <c r="N113"/>
  <c r="N129"/>
  <c r="AD129" s="1"/>
  <c r="N145"/>
  <c r="AD145" s="1"/>
  <c r="N161"/>
  <c r="AD161" s="1"/>
  <c r="N177"/>
  <c r="N193"/>
  <c r="AD193" s="1"/>
  <c r="M9"/>
  <c r="M52"/>
  <c r="M36"/>
  <c r="M20"/>
  <c r="N53"/>
  <c r="AD53" s="1"/>
  <c r="N37"/>
  <c r="AD37" s="1"/>
  <c r="N21"/>
  <c r="AD21" s="1"/>
  <c r="N54"/>
  <c r="AD54" s="1"/>
  <c r="N38"/>
  <c r="AD38" s="1"/>
  <c r="N22"/>
  <c r="L43"/>
  <c r="AD43" s="1"/>
  <c r="L27"/>
  <c r="AD27" s="1"/>
  <c r="L11"/>
  <c r="M56"/>
  <c r="M72"/>
  <c r="M88"/>
  <c r="M104"/>
  <c r="M120"/>
  <c r="M136"/>
  <c r="M152"/>
  <c r="M168"/>
  <c r="M184"/>
  <c r="M200"/>
  <c r="L67"/>
  <c r="AD67" s="1"/>
  <c r="L83"/>
  <c r="AD83" s="1"/>
  <c r="L99"/>
  <c r="AD99" s="1"/>
  <c r="L115"/>
  <c r="AD115" s="1"/>
  <c r="L131"/>
  <c r="AD131" s="1"/>
  <c r="L147"/>
  <c r="AD147" s="1"/>
  <c r="L163"/>
  <c r="AD163" s="1"/>
  <c r="L179"/>
  <c r="AD179" s="1"/>
  <c r="L195"/>
  <c r="AD195" s="1"/>
  <c r="N70"/>
  <c r="AD70" s="1"/>
  <c r="N86"/>
  <c r="N102"/>
  <c r="N118"/>
  <c r="N134"/>
  <c r="AD134" s="1"/>
  <c r="N150"/>
  <c r="N166"/>
  <c r="N182"/>
  <c r="N198"/>
  <c r="AD198" s="1"/>
  <c r="N61"/>
  <c r="N77"/>
  <c r="N93"/>
  <c r="N109"/>
  <c r="N125"/>
  <c r="N141"/>
  <c r="N157"/>
  <c r="N173"/>
  <c r="N189"/>
  <c r="N205"/>
  <c r="K205"/>
  <c r="M40"/>
  <c r="M24"/>
  <c r="N41"/>
  <c r="N25"/>
  <c r="N42"/>
  <c r="AD42" s="1"/>
  <c r="N26"/>
  <c r="N10"/>
  <c r="L47"/>
  <c r="L31"/>
  <c r="AD31" s="1"/>
  <c r="L15"/>
  <c r="K12"/>
  <c r="K18"/>
  <c r="K14"/>
  <c r="K10"/>
  <c r="K17"/>
  <c r="K13"/>
  <c r="K15"/>
  <c r="K16"/>
  <c r="K19"/>
  <c r="K9"/>
  <c r="AF8"/>
  <c r="Y141" l="1"/>
  <c r="EA184" i="9"/>
  <c r="Y134" i="20"/>
  <c r="Y77"/>
  <c r="EA132" i="9"/>
  <c r="Y25" i="20"/>
  <c r="EA10" i="9"/>
  <c r="Y72" i="20"/>
  <c r="EA64" i="9"/>
  <c r="EA144"/>
  <c r="EA168"/>
  <c r="EA44"/>
  <c r="EA27"/>
  <c r="EA131"/>
  <c r="EA139"/>
  <c r="AA15" i="20"/>
  <c r="Y41"/>
  <c r="Y120"/>
  <c r="Y125"/>
  <c r="Y70"/>
  <c r="AA10"/>
  <c r="AD200"/>
  <c r="AB72"/>
  <c r="Y184"/>
  <c r="Y26"/>
  <c r="AD143"/>
  <c r="AD79"/>
  <c r="AB56"/>
  <c r="Y61"/>
  <c r="Y104"/>
  <c r="Y198"/>
  <c r="Y166"/>
  <c r="Y159"/>
  <c r="Y95"/>
  <c r="Y31"/>
  <c r="Y205"/>
  <c r="AD24"/>
  <c r="AD189"/>
  <c r="AD125"/>
  <c r="AD61"/>
  <c r="AD159"/>
  <c r="AD95"/>
  <c r="AB15"/>
  <c r="AB61"/>
  <c r="Y136"/>
  <c r="Y157"/>
  <c r="Y93"/>
  <c r="Y182"/>
  <c r="Y118"/>
  <c r="Y175"/>
  <c r="Y111"/>
  <c r="Y47"/>
  <c r="Y10"/>
  <c r="AD26"/>
  <c r="AD41"/>
  <c r="AD205"/>
  <c r="AD141"/>
  <c r="AD77"/>
  <c r="AD136"/>
  <c r="AD175"/>
  <c r="AD111"/>
  <c r="Y173"/>
  <c r="Y191"/>
  <c r="Y127"/>
  <c r="Y63"/>
  <c r="AD47"/>
  <c r="AD25"/>
  <c r="AD182"/>
  <c r="AD118"/>
  <c r="AD152"/>
  <c r="AD88"/>
  <c r="AD191"/>
  <c r="AD127"/>
  <c r="AD63"/>
  <c r="Y189"/>
  <c r="Y150"/>
  <c r="Y86"/>
  <c r="Y143"/>
  <c r="Y79"/>
  <c r="Y15"/>
  <c r="AD96"/>
  <c r="AD72"/>
  <c r="AD128"/>
  <c r="AD64"/>
  <c r="AD112"/>
  <c r="AD144"/>
  <c r="AD80"/>
  <c r="Y112"/>
  <c r="Y64"/>
  <c r="AD174"/>
  <c r="AD110"/>
  <c r="AD46"/>
  <c r="AD196"/>
  <c r="AD164"/>
  <c r="AD132"/>
  <c r="AD100"/>
  <c r="AD68"/>
  <c r="AD36"/>
  <c r="AD177"/>
  <c r="AD113"/>
  <c r="AD150"/>
  <c r="AD86"/>
  <c r="AD22"/>
  <c r="AD157"/>
  <c r="AD93"/>
  <c r="AD184"/>
  <c r="AD120"/>
  <c r="AD56"/>
  <c r="AD194"/>
  <c r="AD130"/>
  <c r="AD66"/>
  <c r="AD190"/>
  <c r="AD126"/>
  <c r="AD62"/>
  <c r="AD197"/>
  <c r="AD133"/>
  <c r="AD69"/>
  <c r="AD204"/>
  <c r="AD140"/>
  <c r="AD76"/>
  <c r="AD166"/>
  <c r="AD102"/>
  <c r="AD173"/>
  <c r="AD109"/>
  <c r="AD45"/>
  <c r="AD146"/>
  <c r="AD82"/>
  <c r="AD153"/>
  <c r="AD142"/>
  <c r="AD78"/>
  <c r="AD180"/>
  <c r="AD148"/>
  <c r="AD116"/>
  <c r="AD84"/>
  <c r="AD52"/>
  <c r="AD20"/>
  <c r="AD168"/>
  <c r="AD104"/>
  <c r="AD40"/>
  <c r="AD162"/>
  <c r="AD98"/>
  <c r="AD34"/>
  <c r="AD158"/>
  <c r="AD94"/>
  <c r="AD30"/>
  <c r="AD178"/>
  <c r="AD114"/>
  <c r="AD50"/>
  <c r="I15" i="18" l="1"/>
  <c r="I14"/>
  <c r="I15" i="4"/>
  <c r="I14"/>
  <c r="D20" i="18"/>
  <c r="K20"/>
  <c r="DR7" i="9"/>
  <c r="BH3" i="8"/>
  <c r="J43" i="6"/>
  <c r="A43"/>
  <c r="BM214" i="11"/>
  <c r="A39" i="6" s="1"/>
  <c r="GY209" i="9"/>
  <c r="S13" i="18"/>
  <c r="G22"/>
  <c r="P11"/>
  <c r="HE2" i="9"/>
  <c r="A24" i="18"/>
  <c r="D24"/>
  <c r="O23"/>
  <c r="D23"/>
  <c r="O24"/>
  <c r="J24"/>
  <c r="Q23"/>
  <c r="G23"/>
  <c r="M20"/>
  <c r="L20"/>
  <c r="H20"/>
  <c r="G20"/>
  <c r="E20"/>
  <c r="C20"/>
  <c r="AH20"/>
  <c r="A20" s="1"/>
  <c r="AH18"/>
  <c r="A18" s="1"/>
  <c r="AH17"/>
  <c r="A17" s="1"/>
  <c r="AH16"/>
  <c r="A16" s="1"/>
  <c r="O25"/>
  <c r="F26"/>
  <c r="T13"/>
  <c r="Q13"/>
  <c r="A22"/>
  <c r="O26"/>
  <c r="A26"/>
  <c r="A25"/>
  <c r="Q24"/>
  <c r="L24"/>
  <c r="G24"/>
  <c r="S22"/>
  <c r="Q22"/>
  <c r="O22"/>
  <c r="K22"/>
  <c r="I22"/>
  <c r="D22"/>
  <c r="A21"/>
  <c r="A21" i="4"/>
  <c r="O5" i="18"/>
  <c r="N5" i="4"/>
  <c r="O7" i="18"/>
  <c r="C14"/>
  <c r="N18"/>
  <c r="L18"/>
  <c r="K18"/>
  <c r="I18"/>
  <c r="H18"/>
  <c r="G18"/>
  <c r="D18"/>
  <c r="C18"/>
  <c r="N17"/>
  <c r="L17"/>
  <c r="K17"/>
  <c r="I17"/>
  <c r="H17"/>
  <c r="G17"/>
  <c r="F17"/>
  <c r="E17"/>
  <c r="D17"/>
  <c r="C17"/>
  <c r="N16"/>
  <c r="L16"/>
  <c r="K16"/>
  <c r="I16"/>
  <c r="H16"/>
  <c r="G16"/>
  <c r="F16"/>
  <c r="E16"/>
  <c r="D16"/>
  <c r="C16"/>
  <c r="N15"/>
  <c r="K15"/>
  <c r="G15"/>
  <c r="F15"/>
  <c r="E15"/>
  <c r="D15"/>
  <c r="C15"/>
  <c r="N14"/>
  <c r="K14"/>
  <c r="G14"/>
  <c r="F14"/>
  <c r="E14"/>
  <c r="D14"/>
  <c r="A19"/>
  <c r="A19" i="4"/>
  <c r="Q11" i="18"/>
  <c r="N12"/>
  <c r="M12"/>
  <c r="L12"/>
  <c r="K12"/>
  <c r="I12"/>
  <c r="H12"/>
  <c r="G12"/>
  <c r="F12"/>
  <c r="E12"/>
  <c r="D12"/>
  <c r="C12"/>
  <c r="O11"/>
  <c r="K11"/>
  <c r="J11"/>
  <c r="G11"/>
  <c r="C11"/>
  <c r="A11"/>
  <c r="L9"/>
  <c r="M8"/>
  <c r="M7"/>
  <c r="M6"/>
  <c r="M5"/>
  <c r="H5"/>
  <c r="A8"/>
  <c r="A7"/>
  <c r="A6"/>
  <c r="A5"/>
  <c r="E4"/>
  <c r="A3"/>
  <c r="D2"/>
  <c r="F1"/>
  <c r="AA144" i="19"/>
  <c r="V144"/>
  <c r="R144"/>
  <c r="K144"/>
  <c r="F144"/>
  <c r="B144"/>
  <c r="AB141"/>
  <c r="V141"/>
  <c r="R141"/>
  <c r="L141"/>
  <c r="F141"/>
  <c r="B141"/>
  <c r="AD140"/>
  <c r="Z140"/>
  <c r="V140"/>
  <c r="R140"/>
  <c r="N140"/>
  <c r="J140"/>
  <c r="F140"/>
  <c r="B140"/>
  <c r="AF138"/>
  <c r="AD138"/>
  <c r="AB138"/>
  <c r="Y138"/>
  <c r="W138"/>
  <c r="U138"/>
  <c r="S138"/>
  <c r="R138"/>
  <c r="P138"/>
  <c r="N138"/>
  <c r="L138"/>
  <c r="I138"/>
  <c r="G138"/>
  <c r="E138"/>
  <c r="C138"/>
  <c r="B138"/>
  <c r="AB137"/>
  <c r="L137"/>
  <c r="R135"/>
  <c r="B135"/>
  <c r="AD128"/>
  <c r="AC128"/>
  <c r="AB128"/>
  <c r="AA128"/>
  <c r="Y128"/>
  <c r="X128"/>
  <c r="W128"/>
  <c r="V128"/>
  <c r="U128"/>
  <c r="T128"/>
  <c r="S128"/>
  <c r="N128"/>
  <c r="M128"/>
  <c r="L128"/>
  <c r="K128"/>
  <c r="I128"/>
  <c r="H128"/>
  <c r="G128"/>
  <c r="F128"/>
  <c r="E128"/>
  <c r="D128"/>
  <c r="C128"/>
  <c r="AF127"/>
  <c r="AE127"/>
  <c r="AA127"/>
  <c r="Z127"/>
  <c r="W127"/>
  <c r="S127"/>
  <c r="R127"/>
  <c r="P127"/>
  <c r="O127"/>
  <c r="K127"/>
  <c r="J127"/>
  <c r="G127"/>
  <c r="C127"/>
  <c r="B127"/>
  <c r="Y125"/>
  <c r="I125"/>
  <c r="Y124"/>
  <c r="R124"/>
  <c r="I124"/>
  <c r="B124"/>
  <c r="Y123"/>
  <c r="R123"/>
  <c r="I123"/>
  <c r="B123"/>
  <c r="Y122"/>
  <c r="R122"/>
  <c r="I122"/>
  <c r="B122"/>
  <c r="AB121"/>
  <c r="Y121"/>
  <c r="S121"/>
  <c r="R121"/>
  <c r="L121"/>
  <c r="I121"/>
  <c r="C121"/>
  <c r="B121"/>
  <c r="R119"/>
  <c r="B119"/>
  <c r="S118"/>
  <c r="C118"/>
  <c r="S117"/>
  <c r="C117"/>
  <c r="AA115"/>
  <c r="V115"/>
  <c r="R115"/>
  <c r="K115"/>
  <c r="F115"/>
  <c r="B115"/>
  <c r="AB112"/>
  <c r="V112"/>
  <c r="R112"/>
  <c r="L112"/>
  <c r="F112"/>
  <c r="B112"/>
  <c r="AD111"/>
  <c r="Z111"/>
  <c r="V111"/>
  <c r="R111"/>
  <c r="N111"/>
  <c r="J111"/>
  <c r="F111"/>
  <c r="B111"/>
  <c r="AF109"/>
  <c r="AD109"/>
  <c r="AB109"/>
  <c r="Y109"/>
  <c r="W109"/>
  <c r="U109"/>
  <c r="S109"/>
  <c r="R109"/>
  <c r="P109"/>
  <c r="N109"/>
  <c r="L109"/>
  <c r="I109"/>
  <c r="G109"/>
  <c r="E109"/>
  <c r="C109"/>
  <c r="B109"/>
  <c r="AB108"/>
  <c r="L108"/>
  <c r="R106"/>
  <c r="B106"/>
  <c r="AD99"/>
  <c r="AC99"/>
  <c r="AB99"/>
  <c r="AA99"/>
  <c r="Y99"/>
  <c r="X99"/>
  <c r="W99"/>
  <c r="V99"/>
  <c r="U99"/>
  <c r="T99"/>
  <c r="S99"/>
  <c r="N99"/>
  <c r="M99"/>
  <c r="L99"/>
  <c r="K99"/>
  <c r="I99"/>
  <c r="H99"/>
  <c r="G99"/>
  <c r="F99"/>
  <c r="E99"/>
  <c r="D99"/>
  <c r="C99"/>
  <c r="AF98"/>
  <c r="AE98"/>
  <c r="AA98"/>
  <c r="Z98"/>
  <c r="W98"/>
  <c r="S98"/>
  <c r="R98"/>
  <c r="P98"/>
  <c r="O98"/>
  <c r="K98"/>
  <c r="J98"/>
  <c r="G98"/>
  <c r="C98"/>
  <c r="B98"/>
  <c r="Y96"/>
  <c r="I96"/>
  <c r="Y95"/>
  <c r="R95"/>
  <c r="I95"/>
  <c r="B95"/>
  <c r="Y94"/>
  <c r="R94"/>
  <c r="I94"/>
  <c r="B94"/>
  <c r="Y93"/>
  <c r="R93"/>
  <c r="I93"/>
  <c r="B93"/>
  <c r="AB92"/>
  <c r="Y92"/>
  <c r="S92"/>
  <c r="R92"/>
  <c r="L92"/>
  <c r="I92"/>
  <c r="C92"/>
  <c r="B92"/>
  <c r="R90"/>
  <c r="B90"/>
  <c r="S89"/>
  <c r="C89"/>
  <c r="S88"/>
  <c r="C88"/>
  <c r="AA86"/>
  <c r="V86"/>
  <c r="R86"/>
  <c r="K86"/>
  <c r="F86"/>
  <c r="B86"/>
  <c r="AB83"/>
  <c r="V83"/>
  <c r="R83"/>
  <c r="L83"/>
  <c r="F83"/>
  <c r="B83"/>
  <c r="AD82"/>
  <c r="Z82"/>
  <c r="V82"/>
  <c r="R82"/>
  <c r="N82"/>
  <c r="J82"/>
  <c r="F82"/>
  <c r="B82"/>
  <c r="AF80"/>
  <c r="AD80"/>
  <c r="AB80"/>
  <c r="Y80"/>
  <c r="W80"/>
  <c r="U80"/>
  <c r="S80"/>
  <c r="R80"/>
  <c r="P80"/>
  <c r="N80"/>
  <c r="L80"/>
  <c r="I80"/>
  <c r="G80"/>
  <c r="E80"/>
  <c r="C80"/>
  <c r="B80"/>
  <c r="AB79"/>
  <c r="L79"/>
  <c r="R77"/>
  <c r="B77"/>
  <c r="AD70"/>
  <c r="AC70"/>
  <c r="AB70"/>
  <c r="AA70"/>
  <c r="Y70"/>
  <c r="X70"/>
  <c r="W70"/>
  <c r="V70"/>
  <c r="U70"/>
  <c r="T70"/>
  <c r="S70"/>
  <c r="N70"/>
  <c r="M70"/>
  <c r="L70"/>
  <c r="K70"/>
  <c r="I70"/>
  <c r="H70"/>
  <c r="G70"/>
  <c r="F70"/>
  <c r="E70"/>
  <c r="D70"/>
  <c r="C70"/>
  <c r="AF69"/>
  <c r="AE69"/>
  <c r="AA69"/>
  <c r="Z69"/>
  <c r="W69"/>
  <c r="S69"/>
  <c r="R69"/>
  <c r="P69"/>
  <c r="O69"/>
  <c r="K69"/>
  <c r="J69"/>
  <c r="G69"/>
  <c r="C69"/>
  <c r="B69"/>
  <c r="Y67"/>
  <c r="I67"/>
  <c r="Y66"/>
  <c r="R66"/>
  <c r="I66"/>
  <c r="B66"/>
  <c r="Y65"/>
  <c r="R65"/>
  <c r="I65"/>
  <c r="B65"/>
  <c r="Y64"/>
  <c r="R64"/>
  <c r="I64"/>
  <c r="B64"/>
  <c r="AB63"/>
  <c r="Y63"/>
  <c r="S63"/>
  <c r="R63"/>
  <c r="L63"/>
  <c r="I63"/>
  <c r="C63"/>
  <c r="B63"/>
  <c r="R61"/>
  <c r="B61"/>
  <c r="S60"/>
  <c r="C60"/>
  <c r="S59"/>
  <c r="C59"/>
  <c r="AB54"/>
  <c r="V54"/>
  <c r="R54"/>
  <c r="L54"/>
  <c r="F54"/>
  <c r="B54"/>
  <c r="AB25"/>
  <c r="V25"/>
  <c r="R25"/>
  <c r="L25"/>
  <c r="F25"/>
  <c r="B25"/>
  <c r="GU4" i="9"/>
  <c r="GX4"/>
  <c r="GY2"/>
  <c r="AH7" i="19"/>
  <c r="AN11"/>
  <c r="AN10"/>
  <c r="L7" s="1"/>
  <c r="O18" s="1"/>
  <c r="M12" i="4"/>
  <c r="D14" i="19" l="1"/>
  <c r="I14"/>
  <c r="C15"/>
  <c r="G15"/>
  <c r="O15"/>
  <c r="F16"/>
  <c r="K16"/>
  <c r="C17"/>
  <c r="G17"/>
  <c r="L17"/>
  <c r="D18"/>
  <c r="H18"/>
  <c r="N18"/>
  <c r="C14"/>
  <c r="G14"/>
  <c r="O14"/>
  <c r="F15"/>
  <c r="N15"/>
  <c r="E16"/>
  <c r="I16"/>
  <c r="O16"/>
  <c r="F17"/>
  <c r="K17"/>
  <c r="C18"/>
  <c r="G18"/>
  <c r="L18"/>
  <c r="F14"/>
  <c r="N14"/>
  <c r="E15"/>
  <c r="K15"/>
  <c r="D16"/>
  <c r="H16"/>
  <c r="N16"/>
  <c r="E17"/>
  <c r="I17"/>
  <c r="O17"/>
  <c r="F18"/>
  <c r="K18"/>
  <c r="E14"/>
  <c r="K14"/>
  <c r="D15"/>
  <c r="I15"/>
  <c r="C16"/>
  <c r="G16"/>
  <c r="L16"/>
  <c r="D17"/>
  <c r="H17"/>
  <c r="N17"/>
  <c r="E18"/>
  <c r="I18"/>
  <c r="S6" i="12"/>
  <c r="BP10" i="20"/>
  <c r="S11" i="12"/>
  <c r="BP15" i="20"/>
  <c r="S7" i="12"/>
  <c r="BP11" i="20"/>
  <c r="S12" i="12"/>
  <c r="BP16" i="20"/>
  <c r="S13" i="12"/>
  <c r="BP17" i="20"/>
  <c r="J15" i="18"/>
  <c r="J14"/>
  <c r="J17"/>
  <c r="J16"/>
  <c r="I20"/>
  <c r="N20"/>
  <c r="AB7" i="19"/>
  <c r="G21" i="18"/>
  <c r="H21"/>
  <c r="C21"/>
  <c r="D21"/>
  <c r="I21"/>
  <c r="J17" i="19" l="1"/>
  <c r="J16"/>
  <c r="J18"/>
  <c r="J15"/>
  <c r="J14"/>
  <c r="L36"/>
  <c r="AA18"/>
  <c r="V18"/>
  <c r="Y17"/>
  <c r="U17"/>
  <c r="AD16"/>
  <c r="X16"/>
  <c r="T16"/>
  <c r="AA15"/>
  <c r="U15"/>
  <c r="AD14"/>
  <c r="V14"/>
  <c r="AB18"/>
  <c r="W18"/>
  <c r="S18"/>
  <c r="AA17"/>
  <c r="V17"/>
  <c r="Y16"/>
  <c r="U16"/>
  <c r="AD15"/>
  <c r="V15"/>
  <c r="W14"/>
  <c r="S14"/>
  <c r="AD18"/>
  <c r="X18"/>
  <c r="T18"/>
  <c r="AB17"/>
  <c r="W17"/>
  <c r="S17"/>
  <c r="AA16"/>
  <c r="V16"/>
  <c r="W15"/>
  <c r="S15"/>
  <c r="Y14"/>
  <c r="T14"/>
  <c r="Y18"/>
  <c r="U18"/>
  <c r="AD17"/>
  <c r="X17"/>
  <c r="T17"/>
  <c r="AB16"/>
  <c r="W16"/>
  <c r="S16"/>
  <c r="Y15"/>
  <c r="T15"/>
  <c r="AA14"/>
  <c r="U14"/>
  <c r="O20" i="18"/>
  <c r="P20" s="1"/>
  <c r="F20"/>
  <c r="J20" s="1"/>
  <c r="AB36" i="19"/>
  <c r="Z15" l="1"/>
  <c r="Z17"/>
  <c r="Z16"/>
  <c r="Z18"/>
  <c r="Z14"/>
  <c r="L47"/>
  <c r="G47"/>
  <c r="C47"/>
  <c r="K46"/>
  <c r="F46"/>
  <c r="I45"/>
  <c r="E45"/>
  <c r="N44"/>
  <c r="F44"/>
  <c r="G43"/>
  <c r="C43"/>
  <c r="N47"/>
  <c r="H47"/>
  <c r="D47"/>
  <c r="L46"/>
  <c r="G46"/>
  <c r="C46"/>
  <c r="K45"/>
  <c r="F45"/>
  <c r="G44"/>
  <c r="C44"/>
  <c r="I43"/>
  <c r="D43"/>
  <c r="I47"/>
  <c r="E47"/>
  <c r="N46"/>
  <c r="H46"/>
  <c r="D46"/>
  <c r="L45"/>
  <c r="G45"/>
  <c r="C45"/>
  <c r="I44"/>
  <c r="D44"/>
  <c r="K43"/>
  <c r="E43"/>
  <c r="K47"/>
  <c r="F47"/>
  <c r="I46"/>
  <c r="E46"/>
  <c r="N45"/>
  <c r="H45"/>
  <c r="D45"/>
  <c r="K44"/>
  <c r="E44"/>
  <c r="N43"/>
  <c r="F43"/>
  <c r="AB46"/>
  <c r="W46"/>
  <c r="S46"/>
  <c r="AA45"/>
  <c r="V45"/>
  <c r="W44"/>
  <c r="S44"/>
  <c r="Y43"/>
  <c r="T43"/>
  <c r="AD46"/>
  <c r="X46"/>
  <c r="T46"/>
  <c r="AB45"/>
  <c r="W45"/>
  <c r="S45"/>
  <c r="Y44"/>
  <c r="T44"/>
  <c r="AA43"/>
  <c r="U43"/>
  <c r="Y46"/>
  <c r="U46"/>
  <c r="AD45"/>
  <c r="X45"/>
  <c r="T45"/>
  <c r="AA44"/>
  <c r="U44"/>
  <c r="AD43"/>
  <c r="V43"/>
  <c r="AA46"/>
  <c r="V46"/>
  <c r="Y45"/>
  <c r="U45"/>
  <c r="AD44"/>
  <c r="V44"/>
  <c r="W43"/>
  <c r="S43"/>
  <c r="L65"/>
  <c r="J47" l="1"/>
  <c r="J46"/>
  <c r="Z44"/>
  <c r="J44"/>
  <c r="Z46"/>
  <c r="J43"/>
  <c r="J45"/>
  <c r="Z45"/>
  <c r="Z43"/>
  <c r="L75"/>
  <c r="G75"/>
  <c r="C75"/>
  <c r="K74"/>
  <c r="F74"/>
  <c r="G73"/>
  <c r="C73"/>
  <c r="I72"/>
  <c r="D72"/>
  <c r="F85"/>
  <c r="C82"/>
  <c r="C81"/>
  <c r="C66"/>
  <c r="C64"/>
  <c r="N75"/>
  <c r="H75"/>
  <c r="D75"/>
  <c r="L74"/>
  <c r="G74"/>
  <c r="C74"/>
  <c r="I73"/>
  <c r="D73"/>
  <c r="K72"/>
  <c r="E72"/>
  <c r="K85"/>
  <c r="I82"/>
  <c r="E81"/>
  <c r="L66"/>
  <c r="AS63" s="1"/>
  <c r="L64"/>
  <c r="I75"/>
  <c r="E75"/>
  <c r="N74"/>
  <c r="H74"/>
  <c r="D74"/>
  <c r="K73"/>
  <c r="E73"/>
  <c r="N72"/>
  <c r="F72"/>
  <c r="M82"/>
  <c r="L81"/>
  <c r="AU73"/>
  <c r="C65"/>
  <c r="K75"/>
  <c r="F75"/>
  <c r="I74"/>
  <c r="E74"/>
  <c r="N73"/>
  <c r="F73"/>
  <c r="G72"/>
  <c r="C72"/>
  <c r="B85"/>
  <c r="N81"/>
  <c r="AU74"/>
  <c r="AB65"/>
  <c r="C62"/>
  <c r="E78"/>
  <c r="C78"/>
  <c r="H78"/>
  <c r="D78"/>
  <c r="G78"/>
  <c r="I78"/>
  <c r="F78"/>
  <c r="AA57"/>
  <c r="V57"/>
  <c r="R57"/>
  <c r="K57"/>
  <c r="F57"/>
  <c r="B57"/>
  <c r="AA56"/>
  <c r="V56"/>
  <c r="R56"/>
  <c r="K56"/>
  <c r="F56"/>
  <c r="B56"/>
  <c r="AD53"/>
  <c r="AC53"/>
  <c r="Z53"/>
  <c r="Y53"/>
  <c r="V53"/>
  <c r="S53"/>
  <c r="R53"/>
  <c r="N53"/>
  <c r="M53"/>
  <c r="J53"/>
  <c r="I53"/>
  <c r="F53"/>
  <c r="C53"/>
  <c r="B53"/>
  <c r="AD52"/>
  <c r="AB52"/>
  <c r="U52"/>
  <c r="S52"/>
  <c r="N52"/>
  <c r="L52"/>
  <c r="E52"/>
  <c r="C52"/>
  <c r="AF51"/>
  <c r="AD51"/>
  <c r="AB51"/>
  <c r="Y51"/>
  <c r="W51"/>
  <c r="U51"/>
  <c r="S51"/>
  <c r="R51"/>
  <c r="P51"/>
  <c r="N51"/>
  <c r="L51"/>
  <c r="I51"/>
  <c r="G51"/>
  <c r="E51"/>
  <c r="C51"/>
  <c r="B51"/>
  <c r="AB50"/>
  <c r="L50"/>
  <c r="AU49"/>
  <c r="B49" s="1"/>
  <c r="Y49"/>
  <c r="X49"/>
  <c r="W49"/>
  <c r="V49"/>
  <c r="U49"/>
  <c r="T49"/>
  <c r="S49"/>
  <c r="O49"/>
  <c r="P49" s="1"/>
  <c r="N49"/>
  <c r="M49"/>
  <c r="L49"/>
  <c r="K49"/>
  <c r="I49"/>
  <c r="H49"/>
  <c r="G49"/>
  <c r="F49"/>
  <c r="E49"/>
  <c r="D49"/>
  <c r="C49"/>
  <c r="R48"/>
  <c r="B48"/>
  <c r="AU46"/>
  <c r="B47" s="1"/>
  <c r="AV45"/>
  <c r="R46" s="1"/>
  <c r="AU45"/>
  <c r="B46" s="1"/>
  <c r="AV44"/>
  <c r="R45" s="1"/>
  <c r="AU44"/>
  <c r="B45" s="1"/>
  <c r="AD41"/>
  <c r="AC41"/>
  <c r="AB41"/>
  <c r="AA41"/>
  <c r="Y41"/>
  <c r="X41"/>
  <c r="W41"/>
  <c r="V41"/>
  <c r="U41"/>
  <c r="T41"/>
  <c r="S41"/>
  <c r="N41"/>
  <c r="M41"/>
  <c r="L41"/>
  <c r="K41"/>
  <c r="I41"/>
  <c r="H41"/>
  <c r="G41"/>
  <c r="F41"/>
  <c r="E41"/>
  <c r="D41"/>
  <c r="C41"/>
  <c r="AF40"/>
  <c r="AE40"/>
  <c r="AA40"/>
  <c r="Z40"/>
  <c r="W40"/>
  <c r="S40"/>
  <c r="R40"/>
  <c r="P40"/>
  <c r="O40"/>
  <c r="K40"/>
  <c r="J40"/>
  <c r="G40"/>
  <c r="C40"/>
  <c r="B40"/>
  <c r="Y38"/>
  <c r="I38"/>
  <c r="AB37"/>
  <c r="AY34" s="1"/>
  <c r="Y37"/>
  <c r="S37"/>
  <c r="R37"/>
  <c r="L37"/>
  <c r="AS34" s="1"/>
  <c r="I37"/>
  <c r="C37"/>
  <c r="B37"/>
  <c r="Y36"/>
  <c r="S36"/>
  <c r="R36"/>
  <c r="I36"/>
  <c r="C36"/>
  <c r="B36"/>
  <c r="AB35"/>
  <c r="Y35"/>
  <c r="S35"/>
  <c r="R35"/>
  <c r="L35"/>
  <c r="I35"/>
  <c r="C35"/>
  <c r="B35"/>
  <c r="AB34"/>
  <c r="Y34"/>
  <c r="S34"/>
  <c r="R34"/>
  <c r="L34"/>
  <c r="I34"/>
  <c r="C34"/>
  <c r="B34"/>
  <c r="S33"/>
  <c r="C33"/>
  <c r="R32"/>
  <c r="B32"/>
  <c r="S31"/>
  <c r="C31"/>
  <c r="S30"/>
  <c r="C30"/>
  <c r="AV20"/>
  <c r="R20" s="1"/>
  <c r="AV17"/>
  <c r="R18" s="1"/>
  <c r="AV16"/>
  <c r="R17" s="1"/>
  <c r="AV15"/>
  <c r="R16" s="1"/>
  <c r="AA27"/>
  <c r="V27"/>
  <c r="R27"/>
  <c r="K27"/>
  <c r="F27"/>
  <c r="B27"/>
  <c r="AC24"/>
  <c r="Y24"/>
  <c r="M24"/>
  <c r="O24" i="4"/>
  <c r="I24" i="19"/>
  <c r="J24" i="4"/>
  <c r="S24" i="19"/>
  <c r="C24"/>
  <c r="D24" i="4"/>
  <c r="S23" i="19"/>
  <c r="R11"/>
  <c r="B11"/>
  <c r="A11" i="4"/>
  <c r="AA28" i="19"/>
  <c r="V28"/>
  <c r="R28"/>
  <c r="AD24"/>
  <c r="Z24"/>
  <c r="V24"/>
  <c r="R24"/>
  <c r="AD23"/>
  <c r="AB23"/>
  <c r="U23"/>
  <c r="AF22"/>
  <c r="AD22"/>
  <c r="AB22"/>
  <c r="Y22"/>
  <c r="W22"/>
  <c r="U22"/>
  <c r="S22"/>
  <c r="R22"/>
  <c r="AB21"/>
  <c r="AE20"/>
  <c r="AF20" s="1"/>
  <c r="AD20"/>
  <c r="AC20"/>
  <c r="AB20"/>
  <c r="AA20"/>
  <c r="Y20"/>
  <c r="X20"/>
  <c r="W20"/>
  <c r="V20"/>
  <c r="U20"/>
  <c r="T20"/>
  <c r="S20"/>
  <c r="R19"/>
  <c r="AD12"/>
  <c r="AC12"/>
  <c r="AB12"/>
  <c r="AA12"/>
  <c r="Y12"/>
  <c r="X12"/>
  <c r="W12"/>
  <c r="V12"/>
  <c r="U12"/>
  <c r="T12"/>
  <c r="S12"/>
  <c r="AF11"/>
  <c r="AE11"/>
  <c r="AA11"/>
  <c r="Z11"/>
  <c r="W11"/>
  <c r="S11"/>
  <c r="AB6"/>
  <c r="AB5"/>
  <c r="S5"/>
  <c r="S4"/>
  <c r="R3"/>
  <c r="B3"/>
  <c r="C4"/>
  <c r="L5"/>
  <c r="C5"/>
  <c r="Y9"/>
  <c r="Y8"/>
  <c r="S8"/>
  <c r="R8"/>
  <c r="Y7"/>
  <c r="S7"/>
  <c r="R7"/>
  <c r="Y6"/>
  <c r="S6"/>
  <c r="R6"/>
  <c r="Y5"/>
  <c r="R5"/>
  <c r="S2"/>
  <c r="S1"/>
  <c r="F24"/>
  <c r="N22"/>
  <c r="L22"/>
  <c r="I22"/>
  <c r="E22"/>
  <c r="C22"/>
  <c r="B22"/>
  <c r="B19"/>
  <c r="P11"/>
  <c r="I9"/>
  <c r="I8"/>
  <c r="B8"/>
  <c r="I7"/>
  <c r="B7"/>
  <c r="I6"/>
  <c r="B6"/>
  <c r="I5"/>
  <c r="C2"/>
  <c r="C1"/>
  <c r="B5"/>
  <c r="B28"/>
  <c r="F28"/>
  <c r="K28"/>
  <c r="N26" i="4"/>
  <c r="F26"/>
  <c r="F25"/>
  <c r="A26"/>
  <c r="A25"/>
  <c r="N24" i="19"/>
  <c r="Q24" i="4"/>
  <c r="J24" i="19"/>
  <c r="G24" i="4"/>
  <c r="B24" i="19"/>
  <c r="A24" i="4"/>
  <c r="N23" i="19"/>
  <c r="Q23" i="4"/>
  <c r="C23" i="19"/>
  <c r="L23"/>
  <c r="O23" i="4"/>
  <c r="L21" i="19"/>
  <c r="E23"/>
  <c r="G23" i="4"/>
  <c r="D23"/>
  <c r="P22" i="19"/>
  <c r="G22"/>
  <c r="I22" i="4"/>
  <c r="G22"/>
  <c r="D22"/>
  <c r="A22"/>
  <c r="N12" i="19"/>
  <c r="M20"/>
  <c r="L20"/>
  <c r="H20"/>
  <c r="L8"/>
  <c r="AS5" s="1"/>
  <c r="AU17"/>
  <c r="B18" s="1"/>
  <c r="AU16"/>
  <c r="B17" s="1"/>
  <c r="AU15"/>
  <c r="B16" s="1"/>
  <c r="P11" i="4"/>
  <c r="M12" i="19"/>
  <c r="L12"/>
  <c r="K12"/>
  <c r="O11"/>
  <c r="K11"/>
  <c r="I12"/>
  <c r="H12"/>
  <c r="G12"/>
  <c r="F12"/>
  <c r="E12"/>
  <c r="D12"/>
  <c r="C12"/>
  <c r="J11"/>
  <c r="G11"/>
  <c r="C11"/>
  <c r="D5" i="4"/>
  <c r="C8" i="19"/>
  <c r="C7"/>
  <c r="C6"/>
  <c r="L6"/>
  <c r="N7" i="4"/>
  <c r="B2" i="11"/>
  <c r="K9" i="4"/>
  <c r="L8"/>
  <c r="L6"/>
  <c r="L7"/>
  <c r="A8"/>
  <c r="A7"/>
  <c r="A6"/>
  <c r="L5"/>
  <c r="A5"/>
  <c r="G4"/>
  <c r="A3"/>
  <c r="D2"/>
  <c r="G1"/>
  <c r="C2" i="12"/>
  <c r="N25" i="4"/>
  <c r="S214" i="12"/>
  <c r="S212"/>
  <c r="S206"/>
  <c r="HD4" i="9"/>
  <c r="L24" i="4"/>
  <c r="FH4" i="9"/>
  <c r="FG4"/>
  <c r="B215" i="12"/>
  <c r="O22" i="4"/>
  <c r="S22"/>
  <c r="Q22"/>
  <c r="K22"/>
  <c r="FF4" i="9"/>
  <c r="AA4" i="7"/>
  <c r="J73" i="19" l="1"/>
  <c r="J74"/>
  <c r="J75"/>
  <c r="J72"/>
  <c r="J78"/>
  <c r="AB75"/>
  <c r="W75"/>
  <c r="S75"/>
  <c r="AA74"/>
  <c r="V74"/>
  <c r="W73"/>
  <c r="S73"/>
  <c r="Y72"/>
  <c r="T72"/>
  <c r="AD75"/>
  <c r="X75"/>
  <c r="T75"/>
  <c r="AB74"/>
  <c r="W74"/>
  <c r="S74"/>
  <c r="Y73"/>
  <c r="T73"/>
  <c r="AA72"/>
  <c r="U72"/>
  <c r="Y75"/>
  <c r="U75"/>
  <c r="AD74"/>
  <c r="X74"/>
  <c r="T74"/>
  <c r="AA73"/>
  <c r="U73"/>
  <c r="AD72"/>
  <c r="V72"/>
  <c r="AA75"/>
  <c r="V75"/>
  <c r="Y74"/>
  <c r="U74"/>
  <c r="AD73"/>
  <c r="V73"/>
  <c r="W72"/>
  <c r="S72"/>
  <c r="J49"/>
  <c r="Z20"/>
  <c r="AR6"/>
  <c r="AS6"/>
  <c r="AT6"/>
  <c r="Z49"/>
  <c r="AR35"/>
  <c r="AS35"/>
  <c r="AT35"/>
  <c r="AX35"/>
  <c r="AZ35"/>
  <c r="AY35"/>
  <c r="AA65" i="7"/>
  <c r="AA66"/>
  <c r="AA5"/>
  <c r="AA6" s="1"/>
  <c r="Z73" i="19" l="1"/>
  <c r="Z74"/>
  <c r="Z75"/>
  <c r="Z72"/>
  <c r="AT38"/>
  <c r="AT9"/>
  <c r="AX38"/>
  <c r="AZ38"/>
  <c r="AR38"/>
  <c r="AR9"/>
  <c r="AY36"/>
  <c r="AY38"/>
  <c r="AS36"/>
  <c r="AS38"/>
  <c r="AS7"/>
  <c r="AS9"/>
  <c r="AA7" i="7"/>
  <c r="AA8" s="1"/>
  <c r="AS10" i="19" l="1"/>
  <c r="AY39"/>
  <c r="AS39"/>
  <c r="AS37"/>
  <c r="AY37"/>
  <c r="AB38" s="1"/>
  <c r="AS8"/>
  <c r="AA9" i="7"/>
  <c r="AA10" s="1"/>
  <c r="AA11" s="1"/>
  <c r="L9" i="19" l="1"/>
  <c r="L38"/>
  <c r="AA12" i="7"/>
  <c r="AA13" l="1"/>
  <c r="AA14" l="1"/>
  <c r="AA15" l="1"/>
  <c r="AA16" l="1"/>
  <c r="AA17" l="1"/>
  <c r="AA18" l="1"/>
  <c r="H20" i="4"/>
  <c r="N17"/>
  <c r="N16"/>
  <c r="N15"/>
  <c r="N14"/>
  <c r="N12"/>
  <c r="O11"/>
  <c r="L17"/>
  <c r="K17"/>
  <c r="D17"/>
  <c r="C17"/>
  <c r="AI17"/>
  <c r="A17" s="1"/>
  <c r="L16"/>
  <c r="K16"/>
  <c r="I16"/>
  <c r="H16"/>
  <c r="G16"/>
  <c r="F16"/>
  <c r="E16"/>
  <c r="D16"/>
  <c r="AI16"/>
  <c r="A16" s="1"/>
  <c r="K15"/>
  <c r="G15"/>
  <c r="F15"/>
  <c r="E15"/>
  <c r="D15"/>
  <c r="C15"/>
  <c r="G14"/>
  <c r="E14"/>
  <c r="D14"/>
  <c r="S11"/>
  <c r="Q11"/>
  <c r="AZ4" i="9"/>
  <c r="L12" i="4"/>
  <c r="K12"/>
  <c r="K11"/>
  <c r="J11"/>
  <c r="I12"/>
  <c r="G11"/>
  <c r="H12"/>
  <c r="G12"/>
  <c r="F12"/>
  <c r="C11"/>
  <c r="E12"/>
  <c r="D12"/>
  <c r="C12"/>
  <c r="J5"/>
  <c r="H5"/>
  <c r="G3" i="8"/>
  <c r="K1" i="12"/>
  <c r="E3" i="9" l="1"/>
  <c r="F3" i="20"/>
  <c r="J15" i="4"/>
  <c r="J16"/>
  <c r="AA19" i="7"/>
  <c r="AA20" s="1"/>
  <c r="AA21" s="1"/>
  <c r="AA22" s="1"/>
  <c r="AA23" s="1"/>
  <c r="AA24" s="1"/>
  <c r="AA25" s="1"/>
  <c r="AA26" s="1"/>
  <c r="AA27" s="1"/>
  <c r="AA28" s="1"/>
  <c r="AA29" s="1"/>
  <c r="AA30" s="1"/>
  <c r="AA31" s="1"/>
  <c r="AA32" s="1"/>
  <c r="AA33" s="1"/>
  <c r="AA34" s="1"/>
  <c r="AA35" s="1"/>
  <c r="AA36" s="1"/>
  <c r="AA37" s="1"/>
  <c r="AA38" s="1"/>
  <c r="AA39" s="1"/>
  <c r="AA40" s="1"/>
  <c r="AA41" s="1"/>
  <c r="AA42" s="1"/>
  <c r="AA43" s="1"/>
  <c r="AA44" s="1"/>
  <c r="AA45" s="1"/>
  <c r="AA46" s="1"/>
  <c r="AA47" s="1"/>
  <c r="AA48" s="1"/>
  <c r="AA49" s="1"/>
  <c r="AA50" s="1"/>
  <c r="AA51" s="1"/>
  <c r="AA52" s="1"/>
  <c r="AA53" s="1"/>
  <c r="AA54" s="1"/>
  <c r="AA55" s="1"/>
  <c r="AA56" s="1"/>
  <c r="AA57" s="1"/>
  <c r="AA58" s="1"/>
  <c r="AA59" s="1"/>
  <c r="AA60" s="1"/>
  <c r="AA61" s="1"/>
  <c r="AA62" s="1"/>
  <c r="AA63" s="1"/>
  <c r="AA64" s="1"/>
  <c r="T214" i="12"/>
  <c r="T212"/>
  <c r="T209"/>
  <c r="S209"/>
  <c r="F215"/>
  <c r="H205"/>
  <c r="H216"/>
  <c r="H215"/>
  <c r="H214"/>
  <c r="B214"/>
  <c r="H213"/>
  <c r="B213"/>
  <c r="H212"/>
  <c r="B212"/>
  <c r="H211"/>
  <c r="B211"/>
  <c r="H210"/>
  <c r="B210"/>
  <c r="H209"/>
  <c r="B209"/>
  <c r="H208"/>
  <c r="B208"/>
  <c r="H207"/>
  <c r="B207"/>
  <c r="H206"/>
  <c r="E206"/>
  <c r="B206"/>
  <c r="B205"/>
  <c r="S2"/>
  <c r="T2"/>
  <c r="AR2" i="15"/>
  <c r="K2" i="12"/>
  <c r="K2" i="15"/>
  <c r="B4" i="12"/>
  <c r="C4"/>
  <c r="D4"/>
  <c r="E4"/>
  <c r="F4"/>
  <c r="G4"/>
  <c r="A4"/>
  <c r="A1"/>
  <c r="A1" i="11"/>
  <c r="P205"/>
  <c r="M209"/>
  <c r="M211"/>
  <c r="M205"/>
  <c r="P211"/>
  <c r="J211"/>
  <c r="J209"/>
  <c r="J207"/>
  <c r="J205"/>
  <c r="D210"/>
  <c r="D212"/>
  <c r="D211"/>
  <c r="D209"/>
  <c r="D208"/>
  <c r="D207"/>
  <c r="D206"/>
  <c r="K2"/>
  <c r="L2"/>
  <c r="S2"/>
  <c r="R2"/>
  <c r="Q2"/>
  <c r="P2"/>
  <c r="O2"/>
  <c r="M2"/>
  <c r="J3"/>
  <c r="H3"/>
  <c r="I3"/>
  <c r="E2"/>
  <c r="F2"/>
  <c r="G2"/>
  <c r="D2"/>
  <c r="D5" i="15"/>
  <c r="C3" i="11"/>
  <c r="B3"/>
  <c r="A3"/>
  <c r="A5" i="15"/>
  <c r="H2" i="11"/>
  <c r="L30" i="6"/>
  <c r="A2" i="11"/>
  <c r="G30" i="6"/>
  <c r="O1" i="11"/>
  <c r="A28" i="6"/>
  <c r="A5" i="11"/>
  <c r="B5"/>
  <c r="C5"/>
  <c r="E5"/>
  <c r="F5"/>
  <c r="G5"/>
  <c r="H5"/>
  <c r="I5"/>
  <c r="S5"/>
  <c r="A6"/>
  <c r="B6"/>
  <c r="C6"/>
  <c r="D6"/>
  <c r="E6"/>
  <c r="F6"/>
  <c r="G6"/>
  <c r="H6"/>
  <c r="I6"/>
  <c r="S6"/>
  <c r="A7"/>
  <c r="B7"/>
  <c r="C7"/>
  <c r="D7"/>
  <c r="E7"/>
  <c r="F7"/>
  <c r="G7"/>
  <c r="H7"/>
  <c r="I7"/>
  <c r="S7"/>
  <c r="A8"/>
  <c r="B8"/>
  <c r="C8"/>
  <c r="D8"/>
  <c r="E8"/>
  <c r="F8"/>
  <c r="G8"/>
  <c r="H8"/>
  <c r="I8"/>
  <c r="S8"/>
  <c r="A9"/>
  <c r="B9"/>
  <c r="C9"/>
  <c r="D9"/>
  <c r="E9"/>
  <c r="F9"/>
  <c r="G9"/>
  <c r="H9"/>
  <c r="I9"/>
  <c r="S9"/>
  <c r="A10"/>
  <c r="B10"/>
  <c r="C10"/>
  <c r="D10"/>
  <c r="E10"/>
  <c r="F10"/>
  <c r="G10"/>
  <c r="H10"/>
  <c r="I10"/>
  <c r="S10"/>
  <c r="A11"/>
  <c r="B11"/>
  <c r="C11"/>
  <c r="D11"/>
  <c r="E11"/>
  <c r="F11"/>
  <c r="G11"/>
  <c r="H11"/>
  <c r="I11"/>
  <c r="S11"/>
  <c r="A12"/>
  <c r="B12"/>
  <c r="C12"/>
  <c r="D12"/>
  <c r="E12"/>
  <c r="F12"/>
  <c r="G12"/>
  <c r="H12"/>
  <c r="I12"/>
  <c r="S12"/>
  <c r="A13"/>
  <c r="B13"/>
  <c r="C13"/>
  <c r="D13"/>
  <c r="E13"/>
  <c r="F13"/>
  <c r="G13"/>
  <c r="H13"/>
  <c r="I13"/>
  <c r="S13"/>
  <c r="A14"/>
  <c r="B14"/>
  <c r="C14"/>
  <c r="D14"/>
  <c r="E14"/>
  <c r="F14"/>
  <c r="G14"/>
  <c r="H14"/>
  <c r="I14"/>
  <c r="A15"/>
  <c r="B15"/>
  <c r="K15" s="1"/>
  <c r="C15"/>
  <c r="D15"/>
  <c r="E15"/>
  <c r="F15"/>
  <c r="G15"/>
  <c r="H15"/>
  <c r="I15"/>
  <c r="A16"/>
  <c r="B16"/>
  <c r="K16" s="1"/>
  <c r="C16"/>
  <c r="D16"/>
  <c r="E16"/>
  <c r="F16"/>
  <c r="G16"/>
  <c r="H16"/>
  <c r="I16"/>
  <c r="A17"/>
  <c r="B17"/>
  <c r="K17" s="1"/>
  <c r="C17"/>
  <c r="D17"/>
  <c r="E17"/>
  <c r="F17"/>
  <c r="G17"/>
  <c r="H17"/>
  <c r="I17"/>
  <c r="A18"/>
  <c r="B18"/>
  <c r="K18" s="1"/>
  <c r="C18"/>
  <c r="D18"/>
  <c r="E18"/>
  <c r="F18"/>
  <c r="G18"/>
  <c r="H18"/>
  <c r="I18"/>
  <c r="A19"/>
  <c r="B19"/>
  <c r="K19" s="1"/>
  <c r="C19"/>
  <c r="D19"/>
  <c r="E19"/>
  <c r="F19"/>
  <c r="G19"/>
  <c r="H19"/>
  <c r="I19"/>
  <c r="A20"/>
  <c r="B20"/>
  <c r="K20" s="1"/>
  <c r="C20"/>
  <c r="D20"/>
  <c r="E20"/>
  <c r="F20"/>
  <c r="G20"/>
  <c r="H20"/>
  <c r="I20"/>
  <c r="A21"/>
  <c r="B21"/>
  <c r="K21" s="1"/>
  <c r="C21"/>
  <c r="D21"/>
  <c r="E21"/>
  <c r="F21"/>
  <c r="G21"/>
  <c r="H21"/>
  <c r="I21"/>
  <c r="A22"/>
  <c r="B22"/>
  <c r="K22" s="1"/>
  <c r="C22"/>
  <c r="D22"/>
  <c r="E22"/>
  <c r="F22"/>
  <c r="G22"/>
  <c r="H22"/>
  <c r="I22"/>
  <c r="A23"/>
  <c r="B23"/>
  <c r="K23" s="1"/>
  <c r="C23"/>
  <c r="D23"/>
  <c r="E23"/>
  <c r="F23"/>
  <c r="G23"/>
  <c r="H23"/>
  <c r="I23"/>
  <c r="A24"/>
  <c r="B24"/>
  <c r="K24" s="1"/>
  <c r="C24"/>
  <c r="D24"/>
  <c r="E24"/>
  <c r="F24"/>
  <c r="G24"/>
  <c r="H24"/>
  <c r="I24"/>
  <c r="A25"/>
  <c r="B25"/>
  <c r="K25" s="1"/>
  <c r="C25"/>
  <c r="D25"/>
  <c r="E25"/>
  <c r="F25"/>
  <c r="G25"/>
  <c r="H25"/>
  <c r="I25"/>
  <c r="A26"/>
  <c r="B26"/>
  <c r="K26" s="1"/>
  <c r="C26"/>
  <c r="D26"/>
  <c r="E26"/>
  <c r="F26"/>
  <c r="G26"/>
  <c r="H26"/>
  <c r="I26"/>
  <c r="A27"/>
  <c r="B27"/>
  <c r="K27" s="1"/>
  <c r="C27"/>
  <c r="D27"/>
  <c r="E27"/>
  <c r="F27"/>
  <c r="G27"/>
  <c r="H27"/>
  <c r="I27"/>
  <c r="A28"/>
  <c r="B28"/>
  <c r="K28" s="1"/>
  <c r="C28"/>
  <c r="D28"/>
  <c r="E28"/>
  <c r="F28"/>
  <c r="G28"/>
  <c r="H28"/>
  <c r="I28"/>
  <c r="A29"/>
  <c r="B29"/>
  <c r="K29" s="1"/>
  <c r="C29"/>
  <c r="D29"/>
  <c r="E29"/>
  <c r="F29"/>
  <c r="G29"/>
  <c r="H29"/>
  <c r="I29"/>
  <c r="A30"/>
  <c r="B30"/>
  <c r="K30" s="1"/>
  <c r="C30"/>
  <c r="D30"/>
  <c r="E30"/>
  <c r="F30"/>
  <c r="G30"/>
  <c r="H30"/>
  <c r="I30"/>
  <c r="A31"/>
  <c r="B31"/>
  <c r="K31" s="1"/>
  <c r="C31"/>
  <c r="D31"/>
  <c r="E31"/>
  <c r="F31"/>
  <c r="G31"/>
  <c r="H31"/>
  <c r="I31"/>
  <c r="A32"/>
  <c r="B32"/>
  <c r="K32" s="1"/>
  <c r="C32"/>
  <c r="D32"/>
  <c r="E32"/>
  <c r="F32"/>
  <c r="G32"/>
  <c r="H32"/>
  <c r="I32"/>
  <c r="A33"/>
  <c r="B33"/>
  <c r="K33" s="1"/>
  <c r="C33"/>
  <c r="D33"/>
  <c r="E33"/>
  <c r="F33"/>
  <c r="G33"/>
  <c r="H33"/>
  <c r="I33"/>
  <c r="A34"/>
  <c r="B34"/>
  <c r="K34" s="1"/>
  <c r="C34"/>
  <c r="D34"/>
  <c r="E34"/>
  <c r="F34"/>
  <c r="G34"/>
  <c r="H34"/>
  <c r="I34"/>
  <c r="A35"/>
  <c r="B35"/>
  <c r="K35" s="1"/>
  <c r="C35"/>
  <c r="D35"/>
  <c r="E35"/>
  <c r="F35"/>
  <c r="G35"/>
  <c r="H35"/>
  <c r="I35"/>
  <c r="A36"/>
  <c r="B36"/>
  <c r="K36" s="1"/>
  <c r="C36"/>
  <c r="D36"/>
  <c r="E36"/>
  <c r="F36"/>
  <c r="G36"/>
  <c r="H36"/>
  <c r="I36"/>
  <c r="A37"/>
  <c r="B37"/>
  <c r="K37" s="1"/>
  <c r="C37"/>
  <c r="D37"/>
  <c r="E37"/>
  <c r="F37"/>
  <c r="G37"/>
  <c r="H37"/>
  <c r="I37"/>
  <c r="A38"/>
  <c r="B38"/>
  <c r="K38" s="1"/>
  <c r="C38"/>
  <c r="D38"/>
  <c r="E38"/>
  <c r="F38"/>
  <c r="G38"/>
  <c r="H38"/>
  <c r="I38"/>
  <c r="A39"/>
  <c r="B39"/>
  <c r="K39" s="1"/>
  <c r="C39"/>
  <c r="D39"/>
  <c r="E39"/>
  <c r="F39"/>
  <c r="G39"/>
  <c r="H39"/>
  <c r="I39"/>
  <c r="A40"/>
  <c r="B40"/>
  <c r="K40" s="1"/>
  <c r="C40"/>
  <c r="D40"/>
  <c r="E40"/>
  <c r="F40"/>
  <c r="G40"/>
  <c r="H40"/>
  <c r="I40"/>
  <c r="A41"/>
  <c r="B41"/>
  <c r="K41" s="1"/>
  <c r="C41"/>
  <c r="D41"/>
  <c r="E41"/>
  <c r="F41"/>
  <c r="G41"/>
  <c r="H41"/>
  <c r="I41"/>
  <c r="A42"/>
  <c r="B42"/>
  <c r="K42" s="1"/>
  <c r="C42"/>
  <c r="D42"/>
  <c r="E42"/>
  <c r="F42"/>
  <c r="G42"/>
  <c r="H42"/>
  <c r="I42"/>
  <c r="A43"/>
  <c r="B43"/>
  <c r="K43" s="1"/>
  <c r="C43"/>
  <c r="D43"/>
  <c r="E43"/>
  <c r="F43"/>
  <c r="G43"/>
  <c r="H43"/>
  <c r="I43"/>
  <c r="A44"/>
  <c r="B44"/>
  <c r="K44" s="1"/>
  <c r="C44"/>
  <c r="D44"/>
  <c r="E44"/>
  <c r="F44"/>
  <c r="G44"/>
  <c r="H44"/>
  <c r="I44"/>
  <c r="A45"/>
  <c r="B45"/>
  <c r="K45" s="1"/>
  <c r="C45"/>
  <c r="D45"/>
  <c r="E45"/>
  <c r="F45"/>
  <c r="G45"/>
  <c r="H45"/>
  <c r="I45"/>
  <c r="A46"/>
  <c r="B46"/>
  <c r="K46" s="1"/>
  <c r="C46"/>
  <c r="D46"/>
  <c r="E46"/>
  <c r="F46"/>
  <c r="G46"/>
  <c r="H46"/>
  <c r="I46"/>
  <c r="A47"/>
  <c r="B47"/>
  <c r="K47" s="1"/>
  <c r="C47"/>
  <c r="D47"/>
  <c r="E47"/>
  <c r="F47"/>
  <c r="G47"/>
  <c r="H47"/>
  <c r="I47"/>
  <c r="A48"/>
  <c r="B48"/>
  <c r="K48" s="1"/>
  <c r="C48"/>
  <c r="D48"/>
  <c r="E48"/>
  <c r="F48"/>
  <c r="G48"/>
  <c r="H48"/>
  <c r="I48"/>
  <c r="A49"/>
  <c r="B49"/>
  <c r="K49" s="1"/>
  <c r="C49"/>
  <c r="D49"/>
  <c r="E49"/>
  <c r="F49"/>
  <c r="G49"/>
  <c r="H49"/>
  <c r="I49"/>
  <c r="A50"/>
  <c r="B50"/>
  <c r="K50" s="1"/>
  <c r="C50"/>
  <c r="D50"/>
  <c r="E50"/>
  <c r="F50"/>
  <c r="G50"/>
  <c r="H50"/>
  <c r="I50"/>
  <c r="A51"/>
  <c r="B51"/>
  <c r="K51" s="1"/>
  <c r="C51"/>
  <c r="D51"/>
  <c r="E51"/>
  <c r="F51"/>
  <c r="G51"/>
  <c r="H51"/>
  <c r="I51"/>
  <c r="A52"/>
  <c r="B52"/>
  <c r="K52" s="1"/>
  <c r="C52"/>
  <c r="D52"/>
  <c r="E52"/>
  <c r="F52"/>
  <c r="G52"/>
  <c r="H52"/>
  <c r="I52"/>
  <c r="A53"/>
  <c r="B53"/>
  <c r="K53" s="1"/>
  <c r="C53"/>
  <c r="D53"/>
  <c r="E53"/>
  <c r="F53"/>
  <c r="G53"/>
  <c r="H53"/>
  <c r="I53"/>
  <c r="A54"/>
  <c r="B54"/>
  <c r="K54" s="1"/>
  <c r="C54"/>
  <c r="D54"/>
  <c r="E54"/>
  <c r="F54"/>
  <c r="G54"/>
  <c r="H54"/>
  <c r="I54"/>
  <c r="A55"/>
  <c r="B55"/>
  <c r="K55" s="1"/>
  <c r="C55"/>
  <c r="D55"/>
  <c r="E55"/>
  <c r="F55"/>
  <c r="G55"/>
  <c r="H55"/>
  <c r="I55"/>
  <c r="A56"/>
  <c r="B56"/>
  <c r="K56" s="1"/>
  <c r="C56"/>
  <c r="D56"/>
  <c r="E56"/>
  <c r="F56"/>
  <c r="G56"/>
  <c r="H56"/>
  <c r="I56"/>
  <c r="A57"/>
  <c r="B57"/>
  <c r="K57" s="1"/>
  <c r="C57"/>
  <c r="D57"/>
  <c r="E57"/>
  <c r="F57"/>
  <c r="G57"/>
  <c r="H57"/>
  <c r="I57"/>
  <c r="A58"/>
  <c r="B58"/>
  <c r="K58" s="1"/>
  <c r="C58"/>
  <c r="D58"/>
  <c r="E58"/>
  <c r="F58"/>
  <c r="G58"/>
  <c r="H58"/>
  <c r="I58"/>
  <c r="A59"/>
  <c r="B59"/>
  <c r="K59" s="1"/>
  <c r="C59"/>
  <c r="D59"/>
  <c r="E59"/>
  <c r="F59"/>
  <c r="G59"/>
  <c r="H59"/>
  <c r="I59"/>
  <c r="A60"/>
  <c r="B60"/>
  <c r="K60" s="1"/>
  <c r="C60"/>
  <c r="D60"/>
  <c r="E60"/>
  <c r="F60"/>
  <c r="G60"/>
  <c r="H60"/>
  <c r="I60"/>
  <c r="A61"/>
  <c r="B61"/>
  <c r="K61" s="1"/>
  <c r="C61"/>
  <c r="D61"/>
  <c r="E61"/>
  <c r="F61"/>
  <c r="G61"/>
  <c r="H61"/>
  <c r="I61"/>
  <c r="A62"/>
  <c r="B62"/>
  <c r="K62" s="1"/>
  <c r="C62"/>
  <c r="D62"/>
  <c r="E62"/>
  <c r="F62"/>
  <c r="G62"/>
  <c r="H62"/>
  <c r="I62"/>
  <c r="A63"/>
  <c r="B63"/>
  <c r="K63" s="1"/>
  <c r="C63"/>
  <c r="D63"/>
  <c r="E63"/>
  <c r="F63"/>
  <c r="G63"/>
  <c r="H63"/>
  <c r="I63"/>
  <c r="A64"/>
  <c r="B64"/>
  <c r="K64" s="1"/>
  <c r="C64"/>
  <c r="D64"/>
  <c r="E64"/>
  <c r="F64"/>
  <c r="G64"/>
  <c r="H64"/>
  <c r="I64"/>
  <c r="A65"/>
  <c r="B65"/>
  <c r="K65" s="1"/>
  <c r="C65"/>
  <c r="D65"/>
  <c r="E65"/>
  <c r="F65"/>
  <c r="G65"/>
  <c r="H65"/>
  <c r="I65"/>
  <c r="A66"/>
  <c r="B66"/>
  <c r="K66" s="1"/>
  <c r="C66"/>
  <c r="D66"/>
  <c r="E66"/>
  <c r="F66"/>
  <c r="G66"/>
  <c r="H66"/>
  <c r="I66"/>
  <c r="A67"/>
  <c r="B67"/>
  <c r="K67" s="1"/>
  <c r="C67"/>
  <c r="D67"/>
  <c r="E67"/>
  <c r="F67"/>
  <c r="G67"/>
  <c r="H67"/>
  <c r="I67"/>
  <c r="A68"/>
  <c r="B68"/>
  <c r="K68" s="1"/>
  <c r="C68"/>
  <c r="D68"/>
  <c r="E68"/>
  <c r="F68"/>
  <c r="G68"/>
  <c r="H68"/>
  <c r="I68"/>
  <c r="A69"/>
  <c r="B69"/>
  <c r="K69" s="1"/>
  <c r="C69"/>
  <c r="D69"/>
  <c r="E69"/>
  <c r="F69"/>
  <c r="G69"/>
  <c r="H69"/>
  <c r="I69"/>
  <c r="A70"/>
  <c r="B70"/>
  <c r="K70" s="1"/>
  <c r="C70"/>
  <c r="D70"/>
  <c r="E70"/>
  <c r="F70"/>
  <c r="G70"/>
  <c r="H70"/>
  <c r="I70"/>
  <c r="A71"/>
  <c r="B71"/>
  <c r="K71" s="1"/>
  <c r="C71"/>
  <c r="D71"/>
  <c r="E71"/>
  <c r="F71"/>
  <c r="G71"/>
  <c r="H71"/>
  <c r="I71"/>
  <c r="A72"/>
  <c r="B72"/>
  <c r="K72" s="1"/>
  <c r="C72"/>
  <c r="D72"/>
  <c r="E72"/>
  <c r="F72"/>
  <c r="G72"/>
  <c r="H72"/>
  <c r="I72"/>
  <c r="A73"/>
  <c r="B73"/>
  <c r="K73" s="1"/>
  <c r="C73"/>
  <c r="D73"/>
  <c r="E73"/>
  <c r="F73"/>
  <c r="G73"/>
  <c r="H73"/>
  <c r="I73"/>
  <c r="A74"/>
  <c r="B74"/>
  <c r="K74" s="1"/>
  <c r="C74"/>
  <c r="D74"/>
  <c r="E74"/>
  <c r="F74"/>
  <c r="G74"/>
  <c r="H74"/>
  <c r="I74"/>
  <c r="A75"/>
  <c r="B75"/>
  <c r="K75" s="1"/>
  <c r="C75"/>
  <c r="D75"/>
  <c r="E75"/>
  <c r="F75"/>
  <c r="G75"/>
  <c r="H75"/>
  <c r="I75"/>
  <c r="A76"/>
  <c r="B76"/>
  <c r="K76" s="1"/>
  <c r="C76"/>
  <c r="D76"/>
  <c r="E76"/>
  <c r="F76"/>
  <c r="G76"/>
  <c r="H76"/>
  <c r="I76"/>
  <c r="A77"/>
  <c r="B77"/>
  <c r="K77" s="1"/>
  <c r="C77"/>
  <c r="D77"/>
  <c r="E77"/>
  <c r="F77"/>
  <c r="G77"/>
  <c r="H77"/>
  <c r="I77"/>
  <c r="A78"/>
  <c r="B78"/>
  <c r="K78" s="1"/>
  <c r="C78"/>
  <c r="D78"/>
  <c r="E78"/>
  <c r="F78"/>
  <c r="G78"/>
  <c r="H78"/>
  <c r="I78"/>
  <c r="A79"/>
  <c r="B79"/>
  <c r="K79" s="1"/>
  <c r="C79"/>
  <c r="D79"/>
  <c r="E79"/>
  <c r="F79"/>
  <c r="G79"/>
  <c r="H79"/>
  <c r="I79"/>
  <c r="A80"/>
  <c r="B80"/>
  <c r="K80" s="1"/>
  <c r="C80"/>
  <c r="D80"/>
  <c r="E80"/>
  <c r="F80"/>
  <c r="G80"/>
  <c r="H80"/>
  <c r="I80"/>
  <c r="A81"/>
  <c r="B81"/>
  <c r="K81" s="1"/>
  <c r="C81"/>
  <c r="D81"/>
  <c r="E81"/>
  <c r="F81"/>
  <c r="G81"/>
  <c r="H81"/>
  <c r="I81"/>
  <c r="A82"/>
  <c r="B82"/>
  <c r="K82" s="1"/>
  <c r="C82"/>
  <c r="D82"/>
  <c r="E82"/>
  <c r="F82"/>
  <c r="G82"/>
  <c r="H82"/>
  <c r="I82"/>
  <c r="A83"/>
  <c r="B83"/>
  <c r="K83" s="1"/>
  <c r="C83"/>
  <c r="D83"/>
  <c r="E83"/>
  <c r="F83"/>
  <c r="G83"/>
  <c r="H83"/>
  <c r="I83"/>
  <c r="A84"/>
  <c r="B84"/>
  <c r="K84" s="1"/>
  <c r="C84"/>
  <c r="D84"/>
  <c r="E84"/>
  <c r="F84"/>
  <c r="G84"/>
  <c r="H84"/>
  <c r="I84"/>
  <c r="A85"/>
  <c r="B85"/>
  <c r="K85" s="1"/>
  <c r="C85"/>
  <c r="D85"/>
  <c r="E85"/>
  <c r="F85"/>
  <c r="G85"/>
  <c r="H85"/>
  <c r="I85"/>
  <c r="A86"/>
  <c r="B86"/>
  <c r="K86" s="1"/>
  <c r="C86"/>
  <c r="D86"/>
  <c r="E86"/>
  <c r="F86"/>
  <c r="G86"/>
  <c r="H86"/>
  <c r="I86"/>
  <c r="A87"/>
  <c r="B87"/>
  <c r="K87" s="1"/>
  <c r="C87"/>
  <c r="D87"/>
  <c r="E87"/>
  <c r="F87"/>
  <c r="G87"/>
  <c r="H87"/>
  <c r="I87"/>
  <c r="A88"/>
  <c r="B88"/>
  <c r="K88" s="1"/>
  <c r="C88"/>
  <c r="D88"/>
  <c r="E88"/>
  <c r="F88"/>
  <c r="G88"/>
  <c r="H88"/>
  <c r="I88"/>
  <c r="A89"/>
  <c r="B89"/>
  <c r="K89" s="1"/>
  <c r="C89"/>
  <c r="D89"/>
  <c r="E89"/>
  <c r="F89"/>
  <c r="G89"/>
  <c r="H89"/>
  <c r="I89"/>
  <c r="A90"/>
  <c r="B90"/>
  <c r="K90" s="1"/>
  <c r="C90"/>
  <c r="D90"/>
  <c r="E90"/>
  <c r="F90"/>
  <c r="G90"/>
  <c r="H90"/>
  <c r="I90"/>
  <c r="A91"/>
  <c r="B91"/>
  <c r="K91" s="1"/>
  <c r="C91"/>
  <c r="D91"/>
  <c r="E91"/>
  <c r="F91"/>
  <c r="G91"/>
  <c r="H91"/>
  <c r="I91"/>
  <c r="A92"/>
  <c r="B92"/>
  <c r="K92" s="1"/>
  <c r="C92"/>
  <c r="D92"/>
  <c r="E92"/>
  <c r="F92"/>
  <c r="G92"/>
  <c r="H92"/>
  <c r="I92"/>
  <c r="A93"/>
  <c r="B93"/>
  <c r="K93" s="1"/>
  <c r="C93"/>
  <c r="D93"/>
  <c r="E93"/>
  <c r="F93"/>
  <c r="G93"/>
  <c r="H93"/>
  <c r="I93"/>
  <c r="A94"/>
  <c r="B94"/>
  <c r="K94" s="1"/>
  <c r="C94"/>
  <c r="D94"/>
  <c r="E94"/>
  <c r="F94"/>
  <c r="G94"/>
  <c r="H94"/>
  <c r="I94"/>
  <c r="A95"/>
  <c r="B95"/>
  <c r="K95" s="1"/>
  <c r="C95"/>
  <c r="D95"/>
  <c r="E95"/>
  <c r="F95"/>
  <c r="G95"/>
  <c r="H95"/>
  <c r="I95"/>
  <c r="A96"/>
  <c r="B96"/>
  <c r="K96" s="1"/>
  <c r="C96"/>
  <c r="D96"/>
  <c r="E96"/>
  <c r="F96"/>
  <c r="G96"/>
  <c r="H96"/>
  <c r="I96"/>
  <c r="A97"/>
  <c r="B97"/>
  <c r="K97" s="1"/>
  <c r="C97"/>
  <c r="D97"/>
  <c r="E97"/>
  <c r="F97"/>
  <c r="G97"/>
  <c r="H97"/>
  <c r="I97"/>
  <c r="A98"/>
  <c r="B98"/>
  <c r="K98" s="1"/>
  <c r="C98"/>
  <c r="D98"/>
  <c r="E98"/>
  <c r="F98"/>
  <c r="G98"/>
  <c r="H98"/>
  <c r="I98"/>
  <c r="A99"/>
  <c r="B99"/>
  <c r="K99" s="1"/>
  <c r="C99"/>
  <c r="D99"/>
  <c r="E99"/>
  <c r="F99"/>
  <c r="G99"/>
  <c r="H99"/>
  <c r="I99"/>
  <c r="A100"/>
  <c r="B100"/>
  <c r="K100" s="1"/>
  <c r="C100"/>
  <c r="D100"/>
  <c r="E100"/>
  <c r="F100"/>
  <c r="G100"/>
  <c r="H100"/>
  <c r="I100"/>
  <c r="A101"/>
  <c r="B101"/>
  <c r="K101" s="1"/>
  <c r="C101"/>
  <c r="D101"/>
  <c r="E101"/>
  <c r="F101"/>
  <c r="G101"/>
  <c r="H101"/>
  <c r="I101"/>
  <c r="A102"/>
  <c r="B102"/>
  <c r="K102" s="1"/>
  <c r="C102"/>
  <c r="D102"/>
  <c r="E102"/>
  <c r="F102"/>
  <c r="G102"/>
  <c r="H102"/>
  <c r="I102"/>
  <c r="A103"/>
  <c r="B103"/>
  <c r="K103" s="1"/>
  <c r="C103"/>
  <c r="D103"/>
  <c r="E103"/>
  <c r="F103"/>
  <c r="G103"/>
  <c r="H103"/>
  <c r="I103"/>
  <c r="A104"/>
  <c r="B104"/>
  <c r="K104" s="1"/>
  <c r="C104"/>
  <c r="D104"/>
  <c r="E104"/>
  <c r="F104"/>
  <c r="G104"/>
  <c r="H104"/>
  <c r="I104"/>
  <c r="A105"/>
  <c r="B105"/>
  <c r="K105" s="1"/>
  <c r="C105"/>
  <c r="D105"/>
  <c r="E105"/>
  <c r="F105"/>
  <c r="G105"/>
  <c r="H105"/>
  <c r="I105"/>
  <c r="A106"/>
  <c r="B106"/>
  <c r="K106" s="1"/>
  <c r="C106"/>
  <c r="D106"/>
  <c r="E106"/>
  <c r="F106"/>
  <c r="G106"/>
  <c r="H106"/>
  <c r="I106"/>
  <c r="A107"/>
  <c r="B107"/>
  <c r="K107" s="1"/>
  <c r="C107"/>
  <c r="D107"/>
  <c r="E107"/>
  <c r="F107"/>
  <c r="G107"/>
  <c r="H107"/>
  <c r="I107"/>
  <c r="A108"/>
  <c r="B108"/>
  <c r="K108" s="1"/>
  <c r="C108"/>
  <c r="D108"/>
  <c r="E108"/>
  <c r="F108"/>
  <c r="G108"/>
  <c r="H108"/>
  <c r="I108"/>
  <c r="A109"/>
  <c r="B109"/>
  <c r="K109" s="1"/>
  <c r="C109"/>
  <c r="D109"/>
  <c r="E109"/>
  <c r="F109"/>
  <c r="G109"/>
  <c r="H109"/>
  <c r="I109"/>
  <c r="A110"/>
  <c r="B110"/>
  <c r="K110" s="1"/>
  <c r="C110"/>
  <c r="D110"/>
  <c r="E110"/>
  <c r="F110"/>
  <c r="G110"/>
  <c r="H110"/>
  <c r="I110"/>
  <c r="A111"/>
  <c r="B111"/>
  <c r="K111" s="1"/>
  <c r="C111"/>
  <c r="D111"/>
  <c r="E111"/>
  <c r="F111"/>
  <c r="G111"/>
  <c r="H111"/>
  <c r="I111"/>
  <c r="A112"/>
  <c r="B112"/>
  <c r="K112" s="1"/>
  <c r="C112"/>
  <c r="D112"/>
  <c r="E112"/>
  <c r="F112"/>
  <c r="G112"/>
  <c r="H112"/>
  <c r="I112"/>
  <c r="A113"/>
  <c r="B113"/>
  <c r="K113" s="1"/>
  <c r="C113"/>
  <c r="D113"/>
  <c r="E113"/>
  <c r="F113"/>
  <c r="G113"/>
  <c r="H113"/>
  <c r="I113"/>
  <c r="A114"/>
  <c r="B114"/>
  <c r="K114" s="1"/>
  <c r="C114"/>
  <c r="D114"/>
  <c r="E114"/>
  <c r="F114"/>
  <c r="G114"/>
  <c r="H114"/>
  <c r="I114"/>
  <c r="A115"/>
  <c r="B115"/>
  <c r="K115" s="1"/>
  <c r="C115"/>
  <c r="D115"/>
  <c r="E115"/>
  <c r="F115"/>
  <c r="G115"/>
  <c r="H115"/>
  <c r="I115"/>
  <c r="A116"/>
  <c r="B116"/>
  <c r="K116" s="1"/>
  <c r="C116"/>
  <c r="D116"/>
  <c r="E116"/>
  <c r="F116"/>
  <c r="G116"/>
  <c r="H116"/>
  <c r="I116"/>
  <c r="A117"/>
  <c r="B117"/>
  <c r="K117" s="1"/>
  <c r="C117"/>
  <c r="D117"/>
  <c r="E117"/>
  <c r="F117"/>
  <c r="G117"/>
  <c r="H117"/>
  <c r="I117"/>
  <c r="A118"/>
  <c r="B118"/>
  <c r="K118" s="1"/>
  <c r="C118"/>
  <c r="D118"/>
  <c r="E118"/>
  <c r="F118"/>
  <c r="G118"/>
  <c r="H118"/>
  <c r="I118"/>
  <c r="A119"/>
  <c r="B119"/>
  <c r="K119" s="1"/>
  <c r="C119"/>
  <c r="D119"/>
  <c r="E119"/>
  <c r="F119"/>
  <c r="G119"/>
  <c r="H119"/>
  <c r="I119"/>
  <c r="A120"/>
  <c r="B120"/>
  <c r="K120" s="1"/>
  <c r="C120"/>
  <c r="D120"/>
  <c r="E120"/>
  <c r="F120"/>
  <c r="G120"/>
  <c r="H120"/>
  <c r="I120"/>
  <c r="A121"/>
  <c r="B121"/>
  <c r="K121" s="1"/>
  <c r="C121"/>
  <c r="D121"/>
  <c r="E121"/>
  <c r="F121"/>
  <c r="G121"/>
  <c r="H121"/>
  <c r="I121"/>
  <c r="A122"/>
  <c r="B122"/>
  <c r="K122" s="1"/>
  <c r="C122"/>
  <c r="D122"/>
  <c r="E122"/>
  <c r="F122"/>
  <c r="G122"/>
  <c r="H122"/>
  <c r="I122"/>
  <c r="A123"/>
  <c r="B123"/>
  <c r="K123" s="1"/>
  <c r="C123"/>
  <c r="D123"/>
  <c r="E123"/>
  <c r="F123"/>
  <c r="G123"/>
  <c r="H123"/>
  <c r="I123"/>
  <c r="A124"/>
  <c r="B124"/>
  <c r="K124" s="1"/>
  <c r="C124"/>
  <c r="D124"/>
  <c r="E124"/>
  <c r="F124"/>
  <c r="G124"/>
  <c r="H124"/>
  <c r="I124"/>
  <c r="A125"/>
  <c r="B125"/>
  <c r="K125" s="1"/>
  <c r="C125"/>
  <c r="D125"/>
  <c r="E125"/>
  <c r="F125"/>
  <c r="G125"/>
  <c r="H125"/>
  <c r="I125"/>
  <c r="A126"/>
  <c r="B126"/>
  <c r="K126" s="1"/>
  <c r="C126"/>
  <c r="D126"/>
  <c r="E126"/>
  <c r="F126"/>
  <c r="G126"/>
  <c r="H126"/>
  <c r="I126"/>
  <c r="A127"/>
  <c r="B127"/>
  <c r="K127" s="1"/>
  <c r="C127"/>
  <c r="D127"/>
  <c r="E127"/>
  <c r="F127"/>
  <c r="G127"/>
  <c r="H127"/>
  <c r="I127"/>
  <c r="A128"/>
  <c r="B128"/>
  <c r="K128" s="1"/>
  <c r="C128"/>
  <c r="D128"/>
  <c r="E128"/>
  <c r="F128"/>
  <c r="G128"/>
  <c r="H128"/>
  <c r="I128"/>
  <c r="A129"/>
  <c r="B129"/>
  <c r="K129" s="1"/>
  <c r="C129"/>
  <c r="D129"/>
  <c r="E129"/>
  <c r="F129"/>
  <c r="G129"/>
  <c r="H129"/>
  <c r="I129"/>
  <c r="A130"/>
  <c r="B130"/>
  <c r="K130" s="1"/>
  <c r="C130"/>
  <c r="D130"/>
  <c r="E130"/>
  <c r="F130"/>
  <c r="G130"/>
  <c r="H130"/>
  <c r="I130"/>
  <c r="A131"/>
  <c r="B131"/>
  <c r="K131" s="1"/>
  <c r="C131"/>
  <c r="D131"/>
  <c r="E131"/>
  <c r="F131"/>
  <c r="G131"/>
  <c r="H131"/>
  <c r="I131"/>
  <c r="A132"/>
  <c r="B132"/>
  <c r="K132" s="1"/>
  <c r="C132"/>
  <c r="D132"/>
  <c r="E132"/>
  <c r="F132"/>
  <c r="G132"/>
  <c r="H132"/>
  <c r="I132"/>
  <c r="A133"/>
  <c r="B133"/>
  <c r="K133" s="1"/>
  <c r="C133"/>
  <c r="D133"/>
  <c r="E133"/>
  <c r="F133"/>
  <c r="G133"/>
  <c r="H133"/>
  <c r="I133"/>
  <c r="A134"/>
  <c r="B134"/>
  <c r="K134" s="1"/>
  <c r="C134"/>
  <c r="D134"/>
  <c r="E134"/>
  <c r="F134"/>
  <c r="G134"/>
  <c r="H134"/>
  <c r="I134"/>
  <c r="A135"/>
  <c r="B135"/>
  <c r="K135" s="1"/>
  <c r="C135"/>
  <c r="D135"/>
  <c r="E135"/>
  <c r="F135"/>
  <c r="G135"/>
  <c r="H135"/>
  <c r="I135"/>
  <c r="A136"/>
  <c r="B136"/>
  <c r="K136" s="1"/>
  <c r="C136"/>
  <c r="D136"/>
  <c r="E136"/>
  <c r="F136"/>
  <c r="G136"/>
  <c r="H136"/>
  <c r="I136"/>
  <c r="A137"/>
  <c r="B137"/>
  <c r="K137" s="1"/>
  <c r="C137"/>
  <c r="D137"/>
  <c r="E137"/>
  <c r="F137"/>
  <c r="G137"/>
  <c r="H137"/>
  <c r="I137"/>
  <c r="A138"/>
  <c r="B138"/>
  <c r="K138" s="1"/>
  <c r="C138"/>
  <c r="D138"/>
  <c r="E138"/>
  <c r="F138"/>
  <c r="G138"/>
  <c r="H138"/>
  <c r="I138"/>
  <c r="A139"/>
  <c r="B139"/>
  <c r="K139" s="1"/>
  <c r="C139"/>
  <c r="D139"/>
  <c r="E139"/>
  <c r="F139"/>
  <c r="G139"/>
  <c r="H139"/>
  <c r="I139"/>
  <c r="A140"/>
  <c r="B140"/>
  <c r="K140" s="1"/>
  <c r="C140"/>
  <c r="D140"/>
  <c r="E140"/>
  <c r="F140"/>
  <c r="G140"/>
  <c r="H140"/>
  <c r="I140"/>
  <c r="A141"/>
  <c r="B141"/>
  <c r="K141" s="1"/>
  <c r="C141"/>
  <c r="D141"/>
  <c r="E141"/>
  <c r="F141"/>
  <c r="G141"/>
  <c r="H141"/>
  <c r="I141"/>
  <c r="A142"/>
  <c r="B142"/>
  <c r="K142" s="1"/>
  <c r="C142"/>
  <c r="D142"/>
  <c r="E142"/>
  <c r="F142"/>
  <c r="G142"/>
  <c r="H142"/>
  <c r="I142"/>
  <c r="A143"/>
  <c r="B143"/>
  <c r="K143" s="1"/>
  <c r="C143"/>
  <c r="D143"/>
  <c r="E143"/>
  <c r="F143"/>
  <c r="G143"/>
  <c r="H143"/>
  <c r="I143"/>
  <c r="A144"/>
  <c r="B144"/>
  <c r="K144" s="1"/>
  <c r="C144"/>
  <c r="D144"/>
  <c r="E144"/>
  <c r="F144"/>
  <c r="G144"/>
  <c r="H144"/>
  <c r="I144"/>
  <c r="A145"/>
  <c r="B145"/>
  <c r="K145" s="1"/>
  <c r="C145"/>
  <c r="D145"/>
  <c r="E145"/>
  <c r="F145"/>
  <c r="G145"/>
  <c r="H145"/>
  <c r="I145"/>
  <c r="A146"/>
  <c r="B146"/>
  <c r="K146" s="1"/>
  <c r="C146"/>
  <c r="D146"/>
  <c r="E146"/>
  <c r="F146"/>
  <c r="G146"/>
  <c r="H146"/>
  <c r="I146"/>
  <c r="A147"/>
  <c r="B147"/>
  <c r="K147" s="1"/>
  <c r="C147"/>
  <c r="D147"/>
  <c r="E147"/>
  <c r="F147"/>
  <c r="G147"/>
  <c r="H147"/>
  <c r="I147"/>
  <c r="A148"/>
  <c r="B148"/>
  <c r="K148" s="1"/>
  <c r="C148"/>
  <c r="D148"/>
  <c r="E148"/>
  <c r="F148"/>
  <c r="G148"/>
  <c r="H148"/>
  <c r="I148"/>
  <c r="A149"/>
  <c r="B149"/>
  <c r="K149" s="1"/>
  <c r="C149"/>
  <c r="D149"/>
  <c r="E149"/>
  <c r="F149"/>
  <c r="G149"/>
  <c r="H149"/>
  <c r="I149"/>
  <c r="A150"/>
  <c r="B150"/>
  <c r="K150" s="1"/>
  <c r="C150"/>
  <c r="D150"/>
  <c r="E150"/>
  <c r="F150"/>
  <c r="G150"/>
  <c r="H150"/>
  <c r="I150"/>
  <c r="A151"/>
  <c r="B151"/>
  <c r="K151" s="1"/>
  <c r="C151"/>
  <c r="D151"/>
  <c r="E151"/>
  <c r="F151"/>
  <c r="G151"/>
  <c r="H151"/>
  <c r="I151"/>
  <c r="A152"/>
  <c r="B152"/>
  <c r="K152" s="1"/>
  <c r="C152"/>
  <c r="D152"/>
  <c r="E152"/>
  <c r="F152"/>
  <c r="G152"/>
  <c r="H152"/>
  <c r="I152"/>
  <c r="A153"/>
  <c r="B153"/>
  <c r="K153" s="1"/>
  <c r="C153"/>
  <c r="D153"/>
  <c r="E153"/>
  <c r="F153"/>
  <c r="G153"/>
  <c r="H153"/>
  <c r="I153"/>
  <c r="A154"/>
  <c r="B154"/>
  <c r="K154" s="1"/>
  <c r="C154"/>
  <c r="D154"/>
  <c r="E154"/>
  <c r="F154"/>
  <c r="G154"/>
  <c r="H154"/>
  <c r="I154"/>
  <c r="A155"/>
  <c r="B155"/>
  <c r="K155" s="1"/>
  <c r="C155"/>
  <c r="D155"/>
  <c r="E155"/>
  <c r="F155"/>
  <c r="G155"/>
  <c r="H155"/>
  <c r="I155"/>
  <c r="A156"/>
  <c r="B156"/>
  <c r="K156" s="1"/>
  <c r="C156"/>
  <c r="D156"/>
  <c r="E156"/>
  <c r="F156"/>
  <c r="G156"/>
  <c r="H156"/>
  <c r="I156"/>
  <c r="A157"/>
  <c r="B157"/>
  <c r="K157" s="1"/>
  <c r="C157"/>
  <c r="D157"/>
  <c r="E157"/>
  <c r="F157"/>
  <c r="G157"/>
  <c r="H157"/>
  <c r="I157"/>
  <c r="A158"/>
  <c r="B158"/>
  <c r="K158" s="1"/>
  <c r="C158"/>
  <c r="D158"/>
  <c r="E158"/>
  <c r="F158"/>
  <c r="G158"/>
  <c r="H158"/>
  <c r="I158"/>
  <c r="A159"/>
  <c r="B159"/>
  <c r="K159" s="1"/>
  <c r="C159"/>
  <c r="D159"/>
  <c r="E159"/>
  <c r="F159"/>
  <c r="G159"/>
  <c r="H159"/>
  <c r="I159"/>
  <c r="A160"/>
  <c r="B160"/>
  <c r="K160" s="1"/>
  <c r="C160"/>
  <c r="D160"/>
  <c r="E160"/>
  <c r="F160"/>
  <c r="G160"/>
  <c r="H160"/>
  <c r="I160"/>
  <c r="A161"/>
  <c r="B161"/>
  <c r="K161" s="1"/>
  <c r="C161"/>
  <c r="D161"/>
  <c r="E161"/>
  <c r="F161"/>
  <c r="G161"/>
  <c r="H161"/>
  <c r="I161"/>
  <c r="A162"/>
  <c r="B162"/>
  <c r="K162" s="1"/>
  <c r="C162"/>
  <c r="D162"/>
  <c r="E162"/>
  <c r="F162"/>
  <c r="G162"/>
  <c r="H162"/>
  <c r="I162"/>
  <c r="A163"/>
  <c r="B163"/>
  <c r="K163" s="1"/>
  <c r="C163"/>
  <c r="D163"/>
  <c r="E163"/>
  <c r="F163"/>
  <c r="G163"/>
  <c r="H163"/>
  <c r="I163"/>
  <c r="A164"/>
  <c r="B164"/>
  <c r="K164" s="1"/>
  <c r="C164"/>
  <c r="D164"/>
  <c r="E164"/>
  <c r="F164"/>
  <c r="G164"/>
  <c r="H164"/>
  <c r="I164"/>
  <c r="A165"/>
  <c r="B165"/>
  <c r="K165" s="1"/>
  <c r="C165"/>
  <c r="D165"/>
  <c r="E165"/>
  <c r="F165"/>
  <c r="G165"/>
  <c r="H165"/>
  <c r="I165"/>
  <c r="A166"/>
  <c r="B166"/>
  <c r="K166" s="1"/>
  <c r="C166"/>
  <c r="D166"/>
  <c r="E166"/>
  <c r="F166"/>
  <c r="G166"/>
  <c r="H166"/>
  <c r="I166"/>
  <c r="A167"/>
  <c r="B167"/>
  <c r="K167" s="1"/>
  <c r="C167"/>
  <c r="D167"/>
  <c r="E167"/>
  <c r="F167"/>
  <c r="G167"/>
  <c r="H167"/>
  <c r="I167"/>
  <c r="A168"/>
  <c r="B168"/>
  <c r="K168" s="1"/>
  <c r="C168"/>
  <c r="D168"/>
  <c r="E168"/>
  <c r="F168"/>
  <c r="G168"/>
  <c r="H168"/>
  <c r="I168"/>
  <c r="A169"/>
  <c r="B169"/>
  <c r="K169" s="1"/>
  <c r="C169"/>
  <c r="D169"/>
  <c r="E169"/>
  <c r="F169"/>
  <c r="G169"/>
  <c r="H169"/>
  <c r="I169"/>
  <c r="A170"/>
  <c r="B170"/>
  <c r="K170" s="1"/>
  <c r="C170"/>
  <c r="D170"/>
  <c r="E170"/>
  <c r="F170"/>
  <c r="G170"/>
  <c r="H170"/>
  <c r="I170"/>
  <c r="A171"/>
  <c r="B171"/>
  <c r="K171" s="1"/>
  <c r="C171"/>
  <c r="D171"/>
  <c r="E171"/>
  <c r="F171"/>
  <c r="G171"/>
  <c r="H171"/>
  <c r="I171"/>
  <c r="A172"/>
  <c r="B172"/>
  <c r="K172" s="1"/>
  <c r="C172"/>
  <c r="D172"/>
  <c r="E172"/>
  <c r="F172"/>
  <c r="G172"/>
  <c r="H172"/>
  <c r="I172"/>
  <c r="A173"/>
  <c r="B173"/>
  <c r="K173" s="1"/>
  <c r="C173"/>
  <c r="D173"/>
  <c r="E173"/>
  <c r="F173"/>
  <c r="G173"/>
  <c r="H173"/>
  <c r="I173"/>
  <c r="A174"/>
  <c r="B174"/>
  <c r="K174" s="1"/>
  <c r="C174"/>
  <c r="D174"/>
  <c r="E174"/>
  <c r="F174"/>
  <c r="G174"/>
  <c r="H174"/>
  <c r="I174"/>
  <c r="A175"/>
  <c r="B175"/>
  <c r="K175" s="1"/>
  <c r="C175"/>
  <c r="D175"/>
  <c r="E175"/>
  <c r="F175"/>
  <c r="G175"/>
  <c r="H175"/>
  <c r="I175"/>
  <c r="A176"/>
  <c r="B176"/>
  <c r="K176" s="1"/>
  <c r="C176"/>
  <c r="D176"/>
  <c r="E176"/>
  <c r="F176"/>
  <c r="G176"/>
  <c r="H176"/>
  <c r="I176"/>
  <c r="A177"/>
  <c r="B177"/>
  <c r="K177" s="1"/>
  <c r="C177"/>
  <c r="D177"/>
  <c r="E177"/>
  <c r="F177"/>
  <c r="G177"/>
  <c r="H177"/>
  <c r="I177"/>
  <c r="A178"/>
  <c r="B178"/>
  <c r="K178" s="1"/>
  <c r="C178"/>
  <c r="D178"/>
  <c r="E178"/>
  <c r="F178"/>
  <c r="G178"/>
  <c r="H178"/>
  <c r="I178"/>
  <c r="A179"/>
  <c r="B179"/>
  <c r="K179" s="1"/>
  <c r="C179"/>
  <c r="D179"/>
  <c r="E179"/>
  <c r="F179"/>
  <c r="G179"/>
  <c r="H179"/>
  <c r="I179"/>
  <c r="A180"/>
  <c r="B180"/>
  <c r="K180" s="1"/>
  <c r="C180"/>
  <c r="D180"/>
  <c r="E180"/>
  <c r="F180"/>
  <c r="G180"/>
  <c r="H180"/>
  <c r="I180"/>
  <c r="A181"/>
  <c r="B181"/>
  <c r="K181" s="1"/>
  <c r="C181"/>
  <c r="D181"/>
  <c r="E181"/>
  <c r="F181"/>
  <c r="G181"/>
  <c r="H181"/>
  <c r="I181"/>
  <c r="A182"/>
  <c r="B182"/>
  <c r="K182" s="1"/>
  <c r="C182"/>
  <c r="D182"/>
  <c r="E182"/>
  <c r="F182"/>
  <c r="G182"/>
  <c r="H182"/>
  <c r="I182"/>
  <c r="A183"/>
  <c r="B183"/>
  <c r="K183" s="1"/>
  <c r="C183"/>
  <c r="D183"/>
  <c r="E183"/>
  <c r="F183"/>
  <c r="G183"/>
  <c r="H183"/>
  <c r="I183"/>
  <c r="A184"/>
  <c r="B184"/>
  <c r="K184" s="1"/>
  <c r="C184"/>
  <c r="D184"/>
  <c r="E184"/>
  <c r="F184"/>
  <c r="G184"/>
  <c r="H184"/>
  <c r="I184"/>
  <c r="A185"/>
  <c r="B185"/>
  <c r="K185" s="1"/>
  <c r="C185"/>
  <c r="D185"/>
  <c r="E185"/>
  <c r="F185"/>
  <c r="G185"/>
  <c r="H185"/>
  <c r="I185"/>
  <c r="A186"/>
  <c r="B186"/>
  <c r="K186" s="1"/>
  <c r="C186"/>
  <c r="D186"/>
  <c r="E186"/>
  <c r="F186"/>
  <c r="G186"/>
  <c r="H186"/>
  <c r="I186"/>
  <c r="A187"/>
  <c r="B187"/>
  <c r="K187" s="1"/>
  <c r="C187"/>
  <c r="D187"/>
  <c r="E187"/>
  <c r="F187"/>
  <c r="G187"/>
  <c r="H187"/>
  <c r="I187"/>
  <c r="A188"/>
  <c r="B188"/>
  <c r="K188" s="1"/>
  <c r="C188"/>
  <c r="D188"/>
  <c r="E188"/>
  <c r="F188"/>
  <c r="G188"/>
  <c r="H188"/>
  <c r="I188"/>
  <c r="A189"/>
  <c r="B189"/>
  <c r="K189" s="1"/>
  <c r="C189"/>
  <c r="D189"/>
  <c r="E189"/>
  <c r="F189"/>
  <c r="G189"/>
  <c r="H189"/>
  <c r="I189"/>
  <c r="A190"/>
  <c r="B190"/>
  <c r="K190" s="1"/>
  <c r="C190"/>
  <c r="D190"/>
  <c r="E190"/>
  <c r="F190"/>
  <c r="G190"/>
  <c r="H190"/>
  <c r="I190"/>
  <c r="A191"/>
  <c r="B191"/>
  <c r="K191" s="1"/>
  <c r="C191"/>
  <c r="D191"/>
  <c r="E191"/>
  <c r="F191"/>
  <c r="G191"/>
  <c r="H191"/>
  <c r="I191"/>
  <c r="A192"/>
  <c r="B192"/>
  <c r="K192" s="1"/>
  <c r="C192"/>
  <c r="D192"/>
  <c r="E192"/>
  <c r="F192"/>
  <c r="G192"/>
  <c r="H192"/>
  <c r="I192"/>
  <c r="A193"/>
  <c r="B193"/>
  <c r="K193" s="1"/>
  <c r="C193"/>
  <c r="D193"/>
  <c r="E193"/>
  <c r="F193"/>
  <c r="G193"/>
  <c r="H193"/>
  <c r="I193"/>
  <c r="A194"/>
  <c r="B194"/>
  <c r="K194" s="1"/>
  <c r="C194"/>
  <c r="D194"/>
  <c r="E194"/>
  <c r="F194"/>
  <c r="G194"/>
  <c r="H194"/>
  <c r="I194"/>
  <c r="A195"/>
  <c r="B195"/>
  <c r="K195" s="1"/>
  <c r="C195"/>
  <c r="D195"/>
  <c r="E195"/>
  <c r="F195"/>
  <c r="G195"/>
  <c r="H195"/>
  <c r="I195"/>
  <c r="A196"/>
  <c r="B196"/>
  <c r="K196" s="1"/>
  <c r="C196"/>
  <c r="D196"/>
  <c r="E196"/>
  <c r="F196"/>
  <c r="G196"/>
  <c r="H196"/>
  <c r="I196"/>
  <c r="A197"/>
  <c r="B197"/>
  <c r="K197" s="1"/>
  <c r="C197"/>
  <c r="D197"/>
  <c r="E197"/>
  <c r="F197"/>
  <c r="G197"/>
  <c r="H197"/>
  <c r="I197"/>
  <c r="A198"/>
  <c r="B198"/>
  <c r="K198" s="1"/>
  <c r="C198"/>
  <c r="D198"/>
  <c r="E198"/>
  <c r="F198"/>
  <c r="G198"/>
  <c r="H198"/>
  <c r="I198"/>
  <c r="A199"/>
  <c r="B199"/>
  <c r="K199" s="1"/>
  <c r="C199"/>
  <c r="D199"/>
  <c r="E199"/>
  <c r="F199"/>
  <c r="G199"/>
  <c r="H199"/>
  <c r="I199"/>
  <c r="A200"/>
  <c r="B200"/>
  <c r="K200" s="1"/>
  <c r="C200"/>
  <c r="D200"/>
  <c r="E200"/>
  <c r="F200"/>
  <c r="G200"/>
  <c r="H200"/>
  <c r="I200"/>
  <c r="A201"/>
  <c r="B201"/>
  <c r="K201" s="1"/>
  <c r="C201"/>
  <c r="D201"/>
  <c r="E201"/>
  <c r="F201"/>
  <c r="G201"/>
  <c r="H201"/>
  <c r="I201"/>
  <c r="A202"/>
  <c r="B202"/>
  <c r="K202" s="1"/>
  <c r="C202"/>
  <c r="D202"/>
  <c r="E202"/>
  <c r="F202"/>
  <c r="G202"/>
  <c r="H202"/>
  <c r="I202"/>
  <c r="A203"/>
  <c r="B203"/>
  <c r="K203" s="1"/>
  <c r="C203"/>
  <c r="D203"/>
  <c r="E203"/>
  <c r="F203"/>
  <c r="G203"/>
  <c r="H203"/>
  <c r="I203"/>
  <c r="A31" i="6"/>
  <c r="J23"/>
  <c r="J44" s="1"/>
  <c r="A23"/>
  <c r="A44" s="1"/>
  <c r="F2"/>
  <c r="J22"/>
  <c r="A22"/>
  <c r="H19"/>
  <c r="I19"/>
  <c r="N8"/>
  <c r="N9"/>
  <c r="N10"/>
  <c r="N11"/>
  <c r="N12"/>
  <c r="N13"/>
  <c r="N14"/>
  <c r="N15"/>
  <c r="N16"/>
  <c r="N17"/>
  <c r="N18"/>
  <c r="N19"/>
  <c r="N20"/>
  <c r="B14"/>
  <c r="B11"/>
  <c r="O4"/>
  <c r="N4"/>
  <c r="M4"/>
  <c r="L4"/>
  <c r="K4"/>
  <c r="J4"/>
  <c r="I4"/>
  <c r="H4"/>
  <c r="G4"/>
  <c r="F4"/>
  <c r="D4"/>
  <c r="C4"/>
  <c r="E4"/>
  <c r="B4"/>
  <c r="A4"/>
  <c r="A2"/>
  <c r="A1"/>
  <c r="A30"/>
  <c r="J2"/>
  <c r="F2" i="15"/>
  <c r="G2" i="12" s="1"/>
  <c r="A2" i="15"/>
  <c r="A2" i="12" s="1"/>
  <c r="A1" i="15"/>
  <c r="AC8" i="7" l="1"/>
  <c r="AC4"/>
  <c r="AC14"/>
  <c r="AC16"/>
  <c r="AC9"/>
  <c r="AC23"/>
  <c r="AC30"/>
  <c r="AC29"/>
  <c r="AC27"/>
  <c r="AC66"/>
  <c r="AC18"/>
  <c r="AC15"/>
  <c r="AC10"/>
  <c r="AC5"/>
  <c r="AC43"/>
  <c r="AC42"/>
  <c r="AC28"/>
  <c r="AC19"/>
  <c r="AC41"/>
  <c r="AC34"/>
  <c r="AC13"/>
  <c r="AC7"/>
  <c r="AC17"/>
  <c r="AC26"/>
  <c r="AC24"/>
  <c r="AC49"/>
  <c r="AC40"/>
  <c r="AC20"/>
  <c r="AC63"/>
  <c r="AC11"/>
  <c r="AC12"/>
  <c r="AC6"/>
  <c r="AC33"/>
  <c r="AC47"/>
  <c r="AC32"/>
  <c r="AC64"/>
  <c r="AC44"/>
  <c r="AC67"/>
  <c r="AC36"/>
  <c r="AC25"/>
  <c r="AC31"/>
  <c r="AC57"/>
  <c r="AC52"/>
  <c r="AC58"/>
  <c r="AC21"/>
  <c r="AC38"/>
  <c r="AC56"/>
  <c r="AC46"/>
  <c r="AC61"/>
  <c r="AC39"/>
  <c r="AC65"/>
  <c r="AC54"/>
  <c r="AC55"/>
  <c r="AC62"/>
  <c r="AC45"/>
  <c r="AC48"/>
  <c r="AC59"/>
  <c r="AC37"/>
  <c r="AC50"/>
  <c r="AC53"/>
  <c r="AC60"/>
  <c r="AC51"/>
  <c r="AC35"/>
  <c r="AC22"/>
  <c r="EC2" i="9"/>
  <c r="E2" i="15"/>
  <c r="C2"/>
  <c r="D2"/>
  <c r="G2" i="8"/>
  <c r="G3" i="9"/>
  <c r="T216" i="15"/>
  <c r="T214"/>
  <c r="T211"/>
  <c r="G217"/>
  <c r="I218"/>
  <c r="I217"/>
  <c r="B217"/>
  <c r="S216"/>
  <c r="I216"/>
  <c r="B216"/>
  <c r="I215"/>
  <c r="B215"/>
  <c r="S214"/>
  <c r="I214"/>
  <c r="B214"/>
  <c r="I213"/>
  <c r="B213"/>
  <c r="I212"/>
  <c r="B212"/>
  <c r="S211"/>
  <c r="I211"/>
  <c r="B211"/>
  <c r="I210"/>
  <c r="B210"/>
  <c r="I209"/>
  <c r="B209"/>
  <c r="S208"/>
  <c r="I208"/>
  <c r="G208"/>
  <c r="F208"/>
  <c r="E208"/>
  <c r="B208"/>
  <c r="AS8"/>
  <c r="AS9"/>
  <c r="P6" i="11" s="1"/>
  <c r="AS10" i="15"/>
  <c r="AS11"/>
  <c r="AS12"/>
  <c r="AS15"/>
  <c r="AS16"/>
  <c r="AS17"/>
  <c r="P14" i="11" s="1"/>
  <c r="AS18" i="15"/>
  <c r="P15" i="11" s="1"/>
  <c r="AS19" i="15"/>
  <c r="AS20"/>
  <c r="AS21"/>
  <c r="AS22"/>
  <c r="AS23"/>
  <c r="AS24"/>
  <c r="AS25"/>
  <c r="P22" i="11" s="1"/>
  <c r="AS26" i="15"/>
  <c r="AS27"/>
  <c r="AS28"/>
  <c r="AS29"/>
  <c r="P26" i="11" s="1"/>
  <c r="AS30" i="15"/>
  <c r="P27" i="11" s="1"/>
  <c r="AS31" i="15"/>
  <c r="AS32"/>
  <c r="AS33"/>
  <c r="AS34"/>
  <c r="P31" i="11" s="1"/>
  <c r="AS35" i="15"/>
  <c r="AS36"/>
  <c r="AS37"/>
  <c r="AS38"/>
  <c r="AS39"/>
  <c r="AS40"/>
  <c r="AS41"/>
  <c r="P38" i="11" s="1"/>
  <c r="AS42" i="15"/>
  <c r="AS43"/>
  <c r="AS44"/>
  <c r="AS45"/>
  <c r="P42" i="11" s="1"/>
  <c r="AS46" i="15"/>
  <c r="P43" i="11" s="1"/>
  <c r="AS47" i="15"/>
  <c r="AS48"/>
  <c r="AS49"/>
  <c r="AS50"/>
  <c r="P47" i="11" s="1"/>
  <c r="AS51" i="15"/>
  <c r="AS52"/>
  <c r="AS53"/>
  <c r="AS54"/>
  <c r="AS55"/>
  <c r="AS56"/>
  <c r="AS57"/>
  <c r="P54" i="11" s="1"/>
  <c r="AS58" i="15"/>
  <c r="AS59"/>
  <c r="AS60"/>
  <c r="AS61"/>
  <c r="P58" i="11" s="1"/>
  <c r="AS62" i="15"/>
  <c r="P59" i="11" s="1"/>
  <c r="AS63" i="15"/>
  <c r="AS64"/>
  <c r="AS65"/>
  <c r="AS66"/>
  <c r="P63" i="11" s="1"/>
  <c r="AS67" i="15"/>
  <c r="AS68"/>
  <c r="AS69"/>
  <c r="AS70"/>
  <c r="AS71"/>
  <c r="AS72"/>
  <c r="AS73"/>
  <c r="P70" i="11" s="1"/>
  <c r="AS74" i="15"/>
  <c r="AS75"/>
  <c r="AS76"/>
  <c r="AS77"/>
  <c r="P74" i="11" s="1"/>
  <c r="AS78" i="15"/>
  <c r="P75" i="11" s="1"/>
  <c r="AS79" i="15"/>
  <c r="AS80"/>
  <c r="AS81"/>
  <c r="AS82"/>
  <c r="P79" i="11" s="1"/>
  <c r="AS83" i="15"/>
  <c r="AS84"/>
  <c r="AS85"/>
  <c r="P82" i="11" s="1"/>
  <c r="AS86" i="15"/>
  <c r="AS87"/>
  <c r="AS88"/>
  <c r="AS89"/>
  <c r="P86" i="11" s="1"/>
  <c r="AS90" i="15"/>
  <c r="AS91"/>
  <c r="AS92"/>
  <c r="AS93"/>
  <c r="P90" i="11" s="1"/>
  <c r="AS94" i="15"/>
  <c r="AS95"/>
  <c r="AS96"/>
  <c r="AS97"/>
  <c r="P94" i="11" s="1"/>
  <c r="AS98" i="15"/>
  <c r="P95" i="11" s="1"/>
  <c r="AS99" i="15"/>
  <c r="AS100"/>
  <c r="AS101"/>
  <c r="AS102"/>
  <c r="P99" i="11" s="1"/>
  <c r="AS103" i="15"/>
  <c r="AS104"/>
  <c r="AS105"/>
  <c r="AS106"/>
  <c r="AS107"/>
  <c r="AS108"/>
  <c r="AS109"/>
  <c r="P106" i="11" s="1"/>
  <c r="AS110" i="15"/>
  <c r="AS111"/>
  <c r="AS112"/>
  <c r="AS113"/>
  <c r="P110" i="11" s="1"/>
  <c r="AS114" i="15"/>
  <c r="AS115"/>
  <c r="AS116"/>
  <c r="AS117"/>
  <c r="P114" i="11" s="1"/>
  <c r="AS118" i="15"/>
  <c r="P115" i="11" s="1"/>
  <c r="AS119" i="15"/>
  <c r="AS120"/>
  <c r="AS121"/>
  <c r="AS122"/>
  <c r="P119" i="11" s="1"/>
  <c r="AS123" i="15"/>
  <c r="AS124"/>
  <c r="AS125"/>
  <c r="AS126"/>
  <c r="AS127"/>
  <c r="AS128"/>
  <c r="AS129"/>
  <c r="P126" i="11" s="1"/>
  <c r="AS130" i="15"/>
  <c r="AS131"/>
  <c r="AS132"/>
  <c r="AS133"/>
  <c r="P130" i="11" s="1"/>
  <c r="AS134" i="15"/>
  <c r="P131" i="11" s="1"/>
  <c r="AS135" i="15"/>
  <c r="AS136"/>
  <c r="AS137"/>
  <c r="AS138"/>
  <c r="P135" i="11" s="1"/>
  <c r="AS139" i="15"/>
  <c r="AS140"/>
  <c r="AS141"/>
  <c r="AS142"/>
  <c r="AS143"/>
  <c r="AS144"/>
  <c r="AS145"/>
  <c r="P142" i="11" s="1"/>
  <c r="AS146" i="15"/>
  <c r="AS147"/>
  <c r="AS148"/>
  <c r="AS149"/>
  <c r="P146" i="11" s="1"/>
  <c r="AS150" i="15"/>
  <c r="P147" i="11" s="1"/>
  <c r="AS151" i="15"/>
  <c r="AS152"/>
  <c r="AS153"/>
  <c r="AS154"/>
  <c r="P151" i="11" s="1"/>
  <c r="AS155" i="15"/>
  <c r="AS156"/>
  <c r="AS157"/>
  <c r="AS158"/>
  <c r="AS159"/>
  <c r="AS160"/>
  <c r="AS161"/>
  <c r="P158" i="11" s="1"/>
  <c r="AS162" i="15"/>
  <c r="AS163"/>
  <c r="AS164"/>
  <c r="AS165"/>
  <c r="P162" i="11" s="1"/>
  <c r="AS166" i="15"/>
  <c r="P163" i="11" s="1"/>
  <c r="AS167" i="15"/>
  <c r="AS168"/>
  <c r="AS169"/>
  <c r="AS170"/>
  <c r="P167" i="11" s="1"/>
  <c r="AS171" i="15"/>
  <c r="AS172"/>
  <c r="AS173"/>
  <c r="AS174"/>
  <c r="AS175"/>
  <c r="AS176"/>
  <c r="AS177"/>
  <c r="P174" i="11" s="1"/>
  <c r="AS178" i="15"/>
  <c r="AS179"/>
  <c r="AS180"/>
  <c r="AS181"/>
  <c r="P178" i="11" s="1"/>
  <c r="AS182" i="15"/>
  <c r="AS183"/>
  <c r="AS184"/>
  <c r="AS185"/>
  <c r="P182" i="11" s="1"/>
  <c r="AS186" i="15"/>
  <c r="AS187"/>
  <c r="AS188"/>
  <c r="AS189"/>
  <c r="P186" i="11" s="1"/>
  <c r="AS190" i="15"/>
  <c r="AS191"/>
  <c r="AS192"/>
  <c r="AS193"/>
  <c r="P190" i="11" s="1"/>
  <c r="AS194" i="15"/>
  <c r="AS195"/>
  <c r="AS196"/>
  <c r="AS197"/>
  <c r="AS198"/>
  <c r="AS199"/>
  <c r="AS200"/>
  <c r="AS201"/>
  <c r="AS202"/>
  <c r="AS203"/>
  <c r="AS204"/>
  <c r="AS205"/>
  <c r="AS206"/>
  <c r="AS7"/>
  <c r="A8"/>
  <c r="B8"/>
  <c r="C8"/>
  <c r="E8"/>
  <c r="F8"/>
  <c r="G8"/>
  <c r="A9"/>
  <c r="B9"/>
  <c r="C9"/>
  <c r="D9"/>
  <c r="E9"/>
  <c r="F9"/>
  <c r="G9"/>
  <c r="A10"/>
  <c r="B10"/>
  <c r="C10"/>
  <c r="D10"/>
  <c r="E10"/>
  <c r="F10"/>
  <c r="G10"/>
  <c r="A11"/>
  <c r="B11"/>
  <c r="C11"/>
  <c r="D11"/>
  <c r="E11"/>
  <c r="F11"/>
  <c r="G11"/>
  <c r="A12"/>
  <c r="B12"/>
  <c r="C12"/>
  <c r="D12"/>
  <c r="E12"/>
  <c r="F12"/>
  <c r="G12"/>
  <c r="A13"/>
  <c r="B13"/>
  <c r="C13"/>
  <c r="D13"/>
  <c r="E13"/>
  <c r="F13"/>
  <c r="G13"/>
  <c r="A14"/>
  <c r="B14"/>
  <c r="C14"/>
  <c r="D14"/>
  <c r="E14"/>
  <c r="F14"/>
  <c r="G14"/>
  <c r="A15"/>
  <c r="B15"/>
  <c r="C15"/>
  <c r="D15"/>
  <c r="E15"/>
  <c r="F15"/>
  <c r="G15"/>
  <c r="A16"/>
  <c r="B16"/>
  <c r="C16"/>
  <c r="D16"/>
  <c r="E16"/>
  <c r="F16"/>
  <c r="G16"/>
  <c r="A17"/>
  <c r="B17"/>
  <c r="C17"/>
  <c r="D17"/>
  <c r="E17"/>
  <c r="F17"/>
  <c r="G17"/>
  <c r="A18"/>
  <c r="B18"/>
  <c r="C18"/>
  <c r="D18"/>
  <c r="E18"/>
  <c r="F18"/>
  <c r="G18"/>
  <c r="A19"/>
  <c r="B19"/>
  <c r="C19"/>
  <c r="D19"/>
  <c r="E19"/>
  <c r="F19"/>
  <c r="G19"/>
  <c r="A20"/>
  <c r="B20"/>
  <c r="C20"/>
  <c r="D20"/>
  <c r="E20"/>
  <c r="F20"/>
  <c r="G20"/>
  <c r="A21"/>
  <c r="B21"/>
  <c r="C21"/>
  <c r="D21"/>
  <c r="E21"/>
  <c r="F21"/>
  <c r="G21"/>
  <c r="A22"/>
  <c r="B22"/>
  <c r="C22"/>
  <c r="D22"/>
  <c r="E22"/>
  <c r="F22"/>
  <c r="G22"/>
  <c r="A23"/>
  <c r="B23"/>
  <c r="C23"/>
  <c r="D23"/>
  <c r="E23"/>
  <c r="F23"/>
  <c r="G23"/>
  <c r="A24"/>
  <c r="B24"/>
  <c r="C24"/>
  <c r="D24"/>
  <c r="E24"/>
  <c r="F24"/>
  <c r="G24"/>
  <c r="A25"/>
  <c r="B25"/>
  <c r="C25"/>
  <c r="D25"/>
  <c r="E25"/>
  <c r="F25"/>
  <c r="G25"/>
  <c r="A26"/>
  <c r="B26"/>
  <c r="C26"/>
  <c r="D26"/>
  <c r="E26"/>
  <c r="F26"/>
  <c r="G26"/>
  <c r="A27"/>
  <c r="B27"/>
  <c r="C27"/>
  <c r="D27"/>
  <c r="E27"/>
  <c r="F27"/>
  <c r="G27"/>
  <c r="A28"/>
  <c r="B28"/>
  <c r="C28"/>
  <c r="D28"/>
  <c r="E28"/>
  <c r="F28"/>
  <c r="G28"/>
  <c r="A29"/>
  <c r="B29"/>
  <c r="C29"/>
  <c r="D29"/>
  <c r="E29"/>
  <c r="F29"/>
  <c r="G29"/>
  <c r="A30"/>
  <c r="B30"/>
  <c r="C30"/>
  <c r="D30"/>
  <c r="E30"/>
  <c r="F30"/>
  <c r="G30"/>
  <c r="A31"/>
  <c r="B31"/>
  <c r="C31"/>
  <c r="D31"/>
  <c r="E31"/>
  <c r="F31"/>
  <c r="G31"/>
  <c r="A32"/>
  <c r="B32"/>
  <c r="C32"/>
  <c r="D32"/>
  <c r="E32"/>
  <c r="F32"/>
  <c r="G32"/>
  <c r="A33"/>
  <c r="B33"/>
  <c r="C33"/>
  <c r="D33"/>
  <c r="E33"/>
  <c r="F33"/>
  <c r="G33"/>
  <c r="A34"/>
  <c r="B34"/>
  <c r="C34"/>
  <c r="D34"/>
  <c r="E34"/>
  <c r="F34"/>
  <c r="G34"/>
  <c r="A35"/>
  <c r="B35"/>
  <c r="C35"/>
  <c r="D35"/>
  <c r="E35"/>
  <c r="F35"/>
  <c r="G35"/>
  <c r="A36"/>
  <c r="B36"/>
  <c r="C36"/>
  <c r="D36"/>
  <c r="E36"/>
  <c r="F36"/>
  <c r="G36"/>
  <c r="A37"/>
  <c r="B37"/>
  <c r="C37"/>
  <c r="D37"/>
  <c r="E37"/>
  <c r="F37"/>
  <c r="G37"/>
  <c r="A38"/>
  <c r="B38"/>
  <c r="C38"/>
  <c r="D38"/>
  <c r="E38"/>
  <c r="F38"/>
  <c r="G38"/>
  <c r="A39"/>
  <c r="B39"/>
  <c r="C39"/>
  <c r="D39"/>
  <c r="E39"/>
  <c r="F39"/>
  <c r="G39"/>
  <c r="A40"/>
  <c r="B40"/>
  <c r="C40"/>
  <c r="D40"/>
  <c r="E40"/>
  <c r="F40"/>
  <c r="G40"/>
  <c r="A41"/>
  <c r="B41"/>
  <c r="C41"/>
  <c r="D41"/>
  <c r="E41"/>
  <c r="F41"/>
  <c r="G41"/>
  <c r="A42"/>
  <c r="B42"/>
  <c r="C42"/>
  <c r="D42"/>
  <c r="E42"/>
  <c r="F42"/>
  <c r="G42"/>
  <c r="A43"/>
  <c r="B43"/>
  <c r="C43"/>
  <c r="D43"/>
  <c r="E43"/>
  <c r="F43"/>
  <c r="G43"/>
  <c r="A44"/>
  <c r="B44"/>
  <c r="C44"/>
  <c r="D44"/>
  <c r="E44"/>
  <c r="F44"/>
  <c r="G44"/>
  <c r="A45"/>
  <c r="B45"/>
  <c r="C45"/>
  <c r="D45"/>
  <c r="E45"/>
  <c r="F45"/>
  <c r="G45"/>
  <c r="A46"/>
  <c r="B46"/>
  <c r="C46"/>
  <c r="D46"/>
  <c r="E46"/>
  <c r="F46"/>
  <c r="G46"/>
  <c r="A47"/>
  <c r="B47"/>
  <c r="C47"/>
  <c r="D47"/>
  <c r="E47"/>
  <c r="F47"/>
  <c r="G47"/>
  <c r="A48"/>
  <c r="B48"/>
  <c r="C48"/>
  <c r="D48"/>
  <c r="E48"/>
  <c r="F48"/>
  <c r="G48"/>
  <c r="A49"/>
  <c r="B49"/>
  <c r="C49"/>
  <c r="D49"/>
  <c r="E49"/>
  <c r="F49"/>
  <c r="G49"/>
  <c r="A50"/>
  <c r="B50"/>
  <c r="C50"/>
  <c r="D50"/>
  <c r="E50"/>
  <c r="F50"/>
  <c r="G50"/>
  <c r="A51"/>
  <c r="B51"/>
  <c r="C51"/>
  <c r="D51"/>
  <c r="E51"/>
  <c r="F51"/>
  <c r="G51"/>
  <c r="A52"/>
  <c r="B52"/>
  <c r="C52"/>
  <c r="D52"/>
  <c r="E52"/>
  <c r="F52"/>
  <c r="G52"/>
  <c r="A53"/>
  <c r="B53"/>
  <c r="C53"/>
  <c r="D53"/>
  <c r="E53"/>
  <c r="F53"/>
  <c r="G53"/>
  <c r="A54"/>
  <c r="B54"/>
  <c r="C54"/>
  <c r="D54"/>
  <c r="E54"/>
  <c r="F54"/>
  <c r="G54"/>
  <c r="A55"/>
  <c r="B55"/>
  <c r="C55"/>
  <c r="D55"/>
  <c r="E55"/>
  <c r="F55"/>
  <c r="G55"/>
  <c r="A56"/>
  <c r="B56"/>
  <c r="C56"/>
  <c r="D56"/>
  <c r="E56"/>
  <c r="F56"/>
  <c r="G56"/>
  <c r="A57"/>
  <c r="B57"/>
  <c r="C57"/>
  <c r="D57"/>
  <c r="E57"/>
  <c r="F57"/>
  <c r="G57"/>
  <c r="A58"/>
  <c r="B58"/>
  <c r="C58"/>
  <c r="D58"/>
  <c r="E58"/>
  <c r="F58"/>
  <c r="G58"/>
  <c r="A59"/>
  <c r="B59"/>
  <c r="C59"/>
  <c r="D59"/>
  <c r="E59"/>
  <c r="F59"/>
  <c r="G59"/>
  <c r="A60"/>
  <c r="B60"/>
  <c r="C60"/>
  <c r="D60"/>
  <c r="E60"/>
  <c r="F60"/>
  <c r="G60"/>
  <c r="A61"/>
  <c r="B61"/>
  <c r="C61"/>
  <c r="D61"/>
  <c r="E61"/>
  <c r="F61"/>
  <c r="G61"/>
  <c r="A62"/>
  <c r="B62"/>
  <c r="C62"/>
  <c r="D62"/>
  <c r="E62"/>
  <c r="F62"/>
  <c r="G62"/>
  <c r="A63"/>
  <c r="B63"/>
  <c r="C63"/>
  <c r="D63"/>
  <c r="E63"/>
  <c r="F63"/>
  <c r="G63"/>
  <c r="A64"/>
  <c r="B64"/>
  <c r="C64"/>
  <c r="D64"/>
  <c r="E64"/>
  <c r="F64"/>
  <c r="G64"/>
  <c r="A65"/>
  <c r="B65"/>
  <c r="C65"/>
  <c r="D65"/>
  <c r="E65"/>
  <c r="F65"/>
  <c r="G65"/>
  <c r="A66"/>
  <c r="B66"/>
  <c r="C66"/>
  <c r="D66"/>
  <c r="E66"/>
  <c r="F66"/>
  <c r="G66"/>
  <c r="A67"/>
  <c r="B67"/>
  <c r="C67"/>
  <c r="D67"/>
  <c r="E67"/>
  <c r="F67"/>
  <c r="G67"/>
  <c r="A68"/>
  <c r="B68"/>
  <c r="C68"/>
  <c r="D68"/>
  <c r="E68"/>
  <c r="F68"/>
  <c r="G68"/>
  <c r="A69"/>
  <c r="B69"/>
  <c r="C69"/>
  <c r="D69"/>
  <c r="E69"/>
  <c r="F69"/>
  <c r="G69"/>
  <c r="A70"/>
  <c r="B70"/>
  <c r="C70"/>
  <c r="D70"/>
  <c r="E70"/>
  <c r="F70"/>
  <c r="G70"/>
  <c r="A71"/>
  <c r="B71"/>
  <c r="C71"/>
  <c r="D71"/>
  <c r="E71"/>
  <c r="F71"/>
  <c r="G71"/>
  <c r="A72"/>
  <c r="B72"/>
  <c r="C72"/>
  <c r="D72"/>
  <c r="E72"/>
  <c r="F72"/>
  <c r="G72"/>
  <c r="A73"/>
  <c r="B73"/>
  <c r="C73"/>
  <c r="D73"/>
  <c r="E73"/>
  <c r="F73"/>
  <c r="G73"/>
  <c r="A74"/>
  <c r="B74"/>
  <c r="C74"/>
  <c r="D74"/>
  <c r="E74"/>
  <c r="F74"/>
  <c r="G74"/>
  <c r="A75"/>
  <c r="B75"/>
  <c r="C75"/>
  <c r="D75"/>
  <c r="E75"/>
  <c r="F75"/>
  <c r="G75"/>
  <c r="A76"/>
  <c r="B76"/>
  <c r="C76"/>
  <c r="D76"/>
  <c r="E76"/>
  <c r="F76"/>
  <c r="G76"/>
  <c r="A77"/>
  <c r="B77"/>
  <c r="C77"/>
  <c r="D77"/>
  <c r="E77"/>
  <c r="F77"/>
  <c r="G77"/>
  <c r="A78"/>
  <c r="B78"/>
  <c r="C78"/>
  <c r="D78"/>
  <c r="E78"/>
  <c r="F78"/>
  <c r="G78"/>
  <c r="A79"/>
  <c r="B79"/>
  <c r="C79"/>
  <c r="D79"/>
  <c r="E79"/>
  <c r="F79"/>
  <c r="G79"/>
  <c r="A80"/>
  <c r="B80"/>
  <c r="C80"/>
  <c r="D80"/>
  <c r="E80"/>
  <c r="F80"/>
  <c r="G80"/>
  <c r="A81"/>
  <c r="B81"/>
  <c r="C81"/>
  <c r="D81"/>
  <c r="E81"/>
  <c r="F81"/>
  <c r="G81"/>
  <c r="A82"/>
  <c r="B82"/>
  <c r="C82"/>
  <c r="D82"/>
  <c r="E82"/>
  <c r="F82"/>
  <c r="G82"/>
  <c r="A83"/>
  <c r="B83"/>
  <c r="C83"/>
  <c r="D83"/>
  <c r="E83"/>
  <c r="F83"/>
  <c r="G83"/>
  <c r="A84"/>
  <c r="B84"/>
  <c r="C84"/>
  <c r="D84"/>
  <c r="E84"/>
  <c r="F84"/>
  <c r="G84"/>
  <c r="A85"/>
  <c r="B85"/>
  <c r="C85"/>
  <c r="D85"/>
  <c r="E85"/>
  <c r="F85"/>
  <c r="G85"/>
  <c r="A86"/>
  <c r="B86"/>
  <c r="C86"/>
  <c r="D86"/>
  <c r="E86"/>
  <c r="F86"/>
  <c r="G86"/>
  <c r="A87"/>
  <c r="B87"/>
  <c r="C87"/>
  <c r="D87"/>
  <c r="E87"/>
  <c r="F87"/>
  <c r="G87"/>
  <c r="A88"/>
  <c r="B88"/>
  <c r="C88"/>
  <c r="D88"/>
  <c r="E88"/>
  <c r="F88"/>
  <c r="G88"/>
  <c r="A89"/>
  <c r="B89"/>
  <c r="C89"/>
  <c r="D89"/>
  <c r="E89"/>
  <c r="F89"/>
  <c r="G89"/>
  <c r="A90"/>
  <c r="B90"/>
  <c r="C90"/>
  <c r="D90"/>
  <c r="E90"/>
  <c r="F90"/>
  <c r="G90"/>
  <c r="A91"/>
  <c r="B91"/>
  <c r="C91"/>
  <c r="D91"/>
  <c r="E91"/>
  <c r="F91"/>
  <c r="G91"/>
  <c r="A92"/>
  <c r="B92"/>
  <c r="C92"/>
  <c r="D92"/>
  <c r="E92"/>
  <c r="F92"/>
  <c r="G92"/>
  <c r="A93"/>
  <c r="B93"/>
  <c r="C93"/>
  <c r="D93"/>
  <c r="E93"/>
  <c r="F93"/>
  <c r="G93"/>
  <c r="A94"/>
  <c r="B94"/>
  <c r="C94"/>
  <c r="D94"/>
  <c r="E94"/>
  <c r="F94"/>
  <c r="G94"/>
  <c r="A95"/>
  <c r="B95"/>
  <c r="C95"/>
  <c r="D95"/>
  <c r="E95"/>
  <c r="F95"/>
  <c r="G95"/>
  <c r="A96"/>
  <c r="B96"/>
  <c r="C96"/>
  <c r="D96"/>
  <c r="E96"/>
  <c r="F96"/>
  <c r="G96"/>
  <c r="A97"/>
  <c r="B97"/>
  <c r="C97"/>
  <c r="D97"/>
  <c r="E97"/>
  <c r="F97"/>
  <c r="G97"/>
  <c r="A98"/>
  <c r="B98"/>
  <c r="C98"/>
  <c r="D98"/>
  <c r="E98"/>
  <c r="F98"/>
  <c r="G98"/>
  <c r="A99"/>
  <c r="B99"/>
  <c r="C99"/>
  <c r="D99"/>
  <c r="E99"/>
  <c r="F99"/>
  <c r="G99"/>
  <c r="A100"/>
  <c r="B100"/>
  <c r="C100"/>
  <c r="D100"/>
  <c r="E100"/>
  <c r="F100"/>
  <c r="G100"/>
  <c r="A101"/>
  <c r="B101"/>
  <c r="C101"/>
  <c r="D101"/>
  <c r="E101"/>
  <c r="F101"/>
  <c r="G101"/>
  <c r="A102"/>
  <c r="B102"/>
  <c r="C102"/>
  <c r="D102"/>
  <c r="E102"/>
  <c r="F102"/>
  <c r="G102"/>
  <c r="A103"/>
  <c r="B103"/>
  <c r="C103"/>
  <c r="D103"/>
  <c r="E103"/>
  <c r="F103"/>
  <c r="G103"/>
  <c r="A104"/>
  <c r="B104"/>
  <c r="C104"/>
  <c r="D104"/>
  <c r="E104"/>
  <c r="F104"/>
  <c r="G104"/>
  <c r="A105"/>
  <c r="B105"/>
  <c r="C105"/>
  <c r="D105"/>
  <c r="E105"/>
  <c r="F105"/>
  <c r="G105"/>
  <c r="A106"/>
  <c r="B106"/>
  <c r="C106"/>
  <c r="D106"/>
  <c r="E106"/>
  <c r="F106"/>
  <c r="G106"/>
  <c r="A107"/>
  <c r="B107"/>
  <c r="C107"/>
  <c r="D107"/>
  <c r="E107"/>
  <c r="F107"/>
  <c r="G107"/>
  <c r="A108"/>
  <c r="B108"/>
  <c r="C108"/>
  <c r="D108"/>
  <c r="E108"/>
  <c r="F108"/>
  <c r="G108"/>
  <c r="A109"/>
  <c r="B109"/>
  <c r="C109"/>
  <c r="D109"/>
  <c r="E109"/>
  <c r="F109"/>
  <c r="G109"/>
  <c r="A110"/>
  <c r="B110"/>
  <c r="C110"/>
  <c r="D110"/>
  <c r="E110"/>
  <c r="F110"/>
  <c r="G110"/>
  <c r="A111"/>
  <c r="B111"/>
  <c r="C111"/>
  <c r="D111"/>
  <c r="E111"/>
  <c r="F111"/>
  <c r="G111"/>
  <c r="A112"/>
  <c r="B112"/>
  <c r="C112"/>
  <c r="D112"/>
  <c r="E112"/>
  <c r="F112"/>
  <c r="G112"/>
  <c r="A113"/>
  <c r="B113"/>
  <c r="C113"/>
  <c r="D113"/>
  <c r="E113"/>
  <c r="F113"/>
  <c r="G113"/>
  <c r="A114"/>
  <c r="B114"/>
  <c r="C114"/>
  <c r="D114"/>
  <c r="E114"/>
  <c r="F114"/>
  <c r="G114"/>
  <c r="A115"/>
  <c r="B115"/>
  <c r="C115"/>
  <c r="D115"/>
  <c r="E115"/>
  <c r="F115"/>
  <c r="G115"/>
  <c r="A116"/>
  <c r="B116"/>
  <c r="C116"/>
  <c r="D116"/>
  <c r="E116"/>
  <c r="F116"/>
  <c r="G116"/>
  <c r="A117"/>
  <c r="B117"/>
  <c r="C117"/>
  <c r="D117"/>
  <c r="E117"/>
  <c r="F117"/>
  <c r="G117"/>
  <c r="A118"/>
  <c r="B118"/>
  <c r="C118"/>
  <c r="D118"/>
  <c r="E118"/>
  <c r="F118"/>
  <c r="G118"/>
  <c r="A119"/>
  <c r="B119"/>
  <c r="C119"/>
  <c r="D119"/>
  <c r="E119"/>
  <c r="F119"/>
  <c r="G119"/>
  <c r="A120"/>
  <c r="B120"/>
  <c r="C120"/>
  <c r="D120"/>
  <c r="E120"/>
  <c r="F120"/>
  <c r="G120"/>
  <c r="A121"/>
  <c r="B121"/>
  <c r="C121"/>
  <c r="D121"/>
  <c r="E121"/>
  <c r="F121"/>
  <c r="G121"/>
  <c r="A122"/>
  <c r="B122"/>
  <c r="C122"/>
  <c r="D122"/>
  <c r="E122"/>
  <c r="F122"/>
  <c r="G122"/>
  <c r="A123"/>
  <c r="B123"/>
  <c r="C123"/>
  <c r="D123"/>
  <c r="E123"/>
  <c r="F123"/>
  <c r="G123"/>
  <c r="A124"/>
  <c r="B124"/>
  <c r="C124"/>
  <c r="D124"/>
  <c r="E124"/>
  <c r="F124"/>
  <c r="G124"/>
  <c r="A125"/>
  <c r="B125"/>
  <c r="C125"/>
  <c r="D125"/>
  <c r="E125"/>
  <c r="F125"/>
  <c r="G125"/>
  <c r="A126"/>
  <c r="B126"/>
  <c r="C126"/>
  <c r="D126"/>
  <c r="E126"/>
  <c r="F126"/>
  <c r="G126"/>
  <c r="A127"/>
  <c r="B127"/>
  <c r="C127"/>
  <c r="D127"/>
  <c r="E127"/>
  <c r="F127"/>
  <c r="G127"/>
  <c r="A128"/>
  <c r="B128"/>
  <c r="C128"/>
  <c r="D128"/>
  <c r="E128"/>
  <c r="F128"/>
  <c r="G128"/>
  <c r="A129"/>
  <c r="B129"/>
  <c r="C129"/>
  <c r="D129"/>
  <c r="E129"/>
  <c r="F129"/>
  <c r="G129"/>
  <c r="A130"/>
  <c r="B130"/>
  <c r="C130"/>
  <c r="D130"/>
  <c r="E130"/>
  <c r="F130"/>
  <c r="G130"/>
  <c r="A131"/>
  <c r="B131"/>
  <c r="C131"/>
  <c r="D131"/>
  <c r="E131"/>
  <c r="F131"/>
  <c r="G131"/>
  <c r="A132"/>
  <c r="B132"/>
  <c r="C132"/>
  <c r="D132"/>
  <c r="E132"/>
  <c r="F132"/>
  <c r="G132"/>
  <c r="A133"/>
  <c r="B133"/>
  <c r="C133"/>
  <c r="D133"/>
  <c r="E133"/>
  <c r="F133"/>
  <c r="G133"/>
  <c r="A134"/>
  <c r="B134"/>
  <c r="C134"/>
  <c r="D134"/>
  <c r="E134"/>
  <c r="F134"/>
  <c r="G134"/>
  <c r="A135"/>
  <c r="B135"/>
  <c r="C135"/>
  <c r="D135"/>
  <c r="E135"/>
  <c r="F135"/>
  <c r="G135"/>
  <c r="A136"/>
  <c r="B136"/>
  <c r="C136"/>
  <c r="D136"/>
  <c r="E136"/>
  <c r="F136"/>
  <c r="G136"/>
  <c r="A137"/>
  <c r="B137"/>
  <c r="C137"/>
  <c r="D137"/>
  <c r="E137"/>
  <c r="F137"/>
  <c r="G137"/>
  <c r="A138"/>
  <c r="B138"/>
  <c r="C138"/>
  <c r="D138"/>
  <c r="E138"/>
  <c r="F138"/>
  <c r="G138"/>
  <c r="A139"/>
  <c r="B139"/>
  <c r="C139"/>
  <c r="D139"/>
  <c r="E139"/>
  <c r="F139"/>
  <c r="G139"/>
  <c r="A140"/>
  <c r="B140"/>
  <c r="C140"/>
  <c r="D140"/>
  <c r="E140"/>
  <c r="F140"/>
  <c r="G140"/>
  <c r="A141"/>
  <c r="B141"/>
  <c r="C141"/>
  <c r="D141"/>
  <c r="E141"/>
  <c r="F141"/>
  <c r="G141"/>
  <c r="A142"/>
  <c r="B142"/>
  <c r="C142"/>
  <c r="D142"/>
  <c r="E142"/>
  <c r="F142"/>
  <c r="G142"/>
  <c r="A143"/>
  <c r="B143"/>
  <c r="C143"/>
  <c r="D143"/>
  <c r="E143"/>
  <c r="F143"/>
  <c r="G143"/>
  <c r="A144"/>
  <c r="B144"/>
  <c r="C144"/>
  <c r="D144"/>
  <c r="E144"/>
  <c r="F144"/>
  <c r="G144"/>
  <c r="A145"/>
  <c r="B145"/>
  <c r="C145"/>
  <c r="D145"/>
  <c r="E145"/>
  <c r="F145"/>
  <c r="G145"/>
  <c r="A146"/>
  <c r="B146"/>
  <c r="C146"/>
  <c r="D146"/>
  <c r="E146"/>
  <c r="F146"/>
  <c r="G146"/>
  <c r="A147"/>
  <c r="B147"/>
  <c r="C147"/>
  <c r="D147"/>
  <c r="E147"/>
  <c r="F147"/>
  <c r="G147"/>
  <c r="A148"/>
  <c r="B148"/>
  <c r="C148"/>
  <c r="D148"/>
  <c r="E148"/>
  <c r="F148"/>
  <c r="G148"/>
  <c r="A149"/>
  <c r="B149"/>
  <c r="C149"/>
  <c r="D149"/>
  <c r="E149"/>
  <c r="F149"/>
  <c r="G149"/>
  <c r="A150"/>
  <c r="B150"/>
  <c r="C150"/>
  <c r="D150"/>
  <c r="E150"/>
  <c r="F150"/>
  <c r="G150"/>
  <c r="A151"/>
  <c r="B151"/>
  <c r="C151"/>
  <c r="D151"/>
  <c r="E151"/>
  <c r="F151"/>
  <c r="G151"/>
  <c r="A152"/>
  <c r="B152"/>
  <c r="C152"/>
  <c r="D152"/>
  <c r="E152"/>
  <c r="F152"/>
  <c r="G152"/>
  <c r="A153"/>
  <c r="B153"/>
  <c r="C153"/>
  <c r="D153"/>
  <c r="E153"/>
  <c r="F153"/>
  <c r="G153"/>
  <c r="A154"/>
  <c r="B154"/>
  <c r="C154"/>
  <c r="D154"/>
  <c r="E154"/>
  <c r="F154"/>
  <c r="G154"/>
  <c r="A155"/>
  <c r="B155"/>
  <c r="C155"/>
  <c r="D155"/>
  <c r="E155"/>
  <c r="F155"/>
  <c r="G155"/>
  <c r="A156"/>
  <c r="B156"/>
  <c r="C156"/>
  <c r="D156"/>
  <c r="E156"/>
  <c r="F156"/>
  <c r="G156"/>
  <c r="A157"/>
  <c r="B157"/>
  <c r="C157"/>
  <c r="D157"/>
  <c r="E157"/>
  <c r="F157"/>
  <c r="G157"/>
  <c r="A158"/>
  <c r="B158"/>
  <c r="C158"/>
  <c r="D158"/>
  <c r="E158"/>
  <c r="F158"/>
  <c r="G158"/>
  <c r="A159"/>
  <c r="B159"/>
  <c r="C159"/>
  <c r="D159"/>
  <c r="E159"/>
  <c r="F159"/>
  <c r="G159"/>
  <c r="A160"/>
  <c r="B160"/>
  <c r="C160"/>
  <c r="D160"/>
  <c r="E160"/>
  <c r="F160"/>
  <c r="G160"/>
  <c r="A161"/>
  <c r="B161"/>
  <c r="C161"/>
  <c r="D161"/>
  <c r="E161"/>
  <c r="F161"/>
  <c r="G161"/>
  <c r="A162"/>
  <c r="B162"/>
  <c r="C162"/>
  <c r="D162"/>
  <c r="E162"/>
  <c r="F162"/>
  <c r="G162"/>
  <c r="A163"/>
  <c r="B163"/>
  <c r="C163"/>
  <c r="D163"/>
  <c r="E163"/>
  <c r="F163"/>
  <c r="G163"/>
  <c r="A164"/>
  <c r="B164"/>
  <c r="C164"/>
  <c r="D164"/>
  <c r="E164"/>
  <c r="F164"/>
  <c r="G164"/>
  <c r="A165"/>
  <c r="B165"/>
  <c r="C165"/>
  <c r="D165"/>
  <c r="E165"/>
  <c r="F165"/>
  <c r="G165"/>
  <c r="A166"/>
  <c r="B166"/>
  <c r="C166"/>
  <c r="D166"/>
  <c r="E166"/>
  <c r="F166"/>
  <c r="G166"/>
  <c r="A167"/>
  <c r="B167"/>
  <c r="C167"/>
  <c r="D167"/>
  <c r="E167"/>
  <c r="F167"/>
  <c r="G167"/>
  <c r="A168"/>
  <c r="B168"/>
  <c r="C168"/>
  <c r="D168"/>
  <c r="E168"/>
  <c r="F168"/>
  <c r="G168"/>
  <c r="A169"/>
  <c r="B169"/>
  <c r="C169"/>
  <c r="D169"/>
  <c r="E169"/>
  <c r="F169"/>
  <c r="G169"/>
  <c r="A170"/>
  <c r="B170"/>
  <c r="C170"/>
  <c r="D170"/>
  <c r="E170"/>
  <c r="F170"/>
  <c r="G170"/>
  <c r="A171"/>
  <c r="B171"/>
  <c r="C171"/>
  <c r="D171"/>
  <c r="E171"/>
  <c r="F171"/>
  <c r="G171"/>
  <c r="A172"/>
  <c r="B172"/>
  <c r="C172"/>
  <c r="D172"/>
  <c r="E172"/>
  <c r="F172"/>
  <c r="G172"/>
  <c r="A173"/>
  <c r="B173"/>
  <c r="C173"/>
  <c r="D173"/>
  <c r="E173"/>
  <c r="F173"/>
  <c r="G173"/>
  <c r="A174"/>
  <c r="B174"/>
  <c r="C174"/>
  <c r="D174"/>
  <c r="E174"/>
  <c r="F174"/>
  <c r="G174"/>
  <c r="A175"/>
  <c r="B175"/>
  <c r="C175"/>
  <c r="D175"/>
  <c r="E175"/>
  <c r="F175"/>
  <c r="G175"/>
  <c r="A176"/>
  <c r="B176"/>
  <c r="C176"/>
  <c r="D176"/>
  <c r="E176"/>
  <c r="F176"/>
  <c r="G176"/>
  <c r="A177"/>
  <c r="B177"/>
  <c r="C177"/>
  <c r="D177"/>
  <c r="E177"/>
  <c r="F177"/>
  <c r="G177"/>
  <c r="A178"/>
  <c r="B178"/>
  <c r="C178"/>
  <c r="D178"/>
  <c r="E178"/>
  <c r="F178"/>
  <c r="G178"/>
  <c r="A179"/>
  <c r="B179"/>
  <c r="C179"/>
  <c r="D179"/>
  <c r="E179"/>
  <c r="F179"/>
  <c r="G179"/>
  <c r="A180"/>
  <c r="B180"/>
  <c r="C180"/>
  <c r="D180"/>
  <c r="E180"/>
  <c r="F180"/>
  <c r="G180"/>
  <c r="A181"/>
  <c r="B181"/>
  <c r="C181"/>
  <c r="D181"/>
  <c r="E181"/>
  <c r="F181"/>
  <c r="G181"/>
  <c r="A182"/>
  <c r="B182"/>
  <c r="C182"/>
  <c r="D182"/>
  <c r="E182"/>
  <c r="F182"/>
  <c r="G182"/>
  <c r="A183"/>
  <c r="B183"/>
  <c r="C183"/>
  <c r="D183"/>
  <c r="E183"/>
  <c r="F183"/>
  <c r="G183"/>
  <c r="A184"/>
  <c r="B184"/>
  <c r="C184"/>
  <c r="D184"/>
  <c r="E184"/>
  <c r="F184"/>
  <c r="G184"/>
  <c r="A185"/>
  <c r="B185"/>
  <c r="C185"/>
  <c r="D185"/>
  <c r="E185"/>
  <c r="F185"/>
  <c r="G185"/>
  <c r="A186"/>
  <c r="B186"/>
  <c r="C186"/>
  <c r="D186"/>
  <c r="E186"/>
  <c r="F186"/>
  <c r="G186"/>
  <c r="A187"/>
  <c r="B187"/>
  <c r="C187"/>
  <c r="D187"/>
  <c r="E187"/>
  <c r="F187"/>
  <c r="G187"/>
  <c r="A188"/>
  <c r="B188"/>
  <c r="C188"/>
  <c r="D188"/>
  <c r="E188"/>
  <c r="F188"/>
  <c r="G188"/>
  <c r="A189"/>
  <c r="B189"/>
  <c r="C189"/>
  <c r="D189"/>
  <c r="E189"/>
  <c r="F189"/>
  <c r="G189"/>
  <c r="A190"/>
  <c r="B190"/>
  <c r="C190"/>
  <c r="D190"/>
  <c r="E190"/>
  <c r="F190"/>
  <c r="G190"/>
  <c r="A191"/>
  <c r="B191"/>
  <c r="C191"/>
  <c r="D191"/>
  <c r="E191"/>
  <c r="F191"/>
  <c r="G191"/>
  <c r="A192"/>
  <c r="B192"/>
  <c r="C192"/>
  <c r="D192"/>
  <c r="E192"/>
  <c r="F192"/>
  <c r="G192"/>
  <c r="A193"/>
  <c r="B193"/>
  <c r="C193"/>
  <c r="D193"/>
  <c r="E193"/>
  <c r="F193"/>
  <c r="G193"/>
  <c r="A194"/>
  <c r="B194"/>
  <c r="C194"/>
  <c r="D194"/>
  <c r="E194"/>
  <c r="F194"/>
  <c r="G194"/>
  <c r="A195"/>
  <c r="B195"/>
  <c r="C195"/>
  <c r="D195"/>
  <c r="E195"/>
  <c r="F195"/>
  <c r="G195"/>
  <c r="A196"/>
  <c r="B196"/>
  <c r="C196"/>
  <c r="D196"/>
  <c r="E196"/>
  <c r="F196"/>
  <c r="G196"/>
  <c r="A197"/>
  <c r="B197"/>
  <c r="C197"/>
  <c r="D197"/>
  <c r="E197"/>
  <c r="F197"/>
  <c r="G197"/>
  <c r="A198"/>
  <c r="B198"/>
  <c r="Q198" s="1"/>
  <c r="C198"/>
  <c r="D198"/>
  <c r="E198"/>
  <c r="F198"/>
  <c r="G198"/>
  <c r="A199"/>
  <c r="B199"/>
  <c r="Q199" s="1"/>
  <c r="C199"/>
  <c r="D199"/>
  <c r="E199"/>
  <c r="F199"/>
  <c r="G199"/>
  <c r="A200"/>
  <c r="B200"/>
  <c r="C200"/>
  <c r="D200"/>
  <c r="E200"/>
  <c r="F200"/>
  <c r="G200"/>
  <c r="A201"/>
  <c r="B201"/>
  <c r="M201" s="1"/>
  <c r="C201"/>
  <c r="D201"/>
  <c r="E201"/>
  <c r="F201"/>
  <c r="G201"/>
  <c r="A202"/>
  <c r="B202"/>
  <c r="K202" s="1"/>
  <c r="C202"/>
  <c r="D202"/>
  <c r="E202"/>
  <c r="F202"/>
  <c r="G202"/>
  <c r="A203"/>
  <c r="B203"/>
  <c r="Q203" s="1"/>
  <c r="C203"/>
  <c r="D203"/>
  <c r="E203"/>
  <c r="F203"/>
  <c r="G203"/>
  <c r="A204"/>
  <c r="B204"/>
  <c r="C204"/>
  <c r="D204"/>
  <c r="E204"/>
  <c r="F204"/>
  <c r="G204"/>
  <c r="A205"/>
  <c r="B205"/>
  <c r="M205" s="1"/>
  <c r="C205"/>
  <c r="D205"/>
  <c r="E205"/>
  <c r="F205"/>
  <c r="G205"/>
  <c r="A206"/>
  <c r="B206"/>
  <c r="C206"/>
  <c r="D206"/>
  <c r="E206"/>
  <c r="F206"/>
  <c r="G206"/>
  <c r="T1"/>
  <c r="AT5"/>
  <c r="AU5"/>
  <c r="AS5"/>
  <c r="AP5"/>
  <c r="AO5"/>
  <c r="AN5"/>
  <c r="AM5"/>
  <c r="AL5"/>
  <c r="AK5"/>
  <c r="AJ5"/>
  <c r="AI5"/>
  <c r="AH5"/>
  <c r="AG5"/>
  <c r="AF5"/>
  <c r="AE5"/>
  <c r="AD5"/>
  <c r="AC5"/>
  <c r="AB5"/>
  <c r="AA5"/>
  <c r="Z5"/>
  <c r="Y5"/>
  <c r="X5"/>
  <c r="W5"/>
  <c r="V5"/>
  <c r="U5"/>
  <c r="AS2"/>
  <c r="AQ2"/>
  <c r="T2"/>
  <c r="S2"/>
  <c r="AG4"/>
  <c r="AD4"/>
  <c r="S6"/>
  <c r="J5"/>
  <c r="J4" i="12" s="1"/>
  <c r="I5" i="15"/>
  <c r="I4" i="12" s="1"/>
  <c r="H5" i="15"/>
  <c r="H4" i="12" s="1"/>
  <c r="F5" i="15"/>
  <c r="G5"/>
  <c r="B5"/>
  <c r="C5"/>
  <c r="E5"/>
  <c r="A2" i="9"/>
  <c r="AU185" i="15" l="1"/>
  <c r="AU29"/>
  <c r="AU133"/>
  <c r="AU102"/>
  <c r="AU77"/>
  <c r="AU46"/>
  <c r="AU93"/>
  <c r="AU17"/>
  <c r="AU181"/>
  <c r="AU117"/>
  <c r="AU89"/>
  <c r="AU45"/>
  <c r="AU149"/>
  <c r="AU61"/>
  <c r="AU165"/>
  <c r="AU109"/>
  <c r="AU206"/>
  <c r="P203" i="11"/>
  <c r="AU202" i="15"/>
  <c r="P199" i="11"/>
  <c r="AU198" i="15"/>
  <c r="P195" i="11"/>
  <c r="AU194" i="15"/>
  <c r="P191" i="11"/>
  <c r="AU191" i="15"/>
  <c r="P188" i="11"/>
  <c r="AU188" i="15"/>
  <c r="P185" i="11"/>
  <c r="AU178" i="15"/>
  <c r="P175" i="11"/>
  <c r="AU175" i="15"/>
  <c r="P172" i="11"/>
  <c r="AU171" i="15"/>
  <c r="P168" i="11"/>
  <c r="AU168" i="15"/>
  <c r="P165" i="11"/>
  <c r="AU162" i="15"/>
  <c r="P159" i="11"/>
  <c r="AU159" i="15"/>
  <c r="P156" i="11"/>
  <c r="AU155" i="15"/>
  <c r="P152" i="11"/>
  <c r="AU152" i="15"/>
  <c r="P149" i="11"/>
  <c r="AU146" i="15"/>
  <c r="P143" i="11"/>
  <c r="AU143" i="15"/>
  <c r="P140" i="11"/>
  <c r="AU139" i="15"/>
  <c r="P136" i="11"/>
  <c r="AU136" i="15"/>
  <c r="P133" i="11"/>
  <c r="AU130" i="15"/>
  <c r="P127" i="11"/>
  <c r="AU127" i="15"/>
  <c r="P124" i="11"/>
  <c r="AU123" i="15"/>
  <c r="P120" i="11"/>
  <c r="AU120" i="15"/>
  <c r="P117" i="11"/>
  <c r="AU114" i="15"/>
  <c r="P111" i="11"/>
  <c r="AU111" i="15"/>
  <c r="P108" i="11"/>
  <c r="AU108" i="15"/>
  <c r="P105" i="11"/>
  <c r="AU104" i="15"/>
  <c r="P101" i="11"/>
  <c r="AU101" i="15"/>
  <c r="P98" i="11"/>
  <c r="AU95" i="15"/>
  <c r="P92" i="11"/>
  <c r="AU92" i="15"/>
  <c r="P89" i="11"/>
  <c r="AU79" i="15"/>
  <c r="P76" i="11"/>
  <c r="AU70" i="15"/>
  <c r="P67" i="11"/>
  <c r="AU63" i="15"/>
  <c r="P60" i="11"/>
  <c r="AU54" i="15"/>
  <c r="P51" i="11"/>
  <c r="AU47" i="15"/>
  <c r="P44" i="11"/>
  <c r="AU38" i="15"/>
  <c r="P35" i="11"/>
  <c r="AU31" i="15"/>
  <c r="P28" i="11"/>
  <c r="AU22" i="15"/>
  <c r="P19" i="11"/>
  <c r="AU16" i="15"/>
  <c r="P13" i="11"/>
  <c r="AU85" i="15"/>
  <c r="AU82"/>
  <c r="AU73"/>
  <c r="AU66"/>
  <c r="AU57"/>
  <c r="AU50"/>
  <c r="AU41"/>
  <c r="AU34"/>
  <c r="AU25"/>
  <c r="AU18"/>
  <c r="AU203"/>
  <c r="P200" i="11"/>
  <c r="AU199" i="15"/>
  <c r="P196" i="11"/>
  <c r="AU195" i="15"/>
  <c r="P192" i="11"/>
  <c r="AU192" i="15"/>
  <c r="P189" i="11"/>
  <c r="AU182" i="15"/>
  <c r="P179" i="11"/>
  <c r="AU179" i="15"/>
  <c r="P176" i="11"/>
  <c r="AU176" i="15"/>
  <c r="P173" i="11"/>
  <c r="AU169" i="15"/>
  <c r="P166" i="11"/>
  <c r="AU163" i="15"/>
  <c r="P160" i="11"/>
  <c r="AU160" i="15"/>
  <c r="P157" i="11"/>
  <c r="AU156" i="15"/>
  <c r="P153" i="11"/>
  <c r="AU153" i="15"/>
  <c r="P150" i="11"/>
  <c r="AU147" i="15"/>
  <c r="P144" i="11"/>
  <c r="AU144" i="15"/>
  <c r="P141" i="11"/>
  <c r="AU140" i="15"/>
  <c r="P137" i="11"/>
  <c r="AU137" i="15"/>
  <c r="P134" i="11"/>
  <c r="AU131" i="15"/>
  <c r="P128" i="11"/>
  <c r="AU128" i="15"/>
  <c r="P125" i="11"/>
  <c r="AU124" i="15"/>
  <c r="P121" i="11"/>
  <c r="AU121" i="15"/>
  <c r="P118" i="11"/>
  <c r="AU115" i="15"/>
  <c r="P112" i="11"/>
  <c r="AU112" i="15"/>
  <c r="P109" i="11"/>
  <c r="AU105" i="15"/>
  <c r="P102" i="11"/>
  <c r="AU96" i="15"/>
  <c r="P93" i="11"/>
  <c r="AU86" i="15"/>
  <c r="P83" i="11"/>
  <c r="AU83" i="15"/>
  <c r="P80" i="11"/>
  <c r="AU80" i="15"/>
  <c r="P77" i="11"/>
  <c r="AU74" i="15"/>
  <c r="P71" i="11"/>
  <c r="AU71" i="15"/>
  <c r="P68" i="11"/>
  <c r="AU67" i="15"/>
  <c r="P64" i="11"/>
  <c r="AU64" i="15"/>
  <c r="P61" i="11"/>
  <c r="AU58" i="15"/>
  <c r="P55" i="11"/>
  <c r="AU55" i="15"/>
  <c r="P52" i="11"/>
  <c r="AU51" i="15"/>
  <c r="P48" i="11"/>
  <c r="AU48" i="15"/>
  <c r="P45" i="11"/>
  <c r="AU42" i="15"/>
  <c r="P39" i="11"/>
  <c r="AU39" i="15"/>
  <c r="P36" i="11"/>
  <c r="AU35" i="15"/>
  <c r="P32" i="11"/>
  <c r="AU32" i="15"/>
  <c r="P29" i="11"/>
  <c r="AU26" i="15"/>
  <c r="P23" i="11"/>
  <c r="AU23" i="15"/>
  <c r="P20" i="11"/>
  <c r="AU19" i="15"/>
  <c r="P16" i="11"/>
  <c r="AU98" i="15"/>
  <c r="AU204"/>
  <c r="P201" i="11"/>
  <c r="AU200" i="15"/>
  <c r="P197" i="11"/>
  <c r="AU196" i="15"/>
  <c r="P193" i="11"/>
  <c r="AU186" i="15"/>
  <c r="P183" i="11"/>
  <c r="AU183" i="15"/>
  <c r="P180" i="11"/>
  <c r="AU180" i="15"/>
  <c r="P177" i="11"/>
  <c r="AU173" i="15"/>
  <c r="P170" i="11"/>
  <c r="AU164" i="15"/>
  <c r="P161" i="11"/>
  <c r="AU157" i="15"/>
  <c r="P154" i="11"/>
  <c r="AU148" i="15"/>
  <c r="P145" i="11"/>
  <c r="AU141" i="15"/>
  <c r="P138" i="11"/>
  <c r="AU132" i="15"/>
  <c r="P129" i="11"/>
  <c r="AU125" i="15"/>
  <c r="P122" i="11"/>
  <c r="AU116" i="15"/>
  <c r="P113" i="11"/>
  <c r="AU106" i="15"/>
  <c r="P103" i="11"/>
  <c r="AU99" i="15"/>
  <c r="P96" i="11"/>
  <c r="AU90" i="15"/>
  <c r="P87" i="11"/>
  <c r="AU87" i="15"/>
  <c r="P84" i="11"/>
  <c r="AU84" i="15"/>
  <c r="P81" i="11"/>
  <c r="AU81" i="15"/>
  <c r="P78" i="11"/>
  <c r="AU75" i="15"/>
  <c r="P72" i="11"/>
  <c r="AU72" i="15"/>
  <c r="P69" i="11"/>
  <c r="AU68" i="15"/>
  <c r="P65" i="11"/>
  <c r="AU65" i="15"/>
  <c r="P62" i="11"/>
  <c r="AU59" i="15"/>
  <c r="P56" i="11"/>
  <c r="AU56" i="15"/>
  <c r="P53" i="11"/>
  <c r="AU52" i="15"/>
  <c r="P49" i="11"/>
  <c r="AU49" i="15"/>
  <c r="P46" i="11"/>
  <c r="AU43" i="15"/>
  <c r="P40" i="11"/>
  <c r="AU40" i="15"/>
  <c r="P37" i="11"/>
  <c r="AU36" i="15"/>
  <c r="P33" i="11"/>
  <c r="AU33" i="15"/>
  <c r="P30" i="11"/>
  <c r="AU27" i="15"/>
  <c r="P24" i="11"/>
  <c r="AU24" i="15"/>
  <c r="P21" i="11"/>
  <c r="AU20" i="15"/>
  <c r="P17" i="11"/>
  <c r="AU189" i="15"/>
  <c r="AU166"/>
  <c r="AU150"/>
  <c r="AU134"/>
  <c r="AU118"/>
  <c r="AU205"/>
  <c r="P202" i="11"/>
  <c r="AU201" i="15"/>
  <c r="P198" i="11"/>
  <c r="AU197" i="15"/>
  <c r="P194" i="11"/>
  <c r="AU190" i="15"/>
  <c r="P187" i="11"/>
  <c r="AU187" i="15"/>
  <c r="P184" i="11"/>
  <c r="AU184" i="15"/>
  <c r="P181" i="11"/>
  <c r="AU174" i="15"/>
  <c r="P171" i="11"/>
  <c r="AU167" i="15"/>
  <c r="P164" i="11"/>
  <c r="AU158" i="15"/>
  <c r="P155" i="11"/>
  <c r="AU151" i="15"/>
  <c r="P148" i="11"/>
  <c r="AU142" i="15"/>
  <c r="P139" i="11"/>
  <c r="AU135" i="15"/>
  <c r="P132" i="11"/>
  <c r="AU126" i="15"/>
  <c r="P123" i="11"/>
  <c r="AU119" i="15"/>
  <c r="P116" i="11"/>
  <c r="AU110" i="15"/>
  <c r="P107" i="11"/>
  <c r="AU107" i="15"/>
  <c r="P104" i="11"/>
  <c r="AU103" i="15"/>
  <c r="P100" i="11"/>
  <c r="AU100" i="15"/>
  <c r="P97" i="11"/>
  <c r="AU94" i="15"/>
  <c r="P91" i="11"/>
  <c r="AU91" i="15"/>
  <c r="P88" i="11"/>
  <c r="AU88" i="15"/>
  <c r="P85" i="11"/>
  <c r="AU76" i="15"/>
  <c r="P73" i="11"/>
  <c r="AU69" i="15"/>
  <c r="P66" i="11"/>
  <c r="AU60" i="15"/>
  <c r="P57" i="11"/>
  <c r="AU53" i="15"/>
  <c r="P50" i="11"/>
  <c r="AU44" i="15"/>
  <c r="P41" i="11"/>
  <c r="AU37" i="15"/>
  <c r="P34" i="11"/>
  <c r="AU28" i="15"/>
  <c r="P25" i="11"/>
  <c r="AU21" i="15"/>
  <c r="P18" i="11"/>
  <c r="AU15" i="15"/>
  <c r="P12" i="11"/>
  <c r="AU193" i="15"/>
  <c r="AU177"/>
  <c r="AU170"/>
  <c r="AU161"/>
  <c r="AU154"/>
  <c r="AU145"/>
  <c r="AU138"/>
  <c r="AU129"/>
  <c r="AU122"/>
  <c r="AU113"/>
  <c r="AU97"/>
  <c r="AU78"/>
  <c r="AU62"/>
  <c r="AU30"/>
  <c r="AU172"/>
  <c r="P169" i="11"/>
  <c r="AF4" i="7"/>
  <c r="AU12" i="15"/>
  <c r="P9" i="11"/>
  <c r="AU11" i="15"/>
  <c r="P8" i="11"/>
  <c r="AU10" i="15"/>
  <c r="P7" i="11"/>
  <c r="AU9" i="15"/>
  <c r="AU8"/>
  <c r="P5" i="11"/>
  <c r="L204" i="15"/>
  <c r="P204"/>
  <c r="N204"/>
  <c r="R204"/>
  <c r="L200"/>
  <c r="P200"/>
  <c r="N200"/>
  <c r="R200"/>
  <c r="M196"/>
  <c r="Q196"/>
  <c r="L196"/>
  <c r="P196"/>
  <c r="K196"/>
  <c r="O196"/>
  <c r="N196"/>
  <c r="R196"/>
  <c r="M192"/>
  <c r="Q192"/>
  <c r="L192"/>
  <c r="P192"/>
  <c r="K192"/>
  <c r="O192"/>
  <c r="N192"/>
  <c r="R192"/>
  <c r="M188"/>
  <c r="Q188"/>
  <c r="L188"/>
  <c r="P188"/>
  <c r="AT188" s="1"/>
  <c r="Q185" i="11" s="1"/>
  <c r="K188" i="15"/>
  <c r="O188"/>
  <c r="N188"/>
  <c r="R188"/>
  <c r="M184"/>
  <c r="Q184"/>
  <c r="L184"/>
  <c r="P184"/>
  <c r="K184"/>
  <c r="O184"/>
  <c r="N184"/>
  <c r="R184"/>
  <c r="M180"/>
  <c r="Q180"/>
  <c r="L180"/>
  <c r="P180"/>
  <c r="K180"/>
  <c r="O180"/>
  <c r="N180"/>
  <c r="R180"/>
  <c r="M176"/>
  <c r="Q176"/>
  <c r="L176"/>
  <c r="P176"/>
  <c r="K176"/>
  <c r="O176"/>
  <c r="N176"/>
  <c r="R176"/>
  <c r="M172"/>
  <c r="Q172"/>
  <c r="L172"/>
  <c r="P172"/>
  <c r="K172"/>
  <c r="O172"/>
  <c r="N172"/>
  <c r="R172"/>
  <c r="M168"/>
  <c r="Q168"/>
  <c r="L168"/>
  <c r="P168"/>
  <c r="K168"/>
  <c r="O168"/>
  <c r="N168"/>
  <c r="R168"/>
  <c r="M164"/>
  <c r="Q164"/>
  <c r="L164"/>
  <c r="P164"/>
  <c r="K164"/>
  <c r="O164"/>
  <c r="N164"/>
  <c r="R164"/>
  <c r="M160"/>
  <c r="Q160"/>
  <c r="L160"/>
  <c r="P160"/>
  <c r="K160"/>
  <c r="O160"/>
  <c r="N160"/>
  <c r="R160"/>
  <c r="M156"/>
  <c r="Q156"/>
  <c r="L156"/>
  <c r="P156"/>
  <c r="K156"/>
  <c r="O156"/>
  <c r="N156"/>
  <c r="R156"/>
  <c r="M152"/>
  <c r="Q152"/>
  <c r="L152"/>
  <c r="P152"/>
  <c r="K152"/>
  <c r="O152"/>
  <c r="N152"/>
  <c r="R152"/>
  <c r="M148"/>
  <c r="Q148"/>
  <c r="L148"/>
  <c r="P148"/>
  <c r="K148"/>
  <c r="O148"/>
  <c r="N148"/>
  <c r="R148"/>
  <c r="M144"/>
  <c r="Q144"/>
  <c r="L144"/>
  <c r="P144"/>
  <c r="K144"/>
  <c r="O144"/>
  <c r="N144"/>
  <c r="R144"/>
  <c r="M140"/>
  <c r="Q140"/>
  <c r="L140"/>
  <c r="P140"/>
  <c r="K140"/>
  <c r="O140"/>
  <c r="N140"/>
  <c r="R140"/>
  <c r="M136"/>
  <c r="Q136"/>
  <c r="L136"/>
  <c r="P136"/>
  <c r="K136"/>
  <c r="O136"/>
  <c r="N136"/>
  <c r="R136"/>
  <c r="M132"/>
  <c r="Q132"/>
  <c r="L132"/>
  <c r="P132"/>
  <c r="K132"/>
  <c r="O132"/>
  <c r="N132"/>
  <c r="R132"/>
  <c r="M128"/>
  <c r="Q128"/>
  <c r="L128"/>
  <c r="P128"/>
  <c r="K128"/>
  <c r="O128"/>
  <c r="N128"/>
  <c r="R128"/>
  <c r="M124"/>
  <c r="Q124"/>
  <c r="L124"/>
  <c r="P124"/>
  <c r="K124"/>
  <c r="O124"/>
  <c r="N124"/>
  <c r="R124"/>
  <c r="M120"/>
  <c r="Q120"/>
  <c r="L120"/>
  <c r="P120"/>
  <c r="K120"/>
  <c r="O120"/>
  <c r="N120"/>
  <c r="R120"/>
  <c r="M116"/>
  <c r="Q116"/>
  <c r="L116"/>
  <c r="P116"/>
  <c r="K116"/>
  <c r="O116"/>
  <c r="N116"/>
  <c r="R116"/>
  <c r="M112"/>
  <c r="Q112"/>
  <c r="L112"/>
  <c r="P112"/>
  <c r="K112"/>
  <c r="O112"/>
  <c r="N112"/>
  <c r="R112"/>
  <c r="M108"/>
  <c r="Q108"/>
  <c r="L108"/>
  <c r="P108"/>
  <c r="K108"/>
  <c r="O108"/>
  <c r="N108"/>
  <c r="R108"/>
  <c r="M104"/>
  <c r="Q104"/>
  <c r="L104"/>
  <c r="P104"/>
  <c r="K104"/>
  <c r="O104"/>
  <c r="N104"/>
  <c r="R104"/>
  <c r="M100"/>
  <c r="Q100"/>
  <c r="L100"/>
  <c r="P100"/>
  <c r="K100"/>
  <c r="O100"/>
  <c r="N100"/>
  <c r="R100"/>
  <c r="M97"/>
  <c r="Q97"/>
  <c r="L97"/>
  <c r="P97"/>
  <c r="K97"/>
  <c r="O97"/>
  <c r="N97"/>
  <c r="R97"/>
  <c r="M93"/>
  <c r="Q93"/>
  <c r="L93"/>
  <c r="P93"/>
  <c r="K93"/>
  <c r="O93"/>
  <c r="N93"/>
  <c r="R93"/>
  <c r="M89"/>
  <c r="Q89"/>
  <c r="L89"/>
  <c r="P89"/>
  <c r="K89"/>
  <c r="O89"/>
  <c r="N89"/>
  <c r="R89"/>
  <c r="M85"/>
  <c r="Q85"/>
  <c r="L85"/>
  <c r="P85"/>
  <c r="K85"/>
  <c r="O85"/>
  <c r="N85"/>
  <c r="R85"/>
  <c r="M81"/>
  <c r="Q81"/>
  <c r="L81"/>
  <c r="P81"/>
  <c r="K81"/>
  <c r="O81"/>
  <c r="N81"/>
  <c r="R81"/>
  <c r="K77"/>
  <c r="O77"/>
  <c r="N77"/>
  <c r="R77"/>
  <c r="M77"/>
  <c r="Q77"/>
  <c r="L77"/>
  <c r="P77"/>
  <c r="K73"/>
  <c r="O73"/>
  <c r="N73"/>
  <c r="R73"/>
  <c r="M73"/>
  <c r="Q73"/>
  <c r="L73"/>
  <c r="P73"/>
  <c r="K69"/>
  <c r="O69"/>
  <c r="N69"/>
  <c r="R69"/>
  <c r="M69"/>
  <c r="Q69"/>
  <c r="L69"/>
  <c r="P69"/>
  <c r="K65"/>
  <c r="O65"/>
  <c r="N65"/>
  <c r="R65"/>
  <c r="M65"/>
  <c r="Q65"/>
  <c r="L65"/>
  <c r="P65"/>
  <c r="K61"/>
  <c r="O61"/>
  <c r="N61"/>
  <c r="R61"/>
  <c r="M61"/>
  <c r="Q61"/>
  <c r="L61"/>
  <c r="P61"/>
  <c r="K57"/>
  <c r="O57"/>
  <c r="N57"/>
  <c r="R57"/>
  <c r="M57"/>
  <c r="Q57"/>
  <c r="L57"/>
  <c r="P57"/>
  <c r="K53"/>
  <c r="O53"/>
  <c r="N53"/>
  <c r="R53"/>
  <c r="M53"/>
  <c r="Q53"/>
  <c r="L53"/>
  <c r="P53"/>
  <c r="K49"/>
  <c r="O49"/>
  <c r="N49"/>
  <c r="R49"/>
  <c r="M49"/>
  <c r="Q49"/>
  <c r="L49"/>
  <c r="P49"/>
  <c r="K45"/>
  <c r="O45"/>
  <c r="N45"/>
  <c r="R45"/>
  <c r="M45"/>
  <c r="Q45"/>
  <c r="L45"/>
  <c r="P45"/>
  <c r="K41"/>
  <c r="O41"/>
  <c r="N41"/>
  <c r="R41"/>
  <c r="M41"/>
  <c r="Q41"/>
  <c r="L41"/>
  <c r="P41"/>
  <c r="K37"/>
  <c r="O37"/>
  <c r="N37"/>
  <c r="R37"/>
  <c r="M37"/>
  <c r="Q37"/>
  <c r="L37"/>
  <c r="P37"/>
  <c r="K33"/>
  <c r="O33"/>
  <c r="N33"/>
  <c r="R33"/>
  <c r="M33"/>
  <c r="Q33"/>
  <c r="L33"/>
  <c r="P33"/>
  <c r="K29"/>
  <c r="O29"/>
  <c r="N29"/>
  <c r="R29"/>
  <c r="M29"/>
  <c r="Q29"/>
  <c r="L29"/>
  <c r="P29"/>
  <c r="K25"/>
  <c r="O25"/>
  <c r="N25"/>
  <c r="R25"/>
  <c r="M25"/>
  <c r="Q25"/>
  <c r="L25"/>
  <c r="P25"/>
  <c r="K21"/>
  <c r="O21"/>
  <c r="N21"/>
  <c r="R21"/>
  <c r="M21"/>
  <c r="Q21"/>
  <c r="L21"/>
  <c r="P21"/>
  <c r="Q205"/>
  <c r="Q204"/>
  <c r="Q202"/>
  <c r="Q201"/>
  <c r="Q200"/>
  <c r="L203"/>
  <c r="P203"/>
  <c r="N203"/>
  <c r="R203"/>
  <c r="L199"/>
  <c r="P199"/>
  <c r="N199"/>
  <c r="R199"/>
  <c r="M195"/>
  <c r="Q195"/>
  <c r="L195"/>
  <c r="P195"/>
  <c r="K195"/>
  <c r="O195"/>
  <c r="N195"/>
  <c r="R195"/>
  <c r="M191"/>
  <c r="Q191"/>
  <c r="L191"/>
  <c r="P191"/>
  <c r="AT191" s="1"/>
  <c r="Q188" i="11" s="1"/>
  <c r="K191" i="15"/>
  <c r="O191"/>
  <c r="N191"/>
  <c r="R191"/>
  <c r="M187"/>
  <c r="Q187"/>
  <c r="L187"/>
  <c r="P187"/>
  <c r="K187"/>
  <c r="O187"/>
  <c r="N187"/>
  <c r="R187"/>
  <c r="M183"/>
  <c r="Q183"/>
  <c r="L183"/>
  <c r="P183"/>
  <c r="K183"/>
  <c r="O183"/>
  <c r="N183"/>
  <c r="R183"/>
  <c r="M179"/>
  <c r="Q179"/>
  <c r="L179"/>
  <c r="P179"/>
  <c r="K179"/>
  <c r="O179"/>
  <c r="N179"/>
  <c r="R179"/>
  <c r="M175"/>
  <c r="Q175"/>
  <c r="L175"/>
  <c r="P175"/>
  <c r="K175"/>
  <c r="O175"/>
  <c r="N175"/>
  <c r="R175"/>
  <c r="M171"/>
  <c r="Q171"/>
  <c r="L171"/>
  <c r="P171"/>
  <c r="K171"/>
  <c r="O171"/>
  <c r="N171"/>
  <c r="R171"/>
  <c r="M167"/>
  <c r="Q167"/>
  <c r="L167"/>
  <c r="P167"/>
  <c r="K167"/>
  <c r="O167"/>
  <c r="N167"/>
  <c r="R167"/>
  <c r="M163"/>
  <c r="Q163"/>
  <c r="L163"/>
  <c r="P163"/>
  <c r="K163"/>
  <c r="O163"/>
  <c r="N163"/>
  <c r="R163"/>
  <c r="M159"/>
  <c r="Q159"/>
  <c r="L159"/>
  <c r="P159"/>
  <c r="K159"/>
  <c r="O159"/>
  <c r="N159"/>
  <c r="R159"/>
  <c r="M155"/>
  <c r="Q155"/>
  <c r="L155"/>
  <c r="P155"/>
  <c r="K155"/>
  <c r="O155"/>
  <c r="N155"/>
  <c r="R155"/>
  <c r="M151"/>
  <c r="Q151"/>
  <c r="L151"/>
  <c r="P151"/>
  <c r="K151"/>
  <c r="O151"/>
  <c r="N151"/>
  <c r="R151"/>
  <c r="M147"/>
  <c r="Q147"/>
  <c r="L147"/>
  <c r="P147"/>
  <c r="K147"/>
  <c r="O147"/>
  <c r="N147"/>
  <c r="R147"/>
  <c r="M143"/>
  <c r="Q143"/>
  <c r="L143"/>
  <c r="P143"/>
  <c r="K143"/>
  <c r="O143"/>
  <c r="N143"/>
  <c r="R143"/>
  <c r="M139"/>
  <c r="Q139"/>
  <c r="L139"/>
  <c r="P139"/>
  <c r="K139"/>
  <c r="O139"/>
  <c r="N139"/>
  <c r="R139"/>
  <c r="M135"/>
  <c r="Q135"/>
  <c r="L135"/>
  <c r="P135"/>
  <c r="K135"/>
  <c r="O135"/>
  <c r="N135"/>
  <c r="R135"/>
  <c r="M131"/>
  <c r="Q131"/>
  <c r="L131"/>
  <c r="P131"/>
  <c r="K131"/>
  <c r="O131"/>
  <c r="N131"/>
  <c r="R131"/>
  <c r="M127"/>
  <c r="Q127"/>
  <c r="L127"/>
  <c r="P127"/>
  <c r="K127"/>
  <c r="O127"/>
  <c r="N127"/>
  <c r="R127"/>
  <c r="M123"/>
  <c r="Q123"/>
  <c r="L123"/>
  <c r="P123"/>
  <c r="K123"/>
  <c r="O123"/>
  <c r="N123"/>
  <c r="R123"/>
  <c r="M119"/>
  <c r="Q119"/>
  <c r="L119"/>
  <c r="P119"/>
  <c r="K119"/>
  <c r="O119"/>
  <c r="N119"/>
  <c r="R119"/>
  <c r="M115"/>
  <c r="Q115"/>
  <c r="L115"/>
  <c r="P115"/>
  <c r="K115"/>
  <c r="O115"/>
  <c r="N115"/>
  <c r="R115"/>
  <c r="M111"/>
  <c r="Q111"/>
  <c r="L111"/>
  <c r="P111"/>
  <c r="K111"/>
  <c r="O111"/>
  <c r="N111"/>
  <c r="R111"/>
  <c r="M107"/>
  <c r="Q107"/>
  <c r="L107"/>
  <c r="P107"/>
  <c r="K107"/>
  <c r="O107"/>
  <c r="N107"/>
  <c r="R107"/>
  <c r="M103"/>
  <c r="Q103"/>
  <c r="L103"/>
  <c r="P103"/>
  <c r="K103"/>
  <c r="O103"/>
  <c r="N103"/>
  <c r="R103"/>
  <c r="M99"/>
  <c r="Q99"/>
  <c r="L99"/>
  <c r="P99"/>
  <c r="K99"/>
  <c r="O99"/>
  <c r="N99"/>
  <c r="R99"/>
  <c r="M96"/>
  <c r="Q96"/>
  <c r="L96"/>
  <c r="P96"/>
  <c r="K96"/>
  <c r="O96"/>
  <c r="N96"/>
  <c r="R96"/>
  <c r="M92"/>
  <c r="Q92"/>
  <c r="L92"/>
  <c r="P92"/>
  <c r="K92"/>
  <c r="O92"/>
  <c r="N92"/>
  <c r="R92"/>
  <c r="M88"/>
  <c r="Q88"/>
  <c r="L88"/>
  <c r="P88"/>
  <c r="K88"/>
  <c r="O88"/>
  <c r="N88"/>
  <c r="R88"/>
  <c r="M84"/>
  <c r="Q84"/>
  <c r="L84"/>
  <c r="P84"/>
  <c r="K84"/>
  <c r="O84"/>
  <c r="N84"/>
  <c r="R84"/>
  <c r="M80"/>
  <c r="Q80"/>
  <c r="L80"/>
  <c r="P80"/>
  <c r="K80"/>
  <c r="O80"/>
  <c r="N80"/>
  <c r="R80"/>
  <c r="K76"/>
  <c r="O76"/>
  <c r="N76"/>
  <c r="R76"/>
  <c r="M76"/>
  <c r="Q76"/>
  <c r="L76"/>
  <c r="P76"/>
  <c r="K72"/>
  <c r="O72"/>
  <c r="N72"/>
  <c r="R72"/>
  <c r="M72"/>
  <c r="Q72"/>
  <c r="L72"/>
  <c r="P72"/>
  <c r="K68"/>
  <c r="O68"/>
  <c r="N68"/>
  <c r="R68"/>
  <c r="M68"/>
  <c r="Q68"/>
  <c r="L68"/>
  <c r="P68"/>
  <c r="K64"/>
  <c r="O64"/>
  <c r="N64"/>
  <c r="R64"/>
  <c r="M64"/>
  <c r="Q64"/>
  <c r="L64"/>
  <c r="P64"/>
  <c r="K60"/>
  <c r="O60"/>
  <c r="N60"/>
  <c r="R60"/>
  <c r="M60"/>
  <c r="Q60"/>
  <c r="L60"/>
  <c r="P60"/>
  <c r="K56"/>
  <c r="O56"/>
  <c r="N56"/>
  <c r="R56"/>
  <c r="M56"/>
  <c r="Q56"/>
  <c r="L56"/>
  <c r="P56"/>
  <c r="K52"/>
  <c r="O52"/>
  <c r="N52"/>
  <c r="R52"/>
  <c r="M52"/>
  <c r="Q52"/>
  <c r="L52"/>
  <c r="P52"/>
  <c r="K48"/>
  <c r="O48"/>
  <c r="N48"/>
  <c r="R48"/>
  <c r="M48"/>
  <c r="Q48"/>
  <c r="L48"/>
  <c r="P48"/>
  <c r="K44"/>
  <c r="O44"/>
  <c r="N44"/>
  <c r="R44"/>
  <c r="M44"/>
  <c r="Q44"/>
  <c r="L44"/>
  <c r="P44"/>
  <c r="K40"/>
  <c r="O40"/>
  <c r="N40"/>
  <c r="R40"/>
  <c r="M40"/>
  <c r="Q40"/>
  <c r="L40"/>
  <c r="P40"/>
  <c r="K36"/>
  <c r="O36"/>
  <c r="N36"/>
  <c r="R36"/>
  <c r="M36"/>
  <c r="Q36"/>
  <c r="L36"/>
  <c r="P36"/>
  <c r="K32"/>
  <c r="O32"/>
  <c r="N32"/>
  <c r="R32"/>
  <c r="M32"/>
  <c r="Q32"/>
  <c r="L32"/>
  <c r="P32"/>
  <c r="K28"/>
  <c r="O28"/>
  <c r="N28"/>
  <c r="R28"/>
  <c r="M28"/>
  <c r="Q28"/>
  <c r="L28"/>
  <c r="P28"/>
  <c r="K24"/>
  <c r="O24"/>
  <c r="N24"/>
  <c r="R24"/>
  <c r="M24"/>
  <c r="Q24"/>
  <c r="L24"/>
  <c r="P24"/>
  <c r="K20"/>
  <c r="O20"/>
  <c r="N20"/>
  <c r="R20"/>
  <c r="M20"/>
  <c r="Q20"/>
  <c r="L20"/>
  <c r="P20"/>
  <c r="K205"/>
  <c r="K204"/>
  <c r="K203"/>
  <c r="K201"/>
  <c r="K200"/>
  <c r="K199"/>
  <c r="K206"/>
  <c r="O206"/>
  <c r="N206"/>
  <c r="R206"/>
  <c r="M206"/>
  <c r="Q206"/>
  <c r="L206"/>
  <c r="P206"/>
  <c r="L202"/>
  <c r="P202"/>
  <c r="N202"/>
  <c r="R202"/>
  <c r="M198"/>
  <c r="L198"/>
  <c r="P198"/>
  <c r="K198"/>
  <c r="N198"/>
  <c r="R198"/>
  <c r="M194"/>
  <c r="Q194"/>
  <c r="L194"/>
  <c r="P194"/>
  <c r="K194"/>
  <c r="O194"/>
  <c r="N194"/>
  <c r="R194"/>
  <c r="M190"/>
  <c r="Q190"/>
  <c r="L190"/>
  <c r="P190"/>
  <c r="K190"/>
  <c r="O190"/>
  <c r="N190"/>
  <c r="R190"/>
  <c r="M186"/>
  <c r="Q186"/>
  <c r="L186"/>
  <c r="P186"/>
  <c r="K186"/>
  <c r="O186"/>
  <c r="N186"/>
  <c r="R186"/>
  <c r="M182"/>
  <c r="Q182"/>
  <c r="L182"/>
  <c r="P182"/>
  <c r="K182"/>
  <c r="O182"/>
  <c r="N182"/>
  <c r="R182"/>
  <c r="M178"/>
  <c r="Q178"/>
  <c r="L178"/>
  <c r="P178"/>
  <c r="K178"/>
  <c r="O178"/>
  <c r="N178"/>
  <c r="R178"/>
  <c r="M174"/>
  <c r="Q174"/>
  <c r="L174"/>
  <c r="P174"/>
  <c r="K174"/>
  <c r="O174"/>
  <c r="N174"/>
  <c r="R174"/>
  <c r="M170"/>
  <c r="Q170"/>
  <c r="L170"/>
  <c r="P170"/>
  <c r="K170"/>
  <c r="O170"/>
  <c r="N170"/>
  <c r="R170"/>
  <c r="M166"/>
  <c r="Q166"/>
  <c r="L166"/>
  <c r="P166"/>
  <c r="K166"/>
  <c r="O166"/>
  <c r="N166"/>
  <c r="R166"/>
  <c r="M162"/>
  <c r="Q162"/>
  <c r="L162"/>
  <c r="P162"/>
  <c r="K162"/>
  <c r="O162"/>
  <c r="N162"/>
  <c r="R162"/>
  <c r="M158"/>
  <c r="Q158"/>
  <c r="L158"/>
  <c r="P158"/>
  <c r="K158"/>
  <c r="O158"/>
  <c r="N158"/>
  <c r="R158"/>
  <c r="M154"/>
  <c r="Q154"/>
  <c r="L154"/>
  <c r="P154"/>
  <c r="K154"/>
  <c r="O154"/>
  <c r="N154"/>
  <c r="R154"/>
  <c r="M150"/>
  <c r="Q150"/>
  <c r="L150"/>
  <c r="P150"/>
  <c r="K150"/>
  <c r="O150"/>
  <c r="N150"/>
  <c r="R150"/>
  <c r="M146"/>
  <c r="Q146"/>
  <c r="L146"/>
  <c r="P146"/>
  <c r="K146"/>
  <c r="O146"/>
  <c r="N146"/>
  <c r="R146"/>
  <c r="M142"/>
  <c r="Q142"/>
  <c r="L142"/>
  <c r="P142"/>
  <c r="K142"/>
  <c r="O142"/>
  <c r="N142"/>
  <c r="R142"/>
  <c r="M138"/>
  <c r="Q138"/>
  <c r="L138"/>
  <c r="P138"/>
  <c r="K138"/>
  <c r="O138"/>
  <c r="N138"/>
  <c r="R138"/>
  <c r="M134"/>
  <c r="Q134"/>
  <c r="L134"/>
  <c r="P134"/>
  <c r="K134"/>
  <c r="O134"/>
  <c r="N134"/>
  <c r="R134"/>
  <c r="M130"/>
  <c r="Q130"/>
  <c r="L130"/>
  <c r="P130"/>
  <c r="K130"/>
  <c r="O130"/>
  <c r="N130"/>
  <c r="R130"/>
  <c r="M126"/>
  <c r="Q126"/>
  <c r="L126"/>
  <c r="P126"/>
  <c r="K126"/>
  <c r="O126"/>
  <c r="N126"/>
  <c r="R126"/>
  <c r="M122"/>
  <c r="Q122"/>
  <c r="L122"/>
  <c r="P122"/>
  <c r="K122"/>
  <c r="O122"/>
  <c r="N122"/>
  <c r="R122"/>
  <c r="M118"/>
  <c r="Q118"/>
  <c r="L118"/>
  <c r="P118"/>
  <c r="K118"/>
  <c r="O118"/>
  <c r="N118"/>
  <c r="R118"/>
  <c r="M114"/>
  <c r="Q114"/>
  <c r="L114"/>
  <c r="P114"/>
  <c r="K114"/>
  <c r="O114"/>
  <c r="N114"/>
  <c r="R114"/>
  <c r="M110"/>
  <c r="Q110"/>
  <c r="L110"/>
  <c r="P110"/>
  <c r="K110"/>
  <c r="O110"/>
  <c r="N110"/>
  <c r="R110"/>
  <c r="M106"/>
  <c r="Q106"/>
  <c r="L106"/>
  <c r="P106"/>
  <c r="K106"/>
  <c r="O106"/>
  <c r="N106"/>
  <c r="R106"/>
  <c r="M102"/>
  <c r="Q102"/>
  <c r="L102"/>
  <c r="P102"/>
  <c r="K102"/>
  <c r="O102"/>
  <c r="N102"/>
  <c r="R102"/>
  <c r="M98"/>
  <c r="Q98"/>
  <c r="L98"/>
  <c r="P98"/>
  <c r="K98"/>
  <c r="O98"/>
  <c r="N98"/>
  <c r="R98"/>
  <c r="M95"/>
  <c r="Q95"/>
  <c r="L95"/>
  <c r="P95"/>
  <c r="K95"/>
  <c r="O95"/>
  <c r="N95"/>
  <c r="R95"/>
  <c r="M91"/>
  <c r="Q91"/>
  <c r="L91"/>
  <c r="P91"/>
  <c r="K91"/>
  <c r="O91"/>
  <c r="N91"/>
  <c r="R91"/>
  <c r="M87"/>
  <c r="Q87"/>
  <c r="L87"/>
  <c r="P87"/>
  <c r="K87"/>
  <c r="O87"/>
  <c r="N87"/>
  <c r="R87"/>
  <c r="M83"/>
  <c r="Q83"/>
  <c r="L83"/>
  <c r="P83"/>
  <c r="K83"/>
  <c r="O83"/>
  <c r="N83"/>
  <c r="R83"/>
  <c r="M79"/>
  <c r="Q79"/>
  <c r="L79"/>
  <c r="P79"/>
  <c r="K79"/>
  <c r="O79"/>
  <c r="N79"/>
  <c r="R79"/>
  <c r="K75"/>
  <c r="O75"/>
  <c r="N75"/>
  <c r="R75"/>
  <c r="M75"/>
  <c r="Q75"/>
  <c r="L75"/>
  <c r="P75"/>
  <c r="AT75" s="1"/>
  <c r="Q72" i="11" s="1"/>
  <c r="K71" i="15"/>
  <c r="O71"/>
  <c r="N71"/>
  <c r="R71"/>
  <c r="M71"/>
  <c r="Q71"/>
  <c r="L71"/>
  <c r="P71"/>
  <c r="AT71" s="1"/>
  <c r="Q68" i="11" s="1"/>
  <c r="K67" i="15"/>
  <c r="O67"/>
  <c r="N67"/>
  <c r="R67"/>
  <c r="M67"/>
  <c r="Q67"/>
  <c r="L67"/>
  <c r="P67"/>
  <c r="AT67" s="1"/>
  <c r="Q64" i="11" s="1"/>
  <c r="K63" i="15"/>
  <c r="O63"/>
  <c r="N63"/>
  <c r="R63"/>
  <c r="M63"/>
  <c r="Q63"/>
  <c r="L63"/>
  <c r="P63"/>
  <c r="AT63" s="1"/>
  <c r="Q60" i="11" s="1"/>
  <c r="K59" i="15"/>
  <c r="O59"/>
  <c r="N59"/>
  <c r="R59"/>
  <c r="M59"/>
  <c r="Q59"/>
  <c r="L59"/>
  <c r="P59"/>
  <c r="AT59" s="1"/>
  <c r="Q56" i="11" s="1"/>
  <c r="K55" i="15"/>
  <c r="O55"/>
  <c r="N55"/>
  <c r="R55"/>
  <c r="M55"/>
  <c r="Q55"/>
  <c r="L55"/>
  <c r="P55"/>
  <c r="AT55" s="1"/>
  <c r="Q52" i="11" s="1"/>
  <c r="K51" i="15"/>
  <c r="O51"/>
  <c r="N51"/>
  <c r="R51"/>
  <c r="M51"/>
  <c r="Q51"/>
  <c r="L51"/>
  <c r="P51"/>
  <c r="AT51" s="1"/>
  <c r="Q48" i="11" s="1"/>
  <c r="K47" i="15"/>
  <c r="O47"/>
  <c r="N47"/>
  <c r="R47"/>
  <c r="M47"/>
  <c r="Q47"/>
  <c r="L47"/>
  <c r="P47"/>
  <c r="AT47" s="1"/>
  <c r="Q44" i="11" s="1"/>
  <c r="K43" i="15"/>
  <c r="O43"/>
  <c r="N43"/>
  <c r="R43"/>
  <c r="M43"/>
  <c r="Q43"/>
  <c r="L43"/>
  <c r="P43"/>
  <c r="AT43" s="1"/>
  <c r="Q40" i="11" s="1"/>
  <c r="K39" i="15"/>
  <c r="O39"/>
  <c r="N39"/>
  <c r="R39"/>
  <c r="M39"/>
  <c r="Q39"/>
  <c r="L39"/>
  <c r="P39"/>
  <c r="AT39" s="1"/>
  <c r="Q36" i="11" s="1"/>
  <c r="K35" i="15"/>
  <c r="O35"/>
  <c r="N35"/>
  <c r="R35"/>
  <c r="M35"/>
  <c r="Q35"/>
  <c r="L35"/>
  <c r="P35"/>
  <c r="AT35" s="1"/>
  <c r="Q32" i="11" s="1"/>
  <c r="K31" i="15"/>
  <c r="O31"/>
  <c r="N31"/>
  <c r="R31"/>
  <c r="M31"/>
  <c r="Q31"/>
  <c r="L31"/>
  <c r="P31"/>
  <c r="K27"/>
  <c r="O27"/>
  <c r="N27"/>
  <c r="R27"/>
  <c r="M27"/>
  <c r="Q27"/>
  <c r="L27"/>
  <c r="P27"/>
  <c r="AT27" s="1"/>
  <c r="Q24" i="11" s="1"/>
  <c r="K23" i="15"/>
  <c r="O23"/>
  <c r="N23"/>
  <c r="R23"/>
  <c r="M23"/>
  <c r="Q23"/>
  <c r="L23"/>
  <c r="P23"/>
  <c r="K19"/>
  <c r="O19"/>
  <c r="N19"/>
  <c r="R19"/>
  <c r="M19"/>
  <c r="Q19"/>
  <c r="L19"/>
  <c r="P19"/>
  <c r="M204"/>
  <c r="M203"/>
  <c r="M202"/>
  <c r="M200"/>
  <c r="M199"/>
  <c r="L205"/>
  <c r="P205"/>
  <c r="N205"/>
  <c r="R205"/>
  <c r="L201"/>
  <c r="P201"/>
  <c r="N201"/>
  <c r="R201"/>
  <c r="M197"/>
  <c r="Q197"/>
  <c r="L197"/>
  <c r="P197"/>
  <c r="K197"/>
  <c r="O197"/>
  <c r="N197"/>
  <c r="R197"/>
  <c r="M193"/>
  <c r="Q193"/>
  <c r="L193"/>
  <c r="P193"/>
  <c r="K193"/>
  <c r="O193"/>
  <c r="N193"/>
  <c r="R193"/>
  <c r="M189"/>
  <c r="Q189"/>
  <c r="L189"/>
  <c r="P189"/>
  <c r="K189"/>
  <c r="O189"/>
  <c r="N189"/>
  <c r="R189"/>
  <c r="M185"/>
  <c r="Q185"/>
  <c r="L185"/>
  <c r="P185"/>
  <c r="K185"/>
  <c r="O185"/>
  <c r="N185"/>
  <c r="R185"/>
  <c r="M181"/>
  <c r="Q181"/>
  <c r="L181"/>
  <c r="P181"/>
  <c r="K181"/>
  <c r="O181"/>
  <c r="N181"/>
  <c r="R181"/>
  <c r="M177"/>
  <c r="Q177"/>
  <c r="L177"/>
  <c r="P177"/>
  <c r="K177"/>
  <c r="O177"/>
  <c r="N177"/>
  <c r="R177"/>
  <c r="M173"/>
  <c r="Q173"/>
  <c r="L173"/>
  <c r="P173"/>
  <c r="K173"/>
  <c r="O173"/>
  <c r="N173"/>
  <c r="R173"/>
  <c r="M169"/>
  <c r="Q169"/>
  <c r="L169"/>
  <c r="P169"/>
  <c r="K169"/>
  <c r="O169"/>
  <c r="N169"/>
  <c r="R169"/>
  <c r="M165"/>
  <c r="Q165"/>
  <c r="L165"/>
  <c r="P165"/>
  <c r="K165"/>
  <c r="O165"/>
  <c r="N165"/>
  <c r="R165"/>
  <c r="M161"/>
  <c r="Q161"/>
  <c r="L161"/>
  <c r="P161"/>
  <c r="K161"/>
  <c r="O161"/>
  <c r="N161"/>
  <c r="R161"/>
  <c r="M157"/>
  <c r="Q157"/>
  <c r="L157"/>
  <c r="P157"/>
  <c r="K157"/>
  <c r="O157"/>
  <c r="N157"/>
  <c r="R157"/>
  <c r="M153"/>
  <c r="Q153"/>
  <c r="L153"/>
  <c r="P153"/>
  <c r="K153"/>
  <c r="O153"/>
  <c r="N153"/>
  <c r="R153"/>
  <c r="M149"/>
  <c r="Q149"/>
  <c r="L149"/>
  <c r="P149"/>
  <c r="K149"/>
  <c r="O149"/>
  <c r="N149"/>
  <c r="R149"/>
  <c r="M145"/>
  <c r="Q145"/>
  <c r="L145"/>
  <c r="P145"/>
  <c r="K145"/>
  <c r="O145"/>
  <c r="N145"/>
  <c r="R145"/>
  <c r="M141"/>
  <c r="Q141"/>
  <c r="L141"/>
  <c r="P141"/>
  <c r="K141"/>
  <c r="O141"/>
  <c r="N141"/>
  <c r="R141"/>
  <c r="M137"/>
  <c r="Q137"/>
  <c r="L137"/>
  <c r="P137"/>
  <c r="K137"/>
  <c r="O137"/>
  <c r="N137"/>
  <c r="R137"/>
  <c r="M133"/>
  <c r="Q133"/>
  <c r="L133"/>
  <c r="P133"/>
  <c r="K133"/>
  <c r="O133"/>
  <c r="N133"/>
  <c r="R133"/>
  <c r="M129"/>
  <c r="Q129"/>
  <c r="L129"/>
  <c r="P129"/>
  <c r="K129"/>
  <c r="O129"/>
  <c r="N129"/>
  <c r="R129"/>
  <c r="M125"/>
  <c r="Q125"/>
  <c r="L125"/>
  <c r="P125"/>
  <c r="K125"/>
  <c r="O125"/>
  <c r="N125"/>
  <c r="R125"/>
  <c r="M121"/>
  <c r="Q121"/>
  <c r="L121"/>
  <c r="P121"/>
  <c r="K121"/>
  <c r="O121"/>
  <c r="N121"/>
  <c r="R121"/>
  <c r="M117"/>
  <c r="Q117"/>
  <c r="L117"/>
  <c r="P117"/>
  <c r="K117"/>
  <c r="O117"/>
  <c r="N117"/>
  <c r="R117"/>
  <c r="M113"/>
  <c r="Q113"/>
  <c r="L113"/>
  <c r="P113"/>
  <c r="K113"/>
  <c r="O113"/>
  <c r="N113"/>
  <c r="R113"/>
  <c r="M109"/>
  <c r="Q109"/>
  <c r="L109"/>
  <c r="P109"/>
  <c r="K109"/>
  <c r="O109"/>
  <c r="N109"/>
  <c r="R109"/>
  <c r="M105"/>
  <c r="Q105"/>
  <c r="L105"/>
  <c r="P105"/>
  <c r="K105"/>
  <c r="O105"/>
  <c r="N105"/>
  <c r="R105"/>
  <c r="M101"/>
  <c r="Q101"/>
  <c r="L101"/>
  <c r="P101"/>
  <c r="K101"/>
  <c r="O101"/>
  <c r="N101"/>
  <c r="R101"/>
  <c r="M94"/>
  <c r="Q94"/>
  <c r="L94"/>
  <c r="P94"/>
  <c r="K94"/>
  <c r="O94"/>
  <c r="N94"/>
  <c r="R94"/>
  <c r="M90"/>
  <c r="Q90"/>
  <c r="L90"/>
  <c r="P90"/>
  <c r="K90"/>
  <c r="O90"/>
  <c r="N90"/>
  <c r="R90"/>
  <c r="M86"/>
  <c r="Q86"/>
  <c r="L86"/>
  <c r="P86"/>
  <c r="K86"/>
  <c r="O86"/>
  <c r="N86"/>
  <c r="R86"/>
  <c r="M82"/>
  <c r="Q82"/>
  <c r="L82"/>
  <c r="P82"/>
  <c r="K82"/>
  <c r="O82"/>
  <c r="N82"/>
  <c r="R82"/>
  <c r="K78"/>
  <c r="L78"/>
  <c r="M78"/>
  <c r="Q78"/>
  <c r="P78"/>
  <c r="O78"/>
  <c r="N78"/>
  <c r="R78"/>
  <c r="K74"/>
  <c r="O74"/>
  <c r="N74"/>
  <c r="R74"/>
  <c r="M74"/>
  <c r="Q74"/>
  <c r="L74"/>
  <c r="P74"/>
  <c r="K70"/>
  <c r="O70"/>
  <c r="N70"/>
  <c r="R70"/>
  <c r="M70"/>
  <c r="Q70"/>
  <c r="L70"/>
  <c r="P70"/>
  <c r="K66"/>
  <c r="O66"/>
  <c r="N66"/>
  <c r="R66"/>
  <c r="M66"/>
  <c r="Q66"/>
  <c r="L66"/>
  <c r="P66"/>
  <c r="K62"/>
  <c r="O62"/>
  <c r="N62"/>
  <c r="R62"/>
  <c r="M62"/>
  <c r="Q62"/>
  <c r="L62"/>
  <c r="P62"/>
  <c r="K58"/>
  <c r="O58"/>
  <c r="N58"/>
  <c r="R58"/>
  <c r="M58"/>
  <c r="Q58"/>
  <c r="L58"/>
  <c r="P58"/>
  <c r="K54"/>
  <c r="O54"/>
  <c r="N54"/>
  <c r="R54"/>
  <c r="M54"/>
  <c r="Q54"/>
  <c r="L54"/>
  <c r="P54"/>
  <c r="K50"/>
  <c r="O50"/>
  <c r="N50"/>
  <c r="R50"/>
  <c r="M50"/>
  <c r="Q50"/>
  <c r="L50"/>
  <c r="P50"/>
  <c r="K46"/>
  <c r="O46"/>
  <c r="N46"/>
  <c r="R46"/>
  <c r="M46"/>
  <c r="Q46"/>
  <c r="L46"/>
  <c r="P46"/>
  <c r="K42"/>
  <c r="O42"/>
  <c r="N42"/>
  <c r="R42"/>
  <c r="M42"/>
  <c r="Q42"/>
  <c r="L42"/>
  <c r="P42"/>
  <c r="K38"/>
  <c r="O38"/>
  <c r="N38"/>
  <c r="R38"/>
  <c r="M38"/>
  <c r="Q38"/>
  <c r="L38"/>
  <c r="P38"/>
  <c r="K34"/>
  <c r="O34"/>
  <c r="N34"/>
  <c r="R34"/>
  <c r="M34"/>
  <c r="Q34"/>
  <c r="L34"/>
  <c r="P34"/>
  <c r="K30"/>
  <c r="O30"/>
  <c r="N30"/>
  <c r="R30"/>
  <c r="M30"/>
  <c r="Q30"/>
  <c r="L30"/>
  <c r="P30"/>
  <c r="K26"/>
  <c r="O26"/>
  <c r="N26"/>
  <c r="R26"/>
  <c r="M26"/>
  <c r="Q26"/>
  <c r="L26"/>
  <c r="P26"/>
  <c r="K22"/>
  <c r="O22"/>
  <c r="N22"/>
  <c r="R22"/>
  <c r="M22"/>
  <c r="Q22"/>
  <c r="L22"/>
  <c r="P22"/>
  <c r="K18"/>
  <c r="O18"/>
  <c r="N18"/>
  <c r="R18"/>
  <c r="M18"/>
  <c r="Q18"/>
  <c r="L18"/>
  <c r="P18"/>
  <c r="O205"/>
  <c r="O204"/>
  <c r="O203"/>
  <c r="O202"/>
  <c r="O201"/>
  <c r="O200"/>
  <c r="O199"/>
  <c r="O198"/>
  <c r="AT31" l="1"/>
  <c r="Q28" i="11" s="1"/>
  <c r="AT79" i="15"/>
  <c r="Q76" i="11" s="1"/>
  <c r="AT83" i="15"/>
  <c r="Q80" i="11" s="1"/>
  <c r="AT91" i="15"/>
  <c r="Q88" i="11" s="1"/>
  <c r="AT95" i="15"/>
  <c r="Q92" i="11" s="1"/>
  <c r="AT99" i="15"/>
  <c r="Q96" i="11" s="1"/>
  <c r="AT107" i="15"/>
  <c r="Q104" i="11" s="1"/>
  <c r="AT111" i="15"/>
  <c r="Q108" i="11" s="1"/>
  <c r="AT119" i="15"/>
  <c r="Q116" i="11" s="1"/>
  <c r="AT123" i="15"/>
  <c r="Q120" i="11" s="1"/>
  <c r="AT131" i="15"/>
  <c r="Q128" i="11" s="1"/>
  <c r="AT135" i="15"/>
  <c r="Q132" i="11" s="1"/>
  <c r="AT143" i="15"/>
  <c r="Q140" i="11" s="1"/>
  <c r="AT147" i="15"/>
  <c r="Q144" i="11" s="1"/>
  <c r="AT155" i="15"/>
  <c r="Q152" i="11" s="1"/>
  <c r="AT159" i="15"/>
  <c r="Q156" i="11" s="1"/>
  <c r="AT167" i="15"/>
  <c r="Q164" i="11" s="1"/>
  <c r="AT171" i="15"/>
  <c r="Q168" i="11" s="1"/>
  <c r="AT179" i="15"/>
  <c r="Q176" i="11" s="1"/>
  <c r="AT187" i="15"/>
  <c r="Q184" i="11" s="1"/>
  <c r="AT195" i="15"/>
  <c r="Q192" i="11" s="1"/>
  <c r="AT124" i="15"/>
  <c r="Q121" i="11" s="1"/>
  <c r="AT180" i="15"/>
  <c r="Q177" i="11" s="1"/>
  <c r="AT184" i="15"/>
  <c r="Q181" i="11" s="1"/>
  <c r="AT192" i="15"/>
  <c r="Q189" i="11" s="1"/>
  <c r="AT196" i="15"/>
  <c r="Q193" i="11" s="1"/>
  <c r="AT87" i="15"/>
  <c r="Q84" i="11" s="1"/>
  <c r="AT115" i="15"/>
  <c r="Q112" i="11" s="1"/>
  <c r="AT200" i="15"/>
  <c r="Q197" i="11" s="1"/>
  <c r="AT204" i="15"/>
  <c r="Q201" i="11" s="1"/>
  <c r="AT127" i="15"/>
  <c r="Q124" i="11" s="1"/>
  <c r="AT139" i="15"/>
  <c r="Q136" i="11" s="1"/>
  <c r="AT183" i="15"/>
  <c r="Q180" i="11" s="1"/>
  <c r="AT199" i="15"/>
  <c r="Q196" i="11" s="1"/>
  <c r="AT203" i="15"/>
  <c r="Q200" i="11" s="1"/>
  <c r="AT103" i="15"/>
  <c r="Q100" i="11" s="1"/>
  <c r="AT151" i="15"/>
  <c r="Q148" i="11" s="1"/>
  <c r="AT163" i="15"/>
  <c r="Q160" i="11" s="1"/>
  <c r="AT175" i="15"/>
  <c r="Q172" i="11" s="1"/>
  <c r="AT23" i="15"/>
  <c r="Q20" i="11" s="1"/>
  <c r="AT19" i="15"/>
  <c r="Q16" i="11" s="1"/>
  <c r="T19" i="15"/>
  <c r="T23"/>
  <c r="T27"/>
  <c r="T31"/>
  <c r="T35"/>
  <c r="T39"/>
  <c r="T43"/>
  <c r="T47"/>
  <c r="T51"/>
  <c r="T55"/>
  <c r="T59"/>
  <c r="T63"/>
  <c r="T67"/>
  <c r="T71"/>
  <c r="T75"/>
  <c r="T79"/>
  <c r="T83"/>
  <c r="T87"/>
  <c r="T91"/>
  <c r="T95"/>
  <c r="AT98"/>
  <c r="Q95" i="11" s="1"/>
  <c r="T98" i="15"/>
  <c r="AT102"/>
  <c r="Q99" i="11" s="1"/>
  <c r="T102" i="15"/>
  <c r="AT106"/>
  <c r="Q103" i="11" s="1"/>
  <c r="T106" i="15"/>
  <c r="AT110"/>
  <c r="Q107" i="11" s="1"/>
  <c r="T110" i="15"/>
  <c r="AT114"/>
  <c r="Q111" i="11" s="1"/>
  <c r="T114" i="15"/>
  <c r="AT118"/>
  <c r="Q115" i="11" s="1"/>
  <c r="T118" i="15"/>
  <c r="AT122"/>
  <c r="Q119" i="11" s="1"/>
  <c r="T122" i="15"/>
  <c r="AT126"/>
  <c r="Q123" i="11" s="1"/>
  <c r="T126" i="15"/>
  <c r="AT130"/>
  <c r="Q127" i="11" s="1"/>
  <c r="T130" i="15"/>
  <c r="AT134"/>
  <c r="Q131" i="11" s="1"/>
  <c r="T134" i="15"/>
  <c r="AT138"/>
  <c r="Q135" i="11" s="1"/>
  <c r="T138" i="15"/>
  <c r="AT142"/>
  <c r="Q139" i="11" s="1"/>
  <c r="T142" i="15"/>
  <c r="AT146"/>
  <c r="Q143" i="11" s="1"/>
  <c r="T146" i="15"/>
  <c r="AT150"/>
  <c r="Q147" i="11" s="1"/>
  <c r="T150" i="15"/>
  <c r="AT154"/>
  <c r="Q151" i="11" s="1"/>
  <c r="T154" i="15"/>
  <c r="AT158"/>
  <c r="Q155" i="11" s="1"/>
  <c r="T158" i="15"/>
  <c r="AT162"/>
  <c r="Q159" i="11" s="1"/>
  <c r="T162" i="15"/>
  <c r="AT166"/>
  <c r="Q163" i="11" s="1"/>
  <c r="T166" i="15"/>
  <c r="AT170"/>
  <c r="Q167" i="11" s="1"/>
  <c r="T170" i="15"/>
  <c r="AT174"/>
  <c r="Q171" i="11" s="1"/>
  <c r="T174" i="15"/>
  <c r="AT178"/>
  <c r="Q175" i="11" s="1"/>
  <c r="T178" i="15"/>
  <c r="AT182"/>
  <c r="Q179" i="11" s="1"/>
  <c r="T182" i="15"/>
  <c r="AT186"/>
  <c r="Q183" i="11" s="1"/>
  <c r="T186" i="15"/>
  <c r="AT190"/>
  <c r="Q187" i="11" s="1"/>
  <c r="T190" i="15"/>
  <c r="AT194"/>
  <c r="Q191" i="11" s="1"/>
  <c r="T194" i="15"/>
  <c r="T200"/>
  <c r="AT205"/>
  <c r="Q202" i="11" s="1"/>
  <c r="T205" i="15"/>
  <c r="AT20"/>
  <c r="Q17" i="11" s="1"/>
  <c r="T20" i="15"/>
  <c r="AT24"/>
  <c r="Q21" i="11" s="1"/>
  <c r="T24" i="15"/>
  <c r="AT28"/>
  <c r="Q25" i="11" s="1"/>
  <c r="T28" i="15"/>
  <c r="AT32"/>
  <c r="Q29" i="11" s="1"/>
  <c r="T32" i="15"/>
  <c r="AT36"/>
  <c r="Q33" i="11" s="1"/>
  <c r="T36" i="15"/>
  <c r="AT40"/>
  <c r="Q37" i="11" s="1"/>
  <c r="T40" i="15"/>
  <c r="AT44"/>
  <c r="Q41" i="11" s="1"/>
  <c r="T44" i="15"/>
  <c r="AT48"/>
  <c r="Q45" i="11" s="1"/>
  <c r="T48" i="15"/>
  <c r="AT52"/>
  <c r="Q49" i="11" s="1"/>
  <c r="T52" i="15"/>
  <c r="AT56"/>
  <c r="Q53" i="11" s="1"/>
  <c r="T56" i="15"/>
  <c r="AT60"/>
  <c r="Q57" i="11" s="1"/>
  <c r="T60" i="15"/>
  <c r="AT64"/>
  <c r="Q61" i="11" s="1"/>
  <c r="T64" i="15"/>
  <c r="AT68"/>
  <c r="Q65" i="11" s="1"/>
  <c r="T68" i="15"/>
  <c r="AT72"/>
  <c r="Q69" i="11" s="1"/>
  <c r="T72" i="15"/>
  <c r="AT76"/>
  <c r="Q73" i="11" s="1"/>
  <c r="T76" i="15"/>
  <c r="AT80"/>
  <c r="Q77" i="11" s="1"/>
  <c r="T80" i="15"/>
  <c r="AT84"/>
  <c r="Q81" i="11" s="1"/>
  <c r="T84" i="15"/>
  <c r="AT88"/>
  <c r="Q85" i="11" s="1"/>
  <c r="T88" i="15"/>
  <c r="AT92"/>
  <c r="Q89" i="11" s="1"/>
  <c r="T92" i="15"/>
  <c r="AT96"/>
  <c r="Q93" i="11" s="1"/>
  <c r="T96" i="15"/>
  <c r="T99"/>
  <c r="T103"/>
  <c r="T107"/>
  <c r="T111"/>
  <c r="T115"/>
  <c r="T119"/>
  <c r="T123"/>
  <c r="T127"/>
  <c r="T131"/>
  <c r="T135"/>
  <c r="T139"/>
  <c r="T143"/>
  <c r="T147"/>
  <c r="T151"/>
  <c r="T155"/>
  <c r="T159"/>
  <c r="T163"/>
  <c r="T167"/>
  <c r="T171"/>
  <c r="T175"/>
  <c r="T179"/>
  <c r="T183"/>
  <c r="T187"/>
  <c r="T191"/>
  <c r="T195"/>
  <c r="AT202"/>
  <c r="Q199" i="11" s="1"/>
  <c r="AT18" i="15"/>
  <c r="Q15" i="11" s="1"/>
  <c r="T18" i="15"/>
  <c r="AT22"/>
  <c r="Q19" i="11" s="1"/>
  <c r="T22" i="15"/>
  <c r="AT26"/>
  <c r="Q23" i="11" s="1"/>
  <c r="T26" i="15"/>
  <c r="AT30"/>
  <c r="Q27" i="11" s="1"/>
  <c r="T30" i="15"/>
  <c r="AT34"/>
  <c r="Q31" i="11" s="1"/>
  <c r="T34" i="15"/>
  <c r="AT38"/>
  <c r="Q35" i="11" s="1"/>
  <c r="T38" i="15"/>
  <c r="AT42"/>
  <c r="Q39" i="11" s="1"/>
  <c r="T42" i="15"/>
  <c r="AT46"/>
  <c r="Q43" i="11" s="1"/>
  <c r="T46" i="15"/>
  <c r="AT50"/>
  <c r="Q47" i="11" s="1"/>
  <c r="T50" i="15"/>
  <c r="AT54"/>
  <c r="Q51" i="11" s="1"/>
  <c r="T54" i="15"/>
  <c r="AT58"/>
  <c r="Q55" i="11" s="1"/>
  <c r="T58" i="15"/>
  <c r="AT62"/>
  <c r="Q59" i="11" s="1"/>
  <c r="T62" i="15"/>
  <c r="AT66"/>
  <c r="Q63" i="11" s="1"/>
  <c r="T66" i="15"/>
  <c r="AT70"/>
  <c r="Q67" i="11" s="1"/>
  <c r="T70" i="15"/>
  <c r="AT74"/>
  <c r="Q71" i="11" s="1"/>
  <c r="T74" i="15"/>
  <c r="AT78"/>
  <c r="Q75" i="11" s="1"/>
  <c r="T78" i="15"/>
  <c r="AT82"/>
  <c r="Q79" i="11" s="1"/>
  <c r="T82" i="15"/>
  <c r="AT86"/>
  <c r="Q83" i="11" s="1"/>
  <c r="T86" i="15"/>
  <c r="AT90"/>
  <c r="Q87" i="11" s="1"/>
  <c r="T90" i="15"/>
  <c r="AT94"/>
  <c r="Q91" i="11" s="1"/>
  <c r="T94" i="15"/>
  <c r="AT101"/>
  <c r="Q98" i="11" s="1"/>
  <c r="T101" i="15"/>
  <c r="AT105"/>
  <c r="Q102" i="11" s="1"/>
  <c r="T105" i="15"/>
  <c r="AT109"/>
  <c r="Q106" i="11" s="1"/>
  <c r="T109" i="15"/>
  <c r="AT113"/>
  <c r="Q110" i="11" s="1"/>
  <c r="T113" i="15"/>
  <c r="AT117"/>
  <c r="Q114" i="11" s="1"/>
  <c r="T117" i="15"/>
  <c r="AT121"/>
  <c r="Q118" i="11" s="1"/>
  <c r="T121" i="15"/>
  <c r="AT125"/>
  <c r="Q122" i="11" s="1"/>
  <c r="T125" i="15"/>
  <c r="AT129"/>
  <c r="Q126" i="11" s="1"/>
  <c r="T129" i="15"/>
  <c r="AT133"/>
  <c r="Q130" i="11" s="1"/>
  <c r="T133" i="15"/>
  <c r="AT137"/>
  <c r="Q134" i="11" s="1"/>
  <c r="T137" i="15"/>
  <c r="AT141"/>
  <c r="Q138" i="11" s="1"/>
  <c r="T141" i="15"/>
  <c r="AT145"/>
  <c r="Q142" i="11" s="1"/>
  <c r="T145" i="15"/>
  <c r="AT149"/>
  <c r="Q146" i="11" s="1"/>
  <c r="T149" i="15"/>
  <c r="AT153"/>
  <c r="Q150" i="11" s="1"/>
  <c r="T153" i="15"/>
  <c r="AT157"/>
  <c r="Q154" i="11" s="1"/>
  <c r="T157" i="15"/>
  <c r="AT161"/>
  <c r="Q158" i="11" s="1"/>
  <c r="T161" i="15"/>
  <c r="AT165"/>
  <c r="Q162" i="11" s="1"/>
  <c r="T165" i="15"/>
  <c r="AT169"/>
  <c r="Q166" i="11" s="1"/>
  <c r="T169" i="15"/>
  <c r="AT173"/>
  <c r="Q170" i="11" s="1"/>
  <c r="T173" i="15"/>
  <c r="AT177"/>
  <c r="Q174" i="11" s="1"/>
  <c r="T177" i="15"/>
  <c r="AT181"/>
  <c r="Q178" i="11" s="1"/>
  <c r="T181" i="15"/>
  <c r="AT185"/>
  <c r="Q182" i="11" s="1"/>
  <c r="T185" i="15"/>
  <c r="AT189"/>
  <c r="Q186" i="11" s="1"/>
  <c r="T189" i="15"/>
  <c r="AT193"/>
  <c r="Q190" i="11" s="1"/>
  <c r="T193" i="15"/>
  <c r="AT197"/>
  <c r="Q194" i="11" s="1"/>
  <c r="T197" i="15"/>
  <c r="AT198"/>
  <c r="Q195" i="11" s="1"/>
  <c r="T198" i="15"/>
  <c r="T199"/>
  <c r="T204"/>
  <c r="T202"/>
  <c r="AT206"/>
  <c r="Q203" i="11" s="1"/>
  <c r="T206" i="15"/>
  <c r="T203"/>
  <c r="AT201"/>
  <c r="Q198" i="11" s="1"/>
  <c r="T201" i="15"/>
  <c r="AT21"/>
  <c r="Q18" i="11" s="1"/>
  <c r="T21" i="15"/>
  <c r="AT25"/>
  <c r="Q22" i="11" s="1"/>
  <c r="T25" i="15"/>
  <c r="AT29"/>
  <c r="Q26" i="11" s="1"/>
  <c r="T29" i="15"/>
  <c r="AT33"/>
  <c r="Q30" i="11" s="1"/>
  <c r="T33" i="15"/>
  <c r="AT37"/>
  <c r="Q34" i="11" s="1"/>
  <c r="T37" i="15"/>
  <c r="AT41"/>
  <c r="Q38" i="11" s="1"/>
  <c r="T41" i="15"/>
  <c r="AT45"/>
  <c r="Q42" i="11" s="1"/>
  <c r="T45" i="15"/>
  <c r="AT49"/>
  <c r="Q46" i="11" s="1"/>
  <c r="T49" i="15"/>
  <c r="AT53"/>
  <c r="Q50" i="11" s="1"/>
  <c r="T53" i="15"/>
  <c r="AT57"/>
  <c r="Q54" i="11" s="1"/>
  <c r="T57" i="15"/>
  <c r="AT61"/>
  <c r="Q58" i="11" s="1"/>
  <c r="T61" i="15"/>
  <c r="AT65"/>
  <c r="Q62" i="11" s="1"/>
  <c r="T65" i="15"/>
  <c r="AT69"/>
  <c r="Q66" i="11" s="1"/>
  <c r="T69" i="15"/>
  <c r="AT73"/>
  <c r="Q70" i="11" s="1"/>
  <c r="T73" i="15"/>
  <c r="AT77"/>
  <c r="Q74" i="11" s="1"/>
  <c r="T77" i="15"/>
  <c r="AT81"/>
  <c r="Q78" i="11" s="1"/>
  <c r="T81" i="15"/>
  <c r="AT85"/>
  <c r="Q82" i="11" s="1"/>
  <c r="T85" i="15"/>
  <c r="AT89"/>
  <c r="Q86" i="11" s="1"/>
  <c r="T89" i="15"/>
  <c r="AT93"/>
  <c r="Q90" i="11" s="1"/>
  <c r="T93" i="15"/>
  <c r="AT97"/>
  <c r="Q94" i="11" s="1"/>
  <c r="T97" i="15"/>
  <c r="AT100"/>
  <c r="Q97" i="11" s="1"/>
  <c r="T100" i="15"/>
  <c r="AT104"/>
  <c r="Q101" i="11" s="1"/>
  <c r="T104" i="15"/>
  <c r="AT108"/>
  <c r="Q105" i="11" s="1"/>
  <c r="T108" i="15"/>
  <c r="AT112"/>
  <c r="Q109" i="11" s="1"/>
  <c r="T112" i="15"/>
  <c r="AT116"/>
  <c r="Q113" i="11" s="1"/>
  <c r="T116" i="15"/>
  <c r="AT120"/>
  <c r="Q117" i="11" s="1"/>
  <c r="T120" i="15"/>
  <c r="T124"/>
  <c r="AT128"/>
  <c r="Q125" i="11" s="1"/>
  <c r="T128" i="15"/>
  <c r="AT132"/>
  <c r="Q129" i="11" s="1"/>
  <c r="T132" i="15"/>
  <c r="AT136"/>
  <c r="Q133" i="11" s="1"/>
  <c r="T136" i="15"/>
  <c r="AT140"/>
  <c r="Q137" i="11" s="1"/>
  <c r="T140" i="15"/>
  <c r="AT144"/>
  <c r="Q141" i="11" s="1"/>
  <c r="T144" i="15"/>
  <c r="AT148"/>
  <c r="Q145" i="11" s="1"/>
  <c r="T148" i="15"/>
  <c r="AT152"/>
  <c r="Q149" i="11" s="1"/>
  <c r="T152" i="15"/>
  <c r="AT156"/>
  <c r="Q153" i="11" s="1"/>
  <c r="T156" i="15"/>
  <c r="AT160"/>
  <c r="Q157" i="11" s="1"/>
  <c r="T160" i="15"/>
  <c r="AT164"/>
  <c r="Q161" i="11" s="1"/>
  <c r="T164" i="15"/>
  <c r="AT168"/>
  <c r="Q165" i="11" s="1"/>
  <c r="T168" i="15"/>
  <c r="AT172"/>
  <c r="Q169" i="11" s="1"/>
  <c r="T172" i="15"/>
  <c r="AT176"/>
  <c r="Q173" i="11" s="1"/>
  <c r="T176" i="15"/>
  <c r="T180"/>
  <c r="T184"/>
  <c r="T188"/>
  <c r="T192"/>
  <c r="T196"/>
  <c r="HB218" i="9"/>
  <c r="GX218"/>
  <c r="GX216"/>
  <c r="GX210"/>
  <c r="GX214"/>
  <c r="GX209"/>
  <c r="HE219"/>
  <c r="GY219"/>
  <c r="HE218"/>
  <c r="GY218"/>
  <c r="BM216" i="11" s="1"/>
  <c r="A41" i="6" s="1"/>
  <c r="GV218" i="9"/>
  <c r="HE217"/>
  <c r="GY217"/>
  <c r="BM212" i="11" s="1"/>
  <c r="A37" i="6" s="1"/>
  <c r="HE216" i="9"/>
  <c r="GY216"/>
  <c r="BM215" i="11" s="1"/>
  <c r="A40" i="6" s="1"/>
  <c r="GV216" i="9"/>
  <c r="HE215"/>
  <c r="GY215"/>
  <c r="BM213" i="11" s="1"/>
  <c r="A38" i="6" s="1"/>
  <c r="HE214" i="9"/>
  <c r="GY214"/>
  <c r="BM211" i="11" s="1"/>
  <c r="A36" i="6" s="1"/>
  <c r="GV214" i="9"/>
  <c r="HE213"/>
  <c r="GY213"/>
  <c r="BM210" i="11" s="1"/>
  <c r="A35" i="6" s="1"/>
  <c r="HE212" i="9"/>
  <c r="GY212"/>
  <c r="BM209" i="11" s="1"/>
  <c r="A34" i="6" s="1"/>
  <c r="GV212" i="9"/>
  <c r="HE211"/>
  <c r="GY211"/>
  <c r="BM208" i="11" s="1"/>
  <c r="A33" i="6" s="1"/>
  <c r="HE210" i="9"/>
  <c r="GY210"/>
  <c r="BM207" i="11" s="1"/>
  <c r="A32" i="6" s="1"/>
  <c r="GV210" i="9"/>
  <c r="HE209"/>
  <c r="GV209"/>
  <c r="HE208"/>
  <c r="GV208"/>
  <c r="DO216"/>
  <c r="GG8"/>
  <c r="CP209"/>
  <c r="CK209"/>
  <c r="BS209"/>
  <c r="BN209"/>
  <c r="F219"/>
  <c r="F218"/>
  <c r="F217"/>
  <c r="F216"/>
  <c r="F215"/>
  <c r="F214"/>
  <c r="F213"/>
  <c r="F212"/>
  <c r="F211"/>
  <c r="F210"/>
  <c r="F209"/>
  <c r="A209"/>
  <c r="IC6" l="1"/>
  <c r="IB6"/>
  <c r="IA6"/>
  <c r="HH4"/>
  <c r="HG4"/>
  <c r="HF4"/>
  <c r="HE4"/>
  <c r="HC4"/>
  <c r="HB4"/>
  <c r="GZ4"/>
  <c r="GY4"/>
  <c r="GT2"/>
  <c r="GW4"/>
  <c r="GV4"/>
  <c r="GT4"/>
  <c r="FJ2"/>
  <c r="FI4"/>
  <c r="EY9" l="1"/>
  <c r="FB9" s="1"/>
  <c r="EZ9"/>
  <c r="FA9"/>
  <c r="FC9"/>
  <c r="FD9"/>
  <c r="FE9" s="1"/>
  <c r="EY10"/>
  <c r="FB10" s="1"/>
  <c r="EZ10"/>
  <c r="FA10"/>
  <c r="FC10"/>
  <c r="FE10" s="1"/>
  <c r="FD10"/>
  <c r="EY11"/>
  <c r="EZ11"/>
  <c r="FA11"/>
  <c r="FC11"/>
  <c r="FD11"/>
  <c r="FE11"/>
  <c r="EY12"/>
  <c r="FB12" s="1"/>
  <c r="EZ12"/>
  <c r="FA12"/>
  <c r="FC12"/>
  <c r="FD12"/>
  <c r="EY13"/>
  <c r="EZ13"/>
  <c r="FA13"/>
  <c r="FC13"/>
  <c r="FD13"/>
  <c r="FE13"/>
  <c r="EY14"/>
  <c r="FE14" s="1"/>
  <c r="EZ14"/>
  <c r="FA14"/>
  <c r="FC14"/>
  <c r="FD14"/>
  <c r="EY15"/>
  <c r="EZ15"/>
  <c r="FA15"/>
  <c r="FC15"/>
  <c r="FD15"/>
  <c r="FE15"/>
  <c r="EY16"/>
  <c r="FE16" s="1"/>
  <c r="EZ16"/>
  <c r="FA16"/>
  <c r="FC16"/>
  <c r="FD16"/>
  <c r="EY17"/>
  <c r="EZ17"/>
  <c r="FA17"/>
  <c r="FC17"/>
  <c r="FD17"/>
  <c r="FE17"/>
  <c r="EY18"/>
  <c r="FE18" s="1"/>
  <c r="EZ18"/>
  <c r="FA18"/>
  <c r="FC18"/>
  <c r="FD18"/>
  <c r="EY19"/>
  <c r="EZ19"/>
  <c r="FA19"/>
  <c r="FC19"/>
  <c r="FD19"/>
  <c r="FE19"/>
  <c r="EY20"/>
  <c r="FE20" s="1"/>
  <c r="EZ20"/>
  <c r="FA20"/>
  <c r="FC20"/>
  <c r="FD20"/>
  <c r="EY21"/>
  <c r="FB21" s="1"/>
  <c r="EZ21"/>
  <c r="FA21"/>
  <c r="FC21"/>
  <c r="FD21"/>
  <c r="EY22"/>
  <c r="FB22" s="1"/>
  <c r="EZ22"/>
  <c r="FA22"/>
  <c r="FC22"/>
  <c r="FD22"/>
  <c r="EY23"/>
  <c r="FB23" s="1"/>
  <c r="EZ23"/>
  <c r="FA23"/>
  <c r="FC23"/>
  <c r="FD23"/>
  <c r="EY24"/>
  <c r="FB24" s="1"/>
  <c r="EZ24"/>
  <c r="FA24"/>
  <c r="FC24"/>
  <c r="FD24"/>
  <c r="EY25"/>
  <c r="FB25" s="1"/>
  <c r="EZ25"/>
  <c r="FA25"/>
  <c r="FC25"/>
  <c r="FD25"/>
  <c r="EY26"/>
  <c r="FB26" s="1"/>
  <c r="EZ26"/>
  <c r="FA26"/>
  <c r="FC26"/>
  <c r="FD26"/>
  <c r="EY27"/>
  <c r="FB27" s="1"/>
  <c r="EZ27"/>
  <c r="FA27"/>
  <c r="FC27"/>
  <c r="FD27"/>
  <c r="EY28"/>
  <c r="FB28" s="1"/>
  <c r="EZ28"/>
  <c r="FA28"/>
  <c r="FC28"/>
  <c r="FD28"/>
  <c r="EY29"/>
  <c r="FB29" s="1"/>
  <c r="EZ29"/>
  <c r="FA29"/>
  <c r="FC29"/>
  <c r="FD29"/>
  <c r="EY30"/>
  <c r="FB30" s="1"/>
  <c r="EZ30"/>
  <c r="FA30"/>
  <c r="FC30"/>
  <c r="FD30"/>
  <c r="EY31"/>
  <c r="FB31" s="1"/>
  <c r="EZ31"/>
  <c r="FA31"/>
  <c r="FC31"/>
  <c r="FD31"/>
  <c r="EY32"/>
  <c r="FB32" s="1"/>
  <c r="EZ32"/>
  <c r="FA32"/>
  <c r="FC32"/>
  <c r="FD32"/>
  <c r="EY33"/>
  <c r="FB33" s="1"/>
  <c r="EZ33"/>
  <c r="FA33"/>
  <c r="FC33"/>
  <c r="FD33"/>
  <c r="EY34"/>
  <c r="FB34" s="1"/>
  <c r="EZ34"/>
  <c r="FA34"/>
  <c r="FC34"/>
  <c r="FD34"/>
  <c r="EY35"/>
  <c r="FB35" s="1"/>
  <c r="EZ35"/>
  <c r="FA35"/>
  <c r="FC35"/>
  <c r="FD35"/>
  <c r="EY36"/>
  <c r="FB36" s="1"/>
  <c r="EZ36"/>
  <c r="FA36"/>
  <c r="FC36"/>
  <c r="FD36"/>
  <c r="EY37"/>
  <c r="FB37" s="1"/>
  <c r="EZ37"/>
  <c r="FA37"/>
  <c r="FC37"/>
  <c r="FD37"/>
  <c r="EY38"/>
  <c r="FB38" s="1"/>
  <c r="EZ38"/>
  <c r="FA38"/>
  <c r="FC38"/>
  <c r="FD38"/>
  <c r="EY39"/>
  <c r="FB39" s="1"/>
  <c r="EZ39"/>
  <c r="FA39"/>
  <c r="FC39"/>
  <c r="FD39"/>
  <c r="EY40"/>
  <c r="FB40" s="1"/>
  <c r="EZ40"/>
  <c r="FA40"/>
  <c r="FC40"/>
  <c r="FE40" s="1"/>
  <c r="FD40"/>
  <c r="EY41"/>
  <c r="EZ41"/>
  <c r="FA41"/>
  <c r="FB41" s="1"/>
  <c r="FC41"/>
  <c r="FD41"/>
  <c r="EY42"/>
  <c r="FB42" s="1"/>
  <c r="EZ42"/>
  <c r="FA42"/>
  <c r="FC42"/>
  <c r="FD42"/>
  <c r="EY43"/>
  <c r="FB43" s="1"/>
  <c r="EZ43"/>
  <c r="FA43"/>
  <c r="FC43"/>
  <c r="FD43"/>
  <c r="EY44"/>
  <c r="FB44" s="1"/>
  <c r="EZ44"/>
  <c r="FA44"/>
  <c r="FC44"/>
  <c r="FD44"/>
  <c r="FE44"/>
  <c r="EY45"/>
  <c r="FB45" s="1"/>
  <c r="EZ45"/>
  <c r="FA45"/>
  <c r="FC45"/>
  <c r="FD45"/>
  <c r="EY46"/>
  <c r="FB46" s="1"/>
  <c r="EZ46"/>
  <c r="FA46"/>
  <c r="FC46"/>
  <c r="FD46"/>
  <c r="EY47"/>
  <c r="FB47" s="1"/>
  <c r="EZ47"/>
  <c r="FA47"/>
  <c r="FC47"/>
  <c r="FD47"/>
  <c r="EY48"/>
  <c r="FB48" s="1"/>
  <c r="EZ48"/>
  <c r="FA48"/>
  <c r="FC48"/>
  <c r="FE48" s="1"/>
  <c r="FD48"/>
  <c r="EY49"/>
  <c r="FB49" s="1"/>
  <c r="EZ49"/>
  <c r="FA49"/>
  <c r="FC49"/>
  <c r="FD49"/>
  <c r="EY50"/>
  <c r="FB50" s="1"/>
  <c r="EZ50"/>
  <c r="FA50"/>
  <c r="FC50"/>
  <c r="FD50"/>
  <c r="EY51"/>
  <c r="FB51" s="1"/>
  <c r="EZ51"/>
  <c r="FA51"/>
  <c r="FC51"/>
  <c r="FD51"/>
  <c r="EY52"/>
  <c r="FB52" s="1"/>
  <c r="EZ52"/>
  <c r="FA52"/>
  <c r="FC52"/>
  <c r="FE52" s="1"/>
  <c r="FD52"/>
  <c r="EY53"/>
  <c r="FB53" s="1"/>
  <c r="EZ53"/>
  <c r="FA53"/>
  <c r="FC53"/>
  <c r="FD53"/>
  <c r="EY54"/>
  <c r="FB54" s="1"/>
  <c r="EZ54"/>
  <c r="FA54"/>
  <c r="FC54"/>
  <c r="FE54" s="1"/>
  <c r="FD54"/>
  <c r="EY55"/>
  <c r="FB55" s="1"/>
  <c r="EZ55"/>
  <c r="FA55"/>
  <c r="FC55"/>
  <c r="FD55"/>
  <c r="EY56"/>
  <c r="FB56" s="1"/>
  <c r="EZ56"/>
  <c r="FA56"/>
  <c r="FC56"/>
  <c r="FE56" s="1"/>
  <c r="FD56"/>
  <c r="EY57"/>
  <c r="FB57" s="1"/>
  <c r="EZ57"/>
  <c r="FA57"/>
  <c r="FC57"/>
  <c r="FD57"/>
  <c r="EY58"/>
  <c r="FB58" s="1"/>
  <c r="EZ58"/>
  <c r="FA58"/>
  <c r="FC58"/>
  <c r="FD58"/>
  <c r="EY59"/>
  <c r="FB59" s="1"/>
  <c r="EZ59"/>
  <c r="FA59"/>
  <c r="FC59"/>
  <c r="FD59"/>
  <c r="EY60"/>
  <c r="FB60" s="1"/>
  <c r="EZ60"/>
  <c r="FA60"/>
  <c r="FC60"/>
  <c r="FD60"/>
  <c r="EY61"/>
  <c r="FB61" s="1"/>
  <c r="EZ61"/>
  <c r="FA61"/>
  <c r="FC61"/>
  <c r="FD61"/>
  <c r="FE61"/>
  <c r="EY62"/>
  <c r="FB62" s="1"/>
  <c r="EZ62"/>
  <c r="FA62"/>
  <c r="FC62"/>
  <c r="FD62"/>
  <c r="FE62"/>
  <c r="EY63"/>
  <c r="FB63" s="1"/>
  <c r="EZ63"/>
  <c r="FA63"/>
  <c r="FC63"/>
  <c r="FD63"/>
  <c r="FE63"/>
  <c r="EY64"/>
  <c r="FB64" s="1"/>
  <c r="EZ64"/>
  <c r="FA64"/>
  <c r="FC64"/>
  <c r="FD64"/>
  <c r="FE64"/>
  <c r="EY65"/>
  <c r="FB65" s="1"/>
  <c r="EZ65"/>
  <c r="FA65"/>
  <c r="FC65"/>
  <c r="FD65"/>
  <c r="FE65"/>
  <c r="EY66"/>
  <c r="FB66" s="1"/>
  <c r="EZ66"/>
  <c r="FA66"/>
  <c r="FC66"/>
  <c r="FD66"/>
  <c r="FE66"/>
  <c r="EY67"/>
  <c r="FB67" s="1"/>
  <c r="EZ67"/>
  <c r="FA67"/>
  <c r="FC67"/>
  <c r="FD67"/>
  <c r="FE67"/>
  <c r="EY68"/>
  <c r="FB68" s="1"/>
  <c r="EZ68"/>
  <c r="FA68"/>
  <c r="FC68"/>
  <c r="FD68"/>
  <c r="FE68"/>
  <c r="EY69"/>
  <c r="FB69" s="1"/>
  <c r="EZ69"/>
  <c r="FA69"/>
  <c r="FC69"/>
  <c r="FD69"/>
  <c r="FE69"/>
  <c r="EY70"/>
  <c r="FB70" s="1"/>
  <c r="EZ70"/>
  <c r="FA70"/>
  <c r="FC70"/>
  <c r="FD70"/>
  <c r="FE70"/>
  <c r="EY71"/>
  <c r="FB71" s="1"/>
  <c r="EZ71"/>
  <c r="FA71"/>
  <c r="FC71"/>
  <c r="FD71"/>
  <c r="FE71"/>
  <c r="EY72"/>
  <c r="FB72" s="1"/>
  <c r="EZ72"/>
  <c r="FA72"/>
  <c r="FC72"/>
  <c r="FD72"/>
  <c r="FE72"/>
  <c r="EY73"/>
  <c r="FB73" s="1"/>
  <c r="EZ73"/>
  <c r="FA73"/>
  <c r="FC73"/>
  <c r="FD73"/>
  <c r="FE73"/>
  <c r="EY74"/>
  <c r="FB74" s="1"/>
  <c r="EZ74"/>
  <c r="FA74"/>
  <c r="FC74"/>
  <c r="FD74"/>
  <c r="FE74"/>
  <c r="EY75"/>
  <c r="FB75" s="1"/>
  <c r="EZ75"/>
  <c r="FA75"/>
  <c r="FC75"/>
  <c r="FD75"/>
  <c r="FE75"/>
  <c r="EY76"/>
  <c r="FB76" s="1"/>
  <c r="EZ76"/>
  <c r="FA76"/>
  <c r="FC76"/>
  <c r="FD76"/>
  <c r="FE76"/>
  <c r="EY77"/>
  <c r="FB77" s="1"/>
  <c r="EZ77"/>
  <c r="FA77"/>
  <c r="FC77"/>
  <c r="FD77"/>
  <c r="FE77"/>
  <c r="EY78"/>
  <c r="FB78" s="1"/>
  <c r="EZ78"/>
  <c r="FA78"/>
  <c r="FC78"/>
  <c r="FD78"/>
  <c r="FE78"/>
  <c r="EY79"/>
  <c r="FB79" s="1"/>
  <c r="EZ79"/>
  <c r="FA79"/>
  <c r="FC79"/>
  <c r="FD79"/>
  <c r="FE79"/>
  <c r="EY80"/>
  <c r="FB80" s="1"/>
  <c r="EZ80"/>
  <c r="FA80"/>
  <c r="FC80"/>
  <c r="FD80"/>
  <c r="FE80"/>
  <c r="EY81"/>
  <c r="FB81" s="1"/>
  <c r="EZ81"/>
  <c r="FA81"/>
  <c r="FC81"/>
  <c r="FD81"/>
  <c r="FE81"/>
  <c r="EY82"/>
  <c r="FB82" s="1"/>
  <c r="EZ82"/>
  <c r="FA82"/>
  <c r="FC82"/>
  <c r="FD82"/>
  <c r="FE82"/>
  <c r="EY83"/>
  <c r="FB83" s="1"/>
  <c r="EZ83"/>
  <c r="FA83"/>
  <c r="FC83"/>
  <c r="FD83"/>
  <c r="FE83"/>
  <c r="EY84"/>
  <c r="FB84" s="1"/>
  <c r="EZ84"/>
  <c r="FA84"/>
  <c r="FC84"/>
  <c r="FD84"/>
  <c r="FE84"/>
  <c r="EY85"/>
  <c r="FB85" s="1"/>
  <c r="EZ85"/>
  <c r="FA85"/>
  <c r="FC85"/>
  <c r="FD85"/>
  <c r="FE85"/>
  <c r="EY86"/>
  <c r="FB86" s="1"/>
  <c r="EZ86"/>
  <c r="FA86"/>
  <c r="FC86"/>
  <c r="FD86"/>
  <c r="FE86"/>
  <c r="EY87"/>
  <c r="FB87" s="1"/>
  <c r="EZ87"/>
  <c r="FA87"/>
  <c r="FC87"/>
  <c r="FD87"/>
  <c r="FE87"/>
  <c r="EY88"/>
  <c r="FB88" s="1"/>
  <c r="EZ88"/>
  <c r="FA88"/>
  <c r="FC88"/>
  <c r="FD88"/>
  <c r="FE88"/>
  <c r="EY89"/>
  <c r="FB89" s="1"/>
  <c r="EZ89"/>
  <c r="FA89"/>
  <c r="FC89"/>
  <c r="FD89"/>
  <c r="FE89"/>
  <c r="EY90"/>
  <c r="FB90" s="1"/>
  <c r="EZ90"/>
  <c r="FA90"/>
  <c r="FC90"/>
  <c r="FD90"/>
  <c r="FE90"/>
  <c r="EY91"/>
  <c r="FB91" s="1"/>
  <c r="EZ91"/>
  <c r="FA91"/>
  <c r="FC91"/>
  <c r="FD91"/>
  <c r="FE91"/>
  <c r="EY92"/>
  <c r="FB92" s="1"/>
  <c r="EZ92"/>
  <c r="FA92"/>
  <c r="FC92"/>
  <c r="FD92"/>
  <c r="FE92"/>
  <c r="EY93"/>
  <c r="FB93" s="1"/>
  <c r="EZ93"/>
  <c r="FA93"/>
  <c r="FC93"/>
  <c r="FD93"/>
  <c r="FE93"/>
  <c r="EY94"/>
  <c r="EZ94"/>
  <c r="FA94"/>
  <c r="FE94" s="1"/>
  <c r="FC94"/>
  <c r="FD94"/>
  <c r="EY95"/>
  <c r="FB95" s="1"/>
  <c r="EZ95"/>
  <c r="FA95"/>
  <c r="FE95" s="1"/>
  <c r="FC95"/>
  <c r="FD95"/>
  <c r="EY96"/>
  <c r="EZ96"/>
  <c r="FA96"/>
  <c r="FE96" s="1"/>
  <c r="FC96"/>
  <c r="FD96"/>
  <c r="EY97"/>
  <c r="FB97" s="1"/>
  <c r="EZ97"/>
  <c r="FA97"/>
  <c r="FE97" s="1"/>
  <c r="FC97"/>
  <c r="FD97"/>
  <c r="EY98"/>
  <c r="EZ98"/>
  <c r="FA98"/>
  <c r="FE98" s="1"/>
  <c r="FC98"/>
  <c r="FD98"/>
  <c r="EY99"/>
  <c r="FB99" s="1"/>
  <c r="EZ99"/>
  <c r="FA99"/>
  <c r="FE99" s="1"/>
  <c r="FC99"/>
  <c r="FD99"/>
  <c r="EY100"/>
  <c r="EZ100"/>
  <c r="FA100"/>
  <c r="FC100"/>
  <c r="FD100"/>
  <c r="EY101"/>
  <c r="EZ101"/>
  <c r="FA101"/>
  <c r="FC101"/>
  <c r="FD101"/>
  <c r="EY102"/>
  <c r="FB102" s="1"/>
  <c r="EZ102"/>
  <c r="FA102"/>
  <c r="FC102"/>
  <c r="FD102"/>
  <c r="EY103"/>
  <c r="FB103" s="1"/>
  <c r="EZ103"/>
  <c r="FA103"/>
  <c r="FC103"/>
  <c r="FE103" s="1"/>
  <c r="FD103"/>
  <c r="EY104"/>
  <c r="EZ104"/>
  <c r="FA104"/>
  <c r="FC104"/>
  <c r="FD104"/>
  <c r="EY105"/>
  <c r="EZ105"/>
  <c r="FA105"/>
  <c r="FC105"/>
  <c r="FD105"/>
  <c r="EY106"/>
  <c r="EZ106"/>
  <c r="FA106"/>
  <c r="FC106"/>
  <c r="FD106"/>
  <c r="EY107"/>
  <c r="EZ107"/>
  <c r="FA107"/>
  <c r="FC107"/>
  <c r="FD107"/>
  <c r="EY108"/>
  <c r="EZ108"/>
  <c r="FA108"/>
  <c r="FC108"/>
  <c r="FD108"/>
  <c r="EY109"/>
  <c r="EZ109"/>
  <c r="FA109"/>
  <c r="FC109"/>
  <c r="FD109"/>
  <c r="EY110"/>
  <c r="EZ110"/>
  <c r="FA110"/>
  <c r="FC110"/>
  <c r="FD110"/>
  <c r="EY111"/>
  <c r="EZ111"/>
  <c r="FA111"/>
  <c r="FC111"/>
  <c r="FD111"/>
  <c r="EY112"/>
  <c r="EZ112"/>
  <c r="FA112"/>
  <c r="FC112"/>
  <c r="FD112"/>
  <c r="EY113"/>
  <c r="EZ113"/>
  <c r="FA113"/>
  <c r="FC113"/>
  <c r="FD113"/>
  <c r="EY114"/>
  <c r="EZ114"/>
  <c r="FA114"/>
  <c r="FC114"/>
  <c r="FD114"/>
  <c r="EY115"/>
  <c r="EZ115"/>
  <c r="FA115"/>
  <c r="FC115"/>
  <c r="FD115"/>
  <c r="EY116"/>
  <c r="EZ116"/>
  <c r="FA116"/>
  <c r="FC116"/>
  <c r="FD116"/>
  <c r="EY117"/>
  <c r="EZ117"/>
  <c r="FA117"/>
  <c r="FC117"/>
  <c r="FD117"/>
  <c r="EY118"/>
  <c r="EZ118"/>
  <c r="FA118"/>
  <c r="FC118"/>
  <c r="FD118"/>
  <c r="EY119"/>
  <c r="EZ119"/>
  <c r="FA119"/>
  <c r="FC119"/>
  <c r="FD119"/>
  <c r="EY120"/>
  <c r="EZ120"/>
  <c r="FA120"/>
  <c r="FC120"/>
  <c r="FD120"/>
  <c r="EY121"/>
  <c r="EZ121"/>
  <c r="FA121"/>
  <c r="FC121"/>
  <c r="FD121"/>
  <c r="EY122"/>
  <c r="EZ122"/>
  <c r="FA122"/>
  <c r="FC122"/>
  <c r="FD122"/>
  <c r="EY123"/>
  <c r="EZ123"/>
  <c r="FA123"/>
  <c r="FC123"/>
  <c r="FD123"/>
  <c r="EY124"/>
  <c r="EZ124"/>
  <c r="FA124"/>
  <c r="FC124"/>
  <c r="FD124"/>
  <c r="EY125"/>
  <c r="EZ125"/>
  <c r="FA125"/>
  <c r="FC125"/>
  <c r="FD125"/>
  <c r="EY126"/>
  <c r="EZ126"/>
  <c r="FA126"/>
  <c r="FC126"/>
  <c r="FD126"/>
  <c r="EY127"/>
  <c r="EZ127"/>
  <c r="FA127"/>
  <c r="FC127"/>
  <c r="FD127"/>
  <c r="EY128"/>
  <c r="FB128" s="1"/>
  <c r="EZ128"/>
  <c r="FA128"/>
  <c r="FC128"/>
  <c r="FD128"/>
  <c r="EY129"/>
  <c r="FB129" s="1"/>
  <c r="EZ129"/>
  <c r="FA129"/>
  <c r="FC129"/>
  <c r="FD129"/>
  <c r="EY130"/>
  <c r="EZ130"/>
  <c r="FA130"/>
  <c r="FC130"/>
  <c r="FD130"/>
  <c r="EY131"/>
  <c r="FB131" s="1"/>
  <c r="EZ131"/>
  <c r="FA131"/>
  <c r="FC131"/>
  <c r="FD131"/>
  <c r="EY132"/>
  <c r="EZ132"/>
  <c r="FA132"/>
  <c r="FC132"/>
  <c r="FD132"/>
  <c r="EY133"/>
  <c r="FB133" s="1"/>
  <c r="EZ133"/>
  <c r="FA133"/>
  <c r="FC133"/>
  <c r="FD133"/>
  <c r="EY134"/>
  <c r="EZ134"/>
  <c r="FA134"/>
  <c r="FC134"/>
  <c r="FD134"/>
  <c r="EY135"/>
  <c r="FB135" s="1"/>
  <c r="EZ135"/>
  <c r="FA135"/>
  <c r="FC135"/>
  <c r="FD135"/>
  <c r="EY136"/>
  <c r="EZ136"/>
  <c r="FA136"/>
  <c r="FC136"/>
  <c r="FD136"/>
  <c r="EY137"/>
  <c r="FB137" s="1"/>
  <c r="EZ137"/>
  <c r="FA137"/>
  <c r="FC137"/>
  <c r="FD137"/>
  <c r="EY138"/>
  <c r="EZ138"/>
  <c r="FA138"/>
  <c r="FC138"/>
  <c r="FD138"/>
  <c r="EY139"/>
  <c r="FB139" s="1"/>
  <c r="EZ139"/>
  <c r="FA139"/>
  <c r="FC139"/>
  <c r="FD139"/>
  <c r="EY140"/>
  <c r="EZ140"/>
  <c r="FA140"/>
  <c r="FC140"/>
  <c r="FD140"/>
  <c r="EY141"/>
  <c r="FB141" s="1"/>
  <c r="EZ141"/>
  <c r="FA141"/>
  <c r="FC141"/>
  <c r="FD141"/>
  <c r="EY142"/>
  <c r="EZ142"/>
  <c r="FA142"/>
  <c r="FC142"/>
  <c r="FD142"/>
  <c r="EY143"/>
  <c r="FB143" s="1"/>
  <c r="EZ143"/>
  <c r="FA143"/>
  <c r="FC143"/>
  <c r="FD143"/>
  <c r="EY144"/>
  <c r="EZ144"/>
  <c r="FA144"/>
  <c r="FC144"/>
  <c r="FD144"/>
  <c r="EY145"/>
  <c r="FB145" s="1"/>
  <c r="EZ145"/>
  <c r="FA145"/>
  <c r="FC145"/>
  <c r="FD145"/>
  <c r="EY146"/>
  <c r="EZ146"/>
  <c r="FA146"/>
  <c r="FC146"/>
  <c r="FD146"/>
  <c r="EY147"/>
  <c r="FB147" s="1"/>
  <c r="EZ147"/>
  <c r="FA147"/>
  <c r="FC147"/>
  <c r="FD147"/>
  <c r="EY148"/>
  <c r="EZ148"/>
  <c r="FA148"/>
  <c r="FC148"/>
  <c r="FD148"/>
  <c r="EY149"/>
  <c r="FB149" s="1"/>
  <c r="EZ149"/>
  <c r="FA149"/>
  <c r="FC149"/>
  <c r="FD149"/>
  <c r="EY150"/>
  <c r="EZ150"/>
  <c r="FB150" s="1"/>
  <c r="FA150"/>
  <c r="FC150"/>
  <c r="FD150"/>
  <c r="EY151"/>
  <c r="EZ151"/>
  <c r="FB151" s="1"/>
  <c r="FA151"/>
  <c r="FC151"/>
  <c r="FD151"/>
  <c r="EY152"/>
  <c r="FE152" s="1"/>
  <c r="EZ152"/>
  <c r="FB152" s="1"/>
  <c r="FA152"/>
  <c r="FC152"/>
  <c r="FD152"/>
  <c r="EY153"/>
  <c r="FE153" s="1"/>
  <c r="EZ153"/>
  <c r="FB153" s="1"/>
  <c r="FA153"/>
  <c r="FC153"/>
  <c r="FD153"/>
  <c r="EY154"/>
  <c r="FE154" s="1"/>
  <c r="EZ154"/>
  <c r="FB154" s="1"/>
  <c r="FA154"/>
  <c r="FC154"/>
  <c r="FD154"/>
  <c r="EY155"/>
  <c r="FE155" s="1"/>
  <c r="EZ155"/>
  <c r="FB155" s="1"/>
  <c r="FA155"/>
  <c r="FC155"/>
  <c r="FD155"/>
  <c r="EY156"/>
  <c r="FE156" s="1"/>
  <c r="EZ156"/>
  <c r="FB156" s="1"/>
  <c r="FA156"/>
  <c r="FC156"/>
  <c r="FD156"/>
  <c r="EY157"/>
  <c r="FE157" s="1"/>
  <c r="EZ157"/>
  <c r="FB157" s="1"/>
  <c r="FA157"/>
  <c r="FC157"/>
  <c r="FD157"/>
  <c r="EY158"/>
  <c r="FE158" s="1"/>
  <c r="EZ158"/>
  <c r="FB158" s="1"/>
  <c r="FA158"/>
  <c r="FC158"/>
  <c r="FD158"/>
  <c r="EY159"/>
  <c r="FE159" s="1"/>
  <c r="EZ159"/>
  <c r="FB159" s="1"/>
  <c r="FA159"/>
  <c r="FC159"/>
  <c r="FD159"/>
  <c r="EY160"/>
  <c r="FE160" s="1"/>
  <c r="EZ160"/>
  <c r="FB160" s="1"/>
  <c r="FA160"/>
  <c r="FC160"/>
  <c r="FD160"/>
  <c r="EY161"/>
  <c r="FE161" s="1"/>
  <c r="EZ161"/>
  <c r="FB161" s="1"/>
  <c r="FA161"/>
  <c r="FC161"/>
  <c r="FD161"/>
  <c r="EY162"/>
  <c r="FE162" s="1"/>
  <c r="EZ162"/>
  <c r="FB162" s="1"/>
  <c r="FA162"/>
  <c r="FC162"/>
  <c r="FD162"/>
  <c r="EY163"/>
  <c r="FE163" s="1"/>
  <c r="EZ163"/>
  <c r="FB163" s="1"/>
  <c r="FA163"/>
  <c r="FC163"/>
  <c r="FD163"/>
  <c r="EY164"/>
  <c r="FE164" s="1"/>
  <c r="EZ164"/>
  <c r="FB164" s="1"/>
  <c r="FA164"/>
  <c r="FC164"/>
  <c r="FD164"/>
  <c r="EY165"/>
  <c r="EZ165"/>
  <c r="FB165" s="1"/>
  <c r="FA165"/>
  <c r="FC165"/>
  <c r="FD165"/>
  <c r="EY166"/>
  <c r="FE166" s="1"/>
  <c r="EZ166"/>
  <c r="FB166" s="1"/>
  <c r="FA166"/>
  <c r="FC166"/>
  <c r="FD166"/>
  <c r="EY167"/>
  <c r="FE167" s="1"/>
  <c r="EZ167"/>
  <c r="FB167" s="1"/>
  <c r="FA167"/>
  <c r="FC167"/>
  <c r="FD167"/>
  <c r="EY168"/>
  <c r="FE168" s="1"/>
  <c r="EZ168"/>
  <c r="FB168" s="1"/>
  <c r="FA168"/>
  <c r="FC168"/>
  <c r="FD168"/>
  <c r="EY169"/>
  <c r="EZ169"/>
  <c r="FB169" s="1"/>
  <c r="FA169"/>
  <c r="FC169"/>
  <c r="FD169"/>
  <c r="EY170"/>
  <c r="FE170" s="1"/>
  <c r="EZ170"/>
  <c r="FB170" s="1"/>
  <c r="FA170"/>
  <c r="FC170"/>
  <c r="FD170"/>
  <c r="EY171"/>
  <c r="FE171" s="1"/>
  <c r="EZ171"/>
  <c r="FB171" s="1"/>
  <c r="FA171"/>
  <c r="FC171"/>
  <c r="FD171"/>
  <c r="EY172"/>
  <c r="FE172" s="1"/>
  <c r="EZ172"/>
  <c r="FB172" s="1"/>
  <c r="FA172"/>
  <c r="FC172"/>
  <c r="FD172"/>
  <c r="EY173"/>
  <c r="EZ173"/>
  <c r="FB173" s="1"/>
  <c r="FA173"/>
  <c r="FC173"/>
  <c r="FD173"/>
  <c r="EY174"/>
  <c r="FE174" s="1"/>
  <c r="EZ174"/>
  <c r="FB174" s="1"/>
  <c r="FA174"/>
  <c r="FC174"/>
  <c r="FD174"/>
  <c r="EY175"/>
  <c r="FE175" s="1"/>
  <c r="EZ175"/>
  <c r="FB175" s="1"/>
  <c r="FA175"/>
  <c r="FC175"/>
  <c r="FD175"/>
  <c r="EY176"/>
  <c r="FE176" s="1"/>
  <c r="EZ176"/>
  <c r="FB176" s="1"/>
  <c r="FA176"/>
  <c r="FC176"/>
  <c r="FD176"/>
  <c r="EY177"/>
  <c r="FE177" s="1"/>
  <c r="EZ177"/>
  <c r="FB177" s="1"/>
  <c r="FA177"/>
  <c r="FC177"/>
  <c r="FD177"/>
  <c r="EY178"/>
  <c r="EZ178"/>
  <c r="FB178" s="1"/>
  <c r="FA178"/>
  <c r="FC178"/>
  <c r="FD178"/>
  <c r="EY179"/>
  <c r="EZ179"/>
  <c r="FB179" s="1"/>
  <c r="FA179"/>
  <c r="FC179"/>
  <c r="FD179"/>
  <c r="EY180"/>
  <c r="EZ180"/>
  <c r="FB180" s="1"/>
  <c r="FA180"/>
  <c r="FC180"/>
  <c r="FD180"/>
  <c r="EY181"/>
  <c r="EZ181"/>
  <c r="FB181" s="1"/>
  <c r="FA181"/>
  <c r="FC181"/>
  <c r="FD181"/>
  <c r="EY182"/>
  <c r="FE182" s="1"/>
  <c r="EZ182"/>
  <c r="FB182" s="1"/>
  <c r="FA182"/>
  <c r="FC182"/>
  <c r="FD182"/>
  <c r="EY183"/>
  <c r="EZ183"/>
  <c r="FB183" s="1"/>
  <c r="FA183"/>
  <c r="FC183"/>
  <c r="FD183"/>
  <c r="EY184"/>
  <c r="EZ184"/>
  <c r="FB184" s="1"/>
  <c r="FA184"/>
  <c r="FC184"/>
  <c r="FD184"/>
  <c r="EY185"/>
  <c r="EZ185"/>
  <c r="FB185" s="1"/>
  <c r="FA185"/>
  <c r="FC185"/>
  <c r="FD185"/>
  <c r="EY186"/>
  <c r="EZ186"/>
  <c r="FB186" s="1"/>
  <c r="FA186"/>
  <c r="FC186"/>
  <c r="FD186"/>
  <c r="EY187"/>
  <c r="FE187" s="1"/>
  <c r="EZ187"/>
  <c r="FB187" s="1"/>
  <c r="FA187"/>
  <c r="FC187"/>
  <c r="FD187"/>
  <c r="EY188"/>
  <c r="EZ188"/>
  <c r="FB188" s="1"/>
  <c r="FA188"/>
  <c r="FC188"/>
  <c r="FD188"/>
  <c r="EY189"/>
  <c r="EZ189"/>
  <c r="FB189" s="1"/>
  <c r="FA189"/>
  <c r="FC189"/>
  <c r="FD189"/>
  <c r="EY190"/>
  <c r="EZ190"/>
  <c r="FB190" s="1"/>
  <c r="FA190"/>
  <c r="FC190"/>
  <c r="FD190"/>
  <c r="EY191"/>
  <c r="EZ191"/>
  <c r="FB191" s="1"/>
  <c r="FA191"/>
  <c r="FC191"/>
  <c r="FD191"/>
  <c r="EY192"/>
  <c r="EZ192"/>
  <c r="FB192" s="1"/>
  <c r="FA192"/>
  <c r="FC192"/>
  <c r="FD192"/>
  <c r="EY193"/>
  <c r="EZ193"/>
  <c r="FB193" s="1"/>
  <c r="FA193"/>
  <c r="FC193"/>
  <c r="FD193"/>
  <c r="EY194"/>
  <c r="FB194" s="1"/>
  <c r="EZ194"/>
  <c r="FE194" s="1"/>
  <c r="FA194"/>
  <c r="FC194"/>
  <c r="FD194"/>
  <c r="EY195"/>
  <c r="FB195" s="1"/>
  <c r="EZ195"/>
  <c r="FE195" s="1"/>
  <c r="FA195"/>
  <c r="FC195"/>
  <c r="FD195"/>
  <c r="EY196"/>
  <c r="FB196" s="1"/>
  <c r="EZ196"/>
  <c r="FE196" s="1"/>
  <c r="FA196"/>
  <c r="FC196"/>
  <c r="FD196"/>
  <c r="EY197"/>
  <c r="FB197" s="1"/>
  <c r="EZ197"/>
  <c r="FE197" s="1"/>
  <c r="FA197"/>
  <c r="FC197"/>
  <c r="FD197"/>
  <c r="EY198"/>
  <c r="FB198" s="1"/>
  <c r="EZ198"/>
  <c r="FE198" s="1"/>
  <c r="FA198"/>
  <c r="FC198"/>
  <c r="FD198"/>
  <c r="EY199"/>
  <c r="FB199" s="1"/>
  <c r="EZ199"/>
  <c r="FE199" s="1"/>
  <c r="FA199"/>
  <c r="FC199"/>
  <c r="FD199"/>
  <c r="EY200"/>
  <c r="FB200" s="1"/>
  <c r="EZ200"/>
  <c r="FA200"/>
  <c r="FC200"/>
  <c r="FD200"/>
  <c r="EY201"/>
  <c r="FB201" s="1"/>
  <c r="EZ201"/>
  <c r="FA201"/>
  <c r="FC201"/>
  <c r="FD201"/>
  <c r="EY202"/>
  <c r="FB202" s="1"/>
  <c r="EZ202"/>
  <c r="FA202"/>
  <c r="FC202"/>
  <c r="FD202"/>
  <c r="EY203"/>
  <c r="FB203" s="1"/>
  <c r="EZ203"/>
  <c r="FA203"/>
  <c r="FC203"/>
  <c r="FD203"/>
  <c r="EY204"/>
  <c r="FB204" s="1"/>
  <c r="EZ204"/>
  <c r="FA204"/>
  <c r="FC204"/>
  <c r="FD204"/>
  <c r="EY205"/>
  <c r="FB205" s="1"/>
  <c r="EZ205"/>
  <c r="FA205"/>
  <c r="FC205"/>
  <c r="FD205"/>
  <c r="EY206"/>
  <c r="FB206" s="1"/>
  <c r="EZ206"/>
  <c r="FA206"/>
  <c r="FC206"/>
  <c r="FD206"/>
  <c r="EY207"/>
  <c r="FB207" s="1"/>
  <c r="EZ207"/>
  <c r="FA207"/>
  <c r="FC207"/>
  <c r="FD207"/>
  <c r="EZ8"/>
  <c r="FA8"/>
  <c r="FA6"/>
  <c r="EZ6"/>
  <c r="FB5"/>
  <c r="FE4"/>
  <c r="DH5"/>
  <c r="EY8"/>
  <c r="EC9"/>
  <c r="ED9"/>
  <c r="EE9"/>
  <c r="EJ9" s="1"/>
  <c r="EC10"/>
  <c r="ED10"/>
  <c r="EE10"/>
  <c r="EJ10" s="1"/>
  <c r="EC11"/>
  <c r="ED11"/>
  <c r="EF11" s="1"/>
  <c r="EE11"/>
  <c r="EJ11" s="1"/>
  <c r="EC12"/>
  <c r="ED12"/>
  <c r="EE12"/>
  <c r="EJ12" s="1"/>
  <c r="EC13"/>
  <c r="ED13"/>
  <c r="EE13"/>
  <c r="EJ13" s="1"/>
  <c r="EC14"/>
  <c r="ED14"/>
  <c r="EE14"/>
  <c r="EJ14" s="1"/>
  <c r="EC15"/>
  <c r="ED15"/>
  <c r="EF15" s="1"/>
  <c r="EE15"/>
  <c r="EJ15" s="1"/>
  <c r="EC16"/>
  <c r="ED16"/>
  <c r="EE16"/>
  <c r="EJ16" s="1"/>
  <c r="EC17"/>
  <c r="ED17"/>
  <c r="EE17"/>
  <c r="EJ17" s="1"/>
  <c r="EC18"/>
  <c r="EF18" s="1"/>
  <c r="ED18"/>
  <c r="EE18"/>
  <c r="EJ18" s="1"/>
  <c r="EC19"/>
  <c r="ED19"/>
  <c r="EE19"/>
  <c r="EJ19" s="1"/>
  <c r="EC20"/>
  <c r="ED20"/>
  <c r="EE20"/>
  <c r="EJ20" s="1"/>
  <c r="EC21"/>
  <c r="ED21"/>
  <c r="EE21"/>
  <c r="EJ21" s="1"/>
  <c r="EC22"/>
  <c r="EF22" s="1"/>
  <c r="ED22"/>
  <c r="EE22"/>
  <c r="EJ22" s="1"/>
  <c r="EC23"/>
  <c r="ED23"/>
  <c r="EE23"/>
  <c r="EJ23" s="1"/>
  <c r="EC24"/>
  <c r="ED24"/>
  <c r="EE24"/>
  <c r="EJ24" s="1"/>
  <c r="EC25"/>
  <c r="ED25"/>
  <c r="EE25"/>
  <c r="EJ25" s="1"/>
  <c r="EC26"/>
  <c r="EF26" s="1"/>
  <c r="ED26"/>
  <c r="EE26"/>
  <c r="EJ26" s="1"/>
  <c r="EC27"/>
  <c r="ED27"/>
  <c r="EE27"/>
  <c r="EJ27" s="1"/>
  <c r="EC28"/>
  <c r="ED28"/>
  <c r="EE28"/>
  <c r="EJ28" s="1"/>
  <c r="EC29"/>
  <c r="ED29"/>
  <c r="EE29"/>
  <c r="EJ29" s="1"/>
  <c r="EC30"/>
  <c r="EF30" s="1"/>
  <c r="ED30"/>
  <c r="EE30"/>
  <c r="EJ30" s="1"/>
  <c r="EC31"/>
  <c r="ED31"/>
  <c r="EE31"/>
  <c r="EJ31" s="1"/>
  <c r="EC32"/>
  <c r="ED32"/>
  <c r="EE32"/>
  <c r="EJ32" s="1"/>
  <c r="EC33"/>
  <c r="ED33"/>
  <c r="EE33"/>
  <c r="EJ33" s="1"/>
  <c r="EC34"/>
  <c r="EF34" s="1"/>
  <c r="ED34"/>
  <c r="EE34"/>
  <c r="EJ34" s="1"/>
  <c r="EC35"/>
  <c r="ED35"/>
  <c r="EE35"/>
  <c r="EJ35" s="1"/>
  <c r="EC36"/>
  <c r="ED36"/>
  <c r="EE36"/>
  <c r="EJ36" s="1"/>
  <c r="EC37"/>
  <c r="ED37"/>
  <c r="EE37"/>
  <c r="EJ37" s="1"/>
  <c r="EC38"/>
  <c r="EF38" s="1"/>
  <c r="ED38"/>
  <c r="EE38"/>
  <c r="EJ38" s="1"/>
  <c r="EC39"/>
  <c r="ED39"/>
  <c r="EE39"/>
  <c r="EJ39" s="1"/>
  <c r="EC40"/>
  <c r="ED40"/>
  <c r="EE40"/>
  <c r="EJ40" s="1"/>
  <c r="EC41"/>
  <c r="ED41"/>
  <c r="EE41"/>
  <c r="EJ41" s="1"/>
  <c r="EC42"/>
  <c r="EF42" s="1"/>
  <c r="ED42"/>
  <c r="EE42"/>
  <c r="EJ42" s="1"/>
  <c r="EC43"/>
  <c r="ED43"/>
  <c r="EE43"/>
  <c r="EJ43" s="1"/>
  <c r="EC44"/>
  <c r="ED44"/>
  <c r="EE44"/>
  <c r="EJ44" s="1"/>
  <c r="EC45"/>
  <c r="ED45"/>
  <c r="EE45"/>
  <c r="EJ45" s="1"/>
  <c r="EC46"/>
  <c r="EF46" s="1"/>
  <c r="ED46"/>
  <c r="EE46"/>
  <c r="EJ46" s="1"/>
  <c r="EC47"/>
  <c r="ED47"/>
  <c r="EE47"/>
  <c r="EJ47" s="1"/>
  <c r="EC48"/>
  <c r="ED48"/>
  <c r="EE48"/>
  <c r="EJ48" s="1"/>
  <c r="EC49"/>
  <c r="ED49"/>
  <c r="EE49"/>
  <c r="EJ49" s="1"/>
  <c r="EC50"/>
  <c r="EF50" s="1"/>
  <c r="ED50"/>
  <c r="EE50"/>
  <c r="EJ50" s="1"/>
  <c r="EC51"/>
  <c r="ED51"/>
  <c r="EE51"/>
  <c r="EJ51" s="1"/>
  <c r="EC52"/>
  <c r="ED52"/>
  <c r="EE52"/>
  <c r="EJ52" s="1"/>
  <c r="EC53"/>
  <c r="ED53"/>
  <c r="EE53"/>
  <c r="EJ53" s="1"/>
  <c r="EC54"/>
  <c r="EF54" s="1"/>
  <c r="ED54"/>
  <c r="EE54"/>
  <c r="EJ54" s="1"/>
  <c r="EC55"/>
  <c r="ED55"/>
  <c r="EE55"/>
  <c r="EJ55" s="1"/>
  <c r="EC56"/>
  <c r="ED56"/>
  <c r="EE56"/>
  <c r="EJ56" s="1"/>
  <c r="EC57"/>
  <c r="ED57"/>
  <c r="EE57"/>
  <c r="EJ57" s="1"/>
  <c r="EC58"/>
  <c r="EF58" s="1"/>
  <c r="ED58"/>
  <c r="EE58"/>
  <c r="EJ58" s="1"/>
  <c r="EC59"/>
  <c r="ED59"/>
  <c r="EE59"/>
  <c r="EJ59" s="1"/>
  <c r="EC60"/>
  <c r="ED60"/>
  <c r="EE60"/>
  <c r="EJ60" s="1"/>
  <c r="EC61"/>
  <c r="ED61"/>
  <c r="EE61"/>
  <c r="EJ61" s="1"/>
  <c r="EC62"/>
  <c r="EF62" s="1"/>
  <c r="ED62"/>
  <c r="EE62"/>
  <c r="EJ62" s="1"/>
  <c r="EC63"/>
  <c r="ED63"/>
  <c r="EE63"/>
  <c r="EJ63" s="1"/>
  <c r="EC64"/>
  <c r="ED64"/>
  <c r="EE64"/>
  <c r="EJ64" s="1"/>
  <c r="EC65"/>
  <c r="ED65"/>
  <c r="EE65"/>
  <c r="EJ65" s="1"/>
  <c r="EC66"/>
  <c r="EF66" s="1"/>
  <c r="ED66"/>
  <c r="EE66"/>
  <c r="EJ66" s="1"/>
  <c r="EC67"/>
  <c r="ED67"/>
  <c r="EE67"/>
  <c r="EJ67" s="1"/>
  <c r="EC68"/>
  <c r="ED68"/>
  <c r="EE68"/>
  <c r="EJ68" s="1"/>
  <c r="EC69"/>
  <c r="ED69"/>
  <c r="EE69"/>
  <c r="EJ69" s="1"/>
  <c r="EC70"/>
  <c r="EF70" s="1"/>
  <c r="ED70"/>
  <c r="EE70"/>
  <c r="EJ70" s="1"/>
  <c r="EC71"/>
  <c r="ED71"/>
  <c r="EE71"/>
  <c r="EJ71" s="1"/>
  <c r="EC72"/>
  <c r="ED72"/>
  <c r="EE72"/>
  <c r="EJ72" s="1"/>
  <c r="EC73"/>
  <c r="ED73"/>
  <c r="EE73"/>
  <c r="EJ73" s="1"/>
  <c r="EC74"/>
  <c r="EF74" s="1"/>
  <c r="ED74"/>
  <c r="EE74"/>
  <c r="EJ74" s="1"/>
  <c r="EC75"/>
  <c r="ED75"/>
  <c r="EE75"/>
  <c r="EJ75" s="1"/>
  <c r="EC76"/>
  <c r="ED76"/>
  <c r="EE76"/>
  <c r="EJ76" s="1"/>
  <c r="EC77"/>
  <c r="ED77"/>
  <c r="EE77"/>
  <c r="EJ77" s="1"/>
  <c r="EC78"/>
  <c r="EF78" s="1"/>
  <c r="ED78"/>
  <c r="EE78"/>
  <c r="EJ78" s="1"/>
  <c r="EC79"/>
  <c r="ED79"/>
  <c r="EE79"/>
  <c r="EJ79" s="1"/>
  <c r="EC80"/>
  <c r="ED80"/>
  <c r="EE80"/>
  <c r="EJ80" s="1"/>
  <c r="EC81"/>
  <c r="ED81"/>
  <c r="EE81"/>
  <c r="EJ81" s="1"/>
  <c r="EC82"/>
  <c r="EF82" s="1"/>
  <c r="ED82"/>
  <c r="EE82"/>
  <c r="EJ82" s="1"/>
  <c r="EC83"/>
  <c r="ED83"/>
  <c r="EE83"/>
  <c r="EJ83" s="1"/>
  <c r="EC84"/>
  <c r="ED84"/>
  <c r="EE84"/>
  <c r="EJ84" s="1"/>
  <c r="EC85"/>
  <c r="ED85"/>
  <c r="EE85"/>
  <c r="EJ85" s="1"/>
  <c r="EC86"/>
  <c r="EF86" s="1"/>
  <c r="ED86"/>
  <c r="EE86"/>
  <c r="EJ86" s="1"/>
  <c r="EC87"/>
  <c r="ED87"/>
  <c r="EE87"/>
  <c r="EJ87" s="1"/>
  <c r="EC88"/>
  <c r="ED88"/>
  <c r="EE88"/>
  <c r="EJ88" s="1"/>
  <c r="EC89"/>
  <c r="ED89"/>
  <c r="EE89"/>
  <c r="EJ89" s="1"/>
  <c r="EC90"/>
  <c r="EF90" s="1"/>
  <c r="ED90"/>
  <c r="EE90"/>
  <c r="EJ90" s="1"/>
  <c r="EC91"/>
  <c r="ED91"/>
  <c r="EE91"/>
  <c r="EJ91" s="1"/>
  <c r="EC92"/>
  <c r="ED92"/>
  <c r="EE92"/>
  <c r="EJ92" s="1"/>
  <c r="EC93"/>
  <c r="ED93"/>
  <c r="EE93"/>
  <c r="EJ93" s="1"/>
  <c r="EC94"/>
  <c r="EF94" s="1"/>
  <c r="ED94"/>
  <c r="EE94"/>
  <c r="EJ94" s="1"/>
  <c r="EC95"/>
  <c r="ED95"/>
  <c r="EE95"/>
  <c r="EJ95" s="1"/>
  <c r="EC96"/>
  <c r="ED96"/>
  <c r="EE96"/>
  <c r="EJ96" s="1"/>
  <c r="EC97"/>
  <c r="ED97"/>
  <c r="EE97"/>
  <c r="EJ97" s="1"/>
  <c r="EC98"/>
  <c r="EF98" s="1"/>
  <c r="ED98"/>
  <c r="EE98"/>
  <c r="EJ98" s="1"/>
  <c r="EC99"/>
  <c r="ED99"/>
  <c r="EE99"/>
  <c r="EJ99" s="1"/>
  <c r="EC100"/>
  <c r="ED100"/>
  <c r="EE100"/>
  <c r="EJ100" s="1"/>
  <c r="EC101"/>
  <c r="ED101"/>
  <c r="EE101"/>
  <c r="EJ101" s="1"/>
  <c r="EC102"/>
  <c r="EF102" s="1"/>
  <c r="ED102"/>
  <c r="EE102"/>
  <c r="EJ102" s="1"/>
  <c r="EC103"/>
  <c r="ED103"/>
  <c r="EE103"/>
  <c r="EJ103" s="1"/>
  <c r="EC104"/>
  <c r="ED104"/>
  <c r="EE104"/>
  <c r="EJ104" s="1"/>
  <c r="EC105"/>
  <c r="ED105"/>
  <c r="EE105"/>
  <c r="EJ105" s="1"/>
  <c r="EC106"/>
  <c r="EF106" s="1"/>
  <c r="ED106"/>
  <c r="EE106"/>
  <c r="EJ106" s="1"/>
  <c r="EC107"/>
  <c r="ED107"/>
  <c r="EE107"/>
  <c r="EJ107" s="1"/>
  <c r="EC108"/>
  <c r="ED108"/>
  <c r="EE108"/>
  <c r="EJ108" s="1"/>
  <c r="EC109"/>
  <c r="ED109"/>
  <c r="EE109"/>
  <c r="EJ109" s="1"/>
  <c r="EC110"/>
  <c r="EF110" s="1"/>
  <c r="ED110"/>
  <c r="EE110"/>
  <c r="EJ110" s="1"/>
  <c r="EC111"/>
  <c r="ED111"/>
  <c r="EE111"/>
  <c r="EJ111" s="1"/>
  <c r="EC112"/>
  <c r="ED112"/>
  <c r="EE112"/>
  <c r="EJ112" s="1"/>
  <c r="EC113"/>
  <c r="ED113"/>
  <c r="EE113"/>
  <c r="EJ113" s="1"/>
  <c r="EC114"/>
  <c r="EF114" s="1"/>
  <c r="ED114"/>
  <c r="EE114"/>
  <c r="EJ114" s="1"/>
  <c r="EC115"/>
  <c r="ED115"/>
  <c r="EE115"/>
  <c r="EJ115" s="1"/>
  <c r="EC116"/>
  <c r="ED116"/>
  <c r="EE116"/>
  <c r="EJ116" s="1"/>
  <c r="EC117"/>
  <c r="ED117"/>
  <c r="EE117"/>
  <c r="EJ117" s="1"/>
  <c r="EC118"/>
  <c r="EF118" s="1"/>
  <c r="ED118"/>
  <c r="EE118"/>
  <c r="EJ118" s="1"/>
  <c r="EC119"/>
  <c r="ED119"/>
  <c r="EE119"/>
  <c r="EJ119" s="1"/>
  <c r="EC120"/>
  <c r="ED120"/>
  <c r="EE120"/>
  <c r="EJ120" s="1"/>
  <c r="EC121"/>
  <c r="ED121"/>
  <c r="EE121"/>
  <c r="EJ121" s="1"/>
  <c r="EC122"/>
  <c r="EF122" s="1"/>
  <c r="ED122"/>
  <c r="EE122"/>
  <c r="EJ122" s="1"/>
  <c r="EC123"/>
  <c r="ED123"/>
  <c r="EE123"/>
  <c r="EJ123" s="1"/>
  <c r="EC124"/>
  <c r="ED124"/>
  <c r="EE124"/>
  <c r="EJ124" s="1"/>
  <c r="EC125"/>
  <c r="ED125"/>
  <c r="EE125"/>
  <c r="EJ125" s="1"/>
  <c r="EC126"/>
  <c r="EF126" s="1"/>
  <c r="ED126"/>
  <c r="EE126"/>
  <c r="EJ126" s="1"/>
  <c r="EC127"/>
  <c r="ED127"/>
  <c r="EE127"/>
  <c r="EJ127" s="1"/>
  <c r="EC128"/>
  <c r="ED128"/>
  <c r="EE128"/>
  <c r="EJ128" s="1"/>
  <c r="EC129"/>
  <c r="ED129"/>
  <c r="EE129"/>
  <c r="EJ129" s="1"/>
  <c r="EC130"/>
  <c r="EF130" s="1"/>
  <c r="ED130"/>
  <c r="EE130"/>
  <c r="EJ130" s="1"/>
  <c r="EC131"/>
  <c r="ED131"/>
  <c r="EE131"/>
  <c r="EJ131" s="1"/>
  <c r="EC132"/>
  <c r="ED132"/>
  <c r="EE132"/>
  <c r="EJ132" s="1"/>
  <c r="EC133"/>
  <c r="ED133"/>
  <c r="EE133"/>
  <c r="EJ133" s="1"/>
  <c r="EC134"/>
  <c r="EF134" s="1"/>
  <c r="ED134"/>
  <c r="EE134"/>
  <c r="EJ134" s="1"/>
  <c r="EC135"/>
  <c r="ED135"/>
  <c r="EE135"/>
  <c r="EJ135" s="1"/>
  <c r="EC136"/>
  <c r="ED136"/>
  <c r="EE136"/>
  <c r="EJ136" s="1"/>
  <c r="EC137"/>
  <c r="ED137"/>
  <c r="EE137"/>
  <c r="EJ137" s="1"/>
  <c r="EC138"/>
  <c r="EF138" s="1"/>
  <c r="ED138"/>
  <c r="EE138"/>
  <c r="EJ138" s="1"/>
  <c r="EC139"/>
  <c r="ED139"/>
  <c r="EE139"/>
  <c r="EJ139" s="1"/>
  <c r="EC140"/>
  <c r="ED140"/>
  <c r="EE140"/>
  <c r="EJ140" s="1"/>
  <c r="EC141"/>
  <c r="ED141"/>
  <c r="EE141"/>
  <c r="EJ141" s="1"/>
  <c r="EC142"/>
  <c r="EF142" s="1"/>
  <c r="ED142"/>
  <c r="EE142"/>
  <c r="EJ142" s="1"/>
  <c r="EC143"/>
  <c r="ED143"/>
  <c r="EE143"/>
  <c r="EJ143" s="1"/>
  <c r="EC144"/>
  <c r="ED144"/>
  <c r="EE144"/>
  <c r="EJ144" s="1"/>
  <c r="EC145"/>
  <c r="ED145"/>
  <c r="EE145"/>
  <c r="EJ145" s="1"/>
  <c r="EC146"/>
  <c r="EF146" s="1"/>
  <c r="ED146"/>
  <c r="EE146"/>
  <c r="EJ146" s="1"/>
  <c r="EC147"/>
  <c r="ED147"/>
  <c r="EE147"/>
  <c r="EJ147" s="1"/>
  <c r="EC148"/>
  <c r="ED148"/>
  <c r="EE148"/>
  <c r="EJ148" s="1"/>
  <c r="EC149"/>
  <c r="ED149"/>
  <c r="EE149"/>
  <c r="EJ149" s="1"/>
  <c r="EC150"/>
  <c r="EF150" s="1"/>
  <c r="ED150"/>
  <c r="EE150"/>
  <c r="EJ150" s="1"/>
  <c r="EC151"/>
  <c r="ED151"/>
  <c r="EE151"/>
  <c r="EJ151" s="1"/>
  <c r="EC152"/>
  <c r="ED152"/>
  <c r="EE152"/>
  <c r="EJ152" s="1"/>
  <c r="EC153"/>
  <c r="ED153"/>
  <c r="EE153"/>
  <c r="EJ153" s="1"/>
  <c r="EC154"/>
  <c r="EF154" s="1"/>
  <c r="ED154"/>
  <c r="EE154"/>
  <c r="EJ154" s="1"/>
  <c r="EC155"/>
  <c r="ED155"/>
  <c r="EE155"/>
  <c r="EJ155" s="1"/>
  <c r="EC156"/>
  <c r="ED156"/>
  <c r="EE156"/>
  <c r="EJ156" s="1"/>
  <c r="EC157"/>
  <c r="ED157"/>
  <c r="EE157"/>
  <c r="EJ157" s="1"/>
  <c r="EC158"/>
  <c r="EF158" s="1"/>
  <c r="ED158"/>
  <c r="EE158"/>
  <c r="EJ158" s="1"/>
  <c r="EC159"/>
  <c r="ED159"/>
  <c r="EE159"/>
  <c r="EJ159" s="1"/>
  <c r="EC160"/>
  <c r="ED160"/>
  <c r="EE160"/>
  <c r="EJ160" s="1"/>
  <c r="EC161"/>
  <c r="ED161"/>
  <c r="EE161"/>
  <c r="EJ161" s="1"/>
  <c r="EC162"/>
  <c r="EF162" s="1"/>
  <c r="ED162"/>
  <c r="EE162"/>
  <c r="EJ162" s="1"/>
  <c r="EC163"/>
  <c r="ED163"/>
  <c r="EE163"/>
  <c r="EJ163" s="1"/>
  <c r="EC164"/>
  <c r="ED164"/>
  <c r="EE164"/>
  <c r="EJ164" s="1"/>
  <c r="EC165"/>
  <c r="ED165"/>
  <c r="EE165"/>
  <c r="EJ165" s="1"/>
  <c r="EC166"/>
  <c r="EF166" s="1"/>
  <c r="ED166"/>
  <c r="EE166"/>
  <c r="EJ166" s="1"/>
  <c r="EC167"/>
  <c r="ED167"/>
  <c r="EE167"/>
  <c r="EJ167" s="1"/>
  <c r="EC168"/>
  <c r="ED168"/>
  <c r="EE168"/>
  <c r="EJ168" s="1"/>
  <c r="EC169"/>
  <c r="ED169"/>
  <c r="EE169"/>
  <c r="EJ169" s="1"/>
  <c r="EC170"/>
  <c r="EF170" s="1"/>
  <c r="ED170"/>
  <c r="EE170"/>
  <c r="EJ170" s="1"/>
  <c r="EC171"/>
  <c r="ED171"/>
  <c r="EE171"/>
  <c r="EJ171" s="1"/>
  <c r="EC172"/>
  <c r="ED172"/>
  <c r="EE172"/>
  <c r="EJ172" s="1"/>
  <c r="EC173"/>
  <c r="ED173"/>
  <c r="EE173"/>
  <c r="EJ173" s="1"/>
  <c r="EC174"/>
  <c r="EF174" s="1"/>
  <c r="ED174"/>
  <c r="EE174"/>
  <c r="EJ174" s="1"/>
  <c r="EC175"/>
  <c r="ED175"/>
  <c r="EE175"/>
  <c r="EJ175" s="1"/>
  <c r="EC176"/>
  <c r="ED176"/>
  <c r="EE176"/>
  <c r="EJ176" s="1"/>
  <c r="EC177"/>
  <c r="ED177"/>
  <c r="EE177"/>
  <c r="EJ177" s="1"/>
  <c r="EC178"/>
  <c r="EF178" s="1"/>
  <c r="ED178"/>
  <c r="EE178"/>
  <c r="EJ178" s="1"/>
  <c r="EC179"/>
  <c r="ED179"/>
  <c r="EE179"/>
  <c r="EJ179" s="1"/>
  <c r="EC180"/>
  <c r="ED180"/>
  <c r="EE180"/>
  <c r="EJ180" s="1"/>
  <c r="EC181"/>
  <c r="ED181"/>
  <c r="EE181"/>
  <c r="EJ181" s="1"/>
  <c r="EC182"/>
  <c r="EF182" s="1"/>
  <c r="ED182"/>
  <c r="EE182"/>
  <c r="EJ182" s="1"/>
  <c r="EC183"/>
  <c r="ED183"/>
  <c r="EE183"/>
  <c r="EJ183" s="1"/>
  <c r="EC184"/>
  <c r="ED184"/>
  <c r="EE184"/>
  <c r="EJ184" s="1"/>
  <c r="EC185"/>
  <c r="ED185"/>
  <c r="EE185"/>
  <c r="EJ185" s="1"/>
  <c r="EC186"/>
  <c r="EF186" s="1"/>
  <c r="ED186"/>
  <c r="EE186"/>
  <c r="EJ186" s="1"/>
  <c r="EC187"/>
  <c r="ED187"/>
  <c r="EE187"/>
  <c r="EJ187" s="1"/>
  <c r="EC188"/>
  <c r="ED188"/>
  <c r="EE188"/>
  <c r="EJ188" s="1"/>
  <c r="EC189"/>
  <c r="ED189"/>
  <c r="EE189"/>
  <c r="EJ189" s="1"/>
  <c r="EC190"/>
  <c r="EF190" s="1"/>
  <c r="ED190"/>
  <c r="EE190"/>
  <c r="EJ190" s="1"/>
  <c r="EC191"/>
  <c r="ED191"/>
  <c r="EE191"/>
  <c r="EJ191" s="1"/>
  <c r="EC192"/>
  <c r="ED192"/>
  <c r="EE192"/>
  <c r="EJ192" s="1"/>
  <c r="EC193"/>
  <c r="ED193"/>
  <c r="EE193"/>
  <c r="EJ193" s="1"/>
  <c r="EC194"/>
  <c r="EF194" s="1"/>
  <c r="ED194"/>
  <c r="EE194"/>
  <c r="EJ194" s="1"/>
  <c r="EC195"/>
  <c r="ED195"/>
  <c r="EE195"/>
  <c r="EJ195" s="1"/>
  <c r="EC196"/>
  <c r="ED196"/>
  <c r="EE196"/>
  <c r="EJ196" s="1"/>
  <c r="EC197"/>
  <c r="ED197"/>
  <c r="EE197"/>
  <c r="EJ197" s="1"/>
  <c r="EC198"/>
  <c r="EF198" s="1"/>
  <c r="ED198"/>
  <c r="EE198"/>
  <c r="EJ198" s="1"/>
  <c r="EC199"/>
  <c r="ED199"/>
  <c r="EE199"/>
  <c r="EJ199" s="1"/>
  <c r="EC200"/>
  <c r="ED200"/>
  <c r="EE200"/>
  <c r="EJ200" s="1"/>
  <c r="EC201"/>
  <c r="ED201"/>
  <c r="EE201"/>
  <c r="EJ201" s="1"/>
  <c r="EC202"/>
  <c r="EF202" s="1"/>
  <c r="ED202"/>
  <c r="EE202"/>
  <c r="EJ202" s="1"/>
  <c r="EC203"/>
  <c r="ED203"/>
  <c r="EE203"/>
  <c r="EJ203" s="1"/>
  <c r="EC204"/>
  <c r="ED204"/>
  <c r="EE204"/>
  <c r="EJ204" s="1"/>
  <c r="EC205"/>
  <c r="ED205"/>
  <c r="EE205"/>
  <c r="EJ205" s="1"/>
  <c r="EC206"/>
  <c r="EF206" s="1"/>
  <c r="ED206"/>
  <c r="EE206"/>
  <c r="EJ206" s="1"/>
  <c r="EC207"/>
  <c r="ED207"/>
  <c r="EE207"/>
  <c r="EJ207" s="1"/>
  <c r="ED8"/>
  <c r="EE8"/>
  <c r="EJ8" s="1"/>
  <c r="EF5"/>
  <c r="DT4"/>
  <c r="DP5"/>
  <c r="EE6"/>
  <c r="DR8"/>
  <c r="DR4"/>
  <c r="DS4"/>
  <c r="DQ4"/>
  <c r="DL4"/>
  <c r="DK5"/>
  <c r="CU7"/>
  <c r="CF207"/>
  <c r="CG207"/>
  <c r="CH207"/>
  <c r="CI207"/>
  <c r="CK207"/>
  <c r="CL207"/>
  <c r="CO207"/>
  <c r="CP207"/>
  <c r="CF9"/>
  <c r="CG9"/>
  <c r="CH9"/>
  <c r="CI9"/>
  <c r="CK9"/>
  <c r="CL9"/>
  <c r="CO9"/>
  <c r="CP9"/>
  <c r="CF10"/>
  <c r="CG10"/>
  <c r="CH10"/>
  <c r="CI10"/>
  <c r="CK10"/>
  <c r="CL10"/>
  <c r="CO10"/>
  <c r="CP10"/>
  <c r="CF11"/>
  <c r="CG11"/>
  <c r="CH11"/>
  <c r="CI11"/>
  <c r="CK11"/>
  <c r="W47" i="19" s="1"/>
  <c r="CL11" i="9"/>
  <c r="CO11"/>
  <c r="CP11"/>
  <c r="CF12"/>
  <c r="AU75" i="19" s="1"/>
  <c r="CG12" i="9"/>
  <c r="C76" i="19" s="1"/>
  <c r="CH12" i="9"/>
  <c r="D76" i="19" s="1"/>
  <c r="CI12" i="9"/>
  <c r="E76" i="19" s="1"/>
  <c r="CK12" i="9"/>
  <c r="G76" i="19" s="1"/>
  <c r="CL12" i="9"/>
  <c r="H76" i="19" s="1"/>
  <c r="CO12" i="9"/>
  <c r="K76" i="19" s="1"/>
  <c r="CP12" i="9"/>
  <c r="L76" i="19" s="1"/>
  <c r="CF13" i="9"/>
  <c r="CG13"/>
  <c r="S76" i="19" s="1"/>
  <c r="CH13" i="9"/>
  <c r="T76" i="19" s="1"/>
  <c r="CI13" i="9"/>
  <c r="U76" i="19" s="1"/>
  <c r="CK13" i="9"/>
  <c r="W76" i="19" s="1"/>
  <c r="CL13" i="9"/>
  <c r="X76" i="19" s="1"/>
  <c r="CO13" i="9"/>
  <c r="AA76" i="19" s="1"/>
  <c r="CP13" i="9"/>
  <c r="AB76" i="19" s="1"/>
  <c r="CF14" i="9"/>
  <c r="CG14"/>
  <c r="CH14"/>
  <c r="CI14"/>
  <c r="CK14"/>
  <c r="CL14"/>
  <c r="CO14"/>
  <c r="CP14"/>
  <c r="CF15"/>
  <c r="CG15"/>
  <c r="CH15"/>
  <c r="CI15"/>
  <c r="CK15"/>
  <c r="CL15"/>
  <c r="CO15"/>
  <c r="CP15"/>
  <c r="CF16"/>
  <c r="CG16"/>
  <c r="CH16"/>
  <c r="CI16"/>
  <c r="CK16"/>
  <c r="CL16"/>
  <c r="CO16"/>
  <c r="CP16"/>
  <c r="CF17"/>
  <c r="CG17"/>
  <c r="CH17"/>
  <c r="CI17"/>
  <c r="CK17"/>
  <c r="CL17"/>
  <c r="CO17"/>
  <c r="CP17"/>
  <c r="CF18"/>
  <c r="CG18"/>
  <c r="CH18"/>
  <c r="CI18"/>
  <c r="CK18"/>
  <c r="CL18"/>
  <c r="CO18"/>
  <c r="CP18"/>
  <c r="CF19"/>
  <c r="CG19"/>
  <c r="CH19"/>
  <c r="CI19"/>
  <c r="CK19"/>
  <c r="CL19"/>
  <c r="CO19"/>
  <c r="CP19"/>
  <c r="CF20"/>
  <c r="CG20"/>
  <c r="CH20"/>
  <c r="CI20"/>
  <c r="CK20"/>
  <c r="CL20"/>
  <c r="CO20"/>
  <c r="CP20"/>
  <c r="CF21"/>
  <c r="CG21"/>
  <c r="CH21"/>
  <c r="CI21"/>
  <c r="CK21"/>
  <c r="CL21"/>
  <c r="CO21"/>
  <c r="CP21"/>
  <c r="CF22"/>
  <c r="CG22"/>
  <c r="CH22"/>
  <c r="CI22"/>
  <c r="CK22"/>
  <c r="CL22"/>
  <c r="CO22"/>
  <c r="CP22"/>
  <c r="CF23"/>
  <c r="CG23"/>
  <c r="CH23"/>
  <c r="CI23"/>
  <c r="CK23"/>
  <c r="CL23"/>
  <c r="CO23"/>
  <c r="CP23"/>
  <c r="CF24"/>
  <c r="CG24"/>
  <c r="CH24"/>
  <c r="CI24"/>
  <c r="CK24"/>
  <c r="CL24"/>
  <c r="CO24"/>
  <c r="CP24"/>
  <c r="CF25"/>
  <c r="CG25"/>
  <c r="CH25"/>
  <c r="CI25"/>
  <c r="CK25"/>
  <c r="CL25"/>
  <c r="CO25"/>
  <c r="CP25"/>
  <c r="CF26"/>
  <c r="CG26"/>
  <c r="CH26"/>
  <c r="CI26"/>
  <c r="CK26"/>
  <c r="CL26"/>
  <c r="CO26"/>
  <c r="CP26"/>
  <c r="CF27"/>
  <c r="CG27"/>
  <c r="CH27"/>
  <c r="CI27"/>
  <c r="CK27"/>
  <c r="CL27"/>
  <c r="CO27"/>
  <c r="CP27"/>
  <c r="CF28"/>
  <c r="CG28"/>
  <c r="CH28"/>
  <c r="CI28"/>
  <c r="CK28"/>
  <c r="CL28"/>
  <c r="CO28"/>
  <c r="CP28"/>
  <c r="CF29"/>
  <c r="CG29"/>
  <c r="CH29"/>
  <c r="CI29"/>
  <c r="CK29"/>
  <c r="CL29"/>
  <c r="CO29"/>
  <c r="CP29"/>
  <c r="CF30"/>
  <c r="CG30"/>
  <c r="CH30"/>
  <c r="CI30"/>
  <c r="CK30"/>
  <c r="CL30"/>
  <c r="CO30"/>
  <c r="CP30"/>
  <c r="CF31"/>
  <c r="CG31"/>
  <c r="CH31"/>
  <c r="CI31"/>
  <c r="CK31"/>
  <c r="CL31"/>
  <c r="CO31"/>
  <c r="CP31"/>
  <c r="CF32"/>
  <c r="CG32"/>
  <c r="CH32"/>
  <c r="CI32"/>
  <c r="CK32"/>
  <c r="CL32"/>
  <c r="CO32"/>
  <c r="CP32"/>
  <c r="CF33"/>
  <c r="CG33"/>
  <c r="CH33"/>
  <c r="CI33"/>
  <c r="CK33"/>
  <c r="CL33"/>
  <c r="CO33"/>
  <c r="CP33"/>
  <c r="CF34"/>
  <c r="CG34"/>
  <c r="CH34"/>
  <c r="CI34"/>
  <c r="CK34"/>
  <c r="CL34"/>
  <c r="CO34"/>
  <c r="CP34"/>
  <c r="CF35"/>
  <c r="CG35"/>
  <c r="CH35"/>
  <c r="CI35"/>
  <c r="CK35"/>
  <c r="CL35"/>
  <c r="CO35"/>
  <c r="CP35"/>
  <c r="CF36"/>
  <c r="CG36"/>
  <c r="CH36"/>
  <c r="CI36"/>
  <c r="CK36"/>
  <c r="CL36"/>
  <c r="CO36"/>
  <c r="CP36"/>
  <c r="CF37"/>
  <c r="CG37"/>
  <c r="CH37"/>
  <c r="CI37"/>
  <c r="CK37"/>
  <c r="CL37"/>
  <c r="CO37"/>
  <c r="CP37"/>
  <c r="CF38"/>
  <c r="CG38"/>
  <c r="CH38"/>
  <c r="CI38"/>
  <c r="CK38"/>
  <c r="CL38"/>
  <c r="CO38"/>
  <c r="CP38"/>
  <c r="CF39"/>
  <c r="CG39"/>
  <c r="CH39"/>
  <c r="CI39"/>
  <c r="CK39"/>
  <c r="CL39"/>
  <c r="CO39"/>
  <c r="CP39"/>
  <c r="CF40"/>
  <c r="CG40"/>
  <c r="CH40"/>
  <c r="CI40"/>
  <c r="CK40"/>
  <c r="CL40"/>
  <c r="CO40"/>
  <c r="CP40"/>
  <c r="CF41"/>
  <c r="CG41"/>
  <c r="CH41"/>
  <c r="CI41"/>
  <c r="CK41"/>
  <c r="CL41"/>
  <c r="CO41"/>
  <c r="CP41"/>
  <c r="CF42"/>
  <c r="CG42"/>
  <c r="CH42"/>
  <c r="CI42"/>
  <c r="CK42"/>
  <c r="CL42"/>
  <c r="CO42"/>
  <c r="CP42"/>
  <c r="CF43"/>
  <c r="CG43"/>
  <c r="CH43"/>
  <c r="CI43"/>
  <c r="CK43"/>
  <c r="CL43"/>
  <c r="CO43"/>
  <c r="CP43"/>
  <c r="CF44"/>
  <c r="CG44"/>
  <c r="CH44"/>
  <c r="CI44"/>
  <c r="CK44"/>
  <c r="CL44"/>
  <c r="CO44"/>
  <c r="CP44"/>
  <c r="CF45"/>
  <c r="CG45"/>
  <c r="CH45"/>
  <c r="CI45"/>
  <c r="CK45"/>
  <c r="CL45"/>
  <c r="CO45"/>
  <c r="CP45"/>
  <c r="CF46"/>
  <c r="CG46"/>
  <c r="CH46"/>
  <c r="CI46"/>
  <c r="CK46"/>
  <c r="CL46"/>
  <c r="CO46"/>
  <c r="CP46"/>
  <c r="CF47"/>
  <c r="CG47"/>
  <c r="CH47"/>
  <c r="CI47"/>
  <c r="CK47"/>
  <c r="CL47"/>
  <c r="CO47"/>
  <c r="CP47"/>
  <c r="CF48"/>
  <c r="CG48"/>
  <c r="CH48"/>
  <c r="CI48"/>
  <c r="CK48"/>
  <c r="CL48"/>
  <c r="CO48"/>
  <c r="CP48"/>
  <c r="CF49"/>
  <c r="CG49"/>
  <c r="CH49"/>
  <c r="CI49"/>
  <c r="CK49"/>
  <c r="CL49"/>
  <c r="CO49"/>
  <c r="CP49"/>
  <c r="CF50"/>
  <c r="CG50"/>
  <c r="CH50"/>
  <c r="CI50"/>
  <c r="CK50"/>
  <c r="CL50"/>
  <c r="CO50"/>
  <c r="CP50"/>
  <c r="CF51"/>
  <c r="CG51"/>
  <c r="CH51"/>
  <c r="CI51"/>
  <c r="CK51"/>
  <c r="CL51"/>
  <c r="CO51"/>
  <c r="CP51"/>
  <c r="CF52"/>
  <c r="CG52"/>
  <c r="CH52"/>
  <c r="CI52"/>
  <c r="CK52"/>
  <c r="CL52"/>
  <c r="CO52"/>
  <c r="CP52"/>
  <c r="CF53"/>
  <c r="CG53"/>
  <c r="CH53"/>
  <c r="CI53"/>
  <c r="CK53"/>
  <c r="CL53"/>
  <c r="CO53"/>
  <c r="CP53"/>
  <c r="CF54"/>
  <c r="CG54"/>
  <c r="CH54"/>
  <c r="CI54"/>
  <c r="CK54"/>
  <c r="CL54"/>
  <c r="CO54"/>
  <c r="CP54"/>
  <c r="CF55"/>
  <c r="CG55"/>
  <c r="CH55"/>
  <c r="CI55"/>
  <c r="CK55"/>
  <c r="CL55"/>
  <c r="CO55"/>
  <c r="CP55"/>
  <c r="CF56"/>
  <c r="CG56"/>
  <c r="CH56"/>
  <c r="CI56"/>
  <c r="CK56"/>
  <c r="CL56"/>
  <c r="CO56"/>
  <c r="CP56"/>
  <c r="CF57"/>
  <c r="CG57"/>
  <c r="CH57"/>
  <c r="CI57"/>
  <c r="CK57"/>
  <c r="CL57"/>
  <c r="CO57"/>
  <c r="CP57"/>
  <c r="CF58"/>
  <c r="CG58"/>
  <c r="CH58"/>
  <c r="CI58"/>
  <c r="CK58"/>
  <c r="CL58"/>
  <c r="CO58"/>
  <c r="CP58"/>
  <c r="CF59"/>
  <c r="CG59"/>
  <c r="CH59"/>
  <c r="CI59"/>
  <c r="CK59"/>
  <c r="CL59"/>
  <c r="CO59"/>
  <c r="CP59"/>
  <c r="CF60"/>
  <c r="CG60"/>
  <c r="CH60"/>
  <c r="CI60"/>
  <c r="CK60"/>
  <c r="CL60"/>
  <c r="CO60"/>
  <c r="CP60"/>
  <c r="CF61"/>
  <c r="CG61"/>
  <c r="CH61"/>
  <c r="CI61"/>
  <c r="CK61"/>
  <c r="CL61"/>
  <c r="CO61"/>
  <c r="CP61"/>
  <c r="CF62"/>
  <c r="CG62"/>
  <c r="CH62"/>
  <c r="CI62"/>
  <c r="CK62"/>
  <c r="CL62"/>
  <c r="CO62"/>
  <c r="CP62"/>
  <c r="CF63"/>
  <c r="CG63"/>
  <c r="CH63"/>
  <c r="CI63"/>
  <c r="CK63"/>
  <c r="CL63"/>
  <c r="CO63"/>
  <c r="CP63"/>
  <c r="CF64"/>
  <c r="CG64"/>
  <c r="CH64"/>
  <c r="CI64"/>
  <c r="CK64"/>
  <c r="CL64"/>
  <c r="CO64"/>
  <c r="CP64"/>
  <c r="CF65"/>
  <c r="CG65"/>
  <c r="CH65"/>
  <c r="CI65"/>
  <c r="CK65"/>
  <c r="CL65"/>
  <c r="CO65"/>
  <c r="CP65"/>
  <c r="CF66"/>
  <c r="CG66"/>
  <c r="CH66"/>
  <c r="CI66"/>
  <c r="CK66"/>
  <c r="CL66"/>
  <c r="CO66"/>
  <c r="CP66"/>
  <c r="CF67"/>
  <c r="CG67"/>
  <c r="CH67"/>
  <c r="CI67"/>
  <c r="CK67"/>
  <c r="CL67"/>
  <c r="CO67"/>
  <c r="CP67"/>
  <c r="CF68"/>
  <c r="CG68"/>
  <c r="CH68"/>
  <c r="CI68"/>
  <c r="CK68"/>
  <c r="CL68"/>
  <c r="CO68"/>
  <c r="CP68"/>
  <c r="CF69"/>
  <c r="CG69"/>
  <c r="CH69"/>
  <c r="CI69"/>
  <c r="CK69"/>
  <c r="CL69"/>
  <c r="CO69"/>
  <c r="CP69"/>
  <c r="CF70"/>
  <c r="CG70"/>
  <c r="CH70"/>
  <c r="CI70"/>
  <c r="CK70"/>
  <c r="CL70"/>
  <c r="CO70"/>
  <c r="CP70"/>
  <c r="CF71"/>
  <c r="CG71"/>
  <c r="CH71"/>
  <c r="CI71"/>
  <c r="CK71"/>
  <c r="CL71"/>
  <c r="CO71"/>
  <c r="CP71"/>
  <c r="CF72"/>
  <c r="CG72"/>
  <c r="CH72"/>
  <c r="CI72"/>
  <c r="CK72"/>
  <c r="CL72"/>
  <c r="CO72"/>
  <c r="CP72"/>
  <c r="CF73"/>
  <c r="CG73"/>
  <c r="CH73"/>
  <c r="CI73"/>
  <c r="CK73"/>
  <c r="CL73"/>
  <c r="CO73"/>
  <c r="CP73"/>
  <c r="CF74"/>
  <c r="CG74"/>
  <c r="CH74"/>
  <c r="CI74"/>
  <c r="CK74"/>
  <c r="CL74"/>
  <c r="CO74"/>
  <c r="CP74"/>
  <c r="CF75"/>
  <c r="CG75"/>
  <c r="CH75"/>
  <c r="CI75"/>
  <c r="CK75"/>
  <c r="CL75"/>
  <c r="CO75"/>
  <c r="CP75"/>
  <c r="CF76"/>
  <c r="CG76"/>
  <c r="CH76"/>
  <c r="CI76"/>
  <c r="CK76"/>
  <c r="CL76"/>
  <c r="CO76"/>
  <c r="CP76"/>
  <c r="CF77"/>
  <c r="CG77"/>
  <c r="CH77"/>
  <c r="CI77"/>
  <c r="CK77"/>
  <c r="CL77"/>
  <c r="CO77"/>
  <c r="CP77"/>
  <c r="CF78"/>
  <c r="CG78"/>
  <c r="CH78"/>
  <c r="CI78"/>
  <c r="CK78"/>
  <c r="CL78"/>
  <c r="CO78"/>
  <c r="CP78"/>
  <c r="CF79"/>
  <c r="CG79"/>
  <c r="CH79"/>
  <c r="CI79"/>
  <c r="CK79"/>
  <c r="CL79"/>
  <c r="CO79"/>
  <c r="CP79"/>
  <c r="CF80"/>
  <c r="CG80"/>
  <c r="CH80"/>
  <c r="CI80"/>
  <c r="CK80"/>
  <c r="CL80"/>
  <c r="CO80"/>
  <c r="CP80"/>
  <c r="CF81"/>
  <c r="CG81"/>
  <c r="CH81"/>
  <c r="CI81"/>
  <c r="CK81"/>
  <c r="CL81"/>
  <c r="CO81"/>
  <c r="CP81"/>
  <c r="CF82"/>
  <c r="CG82"/>
  <c r="CH82"/>
  <c r="CI82"/>
  <c r="CK82"/>
  <c r="CL82"/>
  <c r="CO82"/>
  <c r="CP82"/>
  <c r="CF83"/>
  <c r="CG83"/>
  <c r="CH83"/>
  <c r="CI83"/>
  <c r="CK83"/>
  <c r="CL83"/>
  <c r="CO83"/>
  <c r="CP83"/>
  <c r="CF84"/>
  <c r="CG84"/>
  <c r="CH84"/>
  <c r="CI84"/>
  <c r="CK84"/>
  <c r="CL84"/>
  <c r="CO84"/>
  <c r="CP84"/>
  <c r="CF85"/>
  <c r="CG85"/>
  <c r="CH85"/>
  <c r="CI85"/>
  <c r="CK85"/>
  <c r="CL85"/>
  <c r="CO85"/>
  <c r="CP85"/>
  <c r="CF86"/>
  <c r="CG86"/>
  <c r="CH86"/>
  <c r="CI86"/>
  <c r="CK86"/>
  <c r="CL86"/>
  <c r="CO86"/>
  <c r="CP86"/>
  <c r="CF87"/>
  <c r="CG87"/>
  <c r="CH87"/>
  <c r="CI87"/>
  <c r="CK87"/>
  <c r="CL87"/>
  <c r="CO87"/>
  <c r="CP87"/>
  <c r="CF88"/>
  <c r="CG88"/>
  <c r="CH88"/>
  <c r="CI88"/>
  <c r="CK88"/>
  <c r="CL88"/>
  <c r="CO88"/>
  <c r="CP88"/>
  <c r="CF89"/>
  <c r="CG89"/>
  <c r="CH89"/>
  <c r="CI89"/>
  <c r="CK89"/>
  <c r="CL89"/>
  <c r="CO89"/>
  <c r="CP89"/>
  <c r="CF90"/>
  <c r="CG90"/>
  <c r="CH90"/>
  <c r="CI90"/>
  <c r="CK90"/>
  <c r="CL90"/>
  <c r="CO90"/>
  <c r="CP90"/>
  <c r="CF91"/>
  <c r="CG91"/>
  <c r="CH91"/>
  <c r="CI91"/>
  <c r="CK91"/>
  <c r="CL91"/>
  <c r="CO91"/>
  <c r="CP91"/>
  <c r="CF92"/>
  <c r="CG92"/>
  <c r="CH92"/>
  <c r="CI92"/>
  <c r="CK92"/>
  <c r="CL92"/>
  <c r="CO92"/>
  <c r="CP92"/>
  <c r="CF93"/>
  <c r="CG93"/>
  <c r="CH93"/>
  <c r="CI93"/>
  <c r="CK93"/>
  <c r="CL93"/>
  <c r="CO93"/>
  <c r="CP93"/>
  <c r="CF94"/>
  <c r="CG94"/>
  <c r="CH94"/>
  <c r="CI94"/>
  <c r="CK94"/>
  <c r="CL94"/>
  <c r="CO94"/>
  <c r="CP94"/>
  <c r="CF95"/>
  <c r="CG95"/>
  <c r="CH95"/>
  <c r="CI95"/>
  <c r="CK95"/>
  <c r="CL95"/>
  <c r="CO95"/>
  <c r="CP95"/>
  <c r="CF96"/>
  <c r="CG96"/>
  <c r="CH96"/>
  <c r="CI96"/>
  <c r="CK96"/>
  <c r="CL96"/>
  <c r="CO96"/>
  <c r="CP96"/>
  <c r="CF97"/>
  <c r="CG97"/>
  <c r="CH97"/>
  <c r="CI97"/>
  <c r="CK97"/>
  <c r="CL97"/>
  <c r="CO97"/>
  <c r="CP97"/>
  <c r="CF98"/>
  <c r="CG98"/>
  <c r="CH98"/>
  <c r="CI98"/>
  <c r="CK98"/>
  <c r="CL98"/>
  <c r="CO98"/>
  <c r="CP98"/>
  <c r="CF99"/>
  <c r="CG99"/>
  <c r="CH99"/>
  <c r="CI99"/>
  <c r="CK99"/>
  <c r="CL99"/>
  <c r="CO99"/>
  <c r="CP99"/>
  <c r="CF100"/>
  <c r="CG100"/>
  <c r="CH100"/>
  <c r="CI100"/>
  <c r="CK100"/>
  <c r="CL100"/>
  <c r="CO100"/>
  <c r="CP100"/>
  <c r="CF101"/>
  <c r="CG101"/>
  <c r="CH101"/>
  <c r="CI101"/>
  <c r="CK101"/>
  <c r="CL101"/>
  <c r="CO101"/>
  <c r="CP101"/>
  <c r="CF102"/>
  <c r="CG102"/>
  <c r="CH102"/>
  <c r="CI102"/>
  <c r="CK102"/>
  <c r="CL102"/>
  <c r="CO102"/>
  <c r="CP102"/>
  <c r="CF103"/>
  <c r="CG103"/>
  <c r="CH103"/>
  <c r="CI103"/>
  <c r="CK103"/>
  <c r="CL103"/>
  <c r="CO103"/>
  <c r="CP103"/>
  <c r="CF104"/>
  <c r="CG104"/>
  <c r="CH104"/>
  <c r="CI104"/>
  <c r="CK104"/>
  <c r="CL104"/>
  <c r="CO104"/>
  <c r="CP104"/>
  <c r="CF105"/>
  <c r="CG105"/>
  <c r="CH105"/>
  <c r="CI105"/>
  <c r="CK105"/>
  <c r="CL105"/>
  <c r="CO105"/>
  <c r="CP105"/>
  <c r="CF106"/>
  <c r="CG106"/>
  <c r="CH106"/>
  <c r="CI106"/>
  <c r="CK106"/>
  <c r="CL106"/>
  <c r="CO106"/>
  <c r="CP106"/>
  <c r="CF107"/>
  <c r="CG107"/>
  <c r="CH107"/>
  <c r="CI107"/>
  <c r="CK107"/>
  <c r="CL107"/>
  <c r="CO107"/>
  <c r="CP107"/>
  <c r="CF108"/>
  <c r="CG108"/>
  <c r="CH108"/>
  <c r="CI108"/>
  <c r="CK108"/>
  <c r="CL108"/>
  <c r="CO108"/>
  <c r="CP108"/>
  <c r="CF109"/>
  <c r="CG109"/>
  <c r="CH109"/>
  <c r="CI109"/>
  <c r="CK109"/>
  <c r="CL109"/>
  <c r="CO109"/>
  <c r="CP109"/>
  <c r="CF110"/>
  <c r="CG110"/>
  <c r="CH110"/>
  <c r="CI110"/>
  <c r="CK110"/>
  <c r="CL110"/>
  <c r="CO110"/>
  <c r="CP110"/>
  <c r="CF111"/>
  <c r="CG111"/>
  <c r="CH111"/>
  <c r="CI111"/>
  <c r="CK111"/>
  <c r="CL111"/>
  <c r="CO111"/>
  <c r="CP111"/>
  <c r="CF112"/>
  <c r="CG112"/>
  <c r="CH112"/>
  <c r="CI112"/>
  <c r="CK112"/>
  <c r="CL112"/>
  <c r="CO112"/>
  <c r="CP112"/>
  <c r="CF113"/>
  <c r="CG113"/>
  <c r="CH113"/>
  <c r="CI113"/>
  <c r="CK113"/>
  <c r="CL113"/>
  <c r="CO113"/>
  <c r="CP113"/>
  <c r="CF114"/>
  <c r="CG114"/>
  <c r="CH114"/>
  <c r="CI114"/>
  <c r="CK114"/>
  <c r="CL114"/>
  <c r="CO114"/>
  <c r="CP114"/>
  <c r="CF115"/>
  <c r="CG115"/>
  <c r="CH115"/>
  <c r="CI115"/>
  <c r="CK115"/>
  <c r="CL115"/>
  <c r="CO115"/>
  <c r="CP115"/>
  <c r="CF116"/>
  <c r="CG116"/>
  <c r="CH116"/>
  <c r="CI116"/>
  <c r="CK116"/>
  <c r="CL116"/>
  <c r="CO116"/>
  <c r="CP116"/>
  <c r="CF117"/>
  <c r="CG117"/>
  <c r="CH117"/>
  <c r="CI117"/>
  <c r="CK117"/>
  <c r="CL117"/>
  <c r="CO117"/>
  <c r="CP117"/>
  <c r="CF118"/>
  <c r="CG118"/>
  <c r="CH118"/>
  <c r="CI118"/>
  <c r="CK118"/>
  <c r="CL118"/>
  <c r="CO118"/>
  <c r="CP118"/>
  <c r="CF119"/>
  <c r="CG119"/>
  <c r="CH119"/>
  <c r="CI119"/>
  <c r="CK119"/>
  <c r="CL119"/>
  <c r="CO119"/>
  <c r="CP119"/>
  <c r="CF120"/>
  <c r="CG120"/>
  <c r="CH120"/>
  <c r="CI120"/>
  <c r="CK120"/>
  <c r="CL120"/>
  <c r="CO120"/>
  <c r="CP120"/>
  <c r="CF121"/>
  <c r="CG121"/>
  <c r="CH121"/>
  <c r="CI121"/>
  <c r="CK121"/>
  <c r="CL121"/>
  <c r="CO121"/>
  <c r="CP121"/>
  <c r="CF122"/>
  <c r="CG122"/>
  <c r="CH122"/>
  <c r="CI122"/>
  <c r="CK122"/>
  <c r="CL122"/>
  <c r="CO122"/>
  <c r="CP122"/>
  <c r="CF123"/>
  <c r="CG123"/>
  <c r="CH123"/>
  <c r="CI123"/>
  <c r="CK123"/>
  <c r="CL123"/>
  <c r="CO123"/>
  <c r="CP123"/>
  <c r="CF124"/>
  <c r="CG124"/>
  <c r="CH124"/>
  <c r="CI124"/>
  <c r="CK124"/>
  <c r="CL124"/>
  <c r="CO124"/>
  <c r="CP124"/>
  <c r="CF125"/>
  <c r="CG125"/>
  <c r="CH125"/>
  <c r="CI125"/>
  <c r="CK125"/>
  <c r="CL125"/>
  <c r="CO125"/>
  <c r="CP125"/>
  <c r="CF126"/>
  <c r="CG126"/>
  <c r="CH126"/>
  <c r="CI126"/>
  <c r="CK126"/>
  <c r="CL126"/>
  <c r="CO126"/>
  <c r="CP126"/>
  <c r="CF127"/>
  <c r="CG127"/>
  <c r="CH127"/>
  <c r="CI127"/>
  <c r="CK127"/>
  <c r="CL127"/>
  <c r="CO127"/>
  <c r="CP127"/>
  <c r="CF128"/>
  <c r="CG128"/>
  <c r="CH128"/>
  <c r="CI128"/>
  <c r="CK128"/>
  <c r="CL128"/>
  <c r="CO128"/>
  <c r="CP128"/>
  <c r="CF129"/>
  <c r="CG129"/>
  <c r="CH129"/>
  <c r="CI129"/>
  <c r="CK129"/>
  <c r="CL129"/>
  <c r="CO129"/>
  <c r="CP129"/>
  <c r="CF130"/>
  <c r="CG130"/>
  <c r="CH130"/>
  <c r="CI130"/>
  <c r="CK130"/>
  <c r="CL130"/>
  <c r="CO130"/>
  <c r="CP130"/>
  <c r="CF131"/>
  <c r="CG131"/>
  <c r="CH131"/>
  <c r="CI131"/>
  <c r="CK131"/>
  <c r="CL131"/>
  <c r="CO131"/>
  <c r="CP131"/>
  <c r="CF132"/>
  <c r="CG132"/>
  <c r="CH132"/>
  <c r="CI132"/>
  <c r="CK132"/>
  <c r="CL132"/>
  <c r="CO132"/>
  <c r="CP132"/>
  <c r="CF133"/>
  <c r="CG133"/>
  <c r="CH133"/>
  <c r="CI133"/>
  <c r="CK133"/>
  <c r="CL133"/>
  <c r="CO133"/>
  <c r="CP133"/>
  <c r="CF134"/>
  <c r="CG134"/>
  <c r="CH134"/>
  <c r="CI134"/>
  <c r="CK134"/>
  <c r="CL134"/>
  <c r="CO134"/>
  <c r="CP134"/>
  <c r="CF135"/>
  <c r="CG135"/>
  <c r="CH135"/>
  <c r="CI135"/>
  <c r="CK135"/>
  <c r="CL135"/>
  <c r="CO135"/>
  <c r="CP135"/>
  <c r="CF136"/>
  <c r="CG136"/>
  <c r="CH136"/>
  <c r="CI136"/>
  <c r="CK136"/>
  <c r="CL136"/>
  <c r="CO136"/>
  <c r="CP136"/>
  <c r="CF137"/>
  <c r="CG137"/>
  <c r="CH137"/>
  <c r="CI137"/>
  <c r="CK137"/>
  <c r="CL137"/>
  <c r="CO137"/>
  <c r="CP137"/>
  <c r="CF138"/>
  <c r="CG138"/>
  <c r="CH138"/>
  <c r="CI138"/>
  <c r="CK138"/>
  <c r="CL138"/>
  <c r="CO138"/>
  <c r="CP138"/>
  <c r="CF139"/>
  <c r="CG139"/>
  <c r="CH139"/>
  <c r="CI139"/>
  <c r="CK139"/>
  <c r="CL139"/>
  <c r="CO139"/>
  <c r="CP139"/>
  <c r="CF140"/>
  <c r="CG140"/>
  <c r="CH140"/>
  <c r="CI140"/>
  <c r="CK140"/>
  <c r="CL140"/>
  <c r="CO140"/>
  <c r="CP140"/>
  <c r="CF141"/>
  <c r="CG141"/>
  <c r="CH141"/>
  <c r="CI141"/>
  <c r="CK141"/>
  <c r="CL141"/>
  <c r="CO141"/>
  <c r="CP141"/>
  <c r="CF142"/>
  <c r="CG142"/>
  <c r="CH142"/>
  <c r="CI142"/>
  <c r="CK142"/>
  <c r="CL142"/>
  <c r="CO142"/>
  <c r="CP142"/>
  <c r="CF143"/>
  <c r="CG143"/>
  <c r="CH143"/>
  <c r="CI143"/>
  <c r="CK143"/>
  <c r="CL143"/>
  <c r="CO143"/>
  <c r="CP143"/>
  <c r="CF144"/>
  <c r="CG144"/>
  <c r="CH144"/>
  <c r="CI144"/>
  <c r="CK144"/>
  <c r="CL144"/>
  <c r="CO144"/>
  <c r="CP144"/>
  <c r="CF145"/>
  <c r="CG145"/>
  <c r="CH145"/>
  <c r="CI145"/>
  <c r="CK145"/>
  <c r="CL145"/>
  <c r="CO145"/>
  <c r="CP145"/>
  <c r="CF146"/>
  <c r="CG146"/>
  <c r="CH146"/>
  <c r="CI146"/>
  <c r="CK146"/>
  <c r="CL146"/>
  <c r="CO146"/>
  <c r="CP146"/>
  <c r="CF147"/>
  <c r="CG147"/>
  <c r="CH147"/>
  <c r="CI147"/>
  <c r="CK147"/>
  <c r="CL147"/>
  <c r="CO147"/>
  <c r="CP147"/>
  <c r="CF148"/>
  <c r="CG148"/>
  <c r="CH148"/>
  <c r="CI148"/>
  <c r="CK148"/>
  <c r="CL148"/>
  <c r="CO148"/>
  <c r="CP148"/>
  <c r="CF149"/>
  <c r="CG149"/>
  <c r="CH149"/>
  <c r="CI149"/>
  <c r="CK149"/>
  <c r="CL149"/>
  <c r="CO149"/>
  <c r="CP149"/>
  <c r="CF150"/>
  <c r="CG150"/>
  <c r="CH150"/>
  <c r="CI150"/>
  <c r="CK150"/>
  <c r="CL150"/>
  <c r="CO150"/>
  <c r="CP150"/>
  <c r="CF151"/>
  <c r="CG151"/>
  <c r="CH151"/>
  <c r="CI151"/>
  <c r="CK151"/>
  <c r="CL151"/>
  <c r="CO151"/>
  <c r="CP151"/>
  <c r="CF152"/>
  <c r="CG152"/>
  <c r="CH152"/>
  <c r="CI152"/>
  <c r="CK152"/>
  <c r="CL152"/>
  <c r="CO152"/>
  <c r="CP152"/>
  <c r="CF153"/>
  <c r="CG153"/>
  <c r="CH153"/>
  <c r="CI153"/>
  <c r="CK153"/>
  <c r="CL153"/>
  <c r="CO153"/>
  <c r="CP153"/>
  <c r="CF154"/>
  <c r="CG154"/>
  <c r="CH154"/>
  <c r="CI154"/>
  <c r="CK154"/>
  <c r="CL154"/>
  <c r="CO154"/>
  <c r="CP154"/>
  <c r="CF155"/>
  <c r="CG155"/>
  <c r="CH155"/>
  <c r="CI155"/>
  <c r="CK155"/>
  <c r="CL155"/>
  <c r="CO155"/>
  <c r="CP155"/>
  <c r="CF156"/>
  <c r="CG156"/>
  <c r="CH156"/>
  <c r="CI156"/>
  <c r="CK156"/>
  <c r="CL156"/>
  <c r="CO156"/>
  <c r="CP156"/>
  <c r="CF157"/>
  <c r="CG157"/>
  <c r="CH157"/>
  <c r="CI157"/>
  <c r="CK157"/>
  <c r="CL157"/>
  <c r="CO157"/>
  <c r="CP157"/>
  <c r="CF158"/>
  <c r="CG158"/>
  <c r="CH158"/>
  <c r="CI158"/>
  <c r="CK158"/>
  <c r="CL158"/>
  <c r="CO158"/>
  <c r="CP158"/>
  <c r="CF159"/>
  <c r="CG159"/>
  <c r="CH159"/>
  <c r="CI159"/>
  <c r="CK159"/>
  <c r="CL159"/>
  <c r="CO159"/>
  <c r="CP159"/>
  <c r="CF160"/>
  <c r="CG160"/>
  <c r="CH160"/>
  <c r="CI160"/>
  <c r="CK160"/>
  <c r="CL160"/>
  <c r="CO160"/>
  <c r="CP160"/>
  <c r="CF161"/>
  <c r="CG161"/>
  <c r="CH161"/>
  <c r="CI161"/>
  <c r="CK161"/>
  <c r="CL161"/>
  <c r="CO161"/>
  <c r="CP161"/>
  <c r="CF162"/>
  <c r="CG162"/>
  <c r="CH162"/>
  <c r="CI162"/>
  <c r="CK162"/>
  <c r="CL162"/>
  <c r="CO162"/>
  <c r="CP162"/>
  <c r="CF163"/>
  <c r="CG163"/>
  <c r="CH163"/>
  <c r="CI163"/>
  <c r="CK163"/>
  <c r="CL163"/>
  <c r="CO163"/>
  <c r="CP163"/>
  <c r="CF164"/>
  <c r="CG164"/>
  <c r="CH164"/>
  <c r="CI164"/>
  <c r="CK164"/>
  <c r="CL164"/>
  <c r="CS164" s="1"/>
  <c r="CO164"/>
  <c r="CQ164" s="1"/>
  <c r="CP164"/>
  <c r="CF165"/>
  <c r="CG165"/>
  <c r="CH165"/>
  <c r="CI165"/>
  <c r="CK165"/>
  <c r="CL165"/>
  <c r="CO165"/>
  <c r="CP165"/>
  <c r="CF166"/>
  <c r="CG166"/>
  <c r="CH166"/>
  <c r="CI166"/>
  <c r="CK166"/>
  <c r="CL166"/>
  <c r="CO166"/>
  <c r="CP166"/>
  <c r="CF167"/>
  <c r="CG167"/>
  <c r="CH167"/>
  <c r="CI167"/>
  <c r="CK167"/>
  <c r="CL167"/>
  <c r="CO167"/>
  <c r="CP167"/>
  <c r="CF168"/>
  <c r="CG168"/>
  <c r="CH168"/>
  <c r="CI168"/>
  <c r="CK168"/>
  <c r="CL168"/>
  <c r="CS168" s="1"/>
  <c r="CO168"/>
  <c r="CP168"/>
  <c r="CF169"/>
  <c r="CG169"/>
  <c r="CH169"/>
  <c r="CI169"/>
  <c r="CK169"/>
  <c r="CL169"/>
  <c r="CO169"/>
  <c r="CP169"/>
  <c r="CF170"/>
  <c r="CG170"/>
  <c r="CH170"/>
  <c r="CI170"/>
  <c r="CK170"/>
  <c r="CL170"/>
  <c r="CS170" s="1"/>
  <c r="CO170"/>
  <c r="CQ170" s="1"/>
  <c r="CP170"/>
  <c r="CF171"/>
  <c r="CG171"/>
  <c r="CH171"/>
  <c r="CI171"/>
  <c r="CK171"/>
  <c r="CL171"/>
  <c r="CO171"/>
  <c r="CP171"/>
  <c r="CF172"/>
  <c r="CG172"/>
  <c r="CH172"/>
  <c r="CI172"/>
  <c r="CK172"/>
  <c r="CL172"/>
  <c r="CS172" s="1"/>
  <c r="CO172"/>
  <c r="CP172"/>
  <c r="CF173"/>
  <c r="CG173"/>
  <c r="CH173"/>
  <c r="CI173"/>
  <c r="CK173"/>
  <c r="CL173"/>
  <c r="CO173"/>
  <c r="CP173"/>
  <c r="CF174"/>
  <c r="CG174"/>
  <c r="CH174"/>
  <c r="CI174"/>
  <c r="CK174"/>
  <c r="CL174"/>
  <c r="CO174"/>
  <c r="CP174"/>
  <c r="CF175"/>
  <c r="CG175"/>
  <c r="CH175"/>
  <c r="CI175"/>
  <c r="CK175"/>
  <c r="CL175"/>
  <c r="CO175"/>
  <c r="CP175"/>
  <c r="CF176"/>
  <c r="CG176"/>
  <c r="CH176"/>
  <c r="CI176"/>
  <c r="CK176"/>
  <c r="CL176"/>
  <c r="CS176" s="1"/>
  <c r="CO176"/>
  <c r="CQ176" s="1"/>
  <c r="CP176"/>
  <c r="CF177"/>
  <c r="CG177"/>
  <c r="CH177"/>
  <c r="CI177"/>
  <c r="CK177"/>
  <c r="CL177"/>
  <c r="CO177"/>
  <c r="CP177"/>
  <c r="CF178"/>
  <c r="CG178"/>
  <c r="CH178"/>
  <c r="CI178"/>
  <c r="CK178"/>
  <c r="CL178"/>
  <c r="CO178"/>
  <c r="CP178"/>
  <c r="CF179"/>
  <c r="CG179"/>
  <c r="CH179"/>
  <c r="CI179"/>
  <c r="CK179"/>
  <c r="CL179"/>
  <c r="CO179"/>
  <c r="CP179"/>
  <c r="CF180"/>
  <c r="CG180"/>
  <c r="CH180"/>
  <c r="CI180"/>
  <c r="CK180"/>
  <c r="CL180"/>
  <c r="CO180"/>
  <c r="CP180"/>
  <c r="CF181"/>
  <c r="CG181"/>
  <c r="CH181"/>
  <c r="CI181"/>
  <c r="CK181"/>
  <c r="CL181"/>
  <c r="CO181"/>
  <c r="CP181"/>
  <c r="CF182"/>
  <c r="CG182"/>
  <c r="CH182"/>
  <c r="CI182"/>
  <c r="CK182"/>
  <c r="CL182"/>
  <c r="CO182"/>
  <c r="CP182"/>
  <c r="CF183"/>
  <c r="CG183"/>
  <c r="CH183"/>
  <c r="CI183"/>
  <c r="CK183"/>
  <c r="CL183"/>
  <c r="CO183"/>
  <c r="CP183"/>
  <c r="CF184"/>
  <c r="CG184"/>
  <c r="CH184"/>
  <c r="CI184"/>
  <c r="CK184"/>
  <c r="CL184"/>
  <c r="CO184"/>
  <c r="CP184"/>
  <c r="CF185"/>
  <c r="CG185"/>
  <c r="CH185"/>
  <c r="CI185"/>
  <c r="CK185"/>
  <c r="CL185"/>
  <c r="CO185"/>
  <c r="CP185"/>
  <c r="CF186"/>
  <c r="CG186"/>
  <c r="CH186"/>
  <c r="CI186"/>
  <c r="CK186"/>
  <c r="CL186"/>
  <c r="CO186"/>
  <c r="CP186"/>
  <c r="CF187"/>
  <c r="CG187"/>
  <c r="CH187"/>
  <c r="CI187"/>
  <c r="CK187"/>
  <c r="CL187"/>
  <c r="CO187"/>
  <c r="CP187"/>
  <c r="CF188"/>
  <c r="CG188"/>
  <c r="CH188"/>
  <c r="CI188"/>
  <c r="CK188"/>
  <c r="CL188"/>
  <c r="CO188"/>
  <c r="CP188"/>
  <c r="CF189"/>
  <c r="CG189"/>
  <c r="CH189"/>
  <c r="CI189"/>
  <c r="CK189"/>
  <c r="CL189"/>
  <c r="CO189"/>
  <c r="CP189"/>
  <c r="CF190"/>
  <c r="CG190"/>
  <c r="CH190"/>
  <c r="CI190"/>
  <c r="CK190"/>
  <c r="CL190"/>
  <c r="CO190"/>
  <c r="CP190"/>
  <c r="CF191"/>
  <c r="CG191"/>
  <c r="CH191"/>
  <c r="CI191"/>
  <c r="CK191"/>
  <c r="CL191"/>
  <c r="CO191"/>
  <c r="CP191"/>
  <c r="CF192"/>
  <c r="CG192"/>
  <c r="CH192"/>
  <c r="CI192"/>
  <c r="CK192"/>
  <c r="CL192"/>
  <c r="CO192"/>
  <c r="CP192"/>
  <c r="CF193"/>
  <c r="CG193"/>
  <c r="CH193"/>
  <c r="CI193"/>
  <c r="CK193"/>
  <c r="CL193"/>
  <c r="CO193"/>
  <c r="CP193"/>
  <c r="CF194"/>
  <c r="CG194"/>
  <c r="CH194"/>
  <c r="CI194"/>
  <c r="CK194"/>
  <c r="CL194"/>
  <c r="CO194"/>
  <c r="CP194"/>
  <c r="CF195"/>
  <c r="CG195"/>
  <c r="CH195"/>
  <c r="CI195"/>
  <c r="CK195"/>
  <c r="CL195"/>
  <c r="CO195"/>
  <c r="CP195"/>
  <c r="CF196"/>
  <c r="CG196"/>
  <c r="CH196"/>
  <c r="CI196"/>
  <c r="CK196"/>
  <c r="CL196"/>
  <c r="CO196"/>
  <c r="CP196"/>
  <c r="CF197"/>
  <c r="CG197"/>
  <c r="CH197"/>
  <c r="CI197"/>
  <c r="CK197"/>
  <c r="CL197"/>
  <c r="CO197"/>
  <c r="CP197"/>
  <c r="CF198"/>
  <c r="CG198"/>
  <c r="CH198"/>
  <c r="CI198"/>
  <c r="CK198"/>
  <c r="CL198"/>
  <c r="CO198"/>
  <c r="CP198"/>
  <c r="CF199"/>
  <c r="CG199"/>
  <c r="CH199"/>
  <c r="CI199"/>
  <c r="CK199"/>
  <c r="CL199"/>
  <c r="CO199"/>
  <c r="CP199"/>
  <c r="CF200"/>
  <c r="CG200"/>
  <c r="CH200"/>
  <c r="CI200"/>
  <c r="CK200"/>
  <c r="CL200"/>
  <c r="CO200"/>
  <c r="CP200"/>
  <c r="CF201"/>
  <c r="CG201"/>
  <c r="CH201"/>
  <c r="CI201"/>
  <c r="CK201"/>
  <c r="CL201"/>
  <c r="CO201"/>
  <c r="CP201"/>
  <c r="CF202"/>
  <c r="CG202"/>
  <c r="CH202"/>
  <c r="CI202"/>
  <c r="CK202"/>
  <c r="CL202"/>
  <c r="CO202"/>
  <c r="CP202"/>
  <c r="CF203"/>
  <c r="CG203"/>
  <c r="CH203"/>
  <c r="CI203"/>
  <c r="CK203"/>
  <c r="CL203"/>
  <c r="CO203"/>
  <c r="CP203"/>
  <c r="CF204"/>
  <c r="CG204"/>
  <c r="CH204"/>
  <c r="CI204"/>
  <c r="CK204"/>
  <c r="CL204"/>
  <c r="CO204"/>
  <c r="CP204"/>
  <c r="CF205"/>
  <c r="CG205"/>
  <c r="CH205"/>
  <c r="CI205"/>
  <c r="CK205"/>
  <c r="CL205"/>
  <c r="CO205"/>
  <c r="CP205"/>
  <c r="CF206"/>
  <c r="CG206"/>
  <c r="CH206"/>
  <c r="CI206"/>
  <c r="CK206"/>
  <c r="CL206"/>
  <c r="CO206"/>
  <c r="CP206"/>
  <c r="CL8"/>
  <c r="CH8"/>
  <c r="CI8"/>
  <c r="CQ3"/>
  <c r="GG5" s="1"/>
  <c r="CT4"/>
  <c r="CS4"/>
  <c r="CR4"/>
  <c r="CQ5"/>
  <c r="CN4"/>
  <c r="CM5"/>
  <c r="CJ5"/>
  <c r="CO8"/>
  <c r="CP6"/>
  <c r="CP7"/>
  <c r="CL6"/>
  <c r="CL7"/>
  <c r="CI6"/>
  <c r="CH6"/>
  <c r="CG8"/>
  <c r="CF8"/>
  <c r="BX7"/>
  <c r="BI9"/>
  <c r="BJ9"/>
  <c r="BK9"/>
  <c r="BL9"/>
  <c r="BN9"/>
  <c r="BO9"/>
  <c r="BR9"/>
  <c r="BS9"/>
  <c r="BI10"/>
  <c r="BJ10"/>
  <c r="BK10"/>
  <c r="BL10"/>
  <c r="BN10"/>
  <c r="BO10"/>
  <c r="BR10"/>
  <c r="BS10"/>
  <c r="BI11"/>
  <c r="BJ11"/>
  <c r="BK11"/>
  <c r="BL11"/>
  <c r="BN11"/>
  <c r="BO11"/>
  <c r="BR11"/>
  <c r="BS11"/>
  <c r="BI12"/>
  <c r="BJ12"/>
  <c r="BK12"/>
  <c r="BL12"/>
  <c r="BN12"/>
  <c r="BO12"/>
  <c r="BR12"/>
  <c r="BS12"/>
  <c r="BI13"/>
  <c r="BJ13"/>
  <c r="BK13"/>
  <c r="BL13"/>
  <c r="BN13"/>
  <c r="BO13"/>
  <c r="BR13"/>
  <c r="BS13"/>
  <c r="BI14"/>
  <c r="BJ14"/>
  <c r="BK14"/>
  <c r="BL14"/>
  <c r="BN14"/>
  <c r="BO14"/>
  <c r="BR14"/>
  <c r="BS14"/>
  <c r="BI15"/>
  <c r="BJ15"/>
  <c r="BK15"/>
  <c r="BL15"/>
  <c r="BN15"/>
  <c r="BO15"/>
  <c r="BR15"/>
  <c r="BS15"/>
  <c r="BI16"/>
  <c r="BJ16"/>
  <c r="BK16"/>
  <c r="BL16"/>
  <c r="BN16"/>
  <c r="BO16"/>
  <c r="BR16"/>
  <c r="BS16"/>
  <c r="BI17"/>
  <c r="BJ17"/>
  <c r="BK17"/>
  <c r="BL17"/>
  <c r="BN17"/>
  <c r="BO17"/>
  <c r="BR17"/>
  <c r="BS17"/>
  <c r="BI18"/>
  <c r="BJ18"/>
  <c r="BK18"/>
  <c r="BL18"/>
  <c r="BN18"/>
  <c r="BO18"/>
  <c r="BR18"/>
  <c r="BS18"/>
  <c r="BI19"/>
  <c r="BJ19"/>
  <c r="BK19"/>
  <c r="BL19"/>
  <c r="BN19"/>
  <c r="BO19"/>
  <c r="BR19"/>
  <c r="BS19"/>
  <c r="BI20"/>
  <c r="BJ20"/>
  <c r="BK20"/>
  <c r="BL20"/>
  <c r="BN20"/>
  <c r="BO20"/>
  <c r="BR20"/>
  <c r="BS20"/>
  <c r="BI21"/>
  <c r="BJ21"/>
  <c r="BK21"/>
  <c r="BL21"/>
  <c r="BN21"/>
  <c r="BO21"/>
  <c r="BR21"/>
  <c r="BS21"/>
  <c r="BI22"/>
  <c r="BJ22"/>
  <c r="BK22"/>
  <c r="BL22"/>
  <c r="BN22"/>
  <c r="BO22"/>
  <c r="BR22"/>
  <c r="BS22"/>
  <c r="BI23"/>
  <c r="BJ23"/>
  <c r="BK23"/>
  <c r="BL23"/>
  <c r="BN23"/>
  <c r="BO23"/>
  <c r="BR23"/>
  <c r="BS23"/>
  <c r="BI24"/>
  <c r="BJ24"/>
  <c r="BK24"/>
  <c r="BL24"/>
  <c r="BN24"/>
  <c r="BO24"/>
  <c r="BR24"/>
  <c r="BS24"/>
  <c r="BI25"/>
  <c r="BJ25"/>
  <c r="BK25"/>
  <c r="BL25"/>
  <c r="BN25"/>
  <c r="BO25"/>
  <c r="BR25"/>
  <c r="BS25"/>
  <c r="BI26"/>
  <c r="BJ26"/>
  <c r="BK26"/>
  <c r="BL26"/>
  <c r="BN26"/>
  <c r="BO26"/>
  <c r="BR26"/>
  <c r="BS26"/>
  <c r="BI27"/>
  <c r="BJ27"/>
  <c r="BK27"/>
  <c r="BL27"/>
  <c r="BN27"/>
  <c r="BO27"/>
  <c r="BR27"/>
  <c r="BS27"/>
  <c r="BI28"/>
  <c r="BJ28"/>
  <c r="BK28"/>
  <c r="BL28"/>
  <c r="BN28"/>
  <c r="BO28"/>
  <c r="BR28"/>
  <c r="BS28"/>
  <c r="BI29"/>
  <c r="BJ29"/>
  <c r="BK29"/>
  <c r="BL29"/>
  <c r="BN29"/>
  <c r="BO29"/>
  <c r="BR29"/>
  <c r="BS29"/>
  <c r="BI30"/>
  <c r="BJ30"/>
  <c r="BK30"/>
  <c r="BL30"/>
  <c r="BN30"/>
  <c r="BO30"/>
  <c r="BR30"/>
  <c r="BS30"/>
  <c r="BI31"/>
  <c r="BJ31"/>
  <c r="BK31"/>
  <c r="BL31"/>
  <c r="BN31"/>
  <c r="BO31"/>
  <c r="BR31"/>
  <c r="BS31"/>
  <c r="BI32"/>
  <c r="BJ32"/>
  <c r="BK32"/>
  <c r="BL32"/>
  <c r="BN32"/>
  <c r="BO32"/>
  <c r="BR32"/>
  <c r="BS32"/>
  <c r="BI33"/>
  <c r="BJ33"/>
  <c r="BK33"/>
  <c r="BL33"/>
  <c r="BN33"/>
  <c r="BO33"/>
  <c r="BR33"/>
  <c r="BS33"/>
  <c r="BI34"/>
  <c r="BJ34"/>
  <c r="BK34"/>
  <c r="BL34"/>
  <c r="BN34"/>
  <c r="BO34"/>
  <c r="BR34"/>
  <c r="BS34"/>
  <c r="BI35"/>
  <c r="BJ35"/>
  <c r="BK35"/>
  <c r="BL35"/>
  <c r="BN35"/>
  <c r="BO35"/>
  <c r="BR35"/>
  <c r="BS35"/>
  <c r="BI36"/>
  <c r="BJ36"/>
  <c r="BK36"/>
  <c r="BL36"/>
  <c r="BN36"/>
  <c r="BO36"/>
  <c r="BR36"/>
  <c r="BS36"/>
  <c r="BI37"/>
  <c r="BJ37"/>
  <c r="BK37"/>
  <c r="BL37"/>
  <c r="BN37"/>
  <c r="BO37"/>
  <c r="BR37"/>
  <c r="BS37"/>
  <c r="BI38"/>
  <c r="BJ38"/>
  <c r="BK38"/>
  <c r="BL38"/>
  <c r="BN38"/>
  <c r="BO38"/>
  <c r="BR38"/>
  <c r="BS38"/>
  <c r="BI39"/>
  <c r="BJ39"/>
  <c r="BK39"/>
  <c r="BL39"/>
  <c r="BN39"/>
  <c r="BO39"/>
  <c r="BR39"/>
  <c r="BS39"/>
  <c r="BI40"/>
  <c r="BJ40"/>
  <c r="BK40"/>
  <c r="BL40"/>
  <c r="BN40"/>
  <c r="BO40"/>
  <c r="BR40"/>
  <c r="BS40"/>
  <c r="BI41"/>
  <c r="BJ41"/>
  <c r="BK41"/>
  <c r="BL41"/>
  <c r="BN41"/>
  <c r="BO41"/>
  <c r="BR41"/>
  <c r="BS41"/>
  <c r="BI42"/>
  <c r="BJ42"/>
  <c r="BK42"/>
  <c r="BL42"/>
  <c r="BN42"/>
  <c r="BO42"/>
  <c r="BR42"/>
  <c r="BS42"/>
  <c r="BI43"/>
  <c r="BJ43"/>
  <c r="BK43"/>
  <c r="BL43"/>
  <c r="BN43"/>
  <c r="BO43"/>
  <c r="BR43"/>
  <c r="BS43"/>
  <c r="BI44"/>
  <c r="BJ44"/>
  <c r="BK44"/>
  <c r="BL44"/>
  <c r="BN44"/>
  <c r="BO44"/>
  <c r="BR44"/>
  <c r="BS44"/>
  <c r="BI45"/>
  <c r="BJ45"/>
  <c r="BK45"/>
  <c r="BL45"/>
  <c r="BN45"/>
  <c r="BO45"/>
  <c r="BR45"/>
  <c r="BS45"/>
  <c r="BI46"/>
  <c r="BJ46"/>
  <c r="BK46"/>
  <c r="BL46"/>
  <c r="BN46"/>
  <c r="BO46"/>
  <c r="BR46"/>
  <c r="BS46"/>
  <c r="BI47"/>
  <c r="BJ47"/>
  <c r="BK47"/>
  <c r="BL47"/>
  <c r="BN47"/>
  <c r="BO47"/>
  <c r="BR47"/>
  <c r="BS47"/>
  <c r="BI48"/>
  <c r="BJ48"/>
  <c r="BK48"/>
  <c r="BL48"/>
  <c r="BN48"/>
  <c r="BO48"/>
  <c r="BR48"/>
  <c r="BS48"/>
  <c r="BI49"/>
  <c r="BJ49"/>
  <c r="BK49"/>
  <c r="BL49"/>
  <c r="BN49"/>
  <c r="BO49"/>
  <c r="BR49"/>
  <c r="BS49"/>
  <c r="BI50"/>
  <c r="BJ50"/>
  <c r="BK50"/>
  <c r="BL50"/>
  <c r="BN50"/>
  <c r="BO50"/>
  <c r="BR50"/>
  <c r="BS50"/>
  <c r="BI51"/>
  <c r="BJ51"/>
  <c r="BK51"/>
  <c r="BL51"/>
  <c r="BN51"/>
  <c r="BO51"/>
  <c r="BR51"/>
  <c r="BS51"/>
  <c r="BI52"/>
  <c r="BJ52"/>
  <c r="BK52"/>
  <c r="BL52"/>
  <c r="BN52"/>
  <c r="BO52"/>
  <c r="BR52"/>
  <c r="BS52"/>
  <c r="BI53"/>
  <c r="BJ53"/>
  <c r="BK53"/>
  <c r="BL53"/>
  <c r="BN53"/>
  <c r="BO53"/>
  <c r="BR53"/>
  <c r="BS53"/>
  <c r="BI54"/>
  <c r="BJ54"/>
  <c r="BK54"/>
  <c r="BL54"/>
  <c r="BN54"/>
  <c r="BO54"/>
  <c r="BR54"/>
  <c r="BS54"/>
  <c r="BI55"/>
  <c r="BJ55"/>
  <c r="BK55"/>
  <c r="BL55"/>
  <c r="BN55"/>
  <c r="BO55"/>
  <c r="BR55"/>
  <c r="BS55"/>
  <c r="BI56"/>
  <c r="BJ56"/>
  <c r="BK56"/>
  <c r="BL56"/>
  <c r="BN56"/>
  <c r="BO56"/>
  <c r="BR56"/>
  <c r="BS56"/>
  <c r="BI57"/>
  <c r="BJ57"/>
  <c r="BK57"/>
  <c r="BL57"/>
  <c r="BN57"/>
  <c r="BO57"/>
  <c r="BR57"/>
  <c r="BS57"/>
  <c r="BI58"/>
  <c r="BJ58"/>
  <c r="BK58"/>
  <c r="BL58"/>
  <c r="BN58"/>
  <c r="BO58"/>
  <c r="BR58"/>
  <c r="BS58"/>
  <c r="BI59"/>
  <c r="BJ59"/>
  <c r="BK59"/>
  <c r="BL59"/>
  <c r="BN59"/>
  <c r="BO59"/>
  <c r="BR59"/>
  <c r="BS59"/>
  <c r="BI60"/>
  <c r="BJ60"/>
  <c r="BK60"/>
  <c r="BL60"/>
  <c r="BN60"/>
  <c r="BO60"/>
  <c r="BR60"/>
  <c r="BS60"/>
  <c r="BI61"/>
  <c r="BJ61"/>
  <c r="BK61"/>
  <c r="BL61"/>
  <c r="BN61"/>
  <c r="BO61"/>
  <c r="BR61"/>
  <c r="BS61"/>
  <c r="BI62"/>
  <c r="BJ62"/>
  <c r="BK62"/>
  <c r="BL62"/>
  <c r="BN62"/>
  <c r="BO62"/>
  <c r="BR62"/>
  <c r="BS62"/>
  <c r="BI63"/>
  <c r="BJ63"/>
  <c r="BK63"/>
  <c r="BL63"/>
  <c r="BN63"/>
  <c r="BO63"/>
  <c r="BR63"/>
  <c r="BS63"/>
  <c r="BI64"/>
  <c r="BJ64"/>
  <c r="BK64"/>
  <c r="BL64"/>
  <c r="BN64"/>
  <c r="BO64"/>
  <c r="BR64"/>
  <c r="BS64"/>
  <c r="BI65"/>
  <c r="BJ65"/>
  <c r="BK65"/>
  <c r="BL65"/>
  <c r="BN65"/>
  <c r="BO65"/>
  <c r="BR65"/>
  <c r="BS65"/>
  <c r="BI66"/>
  <c r="BJ66"/>
  <c r="BK66"/>
  <c r="BL66"/>
  <c r="BN66"/>
  <c r="BO66"/>
  <c r="BR66"/>
  <c r="BS66"/>
  <c r="BI67"/>
  <c r="BJ67"/>
  <c r="BK67"/>
  <c r="BL67"/>
  <c r="BN67"/>
  <c r="BO67"/>
  <c r="BR67"/>
  <c r="BS67"/>
  <c r="BI68"/>
  <c r="BJ68"/>
  <c r="BK68"/>
  <c r="BL68"/>
  <c r="BN68"/>
  <c r="BO68"/>
  <c r="BR68"/>
  <c r="BS68"/>
  <c r="BI69"/>
  <c r="BJ69"/>
  <c r="BK69"/>
  <c r="BL69"/>
  <c r="BN69"/>
  <c r="BO69"/>
  <c r="BR69"/>
  <c r="BS69"/>
  <c r="BI70"/>
  <c r="BJ70"/>
  <c r="BK70"/>
  <c r="BL70"/>
  <c r="BN70"/>
  <c r="BO70"/>
  <c r="BR70"/>
  <c r="BS70"/>
  <c r="BI71"/>
  <c r="BJ71"/>
  <c r="BK71"/>
  <c r="BL71"/>
  <c r="BN71"/>
  <c r="BO71"/>
  <c r="BR71"/>
  <c r="BS71"/>
  <c r="BI72"/>
  <c r="BJ72"/>
  <c r="BK72"/>
  <c r="BL72"/>
  <c r="BN72"/>
  <c r="BO72"/>
  <c r="BR72"/>
  <c r="BS72"/>
  <c r="BI73"/>
  <c r="BJ73"/>
  <c r="BK73"/>
  <c r="BL73"/>
  <c r="BN73"/>
  <c r="BO73"/>
  <c r="BR73"/>
  <c r="BS73"/>
  <c r="BI74"/>
  <c r="BJ74"/>
  <c r="BK74"/>
  <c r="BL74"/>
  <c r="BN74"/>
  <c r="BO74"/>
  <c r="BR74"/>
  <c r="BS74"/>
  <c r="BI75"/>
  <c r="BJ75"/>
  <c r="BK75"/>
  <c r="BL75"/>
  <c r="BN75"/>
  <c r="BO75"/>
  <c r="BR75"/>
  <c r="BS75"/>
  <c r="BI76"/>
  <c r="BJ76"/>
  <c r="BK76"/>
  <c r="BL76"/>
  <c r="BN76"/>
  <c r="BO76"/>
  <c r="BR76"/>
  <c r="BS76"/>
  <c r="BI77"/>
  <c r="BJ77"/>
  <c r="BK77"/>
  <c r="BL77"/>
  <c r="BN77"/>
  <c r="BO77"/>
  <c r="BR77"/>
  <c r="BS77"/>
  <c r="BI78"/>
  <c r="BJ78"/>
  <c r="BK78"/>
  <c r="BL78"/>
  <c r="BN78"/>
  <c r="BO78"/>
  <c r="BR78"/>
  <c r="BS78"/>
  <c r="BI79"/>
  <c r="BJ79"/>
  <c r="BK79"/>
  <c r="BL79"/>
  <c r="BN79"/>
  <c r="BO79"/>
  <c r="BR79"/>
  <c r="BS79"/>
  <c r="BI80"/>
  <c r="BJ80"/>
  <c r="BK80"/>
  <c r="BL80"/>
  <c r="BN80"/>
  <c r="BO80"/>
  <c r="BR80"/>
  <c r="BS80"/>
  <c r="BI81"/>
  <c r="BJ81"/>
  <c r="BK81"/>
  <c r="BL81"/>
  <c r="BN81"/>
  <c r="BO81"/>
  <c r="BR81"/>
  <c r="BS81"/>
  <c r="BI82"/>
  <c r="BJ82"/>
  <c r="BK82"/>
  <c r="BL82"/>
  <c r="BN82"/>
  <c r="BO82"/>
  <c r="BR82"/>
  <c r="BS82"/>
  <c r="BI83"/>
  <c r="BJ83"/>
  <c r="BK83"/>
  <c r="BL83"/>
  <c r="BN83"/>
  <c r="BO83"/>
  <c r="BR83"/>
  <c r="BS83"/>
  <c r="BI84"/>
  <c r="BJ84"/>
  <c r="BK84"/>
  <c r="BL84"/>
  <c r="BN84"/>
  <c r="BO84"/>
  <c r="BR84"/>
  <c r="BS84"/>
  <c r="BI85"/>
  <c r="BJ85"/>
  <c r="BK85"/>
  <c r="BL85"/>
  <c r="BN85"/>
  <c r="BO85"/>
  <c r="BR85"/>
  <c r="BS85"/>
  <c r="BI86"/>
  <c r="BJ86"/>
  <c r="BK86"/>
  <c r="BL86"/>
  <c r="BN86"/>
  <c r="BO86"/>
  <c r="BR86"/>
  <c r="BS86"/>
  <c r="BI87"/>
  <c r="BJ87"/>
  <c r="BK87"/>
  <c r="BL87"/>
  <c r="BN87"/>
  <c r="BO87"/>
  <c r="BR87"/>
  <c r="BS87"/>
  <c r="BI88"/>
  <c r="BJ88"/>
  <c r="BK88"/>
  <c r="BL88"/>
  <c r="BN88"/>
  <c r="BO88"/>
  <c r="BR88"/>
  <c r="BS88"/>
  <c r="BI89"/>
  <c r="BJ89"/>
  <c r="BK89"/>
  <c r="BL89"/>
  <c r="BN89"/>
  <c r="BO89"/>
  <c r="BR89"/>
  <c r="BS89"/>
  <c r="BI90"/>
  <c r="BJ90"/>
  <c r="BK90"/>
  <c r="BL90"/>
  <c r="BN90"/>
  <c r="BO90"/>
  <c r="BR90"/>
  <c r="BS90"/>
  <c r="BI91"/>
  <c r="BJ91"/>
  <c r="BK91"/>
  <c r="BL91"/>
  <c r="BN91"/>
  <c r="BO91"/>
  <c r="BR91"/>
  <c r="BS91"/>
  <c r="BI92"/>
  <c r="BJ92"/>
  <c r="BK92"/>
  <c r="BL92"/>
  <c r="BN92"/>
  <c r="BO92"/>
  <c r="BR92"/>
  <c r="BS92"/>
  <c r="BI93"/>
  <c r="BJ93"/>
  <c r="BK93"/>
  <c r="BL93"/>
  <c r="BN93"/>
  <c r="BO93"/>
  <c r="BR93"/>
  <c r="BS93"/>
  <c r="BI94"/>
  <c r="BJ94"/>
  <c r="BK94"/>
  <c r="BL94"/>
  <c r="BN94"/>
  <c r="BO94"/>
  <c r="BR94"/>
  <c r="BS94"/>
  <c r="BI95"/>
  <c r="BJ95"/>
  <c r="BK95"/>
  <c r="BL95"/>
  <c r="BN95"/>
  <c r="BO95"/>
  <c r="BR95"/>
  <c r="BS95"/>
  <c r="BI96"/>
  <c r="BJ96"/>
  <c r="BK96"/>
  <c r="BL96"/>
  <c r="BN96"/>
  <c r="BO96"/>
  <c r="BR96"/>
  <c r="BS96"/>
  <c r="BI97"/>
  <c r="BJ97"/>
  <c r="BK97"/>
  <c r="BL97"/>
  <c r="BN97"/>
  <c r="BO97"/>
  <c r="BR97"/>
  <c r="BS97"/>
  <c r="BI98"/>
  <c r="BJ98"/>
  <c r="BK98"/>
  <c r="BL98"/>
  <c r="BN98"/>
  <c r="BO98"/>
  <c r="BR98"/>
  <c r="BS98"/>
  <c r="BI99"/>
  <c r="BJ99"/>
  <c r="BK99"/>
  <c r="BL99"/>
  <c r="BN99"/>
  <c r="BO99"/>
  <c r="BR99"/>
  <c r="BS99"/>
  <c r="BI100"/>
  <c r="BJ100"/>
  <c r="BK100"/>
  <c r="BL100"/>
  <c r="BN100"/>
  <c r="BO100"/>
  <c r="BR100"/>
  <c r="BS100"/>
  <c r="BI101"/>
  <c r="BJ101"/>
  <c r="BK101"/>
  <c r="BL101"/>
  <c r="BN101"/>
  <c r="BO101"/>
  <c r="BR101"/>
  <c r="BS101"/>
  <c r="BI102"/>
  <c r="BJ102"/>
  <c r="BK102"/>
  <c r="BL102"/>
  <c r="BN102"/>
  <c r="BO102"/>
  <c r="BR102"/>
  <c r="BS102"/>
  <c r="BI103"/>
  <c r="BJ103"/>
  <c r="BK103"/>
  <c r="BL103"/>
  <c r="BN103"/>
  <c r="BO103"/>
  <c r="BR103"/>
  <c r="BS103"/>
  <c r="BI104"/>
  <c r="BJ104"/>
  <c r="BK104"/>
  <c r="BL104"/>
  <c r="BN104"/>
  <c r="BO104"/>
  <c r="BR104"/>
  <c r="BS104"/>
  <c r="BI105"/>
  <c r="BJ105"/>
  <c r="BK105"/>
  <c r="BL105"/>
  <c r="BN105"/>
  <c r="BO105"/>
  <c r="BR105"/>
  <c r="BS105"/>
  <c r="BI106"/>
  <c r="BJ106"/>
  <c r="BK106"/>
  <c r="BL106"/>
  <c r="BN106"/>
  <c r="BO106"/>
  <c r="BR106"/>
  <c r="BS106"/>
  <c r="BI107"/>
  <c r="BJ107"/>
  <c r="BK107"/>
  <c r="BL107"/>
  <c r="BN107"/>
  <c r="BO107"/>
  <c r="BR107"/>
  <c r="BS107"/>
  <c r="BI108"/>
  <c r="BJ108"/>
  <c r="BK108"/>
  <c r="BL108"/>
  <c r="BN108"/>
  <c r="BO108"/>
  <c r="BR108"/>
  <c r="BS108"/>
  <c r="BI109"/>
  <c r="BJ109"/>
  <c r="BK109"/>
  <c r="BL109"/>
  <c r="BN109"/>
  <c r="BO109"/>
  <c r="BR109"/>
  <c r="BS109"/>
  <c r="BI110"/>
  <c r="BJ110"/>
  <c r="BK110"/>
  <c r="BL110"/>
  <c r="BN110"/>
  <c r="BO110"/>
  <c r="BR110"/>
  <c r="BS110"/>
  <c r="BI111"/>
  <c r="BJ111"/>
  <c r="BK111"/>
  <c r="BL111"/>
  <c r="BN111"/>
  <c r="BO111"/>
  <c r="BR111"/>
  <c r="BS111"/>
  <c r="BI112"/>
  <c r="BJ112"/>
  <c r="BK112"/>
  <c r="BL112"/>
  <c r="BN112"/>
  <c r="BO112"/>
  <c r="BR112"/>
  <c r="BS112"/>
  <c r="BI113"/>
  <c r="BJ113"/>
  <c r="BK113"/>
  <c r="BL113"/>
  <c r="BN113"/>
  <c r="BO113"/>
  <c r="BR113"/>
  <c r="BS113"/>
  <c r="BI114"/>
  <c r="BJ114"/>
  <c r="BK114"/>
  <c r="BL114"/>
  <c r="BN114"/>
  <c r="BO114"/>
  <c r="BR114"/>
  <c r="BS114"/>
  <c r="BI115"/>
  <c r="BJ115"/>
  <c r="BK115"/>
  <c r="BL115"/>
  <c r="BN115"/>
  <c r="BO115"/>
  <c r="BR115"/>
  <c r="BS115"/>
  <c r="BI116"/>
  <c r="BJ116"/>
  <c r="BK116"/>
  <c r="BL116"/>
  <c r="BN116"/>
  <c r="BO116"/>
  <c r="BR116"/>
  <c r="BS116"/>
  <c r="BI117"/>
  <c r="BJ117"/>
  <c r="BK117"/>
  <c r="BL117"/>
  <c r="BN117"/>
  <c r="BO117"/>
  <c r="BR117"/>
  <c r="BS117"/>
  <c r="BI118"/>
  <c r="BJ118"/>
  <c r="BK118"/>
  <c r="BL118"/>
  <c r="BN118"/>
  <c r="BO118"/>
  <c r="BR118"/>
  <c r="BS118"/>
  <c r="BI119"/>
  <c r="BJ119"/>
  <c r="BK119"/>
  <c r="BL119"/>
  <c r="BN119"/>
  <c r="BO119"/>
  <c r="BR119"/>
  <c r="BS119"/>
  <c r="BI120"/>
  <c r="BJ120"/>
  <c r="BK120"/>
  <c r="BL120"/>
  <c r="BN120"/>
  <c r="BO120"/>
  <c r="BR120"/>
  <c r="BS120"/>
  <c r="BI121"/>
  <c r="BJ121"/>
  <c r="BK121"/>
  <c r="BL121"/>
  <c r="BN121"/>
  <c r="BO121"/>
  <c r="BR121"/>
  <c r="BS121"/>
  <c r="BI122"/>
  <c r="BJ122"/>
  <c r="BK122"/>
  <c r="BL122"/>
  <c r="BN122"/>
  <c r="BO122"/>
  <c r="BR122"/>
  <c r="BS122"/>
  <c r="BI123"/>
  <c r="BJ123"/>
  <c r="BK123"/>
  <c r="BL123"/>
  <c r="BN123"/>
  <c r="BO123"/>
  <c r="BR123"/>
  <c r="BS123"/>
  <c r="BI124"/>
  <c r="BJ124"/>
  <c r="BK124"/>
  <c r="BL124"/>
  <c r="BN124"/>
  <c r="BO124"/>
  <c r="BR124"/>
  <c r="BS124"/>
  <c r="BI125"/>
  <c r="BJ125"/>
  <c r="BK125"/>
  <c r="BL125"/>
  <c r="BN125"/>
  <c r="BO125"/>
  <c r="BR125"/>
  <c r="BS125"/>
  <c r="BI126"/>
  <c r="BJ126"/>
  <c r="BK126"/>
  <c r="BL126"/>
  <c r="BN126"/>
  <c r="BO126"/>
  <c r="BR126"/>
  <c r="BS126"/>
  <c r="BI127"/>
  <c r="BJ127"/>
  <c r="BK127"/>
  <c r="BL127"/>
  <c r="BN127"/>
  <c r="BO127"/>
  <c r="BR127"/>
  <c r="BS127"/>
  <c r="BI128"/>
  <c r="BJ128"/>
  <c r="BK128"/>
  <c r="BL128"/>
  <c r="BN128"/>
  <c r="BO128"/>
  <c r="BR128"/>
  <c r="BS128"/>
  <c r="BI129"/>
  <c r="BJ129"/>
  <c r="BK129"/>
  <c r="BL129"/>
  <c r="BN129"/>
  <c r="BO129"/>
  <c r="BR129"/>
  <c r="BS129"/>
  <c r="BI130"/>
  <c r="BJ130"/>
  <c r="BK130"/>
  <c r="BL130"/>
  <c r="BN130"/>
  <c r="BO130"/>
  <c r="BR130"/>
  <c r="BS130"/>
  <c r="BI131"/>
  <c r="BJ131"/>
  <c r="BK131"/>
  <c r="BL131"/>
  <c r="BN131"/>
  <c r="BO131"/>
  <c r="BR131"/>
  <c r="BS131"/>
  <c r="BI132"/>
  <c r="BJ132"/>
  <c r="BK132"/>
  <c r="BL132"/>
  <c r="BN132"/>
  <c r="BO132"/>
  <c r="BR132"/>
  <c r="BS132"/>
  <c r="BI133"/>
  <c r="BJ133"/>
  <c r="BK133"/>
  <c r="BL133"/>
  <c r="BN133"/>
  <c r="BO133"/>
  <c r="BR133"/>
  <c r="BS133"/>
  <c r="BI134"/>
  <c r="BJ134"/>
  <c r="BK134"/>
  <c r="BL134"/>
  <c r="BN134"/>
  <c r="BO134"/>
  <c r="BR134"/>
  <c r="BS134"/>
  <c r="BI135"/>
  <c r="BJ135"/>
  <c r="BK135"/>
  <c r="BL135"/>
  <c r="BN135"/>
  <c r="BO135"/>
  <c r="BR135"/>
  <c r="BS135"/>
  <c r="BI136"/>
  <c r="BJ136"/>
  <c r="BK136"/>
  <c r="BL136"/>
  <c r="BN136"/>
  <c r="BO136"/>
  <c r="BR136"/>
  <c r="BS136"/>
  <c r="BI137"/>
  <c r="BJ137"/>
  <c r="BK137"/>
  <c r="BL137"/>
  <c r="BN137"/>
  <c r="BO137"/>
  <c r="BR137"/>
  <c r="BS137"/>
  <c r="BI138"/>
  <c r="BJ138"/>
  <c r="BK138"/>
  <c r="BL138"/>
  <c r="BN138"/>
  <c r="BO138"/>
  <c r="BR138"/>
  <c r="BS138"/>
  <c r="BI139"/>
  <c r="BJ139"/>
  <c r="BK139"/>
  <c r="BL139"/>
  <c r="BN139"/>
  <c r="BO139"/>
  <c r="BR139"/>
  <c r="BS139"/>
  <c r="BI140"/>
  <c r="BJ140"/>
  <c r="BK140"/>
  <c r="BL140"/>
  <c r="BN140"/>
  <c r="BO140"/>
  <c r="BR140"/>
  <c r="BS140"/>
  <c r="BI141"/>
  <c r="BJ141"/>
  <c r="BK141"/>
  <c r="BL141"/>
  <c r="BN141"/>
  <c r="BO141"/>
  <c r="BR141"/>
  <c r="BS141"/>
  <c r="BI142"/>
  <c r="BJ142"/>
  <c r="BK142"/>
  <c r="BL142"/>
  <c r="BN142"/>
  <c r="BO142"/>
  <c r="BR142"/>
  <c r="BS142"/>
  <c r="BI143"/>
  <c r="BJ143"/>
  <c r="BK143"/>
  <c r="BL143"/>
  <c r="BN143"/>
  <c r="BO143"/>
  <c r="BR143"/>
  <c r="BS143"/>
  <c r="BI144"/>
  <c r="BJ144"/>
  <c r="BK144"/>
  <c r="BL144"/>
  <c r="BN144"/>
  <c r="BO144"/>
  <c r="BR144"/>
  <c r="BS144"/>
  <c r="BI145"/>
  <c r="BJ145"/>
  <c r="BK145"/>
  <c r="BL145"/>
  <c r="BN145"/>
  <c r="BO145"/>
  <c r="BR145"/>
  <c r="BS145"/>
  <c r="BI146"/>
  <c r="BJ146"/>
  <c r="BK146"/>
  <c r="BL146"/>
  <c r="BN146"/>
  <c r="BO146"/>
  <c r="BR146"/>
  <c r="BS146"/>
  <c r="BI147"/>
  <c r="BJ147"/>
  <c r="BK147"/>
  <c r="BL147"/>
  <c r="BN147"/>
  <c r="BO147"/>
  <c r="BR147"/>
  <c r="BS147"/>
  <c r="BI148"/>
  <c r="BJ148"/>
  <c r="BK148"/>
  <c r="BL148"/>
  <c r="BN148"/>
  <c r="BO148"/>
  <c r="BR148"/>
  <c r="BS148"/>
  <c r="BI149"/>
  <c r="BJ149"/>
  <c r="BK149"/>
  <c r="BL149"/>
  <c r="BN149"/>
  <c r="BO149"/>
  <c r="BR149"/>
  <c r="BS149"/>
  <c r="BI150"/>
  <c r="BJ150"/>
  <c r="BK150"/>
  <c r="BL150"/>
  <c r="BN150"/>
  <c r="BO150"/>
  <c r="BR150"/>
  <c r="BS150"/>
  <c r="BI151"/>
  <c r="BJ151"/>
  <c r="BK151"/>
  <c r="BL151"/>
  <c r="BN151"/>
  <c r="BO151"/>
  <c r="BR151"/>
  <c r="BS151"/>
  <c r="BI152"/>
  <c r="BJ152"/>
  <c r="BK152"/>
  <c r="BL152"/>
  <c r="BN152"/>
  <c r="BO152"/>
  <c r="BR152"/>
  <c r="BS152"/>
  <c r="BI153"/>
  <c r="BJ153"/>
  <c r="BK153"/>
  <c r="BL153"/>
  <c r="BN153"/>
  <c r="BO153"/>
  <c r="BR153"/>
  <c r="BS153"/>
  <c r="BI154"/>
  <c r="BJ154"/>
  <c r="BK154"/>
  <c r="BL154"/>
  <c r="BN154"/>
  <c r="BO154"/>
  <c r="BR154"/>
  <c r="BS154"/>
  <c r="BI155"/>
  <c r="BJ155"/>
  <c r="BK155"/>
  <c r="BL155"/>
  <c r="BN155"/>
  <c r="BO155"/>
  <c r="BR155"/>
  <c r="BS155"/>
  <c r="BI156"/>
  <c r="BJ156"/>
  <c r="BK156"/>
  <c r="BL156"/>
  <c r="BN156"/>
  <c r="BO156"/>
  <c r="BR156"/>
  <c r="BS156"/>
  <c r="BI157"/>
  <c r="BJ157"/>
  <c r="BK157"/>
  <c r="BL157"/>
  <c r="BN157"/>
  <c r="BO157"/>
  <c r="BR157"/>
  <c r="BS157"/>
  <c r="BI158"/>
  <c r="BJ158"/>
  <c r="BK158"/>
  <c r="BL158"/>
  <c r="BN158"/>
  <c r="BO158"/>
  <c r="BR158"/>
  <c r="BS158"/>
  <c r="BI159"/>
  <c r="BJ159"/>
  <c r="BK159"/>
  <c r="BL159"/>
  <c r="BN159"/>
  <c r="BO159"/>
  <c r="BR159"/>
  <c r="BS159"/>
  <c r="BI160"/>
  <c r="BJ160"/>
  <c r="BK160"/>
  <c r="BL160"/>
  <c r="BN160"/>
  <c r="BO160"/>
  <c r="BR160"/>
  <c r="BS160"/>
  <c r="BI161"/>
  <c r="BJ161"/>
  <c r="BK161"/>
  <c r="BL161"/>
  <c r="BN161"/>
  <c r="BO161"/>
  <c r="BR161"/>
  <c r="BS161"/>
  <c r="BI162"/>
  <c r="BJ162"/>
  <c r="BK162"/>
  <c r="BL162"/>
  <c r="BN162"/>
  <c r="BO162"/>
  <c r="BR162"/>
  <c r="BS162"/>
  <c r="BI163"/>
  <c r="BJ163"/>
  <c r="BK163"/>
  <c r="BL163"/>
  <c r="BN163"/>
  <c r="BO163"/>
  <c r="BR163"/>
  <c r="BS163"/>
  <c r="BI164"/>
  <c r="BJ164"/>
  <c r="BK164"/>
  <c r="BL164"/>
  <c r="BN164"/>
  <c r="BO164"/>
  <c r="BR164"/>
  <c r="BS164"/>
  <c r="BI165"/>
  <c r="BJ165"/>
  <c r="BK165"/>
  <c r="BL165"/>
  <c r="BN165"/>
  <c r="BO165"/>
  <c r="BR165"/>
  <c r="BS165"/>
  <c r="BI166"/>
  <c r="BJ166"/>
  <c r="BK166"/>
  <c r="BL166"/>
  <c r="BN166"/>
  <c r="BO166"/>
  <c r="BR166"/>
  <c r="BS166"/>
  <c r="BI167"/>
  <c r="BJ167"/>
  <c r="BK167"/>
  <c r="BL167"/>
  <c r="BN167"/>
  <c r="BO167"/>
  <c r="BR167"/>
  <c r="BS167"/>
  <c r="BI168"/>
  <c r="BJ168"/>
  <c r="BK168"/>
  <c r="BL168"/>
  <c r="BN168"/>
  <c r="BO168"/>
  <c r="BR168"/>
  <c r="BS168"/>
  <c r="BI169"/>
  <c r="BJ169"/>
  <c r="BK169"/>
  <c r="BL169"/>
  <c r="BN169"/>
  <c r="BO169"/>
  <c r="BR169"/>
  <c r="BS169"/>
  <c r="BI170"/>
  <c r="BJ170"/>
  <c r="BK170"/>
  <c r="BL170"/>
  <c r="BN170"/>
  <c r="BO170"/>
  <c r="BR170"/>
  <c r="BS170"/>
  <c r="BI171"/>
  <c r="BJ171"/>
  <c r="BK171"/>
  <c r="BL171"/>
  <c r="BN171"/>
  <c r="BO171"/>
  <c r="BR171"/>
  <c r="BS171"/>
  <c r="BI172"/>
  <c r="BJ172"/>
  <c r="BK172"/>
  <c r="BL172"/>
  <c r="BN172"/>
  <c r="BO172"/>
  <c r="BR172"/>
  <c r="BS172"/>
  <c r="BI173"/>
  <c r="BJ173"/>
  <c r="BK173"/>
  <c r="BL173"/>
  <c r="BN173"/>
  <c r="BO173"/>
  <c r="BR173"/>
  <c r="BS173"/>
  <c r="BI174"/>
  <c r="BJ174"/>
  <c r="BK174"/>
  <c r="BL174"/>
  <c r="BN174"/>
  <c r="BO174"/>
  <c r="BR174"/>
  <c r="BS174"/>
  <c r="BI175"/>
  <c r="BJ175"/>
  <c r="BK175"/>
  <c r="BL175"/>
  <c r="BN175"/>
  <c r="BO175"/>
  <c r="BR175"/>
  <c r="BS175"/>
  <c r="BI176"/>
  <c r="BJ176"/>
  <c r="BK176"/>
  <c r="BL176"/>
  <c r="BN176"/>
  <c r="BO176"/>
  <c r="BR176"/>
  <c r="BS176"/>
  <c r="BI177"/>
  <c r="BJ177"/>
  <c r="BK177"/>
  <c r="BL177"/>
  <c r="BN177"/>
  <c r="BO177"/>
  <c r="BR177"/>
  <c r="BS177"/>
  <c r="BI178"/>
  <c r="BJ178"/>
  <c r="BK178"/>
  <c r="BL178"/>
  <c r="BN178"/>
  <c r="BO178"/>
  <c r="BR178"/>
  <c r="BS178"/>
  <c r="BI179"/>
  <c r="BJ179"/>
  <c r="BK179"/>
  <c r="BL179"/>
  <c r="BN179"/>
  <c r="BO179"/>
  <c r="BR179"/>
  <c r="BS179"/>
  <c r="BI180"/>
  <c r="BJ180"/>
  <c r="BK180"/>
  <c r="BL180"/>
  <c r="BN180"/>
  <c r="BO180"/>
  <c r="BR180"/>
  <c r="BS180"/>
  <c r="BI181"/>
  <c r="BJ181"/>
  <c r="BK181"/>
  <c r="BL181"/>
  <c r="BN181"/>
  <c r="BO181"/>
  <c r="BR181"/>
  <c r="BS181"/>
  <c r="BI182"/>
  <c r="BJ182"/>
  <c r="BK182"/>
  <c r="BL182"/>
  <c r="BN182"/>
  <c r="BO182"/>
  <c r="BR182"/>
  <c r="BS182"/>
  <c r="BI183"/>
  <c r="BJ183"/>
  <c r="BK183"/>
  <c r="BL183"/>
  <c r="BN183"/>
  <c r="BO183"/>
  <c r="BR183"/>
  <c r="BS183"/>
  <c r="BI184"/>
  <c r="BJ184"/>
  <c r="BK184"/>
  <c r="BL184"/>
  <c r="BN184"/>
  <c r="BO184"/>
  <c r="BR184"/>
  <c r="BS184"/>
  <c r="BI185"/>
  <c r="BJ185"/>
  <c r="BK185"/>
  <c r="BL185"/>
  <c r="BN185"/>
  <c r="BO185"/>
  <c r="BR185"/>
  <c r="BS185"/>
  <c r="BI186"/>
  <c r="BJ186"/>
  <c r="BK186"/>
  <c r="BL186"/>
  <c r="BN186"/>
  <c r="BO186"/>
  <c r="BR186"/>
  <c r="BS186"/>
  <c r="BI187"/>
  <c r="BJ187"/>
  <c r="BK187"/>
  <c r="BL187"/>
  <c r="BN187"/>
  <c r="BO187"/>
  <c r="BR187"/>
  <c r="BS187"/>
  <c r="BI188"/>
  <c r="BJ188"/>
  <c r="BK188"/>
  <c r="BL188"/>
  <c r="BN188"/>
  <c r="BO188"/>
  <c r="BR188"/>
  <c r="BS188"/>
  <c r="BI189"/>
  <c r="BJ189"/>
  <c r="BK189"/>
  <c r="BL189"/>
  <c r="BN189"/>
  <c r="BO189"/>
  <c r="BR189"/>
  <c r="BS189"/>
  <c r="BI190"/>
  <c r="BJ190"/>
  <c r="BK190"/>
  <c r="BL190"/>
  <c r="BN190"/>
  <c r="BO190"/>
  <c r="BR190"/>
  <c r="BS190"/>
  <c r="BI191"/>
  <c r="BJ191"/>
  <c r="BK191"/>
  <c r="BL191"/>
  <c r="BN191"/>
  <c r="BO191"/>
  <c r="BR191"/>
  <c r="BS191"/>
  <c r="BI192"/>
  <c r="BJ192"/>
  <c r="BK192"/>
  <c r="BL192"/>
  <c r="BN192"/>
  <c r="BO192"/>
  <c r="BR192"/>
  <c r="BS192"/>
  <c r="BI193"/>
  <c r="BJ193"/>
  <c r="BK193"/>
  <c r="BL193"/>
  <c r="BN193"/>
  <c r="BO193"/>
  <c r="BR193"/>
  <c r="BS193"/>
  <c r="BI194"/>
  <c r="BJ194"/>
  <c r="BK194"/>
  <c r="BL194"/>
  <c r="BN194"/>
  <c r="BO194"/>
  <c r="BR194"/>
  <c r="BS194"/>
  <c r="BI195"/>
  <c r="BJ195"/>
  <c r="BK195"/>
  <c r="BL195"/>
  <c r="BN195"/>
  <c r="BO195"/>
  <c r="BR195"/>
  <c r="BS195"/>
  <c r="BI196"/>
  <c r="BJ196"/>
  <c r="BK196"/>
  <c r="BL196"/>
  <c r="BN196"/>
  <c r="BO196"/>
  <c r="BR196"/>
  <c r="BS196"/>
  <c r="BI197"/>
  <c r="BJ197"/>
  <c r="BK197"/>
  <c r="BL197"/>
  <c r="BN197"/>
  <c r="BO197"/>
  <c r="BR197"/>
  <c r="BS197"/>
  <c r="BI198"/>
  <c r="BJ198"/>
  <c r="BK198"/>
  <c r="BL198"/>
  <c r="BN198"/>
  <c r="BO198"/>
  <c r="BR198"/>
  <c r="BS198"/>
  <c r="BI199"/>
  <c r="BJ199"/>
  <c r="BK199"/>
  <c r="BL199"/>
  <c r="BN199"/>
  <c r="BO199"/>
  <c r="BR199"/>
  <c r="BS199"/>
  <c r="BI200"/>
  <c r="BJ200"/>
  <c r="BK200"/>
  <c r="BL200"/>
  <c r="BN200"/>
  <c r="BO200"/>
  <c r="BR200"/>
  <c r="BS200"/>
  <c r="BI201"/>
  <c r="BJ201"/>
  <c r="BK201"/>
  <c r="BL201"/>
  <c r="BN201"/>
  <c r="BO201"/>
  <c r="BR201"/>
  <c r="BS201"/>
  <c r="BI202"/>
  <c r="BJ202"/>
  <c r="BK202"/>
  <c r="BL202"/>
  <c r="BN202"/>
  <c r="BO202"/>
  <c r="BR202"/>
  <c r="BS202"/>
  <c r="BI203"/>
  <c r="BJ203"/>
  <c r="BK203"/>
  <c r="BL203"/>
  <c r="BN203"/>
  <c r="BO203"/>
  <c r="BR203"/>
  <c r="BS203"/>
  <c r="BI204"/>
  <c r="BJ204"/>
  <c r="BK204"/>
  <c r="BL204"/>
  <c r="BN204"/>
  <c r="BO204"/>
  <c r="BR204"/>
  <c r="BS204"/>
  <c r="BI205"/>
  <c r="BJ205"/>
  <c r="BK205"/>
  <c r="BL205"/>
  <c r="BN205"/>
  <c r="BO205"/>
  <c r="BR205"/>
  <c r="BS205"/>
  <c r="BI206"/>
  <c r="BJ206"/>
  <c r="BK206"/>
  <c r="BL206"/>
  <c r="BN206"/>
  <c r="BO206"/>
  <c r="BR206"/>
  <c r="BS206"/>
  <c r="BI207"/>
  <c r="BJ207"/>
  <c r="BK207"/>
  <c r="BL207"/>
  <c r="BN207"/>
  <c r="BO207"/>
  <c r="BR207"/>
  <c r="BS207"/>
  <c r="BS8"/>
  <c r="BO8"/>
  <c r="H17" i="4" s="1"/>
  <c r="BK8" i="9"/>
  <c r="BL8"/>
  <c r="E17" i="4" s="1"/>
  <c r="BS6" i="9"/>
  <c r="BS7"/>
  <c r="BO6"/>
  <c r="BO7"/>
  <c r="BL6"/>
  <c r="BK6"/>
  <c r="BT3"/>
  <c r="FZ5" s="1"/>
  <c r="BT5"/>
  <c r="BW4"/>
  <c r="BV4"/>
  <c r="BU4"/>
  <c r="BQ4"/>
  <c r="BP5"/>
  <c r="BM5"/>
  <c r="BI8"/>
  <c r="BA7"/>
  <c r="AL9"/>
  <c r="AM9"/>
  <c r="AN9"/>
  <c r="AO9"/>
  <c r="AQ9"/>
  <c r="AR9"/>
  <c r="AU9"/>
  <c r="AV9"/>
  <c r="AL10"/>
  <c r="AM10"/>
  <c r="AN10"/>
  <c r="AO10"/>
  <c r="AQ10"/>
  <c r="AR10"/>
  <c r="AU10"/>
  <c r="AV10"/>
  <c r="AL11"/>
  <c r="AM11"/>
  <c r="AN11"/>
  <c r="AO11"/>
  <c r="AQ11"/>
  <c r="AR11"/>
  <c r="AU11"/>
  <c r="AV11"/>
  <c r="AL12"/>
  <c r="AM12"/>
  <c r="AN12"/>
  <c r="AO12"/>
  <c r="AQ12"/>
  <c r="AR12"/>
  <c r="AU12"/>
  <c r="AV12"/>
  <c r="AL13"/>
  <c r="AM13"/>
  <c r="AN13"/>
  <c r="AO13"/>
  <c r="AQ13"/>
  <c r="AR13"/>
  <c r="AU13"/>
  <c r="AV13"/>
  <c r="AL14"/>
  <c r="AM14"/>
  <c r="AN14"/>
  <c r="AO14"/>
  <c r="AQ14"/>
  <c r="AR14"/>
  <c r="AU14"/>
  <c r="AV14"/>
  <c r="AL15"/>
  <c r="AM15"/>
  <c r="AN15"/>
  <c r="AO15"/>
  <c r="AQ15"/>
  <c r="AR15"/>
  <c r="AU15"/>
  <c r="AV15"/>
  <c r="AL16"/>
  <c r="AM16"/>
  <c r="AN16"/>
  <c r="AO16"/>
  <c r="AQ16"/>
  <c r="AR16"/>
  <c r="AU16"/>
  <c r="AV16"/>
  <c r="AL17"/>
  <c r="AM17"/>
  <c r="AN17"/>
  <c r="AO17"/>
  <c r="AQ17"/>
  <c r="AR17"/>
  <c r="AU17"/>
  <c r="AV17"/>
  <c r="AL18"/>
  <c r="AM18"/>
  <c r="AN18"/>
  <c r="AO18"/>
  <c r="AQ18"/>
  <c r="AR18"/>
  <c r="AU18"/>
  <c r="AV18"/>
  <c r="AL19"/>
  <c r="AM19"/>
  <c r="AN19"/>
  <c r="AO19"/>
  <c r="AQ19"/>
  <c r="AR19"/>
  <c r="AU19"/>
  <c r="AV19"/>
  <c r="AL20"/>
  <c r="AM20"/>
  <c r="AN20"/>
  <c r="AO20"/>
  <c r="AQ20"/>
  <c r="AR20"/>
  <c r="AU20"/>
  <c r="AV20"/>
  <c r="AL21"/>
  <c r="AM21"/>
  <c r="AN21"/>
  <c r="AO21"/>
  <c r="AQ21"/>
  <c r="AR21"/>
  <c r="AU21"/>
  <c r="AV21"/>
  <c r="AL22"/>
  <c r="AM22"/>
  <c r="AN22"/>
  <c r="AO22"/>
  <c r="AQ22"/>
  <c r="AR22"/>
  <c r="AU22"/>
  <c r="AV22"/>
  <c r="AL23"/>
  <c r="AM23"/>
  <c r="AN23"/>
  <c r="AO23"/>
  <c r="AQ23"/>
  <c r="AR23"/>
  <c r="AU23"/>
  <c r="AV23"/>
  <c r="AL24"/>
  <c r="AM24"/>
  <c r="AN24"/>
  <c r="AO24"/>
  <c r="AQ24"/>
  <c r="AR24"/>
  <c r="AU24"/>
  <c r="AV24"/>
  <c r="AL25"/>
  <c r="AM25"/>
  <c r="AN25"/>
  <c r="AO25"/>
  <c r="AQ25"/>
  <c r="AR25"/>
  <c r="AU25"/>
  <c r="AV25"/>
  <c r="AL26"/>
  <c r="AM26"/>
  <c r="AN26"/>
  <c r="AO26"/>
  <c r="AQ26"/>
  <c r="AR26"/>
  <c r="AU26"/>
  <c r="AV26"/>
  <c r="AL27"/>
  <c r="AM27"/>
  <c r="AN27"/>
  <c r="AO27"/>
  <c r="AQ27"/>
  <c r="AR27"/>
  <c r="AU27"/>
  <c r="AV27"/>
  <c r="AL28"/>
  <c r="AM28"/>
  <c r="AN28"/>
  <c r="AO28"/>
  <c r="AQ28"/>
  <c r="AR28"/>
  <c r="AU28"/>
  <c r="AV28"/>
  <c r="AL29"/>
  <c r="AM29"/>
  <c r="AN29"/>
  <c r="AO29"/>
  <c r="AQ29"/>
  <c r="AR29"/>
  <c r="AU29"/>
  <c r="AV29"/>
  <c r="AL30"/>
  <c r="AM30"/>
  <c r="AN30"/>
  <c r="AO30"/>
  <c r="AQ30"/>
  <c r="AR30"/>
  <c r="AU30"/>
  <c r="AV30"/>
  <c r="AL31"/>
  <c r="AM31"/>
  <c r="AN31"/>
  <c r="AO31"/>
  <c r="AQ31"/>
  <c r="AR31"/>
  <c r="AU31"/>
  <c r="AV31"/>
  <c r="AL32"/>
  <c r="AM32"/>
  <c r="AN32"/>
  <c r="AO32"/>
  <c r="AQ32"/>
  <c r="AR32"/>
  <c r="AU32"/>
  <c r="AV32"/>
  <c r="AL33"/>
  <c r="AM33"/>
  <c r="AN33"/>
  <c r="AO33"/>
  <c r="AQ33"/>
  <c r="AR33"/>
  <c r="AU33"/>
  <c r="AV33"/>
  <c r="AL34"/>
  <c r="AM34"/>
  <c r="AN34"/>
  <c r="AO34"/>
  <c r="AQ34"/>
  <c r="AR34"/>
  <c r="AU34"/>
  <c r="AV34"/>
  <c r="AL35"/>
  <c r="AM35"/>
  <c r="AN35"/>
  <c r="AO35"/>
  <c r="AQ35"/>
  <c r="AR35"/>
  <c r="AU35"/>
  <c r="AV35"/>
  <c r="AL36"/>
  <c r="AM36"/>
  <c r="AN36"/>
  <c r="AO36"/>
  <c r="AQ36"/>
  <c r="AR36"/>
  <c r="AU36"/>
  <c r="AV36"/>
  <c r="AL37"/>
  <c r="AM37"/>
  <c r="AN37"/>
  <c r="AO37"/>
  <c r="AQ37"/>
  <c r="AR37"/>
  <c r="AU37"/>
  <c r="AV37"/>
  <c r="AL38"/>
  <c r="AM38"/>
  <c r="AN38"/>
  <c r="AO38"/>
  <c r="AQ38"/>
  <c r="AR38"/>
  <c r="AU38"/>
  <c r="AV38"/>
  <c r="AL39"/>
  <c r="AM39"/>
  <c r="AN39"/>
  <c r="AO39"/>
  <c r="AQ39"/>
  <c r="AR39"/>
  <c r="AU39"/>
  <c r="AV39"/>
  <c r="AL40"/>
  <c r="AM40"/>
  <c r="AN40"/>
  <c r="AO40"/>
  <c r="AQ40"/>
  <c r="AR40"/>
  <c r="AU40"/>
  <c r="AV40"/>
  <c r="AL41"/>
  <c r="AM41"/>
  <c r="AN41"/>
  <c r="AO41"/>
  <c r="AQ41"/>
  <c r="AR41"/>
  <c r="AU41"/>
  <c r="AV41"/>
  <c r="AL42"/>
  <c r="AM42"/>
  <c r="AN42"/>
  <c r="AO42"/>
  <c r="AQ42"/>
  <c r="AR42"/>
  <c r="AU42"/>
  <c r="AV42"/>
  <c r="AL43"/>
  <c r="AM43"/>
  <c r="AN43"/>
  <c r="AO43"/>
  <c r="AQ43"/>
  <c r="AR43"/>
  <c r="AU43"/>
  <c r="AV43"/>
  <c r="AL44"/>
  <c r="AM44"/>
  <c r="AN44"/>
  <c r="AO44"/>
  <c r="AQ44"/>
  <c r="AR44"/>
  <c r="AU44"/>
  <c r="AV44"/>
  <c r="AL45"/>
  <c r="AM45"/>
  <c r="AN45"/>
  <c r="AO45"/>
  <c r="AQ45"/>
  <c r="AR45"/>
  <c r="AU45"/>
  <c r="AV45"/>
  <c r="AL46"/>
  <c r="AM46"/>
  <c r="AN46"/>
  <c r="AO46"/>
  <c r="AQ46"/>
  <c r="AR46"/>
  <c r="AU46"/>
  <c r="AV46"/>
  <c r="AL47"/>
  <c r="AM47"/>
  <c r="AN47"/>
  <c r="AO47"/>
  <c r="AQ47"/>
  <c r="AR47"/>
  <c r="AU47"/>
  <c r="AV47"/>
  <c r="AL48"/>
  <c r="AM48"/>
  <c r="AN48"/>
  <c r="AO48"/>
  <c r="AQ48"/>
  <c r="AR48"/>
  <c r="AU48"/>
  <c r="AV48"/>
  <c r="AL49"/>
  <c r="AM49"/>
  <c r="AN49"/>
  <c r="AO49"/>
  <c r="AQ49"/>
  <c r="AR49"/>
  <c r="AU49"/>
  <c r="AV49"/>
  <c r="AL50"/>
  <c r="AM50"/>
  <c r="AN50"/>
  <c r="AO50"/>
  <c r="AQ50"/>
  <c r="AR50"/>
  <c r="AU50"/>
  <c r="AV50"/>
  <c r="AL51"/>
  <c r="AM51"/>
  <c r="AN51"/>
  <c r="AO51"/>
  <c r="AQ51"/>
  <c r="AR51"/>
  <c r="AU51"/>
  <c r="AV51"/>
  <c r="AL52"/>
  <c r="AM52"/>
  <c r="AN52"/>
  <c r="AO52"/>
  <c r="AQ52"/>
  <c r="AR52"/>
  <c r="AU52"/>
  <c r="AV52"/>
  <c r="AL53"/>
  <c r="AM53"/>
  <c r="AN53"/>
  <c r="AO53"/>
  <c r="AQ53"/>
  <c r="AR53"/>
  <c r="AU53"/>
  <c r="AV53"/>
  <c r="AL54"/>
  <c r="AM54"/>
  <c r="AN54"/>
  <c r="AO54"/>
  <c r="AQ54"/>
  <c r="AR54"/>
  <c r="AU54"/>
  <c r="AV54"/>
  <c r="AL55"/>
  <c r="AM55"/>
  <c r="AN55"/>
  <c r="AO55"/>
  <c r="AQ55"/>
  <c r="AR55"/>
  <c r="AU55"/>
  <c r="AV55"/>
  <c r="AL56"/>
  <c r="AM56"/>
  <c r="AN56"/>
  <c r="AO56"/>
  <c r="AQ56"/>
  <c r="AR56"/>
  <c r="AU56"/>
  <c r="AV56"/>
  <c r="AL57"/>
  <c r="AM57"/>
  <c r="AN57"/>
  <c r="AO57"/>
  <c r="AQ57"/>
  <c r="AR57"/>
  <c r="AU57"/>
  <c r="AV57"/>
  <c r="AL58"/>
  <c r="AM58"/>
  <c r="AN58"/>
  <c r="AO58"/>
  <c r="AQ58"/>
  <c r="AR58"/>
  <c r="AU58"/>
  <c r="AV58"/>
  <c r="AL59"/>
  <c r="AM59"/>
  <c r="AN59"/>
  <c r="AO59"/>
  <c r="AQ59"/>
  <c r="AR59"/>
  <c r="AU59"/>
  <c r="AV59"/>
  <c r="AL60"/>
  <c r="AM60"/>
  <c r="AN60"/>
  <c r="AO60"/>
  <c r="AQ60"/>
  <c r="AR60"/>
  <c r="AU60"/>
  <c r="AV60"/>
  <c r="AL61"/>
  <c r="AM61"/>
  <c r="AN61"/>
  <c r="AO61"/>
  <c r="AQ61"/>
  <c r="AR61"/>
  <c r="AU61"/>
  <c r="AV61"/>
  <c r="AL62"/>
  <c r="AM62"/>
  <c r="AN62"/>
  <c r="AO62"/>
  <c r="AQ62"/>
  <c r="AR62"/>
  <c r="AU62"/>
  <c r="AV62"/>
  <c r="AL63"/>
  <c r="AM63"/>
  <c r="AN63"/>
  <c r="AO63"/>
  <c r="AQ63"/>
  <c r="AR63"/>
  <c r="AU63"/>
  <c r="AV63"/>
  <c r="AL64"/>
  <c r="AM64"/>
  <c r="AN64"/>
  <c r="AO64"/>
  <c r="AQ64"/>
  <c r="AR64"/>
  <c r="AU64"/>
  <c r="AV64"/>
  <c r="AL65"/>
  <c r="AM65"/>
  <c r="AN65"/>
  <c r="AO65"/>
  <c r="AQ65"/>
  <c r="AR65"/>
  <c r="AU65"/>
  <c r="AV65"/>
  <c r="AL66"/>
  <c r="AM66"/>
  <c r="AN66"/>
  <c r="AO66"/>
  <c r="AQ66"/>
  <c r="AR66"/>
  <c r="AU66"/>
  <c r="AV66"/>
  <c r="AL67"/>
  <c r="AM67"/>
  <c r="AN67"/>
  <c r="AO67"/>
  <c r="AQ67"/>
  <c r="AR67"/>
  <c r="AU67"/>
  <c r="AV67"/>
  <c r="AL68"/>
  <c r="AM68"/>
  <c r="AN68"/>
  <c r="AO68"/>
  <c r="AQ68"/>
  <c r="AR68"/>
  <c r="AU68"/>
  <c r="AV68"/>
  <c r="AL69"/>
  <c r="AM69"/>
  <c r="AN69"/>
  <c r="AO69"/>
  <c r="AQ69"/>
  <c r="AR69"/>
  <c r="AU69"/>
  <c r="AV69"/>
  <c r="AL70"/>
  <c r="AM70"/>
  <c r="AN70"/>
  <c r="AO70"/>
  <c r="AQ70"/>
  <c r="AR70"/>
  <c r="AU70"/>
  <c r="AV70"/>
  <c r="AL71"/>
  <c r="AM71"/>
  <c r="AN71"/>
  <c r="AO71"/>
  <c r="AQ71"/>
  <c r="AR71"/>
  <c r="AU71"/>
  <c r="AV71"/>
  <c r="AL72"/>
  <c r="AM72"/>
  <c r="AN72"/>
  <c r="AO72"/>
  <c r="AQ72"/>
  <c r="AR72"/>
  <c r="AU72"/>
  <c r="AV72"/>
  <c r="AL73"/>
  <c r="AM73"/>
  <c r="AN73"/>
  <c r="AO73"/>
  <c r="AQ73"/>
  <c r="AR73"/>
  <c r="AU73"/>
  <c r="AV73"/>
  <c r="AL74"/>
  <c r="AM74"/>
  <c r="AN74"/>
  <c r="AO74"/>
  <c r="AQ74"/>
  <c r="AR74"/>
  <c r="AU74"/>
  <c r="AV74"/>
  <c r="AL75"/>
  <c r="AM75"/>
  <c r="AN75"/>
  <c r="AO75"/>
  <c r="AQ75"/>
  <c r="AR75"/>
  <c r="AU75"/>
  <c r="AV75"/>
  <c r="AL76"/>
  <c r="AM76"/>
  <c r="AN76"/>
  <c r="AO76"/>
  <c r="AQ76"/>
  <c r="AR76"/>
  <c r="AU76"/>
  <c r="AV76"/>
  <c r="AL77"/>
  <c r="AM77"/>
  <c r="AN77"/>
  <c r="AO77"/>
  <c r="AQ77"/>
  <c r="AR77"/>
  <c r="AU77"/>
  <c r="AV77"/>
  <c r="AL78"/>
  <c r="AM78"/>
  <c r="AN78"/>
  <c r="AO78"/>
  <c r="AQ78"/>
  <c r="AR78"/>
  <c r="AU78"/>
  <c r="AV78"/>
  <c r="AL79"/>
  <c r="AM79"/>
  <c r="AN79"/>
  <c r="AO79"/>
  <c r="AQ79"/>
  <c r="AR79"/>
  <c r="AU79"/>
  <c r="AV79"/>
  <c r="AL80"/>
  <c r="AM80"/>
  <c r="AN80"/>
  <c r="AO80"/>
  <c r="AQ80"/>
  <c r="AR80"/>
  <c r="AU80"/>
  <c r="AV80"/>
  <c r="AL81"/>
  <c r="AM81"/>
  <c r="AN81"/>
  <c r="AO81"/>
  <c r="AQ81"/>
  <c r="AR81"/>
  <c r="AU81"/>
  <c r="AV81"/>
  <c r="AL82"/>
  <c r="AM82"/>
  <c r="AN82"/>
  <c r="AO82"/>
  <c r="AQ82"/>
  <c r="AR82"/>
  <c r="AU82"/>
  <c r="AV82"/>
  <c r="AL83"/>
  <c r="AM83"/>
  <c r="AN83"/>
  <c r="AO83"/>
  <c r="AQ83"/>
  <c r="AR83"/>
  <c r="AU83"/>
  <c r="AV83"/>
  <c r="AL84"/>
  <c r="AM84"/>
  <c r="AN84"/>
  <c r="AO84"/>
  <c r="AQ84"/>
  <c r="AR84"/>
  <c r="AU84"/>
  <c r="AV84"/>
  <c r="AL85"/>
  <c r="AM85"/>
  <c r="AN85"/>
  <c r="AO85"/>
  <c r="AQ85"/>
  <c r="AR85"/>
  <c r="AU85"/>
  <c r="AV85"/>
  <c r="AL86"/>
  <c r="AM86"/>
  <c r="AN86"/>
  <c r="AO86"/>
  <c r="AQ86"/>
  <c r="AR86"/>
  <c r="AU86"/>
  <c r="AV86"/>
  <c r="AL87"/>
  <c r="AM87"/>
  <c r="AN87"/>
  <c r="AO87"/>
  <c r="AQ87"/>
  <c r="AR87"/>
  <c r="AU87"/>
  <c r="AV87"/>
  <c r="AL88"/>
  <c r="AM88"/>
  <c r="AN88"/>
  <c r="AO88"/>
  <c r="AQ88"/>
  <c r="AR88"/>
  <c r="AU88"/>
  <c r="AV88"/>
  <c r="AL89"/>
  <c r="AM89"/>
  <c r="AN89"/>
  <c r="AO89"/>
  <c r="AQ89"/>
  <c r="AR89"/>
  <c r="AU89"/>
  <c r="AV89"/>
  <c r="AL90"/>
  <c r="AM90"/>
  <c r="AN90"/>
  <c r="AO90"/>
  <c r="AQ90"/>
  <c r="AR90"/>
  <c r="AU90"/>
  <c r="AV90"/>
  <c r="AL91"/>
  <c r="AM91"/>
  <c r="AN91"/>
  <c r="AO91"/>
  <c r="AQ91"/>
  <c r="AR91"/>
  <c r="AU91"/>
  <c r="AV91"/>
  <c r="AL92"/>
  <c r="AM92"/>
  <c r="AN92"/>
  <c r="AO92"/>
  <c r="AQ92"/>
  <c r="AR92"/>
  <c r="AU92"/>
  <c r="AV92"/>
  <c r="AL93"/>
  <c r="AM93"/>
  <c r="AN93"/>
  <c r="AO93"/>
  <c r="AQ93"/>
  <c r="AR93"/>
  <c r="AU93"/>
  <c r="AV93"/>
  <c r="AL94"/>
  <c r="AM94"/>
  <c r="AN94"/>
  <c r="AO94"/>
  <c r="AQ94"/>
  <c r="AR94"/>
  <c r="AU94"/>
  <c r="AV94"/>
  <c r="AL95"/>
  <c r="AM95"/>
  <c r="AN95"/>
  <c r="AO95"/>
  <c r="AQ95"/>
  <c r="AR95"/>
  <c r="AU95"/>
  <c r="AV95"/>
  <c r="AL96"/>
  <c r="AM96"/>
  <c r="AN96"/>
  <c r="AO96"/>
  <c r="AQ96"/>
  <c r="AR96"/>
  <c r="AU96"/>
  <c r="AV96"/>
  <c r="AL97"/>
  <c r="AM97"/>
  <c r="AN97"/>
  <c r="AO97"/>
  <c r="AQ97"/>
  <c r="AR97"/>
  <c r="AU97"/>
  <c r="AV97"/>
  <c r="AL98"/>
  <c r="AM98"/>
  <c r="AN98"/>
  <c r="AO98"/>
  <c r="AQ98"/>
  <c r="AR98"/>
  <c r="AU98"/>
  <c r="AV98"/>
  <c r="AL99"/>
  <c r="AM99"/>
  <c r="AN99"/>
  <c r="AO99"/>
  <c r="AQ99"/>
  <c r="AR99"/>
  <c r="AU99"/>
  <c r="AV99"/>
  <c r="AL100"/>
  <c r="AM100"/>
  <c r="AN100"/>
  <c r="AO100"/>
  <c r="AQ100"/>
  <c r="AR100"/>
  <c r="AU100"/>
  <c r="AV100"/>
  <c r="AL101"/>
  <c r="AM101"/>
  <c r="AN101"/>
  <c r="AO101"/>
  <c r="AQ101"/>
  <c r="AR101"/>
  <c r="AU101"/>
  <c r="AV101"/>
  <c r="AL102"/>
  <c r="AM102"/>
  <c r="AN102"/>
  <c r="AO102"/>
  <c r="AQ102"/>
  <c r="AR102"/>
  <c r="AU102"/>
  <c r="AV102"/>
  <c r="AL103"/>
  <c r="AM103"/>
  <c r="AN103"/>
  <c r="AO103"/>
  <c r="AQ103"/>
  <c r="AR103"/>
  <c r="AU103"/>
  <c r="AV103"/>
  <c r="AL104"/>
  <c r="AM104"/>
  <c r="AN104"/>
  <c r="AO104"/>
  <c r="AQ104"/>
  <c r="AR104"/>
  <c r="AU104"/>
  <c r="AV104"/>
  <c r="AL105"/>
  <c r="AM105"/>
  <c r="AN105"/>
  <c r="AO105"/>
  <c r="AQ105"/>
  <c r="AR105"/>
  <c r="AU105"/>
  <c r="AV105"/>
  <c r="AL106"/>
  <c r="AM106"/>
  <c r="AN106"/>
  <c r="AO106"/>
  <c r="AQ106"/>
  <c r="AR106"/>
  <c r="AU106"/>
  <c r="AV106"/>
  <c r="AL107"/>
  <c r="AM107"/>
  <c r="AN107"/>
  <c r="AO107"/>
  <c r="AQ107"/>
  <c r="AR107"/>
  <c r="AU107"/>
  <c r="AV107"/>
  <c r="AL108"/>
  <c r="AM108"/>
  <c r="AN108"/>
  <c r="AO108"/>
  <c r="AQ108"/>
  <c r="AR108"/>
  <c r="AU108"/>
  <c r="AV108"/>
  <c r="AL109"/>
  <c r="AM109"/>
  <c r="AN109"/>
  <c r="AO109"/>
  <c r="AQ109"/>
  <c r="AR109"/>
  <c r="AU109"/>
  <c r="AV109"/>
  <c r="AL110"/>
  <c r="AM110"/>
  <c r="AN110"/>
  <c r="AO110"/>
  <c r="AQ110"/>
  <c r="AR110"/>
  <c r="AU110"/>
  <c r="AV110"/>
  <c r="AL111"/>
  <c r="AM111"/>
  <c r="AN111"/>
  <c r="AO111"/>
  <c r="AQ111"/>
  <c r="AR111"/>
  <c r="AU111"/>
  <c r="AV111"/>
  <c r="AL112"/>
  <c r="AM112"/>
  <c r="AN112"/>
  <c r="AO112"/>
  <c r="AQ112"/>
  <c r="AR112"/>
  <c r="AU112"/>
  <c r="AV112"/>
  <c r="AL113"/>
  <c r="AM113"/>
  <c r="AN113"/>
  <c r="AO113"/>
  <c r="AQ113"/>
  <c r="AR113"/>
  <c r="AU113"/>
  <c r="AV113"/>
  <c r="AL114"/>
  <c r="AM114"/>
  <c r="AN114"/>
  <c r="AO114"/>
  <c r="AQ114"/>
  <c r="AR114"/>
  <c r="AU114"/>
  <c r="AV114"/>
  <c r="AL115"/>
  <c r="AM115"/>
  <c r="AN115"/>
  <c r="AO115"/>
  <c r="AQ115"/>
  <c r="AR115"/>
  <c r="AU115"/>
  <c r="AV115"/>
  <c r="AL116"/>
  <c r="AM116"/>
  <c r="AN116"/>
  <c r="AO116"/>
  <c r="AQ116"/>
  <c r="AR116"/>
  <c r="AU116"/>
  <c r="AV116"/>
  <c r="AL117"/>
  <c r="AM117"/>
  <c r="AN117"/>
  <c r="AO117"/>
  <c r="AQ117"/>
  <c r="AR117"/>
  <c r="AU117"/>
  <c r="AV117"/>
  <c r="AL118"/>
  <c r="AM118"/>
  <c r="AN118"/>
  <c r="AO118"/>
  <c r="AQ118"/>
  <c r="AR118"/>
  <c r="AU118"/>
  <c r="AV118"/>
  <c r="AL119"/>
  <c r="AM119"/>
  <c r="AN119"/>
  <c r="AO119"/>
  <c r="AQ119"/>
  <c r="AR119"/>
  <c r="AU119"/>
  <c r="AV119"/>
  <c r="AL120"/>
  <c r="AM120"/>
  <c r="AN120"/>
  <c r="AO120"/>
  <c r="AQ120"/>
  <c r="AR120"/>
  <c r="AU120"/>
  <c r="AV120"/>
  <c r="AL121"/>
  <c r="AM121"/>
  <c r="AN121"/>
  <c r="AO121"/>
  <c r="AQ121"/>
  <c r="AR121"/>
  <c r="AU121"/>
  <c r="AV121"/>
  <c r="AL122"/>
  <c r="AM122"/>
  <c r="AN122"/>
  <c r="AO122"/>
  <c r="AQ122"/>
  <c r="AR122"/>
  <c r="AU122"/>
  <c r="AV122"/>
  <c r="AL123"/>
  <c r="AM123"/>
  <c r="AN123"/>
  <c r="AO123"/>
  <c r="AQ123"/>
  <c r="AR123"/>
  <c r="AU123"/>
  <c r="AV123"/>
  <c r="AL124"/>
  <c r="AM124"/>
  <c r="AN124"/>
  <c r="AO124"/>
  <c r="AQ124"/>
  <c r="AR124"/>
  <c r="AU124"/>
  <c r="AV124"/>
  <c r="AL125"/>
  <c r="AM125"/>
  <c r="AN125"/>
  <c r="AO125"/>
  <c r="AQ125"/>
  <c r="AR125"/>
  <c r="AU125"/>
  <c r="AV125"/>
  <c r="AL126"/>
  <c r="AM126"/>
  <c r="AN126"/>
  <c r="AO126"/>
  <c r="AQ126"/>
  <c r="AR126"/>
  <c r="AU126"/>
  <c r="AV126"/>
  <c r="AL127"/>
  <c r="AM127"/>
  <c r="AN127"/>
  <c r="AO127"/>
  <c r="AQ127"/>
  <c r="AR127"/>
  <c r="AU127"/>
  <c r="AV127"/>
  <c r="AL128"/>
  <c r="AM128"/>
  <c r="AN128"/>
  <c r="AO128"/>
  <c r="AQ128"/>
  <c r="AR128"/>
  <c r="AU128"/>
  <c r="AV128"/>
  <c r="AL129"/>
  <c r="AM129"/>
  <c r="AN129"/>
  <c r="AO129"/>
  <c r="AQ129"/>
  <c r="AR129"/>
  <c r="AU129"/>
  <c r="AV129"/>
  <c r="AL130"/>
  <c r="AM130"/>
  <c r="AN130"/>
  <c r="AO130"/>
  <c r="AQ130"/>
  <c r="AR130"/>
  <c r="AU130"/>
  <c r="AV130"/>
  <c r="AL131"/>
  <c r="AM131"/>
  <c r="AN131"/>
  <c r="AO131"/>
  <c r="AQ131"/>
  <c r="AR131"/>
  <c r="AU131"/>
  <c r="AV131"/>
  <c r="AL132"/>
  <c r="AM132"/>
  <c r="AN132"/>
  <c r="AO132"/>
  <c r="AQ132"/>
  <c r="AR132"/>
  <c r="AU132"/>
  <c r="AV132"/>
  <c r="AL133"/>
  <c r="AM133"/>
  <c r="AN133"/>
  <c r="AO133"/>
  <c r="AQ133"/>
  <c r="AR133"/>
  <c r="AU133"/>
  <c r="AV133"/>
  <c r="AL134"/>
  <c r="AM134"/>
  <c r="AN134"/>
  <c r="AO134"/>
  <c r="AQ134"/>
  <c r="AR134"/>
  <c r="AU134"/>
  <c r="AV134"/>
  <c r="AL135"/>
  <c r="AM135"/>
  <c r="AN135"/>
  <c r="AO135"/>
  <c r="AQ135"/>
  <c r="AR135"/>
  <c r="AU135"/>
  <c r="AV135"/>
  <c r="AL136"/>
  <c r="AM136"/>
  <c r="AN136"/>
  <c r="AO136"/>
  <c r="AQ136"/>
  <c r="AR136"/>
  <c r="AU136"/>
  <c r="AV136"/>
  <c r="AL137"/>
  <c r="AM137"/>
  <c r="AN137"/>
  <c r="AO137"/>
  <c r="AQ137"/>
  <c r="AR137"/>
  <c r="AU137"/>
  <c r="AV137"/>
  <c r="AL138"/>
  <c r="AM138"/>
  <c r="AN138"/>
  <c r="AO138"/>
  <c r="AQ138"/>
  <c r="AR138"/>
  <c r="AU138"/>
  <c r="AV138"/>
  <c r="AL139"/>
  <c r="AM139"/>
  <c r="AN139"/>
  <c r="AO139"/>
  <c r="AQ139"/>
  <c r="AR139"/>
  <c r="AU139"/>
  <c r="AV139"/>
  <c r="AL140"/>
  <c r="AM140"/>
  <c r="AN140"/>
  <c r="AO140"/>
  <c r="AQ140"/>
  <c r="AR140"/>
  <c r="AU140"/>
  <c r="AV140"/>
  <c r="AL141"/>
  <c r="AM141"/>
  <c r="AN141"/>
  <c r="AO141"/>
  <c r="AQ141"/>
  <c r="AR141"/>
  <c r="AU141"/>
  <c r="AV141"/>
  <c r="AL142"/>
  <c r="AM142"/>
  <c r="AN142"/>
  <c r="AO142"/>
  <c r="AQ142"/>
  <c r="AR142"/>
  <c r="AU142"/>
  <c r="AV142"/>
  <c r="AL143"/>
  <c r="AM143"/>
  <c r="AN143"/>
  <c r="AO143"/>
  <c r="AQ143"/>
  <c r="AR143"/>
  <c r="AU143"/>
  <c r="AV143"/>
  <c r="AL144"/>
  <c r="AM144"/>
  <c r="AN144"/>
  <c r="AO144"/>
  <c r="AQ144"/>
  <c r="AR144"/>
  <c r="AU144"/>
  <c r="AV144"/>
  <c r="AL145"/>
  <c r="AM145"/>
  <c r="AN145"/>
  <c r="AO145"/>
  <c r="AQ145"/>
  <c r="AR145"/>
  <c r="AU145"/>
  <c r="AV145"/>
  <c r="AL146"/>
  <c r="AM146"/>
  <c r="AN146"/>
  <c r="AO146"/>
  <c r="AQ146"/>
  <c r="AR146"/>
  <c r="AU146"/>
  <c r="AV146"/>
  <c r="AL147"/>
  <c r="AM147"/>
  <c r="AN147"/>
  <c r="AO147"/>
  <c r="AQ147"/>
  <c r="AR147"/>
  <c r="AU147"/>
  <c r="AV147"/>
  <c r="AL148"/>
  <c r="AM148"/>
  <c r="AN148"/>
  <c r="AO148"/>
  <c r="AQ148"/>
  <c r="AR148"/>
  <c r="AU148"/>
  <c r="AV148"/>
  <c r="AL149"/>
  <c r="AM149"/>
  <c r="AN149"/>
  <c r="AO149"/>
  <c r="AQ149"/>
  <c r="AR149"/>
  <c r="AU149"/>
  <c r="AV149"/>
  <c r="AL150"/>
  <c r="AM150"/>
  <c r="AN150"/>
  <c r="AO150"/>
  <c r="AQ150"/>
  <c r="AR150"/>
  <c r="AU150"/>
  <c r="AV150"/>
  <c r="AL151"/>
  <c r="AM151"/>
  <c r="AN151"/>
  <c r="AO151"/>
  <c r="AQ151"/>
  <c r="AR151"/>
  <c r="AU151"/>
  <c r="AV151"/>
  <c r="AL152"/>
  <c r="AM152"/>
  <c r="AN152"/>
  <c r="AO152"/>
  <c r="AQ152"/>
  <c r="AR152"/>
  <c r="AU152"/>
  <c r="AV152"/>
  <c r="AL153"/>
  <c r="AM153"/>
  <c r="AN153"/>
  <c r="AO153"/>
  <c r="AQ153"/>
  <c r="AR153"/>
  <c r="AU153"/>
  <c r="AV153"/>
  <c r="AL154"/>
  <c r="AM154"/>
  <c r="AN154"/>
  <c r="AO154"/>
  <c r="AQ154"/>
  <c r="AR154"/>
  <c r="AU154"/>
  <c r="AV154"/>
  <c r="AL155"/>
  <c r="AM155"/>
  <c r="AN155"/>
  <c r="AO155"/>
  <c r="AQ155"/>
  <c r="AR155"/>
  <c r="AU155"/>
  <c r="AV155"/>
  <c r="AL156"/>
  <c r="AM156"/>
  <c r="AN156"/>
  <c r="AO156"/>
  <c r="AQ156"/>
  <c r="AR156"/>
  <c r="AU156"/>
  <c r="AV156"/>
  <c r="AL157"/>
  <c r="AM157"/>
  <c r="AN157"/>
  <c r="AO157"/>
  <c r="AQ157"/>
  <c r="AR157"/>
  <c r="AU157"/>
  <c r="AV157"/>
  <c r="AL158"/>
  <c r="AM158"/>
  <c r="AN158"/>
  <c r="AO158"/>
  <c r="AQ158"/>
  <c r="AR158"/>
  <c r="AU158"/>
  <c r="AV158"/>
  <c r="AL159"/>
  <c r="AM159"/>
  <c r="AN159"/>
  <c r="AO159"/>
  <c r="AQ159"/>
  <c r="AR159"/>
  <c r="AU159"/>
  <c r="AV159"/>
  <c r="AL160"/>
  <c r="AM160"/>
  <c r="AN160"/>
  <c r="AO160"/>
  <c r="AQ160"/>
  <c r="AR160"/>
  <c r="AU160"/>
  <c r="AV160"/>
  <c r="AL161"/>
  <c r="AM161"/>
  <c r="AN161"/>
  <c r="AO161"/>
  <c r="AQ161"/>
  <c r="AR161"/>
  <c r="AU161"/>
  <c r="AV161"/>
  <c r="AL162"/>
  <c r="AM162"/>
  <c r="AN162"/>
  <c r="AO162"/>
  <c r="AQ162"/>
  <c r="AR162"/>
  <c r="AU162"/>
  <c r="AV162"/>
  <c r="AL163"/>
  <c r="AM163"/>
  <c r="AN163"/>
  <c r="AO163"/>
  <c r="AQ163"/>
  <c r="AR163"/>
  <c r="AU163"/>
  <c r="AV163"/>
  <c r="AL164"/>
  <c r="AM164"/>
  <c r="AN164"/>
  <c r="AO164"/>
  <c r="AQ164"/>
  <c r="AR164"/>
  <c r="AU164"/>
  <c r="AV164"/>
  <c r="AL165"/>
  <c r="AM165"/>
  <c r="AN165"/>
  <c r="AO165"/>
  <c r="AQ165"/>
  <c r="AR165"/>
  <c r="AU165"/>
  <c r="AV165"/>
  <c r="AL166"/>
  <c r="AM166"/>
  <c r="AN166"/>
  <c r="AO166"/>
  <c r="AQ166"/>
  <c r="AR166"/>
  <c r="AU166"/>
  <c r="AV166"/>
  <c r="AL167"/>
  <c r="AM167"/>
  <c r="AN167"/>
  <c r="AO167"/>
  <c r="AQ167"/>
  <c r="AR167"/>
  <c r="AU167"/>
  <c r="AV167"/>
  <c r="AL168"/>
  <c r="AM168"/>
  <c r="AN168"/>
  <c r="AO168"/>
  <c r="AQ168"/>
  <c r="AR168"/>
  <c r="AU168"/>
  <c r="AV168"/>
  <c r="AL169"/>
  <c r="AM169"/>
  <c r="AN169"/>
  <c r="AO169"/>
  <c r="AQ169"/>
  <c r="AR169"/>
  <c r="AU169"/>
  <c r="AV169"/>
  <c r="AL170"/>
  <c r="AM170"/>
  <c r="AN170"/>
  <c r="AO170"/>
  <c r="AQ170"/>
  <c r="AR170"/>
  <c r="AU170"/>
  <c r="AV170"/>
  <c r="AL171"/>
  <c r="AM171"/>
  <c r="AN171"/>
  <c r="AO171"/>
  <c r="AQ171"/>
  <c r="AR171"/>
  <c r="AU171"/>
  <c r="AV171"/>
  <c r="AL172"/>
  <c r="AM172"/>
  <c r="AN172"/>
  <c r="AO172"/>
  <c r="AQ172"/>
  <c r="AR172"/>
  <c r="AU172"/>
  <c r="AV172"/>
  <c r="AL173"/>
  <c r="AM173"/>
  <c r="AN173"/>
  <c r="AO173"/>
  <c r="AQ173"/>
  <c r="AR173"/>
  <c r="AU173"/>
  <c r="AV173"/>
  <c r="AL174"/>
  <c r="AM174"/>
  <c r="AN174"/>
  <c r="AO174"/>
  <c r="AQ174"/>
  <c r="AR174"/>
  <c r="AU174"/>
  <c r="AV174"/>
  <c r="AL175"/>
  <c r="AM175"/>
  <c r="AN175"/>
  <c r="AO175"/>
  <c r="AQ175"/>
  <c r="AR175"/>
  <c r="AU175"/>
  <c r="AV175"/>
  <c r="AL176"/>
  <c r="AM176"/>
  <c r="AN176"/>
  <c r="AO176"/>
  <c r="AQ176"/>
  <c r="AR176"/>
  <c r="AU176"/>
  <c r="AV176"/>
  <c r="AL177"/>
  <c r="AM177"/>
  <c r="AN177"/>
  <c r="AO177"/>
  <c r="AQ177"/>
  <c r="AR177"/>
  <c r="AU177"/>
  <c r="AV177"/>
  <c r="AL178"/>
  <c r="AM178"/>
  <c r="AN178"/>
  <c r="AO178"/>
  <c r="AQ178"/>
  <c r="AR178"/>
  <c r="AU178"/>
  <c r="AV178"/>
  <c r="AL179"/>
  <c r="AM179"/>
  <c r="AN179"/>
  <c r="AO179"/>
  <c r="AQ179"/>
  <c r="AR179"/>
  <c r="AU179"/>
  <c r="AV179"/>
  <c r="AL180"/>
  <c r="AM180"/>
  <c r="AN180"/>
  <c r="AO180"/>
  <c r="AQ180"/>
  <c r="AR180"/>
  <c r="AU180"/>
  <c r="AV180"/>
  <c r="AL181"/>
  <c r="AM181"/>
  <c r="AN181"/>
  <c r="AO181"/>
  <c r="AQ181"/>
  <c r="AR181"/>
  <c r="AU181"/>
  <c r="AV181"/>
  <c r="AL182"/>
  <c r="AM182"/>
  <c r="AN182"/>
  <c r="AO182"/>
  <c r="AQ182"/>
  <c r="AR182"/>
  <c r="AU182"/>
  <c r="AV182"/>
  <c r="AL183"/>
  <c r="AM183"/>
  <c r="AN183"/>
  <c r="AO183"/>
  <c r="AQ183"/>
  <c r="AR183"/>
  <c r="AU183"/>
  <c r="AV183"/>
  <c r="AL184"/>
  <c r="AM184"/>
  <c r="AN184"/>
  <c r="AO184"/>
  <c r="AQ184"/>
  <c r="AR184"/>
  <c r="AU184"/>
  <c r="AV184"/>
  <c r="AL185"/>
  <c r="AM185"/>
  <c r="AN185"/>
  <c r="AO185"/>
  <c r="AQ185"/>
  <c r="AR185"/>
  <c r="AU185"/>
  <c r="AV185"/>
  <c r="AL186"/>
  <c r="AM186"/>
  <c r="AN186"/>
  <c r="AO186"/>
  <c r="AQ186"/>
  <c r="AR186"/>
  <c r="AU186"/>
  <c r="AV186"/>
  <c r="AL187"/>
  <c r="AM187"/>
  <c r="AN187"/>
  <c r="AO187"/>
  <c r="AQ187"/>
  <c r="AR187"/>
  <c r="AU187"/>
  <c r="AV187"/>
  <c r="AL188"/>
  <c r="AM188"/>
  <c r="AN188"/>
  <c r="AO188"/>
  <c r="AQ188"/>
  <c r="AR188"/>
  <c r="AU188"/>
  <c r="AV188"/>
  <c r="AL189"/>
  <c r="AM189"/>
  <c r="AN189"/>
  <c r="AO189"/>
  <c r="AQ189"/>
  <c r="AR189"/>
  <c r="AU189"/>
  <c r="AV189"/>
  <c r="AL190"/>
  <c r="AM190"/>
  <c r="AN190"/>
  <c r="AO190"/>
  <c r="AQ190"/>
  <c r="AR190"/>
  <c r="AU190"/>
  <c r="AV190"/>
  <c r="AL191"/>
  <c r="AM191"/>
  <c r="AN191"/>
  <c r="AO191"/>
  <c r="AQ191"/>
  <c r="AR191"/>
  <c r="AU191"/>
  <c r="AV191"/>
  <c r="AL192"/>
  <c r="AM192"/>
  <c r="AN192"/>
  <c r="AO192"/>
  <c r="AQ192"/>
  <c r="AR192"/>
  <c r="AU192"/>
  <c r="AV192"/>
  <c r="AL193"/>
  <c r="AM193"/>
  <c r="AN193"/>
  <c r="AO193"/>
  <c r="AQ193"/>
  <c r="AR193"/>
  <c r="AU193"/>
  <c r="AV193"/>
  <c r="AL194"/>
  <c r="AM194"/>
  <c r="AN194"/>
  <c r="AO194"/>
  <c r="AQ194"/>
  <c r="AR194"/>
  <c r="AU194"/>
  <c r="AV194"/>
  <c r="AL195"/>
  <c r="AM195"/>
  <c r="AN195"/>
  <c r="AO195"/>
  <c r="AQ195"/>
  <c r="AR195"/>
  <c r="AU195"/>
  <c r="AV195"/>
  <c r="AL196"/>
  <c r="AM196"/>
  <c r="AN196"/>
  <c r="AO196"/>
  <c r="AQ196"/>
  <c r="AR196"/>
  <c r="AU196"/>
  <c r="AV196"/>
  <c r="AL197"/>
  <c r="AM197"/>
  <c r="AN197"/>
  <c r="AO197"/>
  <c r="AQ197"/>
  <c r="AR197"/>
  <c r="AU197"/>
  <c r="AV197"/>
  <c r="AL198"/>
  <c r="AM198"/>
  <c r="AN198"/>
  <c r="AO198"/>
  <c r="AQ198"/>
  <c r="AR198"/>
  <c r="AU198"/>
  <c r="AV198"/>
  <c r="AL199"/>
  <c r="AM199"/>
  <c r="AN199"/>
  <c r="AO199"/>
  <c r="AQ199"/>
  <c r="AR199"/>
  <c r="AU199"/>
  <c r="AV199"/>
  <c r="AL200"/>
  <c r="AM200"/>
  <c r="AN200"/>
  <c r="AO200"/>
  <c r="AQ200"/>
  <c r="AR200"/>
  <c r="AU200"/>
  <c r="AV200"/>
  <c r="AL201"/>
  <c r="AM201"/>
  <c r="AN201"/>
  <c r="AO201"/>
  <c r="AQ201"/>
  <c r="AR201"/>
  <c r="AU201"/>
  <c r="AV201"/>
  <c r="AL202"/>
  <c r="AM202"/>
  <c r="AN202"/>
  <c r="AO202"/>
  <c r="AQ202"/>
  <c r="AR202"/>
  <c r="AU202"/>
  <c r="AV202"/>
  <c r="AL203"/>
  <c r="AM203"/>
  <c r="AN203"/>
  <c r="AO203"/>
  <c r="AQ203"/>
  <c r="AR203"/>
  <c r="AU203"/>
  <c r="AV203"/>
  <c r="AL204"/>
  <c r="AM204"/>
  <c r="AN204"/>
  <c r="AO204"/>
  <c r="AQ204"/>
  <c r="AR204"/>
  <c r="AU204"/>
  <c r="AV204"/>
  <c r="AL205"/>
  <c r="AM205"/>
  <c r="AN205"/>
  <c r="AO205"/>
  <c r="AQ205"/>
  <c r="AR205"/>
  <c r="AU205"/>
  <c r="AV205"/>
  <c r="AL206"/>
  <c r="AM206"/>
  <c r="AN206"/>
  <c r="AO206"/>
  <c r="AQ206"/>
  <c r="AR206"/>
  <c r="AU206"/>
  <c r="AV206"/>
  <c r="AL207"/>
  <c r="AM207"/>
  <c r="AN207"/>
  <c r="AO207"/>
  <c r="AQ207"/>
  <c r="AR207"/>
  <c r="AU207"/>
  <c r="AV207"/>
  <c r="AV8"/>
  <c r="AU8"/>
  <c r="AY4"/>
  <c r="Z5" i="8"/>
  <c r="AR5" i="9" s="1"/>
  <c r="AX4"/>
  <c r="Y5" i="8"/>
  <c r="AQ5" i="9" s="1"/>
  <c r="AT4"/>
  <c r="AP5"/>
  <c r="AV6"/>
  <c r="AV7"/>
  <c r="AR6"/>
  <c r="AR7"/>
  <c r="AN8"/>
  <c r="AO8"/>
  <c r="AO6"/>
  <c r="AN6"/>
  <c r="U4" i="8"/>
  <c r="AL4" i="9" s="1"/>
  <c r="AW3"/>
  <c r="X9"/>
  <c r="Y9"/>
  <c r="Z9"/>
  <c r="AB9"/>
  <c r="AD9"/>
  <c r="X10"/>
  <c r="Y10"/>
  <c r="Z10"/>
  <c r="AB10"/>
  <c r="AD10"/>
  <c r="X11"/>
  <c r="Y11"/>
  <c r="Z11"/>
  <c r="AB11"/>
  <c r="AD11"/>
  <c r="X12"/>
  <c r="Y12"/>
  <c r="Z12"/>
  <c r="AB12"/>
  <c r="AD12"/>
  <c r="X13"/>
  <c r="Y13"/>
  <c r="Z13"/>
  <c r="AB13"/>
  <c r="AD13"/>
  <c r="X14"/>
  <c r="Y14"/>
  <c r="Z14"/>
  <c r="AB14"/>
  <c r="AD14"/>
  <c r="X15"/>
  <c r="Y15"/>
  <c r="Z15"/>
  <c r="AB15"/>
  <c r="AD15"/>
  <c r="X16"/>
  <c r="Y16"/>
  <c r="Z16"/>
  <c r="AB16"/>
  <c r="AD16"/>
  <c r="X17"/>
  <c r="Y17"/>
  <c r="Z17"/>
  <c r="AB17"/>
  <c r="AD17"/>
  <c r="X18"/>
  <c r="Y18"/>
  <c r="Z18"/>
  <c r="AB18"/>
  <c r="AD18"/>
  <c r="X19"/>
  <c r="Y19"/>
  <c r="Z19"/>
  <c r="AB19"/>
  <c r="AD19"/>
  <c r="X20"/>
  <c r="Y20"/>
  <c r="Z20"/>
  <c r="AB20"/>
  <c r="AD20"/>
  <c r="X21"/>
  <c r="Y21"/>
  <c r="Z21"/>
  <c r="AB21"/>
  <c r="AD21"/>
  <c r="X22"/>
  <c r="Y22"/>
  <c r="Z22"/>
  <c r="AB22"/>
  <c r="AD22"/>
  <c r="X23"/>
  <c r="Y23"/>
  <c r="Z23"/>
  <c r="AB23"/>
  <c r="AD23"/>
  <c r="X24"/>
  <c r="Y24"/>
  <c r="Z24"/>
  <c r="AB24"/>
  <c r="AD24"/>
  <c r="X25"/>
  <c r="Y25"/>
  <c r="Z25"/>
  <c r="AB25"/>
  <c r="AD25"/>
  <c r="X26"/>
  <c r="Y26"/>
  <c r="Z26"/>
  <c r="AB26"/>
  <c r="AD26"/>
  <c r="X27"/>
  <c r="Y27"/>
  <c r="Z27"/>
  <c r="AB27"/>
  <c r="AD27"/>
  <c r="X28"/>
  <c r="Y28"/>
  <c r="Z28"/>
  <c r="AB28"/>
  <c r="AD28"/>
  <c r="X29"/>
  <c r="Y29"/>
  <c r="Z29"/>
  <c r="AB29"/>
  <c r="AD29"/>
  <c r="X30"/>
  <c r="Y30"/>
  <c r="Z30"/>
  <c r="AB30"/>
  <c r="AD30"/>
  <c r="X31"/>
  <c r="Y31"/>
  <c r="Z31"/>
  <c r="AB31"/>
  <c r="AD31"/>
  <c r="X32"/>
  <c r="Y32"/>
  <c r="Z32"/>
  <c r="AB32"/>
  <c r="AD32"/>
  <c r="X33"/>
  <c r="Y33"/>
  <c r="Z33"/>
  <c r="AB33"/>
  <c r="AD33"/>
  <c r="X34"/>
  <c r="Y34"/>
  <c r="Z34"/>
  <c r="AB34"/>
  <c r="AD34"/>
  <c r="X35"/>
  <c r="Y35"/>
  <c r="Z35"/>
  <c r="AB35"/>
  <c r="AD35"/>
  <c r="X36"/>
  <c r="Y36"/>
  <c r="Z36"/>
  <c r="AB36"/>
  <c r="AD36"/>
  <c r="X37"/>
  <c r="Y37"/>
  <c r="Z37"/>
  <c r="AB37"/>
  <c r="AD37"/>
  <c r="X38"/>
  <c r="Y38"/>
  <c r="Z38"/>
  <c r="AB38"/>
  <c r="AD38"/>
  <c r="X39"/>
  <c r="Y39"/>
  <c r="Z39"/>
  <c r="AB39"/>
  <c r="AD39"/>
  <c r="X40"/>
  <c r="Y40"/>
  <c r="Z40"/>
  <c r="AB40"/>
  <c r="AD40"/>
  <c r="X41"/>
  <c r="Y41"/>
  <c r="Z41"/>
  <c r="AB41"/>
  <c r="AD41"/>
  <c r="X42"/>
  <c r="Y42"/>
  <c r="Z42"/>
  <c r="AB42"/>
  <c r="AD42"/>
  <c r="X43"/>
  <c r="Y43"/>
  <c r="Z43"/>
  <c r="AB43"/>
  <c r="AD43"/>
  <c r="X44"/>
  <c r="Y44"/>
  <c r="Z44"/>
  <c r="AB44"/>
  <c r="AD44"/>
  <c r="X45"/>
  <c r="Y45"/>
  <c r="Z45"/>
  <c r="AB45"/>
  <c r="AD45"/>
  <c r="X46"/>
  <c r="Y46"/>
  <c r="Z46"/>
  <c r="AB46"/>
  <c r="AD46"/>
  <c r="X47"/>
  <c r="Y47"/>
  <c r="Z47"/>
  <c r="AB47"/>
  <c r="AD47"/>
  <c r="X48"/>
  <c r="Y48"/>
  <c r="Z48"/>
  <c r="AB48"/>
  <c r="AD48"/>
  <c r="X49"/>
  <c r="Y49"/>
  <c r="Z49"/>
  <c r="AB49"/>
  <c r="AD49"/>
  <c r="X50"/>
  <c r="Y50"/>
  <c r="Z50"/>
  <c r="AB50"/>
  <c r="AD50"/>
  <c r="X51"/>
  <c r="Y51"/>
  <c r="Z51"/>
  <c r="AB51"/>
  <c r="AD51"/>
  <c r="X52"/>
  <c r="Y52"/>
  <c r="Z52"/>
  <c r="AB52"/>
  <c r="AD52"/>
  <c r="X53"/>
  <c r="Y53"/>
  <c r="Z53"/>
  <c r="AB53"/>
  <c r="AD53"/>
  <c r="X54"/>
  <c r="Y54"/>
  <c r="Z54"/>
  <c r="AB54"/>
  <c r="AD54"/>
  <c r="X55"/>
  <c r="Y55"/>
  <c r="Z55"/>
  <c r="AB55"/>
  <c r="AD55"/>
  <c r="X56"/>
  <c r="Y56"/>
  <c r="Z56"/>
  <c r="AB56"/>
  <c r="AD56"/>
  <c r="X57"/>
  <c r="Y57"/>
  <c r="Z57"/>
  <c r="AB57"/>
  <c r="AD57"/>
  <c r="X58"/>
  <c r="Y58"/>
  <c r="Z58"/>
  <c r="AB58"/>
  <c r="AD58"/>
  <c r="X59"/>
  <c r="Y59"/>
  <c r="Z59"/>
  <c r="AB59"/>
  <c r="AD59"/>
  <c r="X60"/>
  <c r="Y60"/>
  <c r="Z60"/>
  <c r="AB60"/>
  <c r="AD60"/>
  <c r="X61"/>
  <c r="Y61"/>
  <c r="Z61"/>
  <c r="AB61"/>
  <c r="AD61"/>
  <c r="X62"/>
  <c r="Y62"/>
  <c r="Z62"/>
  <c r="AB62"/>
  <c r="AD62"/>
  <c r="X63"/>
  <c r="Y63"/>
  <c r="Z63"/>
  <c r="AB63"/>
  <c r="AD63"/>
  <c r="X64"/>
  <c r="Y64"/>
  <c r="Z64"/>
  <c r="AB64"/>
  <c r="AD64"/>
  <c r="X65"/>
  <c r="Y65"/>
  <c r="Z65"/>
  <c r="AB65"/>
  <c r="AD65"/>
  <c r="X66"/>
  <c r="Y66"/>
  <c r="Z66"/>
  <c r="AB66"/>
  <c r="AD66"/>
  <c r="X67"/>
  <c r="Y67"/>
  <c r="Z67"/>
  <c r="AB67"/>
  <c r="AD67"/>
  <c r="X68"/>
  <c r="Y68"/>
  <c r="Z68"/>
  <c r="AB68"/>
  <c r="AD68"/>
  <c r="X69"/>
  <c r="Y69"/>
  <c r="Z69"/>
  <c r="AB69"/>
  <c r="AD69"/>
  <c r="X70"/>
  <c r="Y70"/>
  <c r="Z70"/>
  <c r="AB70"/>
  <c r="AD70"/>
  <c r="X71"/>
  <c r="Y71"/>
  <c r="Z71"/>
  <c r="AB71"/>
  <c r="AD71"/>
  <c r="X72"/>
  <c r="Y72"/>
  <c r="Z72"/>
  <c r="AB72"/>
  <c r="AD72"/>
  <c r="X73"/>
  <c r="Y73"/>
  <c r="Z73"/>
  <c r="AB73"/>
  <c r="AD73"/>
  <c r="X74"/>
  <c r="Y74"/>
  <c r="Z74"/>
  <c r="AB74"/>
  <c r="AD74"/>
  <c r="X75"/>
  <c r="Y75"/>
  <c r="Z75"/>
  <c r="AB75"/>
  <c r="AD75"/>
  <c r="X76"/>
  <c r="Y76"/>
  <c r="Z76"/>
  <c r="AB76"/>
  <c r="AD76"/>
  <c r="X77"/>
  <c r="Y77"/>
  <c r="Z77"/>
  <c r="AB77"/>
  <c r="AD77"/>
  <c r="X78"/>
  <c r="Y78"/>
  <c r="Z78"/>
  <c r="AB78"/>
  <c r="AD78"/>
  <c r="X79"/>
  <c r="Y79"/>
  <c r="Z79"/>
  <c r="AB79"/>
  <c r="AD79"/>
  <c r="X80"/>
  <c r="Y80"/>
  <c r="Z80"/>
  <c r="AB80"/>
  <c r="AD80"/>
  <c r="X81"/>
  <c r="Y81"/>
  <c r="Z81"/>
  <c r="AB81"/>
  <c r="AD81"/>
  <c r="X82"/>
  <c r="Y82"/>
  <c r="Z82"/>
  <c r="AB82"/>
  <c r="AD82"/>
  <c r="X83"/>
  <c r="Y83"/>
  <c r="Z83"/>
  <c r="AB83"/>
  <c r="AD83"/>
  <c r="X84"/>
  <c r="Y84"/>
  <c r="Z84"/>
  <c r="AB84"/>
  <c r="AD84"/>
  <c r="X85"/>
  <c r="Y85"/>
  <c r="Z85"/>
  <c r="AB85"/>
  <c r="AD85"/>
  <c r="X86"/>
  <c r="Y86"/>
  <c r="Z86"/>
  <c r="AB86"/>
  <c r="AD86"/>
  <c r="X87"/>
  <c r="Y87"/>
  <c r="Z87"/>
  <c r="AB87"/>
  <c r="AD87"/>
  <c r="X88"/>
  <c r="Y88"/>
  <c r="Z88"/>
  <c r="AB88"/>
  <c r="AD88"/>
  <c r="X89"/>
  <c r="Y89"/>
  <c r="Z89"/>
  <c r="AB89"/>
  <c r="AD89"/>
  <c r="X90"/>
  <c r="Y90"/>
  <c r="Z90"/>
  <c r="AB90"/>
  <c r="AD90"/>
  <c r="X91"/>
  <c r="Y91"/>
  <c r="Z91"/>
  <c r="AB91"/>
  <c r="AD91"/>
  <c r="X92"/>
  <c r="Y92"/>
  <c r="Z92"/>
  <c r="AB92"/>
  <c r="AD92"/>
  <c r="X93"/>
  <c r="Y93"/>
  <c r="Z93"/>
  <c r="AB93"/>
  <c r="AD93"/>
  <c r="X94"/>
  <c r="Y94"/>
  <c r="Z94"/>
  <c r="AB94"/>
  <c r="AD94"/>
  <c r="X95"/>
  <c r="Y95"/>
  <c r="Z95"/>
  <c r="AB95"/>
  <c r="AD95"/>
  <c r="X96"/>
  <c r="Y96"/>
  <c r="Z96"/>
  <c r="AB96"/>
  <c r="AD96"/>
  <c r="X97"/>
  <c r="Y97"/>
  <c r="Z97"/>
  <c r="AB97"/>
  <c r="AD97"/>
  <c r="X98"/>
  <c r="Y98"/>
  <c r="Z98"/>
  <c r="AB98"/>
  <c r="AD98"/>
  <c r="X99"/>
  <c r="Y99"/>
  <c r="Z99"/>
  <c r="AB99"/>
  <c r="AD99"/>
  <c r="X100"/>
  <c r="Y100"/>
  <c r="Z100"/>
  <c r="AB100"/>
  <c r="AD100"/>
  <c r="X101"/>
  <c r="Y101"/>
  <c r="Z101"/>
  <c r="AB101"/>
  <c r="AD101"/>
  <c r="X102"/>
  <c r="Y102"/>
  <c r="Z102"/>
  <c r="AB102"/>
  <c r="AD102"/>
  <c r="X103"/>
  <c r="Y103"/>
  <c r="Z103"/>
  <c r="AB103"/>
  <c r="AD103"/>
  <c r="X104"/>
  <c r="Y104"/>
  <c r="Z104"/>
  <c r="AB104"/>
  <c r="AD104"/>
  <c r="X105"/>
  <c r="Y105"/>
  <c r="Z105"/>
  <c r="AB105"/>
  <c r="AD105"/>
  <c r="X106"/>
  <c r="Y106"/>
  <c r="Z106"/>
  <c r="AB106"/>
  <c r="AD106"/>
  <c r="X107"/>
  <c r="Y107"/>
  <c r="Z107"/>
  <c r="AB107"/>
  <c r="AD107"/>
  <c r="X108"/>
  <c r="Y108"/>
  <c r="Z108"/>
  <c r="AB108"/>
  <c r="AD108"/>
  <c r="X109"/>
  <c r="Y109"/>
  <c r="Z109"/>
  <c r="AB109"/>
  <c r="AD109"/>
  <c r="X110"/>
  <c r="Y110"/>
  <c r="Z110"/>
  <c r="AB110"/>
  <c r="AD110"/>
  <c r="X111"/>
  <c r="Y111"/>
  <c r="Z111"/>
  <c r="AB111"/>
  <c r="AD111"/>
  <c r="X112"/>
  <c r="Y112"/>
  <c r="Z112"/>
  <c r="AB112"/>
  <c r="AD112"/>
  <c r="X113"/>
  <c r="Y113"/>
  <c r="Z113"/>
  <c r="AB113"/>
  <c r="AD113"/>
  <c r="X114"/>
  <c r="Y114"/>
  <c r="Z114"/>
  <c r="AB114"/>
  <c r="AD114"/>
  <c r="X115"/>
  <c r="Y115"/>
  <c r="Z115"/>
  <c r="AB115"/>
  <c r="AD115"/>
  <c r="X116"/>
  <c r="Y116"/>
  <c r="Z116"/>
  <c r="AB116"/>
  <c r="AD116"/>
  <c r="X117"/>
  <c r="Y117"/>
  <c r="Z117"/>
  <c r="AB117"/>
  <c r="AD117"/>
  <c r="X118"/>
  <c r="Y118"/>
  <c r="Z118"/>
  <c r="AB118"/>
  <c r="AD118"/>
  <c r="X119"/>
  <c r="Y119"/>
  <c r="Z119"/>
  <c r="AB119"/>
  <c r="AD119"/>
  <c r="X120"/>
  <c r="Y120"/>
  <c r="Z120"/>
  <c r="AB120"/>
  <c r="AD120"/>
  <c r="X121"/>
  <c r="Y121"/>
  <c r="Z121"/>
  <c r="AB121"/>
  <c r="AD121"/>
  <c r="X122"/>
  <c r="Y122"/>
  <c r="Z122"/>
  <c r="AB122"/>
  <c r="AD122"/>
  <c r="X123"/>
  <c r="Y123"/>
  <c r="Z123"/>
  <c r="AB123"/>
  <c r="AD123"/>
  <c r="X124"/>
  <c r="Y124"/>
  <c r="Z124"/>
  <c r="AB124"/>
  <c r="AD124"/>
  <c r="X125"/>
  <c r="Y125"/>
  <c r="Z125"/>
  <c r="AB125"/>
  <c r="AD125"/>
  <c r="X126"/>
  <c r="Y126"/>
  <c r="Z126"/>
  <c r="AB126"/>
  <c r="AD126"/>
  <c r="X127"/>
  <c r="Y127"/>
  <c r="Z127"/>
  <c r="AB127"/>
  <c r="AD127"/>
  <c r="X128"/>
  <c r="Y128"/>
  <c r="Z128"/>
  <c r="AB128"/>
  <c r="AD128"/>
  <c r="X129"/>
  <c r="Y129"/>
  <c r="Z129"/>
  <c r="AB129"/>
  <c r="AD129"/>
  <c r="X130"/>
  <c r="Y130"/>
  <c r="Z130"/>
  <c r="AB130"/>
  <c r="AD130"/>
  <c r="X131"/>
  <c r="Y131"/>
  <c r="Z131"/>
  <c r="AB131"/>
  <c r="AD131"/>
  <c r="X132"/>
  <c r="Y132"/>
  <c r="Z132"/>
  <c r="AB132"/>
  <c r="AD132"/>
  <c r="X133"/>
  <c r="Y133"/>
  <c r="Z133"/>
  <c r="AB133"/>
  <c r="AD133"/>
  <c r="X134"/>
  <c r="Y134"/>
  <c r="Z134"/>
  <c r="AB134"/>
  <c r="AD134"/>
  <c r="X135"/>
  <c r="Y135"/>
  <c r="Z135"/>
  <c r="AB135"/>
  <c r="AD135"/>
  <c r="X136"/>
  <c r="Y136"/>
  <c r="Z136"/>
  <c r="AB136"/>
  <c r="AD136"/>
  <c r="X137"/>
  <c r="Y137"/>
  <c r="Z137"/>
  <c r="AB137"/>
  <c r="AD137"/>
  <c r="X138"/>
  <c r="Y138"/>
  <c r="Z138"/>
  <c r="AB138"/>
  <c r="AD138"/>
  <c r="X139"/>
  <c r="Y139"/>
  <c r="Z139"/>
  <c r="AB139"/>
  <c r="AD139"/>
  <c r="X140"/>
  <c r="Y140"/>
  <c r="Z140"/>
  <c r="AB140"/>
  <c r="AD140"/>
  <c r="X141"/>
  <c r="Y141"/>
  <c r="Z141"/>
  <c r="AB141"/>
  <c r="AD141"/>
  <c r="X142"/>
  <c r="Y142"/>
  <c r="Z142"/>
  <c r="AB142"/>
  <c r="AD142"/>
  <c r="X143"/>
  <c r="Y143"/>
  <c r="Z143"/>
  <c r="AB143"/>
  <c r="AD143"/>
  <c r="X144"/>
  <c r="Y144"/>
  <c r="Z144"/>
  <c r="AB144"/>
  <c r="AD144"/>
  <c r="X145"/>
  <c r="Y145"/>
  <c r="Z145"/>
  <c r="AB145"/>
  <c r="AD145"/>
  <c r="X146"/>
  <c r="Y146"/>
  <c r="Z146"/>
  <c r="AB146"/>
  <c r="AD146"/>
  <c r="X147"/>
  <c r="Y147"/>
  <c r="Z147"/>
  <c r="AB147"/>
  <c r="AD147"/>
  <c r="X148"/>
  <c r="Y148"/>
  <c r="Z148"/>
  <c r="AB148"/>
  <c r="AD148"/>
  <c r="X149"/>
  <c r="Y149"/>
  <c r="Z149"/>
  <c r="AB149"/>
  <c r="AD149"/>
  <c r="X150"/>
  <c r="Y150"/>
  <c r="Z150"/>
  <c r="AB150"/>
  <c r="AD150"/>
  <c r="X151"/>
  <c r="Y151"/>
  <c r="Z151"/>
  <c r="AB151"/>
  <c r="AD151"/>
  <c r="X152"/>
  <c r="Y152"/>
  <c r="Z152"/>
  <c r="AB152"/>
  <c r="AD152"/>
  <c r="X153"/>
  <c r="Y153"/>
  <c r="Z153"/>
  <c r="AB153"/>
  <c r="AD153"/>
  <c r="X154"/>
  <c r="Y154"/>
  <c r="Z154"/>
  <c r="AB154"/>
  <c r="AD154"/>
  <c r="X155"/>
  <c r="Y155"/>
  <c r="Z155"/>
  <c r="AB155"/>
  <c r="AD155"/>
  <c r="X156"/>
  <c r="Y156"/>
  <c r="Z156"/>
  <c r="AB156"/>
  <c r="AD156"/>
  <c r="X157"/>
  <c r="Y157"/>
  <c r="Z157"/>
  <c r="AB157"/>
  <c r="AD157"/>
  <c r="X158"/>
  <c r="Y158"/>
  <c r="Z158"/>
  <c r="AB158"/>
  <c r="AD158"/>
  <c r="X159"/>
  <c r="Y159"/>
  <c r="Z159"/>
  <c r="AB159"/>
  <c r="AD159"/>
  <c r="X160"/>
  <c r="Y160"/>
  <c r="Z160"/>
  <c r="AB160"/>
  <c r="AD160"/>
  <c r="X161"/>
  <c r="Y161"/>
  <c r="Z161"/>
  <c r="AB161"/>
  <c r="AD161"/>
  <c r="X162"/>
  <c r="Y162"/>
  <c r="Z162"/>
  <c r="AB162"/>
  <c r="AD162"/>
  <c r="X163"/>
  <c r="Y163"/>
  <c r="Z163"/>
  <c r="AB163"/>
  <c r="AD163"/>
  <c r="X164"/>
  <c r="Y164"/>
  <c r="Z164"/>
  <c r="AB164"/>
  <c r="AD164"/>
  <c r="X165"/>
  <c r="Y165"/>
  <c r="Z165"/>
  <c r="AB165"/>
  <c r="AD165"/>
  <c r="X166"/>
  <c r="Y166"/>
  <c r="Z166"/>
  <c r="AB166"/>
  <c r="AD166"/>
  <c r="X167"/>
  <c r="Y167"/>
  <c r="Z167"/>
  <c r="AB167"/>
  <c r="AD167"/>
  <c r="X168"/>
  <c r="Y168"/>
  <c r="Z168"/>
  <c r="AB168"/>
  <c r="AD168"/>
  <c r="X169"/>
  <c r="Y169"/>
  <c r="Z169"/>
  <c r="AB169"/>
  <c r="AD169"/>
  <c r="X170"/>
  <c r="Y170"/>
  <c r="Z170"/>
  <c r="AB170"/>
  <c r="AD170"/>
  <c r="X171"/>
  <c r="Y171"/>
  <c r="Z171"/>
  <c r="AB171"/>
  <c r="AD171"/>
  <c r="X172"/>
  <c r="Y172"/>
  <c r="Z172"/>
  <c r="AB172"/>
  <c r="AD172"/>
  <c r="X173"/>
  <c r="Y173"/>
  <c r="Z173"/>
  <c r="AB173"/>
  <c r="AD173"/>
  <c r="X174"/>
  <c r="Y174"/>
  <c r="Z174"/>
  <c r="AB174"/>
  <c r="AD174"/>
  <c r="X175"/>
  <c r="Y175"/>
  <c r="Z175"/>
  <c r="AB175"/>
  <c r="AD175"/>
  <c r="X176"/>
  <c r="Y176"/>
  <c r="Z176"/>
  <c r="AB176"/>
  <c r="AD176"/>
  <c r="X177"/>
  <c r="Y177"/>
  <c r="Z177"/>
  <c r="AB177"/>
  <c r="AD177"/>
  <c r="X178"/>
  <c r="Y178"/>
  <c r="Z178"/>
  <c r="AB178"/>
  <c r="AD178"/>
  <c r="X179"/>
  <c r="Y179"/>
  <c r="Z179"/>
  <c r="AB179"/>
  <c r="AD179"/>
  <c r="X180"/>
  <c r="Y180"/>
  <c r="Z180"/>
  <c r="AB180"/>
  <c r="AD180"/>
  <c r="X181"/>
  <c r="Y181"/>
  <c r="Z181"/>
  <c r="AB181"/>
  <c r="AD181"/>
  <c r="X182"/>
  <c r="Y182"/>
  <c r="Z182"/>
  <c r="AB182"/>
  <c r="AD182"/>
  <c r="X183"/>
  <c r="Y183"/>
  <c r="Z183"/>
  <c r="AB183"/>
  <c r="AD183"/>
  <c r="X184"/>
  <c r="Y184"/>
  <c r="Z184"/>
  <c r="AB184"/>
  <c r="AD184"/>
  <c r="X185"/>
  <c r="Y185"/>
  <c r="Z185"/>
  <c r="AB185"/>
  <c r="AD185"/>
  <c r="X186"/>
  <c r="Y186"/>
  <c r="Z186"/>
  <c r="AB186"/>
  <c r="AD186"/>
  <c r="X187"/>
  <c r="Y187"/>
  <c r="Z187"/>
  <c r="AB187"/>
  <c r="AD187"/>
  <c r="X188"/>
  <c r="Y188"/>
  <c r="Z188"/>
  <c r="AB188"/>
  <c r="AD188"/>
  <c r="X189"/>
  <c r="Y189"/>
  <c r="Z189"/>
  <c r="AB189"/>
  <c r="AD189"/>
  <c r="X190"/>
  <c r="Y190"/>
  <c r="Z190"/>
  <c r="AB190"/>
  <c r="AD190"/>
  <c r="X191"/>
  <c r="Y191"/>
  <c r="Z191"/>
  <c r="AB191"/>
  <c r="AD191"/>
  <c r="X192"/>
  <c r="Y192"/>
  <c r="Z192"/>
  <c r="AB192"/>
  <c r="AD192"/>
  <c r="X193"/>
  <c r="Y193"/>
  <c r="Z193"/>
  <c r="AB193"/>
  <c r="AD193"/>
  <c r="X194"/>
  <c r="Y194"/>
  <c r="Z194"/>
  <c r="AB194"/>
  <c r="AD194"/>
  <c r="X195"/>
  <c r="Y195"/>
  <c r="Z195"/>
  <c r="AB195"/>
  <c r="AD195"/>
  <c r="X196"/>
  <c r="Y196"/>
  <c r="Z196"/>
  <c r="AB196"/>
  <c r="AD196"/>
  <c r="X197"/>
  <c r="Y197"/>
  <c r="Z197"/>
  <c r="AB197"/>
  <c r="AD197"/>
  <c r="X198"/>
  <c r="Y198"/>
  <c r="Z198"/>
  <c r="AB198"/>
  <c r="AD198"/>
  <c r="X199"/>
  <c r="Y199"/>
  <c r="Z199"/>
  <c r="AB199"/>
  <c r="AD199"/>
  <c r="X200"/>
  <c r="Y200"/>
  <c r="Z200"/>
  <c r="AB200"/>
  <c r="AD200"/>
  <c r="X201"/>
  <c r="Y201"/>
  <c r="Z201"/>
  <c r="AB201"/>
  <c r="AD201"/>
  <c r="X202"/>
  <c r="Y202"/>
  <c r="Z202"/>
  <c r="AB202"/>
  <c r="AD202"/>
  <c r="X203"/>
  <c r="Y203"/>
  <c r="Z203"/>
  <c r="AB203"/>
  <c r="AD203"/>
  <c r="X204"/>
  <c r="Y204"/>
  <c r="Z204"/>
  <c r="AB204"/>
  <c r="AD204"/>
  <c r="X205"/>
  <c r="Y205"/>
  <c r="Z205"/>
  <c r="AB205"/>
  <c r="AD205"/>
  <c r="X206"/>
  <c r="Y206"/>
  <c r="Z206"/>
  <c r="AB206"/>
  <c r="AD206"/>
  <c r="X207"/>
  <c r="Y207"/>
  <c r="Z207"/>
  <c r="AB207"/>
  <c r="AD207"/>
  <c r="Y8"/>
  <c r="Z8"/>
  <c r="Z6"/>
  <c r="Y6"/>
  <c r="AA5"/>
  <c r="AE4"/>
  <c r="AC4"/>
  <c r="M5"/>
  <c r="O4"/>
  <c r="Q4"/>
  <c r="E18" i="18" l="1"/>
  <c r="E21" s="1"/>
  <c r="L18" i="4"/>
  <c r="AB47" i="19"/>
  <c r="K18" i="4"/>
  <c r="AA47" i="19"/>
  <c r="H18" i="4"/>
  <c r="H21" s="1"/>
  <c r="X47" i="19"/>
  <c r="E18" i="4"/>
  <c r="E21" s="1"/>
  <c r="U47" i="19"/>
  <c r="D18" i="4"/>
  <c r="D21" s="1"/>
  <c r="T47" i="19"/>
  <c r="S47"/>
  <c r="AI18" i="4"/>
  <c r="A18" s="1"/>
  <c r="AV46" i="19"/>
  <c r="R47" s="1"/>
  <c r="FE173" i="9"/>
  <c r="FS5"/>
  <c r="AA4" i="15"/>
  <c r="AV209" i="9"/>
  <c r="DU204"/>
  <c r="DZ195"/>
  <c r="DU195"/>
  <c r="DU194"/>
  <c r="DZ193"/>
  <c r="DU193"/>
  <c r="DZ188"/>
  <c r="DU188"/>
  <c r="DU179"/>
  <c r="DZ178"/>
  <c r="DU178"/>
  <c r="DZ177"/>
  <c r="DU177"/>
  <c r="DU172"/>
  <c r="DZ163"/>
  <c r="DU163"/>
  <c r="DU162"/>
  <c r="DZ161"/>
  <c r="DU161"/>
  <c r="DZ156"/>
  <c r="DU156"/>
  <c r="DZ149"/>
  <c r="DU149"/>
  <c r="DU147"/>
  <c r="DU146"/>
  <c r="DU144"/>
  <c r="DZ133"/>
  <c r="DU133"/>
  <c r="DU131"/>
  <c r="DU130"/>
  <c r="DZ128"/>
  <c r="DU128"/>
  <c r="DU120"/>
  <c r="DZ113"/>
  <c r="DU113"/>
  <c r="DZ111"/>
  <c r="DU111"/>
  <c r="DU110"/>
  <c r="DU104"/>
  <c r="DZ97"/>
  <c r="DU97"/>
  <c r="DZ95"/>
  <c r="DU95"/>
  <c r="DU94"/>
  <c r="EF205"/>
  <c r="EF201"/>
  <c r="EF197"/>
  <c r="EF193"/>
  <c r="EF189"/>
  <c r="EF185"/>
  <c r="EF181"/>
  <c r="EF177"/>
  <c r="EF173"/>
  <c r="EF169"/>
  <c r="EF165"/>
  <c r="EF161"/>
  <c r="EF157"/>
  <c r="EF153"/>
  <c r="EF149"/>
  <c r="EF145"/>
  <c r="EF141"/>
  <c r="EF137"/>
  <c r="EF133"/>
  <c r="EF129"/>
  <c r="EF125"/>
  <c r="EF121"/>
  <c r="EF117"/>
  <c r="EF113"/>
  <c r="EF109"/>
  <c r="EF105"/>
  <c r="EF101"/>
  <c r="DU199"/>
  <c r="DZ198"/>
  <c r="DU198"/>
  <c r="DZ197"/>
  <c r="DU197"/>
  <c r="DU192"/>
  <c r="DZ183"/>
  <c r="DU183"/>
  <c r="DU182"/>
  <c r="DZ181"/>
  <c r="DU181"/>
  <c r="DZ176"/>
  <c r="DU176"/>
  <c r="DU167"/>
  <c r="DZ166"/>
  <c r="DU166"/>
  <c r="DZ165"/>
  <c r="DU165"/>
  <c r="DU160"/>
  <c r="DU155"/>
  <c r="DZ153"/>
  <c r="DU153"/>
  <c r="DU151"/>
  <c r="DZ150"/>
  <c r="DU150"/>
  <c r="DZ148"/>
  <c r="DU148"/>
  <c r="DZ137"/>
  <c r="DU137"/>
  <c r="DU135"/>
  <c r="DZ134"/>
  <c r="DU134"/>
  <c r="DU132"/>
  <c r="DZ124"/>
  <c r="DU124"/>
  <c r="DZ117"/>
  <c r="DU117"/>
  <c r="DU115"/>
  <c r="DZ114"/>
  <c r="DU114"/>
  <c r="DZ108"/>
  <c r="DU108"/>
  <c r="DZ101"/>
  <c r="DU101"/>
  <c r="DU99"/>
  <c r="DZ98"/>
  <c r="DU98"/>
  <c r="DZ92"/>
  <c r="DU92"/>
  <c r="DZ89"/>
  <c r="DU89"/>
  <c r="DZ77"/>
  <c r="DU77"/>
  <c r="DU74"/>
  <c r="DU70"/>
  <c r="AY114"/>
  <c r="AY110"/>
  <c r="AY108"/>
  <c r="AY107"/>
  <c r="AY106"/>
  <c r="AY86"/>
  <c r="AY84"/>
  <c r="AY83"/>
  <c r="AY82"/>
  <c r="AY78"/>
  <c r="AY77"/>
  <c r="AY76"/>
  <c r="AY75"/>
  <c r="AY72"/>
  <c r="DU203"/>
  <c r="DZ202"/>
  <c r="DU202"/>
  <c r="DZ201"/>
  <c r="DU201"/>
  <c r="DU196"/>
  <c r="DZ187"/>
  <c r="DU187"/>
  <c r="DU186"/>
  <c r="DZ185"/>
  <c r="DU185"/>
  <c r="DZ180"/>
  <c r="DU180"/>
  <c r="DU171"/>
  <c r="DZ170"/>
  <c r="DU170"/>
  <c r="DZ169"/>
  <c r="DU169"/>
  <c r="DU164"/>
  <c r="DZ154"/>
  <c r="DU154"/>
  <c r="DZ152"/>
  <c r="DU152"/>
  <c r="DZ141"/>
  <c r="DU141"/>
  <c r="DU139"/>
  <c r="DZ138"/>
  <c r="DU138"/>
  <c r="DU136"/>
  <c r="DZ121"/>
  <c r="DU121"/>
  <c r="DZ119"/>
  <c r="DU119"/>
  <c r="DZ118"/>
  <c r="DU118"/>
  <c r="DU112"/>
  <c r="DZ105"/>
  <c r="DU105"/>
  <c r="DZ103"/>
  <c r="DU103"/>
  <c r="DZ102"/>
  <c r="DU102"/>
  <c r="DU96"/>
  <c r="DZ87"/>
  <c r="DU87"/>
  <c r="DU84"/>
  <c r="DU75"/>
  <c r="DU73"/>
  <c r="DU64"/>
  <c r="DS8"/>
  <c r="DX8" s="1"/>
  <c r="FB8"/>
  <c r="DU207"/>
  <c r="DZ206"/>
  <c r="DU206"/>
  <c r="DZ205"/>
  <c r="DU205"/>
  <c r="DU200"/>
  <c r="DZ191"/>
  <c r="DU191"/>
  <c r="DU190"/>
  <c r="DZ189"/>
  <c r="DU189"/>
  <c r="DZ184"/>
  <c r="DU184"/>
  <c r="DU175"/>
  <c r="DZ174"/>
  <c r="DU174"/>
  <c r="DZ173"/>
  <c r="DU173"/>
  <c r="DU168"/>
  <c r="DZ159"/>
  <c r="DU159"/>
  <c r="DU158"/>
  <c r="DZ157"/>
  <c r="DU157"/>
  <c r="DZ145"/>
  <c r="DU145"/>
  <c r="DU143"/>
  <c r="DZ142"/>
  <c r="DU142"/>
  <c r="DZ140"/>
  <c r="DU140"/>
  <c r="DZ129"/>
  <c r="DU129"/>
  <c r="DZ127"/>
  <c r="DU127"/>
  <c r="DZ126"/>
  <c r="DU126"/>
  <c r="DZ125"/>
  <c r="DU125"/>
  <c r="DZ123"/>
  <c r="DU123"/>
  <c r="DZ122"/>
  <c r="DU122"/>
  <c r="DU116"/>
  <c r="DZ109"/>
  <c r="DU109"/>
  <c r="DZ107"/>
  <c r="DU107"/>
  <c r="DZ106"/>
  <c r="DU106"/>
  <c r="DU100"/>
  <c r="DZ93"/>
  <c r="DU93"/>
  <c r="DZ91"/>
  <c r="DU91"/>
  <c r="DZ90"/>
  <c r="DU90"/>
  <c r="DU86"/>
  <c r="DU80"/>
  <c r="DU71"/>
  <c r="DU57"/>
  <c r="DZ55"/>
  <c r="DU55"/>
  <c r="DU54"/>
  <c r="DU48"/>
  <c r="DU41"/>
  <c r="DZ39"/>
  <c r="DU39"/>
  <c r="DU38"/>
  <c r="DU32"/>
  <c r="DU25"/>
  <c r="DZ23"/>
  <c r="DU23"/>
  <c r="DU22"/>
  <c r="DU16"/>
  <c r="DZ16"/>
  <c r="DU9"/>
  <c r="DU68"/>
  <c r="DZ61"/>
  <c r="DU61"/>
  <c r="DZ59"/>
  <c r="DU59"/>
  <c r="DU58"/>
  <c r="DU52"/>
  <c r="DZ45"/>
  <c r="DU45"/>
  <c r="DZ43"/>
  <c r="DU43"/>
  <c r="DU42"/>
  <c r="DU36"/>
  <c r="DZ29"/>
  <c r="DU29"/>
  <c r="DZ27"/>
  <c r="DU27"/>
  <c r="DU26"/>
  <c r="DU20"/>
  <c r="DU13"/>
  <c r="DU11"/>
  <c r="DU10"/>
  <c r="DU88"/>
  <c r="DZ81"/>
  <c r="DU81"/>
  <c r="DZ79"/>
  <c r="DU79"/>
  <c r="DZ78"/>
  <c r="DU78"/>
  <c r="DU72"/>
  <c r="DZ65"/>
  <c r="DU65"/>
  <c r="DZ63"/>
  <c r="DU63"/>
  <c r="DZ62"/>
  <c r="DU62"/>
  <c r="DU56"/>
  <c r="DZ49"/>
  <c r="DU49"/>
  <c r="DZ47"/>
  <c r="DU47"/>
  <c r="DZ46"/>
  <c r="DU46"/>
  <c r="DU40"/>
  <c r="DZ33"/>
  <c r="DU33"/>
  <c r="DZ31"/>
  <c r="DU31"/>
  <c r="DZ30"/>
  <c r="DU30"/>
  <c r="DU24"/>
  <c r="DU17"/>
  <c r="DZ17"/>
  <c r="DU15"/>
  <c r="DZ15"/>
  <c r="DU14"/>
  <c r="DZ14"/>
  <c r="DZ85"/>
  <c r="DU85"/>
  <c r="DZ83"/>
  <c r="DU83"/>
  <c r="DZ82"/>
  <c r="DU82"/>
  <c r="DU76"/>
  <c r="DZ69"/>
  <c r="DU69"/>
  <c r="DZ67"/>
  <c r="DU67"/>
  <c r="DZ66"/>
  <c r="DU66"/>
  <c r="DU60"/>
  <c r="DZ53"/>
  <c r="DU53"/>
  <c r="DZ51"/>
  <c r="DU51"/>
  <c r="DZ50"/>
  <c r="DU50"/>
  <c r="DU44"/>
  <c r="DZ37"/>
  <c r="DU37"/>
  <c r="DZ35"/>
  <c r="DU35"/>
  <c r="DZ34"/>
  <c r="DU34"/>
  <c r="DU28"/>
  <c r="DZ21"/>
  <c r="DU21"/>
  <c r="DZ19"/>
  <c r="DU19"/>
  <c r="DU18"/>
  <c r="DZ18"/>
  <c r="DU12"/>
  <c r="FB126"/>
  <c r="FE126"/>
  <c r="FB122"/>
  <c r="FE122"/>
  <c r="FB118"/>
  <c r="FE118"/>
  <c r="FB114"/>
  <c r="FE114"/>
  <c r="FB127"/>
  <c r="FE127"/>
  <c r="FB123"/>
  <c r="FE123"/>
  <c r="FB119"/>
  <c r="FE119"/>
  <c r="FB115"/>
  <c r="FE115"/>
  <c r="FE111"/>
  <c r="FB111"/>
  <c r="FE107"/>
  <c r="FB107"/>
  <c r="FE207"/>
  <c r="FE206"/>
  <c r="FE205"/>
  <c r="FE204"/>
  <c r="FE203"/>
  <c r="FE202"/>
  <c r="FE201"/>
  <c r="FE200"/>
  <c r="FE193"/>
  <c r="FE192"/>
  <c r="FE191"/>
  <c r="FE190"/>
  <c r="FE189"/>
  <c r="FE188"/>
  <c r="FE186"/>
  <c r="FE185"/>
  <c r="FE184"/>
  <c r="FE183"/>
  <c r="FE181"/>
  <c r="FE180"/>
  <c r="FE179"/>
  <c r="FE178"/>
  <c r="FE169"/>
  <c r="FE165"/>
  <c r="FE151"/>
  <c r="FE150"/>
  <c r="FE149"/>
  <c r="FE147"/>
  <c r="FE145"/>
  <c r="FE143"/>
  <c r="FE141"/>
  <c r="FE139"/>
  <c r="FE137"/>
  <c r="FE135"/>
  <c r="FE133"/>
  <c r="FE131"/>
  <c r="FE129"/>
  <c r="FB124"/>
  <c r="FE124"/>
  <c r="FB120"/>
  <c r="FE120"/>
  <c r="FB116"/>
  <c r="FE116"/>
  <c r="FB148"/>
  <c r="FB146"/>
  <c r="FB144"/>
  <c r="FB142"/>
  <c r="FB140"/>
  <c r="FB138"/>
  <c r="FB136"/>
  <c r="FB134"/>
  <c r="FB132"/>
  <c r="FB130"/>
  <c r="FB100"/>
  <c r="FB98"/>
  <c r="FB96"/>
  <c r="FB94"/>
  <c r="FB125"/>
  <c r="FE125"/>
  <c r="FB121"/>
  <c r="FE121"/>
  <c r="FB117"/>
  <c r="FE117"/>
  <c r="FB113"/>
  <c r="FE113"/>
  <c r="FE109"/>
  <c r="FB109"/>
  <c r="FE105"/>
  <c r="FB105"/>
  <c r="FE101"/>
  <c r="FB101"/>
  <c r="FE148"/>
  <c r="FE146"/>
  <c r="FE144"/>
  <c r="FE142"/>
  <c r="FE140"/>
  <c r="FE138"/>
  <c r="FE136"/>
  <c r="FE134"/>
  <c r="FE132"/>
  <c r="FE130"/>
  <c r="FE128"/>
  <c r="FE112"/>
  <c r="FE110"/>
  <c r="FE108"/>
  <c r="FE106"/>
  <c r="FE104"/>
  <c r="FE102"/>
  <c r="FE100"/>
  <c r="FE59"/>
  <c r="FE57"/>
  <c r="FE55"/>
  <c r="FE53"/>
  <c r="FE51"/>
  <c r="FE47"/>
  <c r="FE46"/>
  <c r="FE42"/>
  <c r="FE41"/>
  <c r="FE39"/>
  <c r="FE38"/>
  <c r="FE37"/>
  <c r="FE36"/>
  <c r="FE35"/>
  <c r="FE34"/>
  <c r="FE33"/>
  <c r="FE32"/>
  <c r="FE31"/>
  <c r="FE30"/>
  <c r="FE29"/>
  <c r="FE28"/>
  <c r="FE27"/>
  <c r="FE26"/>
  <c r="FE25"/>
  <c r="FE24"/>
  <c r="FE23"/>
  <c r="FE22"/>
  <c r="FE21"/>
  <c r="FE12"/>
  <c r="FE49"/>
  <c r="FE45"/>
  <c r="FB20"/>
  <c r="FB18"/>
  <c r="FB16"/>
  <c r="FB14"/>
  <c r="FB13"/>
  <c r="FB11"/>
  <c r="FB112"/>
  <c r="FB110"/>
  <c r="FB108"/>
  <c r="FB106"/>
  <c r="FB104"/>
  <c r="FE60"/>
  <c r="FE58"/>
  <c r="FE50"/>
  <c r="FE43"/>
  <c r="FB19"/>
  <c r="FB17"/>
  <c r="FB15"/>
  <c r="DZ155"/>
  <c r="DZ151"/>
  <c r="DZ147"/>
  <c r="DZ143"/>
  <c r="DZ139"/>
  <c r="DZ135"/>
  <c r="DZ131"/>
  <c r="CS163"/>
  <c r="CS160"/>
  <c r="CS156"/>
  <c r="CS132"/>
  <c r="CS78"/>
  <c r="EF97"/>
  <c r="EF93"/>
  <c r="EF89"/>
  <c r="EF85"/>
  <c r="EF81"/>
  <c r="EF77"/>
  <c r="EF73"/>
  <c r="EF69"/>
  <c r="EF65"/>
  <c r="EF61"/>
  <c r="EF57"/>
  <c r="EF53"/>
  <c r="EF49"/>
  <c r="EF45"/>
  <c r="EF41"/>
  <c r="EF37"/>
  <c r="EF33"/>
  <c r="EF29"/>
  <c r="EF25"/>
  <c r="EF21"/>
  <c r="CQ163"/>
  <c r="CQ81"/>
  <c r="CQ79"/>
  <c r="CQ77"/>
  <c r="CQ75"/>
  <c r="CQ71"/>
  <c r="CQ69"/>
  <c r="EF204"/>
  <c r="EF200"/>
  <c r="EF196"/>
  <c r="EF192"/>
  <c r="EF188"/>
  <c r="EF184"/>
  <c r="EF180"/>
  <c r="EF176"/>
  <c r="EF172"/>
  <c r="EF168"/>
  <c r="EF164"/>
  <c r="EF160"/>
  <c r="EF156"/>
  <c r="EF152"/>
  <c r="EF148"/>
  <c r="EF144"/>
  <c r="EF140"/>
  <c r="EF136"/>
  <c r="EF132"/>
  <c r="EF128"/>
  <c r="EF124"/>
  <c r="EF120"/>
  <c r="EF116"/>
  <c r="EF112"/>
  <c r="EF108"/>
  <c r="EF104"/>
  <c r="EF100"/>
  <c r="EF96"/>
  <c r="EF92"/>
  <c r="EF88"/>
  <c r="EF84"/>
  <c r="EF80"/>
  <c r="EF76"/>
  <c r="EF72"/>
  <c r="EF68"/>
  <c r="EF64"/>
  <c r="EF60"/>
  <c r="EF56"/>
  <c r="EF52"/>
  <c r="EF48"/>
  <c r="EF44"/>
  <c r="EF40"/>
  <c r="EF36"/>
  <c r="EF32"/>
  <c r="EF28"/>
  <c r="EF24"/>
  <c r="EF20"/>
  <c r="CQ178"/>
  <c r="CQ177"/>
  <c r="EF207"/>
  <c r="EF203"/>
  <c r="EF199"/>
  <c r="EF195"/>
  <c r="EF191"/>
  <c r="EF187"/>
  <c r="EF183"/>
  <c r="EF179"/>
  <c r="EF175"/>
  <c r="EF171"/>
  <c r="EF167"/>
  <c r="EF163"/>
  <c r="EF159"/>
  <c r="EF155"/>
  <c r="EF151"/>
  <c r="EF147"/>
  <c r="EF143"/>
  <c r="EF139"/>
  <c r="EF135"/>
  <c r="EF131"/>
  <c r="EF127"/>
  <c r="EF123"/>
  <c r="EF119"/>
  <c r="EF115"/>
  <c r="EF111"/>
  <c r="EF107"/>
  <c r="EF103"/>
  <c r="EF99"/>
  <c r="EF95"/>
  <c r="EF91"/>
  <c r="EF87"/>
  <c r="EF83"/>
  <c r="EF79"/>
  <c r="EF75"/>
  <c r="EF71"/>
  <c r="EF67"/>
  <c r="EF63"/>
  <c r="EF59"/>
  <c r="EF55"/>
  <c r="EF51"/>
  <c r="EF47"/>
  <c r="EF43"/>
  <c r="EF39"/>
  <c r="EF35"/>
  <c r="EF31"/>
  <c r="EF27"/>
  <c r="EF23"/>
  <c r="EF19"/>
  <c r="AY70"/>
  <c r="AY60"/>
  <c r="AY53"/>
  <c r="AY205"/>
  <c r="AY204"/>
  <c r="AY201"/>
  <c r="AY155"/>
  <c r="AY153"/>
  <c r="AY148"/>
  <c r="AY146"/>
  <c r="AY142"/>
  <c r="AY140"/>
  <c r="AY138"/>
  <c r="AY136"/>
  <c r="AY134"/>
  <c r="AY124"/>
  <c r="AY122"/>
  <c r="AY118"/>
  <c r="AY116"/>
  <c r="EF17"/>
  <c r="EF13"/>
  <c r="EF9"/>
  <c r="CM144"/>
  <c r="CM84"/>
  <c r="CM68"/>
  <c r="CJ8"/>
  <c r="CS150"/>
  <c r="CQ121"/>
  <c r="CM116"/>
  <c r="CM100"/>
  <c r="EF14"/>
  <c r="EF10"/>
  <c r="BV190"/>
  <c r="BV166"/>
  <c r="BV66"/>
  <c r="CS7"/>
  <c r="CS206"/>
  <c r="CS202"/>
  <c r="CS201"/>
  <c r="CS200"/>
  <c r="CS199"/>
  <c r="CS194"/>
  <c r="CS193"/>
  <c r="CS192"/>
  <c r="CS191"/>
  <c r="CS183"/>
  <c r="CJ83"/>
  <c r="CQ124"/>
  <c r="CQ84"/>
  <c r="CQ60"/>
  <c r="CQ52"/>
  <c r="EF16"/>
  <c r="EF12"/>
  <c r="BT108"/>
  <c r="BT68"/>
  <c r="BP28"/>
  <c r="CU156"/>
  <c r="CQ112"/>
  <c r="CQ101"/>
  <c r="CQ97"/>
  <c r="CQ96"/>
  <c r="CQ93"/>
  <c r="CQ91"/>
  <c r="CM60"/>
  <c r="CM52"/>
  <c r="CM20"/>
  <c r="AY59"/>
  <c r="AY58"/>
  <c r="BP150"/>
  <c r="BP124"/>
  <c r="BP100"/>
  <c r="BP93"/>
  <c r="CQ206"/>
  <c r="CQ204"/>
  <c r="CQ194"/>
  <c r="CQ192"/>
  <c r="CQ191"/>
  <c r="CQ190"/>
  <c r="CQ140"/>
  <c r="CQ136"/>
  <c r="CM132"/>
  <c r="CM128"/>
  <c r="CS74"/>
  <c r="CS70"/>
  <c r="AY38"/>
  <c r="CS187"/>
  <c r="CS118"/>
  <c r="CS103"/>
  <c r="CS102"/>
  <c r="CS101"/>
  <c r="CS99"/>
  <c r="CS94"/>
  <c r="CS91"/>
  <c r="CS90"/>
  <c r="CS87"/>
  <c r="CS64"/>
  <c r="CS56"/>
  <c r="CS20"/>
  <c r="CS9"/>
  <c r="CS207"/>
  <c r="CU207"/>
  <c r="BX164"/>
  <c r="BX163"/>
  <c r="BV148"/>
  <c r="BV142"/>
  <c r="BV140"/>
  <c r="BV138"/>
  <c r="BP116"/>
  <c r="CQ150"/>
  <c r="CQ149"/>
  <c r="CS116"/>
  <c r="CM108"/>
  <c r="CQ67"/>
  <c r="CJ67"/>
  <c r="CR67" s="1"/>
  <c r="CQ65"/>
  <c r="CQ63"/>
  <c r="CJ63"/>
  <c r="CQ51"/>
  <c r="CQ47"/>
  <c r="CQ45"/>
  <c r="CQ41"/>
  <c r="CQ39"/>
  <c r="CQ33"/>
  <c r="CQ31"/>
  <c r="CQ29"/>
  <c r="CQ27"/>
  <c r="CQ25"/>
  <c r="CQ24"/>
  <c r="CQ23"/>
  <c r="CQ21"/>
  <c r="CS203"/>
  <c r="CQ202"/>
  <c r="CQ201"/>
  <c r="CQ186"/>
  <c r="CQ162"/>
  <c r="CS6"/>
  <c r="CS180"/>
  <c r="CS179"/>
  <c r="CS178"/>
  <c r="CS177"/>
  <c r="CQ157"/>
  <c r="CQ152"/>
  <c r="CJ115"/>
  <c r="CJ111"/>
  <c r="CJ107"/>
  <c r="CM44"/>
  <c r="AY54"/>
  <c r="AY52"/>
  <c r="CQ183"/>
  <c r="CQ182"/>
  <c r="CM170"/>
  <c r="CM162"/>
  <c r="CS147"/>
  <c r="CS146"/>
  <c r="CS67"/>
  <c r="CS51"/>
  <c r="CS50"/>
  <c r="CS47"/>
  <c r="CS46"/>
  <c r="CS43"/>
  <c r="CS42"/>
  <c r="CS41"/>
  <c r="CS39"/>
  <c r="CS38"/>
  <c r="CM36"/>
  <c r="CS34"/>
  <c r="CS33"/>
  <c r="CS30"/>
  <c r="CS26"/>
  <c r="CJ103"/>
  <c r="CS96"/>
  <c r="CQ92"/>
  <c r="CS88"/>
  <c r="CM76"/>
  <c r="CS66"/>
  <c r="CS59"/>
  <c r="CS58"/>
  <c r="CJ51"/>
  <c r="CR51" s="1"/>
  <c r="CJ47"/>
  <c r="CJ43"/>
  <c r="CJ39"/>
  <c r="CQ37"/>
  <c r="CS32"/>
  <c r="CS28"/>
  <c r="CS24"/>
  <c r="CS19"/>
  <c r="CS18"/>
  <c r="CS14"/>
  <c r="CS13"/>
  <c r="CS10"/>
  <c r="BV54"/>
  <c r="BV53"/>
  <c r="BV51"/>
  <c r="BV50"/>
  <c r="CS204"/>
  <c r="CQ200"/>
  <c r="CQ199"/>
  <c r="CQ198"/>
  <c r="CQ193"/>
  <c r="CQ179"/>
  <c r="CJ174"/>
  <c r="CR174" s="1"/>
  <c r="CQ173"/>
  <c r="CQ156"/>
  <c r="CQ155"/>
  <c r="CQ146"/>
  <c r="CM140"/>
  <c r="CM136"/>
  <c r="CJ127"/>
  <c r="CS112"/>
  <c r="CS108"/>
  <c r="CQ100"/>
  <c r="CM92"/>
  <c r="CQ61"/>
  <c r="CJ59"/>
  <c r="CR59" s="1"/>
  <c r="CQ57"/>
  <c r="CQ56"/>
  <c r="CQ55"/>
  <c r="CJ55"/>
  <c r="CQ53"/>
  <c r="CQ44"/>
  <c r="CS36"/>
  <c r="CM28"/>
  <c r="CQ19"/>
  <c r="CQ17"/>
  <c r="CQ16"/>
  <c r="CQ15"/>
  <c r="CJ15"/>
  <c r="CQ12"/>
  <c r="N76" i="19" s="1"/>
  <c r="CJ11" i="9"/>
  <c r="BP68"/>
  <c r="CS196"/>
  <c r="CS195"/>
  <c r="CS186"/>
  <c r="CS185"/>
  <c r="CS184"/>
  <c r="CS171"/>
  <c r="CS159"/>
  <c r="CS155"/>
  <c r="CJ79"/>
  <c r="CJ75"/>
  <c r="CJ71"/>
  <c r="CM202"/>
  <c r="CS188"/>
  <c r="CS175"/>
  <c r="CQ172"/>
  <c r="CS167"/>
  <c r="CJ166"/>
  <c r="CQ165"/>
  <c r="CQ161"/>
  <c r="CM154"/>
  <c r="CM148"/>
  <c r="CJ143"/>
  <c r="CQ132"/>
  <c r="CQ128"/>
  <c r="CM124"/>
  <c r="CJ99"/>
  <c r="CJ95"/>
  <c r="CJ91"/>
  <c r="CR91" s="1"/>
  <c r="CQ87"/>
  <c r="CJ87"/>
  <c r="CS80"/>
  <c r="CS76"/>
  <c r="CS72"/>
  <c r="CQ68"/>
  <c r="CJ35"/>
  <c r="CJ31"/>
  <c r="CR31" s="1"/>
  <c r="CJ27"/>
  <c r="CJ23"/>
  <c r="CQ20"/>
  <c r="BT53"/>
  <c r="BT28"/>
  <c r="BT26"/>
  <c r="BT24"/>
  <c r="BT12"/>
  <c r="BT11"/>
  <c r="BT10"/>
  <c r="BT9"/>
  <c r="CJ206"/>
  <c r="CR206" s="1"/>
  <c r="CQ205"/>
  <c r="CJ203"/>
  <c r="CR203" s="1"/>
  <c r="CJ195"/>
  <c r="CR195" s="1"/>
  <c r="CJ187"/>
  <c r="CR187" s="1"/>
  <c r="CJ175"/>
  <c r="CR175" s="1"/>
  <c r="CS174"/>
  <c r="CJ167"/>
  <c r="CR167" s="1"/>
  <c r="CS166"/>
  <c r="CJ159"/>
  <c r="CR159" s="1"/>
  <c r="CS158"/>
  <c r="CS157"/>
  <c r="CS152"/>
  <c r="CQ144"/>
  <c r="CS138"/>
  <c r="CJ123"/>
  <c r="CJ119"/>
  <c r="CR119" s="1"/>
  <c r="CZ207"/>
  <c r="CQ203"/>
  <c r="CJ199"/>
  <c r="CR199" s="1"/>
  <c r="CS198"/>
  <c r="CQ196"/>
  <c r="CQ195"/>
  <c r="CJ191"/>
  <c r="CR191" s="1"/>
  <c r="CS190"/>
  <c r="CQ188"/>
  <c r="CQ187"/>
  <c r="CQ185"/>
  <c r="CJ183"/>
  <c r="CR183" s="1"/>
  <c r="CS182"/>
  <c r="CQ180"/>
  <c r="CM178"/>
  <c r="CQ175"/>
  <c r="CQ174"/>
  <c r="CS169"/>
  <c r="CQ168"/>
  <c r="CQ167"/>
  <c r="CQ166"/>
  <c r="CS162"/>
  <c r="CS161"/>
  <c r="CQ160"/>
  <c r="CQ159"/>
  <c r="CQ158"/>
  <c r="CS154"/>
  <c r="CS148"/>
  <c r="CS142"/>
  <c r="CJ139"/>
  <c r="CJ135"/>
  <c r="CS126"/>
  <c r="CS114"/>
  <c r="CS110"/>
  <c r="CJ109"/>
  <c r="CR109" s="1"/>
  <c r="CQ108"/>
  <c r="CS100"/>
  <c r="CS98"/>
  <c r="CJ97"/>
  <c r="CR97" s="1"/>
  <c r="CS93"/>
  <c r="CJ93"/>
  <c r="CR93" s="1"/>
  <c r="CS84"/>
  <c r="CS83"/>
  <c r="CS82"/>
  <c r="CJ81"/>
  <c r="CR81" s="1"/>
  <c r="CJ77"/>
  <c r="CR77" s="1"/>
  <c r="CQ76"/>
  <c r="CS68"/>
  <c r="CJ65"/>
  <c r="CR65" s="1"/>
  <c r="CS62"/>
  <c r="CS61"/>
  <c r="CJ61"/>
  <c r="CR61" s="1"/>
  <c r="CS52"/>
  <c r="CJ49"/>
  <c r="CR49" s="1"/>
  <c r="CS45"/>
  <c r="CJ45"/>
  <c r="CR45" s="1"/>
  <c r="CS40"/>
  <c r="CJ33"/>
  <c r="CR33" s="1"/>
  <c r="CJ29"/>
  <c r="CR29" s="1"/>
  <c r="CQ28"/>
  <c r="CJ17"/>
  <c r="CQ9"/>
  <c r="CJ171"/>
  <c r="CR171" s="1"/>
  <c r="CJ163"/>
  <c r="CR163" s="1"/>
  <c r="AY50"/>
  <c r="BV28"/>
  <c r="BV22"/>
  <c r="BV21"/>
  <c r="BV20"/>
  <c r="BV19"/>
  <c r="BV16"/>
  <c r="BV14"/>
  <c r="BV13"/>
  <c r="BV11"/>
  <c r="CJ198"/>
  <c r="CQ197"/>
  <c r="CJ190"/>
  <c r="CQ189"/>
  <c r="CQ184"/>
  <c r="CJ182"/>
  <c r="CR182" s="1"/>
  <c r="CQ181"/>
  <c r="CJ179"/>
  <c r="CR179" s="1"/>
  <c r="CQ171"/>
  <c r="CQ169"/>
  <c r="CJ153"/>
  <c r="CZ150"/>
  <c r="CQ148"/>
  <c r="CS140"/>
  <c r="CJ131"/>
  <c r="CQ125"/>
  <c r="CS124"/>
  <c r="CS122"/>
  <c r="CQ116"/>
  <c r="CQ113"/>
  <c r="CQ109"/>
  <c r="CJ101"/>
  <c r="CR101" s="1"/>
  <c r="CS92"/>
  <c r="CJ89"/>
  <c r="CR89" s="1"/>
  <c r="CS86"/>
  <c r="CJ85"/>
  <c r="CR85" s="1"/>
  <c r="CJ73"/>
  <c r="CR73" s="1"/>
  <c r="CJ69"/>
  <c r="CR69" s="1"/>
  <c r="CS60"/>
  <c r="CJ57"/>
  <c r="CR57" s="1"/>
  <c r="CS54"/>
  <c r="CS53"/>
  <c r="CJ53"/>
  <c r="CR53" s="1"/>
  <c r="CS48"/>
  <c r="CS44"/>
  <c r="CJ41"/>
  <c r="CR41" s="1"/>
  <c r="CJ37"/>
  <c r="CR37" s="1"/>
  <c r="CQ36"/>
  <c r="CJ25"/>
  <c r="CR25" s="1"/>
  <c r="CS22"/>
  <c r="CS21"/>
  <c r="CJ21"/>
  <c r="CR21" s="1"/>
  <c r="CS17"/>
  <c r="CS16"/>
  <c r="CS12"/>
  <c r="CJ204"/>
  <c r="CR204" s="1"/>
  <c r="CZ204"/>
  <c r="CU204"/>
  <c r="CJ196"/>
  <c r="CR196" s="1"/>
  <c r="CZ196"/>
  <c r="CU196"/>
  <c r="CJ188"/>
  <c r="CR188" s="1"/>
  <c r="CZ188"/>
  <c r="CU188"/>
  <c r="CJ180"/>
  <c r="CR180" s="1"/>
  <c r="CZ180"/>
  <c r="CU180"/>
  <c r="CJ172"/>
  <c r="CR172" s="1"/>
  <c r="CZ172"/>
  <c r="CU172"/>
  <c r="CJ164"/>
  <c r="CR164" s="1"/>
  <c r="CZ164"/>
  <c r="CU164"/>
  <c r="CM156"/>
  <c r="CZ155"/>
  <c r="CJ155"/>
  <c r="CR155" s="1"/>
  <c r="CU155"/>
  <c r="CZ151"/>
  <c r="CU151"/>
  <c r="CJ151"/>
  <c r="CR151" s="1"/>
  <c r="CZ145"/>
  <c r="CU145"/>
  <c r="CJ145"/>
  <c r="CR145" s="1"/>
  <c r="CM141"/>
  <c r="CJ134"/>
  <c r="CZ134"/>
  <c r="CU134"/>
  <c r="CZ129"/>
  <c r="CU129"/>
  <c r="CJ129"/>
  <c r="CR129" s="1"/>
  <c r="CZ113"/>
  <c r="CU113"/>
  <c r="CJ113"/>
  <c r="CR113" s="1"/>
  <c r="CJ110"/>
  <c r="CZ110"/>
  <c r="CU110"/>
  <c r="CM105"/>
  <c r="CM104"/>
  <c r="AS12"/>
  <c r="BT195"/>
  <c r="BT194"/>
  <c r="BP190"/>
  <c r="BP174"/>
  <c r="BP40"/>
  <c r="BP9"/>
  <c r="CM194"/>
  <c r="CM186"/>
  <c r="CJ158"/>
  <c r="CR158" s="1"/>
  <c r="CQ154"/>
  <c r="CU152"/>
  <c r="CR139"/>
  <c r="CS136"/>
  <c r="CU135"/>
  <c r="CS134"/>
  <c r="CR123"/>
  <c r="CZ206"/>
  <c r="CU206"/>
  <c r="CJ205"/>
  <c r="CR205" s="1"/>
  <c r="CZ205"/>
  <c r="CU205"/>
  <c r="CM203"/>
  <c r="CN203" s="1"/>
  <c r="CT203" s="1"/>
  <c r="CZ203"/>
  <c r="CU203"/>
  <c r="CM200"/>
  <c r="CZ198"/>
  <c r="CU198"/>
  <c r="CJ197"/>
  <c r="CR197" s="1"/>
  <c r="CZ197"/>
  <c r="CU197"/>
  <c r="CM195"/>
  <c r="CZ195"/>
  <c r="CU195"/>
  <c r="CM192"/>
  <c r="CZ190"/>
  <c r="CU190"/>
  <c r="CJ189"/>
  <c r="CR189" s="1"/>
  <c r="CZ189"/>
  <c r="CU189"/>
  <c r="CM187"/>
  <c r="CZ187"/>
  <c r="CU187"/>
  <c r="CM184"/>
  <c r="CZ182"/>
  <c r="CU182"/>
  <c r="CJ181"/>
  <c r="CR181" s="1"/>
  <c r="CZ181"/>
  <c r="CU181"/>
  <c r="CM179"/>
  <c r="CN179" s="1"/>
  <c r="CT179" s="1"/>
  <c r="CZ179"/>
  <c r="CU179"/>
  <c r="CM176"/>
  <c r="CZ174"/>
  <c r="CU174"/>
  <c r="CJ173"/>
  <c r="CR173" s="1"/>
  <c r="CZ173"/>
  <c r="CU173"/>
  <c r="CM171"/>
  <c r="CZ171"/>
  <c r="CU171"/>
  <c r="CM168"/>
  <c r="CZ166"/>
  <c r="CU166"/>
  <c r="CJ165"/>
  <c r="CR165" s="1"/>
  <c r="CZ165"/>
  <c r="CU165"/>
  <c r="CM163"/>
  <c r="CZ163"/>
  <c r="CU163"/>
  <c r="CM160"/>
  <c r="CM153"/>
  <c r="CJ146"/>
  <c r="CR146" s="1"/>
  <c r="CZ146"/>
  <c r="CU146"/>
  <c r="CM143"/>
  <c r="CN143" s="1"/>
  <c r="CZ141"/>
  <c r="CJ141"/>
  <c r="CR141" s="1"/>
  <c r="CU141"/>
  <c r="CM137"/>
  <c r="CJ130"/>
  <c r="CR130" s="1"/>
  <c r="CZ130"/>
  <c r="CU130"/>
  <c r="CM127"/>
  <c r="CN127" s="1"/>
  <c r="CS120"/>
  <c r="CQ120"/>
  <c r="CZ105"/>
  <c r="CU105"/>
  <c r="CJ105"/>
  <c r="CR105" s="1"/>
  <c r="AY46"/>
  <c r="AY45"/>
  <c r="BV134"/>
  <c r="BV132"/>
  <c r="BV130"/>
  <c r="BV129"/>
  <c r="BV128"/>
  <c r="BV126"/>
  <c r="BV125"/>
  <c r="BV102"/>
  <c r="BV101"/>
  <c r="BM97"/>
  <c r="BV88"/>
  <c r="BV86"/>
  <c r="BV85"/>
  <c r="BV74"/>
  <c r="CS205"/>
  <c r="CJ202"/>
  <c r="CR202" s="1"/>
  <c r="CS197"/>
  <c r="CJ194"/>
  <c r="CR194" s="1"/>
  <c r="CS189"/>
  <c r="CJ186"/>
  <c r="CR186" s="1"/>
  <c r="CS181"/>
  <c r="CJ178"/>
  <c r="CR178" s="1"/>
  <c r="CS173"/>
  <c r="CJ170"/>
  <c r="CR170" s="1"/>
  <c r="CS165"/>
  <c r="CJ162"/>
  <c r="CR162" s="1"/>
  <c r="CR135"/>
  <c r="CS130"/>
  <c r="CJ125"/>
  <c r="CR125" s="1"/>
  <c r="CR115"/>
  <c r="CS106"/>
  <c r="CJ200"/>
  <c r="CR200" s="1"/>
  <c r="CZ200"/>
  <c r="CU200"/>
  <c r="CJ192"/>
  <c r="CR192" s="1"/>
  <c r="CZ192"/>
  <c r="CU192"/>
  <c r="CJ184"/>
  <c r="CR184" s="1"/>
  <c r="CZ184"/>
  <c r="CU184"/>
  <c r="CJ176"/>
  <c r="CR176" s="1"/>
  <c r="CZ176"/>
  <c r="CU176"/>
  <c r="CJ168"/>
  <c r="CR168" s="1"/>
  <c r="CZ168"/>
  <c r="CU168"/>
  <c r="CJ160"/>
  <c r="CR160" s="1"/>
  <c r="CZ160"/>
  <c r="CU160"/>
  <c r="CZ158"/>
  <c r="CU158"/>
  <c r="CJ157"/>
  <c r="CR157" s="1"/>
  <c r="CZ157"/>
  <c r="CU157"/>
  <c r="CM150"/>
  <c r="CZ148"/>
  <c r="CU148"/>
  <c r="CZ147"/>
  <c r="CU147"/>
  <c r="CJ142"/>
  <c r="CZ142"/>
  <c r="CU142"/>
  <c r="CM139"/>
  <c r="CN139" s="1"/>
  <c r="CZ137"/>
  <c r="CU137"/>
  <c r="CJ137"/>
  <c r="CR137" s="1"/>
  <c r="CM133"/>
  <c r="CJ126"/>
  <c r="CZ126"/>
  <c r="CU126"/>
  <c r="CM120"/>
  <c r="CM119"/>
  <c r="AW155"/>
  <c r="AW148"/>
  <c r="AW147"/>
  <c r="AW146"/>
  <c r="AW140"/>
  <c r="AW139"/>
  <c r="AW124"/>
  <c r="AW116"/>
  <c r="AW115"/>
  <c r="AW84"/>
  <c r="AW76"/>
  <c r="AW68"/>
  <c r="AW60"/>
  <c r="AW58"/>
  <c r="AW56"/>
  <c r="AW52"/>
  <c r="AW45"/>
  <c r="BV206"/>
  <c r="BP198"/>
  <c r="BT190"/>
  <c r="BT182"/>
  <c r="BT150"/>
  <c r="BT142"/>
  <c r="BT140"/>
  <c r="BT128"/>
  <c r="BT127"/>
  <c r="BT126"/>
  <c r="BT125"/>
  <c r="BM125"/>
  <c r="BT124"/>
  <c r="BT104"/>
  <c r="BT103"/>
  <c r="BT102"/>
  <c r="BT101"/>
  <c r="BT92"/>
  <c r="BT91"/>
  <c r="BT84"/>
  <c r="BT83"/>
  <c r="BT82"/>
  <c r="BV58"/>
  <c r="BT36"/>
  <c r="BM9"/>
  <c r="CM206"/>
  <c r="CN206" s="1"/>
  <c r="CT206" s="1"/>
  <c r="CM198"/>
  <c r="CM190"/>
  <c r="CM182"/>
  <c r="CM174"/>
  <c r="CN174" s="1"/>
  <c r="CT174" s="1"/>
  <c r="CM166"/>
  <c r="CZ153"/>
  <c r="CS144"/>
  <c r="CZ144"/>
  <c r="CZ143"/>
  <c r="CR131"/>
  <c r="CS128"/>
  <c r="CU127"/>
  <c r="CJ117"/>
  <c r="CR117" s="1"/>
  <c r="CR107"/>
  <c r="CU8"/>
  <c r="CM204"/>
  <c r="CN204" s="1"/>
  <c r="CT204" s="1"/>
  <c r="CZ202"/>
  <c r="CU202"/>
  <c r="CJ201"/>
  <c r="CR201" s="1"/>
  <c r="CZ201"/>
  <c r="CU201"/>
  <c r="CM199"/>
  <c r="CZ199"/>
  <c r="CU199"/>
  <c r="CM196"/>
  <c r="CZ194"/>
  <c r="CU194"/>
  <c r="CJ193"/>
  <c r="CR193" s="1"/>
  <c r="CZ193"/>
  <c r="CU193"/>
  <c r="CM191"/>
  <c r="CN191" s="1"/>
  <c r="CT191" s="1"/>
  <c r="CZ191"/>
  <c r="CU191"/>
  <c r="CM188"/>
  <c r="CN188" s="1"/>
  <c r="CT188" s="1"/>
  <c r="CZ186"/>
  <c r="CU186"/>
  <c r="CJ185"/>
  <c r="CR185" s="1"/>
  <c r="CZ185"/>
  <c r="CU185"/>
  <c r="CM183"/>
  <c r="CN183" s="1"/>
  <c r="CT183" s="1"/>
  <c r="CZ183"/>
  <c r="CU183"/>
  <c r="CM180"/>
  <c r="CN180" s="1"/>
  <c r="CT180" s="1"/>
  <c r="CZ178"/>
  <c r="CU178"/>
  <c r="CJ177"/>
  <c r="CR177" s="1"/>
  <c r="CZ177"/>
  <c r="CU177"/>
  <c r="CM175"/>
  <c r="CN175" s="1"/>
  <c r="CZ175"/>
  <c r="CU175"/>
  <c r="CM172"/>
  <c r="CN172" s="1"/>
  <c r="CT172" s="1"/>
  <c r="CZ170"/>
  <c r="CU170"/>
  <c r="CJ169"/>
  <c r="CR169" s="1"/>
  <c r="CZ169"/>
  <c r="CU169"/>
  <c r="CM167"/>
  <c r="CZ167"/>
  <c r="CU167"/>
  <c r="CM164"/>
  <c r="CZ162"/>
  <c r="CU162"/>
  <c r="CJ161"/>
  <c r="CR161" s="1"/>
  <c r="CZ161"/>
  <c r="CU161"/>
  <c r="CM159"/>
  <c r="CN159" s="1"/>
  <c r="CT159" s="1"/>
  <c r="CZ159"/>
  <c r="CU159"/>
  <c r="CM155"/>
  <c r="CM152"/>
  <c r="CZ149"/>
  <c r="CJ149"/>
  <c r="CR149" s="1"/>
  <c r="CU149"/>
  <c r="CM145"/>
  <c r="CN145" s="1"/>
  <c r="CJ138"/>
  <c r="CR138" s="1"/>
  <c r="CZ138"/>
  <c r="CU138"/>
  <c r="CZ133"/>
  <c r="CJ133"/>
  <c r="CR133" s="1"/>
  <c r="CU133"/>
  <c r="CM129"/>
  <c r="CN129" s="1"/>
  <c r="CZ121"/>
  <c r="CU121"/>
  <c r="CJ121"/>
  <c r="CR121" s="1"/>
  <c r="CJ118"/>
  <c r="CZ118"/>
  <c r="CU118"/>
  <c r="CM112"/>
  <c r="CS104"/>
  <c r="CQ104"/>
  <c r="BV174"/>
  <c r="BV172"/>
  <c r="CR198"/>
  <c r="CR190"/>
  <c r="CR166"/>
  <c r="CR153"/>
  <c r="CR143"/>
  <c r="CR127"/>
  <c r="CM134"/>
  <c r="CN134" s="1"/>
  <c r="CM126"/>
  <c r="CN126" s="1"/>
  <c r="CM118"/>
  <c r="CZ116"/>
  <c r="CU116"/>
  <c r="CZ115"/>
  <c r="CU115"/>
  <c r="CM110"/>
  <c r="CN110" s="1"/>
  <c r="CZ108"/>
  <c r="CU108"/>
  <c r="CZ107"/>
  <c r="CU107"/>
  <c r="CM102"/>
  <c r="CJ100"/>
  <c r="CR100" s="1"/>
  <c r="CZ100"/>
  <c r="CU100"/>
  <c r="CZ99"/>
  <c r="CU99"/>
  <c r="CM94"/>
  <c r="CJ92"/>
  <c r="CR92" s="1"/>
  <c r="CZ92"/>
  <c r="CU92"/>
  <c r="CZ91"/>
  <c r="CU91"/>
  <c r="CM86"/>
  <c r="CJ84"/>
  <c r="CR84" s="1"/>
  <c r="CZ84"/>
  <c r="CU84"/>
  <c r="CZ83"/>
  <c r="CU83"/>
  <c r="CM78"/>
  <c r="CJ76"/>
  <c r="CR76" s="1"/>
  <c r="CZ76"/>
  <c r="CU76"/>
  <c r="CZ75"/>
  <c r="CU75"/>
  <c r="CM70"/>
  <c r="CJ68"/>
  <c r="CR68" s="1"/>
  <c r="CZ68"/>
  <c r="CU68"/>
  <c r="CZ67"/>
  <c r="CU67"/>
  <c r="CM62"/>
  <c r="CJ60"/>
  <c r="CR60" s="1"/>
  <c r="CU60"/>
  <c r="CZ60"/>
  <c r="CU59"/>
  <c r="CZ59"/>
  <c r="CM54"/>
  <c r="CJ52"/>
  <c r="CR52" s="1"/>
  <c r="CZ52"/>
  <c r="CU52"/>
  <c r="CZ51"/>
  <c r="CU51"/>
  <c r="CM46"/>
  <c r="CJ44"/>
  <c r="CR44" s="1"/>
  <c r="CU44"/>
  <c r="CZ44"/>
  <c r="CU43"/>
  <c r="CZ43"/>
  <c r="CM38"/>
  <c r="CJ36"/>
  <c r="CR36" s="1"/>
  <c r="CU36"/>
  <c r="CZ36"/>
  <c r="CZ35"/>
  <c r="CU35"/>
  <c r="CM30"/>
  <c r="CJ28"/>
  <c r="CR28" s="1"/>
  <c r="CU28"/>
  <c r="CZ28"/>
  <c r="CU27"/>
  <c r="CZ27"/>
  <c r="CM22"/>
  <c r="CU20"/>
  <c r="CZ20"/>
  <c r="CJ19"/>
  <c r="CR19" s="1"/>
  <c r="CU19"/>
  <c r="CZ19"/>
  <c r="CM14"/>
  <c r="CM13"/>
  <c r="Y76" i="19" s="1"/>
  <c r="CM10" i="9"/>
  <c r="CZ9"/>
  <c r="CU9"/>
  <c r="CM158"/>
  <c r="CJ154"/>
  <c r="CR154" s="1"/>
  <c r="CQ151"/>
  <c r="CS149"/>
  <c r="CQ145"/>
  <c r="CM142"/>
  <c r="CN142" s="1"/>
  <c r="CS141"/>
  <c r="CZ140"/>
  <c r="CZ139"/>
  <c r="CQ138"/>
  <c r="CQ137"/>
  <c r="CQ135"/>
  <c r="CS133"/>
  <c r="CZ132"/>
  <c r="CZ131"/>
  <c r="CQ130"/>
  <c r="CQ129"/>
  <c r="CM125"/>
  <c r="CN125" s="1"/>
  <c r="CT125" s="1"/>
  <c r="CZ124"/>
  <c r="CZ123"/>
  <c r="CQ122"/>
  <c r="CS117"/>
  <c r="CQ114"/>
  <c r="CQ111"/>
  <c r="CM109"/>
  <c r="CQ106"/>
  <c r="CQ105"/>
  <c r="CQ103"/>
  <c r="CQ98"/>
  <c r="CQ95"/>
  <c r="CQ90"/>
  <c r="CQ89"/>
  <c r="CM85"/>
  <c r="CQ82"/>
  <c r="CS77"/>
  <c r="CS75"/>
  <c r="CQ74"/>
  <c r="CQ73"/>
  <c r="CM69"/>
  <c r="CN69" s="1"/>
  <c r="CT69" s="1"/>
  <c r="CQ66"/>
  <c r="CQ58"/>
  <c r="CQ50"/>
  <c r="CQ49"/>
  <c r="CQ42"/>
  <c r="CS37"/>
  <c r="CS35"/>
  <c r="CQ34"/>
  <c r="CS29"/>
  <c r="CS27"/>
  <c r="CQ26"/>
  <c r="CQ18"/>
  <c r="CJ16"/>
  <c r="CJ12"/>
  <c r="CQ11"/>
  <c r="CQ207"/>
  <c r="CJ102"/>
  <c r="CR102" s="1"/>
  <c r="CZ102"/>
  <c r="CU102"/>
  <c r="CM97"/>
  <c r="CN97" s="1"/>
  <c r="CT97" s="1"/>
  <c r="CZ97"/>
  <c r="CU97"/>
  <c r="CJ94"/>
  <c r="CR94" s="1"/>
  <c r="CZ94"/>
  <c r="CU94"/>
  <c r="CZ89"/>
  <c r="CU89"/>
  <c r="CM87"/>
  <c r="CN87" s="1"/>
  <c r="CT87" s="1"/>
  <c r="CJ86"/>
  <c r="CR86" s="1"/>
  <c r="CZ86"/>
  <c r="CU86"/>
  <c r="CM81"/>
  <c r="CN81" s="1"/>
  <c r="CZ81"/>
  <c r="CU81"/>
  <c r="CJ78"/>
  <c r="CR78" s="1"/>
  <c r="CZ78"/>
  <c r="CU78"/>
  <c r="CZ73"/>
  <c r="CU73"/>
  <c r="CM71"/>
  <c r="CN71" s="1"/>
  <c r="CJ70"/>
  <c r="CR70" s="1"/>
  <c r="CZ70"/>
  <c r="CU70"/>
  <c r="CM65"/>
  <c r="CN65" s="1"/>
  <c r="CT65" s="1"/>
  <c r="CZ65"/>
  <c r="CU65"/>
  <c r="CM63"/>
  <c r="CN63" s="1"/>
  <c r="CT63" s="1"/>
  <c r="CJ62"/>
  <c r="CR62" s="1"/>
  <c r="CU62"/>
  <c r="CZ62"/>
  <c r="CM57"/>
  <c r="CZ57"/>
  <c r="CU57"/>
  <c r="CM55"/>
  <c r="CN55" s="1"/>
  <c r="CJ54"/>
  <c r="CR54" s="1"/>
  <c r="CZ54"/>
  <c r="CU54"/>
  <c r="CZ49"/>
  <c r="CU49"/>
  <c r="CM47"/>
  <c r="CN47" s="1"/>
  <c r="CT47" s="1"/>
  <c r="CJ46"/>
  <c r="CR46" s="1"/>
  <c r="CU46"/>
  <c r="CZ46"/>
  <c r="CM41"/>
  <c r="CN41" s="1"/>
  <c r="CT41" s="1"/>
  <c r="CZ41"/>
  <c r="CU41"/>
  <c r="CM39"/>
  <c r="CN39" s="1"/>
  <c r="CJ38"/>
  <c r="CR38" s="1"/>
  <c r="CZ38"/>
  <c r="CU38"/>
  <c r="CM33"/>
  <c r="CN33" s="1"/>
  <c r="CT33" s="1"/>
  <c r="CU33"/>
  <c r="CZ33"/>
  <c r="CM31"/>
  <c r="CN31" s="1"/>
  <c r="CT31" s="1"/>
  <c r="CJ30"/>
  <c r="CR30" s="1"/>
  <c r="CU30"/>
  <c r="CZ30"/>
  <c r="CM25"/>
  <c r="CN25" s="1"/>
  <c r="CT25" s="1"/>
  <c r="CZ25"/>
  <c r="CU25"/>
  <c r="CM23"/>
  <c r="CJ22"/>
  <c r="CR22" s="1"/>
  <c r="CZ22"/>
  <c r="CU22"/>
  <c r="CM17"/>
  <c r="CN17" s="1"/>
  <c r="CT17" s="1"/>
  <c r="CZ17"/>
  <c r="CU17"/>
  <c r="CM15"/>
  <c r="CN15" s="1"/>
  <c r="CT15" s="1"/>
  <c r="CZ14"/>
  <c r="CU14"/>
  <c r="CZ13"/>
  <c r="CU13"/>
  <c r="CU10"/>
  <c r="CZ10"/>
  <c r="CR99"/>
  <c r="CR83"/>
  <c r="CR75"/>
  <c r="CR43"/>
  <c r="CR35"/>
  <c r="CR27"/>
  <c r="CU154"/>
  <c r="CU153"/>
  <c r="CU150"/>
  <c r="CU144"/>
  <c r="CU143"/>
  <c r="CU139"/>
  <c r="CU131"/>
  <c r="CU125"/>
  <c r="CU123"/>
  <c r="CM138"/>
  <c r="CM130"/>
  <c r="CN130" s="1"/>
  <c r="CT130" s="1"/>
  <c r="CM122"/>
  <c r="CZ120"/>
  <c r="CU120"/>
  <c r="CZ119"/>
  <c r="CU119"/>
  <c r="CM114"/>
  <c r="CZ112"/>
  <c r="CU112"/>
  <c r="CZ111"/>
  <c r="CU111"/>
  <c r="CM106"/>
  <c r="CJ104"/>
  <c r="CR104" s="1"/>
  <c r="CZ104"/>
  <c r="CU104"/>
  <c r="CZ103"/>
  <c r="CU103"/>
  <c r="CM98"/>
  <c r="CJ96"/>
  <c r="CR96" s="1"/>
  <c r="CZ96"/>
  <c r="CU96"/>
  <c r="CZ95"/>
  <c r="CU95"/>
  <c r="CM90"/>
  <c r="CJ88"/>
  <c r="CR88" s="1"/>
  <c r="CZ88"/>
  <c r="CU88"/>
  <c r="CZ87"/>
  <c r="CU87"/>
  <c r="CM82"/>
  <c r="CJ80"/>
  <c r="CR80" s="1"/>
  <c r="CZ80"/>
  <c r="CU80"/>
  <c r="CZ79"/>
  <c r="CU79"/>
  <c r="CM74"/>
  <c r="CJ72"/>
  <c r="CR72" s="1"/>
  <c r="CZ72"/>
  <c r="CU72"/>
  <c r="CZ71"/>
  <c r="CU71"/>
  <c r="CM66"/>
  <c r="CJ64"/>
  <c r="CR64" s="1"/>
  <c r="CZ64"/>
  <c r="CU64"/>
  <c r="CZ63"/>
  <c r="CU63"/>
  <c r="CM58"/>
  <c r="CJ56"/>
  <c r="CR56" s="1"/>
  <c r="CZ56"/>
  <c r="CU56"/>
  <c r="CZ55"/>
  <c r="CU55"/>
  <c r="CM50"/>
  <c r="CJ48"/>
  <c r="CR48" s="1"/>
  <c r="CZ48"/>
  <c r="CU48"/>
  <c r="CZ47"/>
  <c r="CU47"/>
  <c r="CM42"/>
  <c r="CJ40"/>
  <c r="CR40" s="1"/>
  <c r="CZ40"/>
  <c r="CU40"/>
  <c r="CZ39"/>
  <c r="CU39"/>
  <c r="CM34"/>
  <c r="CJ32"/>
  <c r="CR32" s="1"/>
  <c r="CU32"/>
  <c r="CZ32"/>
  <c r="CZ31"/>
  <c r="CU31"/>
  <c r="CM26"/>
  <c r="CJ24"/>
  <c r="CR24" s="1"/>
  <c r="CU24"/>
  <c r="CZ24"/>
  <c r="CZ23"/>
  <c r="CU23"/>
  <c r="CM18"/>
  <c r="CU16"/>
  <c r="CZ16"/>
  <c r="CZ15"/>
  <c r="CU15"/>
  <c r="CU12"/>
  <c r="CZ12"/>
  <c r="CZ11"/>
  <c r="CU11"/>
  <c r="CJ156"/>
  <c r="CR156" s="1"/>
  <c r="CJ152"/>
  <c r="CR152" s="1"/>
  <c r="CJ147"/>
  <c r="CR147" s="1"/>
  <c r="CM146"/>
  <c r="CN146" s="1"/>
  <c r="CT146" s="1"/>
  <c r="CS145"/>
  <c r="CQ142"/>
  <c r="CQ141"/>
  <c r="CS137"/>
  <c r="CZ136"/>
  <c r="CZ135"/>
  <c r="CQ134"/>
  <c r="CQ133"/>
  <c r="CQ131"/>
  <c r="CS129"/>
  <c r="CZ128"/>
  <c r="CZ127"/>
  <c r="CQ126"/>
  <c r="CM121"/>
  <c r="CN121" s="1"/>
  <c r="CT121" s="1"/>
  <c r="CQ118"/>
  <c r="CQ117"/>
  <c r="CQ115"/>
  <c r="CM113"/>
  <c r="CN113" s="1"/>
  <c r="CT113" s="1"/>
  <c r="CQ110"/>
  <c r="CQ107"/>
  <c r="CS105"/>
  <c r="CQ102"/>
  <c r="CQ99"/>
  <c r="CS97"/>
  <c r="CS95"/>
  <c r="CQ94"/>
  <c r="CM89"/>
  <c r="CN89" s="1"/>
  <c r="CT89" s="1"/>
  <c r="CQ88"/>
  <c r="CQ86"/>
  <c r="CQ85"/>
  <c r="CQ83"/>
  <c r="CS81"/>
  <c r="CQ80"/>
  <c r="CS79"/>
  <c r="CQ78"/>
  <c r="CM73"/>
  <c r="CN73" s="1"/>
  <c r="CQ72"/>
  <c r="CS71"/>
  <c r="CQ70"/>
  <c r="CS65"/>
  <c r="CQ64"/>
  <c r="CS63"/>
  <c r="CQ62"/>
  <c r="CQ59"/>
  <c r="CS57"/>
  <c r="CS55"/>
  <c r="CQ54"/>
  <c r="CM49"/>
  <c r="CN49" s="1"/>
  <c r="CT49" s="1"/>
  <c r="CQ48"/>
  <c r="CQ46"/>
  <c r="CQ43"/>
  <c r="CQ40"/>
  <c r="CQ38"/>
  <c r="CQ35"/>
  <c r="CQ32"/>
  <c r="CS31"/>
  <c r="CQ30"/>
  <c r="CS25"/>
  <c r="CS23"/>
  <c r="CQ22"/>
  <c r="CJ20"/>
  <c r="CR20" s="1"/>
  <c r="CS15"/>
  <c r="CQ14"/>
  <c r="CQ13"/>
  <c r="AD76" i="19" s="1"/>
  <c r="CS11" i="9"/>
  <c r="CQ10"/>
  <c r="CJ9"/>
  <c r="CR9" s="1"/>
  <c r="CM207"/>
  <c r="CZ156"/>
  <c r="CZ154"/>
  <c r="CZ152"/>
  <c r="CM123"/>
  <c r="CN123" s="1"/>
  <c r="CJ122"/>
  <c r="CZ122"/>
  <c r="CM117"/>
  <c r="CN117" s="1"/>
  <c r="CZ117"/>
  <c r="CU117"/>
  <c r="CJ114"/>
  <c r="CR114" s="1"/>
  <c r="CZ114"/>
  <c r="CU114"/>
  <c r="CZ109"/>
  <c r="CU109"/>
  <c r="CJ106"/>
  <c r="CR106" s="1"/>
  <c r="CZ106"/>
  <c r="CU106"/>
  <c r="CM101"/>
  <c r="CZ101"/>
  <c r="CU101"/>
  <c r="CJ98"/>
  <c r="CR98" s="1"/>
  <c r="CZ98"/>
  <c r="CU98"/>
  <c r="CM93"/>
  <c r="CN93" s="1"/>
  <c r="CZ93"/>
  <c r="CU93"/>
  <c r="CM91"/>
  <c r="CJ90"/>
  <c r="CR90" s="1"/>
  <c r="CZ90"/>
  <c r="CU90"/>
  <c r="CZ85"/>
  <c r="CU85"/>
  <c r="CJ82"/>
  <c r="CR82" s="1"/>
  <c r="CZ82"/>
  <c r="CU82"/>
  <c r="CM77"/>
  <c r="CN77" s="1"/>
  <c r="CT77" s="1"/>
  <c r="CZ77"/>
  <c r="CU77"/>
  <c r="CJ74"/>
  <c r="CR74" s="1"/>
  <c r="CZ74"/>
  <c r="CU74"/>
  <c r="CZ69"/>
  <c r="CU69"/>
  <c r="CM67"/>
  <c r="CJ66"/>
  <c r="CR66" s="1"/>
  <c r="CZ66"/>
  <c r="CU66"/>
  <c r="CM61"/>
  <c r="CU61"/>
  <c r="CZ61"/>
  <c r="CJ58"/>
  <c r="CR58" s="1"/>
  <c r="CZ58"/>
  <c r="CU58"/>
  <c r="CM53"/>
  <c r="CZ53"/>
  <c r="CU53"/>
  <c r="CM51"/>
  <c r="CJ50"/>
  <c r="CR50" s="1"/>
  <c r="CZ50"/>
  <c r="CU50"/>
  <c r="CM45"/>
  <c r="CU45"/>
  <c r="CZ45"/>
  <c r="CJ42"/>
  <c r="CR42" s="1"/>
  <c r="CZ42"/>
  <c r="CU42"/>
  <c r="CM37"/>
  <c r="CN37" s="1"/>
  <c r="CZ37"/>
  <c r="CU37"/>
  <c r="CJ34"/>
  <c r="CR34" s="1"/>
  <c r="CZ34"/>
  <c r="CU34"/>
  <c r="CM29"/>
  <c r="CZ29"/>
  <c r="CU29"/>
  <c r="CJ26"/>
  <c r="CR26" s="1"/>
  <c r="CZ26"/>
  <c r="CU26"/>
  <c r="CM21"/>
  <c r="CU21"/>
  <c r="CZ21"/>
  <c r="CM19"/>
  <c r="CN19" s="1"/>
  <c r="CT19" s="1"/>
  <c r="CJ18"/>
  <c r="CR18" s="1"/>
  <c r="CZ18"/>
  <c r="CU18"/>
  <c r="CM9"/>
  <c r="CZ125"/>
  <c r="CR111"/>
  <c r="CR103"/>
  <c r="CM96"/>
  <c r="CN96" s="1"/>
  <c r="CT96" s="1"/>
  <c r="CR95"/>
  <c r="CM88"/>
  <c r="CR87"/>
  <c r="CM80"/>
  <c r="CN80" s="1"/>
  <c r="CT80" s="1"/>
  <c r="CR79"/>
  <c r="CM72"/>
  <c r="CR71"/>
  <c r="CM64"/>
  <c r="CN64" s="1"/>
  <c r="CT64" s="1"/>
  <c r="CR63"/>
  <c r="CM56"/>
  <c r="CR55"/>
  <c r="CM48"/>
  <c r="CN48" s="1"/>
  <c r="CT48" s="1"/>
  <c r="CR47"/>
  <c r="CM40"/>
  <c r="CR39"/>
  <c r="CM32"/>
  <c r="CN32" s="1"/>
  <c r="CT32" s="1"/>
  <c r="CM24"/>
  <c r="CN24" s="1"/>
  <c r="CT24" s="1"/>
  <c r="CR23"/>
  <c r="CM16"/>
  <c r="CN16" s="1"/>
  <c r="CT16" s="1"/>
  <c r="CR15"/>
  <c r="CJ13"/>
  <c r="CM12"/>
  <c r="CJ207"/>
  <c r="CR207" s="1"/>
  <c r="CU140"/>
  <c r="CU136"/>
  <c r="CU132"/>
  <c r="CU128"/>
  <c r="CU124"/>
  <c r="CU122"/>
  <c r="CJ14"/>
  <c r="CR14" s="1"/>
  <c r="CJ10"/>
  <c r="CN153"/>
  <c r="CN198"/>
  <c r="CN190"/>
  <c r="CT190" s="1"/>
  <c r="CN166"/>
  <c r="CT166" s="1"/>
  <c r="CN156"/>
  <c r="CT156" s="1"/>
  <c r="CN202"/>
  <c r="CT202" s="1"/>
  <c r="CN178"/>
  <c r="CT178" s="1"/>
  <c r="CN170"/>
  <c r="CT170" s="1"/>
  <c r="CM205"/>
  <c r="CN205" s="1"/>
  <c r="CT205" s="1"/>
  <c r="CM201"/>
  <c r="CM197"/>
  <c r="CN197" s="1"/>
  <c r="CM193"/>
  <c r="CM189"/>
  <c r="CM185"/>
  <c r="CN185" s="1"/>
  <c r="CT185" s="1"/>
  <c r="CM181"/>
  <c r="CN181" s="1"/>
  <c r="CT181" s="1"/>
  <c r="CM177"/>
  <c r="CN177" s="1"/>
  <c r="CT177" s="1"/>
  <c r="CM173"/>
  <c r="CN173" s="1"/>
  <c r="CT173" s="1"/>
  <c r="CM169"/>
  <c r="CM165"/>
  <c r="CN165" s="1"/>
  <c r="CT165" s="1"/>
  <c r="CM161"/>
  <c r="CM157"/>
  <c r="CN157" s="1"/>
  <c r="CT157" s="1"/>
  <c r="CS153"/>
  <c r="CR142"/>
  <c r="CR134"/>
  <c r="CR126"/>
  <c r="CR122"/>
  <c r="CR118"/>
  <c r="CR110"/>
  <c r="CS151"/>
  <c r="CM151"/>
  <c r="CS135"/>
  <c r="CM135"/>
  <c r="CN135" s="1"/>
  <c r="CT135" s="1"/>
  <c r="CS131"/>
  <c r="CM131"/>
  <c r="CN131" s="1"/>
  <c r="CT131" s="1"/>
  <c r="CS115"/>
  <c r="CM115"/>
  <c r="CN115" s="1"/>
  <c r="CT115" s="1"/>
  <c r="CS111"/>
  <c r="CM111"/>
  <c r="CN111" s="1"/>
  <c r="CT111" s="1"/>
  <c r="CS107"/>
  <c r="CM107"/>
  <c r="CN107" s="1"/>
  <c r="CJ150"/>
  <c r="CR150" s="1"/>
  <c r="CM149"/>
  <c r="CN149" s="1"/>
  <c r="CQ147"/>
  <c r="CS143"/>
  <c r="CS139"/>
  <c r="CS127"/>
  <c r="CS123"/>
  <c r="CS119"/>
  <c r="CN84"/>
  <c r="CT84" s="1"/>
  <c r="CN76"/>
  <c r="CT76" s="1"/>
  <c r="CN68"/>
  <c r="CT68" s="1"/>
  <c r="CN44"/>
  <c r="CT44" s="1"/>
  <c r="CN23"/>
  <c r="CT23" s="1"/>
  <c r="CQ153"/>
  <c r="CJ148"/>
  <c r="CR148" s="1"/>
  <c r="CM147"/>
  <c r="CJ144"/>
  <c r="CR144" s="1"/>
  <c r="CQ143"/>
  <c r="CT143" s="1"/>
  <c r="CJ140"/>
  <c r="CR140" s="1"/>
  <c r="CQ139"/>
  <c r="CJ136"/>
  <c r="CR136" s="1"/>
  <c r="CJ132"/>
  <c r="CR132" s="1"/>
  <c r="CJ128"/>
  <c r="CR128" s="1"/>
  <c r="CQ127"/>
  <c r="CT127" s="1"/>
  <c r="CJ124"/>
  <c r="CR124" s="1"/>
  <c r="CQ123"/>
  <c r="CJ120"/>
  <c r="CR120" s="1"/>
  <c r="CQ119"/>
  <c r="CJ116"/>
  <c r="CR116" s="1"/>
  <c r="CJ112"/>
  <c r="CR112" s="1"/>
  <c r="CJ108"/>
  <c r="CR108" s="1"/>
  <c r="CN82"/>
  <c r="CT82" s="1"/>
  <c r="CS125"/>
  <c r="CS121"/>
  <c r="CS113"/>
  <c r="CS109"/>
  <c r="CM103"/>
  <c r="CN103" s="1"/>
  <c r="CT103" s="1"/>
  <c r="CM99"/>
  <c r="CN99" s="1"/>
  <c r="CM95"/>
  <c r="CN95" s="1"/>
  <c r="CT95" s="1"/>
  <c r="CS89"/>
  <c r="CS85"/>
  <c r="CM83"/>
  <c r="CN83" s="1"/>
  <c r="CM79"/>
  <c r="CN79" s="1"/>
  <c r="CT79" s="1"/>
  <c r="CM75"/>
  <c r="CN75" s="1"/>
  <c r="CT75" s="1"/>
  <c r="CS73"/>
  <c r="CS69"/>
  <c r="CM59"/>
  <c r="CS49"/>
  <c r="CM43"/>
  <c r="CN43" s="1"/>
  <c r="CM35"/>
  <c r="CN35" s="1"/>
  <c r="CM27"/>
  <c r="CN27" s="1"/>
  <c r="CM11"/>
  <c r="Y47" i="19" s="1"/>
  <c r="BP206" i="9"/>
  <c r="BP205"/>
  <c r="BP204"/>
  <c r="BP182"/>
  <c r="CC182"/>
  <c r="CC181"/>
  <c r="BM145"/>
  <c r="BM137"/>
  <c r="BT76"/>
  <c r="BV62"/>
  <c r="BP60"/>
  <c r="BT52"/>
  <c r="BM49"/>
  <c r="BU49" s="1"/>
  <c r="BT44"/>
  <c r="BT43"/>
  <c r="BT42"/>
  <c r="BM33"/>
  <c r="BU33" s="1"/>
  <c r="BT32"/>
  <c r="BV24"/>
  <c r="BT20"/>
  <c r="BT17"/>
  <c r="BV9"/>
  <c r="BT163"/>
  <c r="BT158"/>
  <c r="BV120"/>
  <c r="BV70"/>
  <c r="BV69"/>
  <c r="BV67"/>
  <c r="BT66"/>
  <c r="BV32"/>
  <c r="BV30"/>
  <c r="BP24"/>
  <c r="AW114"/>
  <c r="AW108"/>
  <c r="AW44"/>
  <c r="AW43"/>
  <c r="AW42"/>
  <c r="BV8"/>
  <c r="BT206"/>
  <c r="BT205"/>
  <c r="BT171"/>
  <c r="BT170"/>
  <c r="BM167"/>
  <c r="BU167" s="1"/>
  <c r="BP158"/>
  <c r="BV78"/>
  <c r="BP76"/>
  <c r="BT74"/>
  <c r="BM57"/>
  <c r="BU57" s="1"/>
  <c r="BV56"/>
  <c r="BP48"/>
  <c r="BP44"/>
  <c r="BP32"/>
  <c r="BV10"/>
  <c r="BM101"/>
  <c r="BM91"/>
  <c r="BU91" s="1"/>
  <c r="AP184"/>
  <c r="AX184" s="1"/>
  <c r="BV203"/>
  <c r="BP199"/>
  <c r="BT198"/>
  <c r="BV188"/>
  <c r="BT187"/>
  <c r="BT186"/>
  <c r="BM183"/>
  <c r="BU183" s="1"/>
  <c r="BV182"/>
  <c r="BP167"/>
  <c r="BQ167" s="1"/>
  <c r="BT166"/>
  <c r="BT157"/>
  <c r="BM157"/>
  <c r="BU157" s="1"/>
  <c r="BP144"/>
  <c r="BP136"/>
  <c r="BP128"/>
  <c r="BV118"/>
  <c r="BV112"/>
  <c r="BV110"/>
  <c r="BV98"/>
  <c r="BV75"/>
  <c r="BV61"/>
  <c r="BV59"/>
  <c r="BV38"/>
  <c r="BX180"/>
  <c r="CC179"/>
  <c r="BV178"/>
  <c r="BM178"/>
  <c r="BU178" s="1"/>
  <c r="BV177"/>
  <c r="CC177"/>
  <c r="BV176"/>
  <c r="BM176"/>
  <c r="BU176" s="1"/>
  <c r="CC175"/>
  <c r="BT174"/>
  <c r="BV150"/>
  <c r="BM147"/>
  <c r="BU147" s="1"/>
  <c r="BM129"/>
  <c r="BM121"/>
  <c r="BU121" s="1"/>
  <c r="BT118"/>
  <c r="BT117"/>
  <c r="BT116"/>
  <c r="BM113"/>
  <c r="BU113" s="1"/>
  <c r="BT112"/>
  <c r="BV100"/>
  <c r="BM89"/>
  <c r="BU89" s="1"/>
  <c r="BM81"/>
  <c r="BU81" s="1"/>
  <c r="BT78"/>
  <c r="BM77"/>
  <c r="BU77" s="1"/>
  <c r="BM65"/>
  <c r="BU65" s="1"/>
  <c r="BT62"/>
  <c r="BT61"/>
  <c r="BT60"/>
  <c r="BT58"/>
  <c r="BT49"/>
  <c r="BV48"/>
  <c r="BM41"/>
  <c r="BU41" s="1"/>
  <c r="BV40"/>
  <c r="BP36"/>
  <c r="BM24"/>
  <c r="BP20"/>
  <c r="AW187"/>
  <c r="AW186"/>
  <c r="BT202"/>
  <c r="BT201"/>
  <c r="BM199"/>
  <c r="BU199" s="1"/>
  <c r="BV198"/>
  <c r="BP183"/>
  <c r="BU145"/>
  <c r="BU9"/>
  <c r="CC198"/>
  <c r="CC197"/>
  <c r="BX196"/>
  <c r="CC195"/>
  <c r="BV194"/>
  <c r="BM194"/>
  <c r="BV193"/>
  <c r="CC193"/>
  <c r="BV192"/>
  <c r="BM192"/>
  <c r="BU192" s="1"/>
  <c r="BP191"/>
  <c r="CC191"/>
  <c r="BT178"/>
  <c r="BP166"/>
  <c r="CC166"/>
  <c r="CC165"/>
  <c r="BV162"/>
  <c r="BV160"/>
  <c r="BP159"/>
  <c r="BM159"/>
  <c r="BU159" s="1"/>
  <c r="BV157"/>
  <c r="BM155"/>
  <c r="BU155" s="1"/>
  <c r="BV154"/>
  <c r="BV153"/>
  <c r="BM153"/>
  <c r="BU153" s="1"/>
  <c r="BT148"/>
  <c r="BV144"/>
  <c r="BV136"/>
  <c r="BT131"/>
  <c r="BP120"/>
  <c r="BT99"/>
  <c r="BM99"/>
  <c r="BU99" s="1"/>
  <c r="BV90"/>
  <c r="BM73"/>
  <c r="BU73" s="1"/>
  <c r="BT70"/>
  <c r="BT69"/>
  <c r="BM53"/>
  <c r="BU53" s="1"/>
  <c r="BP52"/>
  <c r="BP49"/>
  <c r="BV46"/>
  <c r="BV45"/>
  <c r="BM45"/>
  <c r="BU45" s="1"/>
  <c r="BT40"/>
  <c r="BV27"/>
  <c r="BV26"/>
  <c r="BM25"/>
  <c r="BU25" s="1"/>
  <c r="BT21"/>
  <c r="BQ9"/>
  <c r="BW9" s="1"/>
  <c r="AE17" i="19" s="1"/>
  <c r="AY175" i="9"/>
  <c r="AP168"/>
  <c r="AY159"/>
  <c r="BV207"/>
  <c r="BM203"/>
  <c r="BV202"/>
  <c r="BX202"/>
  <c r="CC201"/>
  <c r="BV200"/>
  <c r="BM200"/>
  <c r="BU200" s="1"/>
  <c r="CC199"/>
  <c r="BV196"/>
  <c r="BM191"/>
  <c r="BU191" s="1"/>
  <c r="CC190"/>
  <c r="CC189"/>
  <c r="BX188"/>
  <c r="CC187"/>
  <c r="BV186"/>
  <c r="BM186"/>
  <c r="BU186" s="1"/>
  <c r="BV185"/>
  <c r="CC185"/>
  <c r="BV184"/>
  <c r="BM184"/>
  <c r="BU184" s="1"/>
  <c r="CC183"/>
  <c r="BV180"/>
  <c r="BM175"/>
  <c r="BU175" s="1"/>
  <c r="CC174"/>
  <c r="CC173"/>
  <c r="BX172"/>
  <c r="CC171"/>
  <c r="BV170"/>
  <c r="BM170"/>
  <c r="BU170" s="1"/>
  <c r="BV169"/>
  <c r="CC169"/>
  <c r="BV168"/>
  <c r="BM168"/>
  <c r="BU168" s="1"/>
  <c r="CC167"/>
  <c r="BV164"/>
  <c r="BV158"/>
  <c r="BV152"/>
  <c r="BV146"/>
  <c r="BV122"/>
  <c r="BV114"/>
  <c r="BV109"/>
  <c r="BV108"/>
  <c r="BV106"/>
  <c r="BV105"/>
  <c r="BM105"/>
  <c r="BU105" s="1"/>
  <c r="BV96"/>
  <c r="BV94"/>
  <c r="BM93"/>
  <c r="BU93" s="1"/>
  <c r="BV80"/>
  <c r="BV72"/>
  <c r="BV64"/>
  <c r="BM61"/>
  <c r="BU61" s="1"/>
  <c r="BV36"/>
  <c r="BV35"/>
  <c r="BV34"/>
  <c r="BV29"/>
  <c r="BM29"/>
  <c r="BU29" s="1"/>
  <c r="BT19"/>
  <c r="BM19"/>
  <c r="BU19" s="1"/>
  <c r="BT16"/>
  <c r="BT14"/>
  <c r="BM13"/>
  <c r="BU13" s="1"/>
  <c r="AW8"/>
  <c r="AS175"/>
  <c r="AS160"/>
  <c r="AS159"/>
  <c r="AP155"/>
  <c r="AP153"/>
  <c r="AP151"/>
  <c r="AP145"/>
  <c r="AX145" s="1"/>
  <c r="AP141"/>
  <c r="AX141" s="1"/>
  <c r="AP137"/>
  <c r="AX137" s="1"/>
  <c r="AP121"/>
  <c r="AX121" s="1"/>
  <c r="AS109"/>
  <c r="AY51"/>
  <c r="BP207"/>
  <c r="BX206"/>
  <c r="CC205"/>
  <c r="BX204"/>
  <c r="BT200"/>
  <c r="BP196"/>
  <c r="BP194"/>
  <c r="BQ194" s="1"/>
  <c r="BW194" s="1"/>
  <c r="BP193"/>
  <c r="BT189"/>
  <c r="BM189"/>
  <c r="BU189" s="1"/>
  <c r="BT184"/>
  <c r="BP180"/>
  <c r="BP178"/>
  <c r="BQ178" s="1"/>
  <c r="BP177"/>
  <c r="BT173"/>
  <c r="BM173"/>
  <c r="BU173" s="1"/>
  <c r="BT168"/>
  <c r="BP164"/>
  <c r="BV156"/>
  <c r="BT144"/>
  <c r="BP140"/>
  <c r="BT136"/>
  <c r="BT120"/>
  <c r="BT110"/>
  <c r="BT109"/>
  <c r="BT106"/>
  <c r="BT105"/>
  <c r="BT96"/>
  <c r="BT94"/>
  <c r="BP84"/>
  <c r="BT80"/>
  <c r="BP73"/>
  <c r="BQ73" s="1"/>
  <c r="BT72"/>
  <c r="BT64"/>
  <c r="BT56"/>
  <c r="BT48"/>
  <c r="BV44"/>
  <c r="BV43"/>
  <c r="BV42"/>
  <c r="BV37"/>
  <c r="BM37"/>
  <c r="BU37" s="1"/>
  <c r="BT34"/>
  <c r="BV18"/>
  <c r="BM16"/>
  <c r="BP12"/>
  <c r="AW205"/>
  <c r="AW92"/>
  <c r="AY10"/>
  <c r="BP203"/>
  <c r="BP201"/>
  <c r="BT197"/>
  <c r="BM197"/>
  <c r="BU197" s="1"/>
  <c r="BT192"/>
  <c r="BP188"/>
  <c r="BP186"/>
  <c r="BP185"/>
  <c r="BT181"/>
  <c r="BM181"/>
  <c r="BT177"/>
  <c r="BT176"/>
  <c r="BP172"/>
  <c r="BP170"/>
  <c r="BP169"/>
  <c r="BT165"/>
  <c r="BM165"/>
  <c r="BU165" s="1"/>
  <c r="BT162"/>
  <c r="BT160"/>
  <c r="BT154"/>
  <c r="BT153"/>
  <c r="BP141"/>
  <c r="BM141"/>
  <c r="BU141" s="1"/>
  <c r="BT139"/>
  <c r="BM139"/>
  <c r="BU139" s="1"/>
  <c r="BT132"/>
  <c r="BT130"/>
  <c r="BT129"/>
  <c r="BV124"/>
  <c r="BM123"/>
  <c r="BU123" s="1"/>
  <c r="BP117"/>
  <c r="BM117"/>
  <c r="BU117" s="1"/>
  <c r="BT115"/>
  <c r="BM115"/>
  <c r="BU115" s="1"/>
  <c r="BP104"/>
  <c r="BT100"/>
  <c r="BP92"/>
  <c r="BT88"/>
  <c r="BT87"/>
  <c r="BT86"/>
  <c r="BT85"/>
  <c r="BM85"/>
  <c r="BU85" s="1"/>
  <c r="BV82"/>
  <c r="BV77"/>
  <c r="BM69"/>
  <c r="BU69" s="1"/>
  <c r="BT51"/>
  <c r="BT50"/>
  <c r="BT45"/>
  <c r="BM21"/>
  <c r="BU21" s="1"/>
  <c r="BP161"/>
  <c r="BM160"/>
  <c r="BU160" s="1"/>
  <c r="CC160"/>
  <c r="BX160"/>
  <c r="BX154"/>
  <c r="CC154"/>
  <c r="BM148"/>
  <c r="BU148" s="1"/>
  <c r="CC148"/>
  <c r="BX148"/>
  <c r="BP143"/>
  <c r="BM142"/>
  <c r="BU142" s="1"/>
  <c r="BX142"/>
  <c r="CC142"/>
  <c r="CC140"/>
  <c r="BX140"/>
  <c r="BP134"/>
  <c r="BP133"/>
  <c r="CC133"/>
  <c r="BX133"/>
  <c r="BM130"/>
  <c r="BU130" s="1"/>
  <c r="BX130"/>
  <c r="CC130"/>
  <c r="CC128"/>
  <c r="BX128"/>
  <c r="CC127"/>
  <c r="BX127"/>
  <c r="BP119"/>
  <c r="BM118"/>
  <c r="BU118" s="1"/>
  <c r="BX118"/>
  <c r="CC118"/>
  <c r="CC116"/>
  <c r="BX116"/>
  <c r="BP110"/>
  <c r="BP109"/>
  <c r="CC109"/>
  <c r="BX109"/>
  <c r="BM106"/>
  <c r="BU106" s="1"/>
  <c r="BX106"/>
  <c r="CC106"/>
  <c r="CC104"/>
  <c r="BX104"/>
  <c r="CC103"/>
  <c r="BX103"/>
  <c r="BP95"/>
  <c r="BM94"/>
  <c r="BU94" s="1"/>
  <c r="BX94"/>
  <c r="CC94"/>
  <c r="CC92"/>
  <c r="BX92"/>
  <c r="BP87"/>
  <c r="BM86"/>
  <c r="BU86" s="1"/>
  <c r="BX86"/>
  <c r="CC86"/>
  <c r="CC84"/>
  <c r="BX84"/>
  <c r="CC83"/>
  <c r="BX83"/>
  <c r="BP78"/>
  <c r="BM76"/>
  <c r="BU76" s="1"/>
  <c r="CC76"/>
  <c r="BX76"/>
  <c r="CC75"/>
  <c r="BX75"/>
  <c r="BP70"/>
  <c r="BM68"/>
  <c r="BU68" s="1"/>
  <c r="CC68"/>
  <c r="BX68"/>
  <c r="CC67"/>
  <c r="BX67"/>
  <c r="BP62"/>
  <c r="BM60"/>
  <c r="BU60" s="1"/>
  <c r="CC60"/>
  <c r="BX60"/>
  <c r="CC59"/>
  <c r="BX59"/>
  <c r="BP54"/>
  <c r="BM52"/>
  <c r="BU52" s="1"/>
  <c r="CC52"/>
  <c r="BX52"/>
  <c r="CC51"/>
  <c r="BX51"/>
  <c r="BP46"/>
  <c r="BM44"/>
  <c r="BU44" s="1"/>
  <c r="CC44"/>
  <c r="BX44"/>
  <c r="CC43"/>
  <c r="BX43"/>
  <c r="BP38"/>
  <c r="BM36"/>
  <c r="BU36" s="1"/>
  <c r="BX36"/>
  <c r="CC36"/>
  <c r="BX35"/>
  <c r="CC35"/>
  <c r="BP30"/>
  <c r="BM28"/>
  <c r="BU28" s="1"/>
  <c r="BX28"/>
  <c r="CC28"/>
  <c r="BX27"/>
  <c r="CC27"/>
  <c r="BP22"/>
  <c r="BX17"/>
  <c r="CC17"/>
  <c r="BM14"/>
  <c r="BU14" s="1"/>
  <c r="BX14"/>
  <c r="CC14"/>
  <c r="BX12"/>
  <c r="CC12"/>
  <c r="BM11"/>
  <c r="BU11" s="1"/>
  <c r="BX11"/>
  <c r="CC11"/>
  <c r="BU181"/>
  <c r="BU24"/>
  <c r="CC206"/>
  <c r="BX205"/>
  <c r="CC202"/>
  <c r="BX201"/>
  <c r="BX197"/>
  <c r="CC194"/>
  <c r="BX193"/>
  <c r="BX189"/>
  <c r="CC186"/>
  <c r="BX185"/>
  <c r="BX181"/>
  <c r="CC178"/>
  <c r="BX177"/>
  <c r="BX173"/>
  <c r="CC170"/>
  <c r="BX169"/>
  <c r="BX165"/>
  <c r="BM162"/>
  <c r="BU162" s="1"/>
  <c r="BX162"/>
  <c r="CC162"/>
  <c r="CC161"/>
  <c r="BX161"/>
  <c r="BP156"/>
  <c r="CC155"/>
  <c r="BX155"/>
  <c r="CC152"/>
  <c r="BX152"/>
  <c r="CC151"/>
  <c r="BX151"/>
  <c r="BP146"/>
  <c r="CC145"/>
  <c r="BX145"/>
  <c r="CC143"/>
  <c r="BX143"/>
  <c r="BP138"/>
  <c r="BP137"/>
  <c r="CC137"/>
  <c r="BX137"/>
  <c r="BM134"/>
  <c r="BU134" s="1"/>
  <c r="BX134"/>
  <c r="CC134"/>
  <c r="CC132"/>
  <c r="BX132"/>
  <c r="CC131"/>
  <c r="BX131"/>
  <c r="BP122"/>
  <c r="BP121"/>
  <c r="CC121"/>
  <c r="BX121"/>
  <c r="CC119"/>
  <c r="BX119"/>
  <c r="BP114"/>
  <c r="BP113"/>
  <c r="BQ113" s="1"/>
  <c r="CC113"/>
  <c r="BX113"/>
  <c r="BM110"/>
  <c r="BU110" s="1"/>
  <c r="BX110"/>
  <c r="CC110"/>
  <c r="CC108"/>
  <c r="BX108"/>
  <c r="CC107"/>
  <c r="BX107"/>
  <c r="BP98"/>
  <c r="BP97"/>
  <c r="BQ97" s="1"/>
  <c r="CC97"/>
  <c r="BX97"/>
  <c r="CC95"/>
  <c r="BX95"/>
  <c r="BP90"/>
  <c r="CC89"/>
  <c r="BX89"/>
  <c r="CC87"/>
  <c r="BX87"/>
  <c r="BP81"/>
  <c r="CC81"/>
  <c r="BX81"/>
  <c r="BP79"/>
  <c r="BM78"/>
  <c r="BU78" s="1"/>
  <c r="BX78"/>
  <c r="CC78"/>
  <c r="CC73"/>
  <c r="BX73"/>
  <c r="BP71"/>
  <c r="BM70"/>
  <c r="BU70" s="1"/>
  <c r="BX70"/>
  <c r="CC70"/>
  <c r="BP65"/>
  <c r="CC65"/>
  <c r="BX65"/>
  <c r="BP63"/>
  <c r="BM62"/>
  <c r="BU62" s="1"/>
  <c r="BX62"/>
  <c r="CC62"/>
  <c r="BP57"/>
  <c r="CC57"/>
  <c r="BX57"/>
  <c r="BP55"/>
  <c r="BM54"/>
  <c r="BU54" s="1"/>
  <c r="BX54"/>
  <c r="CC54"/>
  <c r="CC49"/>
  <c r="BX49"/>
  <c r="BP47"/>
  <c r="BM46"/>
  <c r="BU46" s="1"/>
  <c r="BX46"/>
  <c r="CC46"/>
  <c r="BP41"/>
  <c r="CC41"/>
  <c r="BX41"/>
  <c r="BP39"/>
  <c r="BM38"/>
  <c r="BU38" s="1"/>
  <c r="BX38"/>
  <c r="CC38"/>
  <c r="BP33"/>
  <c r="BX33"/>
  <c r="CC33"/>
  <c r="BP31"/>
  <c r="BM30"/>
  <c r="BU30" s="1"/>
  <c r="BX30"/>
  <c r="CC30"/>
  <c r="BX25"/>
  <c r="CC25"/>
  <c r="BM22"/>
  <c r="BU22" s="1"/>
  <c r="BX22"/>
  <c r="CC22"/>
  <c r="BP18"/>
  <c r="BX16"/>
  <c r="CC16"/>
  <c r="BX15"/>
  <c r="CC15"/>
  <c r="BX9"/>
  <c r="CC9"/>
  <c r="AY180"/>
  <c r="AY177"/>
  <c r="AP176"/>
  <c r="AX176" s="1"/>
  <c r="AS170"/>
  <c r="AW133"/>
  <c r="AW107"/>
  <c r="AW106"/>
  <c r="AW96"/>
  <c r="AW79"/>
  <c r="AW32"/>
  <c r="AW16"/>
  <c r="AW9"/>
  <c r="BU203"/>
  <c r="BP202"/>
  <c r="BV201"/>
  <c r="BT199"/>
  <c r="BP195"/>
  <c r="BU194"/>
  <c r="BT191"/>
  <c r="BP187"/>
  <c r="BT183"/>
  <c r="BP179"/>
  <c r="BT175"/>
  <c r="BP171"/>
  <c r="BT167"/>
  <c r="BP163"/>
  <c r="BV161"/>
  <c r="BT159"/>
  <c r="BT141"/>
  <c r="BV133"/>
  <c r="BM127"/>
  <c r="BU127" s="1"/>
  <c r="BT123"/>
  <c r="BV116"/>
  <c r="BV104"/>
  <c r="BM103"/>
  <c r="BU103" s="1"/>
  <c r="BV92"/>
  <c r="BV84"/>
  <c r="BM83"/>
  <c r="BU83" s="1"/>
  <c r="BT77"/>
  <c r="BV76"/>
  <c r="BT75"/>
  <c r="BM75"/>
  <c r="BU75" s="1"/>
  <c r="BV68"/>
  <c r="BT67"/>
  <c r="BM67"/>
  <c r="BU67" s="1"/>
  <c r="BV60"/>
  <c r="BT59"/>
  <c r="BM59"/>
  <c r="BU59" s="1"/>
  <c r="BV52"/>
  <c r="BM51"/>
  <c r="BU51" s="1"/>
  <c r="BM43"/>
  <c r="BU43" s="1"/>
  <c r="BT37"/>
  <c r="BT35"/>
  <c r="BM35"/>
  <c r="BU35" s="1"/>
  <c r="BT29"/>
  <c r="BT27"/>
  <c r="BM27"/>
  <c r="BU27" s="1"/>
  <c r="BM20"/>
  <c r="BU20" s="1"/>
  <c r="BP17"/>
  <c r="BV15"/>
  <c r="BT13"/>
  <c r="BX200"/>
  <c r="BX192"/>
  <c r="BX184"/>
  <c r="BX176"/>
  <c r="BX168"/>
  <c r="CC159"/>
  <c r="BX159"/>
  <c r="BP157"/>
  <c r="BM156"/>
  <c r="BU156" s="1"/>
  <c r="CC156"/>
  <c r="BX156"/>
  <c r="BM150"/>
  <c r="BU150" s="1"/>
  <c r="BX150"/>
  <c r="CC150"/>
  <c r="CC149"/>
  <c r="BX149"/>
  <c r="BX146"/>
  <c r="CC146"/>
  <c r="CC144"/>
  <c r="BX144"/>
  <c r="BP139"/>
  <c r="BM138"/>
  <c r="BU138" s="1"/>
  <c r="BX138"/>
  <c r="CC138"/>
  <c r="CC136"/>
  <c r="BX136"/>
  <c r="CC135"/>
  <c r="BX135"/>
  <c r="BP126"/>
  <c r="BP125"/>
  <c r="BQ125" s="1"/>
  <c r="BW125" s="1"/>
  <c r="CC125"/>
  <c r="BX125"/>
  <c r="BM122"/>
  <c r="BU122" s="1"/>
  <c r="BX122"/>
  <c r="CC122"/>
  <c r="CC120"/>
  <c r="BX120"/>
  <c r="BP115"/>
  <c r="BQ115" s="1"/>
  <c r="BM114"/>
  <c r="BU114" s="1"/>
  <c r="BX114"/>
  <c r="CC114"/>
  <c r="CC112"/>
  <c r="BX112"/>
  <c r="CC111"/>
  <c r="BX111"/>
  <c r="BP102"/>
  <c r="BP101"/>
  <c r="BQ101" s="1"/>
  <c r="BW101" s="1"/>
  <c r="CC101"/>
  <c r="BX101"/>
  <c r="BM98"/>
  <c r="BU98" s="1"/>
  <c r="BX98"/>
  <c r="CC98"/>
  <c r="CC96"/>
  <c r="BX96"/>
  <c r="BP91"/>
  <c r="BM90"/>
  <c r="BU90" s="1"/>
  <c r="BX90"/>
  <c r="CC90"/>
  <c r="CC88"/>
  <c r="BX88"/>
  <c r="BP82"/>
  <c r="BM80"/>
  <c r="BU80" s="1"/>
  <c r="CC80"/>
  <c r="BX80"/>
  <c r="CC79"/>
  <c r="BX79"/>
  <c r="BP74"/>
  <c r="BM72"/>
  <c r="BU72" s="1"/>
  <c r="CC72"/>
  <c r="BX72"/>
  <c r="CC71"/>
  <c r="BX71"/>
  <c r="BP66"/>
  <c r="BM64"/>
  <c r="BU64" s="1"/>
  <c r="CC64"/>
  <c r="BX64"/>
  <c r="CC63"/>
  <c r="BX63"/>
  <c r="BP58"/>
  <c r="BM56"/>
  <c r="BU56" s="1"/>
  <c r="CC56"/>
  <c r="BX56"/>
  <c r="CC55"/>
  <c r="BX55"/>
  <c r="BP50"/>
  <c r="BM48"/>
  <c r="BU48" s="1"/>
  <c r="CC48"/>
  <c r="BX48"/>
  <c r="CC47"/>
  <c r="BX47"/>
  <c r="BP42"/>
  <c r="BM40"/>
  <c r="BU40" s="1"/>
  <c r="CC40"/>
  <c r="BX40"/>
  <c r="CC39"/>
  <c r="BX39"/>
  <c r="BP34"/>
  <c r="BM32"/>
  <c r="BU32" s="1"/>
  <c r="BX32"/>
  <c r="CC32"/>
  <c r="BX31"/>
  <c r="CC31"/>
  <c r="BP26"/>
  <c r="BX24"/>
  <c r="CC24"/>
  <c r="BX23"/>
  <c r="CC23"/>
  <c r="BP21"/>
  <c r="BX21"/>
  <c r="CC21"/>
  <c r="BM18"/>
  <c r="BU18" s="1"/>
  <c r="BX18"/>
  <c r="CC18"/>
  <c r="BP13"/>
  <c r="BQ13" s="1"/>
  <c r="BX13"/>
  <c r="CC13"/>
  <c r="BP10"/>
  <c r="AS207"/>
  <c r="AS206"/>
  <c r="AP204"/>
  <c r="AW175"/>
  <c r="AY128"/>
  <c r="AW125"/>
  <c r="AY102"/>
  <c r="AY96"/>
  <c r="AY94"/>
  <c r="AY88"/>
  <c r="AS80"/>
  <c r="AS64"/>
  <c r="BM207"/>
  <c r="BU207" s="1"/>
  <c r="BV205"/>
  <c r="BV204"/>
  <c r="BM204"/>
  <c r="BU204" s="1"/>
  <c r="BT203"/>
  <c r="BM202"/>
  <c r="BU202" s="1"/>
  <c r="BM201"/>
  <c r="BU201" s="1"/>
  <c r="BP197"/>
  <c r="BM196"/>
  <c r="BU196" s="1"/>
  <c r="BT193"/>
  <c r="BM193"/>
  <c r="BU193" s="1"/>
  <c r="BP189"/>
  <c r="BM188"/>
  <c r="BU188" s="1"/>
  <c r="BT185"/>
  <c r="BM185"/>
  <c r="BU185" s="1"/>
  <c r="BP181"/>
  <c r="BM180"/>
  <c r="BU180" s="1"/>
  <c r="BM177"/>
  <c r="BU177" s="1"/>
  <c r="BP173"/>
  <c r="BQ173" s="1"/>
  <c r="BW173" s="1"/>
  <c r="BM172"/>
  <c r="BU172" s="1"/>
  <c r="BT169"/>
  <c r="BM169"/>
  <c r="BU169" s="1"/>
  <c r="BP165"/>
  <c r="BM164"/>
  <c r="BU164" s="1"/>
  <c r="BP162"/>
  <c r="BQ162" s="1"/>
  <c r="BW162" s="1"/>
  <c r="BT161"/>
  <c r="BM161"/>
  <c r="BU161" s="1"/>
  <c r="BP152"/>
  <c r="BM151"/>
  <c r="BU151" s="1"/>
  <c r="BV149"/>
  <c r="BT147"/>
  <c r="BT143"/>
  <c r="BM143"/>
  <c r="BU143" s="1"/>
  <c r="BV137"/>
  <c r="BT134"/>
  <c r="BT133"/>
  <c r="BP132"/>
  <c r="BM131"/>
  <c r="BU131" s="1"/>
  <c r="BV121"/>
  <c r="BT119"/>
  <c r="BM119"/>
  <c r="BU119" s="1"/>
  <c r="BV113"/>
  <c r="BP108"/>
  <c r="BM107"/>
  <c r="BU107" s="1"/>
  <c r="BV97"/>
  <c r="BT95"/>
  <c r="BM95"/>
  <c r="BU95" s="1"/>
  <c r="BT93"/>
  <c r="BP89"/>
  <c r="BM87"/>
  <c r="BU87" s="1"/>
  <c r="BV81"/>
  <c r="BV79"/>
  <c r="BV71"/>
  <c r="BV65"/>
  <c r="BV63"/>
  <c r="BV57"/>
  <c r="BV55"/>
  <c r="BT54"/>
  <c r="BV47"/>
  <c r="BT46"/>
  <c r="BV41"/>
  <c r="BV39"/>
  <c r="BT38"/>
  <c r="BV33"/>
  <c r="BV31"/>
  <c r="BT30"/>
  <c r="BP25"/>
  <c r="BQ25" s="1"/>
  <c r="BV23"/>
  <c r="BT22"/>
  <c r="BP16"/>
  <c r="BT15"/>
  <c r="BM15"/>
  <c r="BU15" s="1"/>
  <c r="BM12"/>
  <c r="BU12" s="1"/>
  <c r="BX207"/>
  <c r="CC204"/>
  <c r="BX203"/>
  <c r="CC200"/>
  <c r="BX199"/>
  <c r="CC196"/>
  <c r="BX195"/>
  <c r="CC192"/>
  <c r="BX191"/>
  <c r="CC188"/>
  <c r="BX187"/>
  <c r="CC184"/>
  <c r="BX183"/>
  <c r="CC180"/>
  <c r="BX179"/>
  <c r="CC176"/>
  <c r="BX175"/>
  <c r="CC172"/>
  <c r="BX171"/>
  <c r="CC168"/>
  <c r="BX167"/>
  <c r="CC164"/>
  <c r="BP160"/>
  <c r="BQ160" s="1"/>
  <c r="BM158"/>
  <c r="BU158" s="1"/>
  <c r="BX158"/>
  <c r="CC158"/>
  <c r="CC157"/>
  <c r="BX157"/>
  <c r="BP154"/>
  <c r="CC153"/>
  <c r="BX153"/>
  <c r="BP148"/>
  <c r="BQ148" s="1"/>
  <c r="BW148" s="1"/>
  <c r="CC147"/>
  <c r="BX147"/>
  <c r="BP142"/>
  <c r="BQ142" s="1"/>
  <c r="CC141"/>
  <c r="BX141"/>
  <c r="CC139"/>
  <c r="BX139"/>
  <c r="BP130"/>
  <c r="BQ130" s="1"/>
  <c r="BP129"/>
  <c r="CC129"/>
  <c r="BX129"/>
  <c r="BM126"/>
  <c r="BU126" s="1"/>
  <c r="BX126"/>
  <c r="CC126"/>
  <c r="CC124"/>
  <c r="BX124"/>
  <c r="CC123"/>
  <c r="BX123"/>
  <c r="BP118"/>
  <c r="BQ118" s="1"/>
  <c r="BW118" s="1"/>
  <c r="CC117"/>
  <c r="BX117"/>
  <c r="CC115"/>
  <c r="BX115"/>
  <c r="BP106"/>
  <c r="BP105"/>
  <c r="CC105"/>
  <c r="BX105"/>
  <c r="BM102"/>
  <c r="BU102" s="1"/>
  <c r="BX102"/>
  <c r="CC102"/>
  <c r="CC100"/>
  <c r="BX100"/>
  <c r="CC99"/>
  <c r="BX99"/>
  <c r="BP94"/>
  <c r="CC93"/>
  <c r="BX93"/>
  <c r="CC91"/>
  <c r="BX91"/>
  <c r="BP86"/>
  <c r="BQ86" s="1"/>
  <c r="BW86" s="1"/>
  <c r="BP85"/>
  <c r="CC85"/>
  <c r="BX85"/>
  <c r="BM82"/>
  <c r="BU82" s="1"/>
  <c r="BX82"/>
  <c r="CC82"/>
  <c r="BP77"/>
  <c r="BQ77" s="1"/>
  <c r="CC77"/>
  <c r="BX77"/>
  <c r="BP75"/>
  <c r="BM74"/>
  <c r="BU74" s="1"/>
  <c r="BX74"/>
  <c r="CC74"/>
  <c r="BP69"/>
  <c r="CC69"/>
  <c r="BX69"/>
  <c r="BP67"/>
  <c r="BM66"/>
  <c r="BU66" s="1"/>
  <c r="BX66"/>
  <c r="CC66"/>
  <c r="BP61"/>
  <c r="CC61"/>
  <c r="BX61"/>
  <c r="BP59"/>
  <c r="BM58"/>
  <c r="BU58" s="1"/>
  <c r="BX58"/>
  <c r="CC58"/>
  <c r="BP53"/>
  <c r="CC53"/>
  <c r="BX53"/>
  <c r="BP51"/>
  <c r="BQ51" s="1"/>
  <c r="BM50"/>
  <c r="BU50" s="1"/>
  <c r="BX50"/>
  <c r="CC50"/>
  <c r="BP45"/>
  <c r="BQ45" s="1"/>
  <c r="BW45" s="1"/>
  <c r="CC45"/>
  <c r="BX45"/>
  <c r="BP43"/>
  <c r="BM42"/>
  <c r="BU42" s="1"/>
  <c r="BX42"/>
  <c r="CC42"/>
  <c r="BP37"/>
  <c r="BX37"/>
  <c r="CC37"/>
  <c r="BP35"/>
  <c r="BM34"/>
  <c r="BU34" s="1"/>
  <c r="BX34"/>
  <c r="CC34"/>
  <c r="BP29"/>
  <c r="BX29"/>
  <c r="CC29"/>
  <c r="BM26"/>
  <c r="BU26" s="1"/>
  <c r="BX26"/>
  <c r="CC26"/>
  <c r="BX20"/>
  <c r="CC20"/>
  <c r="BX19"/>
  <c r="CC19"/>
  <c r="BP14"/>
  <c r="BQ14" s="1"/>
  <c r="BW14" s="1"/>
  <c r="BP11"/>
  <c r="BQ11" s="1"/>
  <c r="BW11" s="1"/>
  <c r="BM10"/>
  <c r="BU10" s="1"/>
  <c r="BX10"/>
  <c r="CC10"/>
  <c r="AX168"/>
  <c r="AS150"/>
  <c r="AS128"/>
  <c r="AS96"/>
  <c r="AS88"/>
  <c r="AP85"/>
  <c r="AP81"/>
  <c r="AX81" s="1"/>
  <c r="AP77"/>
  <c r="AX77" s="1"/>
  <c r="AP57"/>
  <c r="AX57" s="1"/>
  <c r="AS49"/>
  <c r="AY44"/>
  <c r="BT207"/>
  <c r="BM206"/>
  <c r="BU206" s="1"/>
  <c r="BM205"/>
  <c r="BU205" s="1"/>
  <c r="BT204"/>
  <c r="BP200"/>
  <c r="BQ200" s="1"/>
  <c r="BW200" s="1"/>
  <c r="BQ199"/>
  <c r="BW199" s="1"/>
  <c r="BM198"/>
  <c r="BU198" s="1"/>
  <c r="BV197"/>
  <c r="BT196"/>
  <c r="BM195"/>
  <c r="BU195" s="1"/>
  <c r="BP192"/>
  <c r="BQ192" s="1"/>
  <c r="BM190"/>
  <c r="BU190" s="1"/>
  <c r="BV189"/>
  <c r="BT188"/>
  <c r="BM187"/>
  <c r="BU187" s="1"/>
  <c r="BP184"/>
  <c r="BQ184" s="1"/>
  <c r="BW184" s="1"/>
  <c r="BQ183"/>
  <c r="BM182"/>
  <c r="BU182" s="1"/>
  <c r="BV181"/>
  <c r="BT180"/>
  <c r="BT179"/>
  <c r="BM179"/>
  <c r="BU179" s="1"/>
  <c r="BP176"/>
  <c r="BP175"/>
  <c r="BQ175" s="1"/>
  <c r="BM174"/>
  <c r="BU174" s="1"/>
  <c r="BV173"/>
  <c r="BT172"/>
  <c r="BM171"/>
  <c r="BU171" s="1"/>
  <c r="BP168"/>
  <c r="BQ168" s="1"/>
  <c r="BW168" s="1"/>
  <c r="BM166"/>
  <c r="BU166" s="1"/>
  <c r="BV165"/>
  <c r="BT164"/>
  <c r="BM163"/>
  <c r="BU163" s="1"/>
  <c r="BT156"/>
  <c r="BT152"/>
  <c r="BT149"/>
  <c r="BM149"/>
  <c r="BU149" s="1"/>
  <c r="BT146"/>
  <c r="BT145"/>
  <c r="BT138"/>
  <c r="BT137"/>
  <c r="BT135"/>
  <c r="BM135"/>
  <c r="BU135" s="1"/>
  <c r="BM133"/>
  <c r="BT122"/>
  <c r="BT121"/>
  <c r="BT114"/>
  <c r="BT113"/>
  <c r="BP112"/>
  <c r="BT111"/>
  <c r="BM111"/>
  <c r="BU111" s="1"/>
  <c r="BM109"/>
  <c r="BU109" s="1"/>
  <c r="BT107"/>
  <c r="BT98"/>
  <c r="BT97"/>
  <c r="BP96"/>
  <c r="BT90"/>
  <c r="BT89"/>
  <c r="BP88"/>
  <c r="BT81"/>
  <c r="BP80"/>
  <c r="BQ80" s="1"/>
  <c r="BT79"/>
  <c r="BM79"/>
  <c r="BU79" s="1"/>
  <c r="BT73"/>
  <c r="BP72"/>
  <c r="BT71"/>
  <c r="BM71"/>
  <c r="BU71" s="1"/>
  <c r="BT65"/>
  <c r="BP64"/>
  <c r="BQ64" s="1"/>
  <c r="BW64" s="1"/>
  <c r="BT63"/>
  <c r="BM63"/>
  <c r="BU63" s="1"/>
  <c r="BT57"/>
  <c r="BP56"/>
  <c r="BT55"/>
  <c r="BM55"/>
  <c r="BU55" s="1"/>
  <c r="BT47"/>
  <c r="BM47"/>
  <c r="BU47" s="1"/>
  <c r="BT41"/>
  <c r="BT39"/>
  <c r="BM39"/>
  <c r="BU39" s="1"/>
  <c r="BT33"/>
  <c r="BT31"/>
  <c r="BM31"/>
  <c r="BU31" s="1"/>
  <c r="BT25"/>
  <c r="BT23"/>
  <c r="BM23"/>
  <c r="BU23" s="1"/>
  <c r="BT18"/>
  <c r="BM17"/>
  <c r="BU17" s="1"/>
  <c r="BU16"/>
  <c r="BV12"/>
  <c r="CC207"/>
  <c r="CC203"/>
  <c r="BX198"/>
  <c r="BX194"/>
  <c r="BX190"/>
  <c r="BX186"/>
  <c r="BX182"/>
  <c r="BX178"/>
  <c r="BX174"/>
  <c r="BX170"/>
  <c r="BX166"/>
  <c r="CC163"/>
  <c r="BQ193"/>
  <c r="BW193" s="1"/>
  <c r="BQ177"/>
  <c r="BQ166"/>
  <c r="BW166" s="1"/>
  <c r="BQ170"/>
  <c r="BW170" s="1"/>
  <c r="BV155"/>
  <c r="BP155"/>
  <c r="BQ155" s="1"/>
  <c r="BV147"/>
  <c r="BP147"/>
  <c r="BV135"/>
  <c r="BP135"/>
  <c r="BV131"/>
  <c r="BP131"/>
  <c r="BV127"/>
  <c r="BP127"/>
  <c r="BV123"/>
  <c r="BP123"/>
  <c r="BV111"/>
  <c r="BP111"/>
  <c r="BV107"/>
  <c r="BP107"/>
  <c r="BV103"/>
  <c r="BP103"/>
  <c r="BV99"/>
  <c r="BP99"/>
  <c r="BV83"/>
  <c r="BP83"/>
  <c r="BQ83" s="1"/>
  <c r="BW83" s="1"/>
  <c r="BV199"/>
  <c r="BV195"/>
  <c r="BV191"/>
  <c r="BV187"/>
  <c r="BV183"/>
  <c r="BV179"/>
  <c r="BV175"/>
  <c r="BV171"/>
  <c r="BV167"/>
  <c r="BV163"/>
  <c r="BV159"/>
  <c r="BM154"/>
  <c r="BU154" s="1"/>
  <c r="BP153"/>
  <c r="BT151"/>
  <c r="BM146"/>
  <c r="BU146" s="1"/>
  <c r="BV143"/>
  <c r="BV139"/>
  <c r="BV119"/>
  <c r="BV115"/>
  <c r="BV95"/>
  <c r="BV91"/>
  <c r="BV87"/>
  <c r="BQ62"/>
  <c r="BQ38"/>
  <c r="BP145"/>
  <c r="BQ145" s="1"/>
  <c r="BV145"/>
  <c r="BM152"/>
  <c r="BU152" s="1"/>
  <c r="BM144"/>
  <c r="BU144" s="1"/>
  <c r="BM140"/>
  <c r="BU140" s="1"/>
  <c r="BU137"/>
  <c r="BM136"/>
  <c r="BU136" s="1"/>
  <c r="BM132"/>
  <c r="BU132" s="1"/>
  <c r="BU129"/>
  <c r="BM128"/>
  <c r="BU128" s="1"/>
  <c r="BU125"/>
  <c r="BM124"/>
  <c r="BU124" s="1"/>
  <c r="BM120"/>
  <c r="BU120" s="1"/>
  <c r="BM116"/>
  <c r="BU116" s="1"/>
  <c r="BM112"/>
  <c r="BU112" s="1"/>
  <c r="BM108"/>
  <c r="BU108" s="1"/>
  <c r="BM104"/>
  <c r="BU104" s="1"/>
  <c r="BU101"/>
  <c r="BM100"/>
  <c r="BU100" s="1"/>
  <c r="BU97"/>
  <c r="BM96"/>
  <c r="BU96" s="1"/>
  <c r="BM92"/>
  <c r="BU92" s="1"/>
  <c r="BM88"/>
  <c r="BU88" s="1"/>
  <c r="BM84"/>
  <c r="BU84" s="1"/>
  <c r="BV151"/>
  <c r="BP151"/>
  <c r="BT155"/>
  <c r="BP149"/>
  <c r="BQ122"/>
  <c r="BQ58"/>
  <c r="BW58" s="1"/>
  <c r="BQ50"/>
  <c r="BW50" s="1"/>
  <c r="BV141"/>
  <c r="BV117"/>
  <c r="BV93"/>
  <c r="BV89"/>
  <c r="BV73"/>
  <c r="BV49"/>
  <c r="BP27"/>
  <c r="BV25"/>
  <c r="BP23"/>
  <c r="BP19"/>
  <c r="BV17"/>
  <c r="BP15"/>
  <c r="AS191"/>
  <c r="AS190"/>
  <c r="AS186"/>
  <c r="AW171"/>
  <c r="BF147"/>
  <c r="AS141"/>
  <c r="AT141" s="1"/>
  <c r="AY133"/>
  <c r="AP129"/>
  <c r="AX129" s="1"/>
  <c r="AW100"/>
  <c r="AS65"/>
  <c r="AP49"/>
  <c r="AX49" s="1"/>
  <c r="AW36"/>
  <c r="AW203"/>
  <c r="AS167"/>
  <c r="AY165"/>
  <c r="AY157"/>
  <c r="AW138"/>
  <c r="AW119"/>
  <c r="AY104"/>
  <c r="AW103"/>
  <c r="AP65"/>
  <c r="AX65" s="1"/>
  <c r="AY40"/>
  <c r="AY32"/>
  <c r="AY28"/>
  <c r="AY27"/>
  <c r="AY26"/>
  <c r="AY25"/>
  <c r="AY24"/>
  <c r="AY199"/>
  <c r="AY189"/>
  <c r="AS183"/>
  <c r="AY173"/>
  <c r="AW163"/>
  <c r="AW161"/>
  <c r="AW159"/>
  <c r="AY126"/>
  <c r="AS104"/>
  <c r="AP97"/>
  <c r="AX97" s="1"/>
  <c r="AW71"/>
  <c r="AY64"/>
  <c r="AS40"/>
  <c r="AW28"/>
  <c r="AW26"/>
  <c r="AW25"/>
  <c r="AW24"/>
  <c r="AW22"/>
  <c r="AW21"/>
  <c r="AP21"/>
  <c r="AX21" s="1"/>
  <c r="AS199"/>
  <c r="AP182"/>
  <c r="AX182" s="1"/>
  <c r="AW177"/>
  <c r="AW174"/>
  <c r="AW158"/>
  <c r="AX155"/>
  <c r="AX153"/>
  <c r="AX151"/>
  <c r="AW132"/>
  <c r="AW129"/>
  <c r="AW123"/>
  <c r="AW120"/>
  <c r="AY112"/>
  <c r="AY74"/>
  <c r="AP73"/>
  <c r="AX73" s="1"/>
  <c r="AW72"/>
  <c r="AY62"/>
  <c r="AW49"/>
  <c r="AY48"/>
  <c r="AW20"/>
  <c r="AY197"/>
  <c r="AY193"/>
  <c r="AY192"/>
  <c r="AY172"/>
  <c r="BA157"/>
  <c r="AY144"/>
  <c r="AS136"/>
  <c r="AY120"/>
  <c r="AS112"/>
  <c r="AY92"/>
  <c r="AY91"/>
  <c r="AY90"/>
  <c r="AP89"/>
  <c r="AX89" s="1"/>
  <c r="AW75"/>
  <c r="AW74"/>
  <c r="AY56"/>
  <c r="AS48"/>
  <c r="AW37"/>
  <c r="AY16"/>
  <c r="AY15"/>
  <c r="AY14"/>
  <c r="AP13"/>
  <c r="AX13" s="1"/>
  <c r="AS203"/>
  <c r="AS202"/>
  <c r="AW201"/>
  <c r="AW200"/>
  <c r="AP198"/>
  <c r="AX198" s="1"/>
  <c r="AW195"/>
  <c r="AW194"/>
  <c r="AP194"/>
  <c r="AX194" s="1"/>
  <c r="AW192"/>
  <c r="AW191"/>
  <c r="AY183"/>
  <c r="AS176"/>
  <c r="AS174"/>
  <c r="BF174"/>
  <c r="AW172"/>
  <c r="AY167"/>
  <c r="AY163"/>
  <c r="AY161"/>
  <c r="AY150"/>
  <c r="AS144"/>
  <c r="AW128"/>
  <c r="AS120"/>
  <c r="AP117"/>
  <c r="AP113"/>
  <c r="AX113" s="1"/>
  <c r="AP109"/>
  <c r="AX109" s="1"/>
  <c r="AP105"/>
  <c r="AX105" s="1"/>
  <c r="AW104"/>
  <c r="AW99"/>
  <c r="AW90"/>
  <c r="AW88"/>
  <c r="AY80"/>
  <c r="AS72"/>
  <c r="AS56"/>
  <c r="AP45"/>
  <c r="AX45" s="1"/>
  <c r="AP41"/>
  <c r="AX41" s="1"/>
  <c r="AW40"/>
  <c r="AW12"/>
  <c r="BF160"/>
  <c r="AP196"/>
  <c r="AX196" s="1"/>
  <c r="AP192"/>
  <c r="AX192" s="1"/>
  <c r="BF184"/>
  <c r="AW183"/>
  <c r="AY181"/>
  <c r="AW179"/>
  <c r="AS168"/>
  <c r="BF168"/>
  <c r="AW167"/>
  <c r="AW166"/>
  <c r="AS162"/>
  <c r="AY156"/>
  <c r="BF156"/>
  <c r="AW153"/>
  <c r="AW137"/>
  <c r="AS117"/>
  <c r="AX117"/>
  <c r="AW105"/>
  <c r="AS85"/>
  <c r="AX85"/>
  <c r="AW83"/>
  <c r="AW82"/>
  <c r="AW77"/>
  <c r="AW73"/>
  <c r="AW64"/>
  <c r="AP53"/>
  <c r="AX53" s="1"/>
  <c r="AW50"/>
  <c r="AY31"/>
  <c r="AY30"/>
  <c r="AS29"/>
  <c r="AS13"/>
  <c r="AX204"/>
  <c r="AY188"/>
  <c r="AY187"/>
  <c r="AY185"/>
  <c r="BF176"/>
  <c r="AY171"/>
  <c r="AY169"/>
  <c r="BA165"/>
  <c r="AY164"/>
  <c r="AW156"/>
  <c r="AY152"/>
  <c r="AW151"/>
  <c r="AP149"/>
  <c r="AX149" s="1"/>
  <c r="AW136"/>
  <c r="AW135"/>
  <c r="AY132"/>
  <c r="AY130"/>
  <c r="AS125"/>
  <c r="AP125"/>
  <c r="AX125" s="1"/>
  <c r="AW122"/>
  <c r="AY100"/>
  <c r="AY99"/>
  <c r="AY98"/>
  <c r="AS93"/>
  <c r="AP93"/>
  <c r="AX93" s="1"/>
  <c r="AY68"/>
  <c r="AY67"/>
  <c r="AY66"/>
  <c r="AY61"/>
  <c r="AP61"/>
  <c r="AX61" s="1"/>
  <c r="AY36"/>
  <c r="AY35"/>
  <c r="AY34"/>
  <c r="AS33"/>
  <c r="AW30"/>
  <c r="AY20"/>
  <c r="AY19"/>
  <c r="AY18"/>
  <c r="AY17"/>
  <c r="AW14"/>
  <c r="AY11"/>
  <c r="AP9"/>
  <c r="AX9" s="1"/>
  <c r="AG205"/>
  <c r="AG201"/>
  <c r="AW207"/>
  <c r="AW204"/>
  <c r="AP200"/>
  <c r="AX200" s="1"/>
  <c r="AW199"/>
  <c r="AY195"/>
  <c r="AY191"/>
  <c r="AP190"/>
  <c r="AW185"/>
  <c r="AS182"/>
  <c r="AT182" s="1"/>
  <c r="BA181"/>
  <c r="AS178"/>
  <c r="BA173"/>
  <c r="BF172"/>
  <c r="AW169"/>
  <c r="AW164"/>
  <c r="AP160"/>
  <c r="AX160" s="1"/>
  <c r="BA151"/>
  <c r="AW150"/>
  <c r="BA145"/>
  <c r="AW144"/>
  <c r="AP133"/>
  <c r="AX133" s="1"/>
  <c r="AW131"/>
  <c r="AW130"/>
  <c r="AW121"/>
  <c r="AW112"/>
  <c r="AY101"/>
  <c r="AP101"/>
  <c r="AX101" s="1"/>
  <c r="AW98"/>
  <c r="AW80"/>
  <c r="AS69"/>
  <c r="AP69"/>
  <c r="AX69" s="1"/>
  <c r="AW67"/>
  <c r="AW66"/>
  <c r="AW48"/>
  <c r="AY43"/>
  <c r="AY42"/>
  <c r="AY37"/>
  <c r="AP37"/>
  <c r="AX37" s="1"/>
  <c r="AW35"/>
  <c r="AW34"/>
  <c r="AY23"/>
  <c r="AY22"/>
  <c r="AS21"/>
  <c r="AW18"/>
  <c r="AW17"/>
  <c r="AP17"/>
  <c r="AY13"/>
  <c r="AW11"/>
  <c r="BF204"/>
  <c r="BA204"/>
  <c r="AP201"/>
  <c r="AX201" s="1"/>
  <c r="BF201"/>
  <c r="BA201"/>
  <c r="AP199"/>
  <c r="AX199" s="1"/>
  <c r="BF199"/>
  <c r="BA199"/>
  <c r="BF198"/>
  <c r="BA198"/>
  <c r="AS193"/>
  <c r="AS187"/>
  <c r="AS181"/>
  <c r="BF180"/>
  <c r="BA180"/>
  <c r="AP180"/>
  <c r="AX180" s="1"/>
  <c r="AS157"/>
  <c r="AA17"/>
  <c r="AC17" s="1"/>
  <c r="AE17" s="1"/>
  <c r="AA13"/>
  <c r="AC13" s="1"/>
  <c r="AE13" s="1"/>
  <c r="AE73" i="19" s="1"/>
  <c r="AA9" i="9"/>
  <c r="AC9" s="1"/>
  <c r="AE9" s="1"/>
  <c r="AE15" i="19" s="1"/>
  <c r="AY207" i="9"/>
  <c r="AW206"/>
  <c r="AP206"/>
  <c r="AX206" s="1"/>
  <c r="AY200"/>
  <c r="AS198"/>
  <c r="AT198" s="1"/>
  <c r="AW197"/>
  <c r="AW196"/>
  <c r="BF190"/>
  <c r="AW182"/>
  <c r="AS205"/>
  <c r="AP203"/>
  <c r="AX203" s="1"/>
  <c r="BF203"/>
  <c r="BA203"/>
  <c r="BF202"/>
  <c r="BA202"/>
  <c r="BF196"/>
  <c r="BA196"/>
  <c r="AS194"/>
  <c r="AP193"/>
  <c r="AX193" s="1"/>
  <c r="BF193"/>
  <c r="BA193"/>
  <c r="AS188"/>
  <c r="AP187"/>
  <c r="AX187" s="1"/>
  <c r="BF187"/>
  <c r="BA187"/>
  <c r="BF186"/>
  <c r="BA186"/>
  <c r="AP185"/>
  <c r="AX185" s="1"/>
  <c r="BF185"/>
  <c r="BA185"/>
  <c r="AS165"/>
  <c r="AP163"/>
  <c r="AX163" s="1"/>
  <c r="BF163"/>
  <c r="BA163"/>
  <c r="BF162"/>
  <c r="BA162"/>
  <c r="AP205"/>
  <c r="AX205" s="1"/>
  <c r="BF205"/>
  <c r="BA205"/>
  <c r="AS197"/>
  <c r="AP195"/>
  <c r="AX195" s="1"/>
  <c r="BF195"/>
  <c r="BA195"/>
  <c r="BF194"/>
  <c r="BA194"/>
  <c r="AS189"/>
  <c r="BF188"/>
  <c r="BA188"/>
  <c r="AP188"/>
  <c r="AX188" s="1"/>
  <c r="AS179"/>
  <c r="AS173"/>
  <c r="AP171"/>
  <c r="AX171" s="1"/>
  <c r="BF171"/>
  <c r="BA171"/>
  <c r="BF170"/>
  <c r="BA170"/>
  <c r="AA188"/>
  <c r="AC188" s="1"/>
  <c r="AE188" s="1"/>
  <c r="AA15"/>
  <c r="AA11"/>
  <c r="AY203"/>
  <c r="AW202"/>
  <c r="AP202"/>
  <c r="AX202" s="1"/>
  <c r="AW198"/>
  <c r="AY196"/>
  <c r="AY194"/>
  <c r="AW193"/>
  <c r="AW190"/>
  <c r="AW184"/>
  <c r="BF182"/>
  <c r="BF164"/>
  <c r="BF158"/>
  <c r="AP207"/>
  <c r="AX207" s="1"/>
  <c r="BF207"/>
  <c r="BA207"/>
  <c r="BF206"/>
  <c r="BA206"/>
  <c r="AS201"/>
  <c r="AT201" s="1"/>
  <c r="AZ201" s="1"/>
  <c r="AS200"/>
  <c r="BF200"/>
  <c r="BA200"/>
  <c r="AP197"/>
  <c r="AX197" s="1"/>
  <c r="BF197"/>
  <c r="BA197"/>
  <c r="AS192"/>
  <c r="BF192"/>
  <c r="BA192"/>
  <c r="AS180"/>
  <c r="AP179"/>
  <c r="AX179" s="1"/>
  <c r="BF179"/>
  <c r="BA179"/>
  <c r="BF178"/>
  <c r="BA178"/>
  <c r="AP177"/>
  <c r="AX177" s="1"/>
  <c r="BF177"/>
  <c r="BA177"/>
  <c r="AG197"/>
  <c r="AS195"/>
  <c r="BA189"/>
  <c r="AY179"/>
  <c r="BF166"/>
  <c r="AS146"/>
  <c r="AP144"/>
  <c r="AX144" s="1"/>
  <c r="BF144"/>
  <c r="AS138"/>
  <c r="AP136"/>
  <c r="AX136" s="1"/>
  <c r="BF136"/>
  <c r="BA136"/>
  <c r="BF135"/>
  <c r="BA135"/>
  <c r="AS130"/>
  <c r="AP128"/>
  <c r="AX128" s="1"/>
  <c r="BF128"/>
  <c r="BA128"/>
  <c r="BF127"/>
  <c r="BA127"/>
  <c r="AS122"/>
  <c r="AP120"/>
  <c r="AX120" s="1"/>
  <c r="BF120"/>
  <c r="BA120"/>
  <c r="BF119"/>
  <c r="BA119"/>
  <c r="AS114"/>
  <c r="AP112"/>
  <c r="AX112" s="1"/>
  <c r="BF112"/>
  <c r="BA112"/>
  <c r="BF111"/>
  <c r="BA111"/>
  <c r="AS106"/>
  <c r="AP104"/>
  <c r="AX104" s="1"/>
  <c r="BF104"/>
  <c r="BA104"/>
  <c r="BF103"/>
  <c r="BA103"/>
  <c r="AS98"/>
  <c r="AP96"/>
  <c r="AX96" s="1"/>
  <c r="BA96"/>
  <c r="BF96"/>
  <c r="BF95"/>
  <c r="BA95"/>
  <c r="AS90"/>
  <c r="AP88"/>
  <c r="AX88" s="1"/>
  <c r="BA88"/>
  <c r="BF88"/>
  <c r="BF87"/>
  <c r="BA87"/>
  <c r="AS82"/>
  <c r="AP80"/>
  <c r="AX80" s="1"/>
  <c r="BA80"/>
  <c r="BF80"/>
  <c r="BF79"/>
  <c r="BA79"/>
  <c r="AS74"/>
  <c r="AP72"/>
  <c r="AX72" s="1"/>
  <c r="BA72"/>
  <c r="BF72"/>
  <c r="BF71"/>
  <c r="BA71"/>
  <c r="AS66"/>
  <c r="AP64"/>
  <c r="AX64" s="1"/>
  <c r="BA64"/>
  <c r="BF64"/>
  <c r="BF63"/>
  <c r="BA63"/>
  <c r="AS58"/>
  <c r="AP56"/>
  <c r="AX56" s="1"/>
  <c r="BA56"/>
  <c r="BF56"/>
  <c r="BF55"/>
  <c r="BA55"/>
  <c r="AS50"/>
  <c r="AP48"/>
  <c r="AX48" s="1"/>
  <c r="BA48"/>
  <c r="BF48"/>
  <c r="BF47"/>
  <c r="BA47"/>
  <c r="AS42"/>
  <c r="AP40"/>
  <c r="AX40" s="1"/>
  <c r="BA40"/>
  <c r="BF40"/>
  <c r="BF39"/>
  <c r="BA39"/>
  <c r="AS34"/>
  <c r="AS30"/>
  <c r="AS26"/>
  <c r="AS25"/>
  <c r="AS22"/>
  <c r="AS18"/>
  <c r="AS17"/>
  <c r="AS14"/>
  <c r="AS11"/>
  <c r="AP10"/>
  <c r="AX10" s="1"/>
  <c r="BA10"/>
  <c r="BF10"/>
  <c r="AP191"/>
  <c r="AX191" s="1"/>
  <c r="AW189"/>
  <c r="AS185"/>
  <c r="AY184"/>
  <c r="AP183"/>
  <c r="AX183" s="1"/>
  <c r="AW181"/>
  <c r="AW178"/>
  <c r="AS177"/>
  <c r="AY176"/>
  <c r="AP175"/>
  <c r="AX175" s="1"/>
  <c r="AW173"/>
  <c r="AP172"/>
  <c r="AX172" s="1"/>
  <c r="AW170"/>
  <c r="AS169"/>
  <c r="AY168"/>
  <c r="AP167"/>
  <c r="AX167" s="1"/>
  <c r="AS166"/>
  <c r="AW165"/>
  <c r="AP164"/>
  <c r="AX164" s="1"/>
  <c r="AW162"/>
  <c r="AS161"/>
  <c r="AY160"/>
  <c r="AP159"/>
  <c r="AX159" s="1"/>
  <c r="AS158"/>
  <c r="AW157"/>
  <c r="AP156"/>
  <c r="AX156" s="1"/>
  <c r="AW154"/>
  <c r="BF152"/>
  <c r="AY145"/>
  <c r="BF143"/>
  <c r="AW142"/>
  <c r="AW141"/>
  <c r="AS137"/>
  <c r="AT137" s="1"/>
  <c r="AZ137" s="1"/>
  <c r="AW134"/>
  <c r="AS129"/>
  <c r="AW126"/>
  <c r="AS121"/>
  <c r="AT121" s="1"/>
  <c r="AW118"/>
  <c r="AY113"/>
  <c r="AW110"/>
  <c r="AW109"/>
  <c r="AS105"/>
  <c r="AY103"/>
  <c r="AW102"/>
  <c r="AS97"/>
  <c r="AY95"/>
  <c r="AW94"/>
  <c r="AW93"/>
  <c r="AW91"/>
  <c r="AS89"/>
  <c r="AY87"/>
  <c r="AW86"/>
  <c r="AW85"/>
  <c r="AY81"/>
  <c r="AY79"/>
  <c r="AW78"/>
  <c r="AS73"/>
  <c r="AT73" s="1"/>
  <c r="AY71"/>
  <c r="AW70"/>
  <c r="AW69"/>
  <c r="AY63"/>
  <c r="AW62"/>
  <c r="AW59"/>
  <c r="AS57"/>
  <c r="AY55"/>
  <c r="AW54"/>
  <c r="AY47"/>
  <c r="AW46"/>
  <c r="AY41"/>
  <c r="AY39"/>
  <c r="AW38"/>
  <c r="AY12"/>
  <c r="AS154"/>
  <c r="AS147"/>
  <c r="AP146"/>
  <c r="AX146" s="1"/>
  <c r="BF146"/>
  <c r="AP138"/>
  <c r="AX138" s="1"/>
  <c r="BF138"/>
  <c r="BA138"/>
  <c r="AS133"/>
  <c r="BF133"/>
  <c r="BA133"/>
  <c r="AP130"/>
  <c r="AX130" s="1"/>
  <c r="BF130"/>
  <c r="BA130"/>
  <c r="BF125"/>
  <c r="BA125"/>
  <c r="AS123"/>
  <c r="AP122"/>
  <c r="AX122" s="1"/>
  <c r="BF122"/>
  <c r="BA122"/>
  <c r="BF117"/>
  <c r="BA117"/>
  <c r="AP114"/>
  <c r="AX114" s="1"/>
  <c r="BF114"/>
  <c r="BA114"/>
  <c r="BF109"/>
  <c r="BA109"/>
  <c r="AS107"/>
  <c r="AP106"/>
  <c r="AX106" s="1"/>
  <c r="BF106"/>
  <c r="BA106"/>
  <c r="AS101"/>
  <c r="BF101"/>
  <c r="BA101"/>
  <c r="AP98"/>
  <c r="AX98" s="1"/>
  <c r="BF98"/>
  <c r="BA98"/>
  <c r="BF93"/>
  <c r="BA93"/>
  <c r="AP90"/>
  <c r="AX90" s="1"/>
  <c r="BF90"/>
  <c r="BA90"/>
  <c r="BF85"/>
  <c r="BA85"/>
  <c r="AS83"/>
  <c r="AP82"/>
  <c r="AX82" s="1"/>
  <c r="BF82"/>
  <c r="BA82"/>
  <c r="AS77"/>
  <c r="BF77"/>
  <c r="BA77"/>
  <c r="AS75"/>
  <c r="AP74"/>
  <c r="AX74" s="1"/>
  <c r="BF74"/>
  <c r="BA74"/>
  <c r="BF69"/>
  <c r="BA69"/>
  <c r="AS67"/>
  <c r="AP66"/>
  <c r="AX66" s="1"/>
  <c r="BF66"/>
  <c r="BA66"/>
  <c r="AS61"/>
  <c r="BF61"/>
  <c r="BA61"/>
  <c r="AP58"/>
  <c r="AX58" s="1"/>
  <c r="BF58"/>
  <c r="BA58"/>
  <c r="AS53"/>
  <c r="BF53"/>
  <c r="BA53"/>
  <c r="AS51"/>
  <c r="AP50"/>
  <c r="AX50" s="1"/>
  <c r="BF50"/>
  <c r="BA50"/>
  <c r="AS45"/>
  <c r="BF45"/>
  <c r="BA45"/>
  <c r="AS43"/>
  <c r="AP42"/>
  <c r="AX42" s="1"/>
  <c r="BF42"/>
  <c r="BA42"/>
  <c r="AS37"/>
  <c r="BA37"/>
  <c r="BF37"/>
  <c r="AS35"/>
  <c r="BA34"/>
  <c r="BF34"/>
  <c r="BA33"/>
  <c r="BF33"/>
  <c r="AS31"/>
  <c r="BA30"/>
  <c r="BF30"/>
  <c r="BA29"/>
  <c r="BF29"/>
  <c r="BA26"/>
  <c r="BF26"/>
  <c r="BA25"/>
  <c r="BF25"/>
  <c r="AS23"/>
  <c r="BA22"/>
  <c r="BF22"/>
  <c r="BA21"/>
  <c r="BF21"/>
  <c r="AS19"/>
  <c r="BA18"/>
  <c r="BF18"/>
  <c r="BA17"/>
  <c r="BF17"/>
  <c r="BA14"/>
  <c r="BF14"/>
  <c r="BA12"/>
  <c r="BF12"/>
  <c r="AP11"/>
  <c r="AX11" s="1"/>
  <c r="BA11"/>
  <c r="BF11"/>
  <c r="AW176"/>
  <c r="AP174"/>
  <c r="AX174" s="1"/>
  <c r="AS172"/>
  <c r="AP169"/>
  <c r="AX169" s="1"/>
  <c r="AW168"/>
  <c r="AP166"/>
  <c r="AX166" s="1"/>
  <c r="AS164"/>
  <c r="AP161"/>
  <c r="AX161" s="1"/>
  <c r="AW160"/>
  <c r="AP158"/>
  <c r="AX158" s="1"/>
  <c r="AS156"/>
  <c r="BF153"/>
  <c r="AW152"/>
  <c r="BF150"/>
  <c r="BF149"/>
  <c r="AW145"/>
  <c r="AW143"/>
  <c r="AP143"/>
  <c r="AX143" s="1"/>
  <c r="BF141"/>
  <c r="AP135"/>
  <c r="AX135" s="1"/>
  <c r="AW127"/>
  <c r="AP127"/>
  <c r="AX127" s="1"/>
  <c r="AP119"/>
  <c r="AX119" s="1"/>
  <c r="AW113"/>
  <c r="AW111"/>
  <c r="AP111"/>
  <c r="AX111" s="1"/>
  <c r="AP103"/>
  <c r="AX103" s="1"/>
  <c r="AW97"/>
  <c r="AT96"/>
  <c r="AZ96" s="1"/>
  <c r="AW95"/>
  <c r="AP95"/>
  <c r="AX95" s="1"/>
  <c r="AW89"/>
  <c r="AW87"/>
  <c r="AP87"/>
  <c r="AX87" s="1"/>
  <c r="AW81"/>
  <c r="AP79"/>
  <c r="AX79" s="1"/>
  <c r="AP71"/>
  <c r="AX71" s="1"/>
  <c r="AW65"/>
  <c r="AT64"/>
  <c r="AW63"/>
  <c r="AP63"/>
  <c r="AX63" s="1"/>
  <c r="AW57"/>
  <c r="AW55"/>
  <c r="AP55"/>
  <c r="AX55" s="1"/>
  <c r="AW47"/>
  <c r="AP47"/>
  <c r="AX47" s="1"/>
  <c r="AW41"/>
  <c r="AW39"/>
  <c r="AP39"/>
  <c r="AX39" s="1"/>
  <c r="AW13"/>
  <c r="AW10"/>
  <c r="BA155"/>
  <c r="BA153"/>
  <c r="BA149"/>
  <c r="BA147"/>
  <c r="BA143"/>
  <c r="BA141"/>
  <c r="AP154"/>
  <c r="AX154" s="1"/>
  <c r="BF154"/>
  <c r="AP148"/>
  <c r="AX148" s="1"/>
  <c r="BF148"/>
  <c r="AS142"/>
  <c r="AP140"/>
  <c r="AX140" s="1"/>
  <c r="BF140"/>
  <c r="BA140"/>
  <c r="BF139"/>
  <c r="BA139"/>
  <c r="AS134"/>
  <c r="AP132"/>
  <c r="AX132" s="1"/>
  <c r="BF132"/>
  <c r="BA132"/>
  <c r="BF131"/>
  <c r="BA131"/>
  <c r="AS126"/>
  <c r="AP124"/>
  <c r="AX124" s="1"/>
  <c r="BF124"/>
  <c r="BA124"/>
  <c r="BF123"/>
  <c r="BA123"/>
  <c r="AS118"/>
  <c r="AP116"/>
  <c r="AX116" s="1"/>
  <c r="BF116"/>
  <c r="BA116"/>
  <c r="BF115"/>
  <c r="BA115"/>
  <c r="AS110"/>
  <c r="AP108"/>
  <c r="AX108" s="1"/>
  <c r="BF108"/>
  <c r="BA108"/>
  <c r="BF107"/>
  <c r="BA107"/>
  <c r="AS102"/>
  <c r="AP100"/>
  <c r="AX100" s="1"/>
  <c r="BF100"/>
  <c r="BA100"/>
  <c r="BF99"/>
  <c r="BA99"/>
  <c r="AS94"/>
  <c r="AP92"/>
  <c r="AX92" s="1"/>
  <c r="BA92"/>
  <c r="BF92"/>
  <c r="BF91"/>
  <c r="BA91"/>
  <c r="AS86"/>
  <c r="AP84"/>
  <c r="AX84" s="1"/>
  <c r="BA84"/>
  <c r="BF84"/>
  <c r="BF83"/>
  <c r="BA83"/>
  <c r="AS78"/>
  <c r="AP76"/>
  <c r="AX76" s="1"/>
  <c r="BA76"/>
  <c r="BF76"/>
  <c r="BF75"/>
  <c r="BA75"/>
  <c r="AS70"/>
  <c r="AP68"/>
  <c r="AX68" s="1"/>
  <c r="BA68"/>
  <c r="BF68"/>
  <c r="BF67"/>
  <c r="BA67"/>
  <c r="AS62"/>
  <c r="AP60"/>
  <c r="AX60" s="1"/>
  <c r="BA60"/>
  <c r="BF60"/>
  <c r="BF59"/>
  <c r="BA59"/>
  <c r="AS54"/>
  <c r="AP52"/>
  <c r="AX52" s="1"/>
  <c r="BA52"/>
  <c r="BF52"/>
  <c r="BF51"/>
  <c r="BA51"/>
  <c r="AS46"/>
  <c r="AP44"/>
  <c r="AX44" s="1"/>
  <c r="BA44"/>
  <c r="BF44"/>
  <c r="BF43"/>
  <c r="BA43"/>
  <c r="AS38"/>
  <c r="BA36"/>
  <c r="BF36"/>
  <c r="BA35"/>
  <c r="BF35"/>
  <c r="BA32"/>
  <c r="BF32"/>
  <c r="BA31"/>
  <c r="BF31"/>
  <c r="BA28"/>
  <c r="BF28"/>
  <c r="BA27"/>
  <c r="BF27"/>
  <c r="BA24"/>
  <c r="BF24"/>
  <c r="BA23"/>
  <c r="BF23"/>
  <c r="BA20"/>
  <c r="BF20"/>
  <c r="BA19"/>
  <c r="BF19"/>
  <c r="BA16"/>
  <c r="BF16"/>
  <c r="BA15"/>
  <c r="BF15"/>
  <c r="BA9"/>
  <c r="BF9"/>
  <c r="AT93"/>
  <c r="AT85"/>
  <c r="BA191"/>
  <c r="BA190"/>
  <c r="BA184"/>
  <c r="BA183"/>
  <c r="BA182"/>
  <c r="BA176"/>
  <c r="BA175"/>
  <c r="BA174"/>
  <c r="BA172"/>
  <c r="BA169"/>
  <c r="BA168"/>
  <c r="BA167"/>
  <c r="BA166"/>
  <c r="BA164"/>
  <c r="BA161"/>
  <c r="BA160"/>
  <c r="BA159"/>
  <c r="BA158"/>
  <c r="BA156"/>
  <c r="AS152"/>
  <c r="AS145"/>
  <c r="AS143"/>
  <c r="AP142"/>
  <c r="AX142" s="1"/>
  <c r="BF142"/>
  <c r="BF137"/>
  <c r="BA137"/>
  <c r="AP134"/>
  <c r="AX134" s="1"/>
  <c r="BF134"/>
  <c r="BA134"/>
  <c r="BF129"/>
  <c r="BA129"/>
  <c r="AS127"/>
  <c r="AP126"/>
  <c r="AX126" s="1"/>
  <c r="BF126"/>
  <c r="BA126"/>
  <c r="BF121"/>
  <c r="BA121"/>
  <c r="AP118"/>
  <c r="AX118" s="1"/>
  <c r="BF118"/>
  <c r="BA118"/>
  <c r="AS113"/>
  <c r="AT113" s="1"/>
  <c r="BF113"/>
  <c r="BA113"/>
  <c r="AP110"/>
  <c r="AX110" s="1"/>
  <c r="BF110"/>
  <c r="BA110"/>
  <c r="BF105"/>
  <c r="BA105"/>
  <c r="AP102"/>
  <c r="AX102" s="1"/>
  <c r="BF102"/>
  <c r="BA102"/>
  <c r="BF97"/>
  <c r="BA97"/>
  <c r="AP94"/>
  <c r="AX94" s="1"/>
  <c r="BF94"/>
  <c r="BA94"/>
  <c r="BF89"/>
  <c r="BA89"/>
  <c r="AS87"/>
  <c r="AP86"/>
  <c r="AX86" s="1"/>
  <c r="BF86"/>
  <c r="BA86"/>
  <c r="AS81"/>
  <c r="BF81"/>
  <c r="BA81"/>
  <c r="AP78"/>
  <c r="AX78" s="1"/>
  <c r="BF78"/>
  <c r="BA78"/>
  <c r="BF73"/>
  <c r="BA73"/>
  <c r="AP70"/>
  <c r="AX70" s="1"/>
  <c r="BF70"/>
  <c r="BA70"/>
  <c r="BF65"/>
  <c r="BA65"/>
  <c r="AS63"/>
  <c r="AP62"/>
  <c r="AX62" s="1"/>
  <c r="BF62"/>
  <c r="BA62"/>
  <c r="BF57"/>
  <c r="BA57"/>
  <c r="AP54"/>
  <c r="AX54" s="1"/>
  <c r="BF54"/>
  <c r="BA54"/>
  <c r="BF49"/>
  <c r="BA49"/>
  <c r="AP46"/>
  <c r="AX46" s="1"/>
  <c r="BF46"/>
  <c r="BA46"/>
  <c r="AS41"/>
  <c r="BF41"/>
  <c r="BA41"/>
  <c r="AS39"/>
  <c r="AP38"/>
  <c r="AX38" s="1"/>
  <c r="BF38"/>
  <c r="BA38"/>
  <c r="BA13"/>
  <c r="BF13"/>
  <c r="AS10"/>
  <c r="AP189"/>
  <c r="AX189" s="1"/>
  <c r="AW188"/>
  <c r="AP186"/>
  <c r="AX186" s="1"/>
  <c r="AS184"/>
  <c r="AT184" s="1"/>
  <c r="AZ184" s="1"/>
  <c r="AP181"/>
  <c r="AX181" s="1"/>
  <c r="AW180"/>
  <c r="AP178"/>
  <c r="AX178" s="1"/>
  <c r="AP173"/>
  <c r="AX173" s="1"/>
  <c r="AS171"/>
  <c r="AP170"/>
  <c r="AX170" s="1"/>
  <c r="AT168"/>
  <c r="AP165"/>
  <c r="AX165" s="1"/>
  <c r="AS163"/>
  <c r="AT163" s="1"/>
  <c r="AZ163" s="1"/>
  <c r="AP162"/>
  <c r="AX162" s="1"/>
  <c r="AT160"/>
  <c r="AZ160" s="1"/>
  <c r="AP157"/>
  <c r="AX157" s="1"/>
  <c r="AS155"/>
  <c r="AT155" s="1"/>
  <c r="AZ155" s="1"/>
  <c r="BF151"/>
  <c r="AW149"/>
  <c r="AS148"/>
  <c r="AP147"/>
  <c r="AX147" s="1"/>
  <c r="BF145"/>
  <c r="AS140"/>
  <c r="AT140" s="1"/>
  <c r="AZ140" s="1"/>
  <c r="AP139"/>
  <c r="AX139" s="1"/>
  <c r="AS132"/>
  <c r="AP131"/>
  <c r="AX131" s="1"/>
  <c r="AS124"/>
  <c r="AT124" s="1"/>
  <c r="AP123"/>
  <c r="AX123" s="1"/>
  <c r="AW117"/>
  <c r="AS116"/>
  <c r="AT116" s="1"/>
  <c r="AZ116" s="1"/>
  <c r="AP115"/>
  <c r="AX115" s="1"/>
  <c r="AS108"/>
  <c r="AT108" s="1"/>
  <c r="AZ108" s="1"/>
  <c r="AP107"/>
  <c r="AX107" s="1"/>
  <c r="AW101"/>
  <c r="AS100"/>
  <c r="AP99"/>
  <c r="AX99" s="1"/>
  <c r="AS92"/>
  <c r="AT92" s="1"/>
  <c r="AP91"/>
  <c r="AX91" s="1"/>
  <c r="AS84"/>
  <c r="AP83"/>
  <c r="AX83" s="1"/>
  <c r="AS76"/>
  <c r="AT76" s="1"/>
  <c r="AP75"/>
  <c r="AX75" s="1"/>
  <c r="AS68"/>
  <c r="AP67"/>
  <c r="AX67" s="1"/>
  <c r="AW61"/>
  <c r="AS60"/>
  <c r="AT60" s="1"/>
  <c r="AZ60" s="1"/>
  <c r="AP59"/>
  <c r="AX59" s="1"/>
  <c r="AW53"/>
  <c r="AS52"/>
  <c r="AW51"/>
  <c r="AP51"/>
  <c r="AX51" s="1"/>
  <c r="AS44"/>
  <c r="AT44" s="1"/>
  <c r="AZ44" s="1"/>
  <c r="AP43"/>
  <c r="AX43" s="1"/>
  <c r="AS36"/>
  <c r="AP35"/>
  <c r="AX35" s="1"/>
  <c r="AW33"/>
  <c r="AS32"/>
  <c r="AW31"/>
  <c r="AW29"/>
  <c r="AS28"/>
  <c r="AW27"/>
  <c r="AS24"/>
  <c r="AW23"/>
  <c r="AS20"/>
  <c r="AW19"/>
  <c r="AP19"/>
  <c r="AX19" s="1"/>
  <c r="AS16"/>
  <c r="AW15"/>
  <c r="AP15"/>
  <c r="AX15" s="1"/>
  <c r="AP12"/>
  <c r="AX12" s="1"/>
  <c r="AS9"/>
  <c r="BF191"/>
  <c r="BF189"/>
  <c r="BF183"/>
  <c r="BF181"/>
  <c r="BF175"/>
  <c r="BF173"/>
  <c r="BF169"/>
  <c r="BF167"/>
  <c r="BF165"/>
  <c r="BF161"/>
  <c r="BF159"/>
  <c r="BF157"/>
  <c r="BF155"/>
  <c r="BA154"/>
  <c r="BA152"/>
  <c r="BA150"/>
  <c r="BA148"/>
  <c r="BA146"/>
  <c r="BA144"/>
  <c r="BA142"/>
  <c r="AP14"/>
  <c r="AX14" s="1"/>
  <c r="AP16"/>
  <c r="AX16" s="1"/>
  <c r="AP18"/>
  <c r="AX18" s="1"/>
  <c r="AP22"/>
  <c r="AX22" s="1"/>
  <c r="AP25"/>
  <c r="AX25" s="1"/>
  <c r="AP26"/>
  <c r="AX26" s="1"/>
  <c r="AP28"/>
  <c r="AX28" s="1"/>
  <c r="AP29"/>
  <c r="AX29" s="1"/>
  <c r="AP30"/>
  <c r="AX30" s="1"/>
  <c r="AP32"/>
  <c r="AX32" s="1"/>
  <c r="AP33"/>
  <c r="AX33" s="1"/>
  <c r="AP34"/>
  <c r="AX34" s="1"/>
  <c r="AP36"/>
  <c r="AX36" s="1"/>
  <c r="AP31"/>
  <c r="AX31" s="1"/>
  <c r="AP27"/>
  <c r="AX27" s="1"/>
  <c r="AP24"/>
  <c r="AX24" s="1"/>
  <c r="AP23"/>
  <c r="AX23" s="1"/>
  <c r="AP20"/>
  <c r="AX20" s="1"/>
  <c r="AT187"/>
  <c r="AZ187" s="1"/>
  <c r="AT193"/>
  <c r="AT185"/>
  <c r="AZ185" s="1"/>
  <c r="AP152"/>
  <c r="AX152" s="1"/>
  <c r="AY151"/>
  <c r="AS151"/>
  <c r="AT151" s="1"/>
  <c r="AZ151" s="1"/>
  <c r="AY139"/>
  <c r="AS139"/>
  <c r="AY135"/>
  <c r="AS135"/>
  <c r="AY131"/>
  <c r="AS131"/>
  <c r="AT131" s="1"/>
  <c r="AY119"/>
  <c r="AS119"/>
  <c r="AY115"/>
  <c r="AS115"/>
  <c r="AY111"/>
  <c r="AS111"/>
  <c r="AY206"/>
  <c r="AS204"/>
  <c r="AT204" s="1"/>
  <c r="AY202"/>
  <c r="AY198"/>
  <c r="AS196"/>
  <c r="AT196" s="1"/>
  <c r="AZ196" s="1"/>
  <c r="AY190"/>
  <c r="AY186"/>
  <c r="AY182"/>
  <c r="AY178"/>
  <c r="AY174"/>
  <c r="AY170"/>
  <c r="AY166"/>
  <c r="AY162"/>
  <c r="AY158"/>
  <c r="AY154"/>
  <c r="AP150"/>
  <c r="AX150" s="1"/>
  <c r="AY147"/>
  <c r="AY143"/>
  <c r="AY127"/>
  <c r="AY123"/>
  <c r="AT90"/>
  <c r="AZ90" s="1"/>
  <c r="AT42"/>
  <c r="AZ42" s="1"/>
  <c r="AS149"/>
  <c r="AY149"/>
  <c r="AS153"/>
  <c r="AT153" s="1"/>
  <c r="AT138"/>
  <c r="AZ138" s="1"/>
  <c r="AY141"/>
  <c r="AY137"/>
  <c r="AY129"/>
  <c r="AY125"/>
  <c r="AY121"/>
  <c r="AY117"/>
  <c r="AY109"/>
  <c r="AY105"/>
  <c r="AS103"/>
  <c r="AT103" s="1"/>
  <c r="AS99"/>
  <c r="AY97"/>
  <c r="AS95"/>
  <c r="AT95" s="1"/>
  <c r="AY93"/>
  <c r="AS91"/>
  <c r="AY89"/>
  <c r="AY85"/>
  <c r="AS79"/>
  <c r="AY73"/>
  <c r="AS71"/>
  <c r="AT71" s="1"/>
  <c r="AY69"/>
  <c r="AY65"/>
  <c r="AS59"/>
  <c r="AY57"/>
  <c r="AS55"/>
  <c r="AY49"/>
  <c r="AS47"/>
  <c r="AY33"/>
  <c r="AY29"/>
  <c r="AS27"/>
  <c r="AY21"/>
  <c r="AS15"/>
  <c r="AY9"/>
  <c r="AG193"/>
  <c r="AG189"/>
  <c r="AF207"/>
  <c r="AF203"/>
  <c r="AF199"/>
  <c r="AF195"/>
  <c r="AF191"/>
  <c r="AA204"/>
  <c r="AC204" s="1"/>
  <c r="AE204" s="1"/>
  <c r="AA200"/>
  <c r="AC200" s="1"/>
  <c r="AE200" s="1"/>
  <c r="AA196"/>
  <c r="AA192"/>
  <c r="AC192" s="1"/>
  <c r="AE192" s="1"/>
  <c r="AA186"/>
  <c r="AC186" s="1"/>
  <c r="AE186" s="1"/>
  <c r="AG186"/>
  <c r="AF186"/>
  <c r="AA182"/>
  <c r="AC182" s="1"/>
  <c r="AE182" s="1"/>
  <c r="AG182"/>
  <c r="AF182"/>
  <c r="AA178"/>
  <c r="AG178"/>
  <c r="AF178"/>
  <c r="AA174"/>
  <c r="AC174" s="1"/>
  <c r="AE174" s="1"/>
  <c r="AG174"/>
  <c r="AF174"/>
  <c r="AA170"/>
  <c r="AC170" s="1"/>
  <c r="AE170" s="1"/>
  <c r="AG170"/>
  <c r="AF170"/>
  <c r="AA166"/>
  <c r="AC166" s="1"/>
  <c r="AE166" s="1"/>
  <c r="AG166"/>
  <c r="AF166"/>
  <c r="AA162"/>
  <c r="AG162"/>
  <c r="AF162"/>
  <c r="AA158"/>
  <c r="AC158" s="1"/>
  <c r="AE158" s="1"/>
  <c r="AG158"/>
  <c r="AF158"/>
  <c r="AA154"/>
  <c r="AC154" s="1"/>
  <c r="AE154" s="1"/>
  <c r="AG154"/>
  <c r="AF154"/>
  <c r="AA150"/>
  <c r="AC150" s="1"/>
  <c r="AE150" s="1"/>
  <c r="AG150"/>
  <c r="AF150"/>
  <c r="AA146"/>
  <c r="AG146"/>
  <c r="AF146"/>
  <c r="AA142"/>
  <c r="AC142" s="1"/>
  <c r="AE142" s="1"/>
  <c r="AG142"/>
  <c r="AF142"/>
  <c r="AA138"/>
  <c r="AC138" s="1"/>
  <c r="AE138" s="1"/>
  <c r="AG138"/>
  <c r="AF138"/>
  <c r="AG134"/>
  <c r="AF134"/>
  <c r="AA131"/>
  <c r="AC131" s="1"/>
  <c r="AE131" s="1"/>
  <c r="AG131"/>
  <c r="AF131"/>
  <c r="AG128"/>
  <c r="AF128"/>
  <c r="AA122"/>
  <c r="AG122"/>
  <c r="AF122"/>
  <c r="AA118"/>
  <c r="AC118" s="1"/>
  <c r="AE118" s="1"/>
  <c r="AG118"/>
  <c r="AF118"/>
  <c r="AA114"/>
  <c r="AC114" s="1"/>
  <c r="AE114" s="1"/>
  <c r="AG114"/>
  <c r="AF114"/>
  <c r="AA110"/>
  <c r="AC110" s="1"/>
  <c r="AE110" s="1"/>
  <c r="AG110"/>
  <c r="AF110"/>
  <c r="AA106"/>
  <c r="AG106"/>
  <c r="AF106"/>
  <c r="AA102"/>
  <c r="AC102" s="1"/>
  <c r="AE102" s="1"/>
  <c r="AG102"/>
  <c r="AF102"/>
  <c r="AA98"/>
  <c r="AC98" s="1"/>
  <c r="AE98" s="1"/>
  <c r="AG98"/>
  <c r="AF98"/>
  <c r="AA94"/>
  <c r="AC94" s="1"/>
  <c r="AE94" s="1"/>
  <c r="AG94"/>
  <c r="AF94"/>
  <c r="AA90"/>
  <c r="AG90"/>
  <c r="AF90"/>
  <c r="AA86"/>
  <c r="AC86" s="1"/>
  <c r="AE86" s="1"/>
  <c r="AG86"/>
  <c r="AF86"/>
  <c r="AA82"/>
  <c r="AG82"/>
  <c r="AF82"/>
  <c r="AA78"/>
  <c r="AC78" s="1"/>
  <c r="AE78" s="1"/>
  <c r="AG78"/>
  <c r="AF78"/>
  <c r="AA74"/>
  <c r="AG74"/>
  <c r="AF74"/>
  <c r="AA70"/>
  <c r="AC70" s="1"/>
  <c r="AE70" s="1"/>
  <c r="AG70"/>
  <c r="AF70"/>
  <c r="AA66"/>
  <c r="AC66" s="1"/>
  <c r="AE66" s="1"/>
  <c r="AG66"/>
  <c r="AF66"/>
  <c r="AA62"/>
  <c r="AC62" s="1"/>
  <c r="AE62" s="1"/>
  <c r="AG62"/>
  <c r="AF62"/>
  <c r="AA58"/>
  <c r="AG58"/>
  <c r="AF58"/>
  <c r="AA54"/>
  <c r="AC54" s="1"/>
  <c r="AE54" s="1"/>
  <c r="AG54"/>
  <c r="AF54"/>
  <c r="AA50"/>
  <c r="AG50"/>
  <c r="AF50"/>
  <c r="AA46"/>
  <c r="AC46" s="1"/>
  <c r="AE46" s="1"/>
  <c r="AG46"/>
  <c r="AF46"/>
  <c r="AA42"/>
  <c r="AG42"/>
  <c r="AF42"/>
  <c r="AA38"/>
  <c r="AC38" s="1"/>
  <c r="AE38" s="1"/>
  <c r="AG38"/>
  <c r="AF38"/>
  <c r="AA34"/>
  <c r="AC34" s="1"/>
  <c r="AE34" s="1"/>
  <c r="AG34"/>
  <c r="AF34"/>
  <c r="AA30"/>
  <c r="AC30" s="1"/>
  <c r="AE30" s="1"/>
  <c r="AG30"/>
  <c r="AF30"/>
  <c r="AA26"/>
  <c r="AG26"/>
  <c r="AF26"/>
  <c r="AA22"/>
  <c r="AC22" s="1"/>
  <c r="AE22" s="1"/>
  <c r="AG22"/>
  <c r="AF22"/>
  <c r="AG18"/>
  <c r="AF18"/>
  <c r="AG14"/>
  <c r="AF14"/>
  <c r="AF10"/>
  <c r="AG10"/>
  <c r="AA206"/>
  <c r="AA202"/>
  <c r="AC202" s="1"/>
  <c r="AE202" s="1"/>
  <c r="AA198"/>
  <c r="AC198" s="1"/>
  <c r="AE198" s="1"/>
  <c r="AA194"/>
  <c r="AA190"/>
  <c r="AF205"/>
  <c r="AF201"/>
  <c r="AF197"/>
  <c r="AF193"/>
  <c r="AF189"/>
  <c r="AA187"/>
  <c r="AC187" s="1"/>
  <c r="AE187" s="1"/>
  <c r="AG187"/>
  <c r="AF187"/>
  <c r="AA183"/>
  <c r="AC183" s="1"/>
  <c r="AE183" s="1"/>
  <c r="AG183"/>
  <c r="AF183"/>
  <c r="AA179"/>
  <c r="AG179"/>
  <c r="AF179"/>
  <c r="AA175"/>
  <c r="AC175" s="1"/>
  <c r="AE175" s="1"/>
  <c r="AG175"/>
  <c r="AF175"/>
  <c r="AA171"/>
  <c r="AC171" s="1"/>
  <c r="AE171" s="1"/>
  <c r="AG171"/>
  <c r="AF171"/>
  <c r="AA167"/>
  <c r="AC167" s="1"/>
  <c r="AE167" s="1"/>
  <c r="AG167"/>
  <c r="AF167"/>
  <c r="AA163"/>
  <c r="AG163"/>
  <c r="AF163"/>
  <c r="AA159"/>
  <c r="AC159" s="1"/>
  <c r="AE159" s="1"/>
  <c r="AG159"/>
  <c r="AF159"/>
  <c r="AA155"/>
  <c r="AC155" s="1"/>
  <c r="AE155" s="1"/>
  <c r="AG155"/>
  <c r="AF155"/>
  <c r="AA151"/>
  <c r="AC151" s="1"/>
  <c r="AE151" s="1"/>
  <c r="AG151"/>
  <c r="AF151"/>
  <c r="AA147"/>
  <c r="AG147"/>
  <c r="AF147"/>
  <c r="AA143"/>
  <c r="AC143" s="1"/>
  <c r="AE143" s="1"/>
  <c r="AG143"/>
  <c r="AF143"/>
  <c r="AA139"/>
  <c r="AC139" s="1"/>
  <c r="AE139" s="1"/>
  <c r="AG139"/>
  <c r="AF139"/>
  <c r="AA135"/>
  <c r="AC135" s="1"/>
  <c r="AE135" s="1"/>
  <c r="AG135"/>
  <c r="AF135"/>
  <c r="AA129"/>
  <c r="AC129" s="1"/>
  <c r="AE129" s="1"/>
  <c r="AG129"/>
  <c r="AF129"/>
  <c r="AG126"/>
  <c r="AF126"/>
  <c r="AA123"/>
  <c r="AC123" s="1"/>
  <c r="AE123" s="1"/>
  <c r="AG123"/>
  <c r="AF123"/>
  <c r="AA119"/>
  <c r="AC119" s="1"/>
  <c r="AE119" s="1"/>
  <c r="AG119"/>
  <c r="AF119"/>
  <c r="AA115"/>
  <c r="AC115" s="1"/>
  <c r="AE115" s="1"/>
  <c r="AG115"/>
  <c r="AF115"/>
  <c r="AA111"/>
  <c r="AC111" s="1"/>
  <c r="AE111" s="1"/>
  <c r="AG111"/>
  <c r="AF111"/>
  <c r="AA107"/>
  <c r="AC107" s="1"/>
  <c r="AE107" s="1"/>
  <c r="AG107"/>
  <c r="AF107"/>
  <c r="AA103"/>
  <c r="AC103" s="1"/>
  <c r="AE103" s="1"/>
  <c r="AG103"/>
  <c r="AF103"/>
  <c r="AA99"/>
  <c r="AC99" s="1"/>
  <c r="AE99" s="1"/>
  <c r="AG99"/>
  <c r="AF99"/>
  <c r="AA95"/>
  <c r="AC95" s="1"/>
  <c r="AE95" s="1"/>
  <c r="AG95"/>
  <c r="AF95"/>
  <c r="AA91"/>
  <c r="AC91" s="1"/>
  <c r="AE91" s="1"/>
  <c r="AG91"/>
  <c r="AF91"/>
  <c r="AA87"/>
  <c r="AC87" s="1"/>
  <c r="AE87" s="1"/>
  <c r="AG87"/>
  <c r="AF87"/>
  <c r="AA83"/>
  <c r="AC83" s="1"/>
  <c r="AE83" s="1"/>
  <c r="AG83"/>
  <c r="AF83"/>
  <c r="AA79"/>
  <c r="AC79" s="1"/>
  <c r="AE79" s="1"/>
  <c r="AG79"/>
  <c r="AF79"/>
  <c r="AA75"/>
  <c r="AC75" s="1"/>
  <c r="AE75" s="1"/>
  <c r="AG75"/>
  <c r="AF75"/>
  <c r="AA71"/>
  <c r="AC71" s="1"/>
  <c r="AE71" s="1"/>
  <c r="AG71"/>
  <c r="AF71"/>
  <c r="AA67"/>
  <c r="AC67" s="1"/>
  <c r="AE67" s="1"/>
  <c r="AG67"/>
  <c r="AF67"/>
  <c r="AA63"/>
  <c r="AC63" s="1"/>
  <c r="AE63" s="1"/>
  <c r="AG63"/>
  <c r="AF63"/>
  <c r="AA59"/>
  <c r="AC59" s="1"/>
  <c r="AE59" s="1"/>
  <c r="AG59"/>
  <c r="AF59"/>
  <c r="AA55"/>
  <c r="AC55" s="1"/>
  <c r="AE55" s="1"/>
  <c r="AG55"/>
  <c r="AF55"/>
  <c r="AA51"/>
  <c r="AC51" s="1"/>
  <c r="AE51" s="1"/>
  <c r="AG51"/>
  <c r="AF51"/>
  <c r="AA47"/>
  <c r="AC47" s="1"/>
  <c r="AE47" s="1"/>
  <c r="AG47"/>
  <c r="AF47"/>
  <c r="AA43"/>
  <c r="AC43" s="1"/>
  <c r="AE43" s="1"/>
  <c r="AG43"/>
  <c r="AF43"/>
  <c r="AA39"/>
  <c r="AC39" s="1"/>
  <c r="AE39" s="1"/>
  <c r="AG39"/>
  <c r="AF39"/>
  <c r="AA35"/>
  <c r="AC35" s="1"/>
  <c r="AE35" s="1"/>
  <c r="AF35"/>
  <c r="AG35"/>
  <c r="AA31"/>
  <c r="AC31" s="1"/>
  <c r="AE31" s="1"/>
  <c r="AF31"/>
  <c r="AG31"/>
  <c r="AA27"/>
  <c r="AC27" s="1"/>
  <c r="AE27" s="1"/>
  <c r="AF27"/>
  <c r="AG27"/>
  <c r="AA23"/>
  <c r="AC23" s="1"/>
  <c r="AE23" s="1"/>
  <c r="AF23"/>
  <c r="AG23"/>
  <c r="AA19"/>
  <c r="AC19" s="1"/>
  <c r="AE19" s="1"/>
  <c r="AF19"/>
  <c r="AG19"/>
  <c r="AF15"/>
  <c r="AG15"/>
  <c r="AF11"/>
  <c r="AG11"/>
  <c r="AA207"/>
  <c r="AC207" s="1"/>
  <c r="AE207" s="1"/>
  <c r="AA203"/>
  <c r="AC203" s="1"/>
  <c r="AE203" s="1"/>
  <c r="AA199"/>
  <c r="AC196"/>
  <c r="AE196" s="1"/>
  <c r="AA195"/>
  <c r="AC195" s="1"/>
  <c r="AE195" s="1"/>
  <c r="AA191"/>
  <c r="AC191" s="1"/>
  <c r="AE191" s="1"/>
  <c r="AA18"/>
  <c r="AC18" s="1"/>
  <c r="AE18" s="1"/>
  <c r="AA14"/>
  <c r="AC14" s="1"/>
  <c r="AE14" s="1"/>
  <c r="AA10"/>
  <c r="AC10" s="1"/>
  <c r="AE10" s="1"/>
  <c r="AG207"/>
  <c r="AG203"/>
  <c r="AG199"/>
  <c r="AG195"/>
  <c r="AG191"/>
  <c r="AA184"/>
  <c r="AC184" s="1"/>
  <c r="AE184" s="1"/>
  <c r="AG184"/>
  <c r="AF184"/>
  <c r="AA180"/>
  <c r="AC180" s="1"/>
  <c r="AE180" s="1"/>
  <c r="AG180"/>
  <c r="AF180"/>
  <c r="AA176"/>
  <c r="AC176" s="1"/>
  <c r="AE176" s="1"/>
  <c r="AG176"/>
  <c r="AF176"/>
  <c r="AA172"/>
  <c r="AC172" s="1"/>
  <c r="AE172" s="1"/>
  <c r="AG172"/>
  <c r="AF172"/>
  <c r="AA168"/>
  <c r="AC168" s="1"/>
  <c r="AE168" s="1"/>
  <c r="AG168"/>
  <c r="AF168"/>
  <c r="AA164"/>
  <c r="AC164" s="1"/>
  <c r="AE164" s="1"/>
  <c r="AG164"/>
  <c r="AF164"/>
  <c r="AA160"/>
  <c r="AC160" s="1"/>
  <c r="AE160" s="1"/>
  <c r="AG160"/>
  <c r="AF160"/>
  <c r="AA156"/>
  <c r="AC156" s="1"/>
  <c r="AE156" s="1"/>
  <c r="AG156"/>
  <c r="AF156"/>
  <c r="AA152"/>
  <c r="AC152" s="1"/>
  <c r="AE152" s="1"/>
  <c r="AG152"/>
  <c r="AF152"/>
  <c r="AA148"/>
  <c r="AC148" s="1"/>
  <c r="AE148" s="1"/>
  <c r="AG148"/>
  <c r="AF148"/>
  <c r="AA144"/>
  <c r="AC144" s="1"/>
  <c r="AE144" s="1"/>
  <c r="AG144"/>
  <c r="AF144"/>
  <c r="AA140"/>
  <c r="AC140" s="1"/>
  <c r="AE140" s="1"/>
  <c r="AG140"/>
  <c r="AF140"/>
  <c r="AG136"/>
  <c r="AF136"/>
  <c r="AG132"/>
  <c r="AF132"/>
  <c r="AA127"/>
  <c r="AC127" s="1"/>
  <c r="AE127" s="1"/>
  <c r="AG127"/>
  <c r="AF127"/>
  <c r="AG124"/>
  <c r="AF124"/>
  <c r="AG120"/>
  <c r="AF120"/>
  <c r="AG116"/>
  <c r="AF116"/>
  <c r="AG112"/>
  <c r="AF112"/>
  <c r="AG108"/>
  <c r="AF108"/>
  <c r="AG104"/>
  <c r="AF104"/>
  <c r="AG100"/>
  <c r="AF100"/>
  <c r="AA96"/>
  <c r="AC96" s="1"/>
  <c r="AE96" s="1"/>
  <c r="AG96"/>
  <c r="AF96"/>
  <c r="AA92"/>
  <c r="AC92" s="1"/>
  <c r="AE92" s="1"/>
  <c r="AG92"/>
  <c r="AF92"/>
  <c r="AA88"/>
  <c r="AC88" s="1"/>
  <c r="AE88" s="1"/>
  <c r="AG88"/>
  <c r="AF88"/>
  <c r="AA84"/>
  <c r="AC84" s="1"/>
  <c r="AE84" s="1"/>
  <c r="AG84"/>
  <c r="AF84"/>
  <c r="AA80"/>
  <c r="AC80" s="1"/>
  <c r="AE80" s="1"/>
  <c r="AG80"/>
  <c r="AF80"/>
  <c r="AA76"/>
  <c r="AC76" s="1"/>
  <c r="AE76" s="1"/>
  <c r="AG76"/>
  <c r="AF76"/>
  <c r="AA72"/>
  <c r="AC72" s="1"/>
  <c r="AE72" s="1"/>
  <c r="AG72"/>
  <c r="AF72"/>
  <c r="AA68"/>
  <c r="AC68" s="1"/>
  <c r="AE68" s="1"/>
  <c r="AG68"/>
  <c r="AF68"/>
  <c r="AA64"/>
  <c r="AC64" s="1"/>
  <c r="AE64" s="1"/>
  <c r="AG64"/>
  <c r="AF64"/>
  <c r="AA60"/>
  <c r="AC60" s="1"/>
  <c r="AE60" s="1"/>
  <c r="AG60"/>
  <c r="AF60"/>
  <c r="AA56"/>
  <c r="AC56" s="1"/>
  <c r="AE56" s="1"/>
  <c r="AG56"/>
  <c r="AF56"/>
  <c r="AA52"/>
  <c r="AC52" s="1"/>
  <c r="AE52" s="1"/>
  <c r="AG52"/>
  <c r="AF52"/>
  <c r="AA48"/>
  <c r="AG48"/>
  <c r="AF48"/>
  <c r="AA44"/>
  <c r="AC44" s="1"/>
  <c r="AE44" s="1"/>
  <c r="AG44"/>
  <c r="AF44"/>
  <c r="AA40"/>
  <c r="AC40" s="1"/>
  <c r="AE40" s="1"/>
  <c r="AG40"/>
  <c r="AF40"/>
  <c r="AA36"/>
  <c r="AC36" s="1"/>
  <c r="AE36" s="1"/>
  <c r="AG36"/>
  <c r="AF36"/>
  <c r="AA32"/>
  <c r="AC32" s="1"/>
  <c r="AE32" s="1"/>
  <c r="AG32"/>
  <c r="AF32"/>
  <c r="AA28"/>
  <c r="AC28" s="1"/>
  <c r="AE28" s="1"/>
  <c r="AG28"/>
  <c r="AF28"/>
  <c r="AA24"/>
  <c r="AC24" s="1"/>
  <c r="AE24" s="1"/>
  <c r="AG24"/>
  <c r="AF24"/>
  <c r="AA20"/>
  <c r="AC20" s="1"/>
  <c r="AE20" s="1"/>
  <c r="AG20"/>
  <c r="AF20"/>
  <c r="AG16"/>
  <c r="AF16"/>
  <c r="AG12"/>
  <c r="AF12"/>
  <c r="AC15"/>
  <c r="AE15" s="1"/>
  <c r="O15" i="18" s="1"/>
  <c r="AC11" i="9"/>
  <c r="AE11" s="1"/>
  <c r="AE44" i="19" s="1"/>
  <c r="AF206" i="9"/>
  <c r="AF204"/>
  <c r="AF202"/>
  <c r="AF200"/>
  <c r="AF198"/>
  <c r="AF196"/>
  <c r="AF194"/>
  <c r="AF192"/>
  <c r="AF190"/>
  <c r="AF188"/>
  <c r="AA185"/>
  <c r="AC185" s="1"/>
  <c r="AE185" s="1"/>
  <c r="AG185"/>
  <c r="AF185"/>
  <c r="AA181"/>
  <c r="AC181" s="1"/>
  <c r="AE181" s="1"/>
  <c r="AG181"/>
  <c r="AF181"/>
  <c r="AA177"/>
  <c r="AC177" s="1"/>
  <c r="AE177" s="1"/>
  <c r="AG177"/>
  <c r="AF177"/>
  <c r="AA173"/>
  <c r="AC173" s="1"/>
  <c r="AE173" s="1"/>
  <c r="AG173"/>
  <c r="AF173"/>
  <c r="AA169"/>
  <c r="AC169" s="1"/>
  <c r="AE169" s="1"/>
  <c r="AG169"/>
  <c r="AF169"/>
  <c r="AA165"/>
  <c r="AC165" s="1"/>
  <c r="AE165" s="1"/>
  <c r="AG165"/>
  <c r="AF165"/>
  <c r="AA161"/>
  <c r="AC161" s="1"/>
  <c r="AE161" s="1"/>
  <c r="AG161"/>
  <c r="AF161"/>
  <c r="AA157"/>
  <c r="AC157" s="1"/>
  <c r="AE157" s="1"/>
  <c r="AG157"/>
  <c r="AF157"/>
  <c r="AA153"/>
  <c r="AG153"/>
  <c r="AF153"/>
  <c r="AA149"/>
  <c r="AC149" s="1"/>
  <c r="AE149" s="1"/>
  <c r="AG149"/>
  <c r="AF149"/>
  <c r="AA145"/>
  <c r="AC145" s="1"/>
  <c r="AE145" s="1"/>
  <c r="AG145"/>
  <c r="AF145"/>
  <c r="AA141"/>
  <c r="AC141" s="1"/>
  <c r="AE141" s="1"/>
  <c r="AG141"/>
  <c r="AF141"/>
  <c r="AA137"/>
  <c r="AC137" s="1"/>
  <c r="AE137" s="1"/>
  <c r="AG137"/>
  <c r="AF137"/>
  <c r="AA133"/>
  <c r="AC133" s="1"/>
  <c r="AE133" s="1"/>
  <c r="AG133"/>
  <c r="AF133"/>
  <c r="AG130"/>
  <c r="AF130"/>
  <c r="AA125"/>
  <c r="AC125" s="1"/>
  <c r="AE125" s="1"/>
  <c r="AG125"/>
  <c r="AF125"/>
  <c r="AG121"/>
  <c r="AF121"/>
  <c r="AG117"/>
  <c r="AF117"/>
  <c r="AG113"/>
  <c r="AF113"/>
  <c r="AG109"/>
  <c r="AF109"/>
  <c r="AG105"/>
  <c r="AF105"/>
  <c r="AG101"/>
  <c r="AF101"/>
  <c r="AA97"/>
  <c r="AC97" s="1"/>
  <c r="AE97" s="1"/>
  <c r="AG97"/>
  <c r="AF97"/>
  <c r="AA93"/>
  <c r="AC93" s="1"/>
  <c r="AE93" s="1"/>
  <c r="AG93"/>
  <c r="AF93"/>
  <c r="AA89"/>
  <c r="AC89" s="1"/>
  <c r="AE89" s="1"/>
  <c r="AG89"/>
  <c r="AF89"/>
  <c r="AA85"/>
  <c r="AC85" s="1"/>
  <c r="AE85" s="1"/>
  <c r="AG85"/>
  <c r="AF85"/>
  <c r="AA81"/>
  <c r="AC81" s="1"/>
  <c r="AE81" s="1"/>
  <c r="AG81"/>
  <c r="AF81"/>
  <c r="AA77"/>
  <c r="AC77" s="1"/>
  <c r="AE77" s="1"/>
  <c r="AG77"/>
  <c r="AF77"/>
  <c r="AA73"/>
  <c r="AC73" s="1"/>
  <c r="AE73" s="1"/>
  <c r="AG73"/>
  <c r="AF73"/>
  <c r="AA69"/>
  <c r="AC69" s="1"/>
  <c r="AE69" s="1"/>
  <c r="AG69"/>
  <c r="AF69"/>
  <c r="AA65"/>
  <c r="AC65" s="1"/>
  <c r="AE65" s="1"/>
  <c r="AG65"/>
  <c r="AF65"/>
  <c r="AA61"/>
  <c r="AC61" s="1"/>
  <c r="AE61" s="1"/>
  <c r="AG61"/>
  <c r="AF61"/>
  <c r="AA57"/>
  <c r="AC57" s="1"/>
  <c r="AE57" s="1"/>
  <c r="AG57"/>
  <c r="AF57"/>
  <c r="AA53"/>
  <c r="AC53" s="1"/>
  <c r="AE53" s="1"/>
  <c r="AG53"/>
  <c r="AF53"/>
  <c r="AA49"/>
  <c r="AC49" s="1"/>
  <c r="AE49" s="1"/>
  <c r="AG49"/>
  <c r="AF49"/>
  <c r="AA45"/>
  <c r="AC45" s="1"/>
  <c r="AE45" s="1"/>
  <c r="AG45"/>
  <c r="AF45"/>
  <c r="AA41"/>
  <c r="AC41" s="1"/>
  <c r="AE41" s="1"/>
  <c r="AG41"/>
  <c r="AF41"/>
  <c r="AA37"/>
  <c r="AC37" s="1"/>
  <c r="AE37" s="1"/>
  <c r="AG37"/>
  <c r="AF37"/>
  <c r="AA33"/>
  <c r="AC33" s="1"/>
  <c r="AE33" s="1"/>
  <c r="AG33"/>
  <c r="AF33"/>
  <c r="AA29"/>
  <c r="AC29" s="1"/>
  <c r="AE29" s="1"/>
  <c r="AG29"/>
  <c r="AF29"/>
  <c r="AA25"/>
  <c r="AC25" s="1"/>
  <c r="AE25" s="1"/>
  <c r="AG25"/>
  <c r="AF25"/>
  <c r="AA21"/>
  <c r="AC21" s="1"/>
  <c r="AE21" s="1"/>
  <c r="AG21"/>
  <c r="AF21"/>
  <c r="AG17"/>
  <c r="AF17"/>
  <c r="AG13"/>
  <c r="AF13"/>
  <c r="AG9"/>
  <c r="AF9"/>
  <c r="AC206"/>
  <c r="AE206" s="1"/>
  <c r="AA205"/>
  <c r="AC205" s="1"/>
  <c r="AE205" s="1"/>
  <c r="AA201"/>
  <c r="AC201" s="1"/>
  <c r="AE201" s="1"/>
  <c r="AA197"/>
  <c r="AC197" s="1"/>
  <c r="AE197" s="1"/>
  <c r="AC194"/>
  <c r="AE194" s="1"/>
  <c r="AA193"/>
  <c r="AC193" s="1"/>
  <c r="AE193" s="1"/>
  <c r="AC190"/>
  <c r="AE190" s="1"/>
  <c r="AA189"/>
  <c r="AC189" s="1"/>
  <c r="AE189" s="1"/>
  <c r="AC178"/>
  <c r="AE178" s="1"/>
  <c r="AC162"/>
  <c r="AE162" s="1"/>
  <c r="AC146"/>
  <c r="AE146" s="1"/>
  <c r="AA16"/>
  <c r="AC16" s="1"/>
  <c r="AE16" s="1"/>
  <c r="AA12"/>
  <c r="AC12" s="1"/>
  <c r="AE12" s="1"/>
  <c r="O73" i="19" s="1"/>
  <c r="AG206" i="9"/>
  <c r="AG204"/>
  <c r="AG202"/>
  <c r="AG200"/>
  <c r="AG198"/>
  <c r="AG196"/>
  <c r="AG194"/>
  <c r="AG192"/>
  <c r="AG190"/>
  <c r="AG188"/>
  <c r="AC199"/>
  <c r="AE199" s="1"/>
  <c r="AC179"/>
  <c r="AE179" s="1"/>
  <c r="AC163"/>
  <c r="AE163" s="1"/>
  <c r="AC147"/>
  <c r="AE147" s="1"/>
  <c r="AC153"/>
  <c r="AE153" s="1"/>
  <c r="AA134"/>
  <c r="AC134" s="1"/>
  <c r="AE134" s="1"/>
  <c r="AC122"/>
  <c r="AE122" s="1"/>
  <c r="AA121"/>
  <c r="AC121" s="1"/>
  <c r="AE121" s="1"/>
  <c r="AA117"/>
  <c r="AC117" s="1"/>
  <c r="AE117" s="1"/>
  <c r="AA113"/>
  <c r="AC113" s="1"/>
  <c r="AE113" s="1"/>
  <c r="AA109"/>
  <c r="AC109" s="1"/>
  <c r="AE109" s="1"/>
  <c r="AC106"/>
  <c r="AE106" s="1"/>
  <c r="AA105"/>
  <c r="AC105" s="1"/>
  <c r="AE105" s="1"/>
  <c r="AA101"/>
  <c r="AC101" s="1"/>
  <c r="AE101" s="1"/>
  <c r="AC90"/>
  <c r="AE90" s="1"/>
  <c r="AC82"/>
  <c r="AE82" s="1"/>
  <c r="AC74"/>
  <c r="AE74" s="1"/>
  <c r="AC58"/>
  <c r="AE58" s="1"/>
  <c r="AC50"/>
  <c r="AE50" s="1"/>
  <c r="AC42"/>
  <c r="AE42" s="1"/>
  <c r="AC26"/>
  <c r="AE26" s="1"/>
  <c r="AC48"/>
  <c r="AE48" s="1"/>
  <c r="AA136"/>
  <c r="AC136" s="1"/>
  <c r="AE136" s="1"/>
  <c r="AA132"/>
  <c r="AC132" s="1"/>
  <c r="AE132" s="1"/>
  <c r="AA130"/>
  <c r="AC130" s="1"/>
  <c r="AE130" s="1"/>
  <c r="AA128"/>
  <c r="AC128" s="1"/>
  <c r="AE128" s="1"/>
  <c r="AA126"/>
  <c r="AC126" s="1"/>
  <c r="AE126" s="1"/>
  <c r="AA124"/>
  <c r="AC124" s="1"/>
  <c r="AE124" s="1"/>
  <c r="AA120"/>
  <c r="AC120" s="1"/>
  <c r="AE120" s="1"/>
  <c r="AA116"/>
  <c r="AC116" s="1"/>
  <c r="AE116" s="1"/>
  <c r="AA112"/>
  <c r="AC112" s="1"/>
  <c r="AE112" s="1"/>
  <c r="AA108"/>
  <c r="AC108" s="1"/>
  <c r="AE108" s="1"/>
  <c r="AA104"/>
  <c r="AC104" s="1"/>
  <c r="AE104" s="1"/>
  <c r="AA100"/>
  <c r="AC100" s="1"/>
  <c r="AE100" s="1"/>
  <c r="J9"/>
  <c r="K9"/>
  <c r="L9"/>
  <c r="N9"/>
  <c r="P9"/>
  <c r="J10"/>
  <c r="K10"/>
  <c r="L10"/>
  <c r="N10"/>
  <c r="P10"/>
  <c r="J11"/>
  <c r="K11"/>
  <c r="L11"/>
  <c r="N11"/>
  <c r="P11"/>
  <c r="J12"/>
  <c r="K12"/>
  <c r="L12"/>
  <c r="N12"/>
  <c r="P12"/>
  <c r="J13"/>
  <c r="K13"/>
  <c r="L13"/>
  <c r="N13"/>
  <c r="P13"/>
  <c r="J14"/>
  <c r="K14"/>
  <c r="L14"/>
  <c r="N14"/>
  <c r="P14"/>
  <c r="J15"/>
  <c r="K15"/>
  <c r="L15"/>
  <c r="N15"/>
  <c r="P15"/>
  <c r="J16"/>
  <c r="K16"/>
  <c r="L16"/>
  <c r="N16"/>
  <c r="P16"/>
  <c r="J17"/>
  <c r="K17"/>
  <c r="L17"/>
  <c r="N17"/>
  <c r="P17"/>
  <c r="J18"/>
  <c r="K18"/>
  <c r="L18"/>
  <c r="N18"/>
  <c r="P18"/>
  <c r="J19"/>
  <c r="K19"/>
  <c r="L19"/>
  <c r="N19"/>
  <c r="P19"/>
  <c r="J20"/>
  <c r="K20"/>
  <c r="L20"/>
  <c r="N20"/>
  <c r="P20"/>
  <c r="J21"/>
  <c r="K21"/>
  <c r="L21"/>
  <c r="N21"/>
  <c r="P21"/>
  <c r="J22"/>
  <c r="K22"/>
  <c r="L22"/>
  <c r="N22"/>
  <c r="P22"/>
  <c r="J23"/>
  <c r="K23"/>
  <c r="L23"/>
  <c r="N23"/>
  <c r="P23"/>
  <c r="J24"/>
  <c r="K24"/>
  <c r="L24"/>
  <c r="N24"/>
  <c r="P24"/>
  <c r="J25"/>
  <c r="K25"/>
  <c r="L25"/>
  <c r="N25"/>
  <c r="P25"/>
  <c r="J26"/>
  <c r="K26"/>
  <c r="L26"/>
  <c r="N26"/>
  <c r="P26"/>
  <c r="J27"/>
  <c r="K27"/>
  <c r="L27"/>
  <c r="N27"/>
  <c r="P27"/>
  <c r="J28"/>
  <c r="K28"/>
  <c r="L28"/>
  <c r="N28"/>
  <c r="P28"/>
  <c r="J29"/>
  <c r="K29"/>
  <c r="L29"/>
  <c r="N29"/>
  <c r="P29"/>
  <c r="J30"/>
  <c r="K30"/>
  <c r="L30"/>
  <c r="N30"/>
  <c r="P30"/>
  <c r="J31"/>
  <c r="K31"/>
  <c r="L31"/>
  <c r="N31"/>
  <c r="P31"/>
  <c r="J32"/>
  <c r="K32"/>
  <c r="L32"/>
  <c r="N32"/>
  <c r="P32"/>
  <c r="J33"/>
  <c r="K33"/>
  <c r="L33"/>
  <c r="N33"/>
  <c r="P33"/>
  <c r="J34"/>
  <c r="K34"/>
  <c r="L34"/>
  <c r="N34"/>
  <c r="P34"/>
  <c r="J35"/>
  <c r="K35"/>
  <c r="L35"/>
  <c r="N35"/>
  <c r="P35"/>
  <c r="J36"/>
  <c r="K36"/>
  <c r="L36"/>
  <c r="N36"/>
  <c r="P36"/>
  <c r="J37"/>
  <c r="K37"/>
  <c r="L37"/>
  <c r="N37"/>
  <c r="P37"/>
  <c r="J38"/>
  <c r="K38"/>
  <c r="L38"/>
  <c r="N38"/>
  <c r="P38"/>
  <c r="J39"/>
  <c r="K39"/>
  <c r="L39"/>
  <c r="N39"/>
  <c r="P39"/>
  <c r="J40"/>
  <c r="K40"/>
  <c r="L40"/>
  <c r="N40"/>
  <c r="P40"/>
  <c r="J41"/>
  <c r="K41"/>
  <c r="L41"/>
  <c r="N41"/>
  <c r="P41"/>
  <c r="J42"/>
  <c r="K42"/>
  <c r="L42"/>
  <c r="N42"/>
  <c r="P42"/>
  <c r="J43"/>
  <c r="K43"/>
  <c r="L43"/>
  <c r="N43"/>
  <c r="P43"/>
  <c r="J44"/>
  <c r="K44"/>
  <c r="L44"/>
  <c r="N44"/>
  <c r="P44"/>
  <c r="J45"/>
  <c r="K45"/>
  <c r="L45"/>
  <c r="N45"/>
  <c r="P45"/>
  <c r="J46"/>
  <c r="K46"/>
  <c r="L46"/>
  <c r="N46"/>
  <c r="P46"/>
  <c r="J47"/>
  <c r="K47"/>
  <c r="L47"/>
  <c r="N47"/>
  <c r="P47"/>
  <c r="J48"/>
  <c r="K48"/>
  <c r="L48"/>
  <c r="N48"/>
  <c r="P48"/>
  <c r="J49"/>
  <c r="K49"/>
  <c r="L49"/>
  <c r="N49"/>
  <c r="P49"/>
  <c r="J50"/>
  <c r="K50"/>
  <c r="L50"/>
  <c r="N50"/>
  <c r="P50"/>
  <c r="J51"/>
  <c r="K51"/>
  <c r="L51"/>
  <c r="N51"/>
  <c r="P51"/>
  <c r="J52"/>
  <c r="K52"/>
  <c r="L52"/>
  <c r="N52"/>
  <c r="P52"/>
  <c r="J53"/>
  <c r="K53"/>
  <c r="L53"/>
  <c r="N53"/>
  <c r="P53"/>
  <c r="J54"/>
  <c r="K54"/>
  <c r="L54"/>
  <c r="N54"/>
  <c r="P54"/>
  <c r="J55"/>
  <c r="K55"/>
  <c r="L55"/>
  <c r="N55"/>
  <c r="P55"/>
  <c r="J56"/>
  <c r="K56"/>
  <c r="L56"/>
  <c r="N56"/>
  <c r="P56"/>
  <c r="J57"/>
  <c r="K57"/>
  <c r="L57"/>
  <c r="N57"/>
  <c r="P57"/>
  <c r="J58"/>
  <c r="K58"/>
  <c r="L58"/>
  <c r="N58"/>
  <c r="P58"/>
  <c r="J59"/>
  <c r="K59"/>
  <c r="L59"/>
  <c r="N59"/>
  <c r="P59"/>
  <c r="J60"/>
  <c r="K60"/>
  <c r="L60"/>
  <c r="N60"/>
  <c r="P60"/>
  <c r="J61"/>
  <c r="K61"/>
  <c r="L61"/>
  <c r="N61"/>
  <c r="P61"/>
  <c r="J62"/>
  <c r="K62"/>
  <c r="L62"/>
  <c r="N62"/>
  <c r="P62"/>
  <c r="J63"/>
  <c r="K63"/>
  <c r="L63"/>
  <c r="N63"/>
  <c r="P63"/>
  <c r="J64"/>
  <c r="K64"/>
  <c r="L64"/>
  <c r="N64"/>
  <c r="P64"/>
  <c r="J65"/>
  <c r="K65"/>
  <c r="L65"/>
  <c r="N65"/>
  <c r="P65"/>
  <c r="J66"/>
  <c r="K66"/>
  <c r="L66"/>
  <c r="N66"/>
  <c r="P66"/>
  <c r="J67"/>
  <c r="K67"/>
  <c r="L67"/>
  <c r="N67"/>
  <c r="P67"/>
  <c r="J68"/>
  <c r="K68"/>
  <c r="L68"/>
  <c r="N68"/>
  <c r="P68"/>
  <c r="J69"/>
  <c r="K69"/>
  <c r="L69"/>
  <c r="N69"/>
  <c r="P69"/>
  <c r="J70"/>
  <c r="K70"/>
  <c r="L70"/>
  <c r="N70"/>
  <c r="P70"/>
  <c r="J71"/>
  <c r="K71"/>
  <c r="L71"/>
  <c r="N71"/>
  <c r="P71"/>
  <c r="J72"/>
  <c r="K72"/>
  <c r="L72"/>
  <c r="N72"/>
  <c r="P72"/>
  <c r="J73"/>
  <c r="K73"/>
  <c r="L73"/>
  <c r="N73"/>
  <c r="P73"/>
  <c r="J74"/>
  <c r="K74"/>
  <c r="L74"/>
  <c r="N74"/>
  <c r="P74"/>
  <c r="J75"/>
  <c r="K75"/>
  <c r="L75"/>
  <c r="N75"/>
  <c r="P75"/>
  <c r="J76"/>
  <c r="K76"/>
  <c r="L76"/>
  <c r="N76"/>
  <c r="P76"/>
  <c r="J77"/>
  <c r="K77"/>
  <c r="L77"/>
  <c r="N77"/>
  <c r="P77"/>
  <c r="J78"/>
  <c r="K78"/>
  <c r="L78"/>
  <c r="N78"/>
  <c r="P78"/>
  <c r="J79"/>
  <c r="K79"/>
  <c r="L79"/>
  <c r="N79"/>
  <c r="P79"/>
  <c r="J80"/>
  <c r="K80"/>
  <c r="L80"/>
  <c r="N80"/>
  <c r="P80"/>
  <c r="J81"/>
  <c r="K81"/>
  <c r="L81"/>
  <c r="N81"/>
  <c r="P81"/>
  <c r="J82"/>
  <c r="K82"/>
  <c r="L82"/>
  <c r="N82"/>
  <c r="P82"/>
  <c r="J83"/>
  <c r="K83"/>
  <c r="L83"/>
  <c r="N83"/>
  <c r="P83"/>
  <c r="J84"/>
  <c r="K84"/>
  <c r="L84"/>
  <c r="N84"/>
  <c r="P84"/>
  <c r="J85"/>
  <c r="K85"/>
  <c r="L85"/>
  <c r="N85"/>
  <c r="P85"/>
  <c r="J86"/>
  <c r="K86"/>
  <c r="L86"/>
  <c r="N86"/>
  <c r="P86"/>
  <c r="J87"/>
  <c r="K87"/>
  <c r="L87"/>
  <c r="N87"/>
  <c r="P87"/>
  <c r="J88"/>
  <c r="K88"/>
  <c r="L88"/>
  <c r="N88"/>
  <c r="P88"/>
  <c r="J89"/>
  <c r="K89"/>
  <c r="L89"/>
  <c r="N89"/>
  <c r="P89"/>
  <c r="J90"/>
  <c r="K90"/>
  <c r="L90"/>
  <c r="N90"/>
  <c r="P90"/>
  <c r="J91"/>
  <c r="K91"/>
  <c r="L91"/>
  <c r="N91"/>
  <c r="P91"/>
  <c r="J92"/>
  <c r="K92"/>
  <c r="L92"/>
  <c r="N92"/>
  <c r="P92"/>
  <c r="J93"/>
  <c r="K93"/>
  <c r="L93"/>
  <c r="N93"/>
  <c r="P93"/>
  <c r="J94"/>
  <c r="K94"/>
  <c r="L94"/>
  <c r="N94"/>
  <c r="P94"/>
  <c r="J95"/>
  <c r="K95"/>
  <c r="L95"/>
  <c r="N95"/>
  <c r="P95"/>
  <c r="J96"/>
  <c r="K96"/>
  <c r="L96"/>
  <c r="N96"/>
  <c r="P96"/>
  <c r="J97"/>
  <c r="K97"/>
  <c r="L97"/>
  <c r="N97"/>
  <c r="P97"/>
  <c r="J98"/>
  <c r="K98"/>
  <c r="L98"/>
  <c r="N98"/>
  <c r="P98"/>
  <c r="J99"/>
  <c r="K99"/>
  <c r="L99"/>
  <c r="N99"/>
  <c r="P99"/>
  <c r="J100"/>
  <c r="K100"/>
  <c r="L100"/>
  <c r="N100"/>
  <c r="P100"/>
  <c r="J101"/>
  <c r="K101"/>
  <c r="L101"/>
  <c r="N101"/>
  <c r="P101"/>
  <c r="J102"/>
  <c r="K102"/>
  <c r="L102"/>
  <c r="N102"/>
  <c r="P102"/>
  <c r="J103"/>
  <c r="K103"/>
  <c r="L103"/>
  <c r="N103"/>
  <c r="P103"/>
  <c r="J104"/>
  <c r="K104"/>
  <c r="L104"/>
  <c r="N104"/>
  <c r="P104"/>
  <c r="J105"/>
  <c r="K105"/>
  <c r="L105"/>
  <c r="N105"/>
  <c r="P105"/>
  <c r="J106"/>
  <c r="K106"/>
  <c r="L106"/>
  <c r="N106"/>
  <c r="P106"/>
  <c r="J107"/>
  <c r="K107"/>
  <c r="L107"/>
  <c r="N107"/>
  <c r="P107"/>
  <c r="J108"/>
  <c r="K108"/>
  <c r="L108"/>
  <c r="N108"/>
  <c r="P108"/>
  <c r="J109"/>
  <c r="K109"/>
  <c r="L109"/>
  <c r="N109"/>
  <c r="P109"/>
  <c r="J110"/>
  <c r="K110"/>
  <c r="L110"/>
  <c r="N110"/>
  <c r="P110"/>
  <c r="J111"/>
  <c r="K111"/>
  <c r="L111"/>
  <c r="N111"/>
  <c r="P111"/>
  <c r="J112"/>
  <c r="K112"/>
  <c r="L112"/>
  <c r="N112"/>
  <c r="P112"/>
  <c r="J113"/>
  <c r="K113"/>
  <c r="L113"/>
  <c r="N113"/>
  <c r="P113"/>
  <c r="J114"/>
  <c r="K114"/>
  <c r="L114"/>
  <c r="N114"/>
  <c r="P114"/>
  <c r="J115"/>
  <c r="K115"/>
  <c r="L115"/>
  <c r="N115"/>
  <c r="P115"/>
  <c r="J116"/>
  <c r="K116"/>
  <c r="L116"/>
  <c r="N116"/>
  <c r="P116"/>
  <c r="J117"/>
  <c r="K117"/>
  <c r="L117"/>
  <c r="N117"/>
  <c r="P117"/>
  <c r="J118"/>
  <c r="K118"/>
  <c r="L118"/>
  <c r="N118"/>
  <c r="P118"/>
  <c r="J119"/>
  <c r="K119"/>
  <c r="L119"/>
  <c r="N119"/>
  <c r="P119"/>
  <c r="J120"/>
  <c r="K120"/>
  <c r="L120"/>
  <c r="N120"/>
  <c r="P120"/>
  <c r="J121"/>
  <c r="K121"/>
  <c r="L121"/>
  <c r="N121"/>
  <c r="P121"/>
  <c r="J122"/>
  <c r="K122"/>
  <c r="L122"/>
  <c r="N122"/>
  <c r="P122"/>
  <c r="J123"/>
  <c r="K123"/>
  <c r="L123"/>
  <c r="N123"/>
  <c r="P123"/>
  <c r="J124"/>
  <c r="K124"/>
  <c r="L124"/>
  <c r="N124"/>
  <c r="P124"/>
  <c r="J125"/>
  <c r="K125"/>
  <c r="L125"/>
  <c r="N125"/>
  <c r="P125"/>
  <c r="J126"/>
  <c r="K126"/>
  <c r="L126"/>
  <c r="N126"/>
  <c r="P126"/>
  <c r="J127"/>
  <c r="K127"/>
  <c r="L127"/>
  <c r="N127"/>
  <c r="P127"/>
  <c r="J128"/>
  <c r="K128"/>
  <c r="L128"/>
  <c r="N128"/>
  <c r="P128"/>
  <c r="J129"/>
  <c r="K129"/>
  <c r="L129"/>
  <c r="N129"/>
  <c r="P129"/>
  <c r="J130"/>
  <c r="K130"/>
  <c r="L130"/>
  <c r="N130"/>
  <c r="P130"/>
  <c r="J131"/>
  <c r="K131"/>
  <c r="L131"/>
  <c r="N131"/>
  <c r="P131"/>
  <c r="J132"/>
  <c r="K132"/>
  <c r="L132"/>
  <c r="N132"/>
  <c r="P132"/>
  <c r="J133"/>
  <c r="K133"/>
  <c r="L133"/>
  <c r="N133"/>
  <c r="P133"/>
  <c r="J134"/>
  <c r="K134"/>
  <c r="L134"/>
  <c r="N134"/>
  <c r="P134"/>
  <c r="J135"/>
  <c r="K135"/>
  <c r="L135"/>
  <c r="N135"/>
  <c r="P135"/>
  <c r="J136"/>
  <c r="K136"/>
  <c r="L136"/>
  <c r="N136"/>
  <c r="P136"/>
  <c r="J137"/>
  <c r="K137"/>
  <c r="L137"/>
  <c r="N137"/>
  <c r="P137"/>
  <c r="J138"/>
  <c r="K138"/>
  <c r="L138"/>
  <c r="N138"/>
  <c r="P138"/>
  <c r="J139"/>
  <c r="K139"/>
  <c r="L139"/>
  <c r="N139"/>
  <c r="P139"/>
  <c r="J140"/>
  <c r="K140"/>
  <c r="L140"/>
  <c r="N140"/>
  <c r="P140"/>
  <c r="J141"/>
  <c r="K141"/>
  <c r="L141"/>
  <c r="N141"/>
  <c r="P141"/>
  <c r="J142"/>
  <c r="K142"/>
  <c r="L142"/>
  <c r="N142"/>
  <c r="P142"/>
  <c r="J143"/>
  <c r="K143"/>
  <c r="L143"/>
  <c r="N143"/>
  <c r="P143"/>
  <c r="J144"/>
  <c r="K144"/>
  <c r="L144"/>
  <c r="N144"/>
  <c r="P144"/>
  <c r="J145"/>
  <c r="K145"/>
  <c r="L145"/>
  <c r="N145"/>
  <c r="P145"/>
  <c r="J146"/>
  <c r="K146"/>
  <c r="L146"/>
  <c r="N146"/>
  <c r="P146"/>
  <c r="J147"/>
  <c r="K147"/>
  <c r="L147"/>
  <c r="N147"/>
  <c r="P147"/>
  <c r="J148"/>
  <c r="K148"/>
  <c r="L148"/>
  <c r="N148"/>
  <c r="P148"/>
  <c r="J149"/>
  <c r="K149"/>
  <c r="L149"/>
  <c r="N149"/>
  <c r="P149"/>
  <c r="J150"/>
  <c r="K150"/>
  <c r="L150"/>
  <c r="N150"/>
  <c r="P150"/>
  <c r="J151"/>
  <c r="K151"/>
  <c r="L151"/>
  <c r="N151"/>
  <c r="P151"/>
  <c r="J152"/>
  <c r="K152"/>
  <c r="L152"/>
  <c r="N152"/>
  <c r="P152"/>
  <c r="J153"/>
  <c r="K153"/>
  <c r="L153"/>
  <c r="N153"/>
  <c r="P153"/>
  <c r="J154"/>
  <c r="K154"/>
  <c r="L154"/>
  <c r="N154"/>
  <c r="P154"/>
  <c r="J155"/>
  <c r="K155"/>
  <c r="L155"/>
  <c r="N155"/>
  <c r="P155"/>
  <c r="J156"/>
  <c r="K156"/>
  <c r="L156"/>
  <c r="N156"/>
  <c r="P156"/>
  <c r="J157"/>
  <c r="K157"/>
  <c r="L157"/>
  <c r="N157"/>
  <c r="P157"/>
  <c r="J158"/>
  <c r="K158"/>
  <c r="L158"/>
  <c r="N158"/>
  <c r="P158"/>
  <c r="J159"/>
  <c r="K159"/>
  <c r="L159"/>
  <c r="N159"/>
  <c r="P159"/>
  <c r="J160"/>
  <c r="K160"/>
  <c r="L160"/>
  <c r="N160"/>
  <c r="P160"/>
  <c r="J161"/>
  <c r="K161"/>
  <c r="L161"/>
  <c r="N161"/>
  <c r="P161"/>
  <c r="J162"/>
  <c r="K162"/>
  <c r="L162"/>
  <c r="N162"/>
  <c r="P162"/>
  <c r="J163"/>
  <c r="K163"/>
  <c r="L163"/>
  <c r="N163"/>
  <c r="P163"/>
  <c r="J164"/>
  <c r="K164"/>
  <c r="L164"/>
  <c r="N164"/>
  <c r="P164"/>
  <c r="J165"/>
  <c r="K165"/>
  <c r="L165"/>
  <c r="N165"/>
  <c r="P165"/>
  <c r="J166"/>
  <c r="K166"/>
  <c r="L166"/>
  <c r="N166"/>
  <c r="P166"/>
  <c r="J167"/>
  <c r="K167"/>
  <c r="L167"/>
  <c r="N167"/>
  <c r="P167"/>
  <c r="J168"/>
  <c r="K168"/>
  <c r="L168"/>
  <c r="N168"/>
  <c r="P168"/>
  <c r="J169"/>
  <c r="K169"/>
  <c r="L169"/>
  <c r="N169"/>
  <c r="P169"/>
  <c r="J170"/>
  <c r="K170"/>
  <c r="L170"/>
  <c r="N170"/>
  <c r="P170"/>
  <c r="J171"/>
  <c r="K171"/>
  <c r="L171"/>
  <c r="N171"/>
  <c r="P171"/>
  <c r="J172"/>
  <c r="K172"/>
  <c r="L172"/>
  <c r="N172"/>
  <c r="P172"/>
  <c r="J173"/>
  <c r="K173"/>
  <c r="L173"/>
  <c r="N173"/>
  <c r="P173"/>
  <c r="J174"/>
  <c r="K174"/>
  <c r="L174"/>
  <c r="N174"/>
  <c r="P174"/>
  <c r="J175"/>
  <c r="K175"/>
  <c r="L175"/>
  <c r="N175"/>
  <c r="P175"/>
  <c r="J176"/>
  <c r="K176"/>
  <c r="L176"/>
  <c r="N176"/>
  <c r="P176"/>
  <c r="J177"/>
  <c r="K177"/>
  <c r="L177"/>
  <c r="N177"/>
  <c r="P177"/>
  <c r="J178"/>
  <c r="K178"/>
  <c r="L178"/>
  <c r="N178"/>
  <c r="P178"/>
  <c r="J179"/>
  <c r="K179"/>
  <c r="L179"/>
  <c r="N179"/>
  <c r="P179"/>
  <c r="J180"/>
  <c r="K180"/>
  <c r="L180"/>
  <c r="N180"/>
  <c r="P180"/>
  <c r="J181"/>
  <c r="K181"/>
  <c r="L181"/>
  <c r="N181"/>
  <c r="P181"/>
  <c r="J182"/>
  <c r="K182"/>
  <c r="L182"/>
  <c r="N182"/>
  <c r="P182"/>
  <c r="J183"/>
  <c r="K183"/>
  <c r="L183"/>
  <c r="N183"/>
  <c r="P183"/>
  <c r="J184"/>
  <c r="K184"/>
  <c r="L184"/>
  <c r="N184"/>
  <c r="P184"/>
  <c r="J185"/>
  <c r="K185"/>
  <c r="L185"/>
  <c r="N185"/>
  <c r="P185"/>
  <c r="J186"/>
  <c r="K186"/>
  <c r="L186"/>
  <c r="N186"/>
  <c r="P186"/>
  <c r="J187"/>
  <c r="K187"/>
  <c r="L187"/>
  <c r="N187"/>
  <c r="P187"/>
  <c r="J188"/>
  <c r="K188"/>
  <c r="L188"/>
  <c r="N188"/>
  <c r="P188"/>
  <c r="J189"/>
  <c r="K189"/>
  <c r="L189"/>
  <c r="N189"/>
  <c r="P189"/>
  <c r="J190"/>
  <c r="K190"/>
  <c r="L190"/>
  <c r="N190"/>
  <c r="P190"/>
  <c r="J191"/>
  <c r="K191"/>
  <c r="L191"/>
  <c r="N191"/>
  <c r="P191"/>
  <c r="J192"/>
  <c r="K192"/>
  <c r="L192"/>
  <c r="N192"/>
  <c r="P192"/>
  <c r="J193"/>
  <c r="K193"/>
  <c r="L193"/>
  <c r="N193"/>
  <c r="P193"/>
  <c r="J194"/>
  <c r="K194"/>
  <c r="L194"/>
  <c r="N194"/>
  <c r="P194"/>
  <c r="J195"/>
  <c r="K195"/>
  <c r="L195"/>
  <c r="N195"/>
  <c r="P195"/>
  <c r="J196"/>
  <c r="K196"/>
  <c r="L196"/>
  <c r="N196"/>
  <c r="P196"/>
  <c r="J197"/>
  <c r="K197"/>
  <c r="L197"/>
  <c r="N197"/>
  <c r="P197"/>
  <c r="J198"/>
  <c r="K198"/>
  <c r="L198"/>
  <c r="N198"/>
  <c r="P198"/>
  <c r="J199"/>
  <c r="K199"/>
  <c r="L199"/>
  <c r="N199"/>
  <c r="P199"/>
  <c r="J200"/>
  <c r="K200"/>
  <c r="L200"/>
  <c r="N200"/>
  <c r="P200"/>
  <c r="J201"/>
  <c r="K201"/>
  <c r="L201"/>
  <c r="N201"/>
  <c r="P201"/>
  <c r="J202"/>
  <c r="K202"/>
  <c r="L202"/>
  <c r="N202"/>
  <c r="P202"/>
  <c r="J203"/>
  <c r="K203"/>
  <c r="L203"/>
  <c r="N203"/>
  <c r="P203"/>
  <c r="J204"/>
  <c r="K204"/>
  <c r="L204"/>
  <c r="N204"/>
  <c r="P204"/>
  <c r="J205"/>
  <c r="K205"/>
  <c r="L205"/>
  <c r="N205"/>
  <c r="P205"/>
  <c r="J206"/>
  <c r="K206"/>
  <c r="L206"/>
  <c r="N206"/>
  <c r="P206"/>
  <c r="J207"/>
  <c r="K207"/>
  <c r="L207"/>
  <c r="N207"/>
  <c r="P207"/>
  <c r="K8"/>
  <c r="L8"/>
  <c r="K6"/>
  <c r="L6"/>
  <c r="J6"/>
  <c r="B9"/>
  <c r="C9"/>
  <c r="E9"/>
  <c r="F9"/>
  <c r="G9"/>
  <c r="H9"/>
  <c r="I9"/>
  <c r="B10"/>
  <c r="C10"/>
  <c r="D10"/>
  <c r="E10"/>
  <c r="F10"/>
  <c r="G10"/>
  <c r="H10"/>
  <c r="I10"/>
  <c r="B11"/>
  <c r="C11"/>
  <c r="D11"/>
  <c r="E11"/>
  <c r="F11"/>
  <c r="G11"/>
  <c r="H11"/>
  <c r="I11"/>
  <c r="B12"/>
  <c r="C12"/>
  <c r="D12"/>
  <c r="E12"/>
  <c r="F12"/>
  <c r="G12"/>
  <c r="H12"/>
  <c r="I12"/>
  <c r="B13"/>
  <c r="C13"/>
  <c r="D13"/>
  <c r="E13"/>
  <c r="F13"/>
  <c r="G13"/>
  <c r="H13"/>
  <c r="I13"/>
  <c r="B14"/>
  <c r="C14"/>
  <c r="D14"/>
  <c r="E14"/>
  <c r="F14"/>
  <c r="G14"/>
  <c r="H14"/>
  <c r="I14"/>
  <c r="B15"/>
  <c r="C15"/>
  <c r="D15"/>
  <c r="E15"/>
  <c r="F15"/>
  <c r="G15"/>
  <c r="H15"/>
  <c r="I15"/>
  <c r="B16"/>
  <c r="C16"/>
  <c r="D16"/>
  <c r="E16"/>
  <c r="F16"/>
  <c r="G16"/>
  <c r="H16"/>
  <c r="I16"/>
  <c r="B17"/>
  <c r="C17"/>
  <c r="D17"/>
  <c r="E17"/>
  <c r="F17"/>
  <c r="G17"/>
  <c r="H17"/>
  <c r="I17"/>
  <c r="B18"/>
  <c r="C18"/>
  <c r="D18"/>
  <c r="E18"/>
  <c r="F18"/>
  <c r="G18"/>
  <c r="H18"/>
  <c r="I18"/>
  <c r="B19"/>
  <c r="C19"/>
  <c r="D19"/>
  <c r="E19"/>
  <c r="F19"/>
  <c r="G19"/>
  <c r="H19"/>
  <c r="I19"/>
  <c r="B20"/>
  <c r="C20"/>
  <c r="D20"/>
  <c r="E20"/>
  <c r="F20"/>
  <c r="G20"/>
  <c r="H20"/>
  <c r="I20"/>
  <c r="B21"/>
  <c r="C21"/>
  <c r="D21"/>
  <c r="E21"/>
  <c r="F21"/>
  <c r="G21"/>
  <c r="H21"/>
  <c r="I21"/>
  <c r="B22"/>
  <c r="C22"/>
  <c r="D22"/>
  <c r="E22"/>
  <c r="F22"/>
  <c r="G22"/>
  <c r="H22"/>
  <c r="I22"/>
  <c r="B23"/>
  <c r="C23"/>
  <c r="D23"/>
  <c r="E23"/>
  <c r="F23"/>
  <c r="G23"/>
  <c r="H23"/>
  <c r="I23"/>
  <c r="B24"/>
  <c r="C24"/>
  <c r="D24"/>
  <c r="E24"/>
  <c r="F24"/>
  <c r="G24"/>
  <c r="H24"/>
  <c r="I24"/>
  <c r="B25"/>
  <c r="C25"/>
  <c r="D25"/>
  <c r="E25"/>
  <c r="F25"/>
  <c r="G25"/>
  <c r="H25"/>
  <c r="I25"/>
  <c r="B26"/>
  <c r="C26"/>
  <c r="D26"/>
  <c r="E26"/>
  <c r="F26"/>
  <c r="G26"/>
  <c r="H26"/>
  <c r="I26"/>
  <c r="B27"/>
  <c r="C27"/>
  <c r="D27"/>
  <c r="E27"/>
  <c r="F27"/>
  <c r="G27"/>
  <c r="H27"/>
  <c r="I27"/>
  <c r="B28"/>
  <c r="C28"/>
  <c r="D28"/>
  <c r="E28"/>
  <c r="F28"/>
  <c r="G28"/>
  <c r="H28"/>
  <c r="I28"/>
  <c r="B29"/>
  <c r="C29"/>
  <c r="D29"/>
  <c r="E29"/>
  <c r="F29"/>
  <c r="G29"/>
  <c r="H29"/>
  <c r="I29"/>
  <c r="B30"/>
  <c r="C30"/>
  <c r="D30"/>
  <c r="E30"/>
  <c r="F30"/>
  <c r="G30"/>
  <c r="H30"/>
  <c r="I30"/>
  <c r="B31"/>
  <c r="C31"/>
  <c r="D31"/>
  <c r="E31"/>
  <c r="F31"/>
  <c r="G31"/>
  <c r="H31"/>
  <c r="I31"/>
  <c r="B32"/>
  <c r="C32"/>
  <c r="D32"/>
  <c r="E32"/>
  <c r="F32"/>
  <c r="G32"/>
  <c r="H32"/>
  <c r="I32"/>
  <c r="B33"/>
  <c r="C33"/>
  <c r="D33"/>
  <c r="E33"/>
  <c r="F33"/>
  <c r="G33"/>
  <c r="H33"/>
  <c r="I33"/>
  <c r="B34"/>
  <c r="C34"/>
  <c r="D34"/>
  <c r="E34"/>
  <c r="F34"/>
  <c r="G34"/>
  <c r="H34"/>
  <c r="I34"/>
  <c r="B35"/>
  <c r="C35"/>
  <c r="D35"/>
  <c r="E35"/>
  <c r="F35"/>
  <c r="G35"/>
  <c r="H35"/>
  <c r="I35"/>
  <c r="B36"/>
  <c r="C36"/>
  <c r="D36"/>
  <c r="E36"/>
  <c r="F36"/>
  <c r="G36"/>
  <c r="H36"/>
  <c r="I36"/>
  <c r="B37"/>
  <c r="C37"/>
  <c r="D37"/>
  <c r="E37"/>
  <c r="F37"/>
  <c r="G37"/>
  <c r="H37"/>
  <c r="I37"/>
  <c r="B38"/>
  <c r="C38"/>
  <c r="D38"/>
  <c r="E38"/>
  <c r="F38"/>
  <c r="G38"/>
  <c r="H38"/>
  <c r="I38"/>
  <c r="B39"/>
  <c r="C39"/>
  <c r="D39"/>
  <c r="E39"/>
  <c r="F39"/>
  <c r="G39"/>
  <c r="H39"/>
  <c r="I39"/>
  <c r="B40"/>
  <c r="C40"/>
  <c r="D40"/>
  <c r="E40"/>
  <c r="F40"/>
  <c r="G40"/>
  <c r="H40"/>
  <c r="I40"/>
  <c r="B41"/>
  <c r="C41"/>
  <c r="D41"/>
  <c r="E41"/>
  <c r="F41"/>
  <c r="G41"/>
  <c r="H41"/>
  <c r="I41"/>
  <c r="B42"/>
  <c r="C42"/>
  <c r="D42"/>
  <c r="E42"/>
  <c r="F42"/>
  <c r="G42"/>
  <c r="H42"/>
  <c r="I42"/>
  <c r="B43"/>
  <c r="C43"/>
  <c r="D43"/>
  <c r="E43"/>
  <c r="F43"/>
  <c r="G43"/>
  <c r="H43"/>
  <c r="I43"/>
  <c r="B44"/>
  <c r="C44"/>
  <c r="D44"/>
  <c r="E44"/>
  <c r="F44"/>
  <c r="G44"/>
  <c r="H44"/>
  <c r="I44"/>
  <c r="B45"/>
  <c r="C45"/>
  <c r="D45"/>
  <c r="E45"/>
  <c r="F45"/>
  <c r="G45"/>
  <c r="H45"/>
  <c r="I45"/>
  <c r="B46"/>
  <c r="C46"/>
  <c r="D46"/>
  <c r="E46"/>
  <c r="F46"/>
  <c r="G46"/>
  <c r="H46"/>
  <c r="I46"/>
  <c r="B47"/>
  <c r="C47"/>
  <c r="D47"/>
  <c r="E47"/>
  <c r="F47"/>
  <c r="G47"/>
  <c r="H47"/>
  <c r="I47"/>
  <c r="B48"/>
  <c r="FF48" s="1"/>
  <c r="C48"/>
  <c r="D48"/>
  <c r="E48"/>
  <c r="F48"/>
  <c r="G48"/>
  <c r="H48"/>
  <c r="I48"/>
  <c r="B49"/>
  <c r="C49"/>
  <c r="D49"/>
  <c r="E49"/>
  <c r="F49"/>
  <c r="G49"/>
  <c r="H49"/>
  <c r="I49"/>
  <c r="B50"/>
  <c r="C50"/>
  <c r="D50"/>
  <c r="E50"/>
  <c r="F50"/>
  <c r="G50"/>
  <c r="H50"/>
  <c r="I50"/>
  <c r="B51"/>
  <c r="C51"/>
  <c r="D51"/>
  <c r="E51"/>
  <c r="F51"/>
  <c r="G51"/>
  <c r="H51"/>
  <c r="I51"/>
  <c r="B52"/>
  <c r="FF52" s="1"/>
  <c r="C52"/>
  <c r="D52"/>
  <c r="E52"/>
  <c r="F52"/>
  <c r="G52"/>
  <c r="H52"/>
  <c r="I52"/>
  <c r="B53"/>
  <c r="C53"/>
  <c r="D53"/>
  <c r="E53"/>
  <c r="F53"/>
  <c r="G53"/>
  <c r="H53"/>
  <c r="I53"/>
  <c r="B54"/>
  <c r="C54"/>
  <c r="D54"/>
  <c r="E54"/>
  <c r="F54"/>
  <c r="G54"/>
  <c r="H54"/>
  <c r="I54"/>
  <c r="B55"/>
  <c r="C55"/>
  <c r="D55"/>
  <c r="E55"/>
  <c r="F55"/>
  <c r="G55"/>
  <c r="H55"/>
  <c r="I55"/>
  <c r="B56"/>
  <c r="C56"/>
  <c r="D56"/>
  <c r="E56"/>
  <c r="F56"/>
  <c r="G56"/>
  <c r="H56"/>
  <c r="I56"/>
  <c r="B57"/>
  <c r="C57"/>
  <c r="D57"/>
  <c r="E57"/>
  <c r="F57"/>
  <c r="G57"/>
  <c r="H57"/>
  <c r="I57"/>
  <c r="B58"/>
  <c r="C58"/>
  <c r="D58"/>
  <c r="E58"/>
  <c r="F58"/>
  <c r="G58"/>
  <c r="H58"/>
  <c r="I58"/>
  <c r="B59"/>
  <c r="C59"/>
  <c r="D59"/>
  <c r="E59"/>
  <c r="F59"/>
  <c r="G59"/>
  <c r="H59"/>
  <c r="I59"/>
  <c r="B60"/>
  <c r="C60"/>
  <c r="D60"/>
  <c r="E60"/>
  <c r="F60"/>
  <c r="G60"/>
  <c r="H60"/>
  <c r="I60"/>
  <c r="B61"/>
  <c r="C61"/>
  <c r="D61"/>
  <c r="E61"/>
  <c r="F61"/>
  <c r="G61"/>
  <c r="H61"/>
  <c r="I61"/>
  <c r="B62"/>
  <c r="C62"/>
  <c r="D62"/>
  <c r="E62"/>
  <c r="F62"/>
  <c r="G62"/>
  <c r="H62"/>
  <c r="I62"/>
  <c r="B63"/>
  <c r="C63"/>
  <c r="D63"/>
  <c r="E63"/>
  <c r="F63"/>
  <c r="G63"/>
  <c r="H63"/>
  <c r="I63"/>
  <c r="B64"/>
  <c r="C64"/>
  <c r="D64"/>
  <c r="E64"/>
  <c r="F64"/>
  <c r="G64"/>
  <c r="H64"/>
  <c r="I64"/>
  <c r="B65"/>
  <c r="C65"/>
  <c r="D65"/>
  <c r="E65"/>
  <c r="F65"/>
  <c r="G65"/>
  <c r="H65"/>
  <c r="I65"/>
  <c r="B66"/>
  <c r="C66"/>
  <c r="D66"/>
  <c r="E66"/>
  <c r="F66"/>
  <c r="G66"/>
  <c r="H66"/>
  <c r="I66"/>
  <c r="B67"/>
  <c r="C67"/>
  <c r="D67"/>
  <c r="E67"/>
  <c r="F67"/>
  <c r="G67"/>
  <c r="H67"/>
  <c r="I67"/>
  <c r="B68"/>
  <c r="C68"/>
  <c r="D68"/>
  <c r="E68"/>
  <c r="F68"/>
  <c r="G68"/>
  <c r="H68"/>
  <c r="I68"/>
  <c r="B69"/>
  <c r="C69"/>
  <c r="D69"/>
  <c r="E69"/>
  <c r="F69"/>
  <c r="G69"/>
  <c r="H69"/>
  <c r="I69"/>
  <c r="B70"/>
  <c r="C70"/>
  <c r="D70"/>
  <c r="E70"/>
  <c r="F70"/>
  <c r="G70"/>
  <c r="H70"/>
  <c r="I70"/>
  <c r="B71"/>
  <c r="C71"/>
  <c r="D71"/>
  <c r="E71"/>
  <c r="F71"/>
  <c r="G71"/>
  <c r="H71"/>
  <c r="I71"/>
  <c r="B72"/>
  <c r="C72"/>
  <c r="D72"/>
  <c r="E72"/>
  <c r="F72"/>
  <c r="G72"/>
  <c r="H72"/>
  <c r="I72"/>
  <c r="B73"/>
  <c r="C73"/>
  <c r="D73"/>
  <c r="E73"/>
  <c r="F73"/>
  <c r="G73"/>
  <c r="H73"/>
  <c r="I73"/>
  <c r="B74"/>
  <c r="C74"/>
  <c r="D74"/>
  <c r="E74"/>
  <c r="F74"/>
  <c r="G74"/>
  <c r="H74"/>
  <c r="I74"/>
  <c r="B75"/>
  <c r="C75"/>
  <c r="D75"/>
  <c r="E75"/>
  <c r="F75"/>
  <c r="G75"/>
  <c r="H75"/>
  <c r="I75"/>
  <c r="B76"/>
  <c r="C76"/>
  <c r="D76"/>
  <c r="E76"/>
  <c r="F76"/>
  <c r="G76"/>
  <c r="H76"/>
  <c r="I76"/>
  <c r="B77"/>
  <c r="C77"/>
  <c r="D77"/>
  <c r="E77"/>
  <c r="F77"/>
  <c r="G77"/>
  <c r="H77"/>
  <c r="I77"/>
  <c r="B78"/>
  <c r="C78"/>
  <c r="D78"/>
  <c r="E78"/>
  <c r="F78"/>
  <c r="G78"/>
  <c r="H78"/>
  <c r="I78"/>
  <c r="B79"/>
  <c r="C79"/>
  <c r="D79"/>
  <c r="E79"/>
  <c r="F79"/>
  <c r="G79"/>
  <c r="H79"/>
  <c r="I79"/>
  <c r="B80"/>
  <c r="C80"/>
  <c r="D80"/>
  <c r="E80"/>
  <c r="F80"/>
  <c r="G80"/>
  <c r="H80"/>
  <c r="I80"/>
  <c r="B81"/>
  <c r="C81"/>
  <c r="D81"/>
  <c r="E81"/>
  <c r="F81"/>
  <c r="G81"/>
  <c r="H81"/>
  <c r="I81"/>
  <c r="B82"/>
  <c r="C82"/>
  <c r="D82"/>
  <c r="E82"/>
  <c r="F82"/>
  <c r="G82"/>
  <c r="H82"/>
  <c r="I82"/>
  <c r="B83"/>
  <c r="C83"/>
  <c r="D83"/>
  <c r="E83"/>
  <c r="F83"/>
  <c r="G83"/>
  <c r="H83"/>
  <c r="I83"/>
  <c r="B84"/>
  <c r="C84"/>
  <c r="D84"/>
  <c r="E84"/>
  <c r="F84"/>
  <c r="G84"/>
  <c r="H84"/>
  <c r="I84"/>
  <c r="B85"/>
  <c r="C85"/>
  <c r="D85"/>
  <c r="E85"/>
  <c r="F85"/>
  <c r="G85"/>
  <c r="H85"/>
  <c r="I85"/>
  <c r="B86"/>
  <c r="C86"/>
  <c r="D86"/>
  <c r="E86"/>
  <c r="F86"/>
  <c r="G86"/>
  <c r="H86"/>
  <c r="I86"/>
  <c r="B87"/>
  <c r="C87"/>
  <c r="D87"/>
  <c r="E87"/>
  <c r="F87"/>
  <c r="G87"/>
  <c r="H87"/>
  <c r="I87"/>
  <c r="B88"/>
  <c r="C88"/>
  <c r="D88"/>
  <c r="E88"/>
  <c r="F88"/>
  <c r="G88"/>
  <c r="H88"/>
  <c r="I88"/>
  <c r="B89"/>
  <c r="C89"/>
  <c r="D89"/>
  <c r="E89"/>
  <c r="F89"/>
  <c r="G89"/>
  <c r="H89"/>
  <c r="I89"/>
  <c r="B90"/>
  <c r="C90"/>
  <c r="D90"/>
  <c r="E90"/>
  <c r="F90"/>
  <c r="G90"/>
  <c r="H90"/>
  <c r="I90"/>
  <c r="B91"/>
  <c r="C91"/>
  <c r="D91"/>
  <c r="E91"/>
  <c r="F91"/>
  <c r="G91"/>
  <c r="H91"/>
  <c r="I91"/>
  <c r="B92"/>
  <c r="C92"/>
  <c r="D92"/>
  <c r="E92"/>
  <c r="F92"/>
  <c r="G92"/>
  <c r="H92"/>
  <c r="I92"/>
  <c r="B93"/>
  <c r="C93"/>
  <c r="D93"/>
  <c r="E93"/>
  <c r="F93"/>
  <c r="G93"/>
  <c r="H93"/>
  <c r="I93"/>
  <c r="B94"/>
  <c r="C94"/>
  <c r="D94"/>
  <c r="E94"/>
  <c r="F94"/>
  <c r="G94"/>
  <c r="H94"/>
  <c r="I94"/>
  <c r="B95"/>
  <c r="C95"/>
  <c r="D95"/>
  <c r="E95"/>
  <c r="F95"/>
  <c r="G95"/>
  <c r="H95"/>
  <c r="I95"/>
  <c r="B96"/>
  <c r="C96"/>
  <c r="D96"/>
  <c r="E96"/>
  <c r="F96"/>
  <c r="G96"/>
  <c r="H96"/>
  <c r="I96"/>
  <c r="B97"/>
  <c r="C97"/>
  <c r="D97"/>
  <c r="E97"/>
  <c r="F97"/>
  <c r="G97"/>
  <c r="H97"/>
  <c r="I97"/>
  <c r="B98"/>
  <c r="C98"/>
  <c r="D98"/>
  <c r="E98"/>
  <c r="F98"/>
  <c r="G98"/>
  <c r="H98"/>
  <c r="I98"/>
  <c r="B99"/>
  <c r="C99"/>
  <c r="D99"/>
  <c r="E99"/>
  <c r="F99"/>
  <c r="G99"/>
  <c r="H99"/>
  <c r="I99"/>
  <c r="B100"/>
  <c r="C100"/>
  <c r="D100"/>
  <c r="E100"/>
  <c r="F100"/>
  <c r="G100"/>
  <c r="H100"/>
  <c r="I100"/>
  <c r="B101"/>
  <c r="C101"/>
  <c r="D101"/>
  <c r="E101"/>
  <c r="F101"/>
  <c r="G101"/>
  <c r="H101"/>
  <c r="I101"/>
  <c r="B102"/>
  <c r="C102"/>
  <c r="D102"/>
  <c r="E102"/>
  <c r="F102"/>
  <c r="G102"/>
  <c r="H102"/>
  <c r="I102"/>
  <c r="B103"/>
  <c r="C103"/>
  <c r="D103"/>
  <c r="E103"/>
  <c r="F103"/>
  <c r="G103"/>
  <c r="H103"/>
  <c r="I103"/>
  <c r="B104"/>
  <c r="C104"/>
  <c r="D104"/>
  <c r="E104"/>
  <c r="F104"/>
  <c r="G104"/>
  <c r="H104"/>
  <c r="I104"/>
  <c r="B105"/>
  <c r="C105"/>
  <c r="D105"/>
  <c r="E105"/>
  <c r="F105"/>
  <c r="G105"/>
  <c r="H105"/>
  <c r="I105"/>
  <c r="B106"/>
  <c r="C106"/>
  <c r="D106"/>
  <c r="E106"/>
  <c r="F106"/>
  <c r="G106"/>
  <c r="H106"/>
  <c r="I106"/>
  <c r="B107"/>
  <c r="C107"/>
  <c r="D107"/>
  <c r="E107"/>
  <c r="F107"/>
  <c r="G107"/>
  <c r="H107"/>
  <c r="I107"/>
  <c r="B108"/>
  <c r="C108"/>
  <c r="D108"/>
  <c r="E108"/>
  <c r="F108"/>
  <c r="G108"/>
  <c r="H108"/>
  <c r="I108"/>
  <c r="B109"/>
  <c r="C109"/>
  <c r="D109"/>
  <c r="E109"/>
  <c r="F109"/>
  <c r="G109"/>
  <c r="H109"/>
  <c r="I109"/>
  <c r="B110"/>
  <c r="C110"/>
  <c r="D110"/>
  <c r="E110"/>
  <c r="F110"/>
  <c r="G110"/>
  <c r="H110"/>
  <c r="I110"/>
  <c r="B111"/>
  <c r="C111"/>
  <c r="D111"/>
  <c r="E111"/>
  <c r="F111"/>
  <c r="G111"/>
  <c r="H111"/>
  <c r="I111"/>
  <c r="B112"/>
  <c r="C112"/>
  <c r="D112"/>
  <c r="E112"/>
  <c r="F112"/>
  <c r="G112"/>
  <c r="H112"/>
  <c r="I112"/>
  <c r="B113"/>
  <c r="C113"/>
  <c r="D113"/>
  <c r="E113"/>
  <c r="F113"/>
  <c r="G113"/>
  <c r="H113"/>
  <c r="I113"/>
  <c r="B114"/>
  <c r="C114"/>
  <c r="D114"/>
  <c r="E114"/>
  <c r="F114"/>
  <c r="G114"/>
  <c r="H114"/>
  <c r="I114"/>
  <c r="B115"/>
  <c r="C115"/>
  <c r="D115"/>
  <c r="E115"/>
  <c r="F115"/>
  <c r="G115"/>
  <c r="H115"/>
  <c r="I115"/>
  <c r="B116"/>
  <c r="C116"/>
  <c r="D116"/>
  <c r="E116"/>
  <c r="F116"/>
  <c r="G116"/>
  <c r="H116"/>
  <c r="I116"/>
  <c r="B117"/>
  <c r="C117"/>
  <c r="D117"/>
  <c r="E117"/>
  <c r="F117"/>
  <c r="G117"/>
  <c r="H117"/>
  <c r="I117"/>
  <c r="B118"/>
  <c r="C118"/>
  <c r="D118"/>
  <c r="E118"/>
  <c r="F118"/>
  <c r="G118"/>
  <c r="H118"/>
  <c r="I118"/>
  <c r="B119"/>
  <c r="C119"/>
  <c r="D119"/>
  <c r="E119"/>
  <c r="F119"/>
  <c r="G119"/>
  <c r="H119"/>
  <c r="I119"/>
  <c r="B120"/>
  <c r="C120"/>
  <c r="D120"/>
  <c r="E120"/>
  <c r="F120"/>
  <c r="G120"/>
  <c r="H120"/>
  <c r="I120"/>
  <c r="B121"/>
  <c r="C121"/>
  <c r="D121"/>
  <c r="E121"/>
  <c r="F121"/>
  <c r="G121"/>
  <c r="H121"/>
  <c r="I121"/>
  <c r="B122"/>
  <c r="C122"/>
  <c r="D122"/>
  <c r="E122"/>
  <c r="F122"/>
  <c r="G122"/>
  <c r="H122"/>
  <c r="I122"/>
  <c r="B123"/>
  <c r="C123"/>
  <c r="D123"/>
  <c r="E123"/>
  <c r="F123"/>
  <c r="G123"/>
  <c r="H123"/>
  <c r="I123"/>
  <c r="B124"/>
  <c r="C124"/>
  <c r="D124"/>
  <c r="E124"/>
  <c r="F124"/>
  <c r="G124"/>
  <c r="H124"/>
  <c r="I124"/>
  <c r="B125"/>
  <c r="C125"/>
  <c r="D125"/>
  <c r="E125"/>
  <c r="F125"/>
  <c r="G125"/>
  <c r="H125"/>
  <c r="I125"/>
  <c r="B126"/>
  <c r="C126"/>
  <c r="D126"/>
  <c r="E126"/>
  <c r="F126"/>
  <c r="G126"/>
  <c r="H126"/>
  <c r="I126"/>
  <c r="B127"/>
  <c r="C127"/>
  <c r="D127"/>
  <c r="E127"/>
  <c r="F127"/>
  <c r="G127"/>
  <c r="H127"/>
  <c r="I127"/>
  <c r="B128"/>
  <c r="C128"/>
  <c r="D128"/>
  <c r="E128"/>
  <c r="F128"/>
  <c r="G128"/>
  <c r="H128"/>
  <c r="I128"/>
  <c r="B129"/>
  <c r="C129"/>
  <c r="D129"/>
  <c r="E129"/>
  <c r="F129"/>
  <c r="G129"/>
  <c r="H129"/>
  <c r="I129"/>
  <c r="B130"/>
  <c r="C130"/>
  <c r="D130"/>
  <c r="E130"/>
  <c r="F130"/>
  <c r="G130"/>
  <c r="H130"/>
  <c r="I130"/>
  <c r="B131"/>
  <c r="C131"/>
  <c r="D131"/>
  <c r="E131"/>
  <c r="F131"/>
  <c r="G131"/>
  <c r="H131"/>
  <c r="I131"/>
  <c r="B132"/>
  <c r="C132"/>
  <c r="D132"/>
  <c r="E132"/>
  <c r="F132"/>
  <c r="G132"/>
  <c r="H132"/>
  <c r="I132"/>
  <c r="B133"/>
  <c r="C133"/>
  <c r="D133"/>
  <c r="E133"/>
  <c r="F133"/>
  <c r="G133"/>
  <c r="H133"/>
  <c r="I133"/>
  <c r="B134"/>
  <c r="C134"/>
  <c r="D134"/>
  <c r="E134"/>
  <c r="F134"/>
  <c r="G134"/>
  <c r="H134"/>
  <c r="I134"/>
  <c r="B135"/>
  <c r="C135"/>
  <c r="D135"/>
  <c r="E135"/>
  <c r="F135"/>
  <c r="G135"/>
  <c r="H135"/>
  <c r="I135"/>
  <c r="B136"/>
  <c r="C136"/>
  <c r="D136"/>
  <c r="E136"/>
  <c r="F136"/>
  <c r="G136"/>
  <c r="H136"/>
  <c r="I136"/>
  <c r="B137"/>
  <c r="C137"/>
  <c r="D137"/>
  <c r="E137"/>
  <c r="F137"/>
  <c r="G137"/>
  <c r="H137"/>
  <c r="I137"/>
  <c r="B138"/>
  <c r="C138"/>
  <c r="D138"/>
  <c r="E138"/>
  <c r="F138"/>
  <c r="G138"/>
  <c r="H138"/>
  <c r="I138"/>
  <c r="B139"/>
  <c r="C139"/>
  <c r="D139"/>
  <c r="E139"/>
  <c r="F139"/>
  <c r="G139"/>
  <c r="H139"/>
  <c r="I139"/>
  <c r="B140"/>
  <c r="C140"/>
  <c r="D140"/>
  <c r="E140"/>
  <c r="F140"/>
  <c r="G140"/>
  <c r="H140"/>
  <c r="I140"/>
  <c r="B141"/>
  <c r="C141"/>
  <c r="D141"/>
  <c r="E141"/>
  <c r="F141"/>
  <c r="G141"/>
  <c r="H141"/>
  <c r="I141"/>
  <c r="B142"/>
  <c r="C142"/>
  <c r="D142"/>
  <c r="E142"/>
  <c r="F142"/>
  <c r="G142"/>
  <c r="H142"/>
  <c r="I142"/>
  <c r="B143"/>
  <c r="C143"/>
  <c r="D143"/>
  <c r="E143"/>
  <c r="F143"/>
  <c r="G143"/>
  <c r="H143"/>
  <c r="I143"/>
  <c r="B144"/>
  <c r="C144"/>
  <c r="D144"/>
  <c r="E144"/>
  <c r="F144"/>
  <c r="G144"/>
  <c r="H144"/>
  <c r="I144"/>
  <c r="B145"/>
  <c r="C145"/>
  <c r="D145"/>
  <c r="E145"/>
  <c r="F145"/>
  <c r="G145"/>
  <c r="H145"/>
  <c r="I145"/>
  <c r="B146"/>
  <c r="C146"/>
  <c r="D146"/>
  <c r="E146"/>
  <c r="F146"/>
  <c r="G146"/>
  <c r="H146"/>
  <c r="I146"/>
  <c r="B147"/>
  <c r="C147"/>
  <c r="D147"/>
  <c r="E147"/>
  <c r="F147"/>
  <c r="G147"/>
  <c r="H147"/>
  <c r="I147"/>
  <c r="B148"/>
  <c r="C148"/>
  <c r="D148"/>
  <c r="E148"/>
  <c r="F148"/>
  <c r="G148"/>
  <c r="H148"/>
  <c r="I148"/>
  <c r="B149"/>
  <c r="C149"/>
  <c r="D149"/>
  <c r="E149"/>
  <c r="F149"/>
  <c r="G149"/>
  <c r="H149"/>
  <c r="I149"/>
  <c r="B150"/>
  <c r="C150"/>
  <c r="D150"/>
  <c r="E150"/>
  <c r="F150"/>
  <c r="G150"/>
  <c r="H150"/>
  <c r="I150"/>
  <c r="B151"/>
  <c r="C151"/>
  <c r="D151"/>
  <c r="E151"/>
  <c r="F151"/>
  <c r="G151"/>
  <c r="H151"/>
  <c r="I151"/>
  <c r="B152"/>
  <c r="C152"/>
  <c r="D152"/>
  <c r="E152"/>
  <c r="F152"/>
  <c r="G152"/>
  <c r="H152"/>
  <c r="I152"/>
  <c r="B153"/>
  <c r="C153"/>
  <c r="D153"/>
  <c r="E153"/>
  <c r="F153"/>
  <c r="G153"/>
  <c r="H153"/>
  <c r="I153"/>
  <c r="B154"/>
  <c r="C154"/>
  <c r="D154"/>
  <c r="E154"/>
  <c r="F154"/>
  <c r="G154"/>
  <c r="H154"/>
  <c r="I154"/>
  <c r="B155"/>
  <c r="C155"/>
  <c r="D155"/>
  <c r="E155"/>
  <c r="F155"/>
  <c r="G155"/>
  <c r="H155"/>
  <c r="I155"/>
  <c r="B156"/>
  <c r="C156"/>
  <c r="D156"/>
  <c r="E156"/>
  <c r="F156"/>
  <c r="G156"/>
  <c r="H156"/>
  <c r="I156"/>
  <c r="B157"/>
  <c r="C157"/>
  <c r="D157"/>
  <c r="E157"/>
  <c r="F157"/>
  <c r="G157"/>
  <c r="H157"/>
  <c r="I157"/>
  <c r="B158"/>
  <c r="C158"/>
  <c r="D158"/>
  <c r="E158"/>
  <c r="F158"/>
  <c r="G158"/>
  <c r="H158"/>
  <c r="I158"/>
  <c r="B159"/>
  <c r="C159"/>
  <c r="D159"/>
  <c r="E159"/>
  <c r="F159"/>
  <c r="G159"/>
  <c r="H159"/>
  <c r="I159"/>
  <c r="B160"/>
  <c r="C160"/>
  <c r="D160"/>
  <c r="E160"/>
  <c r="F160"/>
  <c r="G160"/>
  <c r="H160"/>
  <c r="I160"/>
  <c r="B161"/>
  <c r="C161"/>
  <c r="D161"/>
  <c r="E161"/>
  <c r="F161"/>
  <c r="G161"/>
  <c r="H161"/>
  <c r="I161"/>
  <c r="B162"/>
  <c r="C162"/>
  <c r="D162"/>
  <c r="E162"/>
  <c r="F162"/>
  <c r="G162"/>
  <c r="H162"/>
  <c r="I162"/>
  <c r="B163"/>
  <c r="C163"/>
  <c r="D163"/>
  <c r="E163"/>
  <c r="F163"/>
  <c r="G163"/>
  <c r="H163"/>
  <c r="I163"/>
  <c r="B164"/>
  <c r="C164"/>
  <c r="D164"/>
  <c r="E164"/>
  <c r="F164"/>
  <c r="G164"/>
  <c r="H164"/>
  <c r="I164"/>
  <c r="B165"/>
  <c r="C165"/>
  <c r="D165"/>
  <c r="E165"/>
  <c r="F165"/>
  <c r="G165"/>
  <c r="H165"/>
  <c r="I165"/>
  <c r="B166"/>
  <c r="C166"/>
  <c r="D166"/>
  <c r="E166"/>
  <c r="F166"/>
  <c r="G166"/>
  <c r="H166"/>
  <c r="I166"/>
  <c r="B167"/>
  <c r="C167"/>
  <c r="D167"/>
  <c r="E167"/>
  <c r="F167"/>
  <c r="G167"/>
  <c r="H167"/>
  <c r="I167"/>
  <c r="B168"/>
  <c r="C168"/>
  <c r="D168"/>
  <c r="E168"/>
  <c r="F168"/>
  <c r="G168"/>
  <c r="H168"/>
  <c r="I168"/>
  <c r="B169"/>
  <c r="C169"/>
  <c r="D169"/>
  <c r="E169"/>
  <c r="F169"/>
  <c r="G169"/>
  <c r="H169"/>
  <c r="I169"/>
  <c r="B170"/>
  <c r="C170"/>
  <c r="D170"/>
  <c r="E170"/>
  <c r="F170"/>
  <c r="G170"/>
  <c r="H170"/>
  <c r="I170"/>
  <c r="B171"/>
  <c r="C171"/>
  <c r="D171"/>
  <c r="E171"/>
  <c r="F171"/>
  <c r="G171"/>
  <c r="H171"/>
  <c r="I171"/>
  <c r="B172"/>
  <c r="C172"/>
  <c r="D172"/>
  <c r="E172"/>
  <c r="F172"/>
  <c r="G172"/>
  <c r="H172"/>
  <c r="I172"/>
  <c r="B173"/>
  <c r="C173"/>
  <c r="D173"/>
  <c r="E173"/>
  <c r="F173"/>
  <c r="G173"/>
  <c r="H173"/>
  <c r="I173"/>
  <c r="B174"/>
  <c r="C174"/>
  <c r="D174"/>
  <c r="E174"/>
  <c r="F174"/>
  <c r="G174"/>
  <c r="H174"/>
  <c r="I174"/>
  <c r="B175"/>
  <c r="C175"/>
  <c r="D175"/>
  <c r="E175"/>
  <c r="F175"/>
  <c r="G175"/>
  <c r="H175"/>
  <c r="I175"/>
  <c r="B176"/>
  <c r="C176"/>
  <c r="D176"/>
  <c r="E176"/>
  <c r="F176"/>
  <c r="G176"/>
  <c r="H176"/>
  <c r="I176"/>
  <c r="B177"/>
  <c r="C177"/>
  <c r="D177"/>
  <c r="E177"/>
  <c r="F177"/>
  <c r="G177"/>
  <c r="H177"/>
  <c r="I177"/>
  <c r="B178"/>
  <c r="C178"/>
  <c r="D178"/>
  <c r="E178"/>
  <c r="F178"/>
  <c r="G178"/>
  <c r="H178"/>
  <c r="I178"/>
  <c r="B179"/>
  <c r="C179"/>
  <c r="D179"/>
  <c r="E179"/>
  <c r="F179"/>
  <c r="G179"/>
  <c r="H179"/>
  <c r="I179"/>
  <c r="B180"/>
  <c r="C180"/>
  <c r="D180"/>
  <c r="E180"/>
  <c r="F180"/>
  <c r="G180"/>
  <c r="H180"/>
  <c r="I180"/>
  <c r="B181"/>
  <c r="C181"/>
  <c r="D181"/>
  <c r="E181"/>
  <c r="F181"/>
  <c r="G181"/>
  <c r="H181"/>
  <c r="I181"/>
  <c r="B182"/>
  <c r="C182"/>
  <c r="D182"/>
  <c r="E182"/>
  <c r="F182"/>
  <c r="G182"/>
  <c r="H182"/>
  <c r="I182"/>
  <c r="B183"/>
  <c r="C183"/>
  <c r="D183"/>
  <c r="E183"/>
  <c r="F183"/>
  <c r="G183"/>
  <c r="H183"/>
  <c r="I183"/>
  <c r="B184"/>
  <c r="C184"/>
  <c r="D184"/>
  <c r="E184"/>
  <c r="F184"/>
  <c r="G184"/>
  <c r="H184"/>
  <c r="I184"/>
  <c r="B185"/>
  <c r="C185"/>
  <c r="D185"/>
  <c r="E185"/>
  <c r="F185"/>
  <c r="G185"/>
  <c r="H185"/>
  <c r="I185"/>
  <c r="B186"/>
  <c r="C186"/>
  <c r="D186"/>
  <c r="E186"/>
  <c r="F186"/>
  <c r="G186"/>
  <c r="H186"/>
  <c r="I186"/>
  <c r="B187"/>
  <c r="C187"/>
  <c r="D187"/>
  <c r="E187"/>
  <c r="F187"/>
  <c r="G187"/>
  <c r="H187"/>
  <c r="I187"/>
  <c r="B188"/>
  <c r="C188"/>
  <c r="D188"/>
  <c r="E188"/>
  <c r="F188"/>
  <c r="G188"/>
  <c r="H188"/>
  <c r="I188"/>
  <c r="B189"/>
  <c r="C189"/>
  <c r="D189"/>
  <c r="E189"/>
  <c r="F189"/>
  <c r="G189"/>
  <c r="H189"/>
  <c r="I189"/>
  <c r="B190"/>
  <c r="C190"/>
  <c r="D190"/>
  <c r="E190"/>
  <c r="F190"/>
  <c r="G190"/>
  <c r="H190"/>
  <c r="I190"/>
  <c r="B191"/>
  <c r="C191"/>
  <c r="D191"/>
  <c r="E191"/>
  <c r="F191"/>
  <c r="G191"/>
  <c r="H191"/>
  <c r="I191"/>
  <c r="B192"/>
  <c r="C192"/>
  <c r="D192"/>
  <c r="E192"/>
  <c r="F192"/>
  <c r="G192"/>
  <c r="H192"/>
  <c r="I192"/>
  <c r="B193"/>
  <c r="C193"/>
  <c r="D193"/>
  <c r="E193"/>
  <c r="F193"/>
  <c r="G193"/>
  <c r="H193"/>
  <c r="I193"/>
  <c r="B194"/>
  <c r="C194"/>
  <c r="D194"/>
  <c r="E194"/>
  <c r="F194"/>
  <c r="G194"/>
  <c r="H194"/>
  <c r="I194"/>
  <c r="B195"/>
  <c r="C195"/>
  <c r="D195"/>
  <c r="E195"/>
  <c r="F195"/>
  <c r="G195"/>
  <c r="H195"/>
  <c r="I195"/>
  <c r="B196"/>
  <c r="C196"/>
  <c r="D196"/>
  <c r="E196"/>
  <c r="F196"/>
  <c r="G196"/>
  <c r="H196"/>
  <c r="I196"/>
  <c r="B197"/>
  <c r="C197"/>
  <c r="D197"/>
  <c r="E197"/>
  <c r="F197"/>
  <c r="G197"/>
  <c r="H197"/>
  <c r="I197"/>
  <c r="B198"/>
  <c r="C198"/>
  <c r="D198"/>
  <c r="E198"/>
  <c r="F198"/>
  <c r="G198"/>
  <c r="H198"/>
  <c r="I198"/>
  <c r="B199"/>
  <c r="C199"/>
  <c r="D199"/>
  <c r="E199"/>
  <c r="F199"/>
  <c r="G199"/>
  <c r="H199"/>
  <c r="I199"/>
  <c r="B200"/>
  <c r="C200"/>
  <c r="D200"/>
  <c r="E200"/>
  <c r="F200"/>
  <c r="G200"/>
  <c r="H200"/>
  <c r="I200"/>
  <c r="B201"/>
  <c r="C201"/>
  <c r="D201"/>
  <c r="E201"/>
  <c r="F201"/>
  <c r="G201"/>
  <c r="H201"/>
  <c r="I201"/>
  <c r="B202"/>
  <c r="C202"/>
  <c r="D202"/>
  <c r="E202"/>
  <c r="F202"/>
  <c r="G202"/>
  <c r="H202"/>
  <c r="I202"/>
  <c r="B203"/>
  <c r="C203"/>
  <c r="D203"/>
  <c r="E203"/>
  <c r="F203"/>
  <c r="G203"/>
  <c r="H203"/>
  <c r="I203"/>
  <c r="B204"/>
  <c r="C204"/>
  <c r="D204"/>
  <c r="E204"/>
  <c r="F204"/>
  <c r="G204"/>
  <c r="H204"/>
  <c r="I204"/>
  <c r="B205"/>
  <c r="C205"/>
  <c r="D205"/>
  <c r="E205"/>
  <c r="F205"/>
  <c r="G205"/>
  <c r="H205"/>
  <c r="I205"/>
  <c r="B206"/>
  <c r="C206"/>
  <c r="D206"/>
  <c r="E206"/>
  <c r="F206"/>
  <c r="G206"/>
  <c r="H206"/>
  <c r="I206"/>
  <c r="B207"/>
  <c r="C207"/>
  <c r="D207"/>
  <c r="E207"/>
  <c r="F207"/>
  <c r="G207"/>
  <c r="H207"/>
  <c r="I207"/>
  <c r="B10" i="8"/>
  <c r="C10"/>
  <c r="D10"/>
  <c r="E10"/>
  <c r="F10"/>
  <c r="G10"/>
  <c r="H10"/>
  <c r="I10"/>
  <c r="J10"/>
  <c r="B11"/>
  <c r="C11"/>
  <c r="D11"/>
  <c r="E11"/>
  <c r="F11"/>
  <c r="G11"/>
  <c r="H11"/>
  <c r="I11"/>
  <c r="J11"/>
  <c r="B12"/>
  <c r="C12"/>
  <c r="D12"/>
  <c r="E12"/>
  <c r="F12"/>
  <c r="G12"/>
  <c r="H12"/>
  <c r="I12"/>
  <c r="J12"/>
  <c r="B13"/>
  <c r="C13"/>
  <c r="D13"/>
  <c r="E13"/>
  <c r="F13"/>
  <c r="G13"/>
  <c r="H13"/>
  <c r="I13"/>
  <c r="J13"/>
  <c r="B14"/>
  <c r="C14"/>
  <c r="D14"/>
  <c r="E14"/>
  <c r="F14"/>
  <c r="G14"/>
  <c r="H14"/>
  <c r="I14"/>
  <c r="J14"/>
  <c r="B15"/>
  <c r="C15"/>
  <c r="D15"/>
  <c r="E15"/>
  <c r="F15"/>
  <c r="G15"/>
  <c r="H15"/>
  <c r="I15"/>
  <c r="J15"/>
  <c r="B16"/>
  <c r="C16"/>
  <c r="D16"/>
  <c r="E16"/>
  <c r="F16"/>
  <c r="G16"/>
  <c r="H16"/>
  <c r="I16"/>
  <c r="J16"/>
  <c r="B17"/>
  <c r="C17"/>
  <c r="D17"/>
  <c r="E17"/>
  <c r="F17"/>
  <c r="G17"/>
  <c r="H17"/>
  <c r="I17"/>
  <c r="J17"/>
  <c r="B18"/>
  <c r="C18"/>
  <c r="D18"/>
  <c r="E18"/>
  <c r="F18"/>
  <c r="G18"/>
  <c r="H18"/>
  <c r="I18"/>
  <c r="J18"/>
  <c r="B19"/>
  <c r="C19"/>
  <c r="D19"/>
  <c r="E19"/>
  <c r="F19"/>
  <c r="G19"/>
  <c r="H19"/>
  <c r="I19"/>
  <c r="J19"/>
  <c r="B20"/>
  <c r="C20"/>
  <c r="D20"/>
  <c r="E20"/>
  <c r="F20"/>
  <c r="G20"/>
  <c r="H20"/>
  <c r="I20"/>
  <c r="J20"/>
  <c r="B21"/>
  <c r="C21"/>
  <c r="D21"/>
  <c r="E21"/>
  <c r="F21"/>
  <c r="G21"/>
  <c r="H21"/>
  <c r="I21"/>
  <c r="J21"/>
  <c r="B22"/>
  <c r="C22"/>
  <c r="D22"/>
  <c r="E22"/>
  <c r="F22"/>
  <c r="G22"/>
  <c r="H22"/>
  <c r="I22"/>
  <c r="J22"/>
  <c r="B23"/>
  <c r="C23"/>
  <c r="D23"/>
  <c r="E23"/>
  <c r="F23"/>
  <c r="G23"/>
  <c r="H23"/>
  <c r="I23"/>
  <c r="J23"/>
  <c r="B24"/>
  <c r="C24"/>
  <c r="D24"/>
  <c r="E24"/>
  <c r="F24"/>
  <c r="G24"/>
  <c r="H24"/>
  <c r="I24"/>
  <c r="J24"/>
  <c r="B25"/>
  <c r="C25"/>
  <c r="D25"/>
  <c r="E25"/>
  <c r="F25"/>
  <c r="G25"/>
  <c r="H25"/>
  <c r="I25"/>
  <c r="J25"/>
  <c r="B26"/>
  <c r="C26"/>
  <c r="D26"/>
  <c r="E26"/>
  <c r="F26"/>
  <c r="G26"/>
  <c r="H26"/>
  <c r="I26"/>
  <c r="J26"/>
  <c r="B27"/>
  <c r="C27"/>
  <c r="D27"/>
  <c r="E27"/>
  <c r="F27"/>
  <c r="G27"/>
  <c r="H27"/>
  <c r="I27"/>
  <c r="J27"/>
  <c r="B28"/>
  <c r="C28"/>
  <c r="D28"/>
  <c r="E28"/>
  <c r="F28"/>
  <c r="G28"/>
  <c r="H28"/>
  <c r="I28"/>
  <c r="J28"/>
  <c r="B29"/>
  <c r="C29"/>
  <c r="D29"/>
  <c r="E29"/>
  <c r="F29"/>
  <c r="G29"/>
  <c r="H29"/>
  <c r="I29"/>
  <c r="J29"/>
  <c r="B30"/>
  <c r="C30"/>
  <c r="D30"/>
  <c r="E30"/>
  <c r="F30"/>
  <c r="G30"/>
  <c r="H30"/>
  <c r="I30"/>
  <c r="J30"/>
  <c r="B31"/>
  <c r="C31"/>
  <c r="D31"/>
  <c r="E31"/>
  <c r="F31"/>
  <c r="G31"/>
  <c r="H31"/>
  <c r="I31"/>
  <c r="J31"/>
  <c r="B32"/>
  <c r="C32"/>
  <c r="D32"/>
  <c r="E32"/>
  <c r="F32"/>
  <c r="G32"/>
  <c r="H32"/>
  <c r="I32"/>
  <c r="J32"/>
  <c r="B33"/>
  <c r="C33"/>
  <c r="D33"/>
  <c r="E33"/>
  <c r="F33"/>
  <c r="G33"/>
  <c r="H33"/>
  <c r="I33"/>
  <c r="J33"/>
  <c r="B34"/>
  <c r="C34"/>
  <c r="D34"/>
  <c r="E34"/>
  <c r="F34"/>
  <c r="G34"/>
  <c r="H34"/>
  <c r="I34"/>
  <c r="J34"/>
  <c r="B35"/>
  <c r="C35"/>
  <c r="D35"/>
  <c r="E35"/>
  <c r="F35"/>
  <c r="G35"/>
  <c r="H35"/>
  <c r="I35"/>
  <c r="J35"/>
  <c r="B36"/>
  <c r="C36"/>
  <c r="D36"/>
  <c r="E36"/>
  <c r="F36"/>
  <c r="G36"/>
  <c r="H36"/>
  <c r="I36"/>
  <c r="J36"/>
  <c r="B37"/>
  <c r="C37"/>
  <c r="D37"/>
  <c r="E37"/>
  <c r="F37"/>
  <c r="G37"/>
  <c r="H37"/>
  <c r="I37"/>
  <c r="J37"/>
  <c r="B38"/>
  <c r="C38"/>
  <c r="D38"/>
  <c r="E38"/>
  <c r="F38"/>
  <c r="G38"/>
  <c r="H38"/>
  <c r="I38"/>
  <c r="J38"/>
  <c r="B39"/>
  <c r="C39"/>
  <c r="D39"/>
  <c r="E39"/>
  <c r="F39"/>
  <c r="G39"/>
  <c r="H39"/>
  <c r="I39"/>
  <c r="J39"/>
  <c r="B40"/>
  <c r="C40"/>
  <c r="D40"/>
  <c r="E40"/>
  <c r="F40"/>
  <c r="G40"/>
  <c r="H40"/>
  <c r="I40"/>
  <c r="J40"/>
  <c r="B41"/>
  <c r="C41"/>
  <c r="D41"/>
  <c r="E41"/>
  <c r="F41"/>
  <c r="G41"/>
  <c r="H41"/>
  <c r="I41"/>
  <c r="J41"/>
  <c r="B42"/>
  <c r="C42"/>
  <c r="D42"/>
  <c r="E42"/>
  <c r="F42"/>
  <c r="G42"/>
  <c r="H42"/>
  <c r="I42"/>
  <c r="J42"/>
  <c r="B43"/>
  <c r="C43"/>
  <c r="D43"/>
  <c r="E43"/>
  <c r="F43"/>
  <c r="G43"/>
  <c r="H43"/>
  <c r="I43"/>
  <c r="J43"/>
  <c r="B44"/>
  <c r="C44"/>
  <c r="D44"/>
  <c r="E44"/>
  <c r="F44"/>
  <c r="G44"/>
  <c r="H44"/>
  <c r="I44"/>
  <c r="J44"/>
  <c r="B45"/>
  <c r="C45"/>
  <c r="D45"/>
  <c r="E45"/>
  <c r="F45"/>
  <c r="G45"/>
  <c r="H45"/>
  <c r="I45"/>
  <c r="J45"/>
  <c r="B46"/>
  <c r="C46"/>
  <c r="D46"/>
  <c r="E46"/>
  <c r="F46"/>
  <c r="G46"/>
  <c r="H46"/>
  <c r="I46"/>
  <c r="J46"/>
  <c r="B47"/>
  <c r="C47"/>
  <c r="D47"/>
  <c r="E47"/>
  <c r="F47"/>
  <c r="G47"/>
  <c r="H47"/>
  <c r="I47"/>
  <c r="J47"/>
  <c r="B48"/>
  <c r="C48"/>
  <c r="D48"/>
  <c r="E48"/>
  <c r="F48"/>
  <c r="G48"/>
  <c r="H48"/>
  <c r="I48"/>
  <c r="J48"/>
  <c r="B49"/>
  <c r="C49"/>
  <c r="D49"/>
  <c r="E49"/>
  <c r="F49"/>
  <c r="G49"/>
  <c r="H49"/>
  <c r="I49"/>
  <c r="J49"/>
  <c r="B50"/>
  <c r="C50"/>
  <c r="D50"/>
  <c r="E50"/>
  <c r="F50"/>
  <c r="G50"/>
  <c r="H50"/>
  <c r="I50"/>
  <c r="J50"/>
  <c r="B51"/>
  <c r="C51"/>
  <c r="D51"/>
  <c r="E51"/>
  <c r="F51"/>
  <c r="G51"/>
  <c r="H51"/>
  <c r="I51"/>
  <c r="J51"/>
  <c r="B52"/>
  <c r="C52"/>
  <c r="D52"/>
  <c r="E52"/>
  <c r="F52"/>
  <c r="G52"/>
  <c r="H52"/>
  <c r="I52"/>
  <c r="J52"/>
  <c r="B53"/>
  <c r="C53"/>
  <c r="D53"/>
  <c r="E53"/>
  <c r="F53"/>
  <c r="G53"/>
  <c r="H53"/>
  <c r="I53"/>
  <c r="J53"/>
  <c r="B54"/>
  <c r="C54"/>
  <c r="D54"/>
  <c r="E54"/>
  <c r="F54"/>
  <c r="G54"/>
  <c r="H54"/>
  <c r="I54"/>
  <c r="J54"/>
  <c r="B55"/>
  <c r="C55"/>
  <c r="D55"/>
  <c r="E55"/>
  <c r="F55"/>
  <c r="G55"/>
  <c r="H55"/>
  <c r="I55"/>
  <c r="J55"/>
  <c r="B56"/>
  <c r="C56"/>
  <c r="D56"/>
  <c r="E56"/>
  <c r="F56"/>
  <c r="G56"/>
  <c r="H56"/>
  <c r="I56"/>
  <c r="J56"/>
  <c r="B57"/>
  <c r="C57"/>
  <c r="D57"/>
  <c r="E57"/>
  <c r="F57"/>
  <c r="G57"/>
  <c r="H57"/>
  <c r="I57"/>
  <c r="J57"/>
  <c r="B58"/>
  <c r="C58"/>
  <c r="D58"/>
  <c r="E58"/>
  <c r="F58"/>
  <c r="G58"/>
  <c r="H58"/>
  <c r="I58"/>
  <c r="J58"/>
  <c r="B59"/>
  <c r="C59"/>
  <c r="D59"/>
  <c r="E59"/>
  <c r="F59"/>
  <c r="G59"/>
  <c r="H59"/>
  <c r="I59"/>
  <c r="J59"/>
  <c r="B60"/>
  <c r="C60"/>
  <c r="D60"/>
  <c r="E60"/>
  <c r="F60"/>
  <c r="G60"/>
  <c r="H60"/>
  <c r="I60"/>
  <c r="J60"/>
  <c r="B61"/>
  <c r="C61"/>
  <c r="D61"/>
  <c r="E61"/>
  <c r="F61"/>
  <c r="G61"/>
  <c r="H61"/>
  <c r="I61"/>
  <c r="J61"/>
  <c r="B62"/>
  <c r="C62"/>
  <c r="D62"/>
  <c r="E62"/>
  <c r="F62"/>
  <c r="G62"/>
  <c r="H62"/>
  <c r="I62"/>
  <c r="J62"/>
  <c r="B63"/>
  <c r="C63"/>
  <c r="D63"/>
  <c r="E63"/>
  <c r="F63"/>
  <c r="G63"/>
  <c r="H63"/>
  <c r="I63"/>
  <c r="J63"/>
  <c r="B64"/>
  <c r="C64"/>
  <c r="D64"/>
  <c r="E64"/>
  <c r="F64"/>
  <c r="G64"/>
  <c r="H64"/>
  <c r="I64"/>
  <c r="J64"/>
  <c r="B65"/>
  <c r="C65"/>
  <c r="D65"/>
  <c r="E65"/>
  <c r="F65"/>
  <c r="G65"/>
  <c r="H65"/>
  <c r="I65"/>
  <c r="J65"/>
  <c r="B66"/>
  <c r="C66"/>
  <c r="D66"/>
  <c r="E66"/>
  <c r="F66"/>
  <c r="G66"/>
  <c r="H66"/>
  <c r="I66"/>
  <c r="J66"/>
  <c r="B67"/>
  <c r="C67"/>
  <c r="D67"/>
  <c r="E67"/>
  <c r="F67"/>
  <c r="G67"/>
  <c r="H67"/>
  <c r="I67"/>
  <c r="J67"/>
  <c r="B68"/>
  <c r="C68"/>
  <c r="D68"/>
  <c r="E68"/>
  <c r="F68"/>
  <c r="G68"/>
  <c r="H68"/>
  <c r="I68"/>
  <c r="J68"/>
  <c r="B69"/>
  <c r="C69"/>
  <c r="D69"/>
  <c r="E69"/>
  <c r="F69"/>
  <c r="G69"/>
  <c r="H69"/>
  <c r="I69"/>
  <c r="J69"/>
  <c r="B70"/>
  <c r="C70"/>
  <c r="D70"/>
  <c r="E70"/>
  <c r="F70"/>
  <c r="G70"/>
  <c r="H70"/>
  <c r="I70"/>
  <c r="J70"/>
  <c r="B71"/>
  <c r="C71"/>
  <c r="D71"/>
  <c r="E71"/>
  <c r="F71"/>
  <c r="G71"/>
  <c r="H71"/>
  <c r="I71"/>
  <c r="J71"/>
  <c r="B72"/>
  <c r="C72"/>
  <c r="D72"/>
  <c r="E72"/>
  <c r="F72"/>
  <c r="G72"/>
  <c r="H72"/>
  <c r="I72"/>
  <c r="J72"/>
  <c r="B73"/>
  <c r="C73"/>
  <c r="D73"/>
  <c r="E73"/>
  <c r="F73"/>
  <c r="G73"/>
  <c r="H73"/>
  <c r="I73"/>
  <c r="J73"/>
  <c r="B74"/>
  <c r="C74"/>
  <c r="D74"/>
  <c r="E74"/>
  <c r="F74"/>
  <c r="G74"/>
  <c r="H74"/>
  <c r="I74"/>
  <c r="J74"/>
  <c r="B75"/>
  <c r="C75"/>
  <c r="D75"/>
  <c r="E75"/>
  <c r="F75"/>
  <c r="G75"/>
  <c r="H75"/>
  <c r="I75"/>
  <c r="J75"/>
  <c r="B76"/>
  <c r="C76"/>
  <c r="D76"/>
  <c r="E76"/>
  <c r="F76"/>
  <c r="G76"/>
  <c r="H76"/>
  <c r="I76"/>
  <c r="J76"/>
  <c r="B77"/>
  <c r="C77"/>
  <c r="D77"/>
  <c r="E77"/>
  <c r="F77"/>
  <c r="G77"/>
  <c r="H77"/>
  <c r="I77"/>
  <c r="J77"/>
  <c r="B78"/>
  <c r="C78"/>
  <c r="D78"/>
  <c r="E78"/>
  <c r="F78"/>
  <c r="G78"/>
  <c r="H78"/>
  <c r="I78"/>
  <c r="J78"/>
  <c r="B79"/>
  <c r="C79"/>
  <c r="D79"/>
  <c r="E79"/>
  <c r="F79"/>
  <c r="G79"/>
  <c r="H79"/>
  <c r="I79"/>
  <c r="J79"/>
  <c r="B80"/>
  <c r="C80"/>
  <c r="D80"/>
  <c r="E80"/>
  <c r="F80"/>
  <c r="G80"/>
  <c r="H80"/>
  <c r="I80"/>
  <c r="J80"/>
  <c r="B81"/>
  <c r="C81"/>
  <c r="D81"/>
  <c r="E81"/>
  <c r="F81"/>
  <c r="G81"/>
  <c r="H81"/>
  <c r="I81"/>
  <c r="J81"/>
  <c r="B82"/>
  <c r="C82"/>
  <c r="D82"/>
  <c r="E82"/>
  <c r="F82"/>
  <c r="G82"/>
  <c r="H82"/>
  <c r="I82"/>
  <c r="J82"/>
  <c r="B83"/>
  <c r="C83"/>
  <c r="D83"/>
  <c r="E83"/>
  <c r="F83"/>
  <c r="G83"/>
  <c r="H83"/>
  <c r="I83"/>
  <c r="J83"/>
  <c r="B84"/>
  <c r="C84"/>
  <c r="D84"/>
  <c r="E84"/>
  <c r="F84"/>
  <c r="G84"/>
  <c r="H84"/>
  <c r="I84"/>
  <c r="J84"/>
  <c r="B85"/>
  <c r="C85"/>
  <c r="D85"/>
  <c r="E85"/>
  <c r="F85"/>
  <c r="G85"/>
  <c r="H85"/>
  <c r="I85"/>
  <c r="J85"/>
  <c r="B86"/>
  <c r="C86"/>
  <c r="D86"/>
  <c r="E86"/>
  <c r="F86"/>
  <c r="G86"/>
  <c r="H86"/>
  <c r="I86"/>
  <c r="J86"/>
  <c r="B87"/>
  <c r="C87"/>
  <c r="D87"/>
  <c r="E87"/>
  <c r="F87"/>
  <c r="G87"/>
  <c r="H87"/>
  <c r="I87"/>
  <c r="J87"/>
  <c r="B88"/>
  <c r="C88"/>
  <c r="D88"/>
  <c r="E88"/>
  <c r="F88"/>
  <c r="G88"/>
  <c r="H88"/>
  <c r="I88"/>
  <c r="J88"/>
  <c r="B89"/>
  <c r="C89"/>
  <c r="D89"/>
  <c r="E89"/>
  <c r="F89"/>
  <c r="G89"/>
  <c r="H89"/>
  <c r="I89"/>
  <c r="J89"/>
  <c r="B90"/>
  <c r="C90"/>
  <c r="D90"/>
  <c r="E90"/>
  <c r="F90"/>
  <c r="G90"/>
  <c r="H90"/>
  <c r="I90"/>
  <c r="J90"/>
  <c r="B91"/>
  <c r="C91"/>
  <c r="D91"/>
  <c r="E91"/>
  <c r="F91"/>
  <c r="G91"/>
  <c r="H91"/>
  <c r="I91"/>
  <c r="J91"/>
  <c r="B92"/>
  <c r="C92"/>
  <c r="D92"/>
  <c r="E92"/>
  <c r="F92"/>
  <c r="G92"/>
  <c r="H92"/>
  <c r="I92"/>
  <c r="J92"/>
  <c r="B93"/>
  <c r="C93"/>
  <c r="D93"/>
  <c r="E93"/>
  <c r="F93"/>
  <c r="G93"/>
  <c r="H93"/>
  <c r="I93"/>
  <c r="J93"/>
  <c r="B94"/>
  <c r="C94"/>
  <c r="D94"/>
  <c r="E94"/>
  <c r="F94"/>
  <c r="G94"/>
  <c r="H94"/>
  <c r="I94"/>
  <c r="J94"/>
  <c r="B95"/>
  <c r="C95"/>
  <c r="D95"/>
  <c r="E95"/>
  <c r="F95"/>
  <c r="G95"/>
  <c r="H95"/>
  <c r="I95"/>
  <c r="J95"/>
  <c r="B96"/>
  <c r="C96"/>
  <c r="D96"/>
  <c r="E96"/>
  <c r="F96"/>
  <c r="G96"/>
  <c r="H96"/>
  <c r="I96"/>
  <c r="J96"/>
  <c r="B97"/>
  <c r="C97"/>
  <c r="D97"/>
  <c r="E97"/>
  <c r="F97"/>
  <c r="G97"/>
  <c r="H97"/>
  <c r="I97"/>
  <c r="J97"/>
  <c r="B98"/>
  <c r="C98"/>
  <c r="D98"/>
  <c r="E98"/>
  <c r="F98"/>
  <c r="G98"/>
  <c r="H98"/>
  <c r="I98"/>
  <c r="J98"/>
  <c r="B99"/>
  <c r="C99"/>
  <c r="D99"/>
  <c r="E99"/>
  <c r="F99"/>
  <c r="G99"/>
  <c r="H99"/>
  <c r="I99"/>
  <c r="J99"/>
  <c r="B100"/>
  <c r="C100"/>
  <c r="D100"/>
  <c r="E100"/>
  <c r="F100"/>
  <c r="G100"/>
  <c r="H100"/>
  <c r="I100"/>
  <c r="J100"/>
  <c r="B101"/>
  <c r="C101"/>
  <c r="D101"/>
  <c r="E101"/>
  <c r="F101"/>
  <c r="G101"/>
  <c r="H101"/>
  <c r="I101"/>
  <c r="J101"/>
  <c r="B102"/>
  <c r="C102"/>
  <c r="D102"/>
  <c r="E102"/>
  <c r="F102"/>
  <c r="G102"/>
  <c r="H102"/>
  <c r="I102"/>
  <c r="J102"/>
  <c r="B103"/>
  <c r="C103"/>
  <c r="D103"/>
  <c r="E103"/>
  <c r="F103"/>
  <c r="G103"/>
  <c r="H103"/>
  <c r="I103"/>
  <c r="J103"/>
  <c r="B104"/>
  <c r="C104"/>
  <c r="D104"/>
  <c r="E104"/>
  <c r="F104"/>
  <c r="G104"/>
  <c r="H104"/>
  <c r="I104"/>
  <c r="J104"/>
  <c r="B105"/>
  <c r="C105"/>
  <c r="D105"/>
  <c r="E105"/>
  <c r="F105"/>
  <c r="G105"/>
  <c r="H105"/>
  <c r="I105"/>
  <c r="J105"/>
  <c r="B106"/>
  <c r="C106"/>
  <c r="D106"/>
  <c r="E106"/>
  <c r="F106"/>
  <c r="G106"/>
  <c r="H106"/>
  <c r="I106"/>
  <c r="J106"/>
  <c r="B107"/>
  <c r="C107"/>
  <c r="D107"/>
  <c r="E107"/>
  <c r="F107"/>
  <c r="G107"/>
  <c r="H107"/>
  <c r="I107"/>
  <c r="J107"/>
  <c r="B108"/>
  <c r="C108"/>
  <c r="D108"/>
  <c r="E108"/>
  <c r="F108"/>
  <c r="G108"/>
  <c r="H108"/>
  <c r="I108"/>
  <c r="J108"/>
  <c r="B109"/>
  <c r="C109"/>
  <c r="D109"/>
  <c r="E109"/>
  <c r="F109"/>
  <c r="G109"/>
  <c r="H109"/>
  <c r="I109"/>
  <c r="J109"/>
  <c r="B110"/>
  <c r="C110"/>
  <c r="D110"/>
  <c r="E110"/>
  <c r="F110"/>
  <c r="G110"/>
  <c r="H110"/>
  <c r="I110"/>
  <c r="J110"/>
  <c r="B111"/>
  <c r="C111"/>
  <c r="D111"/>
  <c r="E111"/>
  <c r="F111"/>
  <c r="G111"/>
  <c r="H111"/>
  <c r="I111"/>
  <c r="J111"/>
  <c r="B112"/>
  <c r="C112"/>
  <c r="D112"/>
  <c r="E112"/>
  <c r="F112"/>
  <c r="G112"/>
  <c r="H112"/>
  <c r="I112"/>
  <c r="J112"/>
  <c r="B113"/>
  <c r="C113"/>
  <c r="D113"/>
  <c r="E113"/>
  <c r="F113"/>
  <c r="G113"/>
  <c r="H113"/>
  <c r="I113"/>
  <c r="J113"/>
  <c r="B114"/>
  <c r="C114"/>
  <c r="D114"/>
  <c r="E114"/>
  <c r="F114"/>
  <c r="G114"/>
  <c r="H114"/>
  <c r="I114"/>
  <c r="J114"/>
  <c r="B115"/>
  <c r="C115"/>
  <c r="D115"/>
  <c r="E115"/>
  <c r="F115"/>
  <c r="G115"/>
  <c r="H115"/>
  <c r="I115"/>
  <c r="J115"/>
  <c r="B116"/>
  <c r="C116"/>
  <c r="D116"/>
  <c r="E116"/>
  <c r="F116"/>
  <c r="G116"/>
  <c r="H116"/>
  <c r="I116"/>
  <c r="J116"/>
  <c r="B117"/>
  <c r="C117"/>
  <c r="D117"/>
  <c r="E117"/>
  <c r="F117"/>
  <c r="G117"/>
  <c r="H117"/>
  <c r="I117"/>
  <c r="J117"/>
  <c r="B118"/>
  <c r="C118"/>
  <c r="D118"/>
  <c r="E118"/>
  <c r="F118"/>
  <c r="G118"/>
  <c r="H118"/>
  <c r="I118"/>
  <c r="J118"/>
  <c r="B119"/>
  <c r="C119"/>
  <c r="D119"/>
  <c r="E119"/>
  <c r="F119"/>
  <c r="G119"/>
  <c r="H119"/>
  <c r="I119"/>
  <c r="J119"/>
  <c r="B120"/>
  <c r="C120"/>
  <c r="D120"/>
  <c r="E120"/>
  <c r="F120"/>
  <c r="G120"/>
  <c r="H120"/>
  <c r="I120"/>
  <c r="J120"/>
  <c r="B121"/>
  <c r="C121"/>
  <c r="D121"/>
  <c r="E121"/>
  <c r="F121"/>
  <c r="G121"/>
  <c r="H121"/>
  <c r="I121"/>
  <c r="J121"/>
  <c r="B122"/>
  <c r="C122"/>
  <c r="D122"/>
  <c r="E122"/>
  <c r="F122"/>
  <c r="G122"/>
  <c r="H122"/>
  <c r="I122"/>
  <c r="J122"/>
  <c r="B123"/>
  <c r="C123"/>
  <c r="D123"/>
  <c r="E123"/>
  <c r="F123"/>
  <c r="G123"/>
  <c r="H123"/>
  <c r="I123"/>
  <c r="J123"/>
  <c r="B124"/>
  <c r="C124"/>
  <c r="D124"/>
  <c r="E124"/>
  <c r="F124"/>
  <c r="G124"/>
  <c r="H124"/>
  <c r="I124"/>
  <c r="J124"/>
  <c r="B125"/>
  <c r="C125"/>
  <c r="D125"/>
  <c r="E125"/>
  <c r="F125"/>
  <c r="G125"/>
  <c r="H125"/>
  <c r="I125"/>
  <c r="J125"/>
  <c r="B126"/>
  <c r="C126"/>
  <c r="D126"/>
  <c r="E126"/>
  <c r="F126"/>
  <c r="G126"/>
  <c r="H126"/>
  <c r="I126"/>
  <c r="J126"/>
  <c r="B127"/>
  <c r="C127"/>
  <c r="D127"/>
  <c r="E127"/>
  <c r="F127"/>
  <c r="G127"/>
  <c r="H127"/>
  <c r="I127"/>
  <c r="J127"/>
  <c r="B128"/>
  <c r="C128"/>
  <c r="D128"/>
  <c r="E128"/>
  <c r="F128"/>
  <c r="G128"/>
  <c r="H128"/>
  <c r="I128"/>
  <c r="J128"/>
  <c r="B129"/>
  <c r="C129"/>
  <c r="D129"/>
  <c r="E129"/>
  <c r="F129"/>
  <c r="G129"/>
  <c r="H129"/>
  <c r="I129"/>
  <c r="J129"/>
  <c r="B130"/>
  <c r="C130"/>
  <c r="D130"/>
  <c r="E130"/>
  <c r="F130"/>
  <c r="G130"/>
  <c r="H130"/>
  <c r="I130"/>
  <c r="J130"/>
  <c r="B131"/>
  <c r="C131"/>
  <c r="D131"/>
  <c r="E131"/>
  <c r="F131"/>
  <c r="G131"/>
  <c r="H131"/>
  <c r="I131"/>
  <c r="J131"/>
  <c r="B132"/>
  <c r="C132"/>
  <c r="D132"/>
  <c r="E132"/>
  <c r="F132"/>
  <c r="G132"/>
  <c r="H132"/>
  <c r="I132"/>
  <c r="J132"/>
  <c r="B133"/>
  <c r="C133"/>
  <c r="D133"/>
  <c r="E133"/>
  <c r="F133"/>
  <c r="G133"/>
  <c r="H133"/>
  <c r="I133"/>
  <c r="J133"/>
  <c r="B134"/>
  <c r="C134"/>
  <c r="D134"/>
  <c r="E134"/>
  <c r="F134"/>
  <c r="G134"/>
  <c r="H134"/>
  <c r="I134"/>
  <c r="J134"/>
  <c r="B135"/>
  <c r="C135"/>
  <c r="D135"/>
  <c r="E135"/>
  <c r="F135"/>
  <c r="G135"/>
  <c r="H135"/>
  <c r="I135"/>
  <c r="J135"/>
  <c r="B136"/>
  <c r="C136"/>
  <c r="D136"/>
  <c r="E136"/>
  <c r="F136"/>
  <c r="G136"/>
  <c r="H136"/>
  <c r="I136"/>
  <c r="J136"/>
  <c r="B137"/>
  <c r="C137"/>
  <c r="D137"/>
  <c r="E137"/>
  <c r="F137"/>
  <c r="G137"/>
  <c r="H137"/>
  <c r="I137"/>
  <c r="J137"/>
  <c r="B138"/>
  <c r="C138"/>
  <c r="D138"/>
  <c r="E138"/>
  <c r="F138"/>
  <c r="G138"/>
  <c r="H138"/>
  <c r="I138"/>
  <c r="J138"/>
  <c r="B139"/>
  <c r="C139"/>
  <c r="D139"/>
  <c r="E139"/>
  <c r="F139"/>
  <c r="G139"/>
  <c r="H139"/>
  <c r="I139"/>
  <c r="J139"/>
  <c r="B140"/>
  <c r="C140"/>
  <c r="D140"/>
  <c r="E140"/>
  <c r="F140"/>
  <c r="G140"/>
  <c r="H140"/>
  <c r="I140"/>
  <c r="J140"/>
  <c r="B141"/>
  <c r="C141"/>
  <c r="D141"/>
  <c r="E141"/>
  <c r="F141"/>
  <c r="G141"/>
  <c r="H141"/>
  <c r="I141"/>
  <c r="J141"/>
  <c r="B142"/>
  <c r="C142"/>
  <c r="D142"/>
  <c r="E142"/>
  <c r="F142"/>
  <c r="G142"/>
  <c r="H142"/>
  <c r="I142"/>
  <c r="J142"/>
  <c r="B143"/>
  <c r="C143"/>
  <c r="D143"/>
  <c r="E143"/>
  <c r="F143"/>
  <c r="G143"/>
  <c r="H143"/>
  <c r="I143"/>
  <c r="J143"/>
  <c r="B144"/>
  <c r="C144"/>
  <c r="D144"/>
  <c r="E144"/>
  <c r="F144"/>
  <c r="G144"/>
  <c r="H144"/>
  <c r="I144"/>
  <c r="J144"/>
  <c r="B145"/>
  <c r="C145"/>
  <c r="D145"/>
  <c r="E145"/>
  <c r="F145"/>
  <c r="G145"/>
  <c r="H145"/>
  <c r="I145"/>
  <c r="J145"/>
  <c r="B146"/>
  <c r="C146"/>
  <c r="D146"/>
  <c r="E146"/>
  <c r="F146"/>
  <c r="G146"/>
  <c r="H146"/>
  <c r="I146"/>
  <c r="J146"/>
  <c r="B147"/>
  <c r="C147"/>
  <c r="D147"/>
  <c r="E147"/>
  <c r="F147"/>
  <c r="G147"/>
  <c r="H147"/>
  <c r="I147"/>
  <c r="J147"/>
  <c r="B148"/>
  <c r="C148"/>
  <c r="D148"/>
  <c r="E148"/>
  <c r="F148"/>
  <c r="G148"/>
  <c r="H148"/>
  <c r="I148"/>
  <c r="J148"/>
  <c r="B149"/>
  <c r="C149"/>
  <c r="D149"/>
  <c r="E149"/>
  <c r="F149"/>
  <c r="G149"/>
  <c r="H149"/>
  <c r="I149"/>
  <c r="J149"/>
  <c r="B150"/>
  <c r="C150"/>
  <c r="D150"/>
  <c r="E150"/>
  <c r="F150"/>
  <c r="G150"/>
  <c r="H150"/>
  <c r="I150"/>
  <c r="J150"/>
  <c r="B151"/>
  <c r="C151"/>
  <c r="D151"/>
  <c r="E151"/>
  <c r="F151"/>
  <c r="G151"/>
  <c r="H151"/>
  <c r="I151"/>
  <c r="J151"/>
  <c r="B152"/>
  <c r="C152"/>
  <c r="D152"/>
  <c r="E152"/>
  <c r="F152"/>
  <c r="G152"/>
  <c r="H152"/>
  <c r="I152"/>
  <c r="J152"/>
  <c r="B153"/>
  <c r="C153"/>
  <c r="D153"/>
  <c r="E153"/>
  <c r="F153"/>
  <c r="G153"/>
  <c r="H153"/>
  <c r="I153"/>
  <c r="J153"/>
  <c r="B154"/>
  <c r="C154"/>
  <c r="D154"/>
  <c r="E154"/>
  <c r="F154"/>
  <c r="G154"/>
  <c r="H154"/>
  <c r="I154"/>
  <c r="J154"/>
  <c r="B155"/>
  <c r="C155"/>
  <c r="D155"/>
  <c r="E155"/>
  <c r="F155"/>
  <c r="G155"/>
  <c r="H155"/>
  <c r="I155"/>
  <c r="J155"/>
  <c r="B156"/>
  <c r="C156"/>
  <c r="D156"/>
  <c r="E156"/>
  <c r="F156"/>
  <c r="G156"/>
  <c r="H156"/>
  <c r="I156"/>
  <c r="J156"/>
  <c r="B157"/>
  <c r="C157"/>
  <c r="D157"/>
  <c r="E157"/>
  <c r="F157"/>
  <c r="G157"/>
  <c r="H157"/>
  <c r="I157"/>
  <c r="J157"/>
  <c r="B158"/>
  <c r="C158"/>
  <c r="D158"/>
  <c r="E158"/>
  <c r="F158"/>
  <c r="G158"/>
  <c r="H158"/>
  <c r="I158"/>
  <c r="J158"/>
  <c r="B159"/>
  <c r="C159"/>
  <c r="D159"/>
  <c r="E159"/>
  <c r="F159"/>
  <c r="G159"/>
  <c r="H159"/>
  <c r="I159"/>
  <c r="J159"/>
  <c r="B160"/>
  <c r="C160"/>
  <c r="D160"/>
  <c r="E160"/>
  <c r="F160"/>
  <c r="G160"/>
  <c r="H160"/>
  <c r="I160"/>
  <c r="J160"/>
  <c r="B161"/>
  <c r="C161"/>
  <c r="D161"/>
  <c r="E161"/>
  <c r="F161"/>
  <c r="G161"/>
  <c r="H161"/>
  <c r="I161"/>
  <c r="J161"/>
  <c r="B162"/>
  <c r="C162"/>
  <c r="D162"/>
  <c r="E162"/>
  <c r="F162"/>
  <c r="G162"/>
  <c r="H162"/>
  <c r="I162"/>
  <c r="J162"/>
  <c r="B163"/>
  <c r="C163"/>
  <c r="D163"/>
  <c r="E163"/>
  <c r="F163"/>
  <c r="G163"/>
  <c r="H163"/>
  <c r="I163"/>
  <c r="J163"/>
  <c r="B164"/>
  <c r="C164"/>
  <c r="D164"/>
  <c r="E164"/>
  <c r="F164"/>
  <c r="G164"/>
  <c r="H164"/>
  <c r="I164"/>
  <c r="J164"/>
  <c r="B165"/>
  <c r="C165"/>
  <c r="D165"/>
  <c r="E165"/>
  <c r="F165"/>
  <c r="G165"/>
  <c r="H165"/>
  <c r="I165"/>
  <c r="J165"/>
  <c r="B166"/>
  <c r="C166"/>
  <c r="D166"/>
  <c r="E166"/>
  <c r="F166"/>
  <c r="G166"/>
  <c r="H166"/>
  <c r="I166"/>
  <c r="J166"/>
  <c r="B167"/>
  <c r="C167"/>
  <c r="D167"/>
  <c r="E167"/>
  <c r="F167"/>
  <c r="G167"/>
  <c r="H167"/>
  <c r="I167"/>
  <c r="J167"/>
  <c r="B168"/>
  <c r="C168"/>
  <c r="D168"/>
  <c r="E168"/>
  <c r="F168"/>
  <c r="G168"/>
  <c r="H168"/>
  <c r="I168"/>
  <c r="J168"/>
  <c r="B169"/>
  <c r="C169"/>
  <c r="D169"/>
  <c r="E169"/>
  <c r="F169"/>
  <c r="G169"/>
  <c r="H169"/>
  <c r="I169"/>
  <c r="J169"/>
  <c r="B170"/>
  <c r="C170"/>
  <c r="D170"/>
  <c r="E170"/>
  <c r="F170"/>
  <c r="G170"/>
  <c r="H170"/>
  <c r="I170"/>
  <c r="J170"/>
  <c r="B171"/>
  <c r="C171"/>
  <c r="D171"/>
  <c r="E171"/>
  <c r="F171"/>
  <c r="G171"/>
  <c r="H171"/>
  <c r="I171"/>
  <c r="J171"/>
  <c r="B172"/>
  <c r="C172"/>
  <c r="D172"/>
  <c r="E172"/>
  <c r="F172"/>
  <c r="G172"/>
  <c r="H172"/>
  <c r="I172"/>
  <c r="J172"/>
  <c r="B173"/>
  <c r="C173"/>
  <c r="D173"/>
  <c r="E173"/>
  <c r="F173"/>
  <c r="G173"/>
  <c r="H173"/>
  <c r="I173"/>
  <c r="J173"/>
  <c r="B174"/>
  <c r="C174"/>
  <c r="D174"/>
  <c r="E174"/>
  <c r="F174"/>
  <c r="G174"/>
  <c r="H174"/>
  <c r="I174"/>
  <c r="J174"/>
  <c r="B175"/>
  <c r="C175"/>
  <c r="D175"/>
  <c r="E175"/>
  <c r="F175"/>
  <c r="G175"/>
  <c r="H175"/>
  <c r="I175"/>
  <c r="J175"/>
  <c r="B176"/>
  <c r="C176"/>
  <c r="D176"/>
  <c r="E176"/>
  <c r="F176"/>
  <c r="G176"/>
  <c r="H176"/>
  <c r="I176"/>
  <c r="J176"/>
  <c r="B177"/>
  <c r="C177"/>
  <c r="D177"/>
  <c r="E177"/>
  <c r="F177"/>
  <c r="G177"/>
  <c r="H177"/>
  <c r="I177"/>
  <c r="J177"/>
  <c r="B178"/>
  <c r="C178"/>
  <c r="D178"/>
  <c r="E178"/>
  <c r="F178"/>
  <c r="G178"/>
  <c r="H178"/>
  <c r="I178"/>
  <c r="J178"/>
  <c r="B179"/>
  <c r="C179"/>
  <c r="D179"/>
  <c r="E179"/>
  <c r="F179"/>
  <c r="G179"/>
  <c r="H179"/>
  <c r="I179"/>
  <c r="J179"/>
  <c r="B180"/>
  <c r="C180"/>
  <c r="D180"/>
  <c r="E180"/>
  <c r="F180"/>
  <c r="G180"/>
  <c r="H180"/>
  <c r="I180"/>
  <c r="J180"/>
  <c r="B181"/>
  <c r="C181"/>
  <c r="D181"/>
  <c r="E181"/>
  <c r="F181"/>
  <c r="G181"/>
  <c r="H181"/>
  <c r="I181"/>
  <c r="J181"/>
  <c r="B182"/>
  <c r="C182"/>
  <c r="D182"/>
  <c r="E182"/>
  <c r="F182"/>
  <c r="G182"/>
  <c r="H182"/>
  <c r="I182"/>
  <c r="J182"/>
  <c r="B183"/>
  <c r="C183"/>
  <c r="D183"/>
  <c r="E183"/>
  <c r="F183"/>
  <c r="G183"/>
  <c r="H183"/>
  <c r="I183"/>
  <c r="J183"/>
  <c r="B184"/>
  <c r="C184"/>
  <c r="D184"/>
  <c r="E184"/>
  <c r="F184"/>
  <c r="G184"/>
  <c r="H184"/>
  <c r="I184"/>
  <c r="J184"/>
  <c r="B185"/>
  <c r="C185"/>
  <c r="D185"/>
  <c r="E185"/>
  <c r="F185"/>
  <c r="G185"/>
  <c r="H185"/>
  <c r="I185"/>
  <c r="J185"/>
  <c r="B186"/>
  <c r="C186"/>
  <c r="D186"/>
  <c r="E186"/>
  <c r="F186"/>
  <c r="G186"/>
  <c r="H186"/>
  <c r="I186"/>
  <c r="J186"/>
  <c r="B187"/>
  <c r="C187"/>
  <c r="D187"/>
  <c r="E187"/>
  <c r="F187"/>
  <c r="G187"/>
  <c r="H187"/>
  <c r="I187"/>
  <c r="J187"/>
  <c r="B188"/>
  <c r="C188"/>
  <c r="D188"/>
  <c r="E188"/>
  <c r="F188"/>
  <c r="G188"/>
  <c r="H188"/>
  <c r="I188"/>
  <c r="J188"/>
  <c r="B189"/>
  <c r="C189"/>
  <c r="D189"/>
  <c r="E189"/>
  <c r="F189"/>
  <c r="G189"/>
  <c r="H189"/>
  <c r="I189"/>
  <c r="J189"/>
  <c r="B190"/>
  <c r="C190"/>
  <c r="D190"/>
  <c r="E190"/>
  <c r="F190"/>
  <c r="G190"/>
  <c r="H190"/>
  <c r="I190"/>
  <c r="J190"/>
  <c r="B191"/>
  <c r="C191"/>
  <c r="D191"/>
  <c r="E191"/>
  <c r="F191"/>
  <c r="G191"/>
  <c r="H191"/>
  <c r="I191"/>
  <c r="J191"/>
  <c r="B192"/>
  <c r="C192"/>
  <c r="D192"/>
  <c r="E192"/>
  <c r="F192"/>
  <c r="G192"/>
  <c r="H192"/>
  <c r="I192"/>
  <c r="J192"/>
  <c r="B193"/>
  <c r="C193"/>
  <c r="D193"/>
  <c r="E193"/>
  <c r="F193"/>
  <c r="G193"/>
  <c r="H193"/>
  <c r="I193"/>
  <c r="J193"/>
  <c r="B194"/>
  <c r="C194"/>
  <c r="D194"/>
  <c r="E194"/>
  <c r="F194"/>
  <c r="G194"/>
  <c r="H194"/>
  <c r="I194"/>
  <c r="J194"/>
  <c r="B195"/>
  <c r="C195"/>
  <c r="D195"/>
  <c r="E195"/>
  <c r="F195"/>
  <c r="G195"/>
  <c r="H195"/>
  <c r="I195"/>
  <c r="J195"/>
  <c r="B196"/>
  <c r="C196"/>
  <c r="D196"/>
  <c r="E196"/>
  <c r="F196"/>
  <c r="G196"/>
  <c r="H196"/>
  <c r="I196"/>
  <c r="J196"/>
  <c r="B197"/>
  <c r="C197"/>
  <c r="D197"/>
  <c r="E197"/>
  <c r="F197"/>
  <c r="G197"/>
  <c r="H197"/>
  <c r="I197"/>
  <c r="J197"/>
  <c r="B198"/>
  <c r="C198"/>
  <c r="D198"/>
  <c r="E198"/>
  <c r="F198"/>
  <c r="G198"/>
  <c r="H198"/>
  <c r="I198"/>
  <c r="J198"/>
  <c r="B199"/>
  <c r="C199"/>
  <c r="D199"/>
  <c r="E199"/>
  <c r="F199"/>
  <c r="G199"/>
  <c r="H199"/>
  <c r="I199"/>
  <c r="J199"/>
  <c r="B200"/>
  <c r="C200"/>
  <c r="D200"/>
  <c r="E200"/>
  <c r="F200"/>
  <c r="G200"/>
  <c r="H200"/>
  <c r="I200"/>
  <c r="J200"/>
  <c r="B201"/>
  <c r="C201"/>
  <c r="D201"/>
  <c r="E201"/>
  <c r="F201"/>
  <c r="G201"/>
  <c r="H201"/>
  <c r="I201"/>
  <c r="J201"/>
  <c r="B202"/>
  <c r="C202"/>
  <c r="D202"/>
  <c r="E202"/>
  <c r="F202"/>
  <c r="G202"/>
  <c r="H202"/>
  <c r="I202"/>
  <c r="J202"/>
  <c r="B203"/>
  <c r="C203"/>
  <c r="D203"/>
  <c r="E203"/>
  <c r="F203"/>
  <c r="G203"/>
  <c r="H203"/>
  <c r="I203"/>
  <c r="J203"/>
  <c r="B204"/>
  <c r="C204"/>
  <c r="D204"/>
  <c r="E204"/>
  <c r="F204"/>
  <c r="G204"/>
  <c r="H204"/>
  <c r="I204"/>
  <c r="J204"/>
  <c r="B205"/>
  <c r="C205"/>
  <c r="D205"/>
  <c r="E205"/>
  <c r="F205"/>
  <c r="G205"/>
  <c r="H205"/>
  <c r="I205"/>
  <c r="J205"/>
  <c r="B206"/>
  <c r="C206"/>
  <c r="D206"/>
  <c r="E206"/>
  <c r="F206"/>
  <c r="G206"/>
  <c r="H206"/>
  <c r="I206"/>
  <c r="J206"/>
  <c r="B207"/>
  <c r="C207"/>
  <c r="D207"/>
  <c r="E207"/>
  <c r="F207"/>
  <c r="G207"/>
  <c r="H207"/>
  <c r="I207"/>
  <c r="J207"/>
  <c r="B9"/>
  <c r="C9"/>
  <c r="D9"/>
  <c r="E9"/>
  <c r="D9" i="9" s="1"/>
  <c r="F9" i="8"/>
  <c r="G9"/>
  <c r="H9"/>
  <c r="I9"/>
  <c r="J9"/>
  <c r="C8"/>
  <c r="B8" i="9"/>
  <c r="X2"/>
  <c r="K5" i="8"/>
  <c r="J5" i="9" s="1"/>
  <c r="A3"/>
  <c r="D3"/>
  <c r="A1" i="8"/>
  <c r="F4"/>
  <c r="BE3"/>
  <c r="EY4" i="9" s="1"/>
  <c r="P4" i="8"/>
  <c r="X4" i="9" s="1"/>
  <c r="BI3" i="8"/>
  <c r="FD4" i="9" s="1"/>
  <c r="AY4" i="8"/>
  <c r="DM4" i="9" s="1"/>
  <c r="FC4"/>
  <c r="AW4" i="8"/>
  <c r="DI4" i="9" s="1"/>
  <c r="BG4" i="8"/>
  <c r="FA5" i="9" s="1"/>
  <c r="M5" i="8"/>
  <c r="L5" i="9" s="1"/>
  <c r="BF4" i="8"/>
  <c r="EZ5" i="9" s="1"/>
  <c r="Q5" i="8"/>
  <c r="Y5" i="9" s="1"/>
  <c r="BE4" i="8"/>
  <c r="EY5" i="9" s="1"/>
  <c r="BC4" i="8"/>
  <c r="BB4"/>
  <c r="BD4"/>
  <c r="EE5" i="9" s="1"/>
  <c r="O4" i="8"/>
  <c r="P4" i="9" s="1"/>
  <c r="N4" i="8"/>
  <c r="N4" i="9" s="1"/>
  <c r="AT80" l="1"/>
  <c r="AZ80" s="1"/>
  <c r="BG80" s="1"/>
  <c r="BH80" s="1"/>
  <c r="EN80" s="1"/>
  <c r="BQ110"/>
  <c r="BW110" s="1"/>
  <c r="AT169"/>
  <c r="AT109"/>
  <c r="CN28"/>
  <c r="CN100"/>
  <c r="CT100" s="1"/>
  <c r="AZ198"/>
  <c r="AT55"/>
  <c r="AT21"/>
  <c r="AZ124"/>
  <c r="AT148"/>
  <c r="AZ148" s="1"/>
  <c r="AT81"/>
  <c r="AZ81" s="1"/>
  <c r="BW62"/>
  <c r="CD62" s="1"/>
  <c r="CE62" s="1"/>
  <c r="EO62" s="1"/>
  <c r="BW177"/>
  <c r="BW25"/>
  <c r="BQ133"/>
  <c r="BW133" s="1"/>
  <c r="BW51"/>
  <c r="CD51" s="1"/>
  <c r="CE51" s="1"/>
  <c r="EO51" s="1"/>
  <c r="BQ94"/>
  <c r="BW94" s="1"/>
  <c r="BW142"/>
  <c r="BW160"/>
  <c r="BQ81"/>
  <c r="BW81" s="1"/>
  <c r="CD81" s="1"/>
  <c r="CE81" s="1"/>
  <c r="EO81" s="1"/>
  <c r="CT35"/>
  <c r="CN21"/>
  <c r="CT21" s="1"/>
  <c r="CT37"/>
  <c r="CN91"/>
  <c r="CT91" s="1"/>
  <c r="DA91" s="1"/>
  <c r="DB91" s="1"/>
  <c r="EP91" s="1"/>
  <c r="CT39"/>
  <c r="CT175"/>
  <c r="CN119"/>
  <c r="AE46" i="19"/>
  <c r="BW38" i="9"/>
  <c r="BQ56"/>
  <c r="BW56" s="1"/>
  <c r="BQ72"/>
  <c r="BW72" s="1"/>
  <c r="BW80"/>
  <c r="CD80" s="1"/>
  <c r="CE80" s="1"/>
  <c r="EO80" s="1"/>
  <c r="BQ53"/>
  <c r="BW53" s="1"/>
  <c r="BQ106"/>
  <c r="BW106" s="1"/>
  <c r="BW130"/>
  <c r="BQ98"/>
  <c r="BQ121"/>
  <c r="BQ203"/>
  <c r="BW178"/>
  <c r="BQ49"/>
  <c r="BW49" s="1"/>
  <c r="CD49" s="1"/>
  <c r="CE49" s="1"/>
  <c r="EO49" s="1"/>
  <c r="CT27"/>
  <c r="CN59"/>
  <c r="CN60"/>
  <c r="CT60" s="1"/>
  <c r="CN92"/>
  <c r="CT92" s="1"/>
  <c r="DA92" s="1"/>
  <c r="DB92" s="1"/>
  <c r="EP92" s="1"/>
  <c r="CT149"/>
  <c r="CT197"/>
  <c r="CN61"/>
  <c r="CT61" s="1"/>
  <c r="CN67"/>
  <c r="CT67" s="1"/>
  <c r="DA67" s="1"/>
  <c r="DB67" s="1"/>
  <c r="EP67" s="1"/>
  <c r="CT93"/>
  <c r="CT71"/>
  <c r="CT81"/>
  <c r="O44" i="19"/>
  <c r="O15" i="4"/>
  <c r="Q15" s="1"/>
  <c r="AZ103" i="9"/>
  <c r="AT111"/>
  <c r="AT63"/>
  <c r="AZ63" s="1"/>
  <c r="BG63" s="1"/>
  <c r="BH63" s="1"/>
  <c r="EN63" s="1"/>
  <c r="AT127"/>
  <c r="AT56"/>
  <c r="AZ56" s="1"/>
  <c r="AT205"/>
  <c r="AZ205" s="1"/>
  <c r="AZ76"/>
  <c r="BG76" s="1"/>
  <c r="BH76" s="1"/>
  <c r="EN76" s="1"/>
  <c r="AZ92"/>
  <c r="AZ113"/>
  <c r="AT145"/>
  <c r="AZ145" s="1"/>
  <c r="BQ153"/>
  <c r="BW153" s="1"/>
  <c r="CD153" s="1"/>
  <c r="CE153" s="1"/>
  <c r="EO153" s="1"/>
  <c r="BQ141"/>
  <c r="CT119"/>
  <c r="CN161"/>
  <c r="CT161" s="1"/>
  <c r="CN193"/>
  <c r="CT193" s="1"/>
  <c r="DA193" s="1"/>
  <c r="DB193" s="1"/>
  <c r="EP193" s="1"/>
  <c r="CT198"/>
  <c r="CN51"/>
  <c r="CT51" s="1"/>
  <c r="CN182"/>
  <c r="CT182" s="1"/>
  <c r="CN187"/>
  <c r="CT187" s="1"/>
  <c r="DA187" s="1"/>
  <c r="DB187" s="1"/>
  <c r="EP187" s="1"/>
  <c r="CN20"/>
  <c r="CR17"/>
  <c r="CR16"/>
  <c r="F18" i="18"/>
  <c r="O18"/>
  <c r="CN12" i="9"/>
  <c r="CT12" s="1"/>
  <c r="O76" i="19" s="1"/>
  <c r="I76"/>
  <c r="CR12" i="9"/>
  <c r="F76" i="19"/>
  <c r="N18" i="4"/>
  <c r="AD47" i="19"/>
  <c r="F18" i="4"/>
  <c r="V47" i="19"/>
  <c r="Z47" s="1"/>
  <c r="CN11" i="9"/>
  <c r="CT11" s="1"/>
  <c r="AE47" i="19" s="1"/>
  <c r="CR11" i="9"/>
  <c r="CR13"/>
  <c r="V76" i="19"/>
  <c r="Z76" s="1"/>
  <c r="N8" i="4"/>
  <c r="AG5" s="1"/>
  <c r="AB8" i="19"/>
  <c r="AY5" s="1"/>
  <c r="D5" i="11"/>
  <c r="D8" i="15"/>
  <c r="AV210" i="9"/>
  <c r="A9" i="6" s="1"/>
  <c r="BQ10" i="9"/>
  <c r="BW10" s="1"/>
  <c r="FF204"/>
  <c r="DW204"/>
  <c r="EB204"/>
  <c r="EQ204" s="1"/>
  <c r="EK204"/>
  <c r="EW204" s="1"/>
  <c r="EI204"/>
  <c r="EX204"/>
  <c r="FF201"/>
  <c r="EK201"/>
  <c r="EW201" s="1"/>
  <c r="DW201"/>
  <c r="EI201"/>
  <c r="EX201"/>
  <c r="FF198"/>
  <c r="DW198"/>
  <c r="EB198"/>
  <c r="EQ198" s="1"/>
  <c r="EI198"/>
  <c r="EX198"/>
  <c r="EK198"/>
  <c r="EW198" s="1"/>
  <c r="FF196"/>
  <c r="DW196"/>
  <c r="EK196"/>
  <c r="EW196" s="1"/>
  <c r="EI196"/>
  <c r="EX196"/>
  <c r="FF190"/>
  <c r="DW190"/>
  <c r="EB190"/>
  <c r="EQ190" s="1"/>
  <c r="EI190"/>
  <c r="EX190"/>
  <c r="GS190" s="1"/>
  <c r="EK190"/>
  <c r="EW190" s="1"/>
  <c r="FF186"/>
  <c r="DW186"/>
  <c r="EB186"/>
  <c r="EQ186" s="1"/>
  <c r="EI186"/>
  <c r="EX186"/>
  <c r="EK186"/>
  <c r="EW186" s="1"/>
  <c r="FF184"/>
  <c r="DW184"/>
  <c r="EB184"/>
  <c r="EQ184" s="1"/>
  <c r="EK184"/>
  <c r="EW184" s="1"/>
  <c r="EI184"/>
  <c r="EX184"/>
  <c r="FF180"/>
  <c r="DW180"/>
  <c r="EK180"/>
  <c r="EW180" s="1"/>
  <c r="EI180"/>
  <c r="EX180"/>
  <c r="FF176"/>
  <c r="DW176"/>
  <c r="EK176"/>
  <c r="EW176" s="1"/>
  <c r="EI176"/>
  <c r="EX176"/>
  <c r="FF174"/>
  <c r="DW174"/>
  <c r="EB174"/>
  <c r="EQ174" s="1"/>
  <c r="EI174"/>
  <c r="EX174"/>
  <c r="EK174"/>
  <c r="EW174" s="1"/>
  <c r="FF171"/>
  <c r="EI171"/>
  <c r="EX171"/>
  <c r="GS171" s="1"/>
  <c r="DW171"/>
  <c r="EK171"/>
  <c r="EW171" s="1"/>
  <c r="FF167"/>
  <c r="EI167"/>
  <c r="EX167"/>
  <c r="GS167" s="1"/>
  <c r="DW167"/>
  <c r="EK167"/>
  <c r="EW167" s="1"/>
  <c r="FF165"/>
  <c r="EK165"/>
  <c r="EW165" s="1"/>
  <c r="DW165"/>
  <c r="EB165"/>
  <c r="EQ165" s="1"/>
  <c r="EI165"/>
  <c r="EX165"/>
  <c r="GS165" s="1"/>
  <c r="FF160"/>
  <c r="DW160"/>
  <c r="EK160"/>
  <c r="EW160" s="1"/>
  <c r="EI160"/>
  <c r="EX160"/>
  <c r="FF159"/>
  <c r="EI159"/>
  <c r="EX159"/>
  <c r="DW159"/>
  <c r="EB159"/>
  <c r="EQ159" s="1"/>
  <c r="EK159"/>
  <c r="EW159" s="1"/>
  <c r="FF156"/>
  <c r="DW156"/>
  <c r="EB156"/>
  <c r="EQ156" s="1"/>
  <c r="EK156"/>
  <c r="EW156" s="1"/>
  <c r="EI156"/>
  <c r="EX156"/>
  <c r="GS156" s="1"/>
  <c r="FF154"/>
  <c r="DW154"/>
  <c r="EB154"/>
  <c r="EQ154" s="1"/>
  <c r="EI154"/>
  <c r="EX154"/>
  <c r="EK154"/>
  <c r="EW154" s="1"/>
  <c r="FF150"/>
  <c r="DW150"/>
  <c r="EB150"/>
  <c r="EQ150" s="1"/>
  <c r="EI150"/>
  <c r="EX150"/>
  <c r="EK150"/>
  <c r="EW150" s="1"/>
  <c r="FF143"/>
  <c r="DW143"/>
  <c r="EI143"/>
  <c r="EX143"/>
  <c r="GS143" s="1"/>
  <c r="EK143"/>
  <c r="EW143" s="1"/>
  <c r="FF141"/>
  <c r="DW141"/>
  <c r="EB141"/>
  <c r="EQ141" s="1"/>
  <c r="EK141"/>
  <c r="EW141" s="1"/>
  <c r="EI141"/>
  <c r="EX141"/>
  <c r="FF137"/>
  <c r="DW137"/>
  <c r="EB137"/>
  <c r="EQ137" s="1"/>
  <c r="EK137"/>
  <c r="EW137" s="1"/>
  <c r="EI137"/>
  <c r="EX137"/>
  <c r="FF135"/>
  <c r="DW135"/>
  <c r="EI135"/>
  <c r="EX135"/>
  <c r="GS135" s="1"/>
  <c r="EK135"/>
  <c r="EW135" s="1"/>
  <c r="FF133"/>
  <c r="DW133"/>
  <c r="EK133"/>
  <c r="EW133" s="1"/>
  <c r="EI133"/>
  <c r="EX133"/>
  <c r="FF131"/>
  <c r="DW131"/>
  <c r="EI131"/>
  <c r="EX131"/>
  <c r="GS131" s="1"/>
  <c r="EK131"/>
  <c r="EW131" s="1"/>
  <c r="FF127"/>
  <c r="DW127"/>
  <c r="EI127"/>
  <c r="EX127"/>
  <c r="GS127" s="1"/>
  <c r="EK127"/>
  <c r="EW127" s="1"/>
  <c r="FF124"/>
  <c r="DW124"/>
  <c r="EK124"/>
  <c r="EW124" s="1"/>
  <c r="EI124"/>
  <c r="EX124"/>
  <c r="FF121"/>
  <c r="DW121"/>
  <c r="EB121"/>
  <c r="EQ121" s="1"/>
  <c r="EK121"/>
  <c r="EW121" s="1"/>
  <c r="EI121"/>
  <c r="EX121"/>
  <c r="FF119"/>
  <c r="DW119"/>
  <c r="EB119"/>
  <c r="EQ119" s="1"/>
  <c r="EI119"/>
  <c r="EX119"/>
  <c r="EK119"/>
  <c r="EW119" s="1"/>
  <c r="FF115"/>
  <c r="DW115"/>
  <c r="EI115"/>
  <c r="EX115"/>
  <c r="GS115" s="1"/>
  <c r="EK115"/>
  <c r="EW115" s="1"/>
  <c r="FF113"/>
  <c r="DW113"/>
  <c r="EK113"/>
  <c r="EW113" s="1"/>
  <c r="EI113"/>
  <c r="EX113"/>
  <c r="DW110"/>
  <c r="EI110"/>
  <c r="EX110"/>
  <c r="EK110"/>
  <c r="EW110" s="1"/>
  <c r="DW105"/>
  <c r="EB105"/>
  <c r="EQ105" s="1"/>
  <c r="EK105"/>
  <c r="EW105" s="1"/>
  <c r="EI105"/>
  <c r="EX105"/>
  <c r="DW103"/>
  <c r="EB103"/>
  <c r="EQ103" s="1"/>
  <c r="EI103"/>
  <c r="EX103"/>
  <c r="EK103"/>
  <c r="EW103" s="1"/>
  <c r="FF99"/>
  <c r="DW99"/>
  <c r="EI99"/>
  <c r="EX99"/>
  <c r="GS99" s="1"/>
  <c r="EK99"/>
  <c r="EW99" s="1"/>
  <c r="FF97"/>
  <c r="DW97"/>
  <c r="EK97"/>
  <c r="EW97" s="1"/>
  <c r="EI97"/>
  <c r="EX97"/>
  <c r="GS97" s="1"/>
  <c r="FF93"/>
  <c r="DW93"/>
  <c r="EB93"/>
  <c r="EQ93" s="1"/>
  <c r="EK93"/>
  <c r="EW93" s="1"/>
  <c r="EI93"/>
  <c r="EX93"/>
  <c r="GS93" s="1"/>
  <c r="FF91"/>
  <c r="DW91"/>
  <c r="EB91"/>
  <c r="EQ91" s="1"/>
  <c r="EI91"/>
  <c r="EX91"/>
  <c r="EK91"/>
  <c r="EW91" s="1"/>
  <c r="FF87"/>
  <c r="DW87"/>
  <c r="EB87"/>
  <c r="EQ87" s="1"/>
  <c r="EI87"/>
  <c r="EX87"/>
  <c r="GS87" s="1"/>
  <c r="EK87"/>
  <c r="EW87" s="1"/>
  <c r="FF84"/>
  <c r="DW84"/>
  <c r="EB84"/>
  <c r="EQ84" s="1"/>
  <c r="EK84"/>
  <c r="EW84" s="1"/>
  <c r="EI84"/>
  <c r="EX84"/>
  <c r="FF80"/>
  <c r="DW80"/>
  <c r="EB80"/>
  <c r="EQ80" s="1"/>
  <c r="EK80"/>
  <c r="EW80" s="1"/>
  <c r="EI80"/>
  <c r="EX80"/>
  <c r="GS80" s="1"/>
  <c r="FF77"/>
  <c r="DW77"/>
  <c r="EB77"/>
  <c r="EQ77" s="1"/>
  <c r="EK77"/>
  <c r="EW77" s="1"/>
  <c r="EI77"/>
  <c r="EX77"/>
  <c r="FF75"/>
  <c r="DW75"/>
  <c r="EB75"/>
  <c r="EQ75" s="1"/>
  <c r="EI75"/>
  <c r="EX75"/>
  <c r="GS75" s="1"/>
  <c r="EK75"/>
  <c r="EW75" s="1"/>
  <c r="FF72"/>
  <c r="DW72"/>
  <c r="EK72"/>
  <c r="EW72" s="1"/>
  <c r="EI72"/>
  <c r="EX72"/>
  <c r="FF68"/>
  <c r="DW68"/>
  <c r="EB68"/>
  <c r="EQ68" s="1"/>
  <c r="EK68"/>
  <c r="EW68" s="1"/>
  <c r="EI68"/>
  <c r="EX68"/>
  <c r="FF66"/>
  <c r="DW66"/>
  <c r="EB66"/>
  <c r="EQ66" s="1"/>
  <c r="EI66"/>
  <c r="EX66"/>
  <c r="GS66" s="1"/>
  <c r="EK66"/>
  <c r="EW66" s="1"/>
  <c r="FF62"/>
  <c r="DW62"/>
  <c r="EB62"/>
  <c r="EQ62" s="1"/>
  <c r="EI62"/>
  <c r="EX62"/>
  <c r="EK62"/>
  <c r="EW62" s="1"/>
  <c r="DW60"/>
  <c r="EK60"/>
  <c r="EW60" s="1"/>
  <c r="EI60"/>
  <c r="EX60"/>
  <c r="DW56"/>
  <c r="EB56"/>
  <c r="EQ56" s="1"/>
  <c r="EK56"/>
  <c r="EW56" s="1"/>
  <c r="EI56"/>
  <c r="EX56"/>
  <c r="DW53"/>
  <c r="EB53"/>
  <c r="EQ53" s="1"/>
  <c r="EK53"/>
  <c r="EW53" s="1"/>
  <c r="EI53"/>
  <c r="EX53"/>
  <c r="DW50"/>
  <c r="EB50"/>
  <c r="EQ50" s="1"/>
  <c r="EI50"/>
  <c r="EX50"/>
  <c r="EK50"/>
  <c r="EW50" s="1"/>
  <c r="FF46"/>
  <c r="DW46"/>
  <c r="EB46"/>
  <c r="EQ46" s="1"/>
  <c r="EI46"/>
  <c r="EX46"/>
  <c r="EK46"/>
  <c r="EW46" s="1"/>
  <c r="FF44"/>
  <c r="DW44"/>
  <c r="EK44"/>
  <c r="EW44" s="1"/>
  <c r="EI44"/>
  <c r="EX44"/>
  <c r="GS44" s="1"/>
  <c r="DW41"/>
  <c r="EK41"/>
  <c r="EW41" s="1"/>
  <c r="EI41"/>
  <c r="EX41"/>
  <c r="DW38"/>
  <c r="EB38"/>
  <c r="EQ38" s="1"/>
  <c r="EI38"/>
  <c r="EX38"/>
  <c r="EK38"/>
  <c r="EW38" s="1"/>
  <c r="DW35"/>
  <c r="EB35"/>
  <c r="EQ35" s="1"/>
  <c r="EX35"/>
  <c r="DW31"/>
  <c r="EX31"/>
  <c r="DW25"/>
  <c r="EX25"/>
  <c r="DW23"/>
  <c r="EB23"/>
  <c r="EQ23" s="1"/>
  <c r="EX23"/>
  <c r="DW20"/>
  <c r="EB20"/>
  <c r="EQ20" s="1"/>
  <c r="EX20"/>
  <c r="DW19"/>
  <c r="EB19"/>
  <c r="EQ19" s="1"/>
  <c r="EX19"/>
  <c r="DW16"/>
  <c r="EB16"/>
  <c r="EQ16" s="1"/>
  <c r="DW15"/>
  <c r="DW14"/>
  <c r="EB14"/>
  <c r="EQ14" s="1"/>
  <c r="DW9"/>
  <c r="AT79"/>
  <c r="AZ79" s="1"/>
  <c r="BG79" s="1"/>
  <c r="BH79" s="1"/>
  <c r="EN79" s="1"/>
  <c r="AT106"/>
  <c r="AZ106" s="1"/>
  <c r="AT132"/>
  <c r="AZ132" s="1"/>
  <c r="AT39"/>
  <c r="AT72"/>
  <c r="AZ72" s="1"/>
  <c r="BG72" s="1"/>
  <c r="BH72" s="1"/>
  <c r="EN72" s="1"/>
  <c r="AT104"/>
  <c r="AT172"/>
  <c r="AZ172" s="1"/>
  <c r="AT43"/>
  <c r="AZ43" s="1"/>
  <c r="AZ73"/>
  <c r="BG73" s="1"/>
  <c r="BH73" s="1"/>
  <c r="EN73" s="1"/>
  <c r="AZ121"/>
  <c r="AT179"/>
  <c r="AZ179" s="1"/>
  <c r="AT17"/>
  <c r="AZ17" s="1"/>
  <c r="AT125"/>
  <c r="AZ125" s="1"/>
  <c r="BG125" s="1"/>
  <c r="BH125" s="1"/>
  <c r="EN125" s="1"/>
  <c r="AT48"/>
  <c r="AZ48" s="1"/>
  <c r="BQ22"/>
  <c r="BW22" s="1"/>
  <c r="BQ134"/>
  <c r="BW134" s="1"/>
  <c r="BQ158"/>
  <c r="BW158" s="1"/>
  <c r="CD158" s="1"/>
  <c r="CE158" s="1"/>
  <c r="EO158" s="1"/>
  <c r="CN58"/>
  <c r="CT58" s="1"/>
  <c r="CT73"/>
  <c r="CN66"/>
  <c r="CT66" s="1"/>
  <c r="CN98"/>
  <c r="CT98" s="1"/>
  <c r="DA98" s="1"/>
  <c r="DB98" s="1"/>
  <c r="EP98" s="1"/>
  <c r="FF50"/>
  <c r="FF53"/>
  <c r="FF100"/>
  <c r="FF108"/>
  <c r="FF101"/>
  <c r="FF109"/>
  <c r="DZ28"/>
  <c r="DZ60"/>
  <c r="EB31"/>
  <c r="EQ31" s="1"/>
  <c r="DZ40"/>
  <c r="DZ72"/>
  <c r="DZ36"/>
  <c r="DZ68"/>
  <c r="DZ9"/>
  <c r="EB25"/>
  <c r="EQ25" s="1"/>
  <c r="DZ41"/>
  <c r="DZ48"/>
  <c r="DZ71"/>
  <c r="DZ80"/>
  <c r="DZ100"/>
  <c r="DZ175"/>
  <c r="DZ190"/>
  <c r="DZ200"/>
  <c r="DZ75"/>
  <c r="DZ96"/>
  <c r="DZ136"/>
  <c r="DZ164"/>
  <c r="DZ203"/>
  <c r="DZ74"/>
  <c r="DZ115"/>
  <c r="DZ160"/>
  <c r="DZ199"/>
  <c r="EB97"/>
  <c r="EQ97" s="1"/>
  <c r="DZ120"/>
  <c r="DZ130"/>
  <c r="EB133"/>
  <c r="EQ133" s="1"/>
  <c r="DZ144"/>
  <c r="EB160"/>
  <c r="EQ160" s="1"/>
  <c r="DZ162"/>
  <c r="DZ172"/>
  <c r="FF207"/>
  <c r="EI207"/>
  <c r="EX207"/>
  <c r="DW207"/>
  <c r="EB207"/>
  <c r="EQ207" s="1"/>
  <c r="EK207"/>
  <c r="EW207" s="1"/>
  <c r="FF205"/>
  <c r="EK205"/>
  <c r="EW205" s="1"/>
  <c r="DW205"/>
  <c r="EB205"/>
  <c r="EQ205" s="1"/>
  <c r="EI205"/>
  <c r="EX205"/>
  <c r="FF202"/>
  <c r="DW202"/>
  <c r="EB202"/>
  <c r="EQ202" s="1"/>
  <c r="EI202"/>
  <c r="EX202"/>
  <c r="GS202" s="1"/>
  <c r="EK202"/>
  <c r="EW202" s="1"/>
  <c r="FF199"/>
  <c r="EI199"/>
  <c r="EX199"/>
  <c r="DW199"/>
  <c r="EB199"/>
  <c r="EQ199" s="1"/>
  <c r="EK199"/>
  <c r="EW199" s="1"/>
  <c r="FF195"/>
  <c r="EI195"/>
  <c r="EX195"/>
  <c r="DW195"/>
  <c r="EB195"/>
  <c r="EQ195" s="1"/>
  <c r="EK195"/>
  <c r="EW195" s="1"/>
  <c r="FF193"/>
  <c r="EK193"/>
  <c r="EW193" s="1"/>
  <c r="DW193"/>
  <c r="EB193"/>
  <c r="EQ193" s="1"/>
  <c r="EI193"/>
  <c r="EX193"/>
  <c r="FF189"/>
  <c r="EK189"/>
  <c r="EW189" s="1"/>
  <c r="DW189"/>
  <c r="EB189"/>
  <c r="EQ189" s="1"/>
  <c r="EI189"/>
  <c r="EX189"/>
  <c r="FF187"/>
  <c r="EI187"/>
  <c r="EX187"/>
  <c r="DW187"/>
  <c r="EB187"/>
  <c r="EQ187" s="1"/>
  <c r="EK187"/>
  <c r="EW187" s="1"/>
  <c r="FF183"/>
  <c r="EI183"/>
  <c r="EX183"/>
  <c r="DW183"/>
  <c r="EK183"/>
  <c r="EW183" s="1"/>
  <c r="FF181"/>
  <c r="EK181"/>
  <c r="EW181" s="1"/>
  <c r="DW181"/>
  <c r="EB181"/>
  <c r="EQ181" s="1"/>
  <c r="EI181"/>
  <c r="EX181"/>
  <c r="FF179"/>
  <c r="EI179"/>
  <c r="EX179"/>
  <c r="GS179" s="1"/>
  <c r="DW179"/>
  <c r="EB179"/>
  <c r="EQ179" s="1"/>
  <c r="EK179"/>
  <c r="EW179" s="1"/>
  <c r="FF177"/>
  <c r="EK177"/>
  <c r="EW177" s="1"/>
  <c r="DW177"/>
  <c r="EB177"/>
  <c r="EQ177" s="1"/>
  <c r="EI177"/>
  <c r="EX177"/>
  <c r="FF173"/>
  <c r="GS173" s="1"/>
  <c r="EK173"/>
  <c r="EW173" s="1"/>
  <c r="DW173"/>
  <c r="EB173"/>
  <c r="EQ173" s="1"/>
  <c r="EI173"/>
  <c r="EX173"/>
  <c r="FF170"/>
  <c r="DW170"/>
  <c r="EB170"/>
  <c r="EQ170" s="1"/>
  <c r="EI170"/>
  <c r="EX170"/>
  <c r="GS170" s="1"/>
  <c r="EK170"/>
  <c r="EW170" s="1"/>
  <c r="FF168"/>
  <c r="DW168"/>
  <c r="EB168"/>
  <c r="EQ168" s="1"/>
  <c r="EK168"/>
  <c r="EW168" s="1"/>
  <c r="EI168"/>
  <c r="EX168"/>
  <c r="GS168" s="1"/>
  <c r="FF164"/>
  <c r="DW164"/>
  <c r="EK164"/>
  <c r="EW164" s="1"/>
  <c r="EI164"/>
  <c r="EX164"/>
  <c r="FF162"/>
  <c r="DW162"/>
  <c r="EB162"/>
  <c r="EQ162" s="1"/>
  <c r="EI162"/>
  <c r="EX162"/>
  <c r="GS162" s="1"/>
  <c r="EK162"/>
  <c r="EW162" s="1"/>
  <c r="FF161"/>
  <c r="EK161"/>
  <c r="EW161" s="1"/>
  <c r="DW161"/>
  <c r="EB161"/>
  <c r="EQ161" s="1"/>
  <c r="EI161"/>
  <c r="EX161"/>
  <c r="GS161" s="1"/>
  <c r="FF157"/>
  <c r="EK157"/>
  <c r="EW157" s="1"/>
  <c r="DW157"/>
  <c r="EB157"/>
  <c r="EQ157" s="1"/>
  <c r="EI157"/>
  <c r="EX157"/>
  <c r="FF153"/>
  <c r="EK153"/>
  <c r="EW153" s="1"/>
  <c r="DW153"/>
  <c r="EB153"/>
  <c r="EQ153" s="1"/>
  <c r="EI153"/>
  <c r="EX153"/>
  <c r="FF151"/>
  <c r="DW151"/>
  <c r="EI151"/>
  <c r="EX151"/>
  <c r="GS151" s="1"/>
  <c r="EK151"/>
  <c r="EW151" s="1"/>
  <c r="FF148"/>
  <c r="DW148"/>
  <c r="EB148"/>
  <c r="EQ148" s="1"/>
  <c r="EK148"/>
  <c r="EW148" s="1"/>
  <c r="EI148"/>
  <c r="EX148"/>
  <c r="FF147"/>
  <c r="DW147"/>
  <c r="EI147"/>
  <c r="EX147"/>
  <c r="GS147" s="1"/>
  <c r="EK147"/>
  <c r="EW147" s="1"/>
  <c r="FF144"/>
  <c r="DW144"/>
  <c r="EB144"/>
  <c r="EQ144" s="1"/>
  <c r="EK144"/>
  <c r="EW144" s="1"/>
  <c r="EI144"/>
  <c r="EX144"/>
  <c r="GS144" s="1"/>
  <c r="FF140"/>
  <c r="DW140"/>
  <c r="EB140"/>
  <c r="EQ140" s="1"/>
  <c r="EK140"/>
  <c r="EW140" s="1"/>
  <c r="EI140"/>
  <c r="EX140"/>
  <c r="FF138"/>
  <c r="DW138"/>
  <c r="EB138"/>
  <c r="EQ138" s="1"/>
  <c r="EI138"/>
  <c r="EX138"/>
  <c r="EK138"/>
  <c r="EW138" s="1"/>
  <c r="FF134"/>
  <c r="DW134"/>
  <c r="EB134"/>
  <c r="EQ134" s="1"/>
  <c r="EI134"/>
  <c r="EX134"/>
  <c r="GS134" s="1"/>
  <c r="EK134"/>
  <c r="EW134" s="1"/>
  <c r="FF130"/>
  <c r="DW130"/>
  <c r="EB130"/>
  <c r="EQ130" s="1"/>
  <c r="EI130"/>
  <c r="EX130"/>
  <c r="GS130" s="1"/>
  <c r="EK130"/>
  <c r="EW130" s="1"/>
  <c r="FF128"/>
  <c r="DW128"/>
  <c r="EB128"/>
  <c r="EQ128" s="1"/>
  <c r="EK128"/>
  <c r="EW128" s="1"/>
  <c r="EI128"/>
  <c r="EX128"/>
  <c r="FF125"/>
  <c r="DW125"/>
  <c r="EB125"/>
  <c r="EQ125" s="1"/>
  <c r="EK125"/>
  <c r="EW125" s="1"/>
  <c r="EI125"/>
  <c r="EX125"/>
  <c r="FF122"/>
  <c r="DW122"/>
  <c r="EI122"/>
  <c r="EX122"/>
  <c r="GS122" s="1"/>
  <c r="EK122"/>
  <c r="EW122" s="1"/>
  <c r="FF118"/>
  <c r="DW118"/>
  <c r="EB118"/>
  <c r="EQ118" s="1"/>
  <c r="EI118"/>
  <c r="EX118"/>
  <c r="EK118"/>
  <c r="EW118" s="1"/>
  <c r="FF116"/>
  <c r="DW116"/>
  <c r="EB116"/>
  <c r="EQ116" s="1"/>
  <c r="EK116"/>
  <c r="EW116" s="1"/>
  <c r="EI116"/>
  <c r="EX116"/>
  <c r="DW112"/>
  <c r="EB112"/>
  <c r="EQ112" s="1"/>
  <c r="EK112"/>
  <c r="EW112" s="1"/>
  <c r="EI112"/>
  <c r="EX112"/>
  <c r="DW109"/>
  <c r="EB109"/>
  <c r="EQ109" s="1"/>
  <c r="EK109"/>
  <c r="EW109" s="1"/>
  <c r="EI109"/>
  <c r="EX109"/>
  <c r="GS109" s="1"/>
  <c r="DW108"/>
  <c r="EK108"/>
  <c r="EW108" s="1"/>
  <c r="EI108"/>
  <c r="EX108"/>
  <c r="DW106"/>
  <c r="EB106"/>
  <c r="EQ106" s="1"/>
  <c r="EI106"/>
  <c r="EX106"/>
  <c r="EK106"/>
  <c r="EW106" s="1"/>
  <c r="DW102"/>
  <c r="EB102"/>
  <c r="EQ102" s="1"/>
  <c r="EI102"/>
  <c r="EX102"/>
  <c r="EK102"/>
  <c r="EW102" s="1"/>
  <c r="DW100"/>
  <c r="EB100"/>
  <c r="EQ100" s="1"/>
  <c r="EK100"/>
  <c r="EW100" s="1"/>
  <c r="EI100"/>
  <c r="EX100"/>
  <c r="GS100" s="1"/>
  <c r="FF96"/>
  <c r="DW96"/>
  <c r="EK96"/>
  <c r="EW96" s="1"/>
  <c r="EI96"/>
  <c r="EX96"/>
  <c r="GS96" s="1"/>
  <c r="FF94"/>
  <c r="DW94"/>
  <c r="EI94"/>
  <c r="EX94"/>
  <c r="GS94" s="1"/>
  <c r="EK94"/>
  <c r="EW94" s="1"/>
  <c r="FF90"/>
  <c r="DW90"/>
  <c r="EB90"/>
  <c r="EQ90" s="1"/>
  <c r="EI90"/>
  <c r="EX90"/>
  <c r="GS90" s="1"/>
  <c r="EK90"/>
  <c r="EW90" s="1"/>
  <c r="FF86"/>
  <c r="DW86"/>
  <c r="EB86"/>
  <c r="EQ86" s="1"/>
  <c r="EI86"/>
  <c r="EX86"/>
  <c r="EK86"/>
  <c r="EW86" s="1"/>
  <c r="FF83"/>
  <c r="DW83"/>
  <c r="EB83"/>
  <c r="EQ83" s="1"/>
  <c r="EI83"/>
  <c r="EX83"/>
  <c r="EK83"/>
  <c r="EW83" s="1"/>
  <c r="FF81"/>
  <c r="DW81"/>
  <c r="EB81"/>
  <c r="EQ81" s="1"/>
  <c r="EK81"/>
  <c r="EW81" s="1"/>
  <c r="EI81"/>
  <c r="EX81"/>
  <c r="FF78"/>
  <c r="DW78"/>
  <c r="EB78"/>
  <c r="EQ78" s="1"/>
  <c r="EI78"/>
  <c r="EX78"/>
  <c r="GS78" s="1"/>
  <c r="EK78"/>
  <c r="EW78" s="1"/>
  <c r="FF74"/>
  <c r="DW74"/>
  <c r="EB74"/>
  <c r="EQ74" s="1"/>
  <c r="EI74"/>
  <c r="EX74"/>
  <c r="EK74"/>
  <c r="EW74" s="1"/>
  <c r="FF73"/>
  <c r="DW73"/>
  <c r="EK73"/>
  <c r="EW73" s="1"/>
  <c r="EI73"/>
  <c r="EX73"/>
  <c r="FF71"/>
  <c r="DW71"/>
  <c r="EB71"/>
  <c r="EQ71" s="1"/>
  <c r="EI71"/>
  <c r="EX71"/>
  <c r="GS71" s="1"/>
  <c r="EK71"/>
  <c r="EW71" s="1"/>
  <c r="FF69"/>
  <c r="DW69"/>
  <c r="EB69"/>
  <c r="EQ69" s="1"/>
  <c r="EK69"/>
  <c r="EW69" s="1"/>
  <c r="EI69"/>
  <c r="EX69"/>
  <c r="FF65"/>
  <c r="DW65"/>
  <c r="EB65"/>
  <c r="EQ65" s="1"/>
  <c r="EK65"/>
  <c r="EW65" s="1"/>
  <c r="EI65"/>
  <c r="EX65"/>
  <c r="FF63"/>
  <c r="DW63"/>
  <c r="EI63"/>
  <c r="EX63"/>
  <c r="GS63" s="1"/>
  <c r="EK63"/>
  <c r="EW63" s="1"/>
  <c r="DW59"/>
  <c r="EI59"/>
  <c r="EX59"/>
  <c r="EK59"/>
  <c r="EW59" s="1"/>
  <c r="DW57"/>
  <c r="EB57"/>
  <c r="EQ57" s="1"/>
  <c r="EK57"/>
  <c r="EW57" s="1"/>
  <c r="EI57"/>
  <c r="EX57"/>
  <c r="DW54"/>
  <c r="EB54"/>
  <c r="EQ54" s="1"/>
  <c r="EI54"/>
  <c r="EX54"/>
  <c r="EK54"/>
  <c r="EW54" s="1"/>
  <c r="DW52"/>
  <c r="EB52"/>
  <c r="EQ52" s="1"/>
  <c r="EK52"/>
  <c r="EW52" s="1"/>
  <c r="EI52"/>
  <c r="EX52"/>
  <c r="GS52" s="1"/>
  <c r="DW49"/>
  <c r="EB49"/>
  <c r="EQ49" s="1"/>
  <c r="EK49"/>
  <c r="EW49" s="1"/>
  <c r="EI49"/>
  <c r="EX49"/>
  <c r="FF47"/>
  <c r="DW47"/>
  <c r="EI47"/>
  <c r="EX47"/>
  <c r="GS47" s="1"/>
  <c r="EK47"/>
  <c r="EW47" s="1"/>
  <c r="DW43"/>
  <c r="EI43"/>
  <c r="EX43"/>
  <c r="EK43"/>
  <c r="EW43" s="1"/>
  <c r="DW40"/>
  <c r="EK40"/>
  <c r="EW40" s="1"/>
  <c r="EI40"/>
  <c r="EX40"/>
  <c r="DW37"/>
  <c r="EB37"/>
  <c r="EQ37" s="1"/>
  <c r="EX37"/>
  <c r="DW34"/>
  <c r="EB34"/>
  <c r="EQ34" s="1"/>
  <c r="EX34"/>
  <c r="DW32"/>
  <c r="EB32"/>
  <c r="EQ32" s="1"/>
  <c r="EX32"/>
  <c r="DW29"/>
  <c r="EB29"/>
  <c r="EQ29" s="1"/>
  <c r="EX29"/>
  <c r="DW28"/>
  <c r="EX28"/>
  <c r="DW26"/>
  <c r="EX26"/>
  <c r="DW22"/>
  <c r="EB22"/>
  <c r="EQ22" s="1"/>
  <c r="EX22"/>
  <c r="DW21"/>
  <c r="EB21"/>
  <c r="EQ21" s="1"/>
  <c r="EX21"/>
  <c r="DW18"/>
  <c r="EB18"/>
  <c r="EQ18" s="1"/>
  <c r="DW10"/>
  <c r="EB10"/>
  <c r="EQ10" s="1"/>
  <c r="AZ93"/>
  <c r="AT54"/>
  <c r="AZ54" s="1"/>
  <c r="AZ141"/>
  <c r="BG141" s="1"/>
  <c r="BH141" s="1"/>
  <c r="EN141" s="1"/>
  <c r="BQ88"/>
  <c r="BW88" s="1"/>
  <c r="CD88" s="1"/>
  <c r="CE88" s="1"/>
  <c r="EO88" s="1"/>
  <c r="BQ90"/>
  <c r="CN186"/>
  <c r="CT186" s="1"/>
  <c r="FF43"/>
  <c r="FF41"/>
  <c r="FF51"/>
  <c r="FF59"/>
  <c r="FF106"/>
  <c r="FF111"/>
  <c r="EB15"/>
  <c r="EQ15" s="1"/>
  <c r="EB63"/>
  <c r="EQ63" s="1"/>
  <c r="EB44"/>
  <c r="EQ44" s="1"/>
  <c r="EB43"/>
  <c r="EQ43" s="1"/>
  <c r="DZ26"/>
  <c r="EB40"/>
  <c r="EQ40" s="1"/>
  <c r="DZ58"/>
  <c r="DZ38"/>
  <c r="DZ86"/>
  <c r="EB99"/>
  <c r="EQ99" s="1"/>
  <c r="EB115"/>
  <c r="EQ115" s="1"/>
  <c r="EB164"/>
  <c r="EQ164" s="1"/>
  <c r="EB72"/>
  <c r="EQ72" s="1"/>
  <c r="DZ110"/>
  <c r="EB124"/>
  <c r="EQ124" s="1"/>
  <c r="DZ146"/>
  <c r="EB176"/>
  <c r="EQ176" s="1"/>
  <c r="EB94"/>
  <c r="EQ94" s="1"/>
  <c r="FG207"/>
  <c r="FH207"/>
  <c r="S203" i="11" s="1"/>
  <c r="FH206" i="9"/>
  <c r="S202" i="11" s="1"/>
  <c r="FG206" i="9"/>
  <c r="FI206" s="1"/>
  <c r="FH205"/>
  <c r="S201" i="11" s="1"/>
  <c r="FG205" i="9"/>
  <c r="FH204"/>
  <c r="S200" i="11" s="1"/>
  <c r="FG204" i="9"/>
  <c r="FI204" s="1"/>
  <c r="FH203"/>
  <c r="S199" i="11" s="1"/>
  <c r="FG203" i="9"/>
  <c r="FG202"/>
  <c r="FH202"/>
  <c r="S198" i="11" s="1"/>
  <c r="FH201" i="9"/>
  <c r="S197" i="11" s="1"/>
  <c r="FG201" i="9"/>
  <c r="FG200"/>
  <c r="FH200"/>
  <c r="S196" i="11" s="1"/>
  <c r="FH199" i="9"/>
  <c r="S195" i="11" s="1"/>
  <c r="FG199" i="9"/>
  <c r="FH198"/>
  <c r="S194" i="11" s="1"/>
  <c r="FG198" i="9"/>
  <c r="FI198" s="1"/>
  <c r="FH197"/>
  <c r="S193" i="11" s="1"/>
  <c r="FG197" i="9"/>
  <c r="FH196"/>
  <c r="S192" i="11" s="1"/>
  <c r="FG196" i="9"/>
  <c r="FI196" s="1"/>
  <c r="FH195"/>
  <c r="S191" i="11" s="1"/>
  <c r="FG195" i="9"/>
  <c r="FH194"/>
  <c r="S190" i="11" s="1"/>
  <c r="FG194" i="9"/>
  <c r="FI194" s="1"/>
  <c r="FG193"/>
  <c r="FH193"/>
  <c r="FH192"/>
  <c r="S188" i="11" s="1"/>
  <c r="FG192" i="9"/>
  <c r="FI192" s="1"/>
  <c r="FG191"/>
  <c r="FH191"/>
  <c r="S187" i="11" s="1"/>
  <c r="FH190" i="9"/>
  <c r="S186" i="11" s="1"/>
  <c r="FG190" i="9"/>
  <c r="FI190" s="1"/>
  <c r="FH189"/>
  <c r="S185" i="11" s="1"/>
  <c r="FG189" i="9"/>
  <c r="FH188"/>
  <c r="S184" i="11" s="1"/>
  <c r="FG188" i="9"/>
  <c r="FI188" s="1"/>
  <c r="FH187"/>
  <c r="S183" i="11" s="1"/>
  <c r="FG187" i="9"/>
  <c r="FG186"/>
  <c r="FH186"/>
  <c r="S182" i="11" s="1"/>
  <c r="FH185" i="9"/>
  <c r="S181" i="11" s="1"/>
  <c r="FG185" i="9"/>
  <c r="FG184"/>
  <c r="FH184"/>
  <c r="S180" i="11" s="1"/>
  <c r="FH183" i="9"/>
  <c r="S179" i="11" s="1"/>
  <c r="FG183" i="9"/>
  <c r="FH182"/>
  <c r="S178" i="11" s="1"/>
  <c r="FG182" i="9"/>
  <c r="FI182" s="1"/>
  <c r="FG181"/>
  <c r="FH181"/>
  <c r="S177" i="11" s="1"/>
  <c r="FH180" i="9"/>
  <c r="S176" i="11" s="1"/>
  <c r="FG180" i="9"/>
  <c r="FI180" s="1"/>
  <c r="FG179"/>
  <c r="FH179"/>
  <c r="S175" i="11" s="1"/>
  <c r="FH178" i="9"/>
  <c r="S174" i="11" s="1"/>
  <c r="FG178" i="9"/>
  <c r="FI178" s="1"/>
  <c r="FH177"/>
  <c r="S173" i="11" s="1"/>
  <c r="FG177" i="9"/>
  <c r="FG176"/>
  <c r="FH176"/>
  <c r="S172" i="11" s="1"/>
  <c r="FH175" i="9"/>
  <c r="S171" i="11" s="1"/>
  <c r="FG175" i="9"/>
  <c r="FH174"/>
  <c r="S170" i="11" s="1"/>
  <c r="FG174" i="9"/>
  <c r="FI174" s="1"/>
  <c r="FG173"/>
  <c r="FH173"/>
  <c r="S169" i="11" s="1"/>
  <c r="FH172" i="9"/>
  <c r="S168" i="11" s="1"/>
  <c r="FG172" i="9"/>
  <c r="FI172" s="1"/>
  <c r="FG171"/>
  <c r="FH171"/>
  <c r="S167" i="11" s="1"/>
  <c r="FH170" i="9"/>
  <c r="S166" i="11" s="1"/>
  <c r="FG170" i="9"/>
  <c r="FI170" s="1"/>
  <c r="FH169"/>
  <c r="S165" i="11" s="1"/>
  <c r="FG169" i="9"/>
  <c r="FG168"/>
  <c r="FH168"/>
  <c r="S164" i="11" s="1"/>
  <c r="FH167" i="9"/>
  <c r="S163" i="11" s="1"/>
  <c r="FG167" i="9"/>
  <c r="FH166"/>
  <c r="S162" i="11" s="1"/>
  <c r="FG166" i="9"/>
  <c r="FI166" s="1"/>
  <c r="FG165"/>
  <c r="FH165"/>
  <c r="S161" i="11" s="1"/>
  <c r="FH164" i="9"/>
  <c r="S160" i="11" s="1"/>
  <c r="FG164" i="9"/>
  <c r="FI164" s="1"/>
  <c r="FG163"/>
  <c r="FH163"/>
  <c r="S159" i="11" s="1"/>
  <c r="FH162" i="9"/>
  <c r="S158" i="11" s="1"/>
  <c r="FG162" i="9"/>
  <c r="FI162" s="1"/>
  <c r="FH161"/>
  <c r="S157" i="11" s="1"/>
  <c r="FG161" i="9"/>
  <c r="FG160"/>
  <c r="FH160"/>
  <c r="S156" i="11" s="1"/>
  <c r="FH159" i="9"/>
  <c r="S155" i="11" s="1"/>
  <c r="FG159" i="9"/>
  <c r="FG158"/>
  <c r="FH158"/>
  <c r="S154" i="11" s="1"/>
  <c r="FH157" i="9"/>
  <c r="S153" i="11" s="1"/>
  <c r="FG157" i="9"/>
  <c r="FH156"/>
  <c r="S152" i="11" s="1"/>
  <c r="FG156" i="9"/>
  <c r="FH155"/>
  <c r="S151" i="11" s="1"/>
  <c r="FG155" i="9"/>
  <c r="FH154"/>
  <c r="S150" i="11" s="1"/>
  <c r="FG154" i="9"/>
  <c r="FI154" s="1"/>
  <c r="FG153"/>
  <c r="FH153"/>
  <c r="S149" i="11" s="1"/>
  <c r="FH152" i="9"/>
  <c r="S148" i="11" s="1"/>
  <c r="FG152" i="9"/>
  <c r="FG151"/>
  <c r="FH151"/>
  <c r="S147" i="11" s="1"/>
  <c r="FH150" i="9"/>
  <c r="S146" i="11" s="1"/>
  <c r="FG150" i="9"/>
  <c r="FI150" s="1"/>
  <c r="FH149"/>
  <c r="S145" i="11" s="1"/>
  <c r="FG149" i="9"/>
  <c r="FH148"/>
  <c r="S144" i="11" s="1"/>
  <c r="FG148" i="9"/>
  <c r="FH147"/>
  <c r="S143" i="11" s="1"/>
  <c r="FG147" i="9"/>
  <c r="FH146"/>
  <c r="S142" i="11" s="1"/>
  <c r="FG146" i="9"/>
  <c r="FI146" s="1"/>
  <c r="FH145"/>
  <c r="S141" i="11" s="1"/>
  <c r="FG145" i="9"/>
  <c r="FG144"/>
  <c r="FH144"/>
  <c r="FH143"/>
  <c r="S139" i="11" s="1"/>
  <c r="FG143" i="9"/>
  <c r="FG142"/>
  <c r="FH142"/>
  <c r="S138" i="11" s="1"/>
  <c r="FH141" i="9"/>
  <c r="S137" i="11" s="1"/>
  <c r="FG141" i="9"/>
  <c r="FH140"/>
  <c r="S136" i="11" s="1"/>
  <c r="FG140" i="9"/>
  <c r="FH139"/>
  <c r="S135" i="11" s="1"/>
  <c r="FG139" i="9"/>
  <c r="FH138"/>
  <c r="S134" i="11" s="1"/>
  <c r="FG138" i="9"/>
  <c r="FI138" s="1"/>
  <c r="FG137"/>
  <c r="FH137"/>
  <c r="S133" i="11" s="1"/>
  <c r="FH136" i="9"/>
  <c r="S132" i="11" s="1"/>
  <c r="FG136" i="9"/>
  <c r="FG135"/>
  <c r="FH135"/>
  <c r="S131" i="11" s="1"/>
  <c r="FH134" i="9"/>
  <c r="S130" i="11" s="1"/>
  <c r="FG134" i="9"/>
  <c r="FI134" s="1"/>
  <c r="FH133"/>
  <c r="S129" i="11" s="1"/>
  <c r="FG133" i="9"/>
  <c r="FH132"/>
  <c r="S128" i="11" s="1"/>
  <c r="FG132" i="9"/>
  <c r="FH131"/>
  <c r="S127" i="11" s="1"/>
  <c r="FG131" i="9"/>
  <c r="FH130"/>
  <c r="S126" i="11" s="1"/>
  <c r="FG130" i="9"/>
  <c r="FI130" s="1"/>
  <c r="FH129"/>
  <c r="S125" i="11" s="1"/>
  <c r="FG129" i="9"/>
  <c r="FG128"/>
  <c r="FH128"/>
  <c r="FH127"/>
  <c r="S123" i="11" s="1"/>
  <c r="FG127" i="9"/>
  <c r="FG126"/>
  <c r="FH126"/>
  <c r="S122" i="11" s="1"/>
  <c r="FH125" i="9"/>
  <c r="S121" i="11" s="1"/>
  <c r="FG125" i="9"/>
  <c r="FH124"/>
  <c r="S120" i="11" s="1"/>
  <c r="FG124" i="9"/>
  <c r="FH123"/>
  <c r="S119" i="11" s="1"/>
  <c r="FG123" i="9"/>
  <c r="FH122"/>
  <c r="S118" i="11" s="1"/>
  <c r="FG122" i="9"/>
  <c r="FI122" s="1"/>
  <c r="FG121"/>
  <c r="FH121"/>
  <c r="S117" i="11" s="1"/>
  <c r="FH120" i="9"/>
  <c r="S116" i="11" s="1"/>
  <c r="FG120" i="9"/>
  <c r="FG119"/>
  <c r="FH119"/>
  <c r="S115" i="11" s="1"/>
  <c r="FH118" i="9"/>
  <c r="S114" i="11" s="1"/>
  <c r="FG118" i="9"/>
  <c r="FI118" s="1"/>
  <c r="FH117"/>
  <c r="S113" i="11" s="1"/>
  <c r="FG117" i="9"/>
  <c r="FH116"/>
  <c r="S112" i="11" s="1"/>
  <c r="FG116" i="9"/>
  <c r="FH115"/>
  <c r="S111" i="11" s="1"/>
  <c r="FG115" i="9"/>
  <c r="FH114"/>
  <c r="S110" i="11" s="1"/>
  <c r="FG114" i="9"/>
  <c r="FI114" s="1"/>
  <c r="FH113"/>
  <c r="S109" i="11" s="1"/>
  <c r="FG113" i="9"/>
  <c r="FG112"/>
  <c r="FH112"/>
  <c r="S108" i="11" s="1"/>
  <c r="FH111" i="9"/>
  <c r="S107" i="11" s="1"/>
  <c r="FG111" i="9"/>
  <c r="FG110"/>
  <c r="FH110"/>
  <c r="S106" i="11" s="1"/>
  <c r="FH109" i="9"/>
  <c r="S105" i="11" s="1"/>
  <c r="FG109" i="9"/>
  <c r="FH108"/>
  <c r="S104" i="11" s="1"/>
  <c r="FG108" i="9"/>
  <c r="FH107"/>
  <c r="S103" i="11" s="1"/>
  <c r="FG107" i="9"/>
  <c r="FH106"/>
  <c r="S102" i="11" s="1"/>
  <c r="FG106" i="9"/>
  <c r="FI106" s="1"/>
  <c r="FG105"/>
  <c r="FH105"/>
  <c r="S101" i="11" s="1"/>
  <c r="FH104" i="9"/>
  <c r="S100" i="11" s="1"/>
  <c r="FG104" i="9"/>
  <c r="FG103"/>
  <c r="FH103"/>
  <c r="S99" i="11" s="1"/>
  <c r="FH102" i="9"/>
  <c r="S98" i="11" s="1"/>
  <c r="FG102" i="9"/>
  <c r="FI102" s="1"/>
  <c r="FH101"/>
  <c r="S97" i="11" s="1"/>
  <c r="FG101" i="9"/>
  <c r="FH100"/>
  <c r="S96" i="11" s="1"/>
  <c r="FG100" i="9"/>
  <c r="FH99"/>
  <c r="S95" i="11" s="1"/>
  <c r="FG99" i="9"/>
  <c r="FH98"/>
  <c r="S94" i="11" s="1"/>
  <c r="FG98" i="9"/>
  <c r="FI98" s="1"/>
  <c r="FH97"/>
  <c r="S93" i="11" s="1"/>
  <c r="FG97" i="9"/>
  <c r="FG96"/>
  <c r="FH96"/>
  <c r="FH95"/>
  <c r="S91" i="11" s="1"/>
  <c r="FG95" i="9"/>
  <c r="FG94"/>
  <c r="FH94"/>
  <c r="S90" i="11" s="1"/>
  <c r="FH93" i="9"/>
  <c r="S89" i="11" s="1"/>
  <c r="FG93" i="9"/>
  <c r="FH92"/>
  <c r="S88" i="11" s="1"/>
  <c r="FG92" i="9"/>
  <c r="FH91"/>
  <c r="S87" i="11" s="1"/>
  <c r="FG91" i="9"/>
  <c r="FH90"/>
  <c r="S86" i="11" s="1"/>
  <c r="FG90" i="9"/>
  <c r="FI90" s="1"/>
  <c r="FG89"/>
  <c r="FH89"/>
  <c r="S85" i="11" s="1"/>
  <c r="FH88" i="9"/>
  <c r="S84" i="11" s="1"/>
  <c r="FG88" i="9"/>
  <c r="FG87"/>
  <c r="FH87"/>
  <c r="S83" i="11" s="1"/>
  <c r="FH86" i="9"/>
  <c r="S82" i="11" s="1"/>
  <c r="FG86" i="9"/>
  <c r="FI86" s="1"/>
  <c r="FH85"/>
  <c r="S81" i="11" s="1"/>
  <c r="FG85" i="9"/>
  <c r="FH84"/>
  <c r="S80" i="11" s="1"/>
  <c r="FG84" i="9"/>
  <c r="FI84" s="1"/>
  <c r="FH83"/>
  <c r="S79" i="11" s="1"/>
  <c r="FG83" i="9"/>
  <c r="FH82"/>
  <c r="S78" i="11" s="1"/>
  <c r="FG82" i="9"/>
  <c r="FI82" s="1"/>
  <c r="FH81"/>
  <c r="S77" i="11" s="1"/>
  <c r="FG81" i="9"/>
  <c r="FG80"/>
  <c r="FH80"/>
  <c r="FH79"/>
  <c r="S75" i="11" s="1"/>
  <c r="FG79" i="9"/>
  <c r="FG78"/>
  <c r="FH78"/>
  <c r="S74" i="11" s="1"/>
  <c r="FH77" i="9"/>
  <c r="S73" i="11" s="1"/>
  <c r="FG77" i="9"/>
  <c r="FH76"/>
  <c r="S72" i="11" s="1"/>
  <c r="FG76" i="9"/>
  <c r="FH75"/>
  <c r="S71" i="11" s="1"/>
  <c r="FG75" i="9"/>
  <c r="FH74"/>
  <c r="S70" i="11" s="1"/>
  <c r="FG74" i="9"/>
  <c r="FG73"/>
  <c r="FH73"/>
  <c r="S69" i="11" s="1"/>
  <c r="FH72" i="9"/>
  <c r="S68" i="11" s="1"/>
  <c r="FG72" i="9"/>
  <c r="FI72" s="1"/>
  <c r="FG71"/>
  <c r="FH71"/>
  <c r="S67" i="11" s="1"/>
  <c r="FH70" i="9"/>
  <c r="S66" i="11" s="1"/>
  <c r="FG70" i="9"/>
  <c r="FH69"/>
  <c r="S65" i="11" s="1"/>
  <c r="FG69" i="9"/>
  <c r="FH68"/>
  <c r="S64" i="11" s="1"/>
  <c r="FG68" i="9"/>
  <c r="FI68" s="1"/>
  <c r="FH67"/>
  <c r="S63" i="11" s="1"/>
  <c r="FG67" i="9"/>
  <c r="FH66"/>
  <c r="S62" i="11" s="1"/>
  <c r="FG66" i="9"/>
  <c r="FI66" s="1"/>
  <c r="FH65"/>
  <c r="S61" i="11" s="1"/>
  <c r="FG65" i="9"/>
  <c r="FG64"/>
  <c r="FH64"/>
  <c r="FH63"/>
  <c r="S59" i="11" s="1"/>
  <c r="FG63" i="9"/>
  <c r="FG62"/>
  <c r="FH62"/>
  <c r="S58" i="11" s="1"/>
  <c r="FH61" i="9"/>
  <c r="S57" i="11" s="1"/>
  <c r="FG61" i="9"/>
  <c r="FH60"/>
  <c r="S56" i="11" s="1"/>
  <c r="FG60" i="9"/>
  <c r="FH59"/>
  <c r="S55" i="11" s="1"/>
  <c r="FG59" i="9"/>
  <c r="FH58"/>
  <c r="S54" i="11" s="1"/>
  <c r="FG58" i="9"/>
  <c r="FI58" s="1"/>
  <c r="FG57"/>
  <c r="FH57"/>
  <c r="S53" i="11" s="1"/>
  <c r="FH56" i="9"/>
  <c r="S52" i="11" s="1"/>
  <c r="FG56" i="9"/>
  <c r="FG55"/>
  <c r="FH55"/>
  <c r="S51" i="11" s="1"/>
  <c r="FH54" i="9"/>
  <c r="S50" i="11" s="1"/>
  <c r="FG54" i="9"/>
  <c r="FI54" s="1"/>
  <c r="FH53"/>
  <c r="S49" i="11" s="1"/>
  <c r="FG53" i="9"/>
  <c r="FH52"/>
  <c r="S48" i="11" s="1"/>
  <c r="FG52" i="9"/>
  <c r="FH51"/>
  <c r="S47" i="11" s="1"/>
  <c r="FG51" i="9"/>
  <c r="FH50"/>
  <c r="S46" i="11" s="1"/>
  <c r="FG50" i="9"/>
  <c r="FI50" s="1"/>
  <c r="FH49"/>
  <c r="S45" i="11" s="1"/>
  <c r="FG49" i="9"/>
  <c r="FG48"/>
  <c r="FH48"/>
  <c r="FH47"/>
  <c r="S43" i="11" s="1"/>
  <c r="FG47" i="9"/>
  <c r="FG46"/>
  <c r="FH46"/>
  <c r="S42" i="11" s="1"/>
  <c r="FH45" i="9"/>
  <c r="S41" i="11" s="1"/>
  <c r="FG45" i="9"/>
  <c r="FH44"/>
  <c r="S40" i="11" s="1"/>
  <c r="FG44" i="9"/>
  <c r="FH43"/>
  <c r="S39" i="11" s="1"/>
  <c r="FG43" i="9"/>
  <c r="FH42"/>
  <c r="S38" i="11" s="1"/>
  <c r="FG42" i="9"/>
  <c r="FI42" s="1"/>
  <c r="FG41"/>
  <c r="FH41"/>
  <c r="S37" i="11" s="1"/>
  <c r="FH40" i="9"/>
  <c r="S36" i="11" s="1"/>
  <c r="FG40" i="9"/>
  <c r="FG39"/>
  <c r="FH39"/>
  <c r="S35" i="11" s="1"/>
  <c r="FH38" i="9"/>
  <c r="S34" i="11" s="1"/>
  <c r="FG38" i="9"/>
  <c r="FI38" s="1"/>
  <c r="FH37"/>
  <c r="S33" i="11" s="1"/>
  <c r="FG37" i="9"/>
  <c r="FH36"/>
  <c r="S32" i="11" s="1"/>
  <c r="FG36" i="9"/>
  <c r="FH35"/>
  <c r="S31" i="11" s="1"/>
  <c r="FG35" i="9"/>
  <c r="FH34"/>
  <c r="S30" i="11" s="1"/>
  <c r="FG34" i="9"/>
  <c r="FI34" s="1"/>
  <c r="FH33"/>
  <c r="S29" i="11" s="1"/>
  <c r="FG33" i="9"/>
  <c r="FG32"/>
  <c r="FH32"/>
  <c r="S28" i="11" s="1"/>
  <c r="FH31" i="9"/>
  <c r="S27" i="11" s="1"/>
  <c r="FG31" i="9"/>
  <c r="FG30"/>
  <c r="FH30"/>
  <c r="S26" i="11" s="1"/>
  <c r="FH29" i="9"/>
  <c r="S25" i="11" s="1"/>
  <c r="FG29" i="9"/>
  <c r="FH28"/>
  <c r="S24" i="11" s="1"/>
  <c r="FG28" i="9"/>
  <c r="FH27"/>
  <c r="S23" i="11" s="1"/>
  <c r="FG27" i="9"/>
  <c r="FH26"/>
  <c r="S22" i="11" s="1"/>
  <c r="FG26" i="9"/>
  <c r="FI26" s="1"/>
  <c r="FG25"/>
  <c r="FH25"/>
  <c r="S21" i="11" s="1"/>
  <c r="FH24" i="9"/>
  <c r="S20" i="11" s="1"/>
  <c r="FG24" i="9"/>
  <c r="FG23"/>
  <c r="FH23"/>
  <c r="S19" i="11" s="1"/>
  <c r="FH22" i="9"/>
  <c r="S18" i="11" s="1"/>
  <c r="FG22" i="9"/>
  <c r="FI22" s="1"/>
  <c r="FH21"/>
  <c r="S17" i="11" s="1"/>
  <c r="FG21" i="9"/>
  <c r="FH20"/>
  <c r="S16" i="11" s="1"/>
  <c r="FG20" i="9"/>
  <c r="FH19"/>
  <c r="S15" i="11" s="1"/>
  <c r="FG19" i="9"/>
  <c r="FH18"/>
  <c r="S14" i="11" s="1"/>
  <c r="FG18" i="9"/>
  <c r="FH17"/>
  <c r="FG17"/>
  <c r="FI17" s="1"/>
  <c r="FH16"/>
  <c r="FG16"/>
  <c r="FI16" s="1"/>
  <c r="FH15"/>
  <c r="FG15"/>
  <c r="FI15" s="1"/>
  <c r="FG14"/>
  <c r="FH14"/>
  <c r="FI14" s="1"/>
  <c r="FH13"/>
  <c r="FG13"/>
  <c r="FI13" s="1"/>
  <c r="FG12"/>
  <c r="FH12"/>
  <c r="FH11"/>
  <c r="FG11"/>
  <c r="FG10"/>
  <c r="FH10"/>
  <c r="FI10" s="1"/>
  <c r="FH9"/>
  <c r="FG9"/>
  <c r="FI9" s="1"/>
  <c r="AZ168"/>
  <c r="BQ47"/>
  <c r="BQ82"/>
  <c r="BW82" s="1"/>
  <c r="CD82" s="1"/>
  <c r="CE82" s="1"/>
  <c r="EO82" s="1"/>
  <c r="FF60"/>
  <c r="FF40"/>
  <c r="FF56"/>
  <c r="FF49"/>
  <c r="FF57"/>
  <c r="FF104"/>
  <c r="FF112"/>
  <c r="FF105"/>
  <c r="DZ44"/>
  <c r="DZ76"/>
  <c r="EB47"/>
  <c r="EQ47" s="1"/>
  <c r="DZ24"/>
  <c r="DZ56"/>
  <c r="DZ88"/>
  <c r="EB59"/>
  <c r="EQ59" s="1"/>
  <c r="DZ20"/>
  <c r="DZ52"/>
  <c r="EB9"/>
  <c r="EQ9" s="1"/>
  <c r="DZ25"/>
  <c r="DZ32"/>
  <c r="EB41"/>
  <c r="EQ41" s="1"/>
  <c r="DZ57"/>
  <c r="DZ116"/>
  <c r="DZ158"/>
  <c r="DZ168"/>
  <c r="DZ207"/>
  <c r="DZ64"/>
  <c r="DZ73"/>
  <c r="DZ84"/>
  <c r="DZ112"/>
  <c r="DZ171"/>
  <c r="DZ186"/>
  <c r="DZ196"/>
  <c r="DZ70"/>
  <c r="EB73"/>
  <c r="EQ73" s="1"/>
  <c r="EB96"/>
  <c r="EQ96" s="1"/>
  <c r="DZ99"/>
  <c r="DZ132"/>
  <c r="DZ167"/>
  <c r="EB180"/>
  <c r="EQ180" s="1"/>
  <c r="DZ182"/>
  <c r="DZ192"/>
  <c r="DZ104"/>
  <c r="EB113"/>
  <c r="EQ113" s="1"/>
  <c r="EB167"/>
  <c r="EQ167" s="1"/>
  <c r="DZ179"/>
  <c r="EB192"/>
  <c r="EQ192" s="1"/>
  <c r="DZ194"/>
  <c r="DZ204"/>
  <c r="EB122"/>
  <c r="EQ122" s="1"/>
  <c r="FF206"/>
  <c r="DW206"/>
  <c r="EB206"/>
  <c r="EQ206" s="1"/>
  <c r="EI206"/>
  <c r="EX206"/>
  <c r="EK206"/>
  <c r="EW206" s="1"/>
  <c r="FF203"/>
  <c r="EI203"/>
  <c r="EX203"/>
  <c r="DW203"/>
  <c r="EB203"/>
  <c r="EQ203" s="1"/>
  <c r="EK203"/>
  <c r="EW203" s="1"/>
  <c r="FF200"/>
  <c r="DW200"/>
  <c r="EB200"/>
  <c r="EQ200" s="1"/>
  <c r="EK200"/>
  <c r="EW200" s="1"/>
  <c r="EI200"/>
  <c r="EX200"/>
  <c r="FF197"/>
  <c r="EK197"/>
  <c r="EW197" s="1"/>
  <c r="DW197"/>
  <c r="EB197"/>
  <c r="EQ197" s="1"/>
  <c r="EI197"/>
  <c r="EX197"/>
  <c r="FF194"/>
  <c r="DW194"/>
  <c r="EB194"/>
  <c r="EQ194" s="1"/>
  <c r="EI194"/>
  <c r="EX194"/>
  <c r="EK194"/>
  <c r="EW194" s="1"/>
  <c r="FF192"/>
  <c r="DW192"/>
  <c r="EK192"/>
  <c r="EW192" s="1"/>
  <c r="EI192"/>
  <c r="EX192"/>
  <c r="GS192" s="1"/>
  <c r="FF191"/>
  <c r="EI191"/>
  <c r="EX191"/>
  <c r="DW191"/>
  <c r="EB191"/>
  <c r="EQ191" s="1"/>
  <c r="EK191"/>
  <c r="EW191" s="1"/>
  <c r="FF188"/>
  <c r="DW188"/>
  <c r="EB188"/>
  <c r="EQ188" s="1"/>
  <c r="EK188"/>
  <c r="EW188" s="1"/>
  <c r="EI188"/>
  <c r="EX188"/>
  <c r="FF185"/>
  <c r="EK185"/>
  <c r="EW185" s="1"/>
  <c r="DW185"/>
  <c r="EB185"/>
  <c r="EQ185" s="1"/>
  <c r="EI185"/>
  <c r="EX185"/>
  <c r="FF182"/>
  <c r="DW182"/>
  <c r="EB182"/>
  <c r="EQ182" s="1"/>
  <c r="EI182"/>
  <c r="EX182"/>
  <c r="EK182"/>
  <c r="EW182" s="1"/>
  <c r="FF178"/>
  <c r="DW178"/>
  <c r="EB178"/>
  <c r="EQ178" s="1"/>
  <c r="EI178"/>
  <c r="EX178"/>
  <c r="EK178"/>
  <c r="EW178" s="1"/>
  <c r="FF175"/>
  <c r="EI175"/>
  <c r="EX175"/>
  <c r="DW175"/>
  <c r="EB175"/>
  <c r="EQ175" s="1"/>
  <c r="EK175"/>
  <c r="EW175" s="1"/>
  <c r="FF172"/>
  <c r="DW172"/>
  <c r="EB172"/>
  <c r="EQ172" s="1"/>
  <c r="EK172"/>
  <c r="EW172" s="1"/>
  <c r="EI172"/>
  <c r="EX172"/>
  <c r="GS172" s="1"/>
  <c r="FF169"/>
  <c r="EK169"/>
  <c r="EW169" s="1"/>
  <c r="DW169"/>
  <c r="EB169"/>
  <c r="EQ169" s="1"/>
  <c r="EI169"/>
  <c r="EX169"/>
  <c r="FF166"/>
  <c r="DW166"/>
  <c r="EB166"/>
  <c r="EQ166" s="1"/>
  <c r="EI166"/>
  <c r="EX166"/>
  <c r="EK166"/>
  <c r="EW166" s="1"/>
  <c r="FF163"/>
  <c r="EI163"/>
  <c r="EX163"/>
  <c r="DW163"/>
  <c r="EB163"/>
  <c r="EQ163" s="1"/>
  <c r="EK163"/>
  <c r="EW163" s="1"/>
  <c r="FF158"/>
  <c r="DW158"/>
  <c r="EB158"/>
  <c r="EQ158" s="1"/>
  <c r="EI158"/>
  <c r="EX158"/>
  <c r="GS158" s="1"/>
  <c r="EK158"/>
  <c r="EW158" s="1"/>
  <c r="FF155"/>
  <c r="EI155"/>
  <c r="EX155"/>
  <c r="GS155" s="1"/>
  <c r="DW155"/>
  <c r="EK155"/>
  <c r="EW155" s="1"/>
  <c r="FF152"/>
  <c r="DW152"/>
  <c r="EB152"/>
  <c r="EQ152" s="1"/>
  <c r="EK152"/>
  <c r="EW152" s="1"/>
  <c r="EI152"/>
  <c r="EX152"/>
  <c r="FF149"/>
  <c r="DW149"/>
  <c r="EB149"/>
  <c r="EQ149" s="1"/>
  <c r="EK149"/>
  <c r="EW149" s="1"/>
  <c r="EI149"/>
  <c r="EX149"/>
  <c r="GS149" s="1"/>
  <c r="FF146"/>
  <c r="DW146"/>
  <c r="EB146"/>
  <c r="EQ146" s="1"/>
  <c r="EI146"/>
  <c r="EX146"/>
  <c r="EK146"/>
  <c r="EW146" s="1"/>
  <c r="FF145"/>
  <c r="DW145"/>
  <c r="EB145"/>
  <c r="EQ145" s="1"/>
  <c r="EK145"/>
  <c r="EW145" s="1"/>
  <c r="EI145"/>
  <c r="EX145"/>
  <c r="FF142"/>
  <c r="DW142"/>
  <c r="EB142"/>
  <c r="EQ142" s="1"/>
  <c r="EI142"/>
  <c r="EX142"/>
  <c r="GS142" s="1"/>
  <c r="EK142"/>
  <c r="EW142" s="1"/>
  <c r="FF139"/>
  <c r="DW139"/>
  <c r="EI139"/>
  <c r="EX139"/>
  <c r="GS139" s="1"/>
  <c r="EK139"/>
  <c r="EW139" s="1"/>
  <c r="FF136"/>
  <c r="DW136"/>
  <c r="EB136"/>
  <c r="EQ136" s="1"/>
  <c r="EK136"/>
  <c r="EW136" s="1"/>
  <c r="EI136"/>
  <c r="EX136"/>
  <c r="FF132"/>
  <c r="DW132"/>
  <c r="EB132"/>
  <c r="EQ132" s="1"/>
  <c r="EK132"/>
  <c r="EW132" s="1"/>
  <c r="EI132"/>
  <c r="EX132"/>
  <c r="FF129"/>
  <c r="DW129"/>
  <c r="EB129"/>
  <c r="EQ129" s="1"/>
  <c r="EK129"/>
  <c r="EW129" s="1"/>
  <c r="EI129"/>
  <c r="EX129"/>
  <c r="GS129" s="1"/>
  <c r="FF126"/>
  <c r="DW126"/>
  <c r="EB126"/>
  <c r="EQ126" s="1"/>
  <c r="EI126"/>
  <c r="EX126"/>
  <c r="EK126"/>
  <c r="EW126" s="1"/>
  <c r="FF123"/>
  <c r="DW123"/>
  <c r="EB123"/>
  <c r="EQ123" s="1"/>
  <c r="EI123"/>
  <c r="EX123"/>
  <c r="EK123"/>
  <c r="EW123" s="1"/>
  <c r="FF120"/>
  <c r="DW120"/>
  <c r="EB120"/>
  <c r="EQ120" s="1"/>
  <c r="EK120"/>
  <c r="EW120" s="1"/>
  <c r="EI120"/>
  <c r="EX120"/>
  <c r="GS120" s="1"/>
  <c r="FF117"/>
  <c r="DW117"/>
  <c r="EB117"/>
  <c r="EQ117" s="1"/>
  <c r="EK117"/>
  <c r="EW117" s="1"/>
  <c r="EI117"/>
  <c r="EX117"/>
  <c r="GS117" s="1"/>
  <c r="FF114"/>
  <c r="DW114"/>
  <c r="EB114"/>
  <c r="EQ114" s="1"/>
  <c r="EI114"/>
  <c r="EX114"/>
  <c r="EK114"/>
  <c r="EW114" s="1"/>
  <c r="DW111"/>
  <c r="EB111"/>
  <c r="EQ111" s="1"/>
  <c r="EI111"/>
  <c r="EX111"/>
  <c r="GS111" s="1"/>
  <c r="EK111"/>
  <c r="EW111" s="1"/>
  <c r="DW107"/>
  <c r="EB107"/>
  <c r="EQ107" s="1"/>
  <c r="EI107"/>
  <c r="EX107"/>
  <c r="EK107"/>
  <c r="EW107" s="1"/>
  <c r="DW104"/>
  <c r="EB104"/>
  <c r="EQ104" s="1"/>
  <c r="EK104"/>
  <c r="EW104" s="1"/>
  <c r="EI104"/>
  <c r="EX104"/>
  <c r="GS104" s="1"/>
  <c r="DW101"/>
  <c r="EB101"/>
  <c r="EQ101" s="1"/>
  <c r="EK101"/>
  <c r="EW101" s="1"/>
  <c r="EI101"/>
  <c r="EX101"/>
  <c r="FF98"/>
  <c r="DW98"/>
  <c r="EB98"/>
  <c r="EQ98" s="1"/>
  <c r="EI98"/>
  <c r="EX98"/>
  <c r="EK98"/>
  <c r="EW98" s="1"/>
  <c r="FF95"/>
  <c r="DW95"/>
  <c r="EB95"/>
  <c r="EQ95" s="1"/>
  <c r="EI95"/>
  <c r="EX95"/>
  <c r="GS95" s="1"/>
  <c r="EK95"/>
  <c r="EW95" s="1"/>
  <c r="FF92"/>
  <c r="DW92"/>
  <c r="EB92"/>
  <c r="EQ92" s="1"/>
  <c r="EK92"/>
  <c r="EW92" s="1"/>
  <c r="EI92"/>
  <c r="EX92"/>
  <c r="GS92" s="1"/>
  <c r="FF89"/>
  <c r="DW89"/>
  <c r="EK89"/>
  <c r="EW89" s="1"/>
  <c r="EI89"/>
  <c r="EX89"/>
  <c r="FF88"/>
  <c r="DW88"/>
  <c r="EB88"/>
  <c r="EQ88" s="1"/>
  <c r="EK88"/>
  <c r="EW88" s="1"/>
  <c r="EI88"/>
  <c r="EX88"/>
  <c r="GS88" s="1"/>
  <c r="FF85"/>
  <c r="DW85"/>
  <c r="EB85"/>
  <c r="EQ85" s="1"/>
  <c r="EK85"/>
  <c r="EW85" s="1"/>
  <c r="EI85"/>
  <c r="EX85"/>
  <c r="GS85" s="1"/>
  <c r="FF82"/>
  <c r="DW82"/>
  <c r="EB82"/>
  <c r="EQ82" s="1"/>
  <c r="EI82"/>
  <c r="EX82"/>
  <c r="EK82"/>
  <c r="EW82" s="1"/>
  <c r="FF79"/>
  <c r="DW79"/>
  <c r="EB79"/>
  <c r="EQ79" s="1"/>
  <c r="EI79"/>
  <c r="EX79"/>
  <c r="EK79"/>
  <c r="EW79" s="1"/>
  <c r="FF76"/>
  <c r="DW76"/>
  <c r="EB76"/>
  <c r="EQ76" s="1"/>
  <c r="EK76"/>
  <c r="EW76" s="1"/>
  <c r="EI76"/>
  <c r="EX76"/>
  <c r="GS76" s="1"/>
  <c r="FF70"/>
  <c r="DW70"/>
  <c r="EB70"/>
  <c r="EQ70" s="1"/>
  <c r="EI70"/>
  <c r="EX70"/>
  <c r="EK70"/>
  <c r="EW70" s="1"/>
  <c r="FF67"/>
  <c r="DW67"/>
  <c r="EB67"/>
  <c r="EQ67" s="1"/>
  <c r="EI67"/>
  <c r="EX67"/>
  <c r="EK67"/>
  <c r="EW67" s="1"/>
  <c r="FF64"/>
  <c r="DW64"/>
  <c r="EB64"/>
  <c r="EQ64" s="1"/>
  <c r="EK64"/>
  <c r="EW64" s="1"/>
  <c r="EI64"/>
  <c r="EX64"/>
  <c r="FF61"/>
  <c r="DW61"/>
  <c r="EB61"/>
  <c r="EQ61" s="1"/>
  <c r="EK61"/>
  <c r="EW61" s="1"/>
  <c r="EI61"/>
  <c r="EX61"/>
  <c r="GS61" s="1"/>
  <c r="DW58"/>
  <c r="EB58"/>
  <c r="EQ58" s="1"/>
  <c r="EI58"/>
  <c r="EX58"/>
  <c r="EK58"/>
  <c r="EW58" s="1"/>
  <c r="DW55"/>
  <c r="EB55"/>
  <c r="EQ55" s="1"/>
  <c r="EI55"/>
  <c r="EX55"/>
  <c r="EK55"/>
  <c r="EW55" s="1"/>
  <c r="DW51"/>
  <c r="EB51"/>
  <c r="EQ51" s="1"/>
  <c r="EI51"/>
  <c r="EX51"/>
  <c r="GS51" s="1"/>
  <c r="EK51"/>
  <c r="EW51" s="1"/>
  <c r="DW48"/>
  <c r="EB48"/>
  <c r="EQ48" s="1"/>
  <c r="EK48"/>
  <c r="EW48" s="1"/>
  <c r="EI48"/>
  <c r="EX48"/>
  <c r="GS48" s="1"/>
  <c r="DW45"/>
  <c r="EB45"/>
  <c r="EQ45" s="1"/>
  <c r="EK45"/>
  <c r="EW45" s="1"/>
  <c r="EI45"/>
  <c r="EX45"/>
  <c r="FF42"/>
  <c r="DW42"/>
  <c r="EB42"/>
  <c r="EQ42" s="1"/>
  <c r="EI42"/>
  <c r="EX42"/>
  <c r="EK42"/>
  <c r="EW42" s="1"/>
  <c r="FF39"/>
  <c r="DW39"/>
  <c r="EB39"/>
  <c r="EQ39" s="1"/>
  <c r="EI39"/>
  <c r="EX39"/>
  <c r="GS39" s="1"/>
  <c r="EK39"/>
  <c r="EW39" s="1"/>
  <c r="DW36"/>
  <c r="EB36"/>
  <c r="EQ36" s="1"/>
  <c r="EX36"/>
  <c r="DW33"/>
  <c r="EB33"/>
  <c r="EQ33" s="1"/>
  <c r="EX33"/>
  <c r="DW30"/>
  <c r="EB30"/>
  <c r="EQ30" s="1"/>
  <c r="EX30"/>
  <c r="DW27"/>
  <c r="EB27"/>
  <c r="EQ27" s="1"/>
  <c r="EX27"/>
  <c r="DW24"/>
  <c r="EX24"/>
  <c r="DW17"/>
  <c r="EB17"/>
  <c r="EQ17" s="1"/>
  <c r="BQ102"/>
  <c r="BW102" s="1"/>
  <c r="CD102" s="1"/>
  <c r="CE102" s="1"/>
  <c r="EO102" s="1"/>
  <c r="FF58"/>
  <c r="FF54"/>
  <c r="FF45"/>
  <c r="FF55"/>
  <c r="FF102"/>
  <c r="FF110"/>
  <c r="FF107"/>
  <c r="FF103"/>
  <c r="EB26"/>
  <c r="EQ26" s="1"/>
  <c r="EB28"/>
  <c r="EQ28" s="1"/>
  <c r="EB60"/>
  <c r="EQ60" s="1"/>
  <c r="DZ10"/>
  <c r="EB24"/>
  <c r="EQ24" s="1"/>
  <c r="DZ42"/>
  <c r="DZ22"/>
  <c r="DZ54"/>
  <c r="EB171"/>
  <c r="EQ171" s="1"/>
  <c r="EB196"/>
  <c r="EQ196" s="1"/>
  <c r="EB89"/>
  <c r="EQ89" s="1"/>
  <c r="DZ94"/>
  <c r="EB108"/>
  <c r="EQ108" s="1"/>
  <c r="EB183"/>
  <c r="EQ183" s="1"/>
  <c r="EB110"/>
  <c r="EQ110" s="1"/>
  <c r="EB201"/>
  <c r="EQ201" s="1"/>
  <c r="EB127"/>
  <c r="EQ127" s="1"/>
  <c r="EB143"/>
  <c r="EQ143" s="1"/>
  <c r="EB151"/>
  <c r="EQ151" s="1"/>
  <c r="EB135"/>
  <c r="EQ135" s="1"/>
  <c r="EB131"/>
  <c r="EQ131" s="1"/>
  <c r="EB147"/>
  <c r="EQ147" s="1"/>
  <c r="EB155"/>
  <c r="EQ155" s="1"/>
  <c r="EB139"/>
  <c r="EQ139" s="1"/>
  <c r="AZ193"/>
  <c r="AX17"/>
  <c r="AZ64"/>
  <c r="AT57"/>
  <c r="AZ57" s="1"/>
  <c r="BG57" s="1"/>
  <c r="BH57" s="1"/>
  <c r="EN57" s="1"/>
  <c r="AT117"/>
  <c r="BQ54"/>
  <c r="BW54" s="1"/>
  <c r="BQ103"/>
  <c r="BW103" s="1"/>
  <c r="BQ127"/>
  <c r="BW127" s="1"/>
  <c r="CD127" s="1"/>
  <c r="CE127" s="1"/>
  <c r="EO127" s="1"/>
  <c r="BQ48"/>
  <c r="BW48" s="1"/>
  <c r="CD48" s="1"/>
  <c r="CE48" s="1"/>
  <c r="EO48" s="1"/>
  <c r="BW183"/>
  <c r="BW77"/>
  <c r="BQ181"/>
  <c r="BW181" s="1"/>
  <c r="CD181" s="1"/>
  <c r="CE181" s="1"/>
  <c r="EO181" s="1"/>
  <c r="BQ189"/>
  <c r="CT59"/>
  <c r="CT123"/>
  <c r="DA123" s="1"/>
  <c r="DB123" s="1"/>
  <c r="EP123" s="1"/>
  <c r="CN36"/>
  <c r="CT36" s="1"/>
  <c r="CT107"/>
  <c r="CN160"/>
  <c r="CT160" s="1"/>
  <c r="CN57"/>
  <c r="CT57" s="1"/>
  <c r="DA57" s="1"/>
  <c r="DB57" s="1"/>
  <c r="EP57" s="1"/>
  <c r="AT136"/>
  <c r="AZ136" s="1"/>
  <c r="BG136" s="1"/>
  <c r="BH136" s="1"/>
  <c r="EN136" s="1"/>
  <c r="AT174"/>
  <c r="AZ174" s="1"/>
  <c r="AT89"/>
  <c r="AT190"/>
  <c r="AZ190" s="1"/>
  <c r="BG190" s="1"/>
  <c r="BH190" s="1"/>
  <c r="EN190" s="1"/>
  <c r="AT65"/>
  <c r="AZ65" s="1"/>
  <c r="BG65" s="1"/>
  <c r="BH65" s="1"/>
  <c r="EN65" s="1"/>
  <c r="BQ26"/>
  <c r="BW26" s="1"/>
  <c r="BQ138"/>
  <c r="BW138" s="1"/>
  <c r="BQ30"/>
  <c r="BW30" s="1"/>
  <c r="BQ99"/>
  <c r="BW99" s="1"/>
  <c r="BQ107"/>
  <c r="BQ123"/>
  <c r="BQ147"/>
  <c r="BW147" s="1"/>
  <c r="CD147" s="1"/>
  <c r="CE147" s="1"/>
  <c r="EO147" s="1"/>
  <c r="BQ29"/>
  <c r="BW29" s="1"/>
  <c r="BQ35"/>
  <c r="BQ85"/>
  <c r="BQ91"/>
  <c r="BW91" s="1"/>
  <c r="CD91" s="1"/>
  <c r="CE91" s="1"/>
  <c r="EO91" s="1"/>
  <c r="CT43"/>
  <c r="CN74"/>
  <c r="CT74" s="1"/>
  <c r="CT139"/>
  <c r="CN147"/>
  <c r="CT147" s="1"/>
  <c r="DA147" s="1"/>
  <c r="DB147" s="1"/>
  <c r="EP147" s="1"/>
  <c r="CT20"/>
  <c r="CT55"/>
  <c r="CN151"/>
  <c r="CT151" s="1"/>
  <c r="CN189"/>
  <c r="CT189" s="1"/>
  <c r="DA189" s="1"/>
  <c r="DB189" s="1"/>
  <c r="EP189" s="1"/>
  <c r="CN194"/>
  <c r="CT194" s="1"/>
  <c r="CN56"/>
  <c r="CT56" s="1"/>
  <c r="CN72"/>
  <c r="CT72" s="1"/>
  <c r="CN88"/>
  <c r="CT88" s="1"/>
  <c r="DA88" s="1"/>
  <c r="DB88" s="1"/>
  <c r="EP88" s="1"/>
  <c r="CN29"/>
  <c r="CT29" s="1"/>
  <c r="CN45"/>
  <c r="CT45" s="1"/>
  <c r="CN118"/>
  <c r="CN164"/>
  <c r="CT164" s="1"/>
  <c r="DA164" s="1"/>
  <c r="DB164" s="1"/>
  <c r="EP164" s="1"/>
  <c r="CN196"/>
  <c r="CT196" s="1"/>
  <c r="CN171"/>
  <c r="CT171" s="1"/>
  <c r="AT15"/>
  <c r="AZ169"/>
  <c r="BG169" s="1"/>
  <c r="BH169" s="1"/>
  <c r="EN169" s="1"/>
  <c r="AT9"/>
  <c r="AZ9" s="1"/>
  <c r="AE16" i="19" s="1"/>
  <c r="AT68" i="9"/>
  <c r="AZ68" s="1"/>
  <c r="AT84"/>
  <c r="AZ84" s="1"/>
  <c r="AT100"/>
  <c r="AZ100" s="1"/>
  <c r="BG100" s="1"/>
  <c r="BH100" s="1"/>
  <c r="EN100" s="1"/>
  <c r="AT102"/>
  <c r="AZ102" s="1"/>
  <c r="AT129"/>
  <c r="AT58"/>
  <c r="AZ58" s="1"/>
  <c r="BG58" s="1"/>
  <c r="BH58" s="1"/>
  <c r="EN58" s="1"/>
  <c r="AT74"/>
  <c r="AZ74" s="1"/>
  <c r="AT122"/>
  <c r="AZ122" s="1"/>
  <c r="BQ15"/>
  <c r="BW15" s="1"/>
  <c r="O17" i="18" s="1"/>
  <c r="BQ151" i="9"/>
  <c r="BW151" s="1"/>
  <c r="CD151" s="1"/>
  <c r="CE151" s="1"/>
  <c r="EO151" s="1"/>
  <c r="BU133"/>
  <c r="BW175"/>
  <c r="BQ43"/>
  <c r="BW43" s="1"/>
  <c r="BQ75"/>
  <c r="BQ165"/>
  <c r="BW165" s="1"/>
  <c r="BQ21"/>
  <c r="BW21" s="1"/>
  <c r="BQ157"/>
  <c r="BW157" s="1"/>
  <c r="CD157" s="1"/>
  <c r="CE157" s="1"/>
  <c r="EO157" s="1"/>
  <c r="BQ137"/>
  <c r="BW137" s="1"/>
  <c r="CD137" s="1"/>
  <c r="CE137" s="1"/>
  <c r="EO137" s="1"/>
  <c r="CT83"/>
  <c r="CT99"/>
  <c r="DA99" s="1"/>
  <c r="DB99" s="1"/>
  <c r="EP99" s="1"/>
  <c r="CN90"/>
  <c r="CT90" s="1"/>
  <c r="CT28"/>
  <c r="CN52"/>
  <c r="CT52" s="1"/>
  <c r="CN154"/>
  <c r="CT154" s="1"/>
  <c r="DA154" s="1"/>
  <c r="DB154" s="1"/>
  <c r="EP154" s="1"/>
  <c r="CN169"/>
  <c r="CT169" s="1"/>
  <c r="CN201"/>
  <c r="CT201" s="1"/>
  <c r="DA201" s="1"/>
  <c r="DB201" s="1"/>
  <c r="EP201" s="1"/>
  <c r="CN40"/>
  <c r="CT40" s="1"/>
  <c r="CN9"/>
  <c r="CT9" s="1"/>
  <c r="AE18" i="19" s="1"/>
  <c r="CN53" i="9"/>
  <c r="CT53" s="1"/>
  <c r="DA53" s="1"/>
  <c r="DB53" s="1"/>
  <c r="EP53" s="1"/>
  <c r="CN101"/>
  <c r="CT101" s="1"/>
  <c r="DA101" s="1"/>
  <c r="DB101" s="1"/>
  <c r="EP101" s="1"/>
  <c r="CN138"/>
  <c r="CT138" s="1"/>
  <c r="CN85"/>
  <c r="CN109"/>
  <c r="CT109" s="1"/>
  <c r="DA109" s="1"/>
  <c r="DB109" s="1"/>
  <c r="EP109" s="1"/>
  <c r="CN158"/>
  <c r="CT158" s="1"/>
  <c r="DA158" s="1"/>
  <c r="DB158" s="1"/>
  <c r="EP158" s="1"/>
  <c r="CN155"/>
  <c r="CT155" s="1"/>
  <c r="CN167"/>
  <c r="CT167" s="1"/>
  <c r="DA167" s="1"/>
  <c r="DB167" s="1"/>
  <c r="EP167" s="1"/>
  <c r="CN199"/>
  <c r="CT199" s="1"/>
  <c r="CN163"/>
  <c r="CT163" s="1"/>
  <c r="DA163" s="1"/>
  <c r="DB163" s="1"/>
  <c r="EP163" s="1"/>
  <c r="CN195"/>
  <c r="CT195" s="1"/>
  <c r="AT142"/>
  <c r="AZ142" s="1"/>
  <c r="BG142" s="1"/>
  <c r="BH142" s="1"/>
  <c r="EN142" s="1"/>
  <c r="BQ66"/>
  <c r="BW66" s="1"/>
  <c r="AZ182"/>
  <c r="BG182" s="1"/>
  <c r="BH182" s="1"/>
  <c r="EN182" s="1"/>
  <c r="AT46"/>
  <c r="AZ46" s="1"/>
  <c r="AT195"/>
  <c r="AZ195" s="1"/>
  <c r="BG195" s="1"/>
  <c r="BH195" s="1"/>
  <c r="EN195" s="1"/>
  <c r="AT78"/>
  <c r="AZ78" s="1"/>
  <c r="AT164"/>
  <c r="AZ164" s="1"/>
  <c r="BG164" s="1"/>
  <c r="BH164" s="1"/>
  <c r="EN164" s="1"/>
  <c r="AT11"/>
  <c r="AZ11" s="1"/>
  <c r="AE45" i="19" s="1"/>
  <c r="AT130" i="9"/>
  <c r="AZ130" s="1"/>
  <c r="BG130" s="1"/>
  <c r="BH130" s="1"/>
  <c r="EN130" s="1"/>
  <c r="BQ71"/>
  <c r="AT87"/>
  <c r="AZ87" s="1"/>
  <c r="BG87" s="1"/>
  <c r="BH87" s="1"/>
  <c r="EN87" s="1"/>
  <c r="AT13"/>
  <c r="AZ13" s="1"/>
  <c r="AE74" i="19" s="1"/>
  <c r="AT97" i="9"/>
  <c r="AZ97" s="1"/>
  <c r="AT192"/>
  <c r="AZ192" s="1"/>
  <c r="AX190"/>
  <c r="BC190" s="1"/>
  <c r="BQ112"/>
  <c r="BW112" s="1"/>
  <c r="CD112" s="1"/>
  <c r="CE112" s="1"/>
  <c r="EO112" s="1"/>
  <c r="AT47"/>
  <c r="AZ47" s="1"/>
  <c r="BG47" s="1"/>
  <c r="BH47" s="1"/>
  <c r="EN47" s="1"/>
  <c r="AT99"/>
  <c r="AZ99" s="1"/>
  <c r="AT146"/>
  <c r="AZ146" s="1"/>
  <c r="BG146" s="1"/>
  <c r="BH146" s="1"/>
  <c r="EN146" s="1"/>
  <c r="AT202"/>
  <c r="AZ202" s="1"/>
  <c r="AT171"/>
  <c r="AZ171" s="1"/>
  <c r="BQ34"/>
  <c r="BW34" s="1"/>
  <c r="BQ149"/>
  <c r="BW149" s="1"/>
  <c r="CD149" s="1"/>
  <c r="CE149" s="1"/>
  <c r="EO149" s="1"/>
  <c r="BW47"/>
  <c r="AZ55"/>
  <c r="AZ95"/>
  <c r="AZ153"/>
  <c r="BG153" s="1"/>
  <c r="BH153" s="1"/>
  <c r="EN153" s="1"/>
  <c r="AT149"/>
  <c r="AZ149" s="1"/>
  <c r="AZ111"/>
  <c r="AT119"/>
  <c r="AZ119" s="1"/>
  <c r="BG119" s="1"/>
  <c r="BH119" s="1"/>
  <c r="EN119" s="1"/>
  <c r="AZ127"/>
  <c r="BG127" s="1"/>
  <c r="BH127" s="1"/>
  <c r="EN127" s="1"/>
  <c r="AT45"/>
  <c r="AZ45" s="1"/>
  <c r="BQ116"/>
  <c r="BW116" s="1"/>
  <c r="AT19"/>
  <c r="AZ19" s="1"/>
  <c r="AT161"/>
  <c r="AZ161" s="1"/>
  <c r="AT50"/>
  <c r="AZ50" s="1"/>
  <c r="AT66"/>
  <c r="AZ66" s="1"/>
  <c r="AT82"/>
  <c r="AZ82" s="1"/>
  <c r="BG82" s="1"/>
  <c r="BH82" s="1"/>
  <c r="EN82" s="1"/>
  <c r="AT98"/>
  <c r="AZ98" s="1"/>
  <c r="AT120"/>
  <c r="AZ120" s="1"/>
  <c r="BW145"/>
  <c r="BQ32"/>
  <c r="BW32" s="1"/>
  <c r="BQ24"/>
  <c r="BW24" s="1"/>
  <c r="BQ182"/>
  <c r="BW182" s="1"/>
  <c r="CD182" s="1"/>
  <c r="CE182" s="1"/>
  <c r="EO182" s="1"/>
  <c r="AT38"/>
  <c r="AZ38" s="1"/>
  <c r="AT70"/>
  <c r="AZ70" s="1"/>
  <c r="AT86"/>
  <c r="AZ86" s="1"/>
  <c r="AT118"/>
  <c r="AZ118" s="1"/>
  <c r="AT134"/>
  <c r="AZ134" s="1"/>
  <c r="AT159"/>
  <c r="AZ159" s="1"/>
  <c r="BG159" s="1"/>
  <c r="BH159" s="1"/>
  <c r="EN159" s="1"/>
  <c r="AZ89"/>
  <c r="AT69"/>
  <c r="AZ69" s="1"/>
  <c r="AT167"/>
  <c r="AZ167" s="1"/>
  <c r="BW90"/>
  <c r="BQ108"/>
  <c r="BW108" s="1"/>
  <c r="CD108" s="1"/>
  <c r="CE108" s="1"/>
  <c r="EO108" s="1"/>
  <c r="BQ144"/>
  <c r="BW144" s="1"/>
  <c r="BQ174"/>
  <c r="BW174" s="1"/>
  <c r="AT206"/>
  <c r="AZ206" s="1"/>
  <c r="BG206" s="1"/>
  <c r="BH206" s="1"/>
  <c r="EN206" s="1"/>
  <c r="BQ42"/>
  <c r="BW42" s="1"/>
  <c r="BQ74"/>
  <c r="BW74" s="1"/>
  <c r="BW13"/>
  <c r="AE75" i="19" s="1"/>
  <c r="BQ114" i="9"/>
  <c r="BW114" s="1"/>
  <c r="CD114" s="1"/>
  <c r="CE114" s="1"/>
  <c r="EO114" s="1"/>
  <c r="BQ46"/>
  <c r="BW46" s="1"/>
  <c r="BQ78"/>
  <c r="BW78" s="1"/>
  <c r="BQ185"/>
  <c r="BW185" s="1"/>
  <c r="BQ16"/>
  <c r="BW16" s="1"/>
  <c r="BW73"/>
  <c r="BQ100"/>
  <c r="BW100" s="1"/>
  <c r="BQ63"/>
  <c r="BW63" s="1"/>
  <c r="BQ31"/>
  <c r="BW31" s="1"/>
  <c r="BQ55"/>
  <c r="BW55" s="1"/>
  <c r="CD55" s="1"/>
  <c r="CE55" s="1"/>
  <c r="EO55" s="1"/>
  <c r="BQ79"/>
  <c r="BW203"/>
  <c r="BQ159"/>
  <c r="BW159" s="1"/>
  <c r="CD159" s="1"/>
  <c r="CE159" s="1"/>
  <c r="EO159" s="1"/>
  <c r="BQ191"/>
  <c r="BW191" s="1"/>
  <c r="BQ20"/>
  <c r="BW20" s="1"/>
  <c r="AT59"/>
  <c r="AZ59" s="1"/>
  <c r="AT91"/>
  <c r="AZ91" s="1"/>
  <c r="BG91" s="1"/>
  <c r="BH91" s="1"/>
  <c r="EN91" s="1"/>
  <c r="AT112"/>
  <c r="AZ112" s="1"/>
  <c r="AT128"/>
  <c r="AZ128" s="1"/>
  <c r="AT144"/>
  <c r="AZ144" s="1"/>
  <c r="BG144" s="1"/>
  <c r="BH144" s="1"/>
  <c r="EN144" s="1"/>
  <c r="AZ204"/>
  <c r="BG204" s="1"/>
  <c r="BH204" s="1"/>
  <c r="EN204" s="1"/>
  <c r="AZ131"/>
  <c r="AT139"/>
  <c r="AZ139" s="1"/>
  <c r="AT177"/>
  <c r="AZ177" s="1"/>
  <c r="BG177" s="1"/>
  <c r="BH177" s="1"/>
  <c r="EN177" s="1"/>
  <c r="AT41"/>
  <c r="AZ41" s="1"/>
  <c r="BG41" s="1"/>
  <c r="BH41" s="1"/>
  <c r="EN41" s="1"/>
  <c r="AZ104"/>
  <c r="AT156"/>
  <c r="AZ156" s="1"/>
  <c r="AT175"/>
  <c r="AZ175" s="1"/>
  <c r="BG175" s="1"/>
  <c r="BH175" s="1"/>
  <c r="EN175" s="1"/>
  <c r="AT77"/>
  <c r="AZ77" s="1"/>
  <c r="AT133"/>
  <c r="AZ133" s="1"/>
  <c r="AZ129"/>
  <c r="BG129" s="1"/>
  <c r="BH129" s="1"/>
  <c r="EN129" s="1"/>
  <c r="BQ19"/>
  <c r="BW19" s="1"/>
  <c r="BQ126"/>
  <c r="BW126" s="1"/>
  <c r="BQ186"/>
  <c r="BW186" s="1"/>
  <c r="BQ169"/>
  <c r="BW169" s="1"/>
  <c r="CD169" s="1"/>
  <c r="CE169" s="1"/>
  <c r="EO169" s="1"/>
  <c r="BQ150"/>
  <c r="BW150" s="1"/>
  <c r="CD150" s="1"/>
  <c r="CE150" s="1"/>
  <c r="EO150" s="1"/>
  <c r="BW167"/>
  <c r="BW192"/>
  <c r="BW35"/>
  <c r="BQ61"/>
  <c r="BW61" s="1"/>
  <c r="CD61" s="1"/>
  <c r="CE61" s="1"/>
  <c r="EO61" s="1"/>
  <c r="BQ67"/>
  <c r="BW67" s="1"/>
  <c r="BW85"/>
  <c r="BQ105"/>
  <c r="BW105" s="1"/>
  <c r="BQ129"/>
  <c r="BW129" s="1"/>
  <c r="CD129" s="1"/>
  <c r="CE129" s="1"/>
  <c r="EO129" s="1"/>
  <c r="BW189"/>
  <c r="BQ197"/>
  <c r="BW197" s="1"/>
  <c r="CD197" s="1"/>
  <c r="CE197" s="1"/>
  <c r="EO197" s="1"/>
  <c r="BQ139"/>
  <c r="BW139" s="1"/>
  <c r="BQ33"/>
  <c r="BW33" s="1"/>
  <c r="BQ57"/>
  <c r="BW57" s="1"/>
  <c r="BQ117"/>
  <c r="BW117" s="1"/>
  <c r="AZ71"/>
  <c r="AT110"/>
  <c r="AZ110" s="1"/>
  <c r="AT126"/>
  <c r="AZ126" s="1"/>
  <c r="AT143"/>
  <c r="AZ143" s="1"/>
  <c r="BG143" s="1"/>
  <c r="BH143" s="1"/>
  <c r="EN143" s="1"/>
  <c r="AT158"/>
  <c r="AZ158" s="1"/>
  <c r="AZ21"/>
  <c r="AT176"/>
  <c r="AZ176" s="1"/>
  <c r="AT10"/>
  <c r="AZ10" s="1"/>
  <c r="AT37"/>
  <c r="AZ37" s="1"/>
  <c r="AT61"/>
  <c r="AZ61" s="1"/>
  <c r="AT49"/>
  <c r="AZ49" s="1"/>
  <c r="BQ27"/>
  <c r="BW27" s="1"/>
  <c r="BQ84"/>
  <c r="BW84" s="1"/>
  <c r="BQ104"/>
  <c r="BW104" s="1"/>
  <c r="CD104" s="1"/>
  <c r="CE104" s="1"/>
  <c r="EO104" s="1"/>
  <c r="BW122"/>
  <c r="BW71"/>
  <c r="BQ70"/>
  <c r="BW70" s="1"/>
  <c r="BQ111"/>
  <c r="BW111" s="1"/>
  <c r="CD111" s="1"/>
  <c r="CE111" s="1"/>
  <c r="EO111" s="1"/>
  <c r="BQ135"/>
  <c r="BW135" s="1"/>
  <c r="BQ198"/>
  <c r="BW198" s="1"/>
  <c r="CD198" s="1"/>
  <c r="CE198" s="1"/>
  <c r="EO198" s="1"/>
  <c r="BQ40"/>
  <c r="BW40" s="1"/>
  <c r="CD40" s="1"/>
  <c r="CE40" s="1"/>
  <c r="EO40" s="1"/>
  <c r="BQ109"/>
  <c r="BW109" s="1"/>
  <c r="BQ176"/>
  <c r="BW176" s="1"/>
  <c r="CD176" s="1"/>
  <c r="CE176" s="1"/>
  <c r="EO176" s="1"/>
  <c r="BQ37"/>
  <c r="BW37" s="1"/>
  <c r="BQ69"/>
  <c r="BW69" s="1"/>
  <c r="BW75"/>
  <c r="BQ89"/>
  <c r="BW89" s="1"/>
  <c r="CD89" s="1"/>
  <c r="CE89" s="1"/>
  <c r="EO89" s="1"/>
  <c r="BW115"/>
  <c r="BQ41"/>
  <c r="BW41" s="1"/>
  <c r="BQ65"/>
  <c r="BW65" s="1"/>
  <c r="CD65" s="1"/>
  <c r="CE65" s="1"/>
  <c r="EO65" s="1"/>
  <c r="AT114"/>
  <c r="AZ114" s="1"/>
  <c r="AT166"/>
  <c r="AZ166" s="1"/>
  <c r="AZ39"/>
  <c r="AZ85"/>
  <c r="AT105"/>
  <c r="AZ105" s="1"/>
  <c r="BG105" s="1"/>
  <c r="BH105" s="1"/>
  <c r="EN105" s="1"/>
  <c r="BW107"/>
  <c r="BW123"/>
  <c r="BQ131"/>
  <c r="BW131" s="1"/>
  <c r="CD131" s="1"/>
  <c r="CE131" s="1"/>
  <c r="EO131" s="1"/>
  <c r="BQ190"/>
  <c r="BW190" s="1"/>
  <c r="BQ59"/>
  <c r="BW59" s="1"/>
  <c r="CD59" s="1"/>
  <c r="CE59" s="1"/>
  <c r="EO59" s="1"/>
  <c r="BQ93"/>
  <c r="AT62"/>
  <c r="AZ62" s="1"/>
  <c r="BG62" s="1"/>
  <c r="BH62" s="1"/>
  <c r="EN62" s="1"/>
  <c r="AT94"/>
  <c r="AZ94" s="1"/>
  <c r="CN207"/>
  <c r="CT207" s="1"/>
  <c r="AT199"/>
  <c r="AZ199" s="1"/>
  <c r="AT135"/>
  <c r="AZ135" s="1"/>
  <c r="BG135" s="1"/>
  <c r="BH135" s="1"/>
  <c r="EN135" s="1"/>
  <c r="AT123"/>
  <c r="AZ123" s="1"/>
  <c r="BG123" s="1"/>
  <c r="BH123" s="1"/>
  <c r="EN123" s="1"/>
  <c r="AT52"/>
  <c r="AZ52" s="1"/>
  <c r="AZ109"/>
  <c r="AT40"/>
  <c r="AZ40" s="1"/>
  <c r="BG40" s="1"/>
  <c r="BH40" s="1"/>
  <c r="EN40" s="1"/>
  <c r="AT88"/>
  <c r="AZ88" s="1"/>
  <c r="AT53"/>
  <c r="AT101"/>
  <c r="AZ101" s="1"/>
  <c r="BG101" s="1"/>
  <c r="BH101" s="1"/>
  <c r="EN101" s="1"/>
  <c r="AT200"/>
  <c r="AZ200" s="1"/>
  <c r="AT35"/>
  <c r="AZ35" s="1"/>
  <c r="AT51"/>
  <c r="AZ51" s="1"/>
  <c r="AT18"/>
  <c r="AZ18" s="1"/>
  <c r="AT180"/>
  <c r="AZ180" s="1"/>
  <c r="BG180" s="1"/>
  <c r="BH180" s="1"/>
  <c r="EN180" s="1"/>
  <c r="AT194"/>
  <c r="AZ194" s="1"/>
  <c r="AZ53"/>
  <c r="CT117"/>
  <c r="CN13"/>
  <c r="CT13" s="1"/>
  <c r="AE76" i="19" s="1"/>
  <c r="CN42" i="9"/>
  <c r="CT42" s="1"/>
  <c r="CN106"/>
  <c r="CT106" s="1"/>
  <c r="CN122"/>
  <c r="CT122" s="1"/>
  <c r="DA122" s="1"/>
  <c r="DB122" s="1"/>
  <c r="EP122" s="1"/>
  <c r="CN38"/>
  <c r="CT38" s="1"/>
  <c r="DA38" s="1"/>
  <c r="DB38" s="1"/>
  <c r="EP38" s="1"/>
  <c r="CN70"/>
  <c r="CT70" s="1"/>
  <c r="CN102"/>
  <c r="CT102" s="1"/>
  <c r="CT118"/>
  <c r="CT134"/>
  <c r="DA134" s="1"/>
  <c r="DB134" s="1"/>
  <c r="EP134" s="1"/>
  <c r="CT129"/>
  <c r="CT145"/>
  <c r="CN133"/>
  <c r="CT133" s="1"/>
  <c r="DA133" s="1"/>
  <c r="DB133" s="1"/>
  <c r="EP133" s="1"/>
  <c r="CN176"/>
  <c r="CT176" s="1"/>
  <c r="CN141"/>
  <c r="CT141" s="1"/>
  <c r="DA141" s="1"/>
  <c r="DB141" s="1"/>
  <c r="EP141" s="1"/>
  <c r="CN18"/>
  <c r="CT18" s="1"/>
  <c r="CN50"/>
  <c r="CT50" s="1"/>
  <c r="DA50" s="1"/>
  <c r="DB50" s="1"/>
  <c r="EP50" s="1"/>
  <c r="CT85"/>
  <c r="DA85" s="1"/>
  <c r="DB85" s="1"/>
  <c r="EP85" s="1"/>
  <c r="CN46"/>
  <c r="CT46" s="1"/>
  <c r="CN78"/>
  <c r="CT78" s="1"/>
  <c r="CN184"/>
  <c r="CT184" s="1"/>
  <c r="DA184" s="1"/>
  <c r="DB184" s="1"/>
  <c r="EP184" s="1"/>
  <c r="CN104"/>
  <c r="CT104" s="1"/>
  <c r="DA104" s="1"/>
  <c r="DB104" s="1"/>
  <c r="EP104" s="1"/>
  <c r="CN162"/>
  <c r="CT162" s="1"/>
  <c r="DA162" s="1"/>
  <c r="DB162" s="1"/>
  <c r="EP162" s="1"/>
  <c r="BQ23"/>
  <c r="BW23" s="1"/>
  <c r="BW98"/>
  <c r="CD98" s="1"/>
  <c r="CE98" s="1"/>
  <c r="EO98" s="1"/>
  <c r="CN14"/>
  <c r="CT14" s="1"/>
  <c r="CN26"/>
  <c r="CT26" s="1"/>
  <c r="CN114"/>
  <c r="CT114" s="1"/>
  <c r="CT142"/>
  <c r="DA142" s="1"/>
  <c r="DB142" s="1"/>
  <c r="EP142" s="1"/>
  <c r="CN22"/>
  <c r="CT22" s="1"/>
  <c r="CN54"/>
  <c r="CT54" s="1"/>
  <c r="DA54" s="1"/>
  <c r="DB54" s="1"/>
  <c r="EP54" s="1"/>
  <c r="CN86"/>
  <c r="CT86" s="1"/>
  <c r="CT110"/>
  <c r="DA110" s="1"/>
  <c r="DB110" s="1"/>
  <c r="EP110" s="1"/>
  <c r="CT126"/>
  <c r="DA126" s="1"/>
  <c r="DB126" s="1"/>
  <c r="EP126" s="1"/>
  <c r="CN137"/>
  <c r="CT137" s="1"/>
  <c r="DA137" s="1"/>
  <c r="DB137" s="1"/>
  <c r="EP137" s="1"/>
  <c r="CN192"/>
  <c r="CT192" s="1"/>
  <c r="CN105"/>
  <c r="CT105" s="1"/>
  <c r="CW207"/>
  <c r="DA207"/>
  <c r="DB207" s="1"/>
  <c r="EP207" s="1"/>
  <c r="CY207"/>
  <c r="CX207"/>
  <c r="CW206"/>
  <c r="DA206"/>
  <c r="DB206" s="1"/>
  <c r="EP206" s="1"/>
  <c r="CY206"/>
  <c r="CX206"/>
  <c r="CW205"/>
  <c r="DA205"/>
  <c r="DB205" s="1"/>
  <c r="EP205" s="1"/>
  <c r="CY205"/>
  <c r="CX205"/>
  <c r="CW204"/>
  <c r="DA204"/>
  <c r="DB204" s="1"/>
  <c r="EP204" s="1"/>
  <c r="CY204"/>
  <c r="CX204"/>
  <c r="CW203"/>
  <c r="DA203"/>
  <c r="DB203" s="1"/>
  <c r="EP203" s="1"/>
  <c r="CY203"/>
  <c r="CX203"/>
  <c r="CW202"/>
  <c r="DA202"/>
  <c r="DB202" s="1"/>
  <c r="EP202" s="1"/>
  <c r="CY202"/>
  <c r="CX202"/>
  <c r="CW201"/>
  <c r="CY201"/>
  <c r="CX201"/>
  <c r="CW200"/>
  <c r="CY200"/>
  <c r="CX200"/>
  <c r="CW199"/>
  <c r="DA199"/>
  <c r="DB199" s="1"/>
  <c r="EP199" s="1"/>
  <c r="CY199"/>
  <c r="CX199"/>
  <c r="CW198"/>
  <c r="DA198"/>
  <c r="DB198" s="1"/>
  <c r="EP198" s="1"/>
  <c r="CY198"/>
  <c r="CX198"/>
  <c r="CW197"/>
  <c r="DA197"/>
  <c r="DB197" s="1"/>
  <c r="EP197" s="1"/>
  <c r="CY197"/>
  <c r="CX197"/>
  <c r="CW196"/>
  <c r="DA196"/>
  <c r="DB196" s="1"/>
  <c r="EP196" s="1"/>
  <c r="CY196"/>
  <c r="CX196"/>
  <c r="CW195"/>
  <c r="DA195"/>
  <c r="DB195" s="1"/>
  <c r="EP195" s="1"/>
  <c r="CY195"/>
  <c r="CX195"/>
  <c r="CW194"/>
  <c r="DA194"/>
  <c r="DB194" s="1"/>
  <c r="EP194" s="1"/>
  <c r="CY194"/>
  <c r="CX194"/>
  <c r="CW193"/>
  <c r="CY193"/>
  <c r="CX193"/>
  <c r="CW192"/>
  <c r="DA192"/>
  <c r="DB192" s="1"/>
  <c r="EP192" s="1"/>
  <c r="CY192"/>
  <c r="CX192"/>
  <c r="CW191"/>
  <c r="DA191"/>
  <c r="DB191" s="1"/>
  <c r="EP191" s="1"/>
  <c r="CY191"/>
  <c r="CX191"/>
  <c r="CW190"/>
  <c r="DA190"/>
  <c r="DB190" s="1"/>
  <c r="EP190" s="1"/>
  <c r="CY190"/>
  <c r="CX190"/>
  <c r="CW189"/>
  <c r="CY189"/>
  <c r="CX189"/>
  <c r="CW188"/>
  <c r="DA188"/>
  <c r="DB188" s="1"/>
  <c r="EP188" s="1"/>
  <c r="CY188"/>
  <c r="CX188"/>
  <c r="CW187"/>
  <c r="CY187"/>
  <c r="CX187"/>
  <c r="CW186"/>
  <c r="DA186"/>
  <c r="DB186" s="1"/>
  <c r="EP186" s="1"/>
  <c r="CY186"/>
  <c r="CX186"/>
  <c r="CW185"/>
  <c r="DA185"/>
  <c r="DB185" s="1"/>
  <c r="EP185" s="1"/>
  <c r="CY185"/>
  <c r="CX185"/>
  <c r="CW184"/>
  <c r="CY184"/>
  <c r="CX184"/>
  <c r="CW183"/>
  <c r="DA183"/>
  <c r="DB183" s="1"/>
  <c r="EP183" s="1"/>
  <c r="CY183"/>
  <c r="CX183"/>
  <c r="CW182"/>
  <c r="DA182"/>
  <c r="DB182" s="1"/>
  <c r="EP182" s="1"/>
  <c r="CY182"/>
  <c r="CX182"/>
  <c r="CW181"/>
  <c r="DA181"/>
  <c r="DB181" s="1"/>
  <c r="EP181" s="1"/>
  <c r="CY181"/>
  <c r="CX181"/>
  <c r="CW180"/>
  <c r="DA180"/>
  <c r="DB180" s="1"/>
  <c r="EP180" s="1"/>
  <c r="CY180"/>
  <c r="CX180"/>
  <c r="CW179"/>
  <c r="DA179"/>
  <c r="DB179" s="1"/>
  <c r="EP179" s="1"/>
  <c r="CY179"/>
  <c r="CX179"/>
  <c r="CW178"/>
  <c r="DA178"/>
  <c r="DB178" s="1"/>
  <c r="EP178" s="1"/>
  <c r="CY178"/>
  <c r="CX178"/>
  <c r="CW177"/>
  <c r="DA177"/>
  <c r="DB177" s="1"/>
  <c r="EP177" s="1"/>
  <c r="CY177"/>
  <c r="CX177"/>
  <c r="CW176"/>
  <c r="DA176"/>
  <c r="DB176" s="1"/>
  <c r="EP176" s="1"/>
  <c r="CY176"/>
  <c r="CX176"/>
  <c r="CW175"/>
  <c r="DA175"/>
  <c r="DB175" s="1"/>
  <c r="EP175" s="1"/>
  <c r="CY175"/>
  <c r="CX175"/>
  <c r="CW174"/>
  <c r="DA174"/>
  <c r="DB174" s="1"/>
  <c r="EP174" s="1"/>
  <c r="CY174"/>
  <c r="CX174"/>
  <c r="CW173"/>
  <c r="DA173"/>
  <c r="DB173" s="1"/>
  <c r="EP173" s="1"/>
  <c r="CY173"/>
  <c r="CX173"/>
  <c r="CW172"/>
  <c r="DA172"/>
  <c r="DB172" s="1"/>
  <c r="EP172" s="1"/>
  <c r="CY172"/>
  <c r="CX172"/>
  <c r="CW171"/>
  <c r="DA171"/>
  <c r="DB171" s="1"/>
  <c r="EP171" s="1"/>
  <c r="CY171"/>
  <c r="CX171"/>
  <c r="CW170"/>
  <c r="DA170"/>
  <c r="DB170" s="1"/>
  <c r="EP170" s="1"/>
  <c r="CY170"/>
  <c r="CX170"/>
  <c r="CW169"/>
  <c r="DA169"/>
  <c r="DB169" s="1"/>
  <c r="EP169" s="1"/>
  <c r="CY169"/>
  <c r="CX169"/>
  <c r="CW168"/>
  <c r="CY168"/>
  <c r="CX168"/>
  <c r="CW167"/>
  <c r="CY167"/>
  <c r="CX167"/>
  <c r="CW166"/>
  <c r="DA166"/>
  <c r="DB166" s="1"/>
  <c r="EP166" s="1"/>
  <c r="CY166"/>
  <c r="CX166"/>
  <c r="CW165"/>
  <c r="DA165"/>
  <c r="DB165" s="1"/>
  <c r="EP165" s="1"/>
  <c r="CY165"/>
  <c r="CX165"/>
  <c r="CW164"/>
  <c r="CY164"/>
  <c r="CX164"/>
  <c r="CW163"/>
  <c r="CY163"/>
  <c r="CX163"/>
  <c r="CW162"/>
  <c r="CY162"/>
  <c r="CX162"/>
  <c r="CW161"/>
  <c r="DA161"/>
  <c r="DB161" s="1"/>
  <c r="EP161" s="1"/>
  <c r="CY161"/>
  <c r="CX161"/>
  <c r="CW160"/>
  <c r="DA160"/>
  <c r="DB160" s="1"/>
  <c r="EP160" s="1"/>
  <c r="CY160"/>
  <c r="CX160"/>
  <c r="CW159"/>
  <c r="DA159"/>
  <c r="DB159" s="1"/>
  <c r="EP159" s="1"/>
  <c r="CY159"/>
  <c r="CX159"/>
  <c r="CW158"/>
  <c r="CY158"/>
  <c r="CX158"/>
  <c r="CW157"/>
  <c r="DA157"/>
  <c r="DB157" s="1"/>
  <c r="EP157" s="1"/>
  <c r="CY157"/>
  <c r="CX157"/>
  <c r="CW156"/>
  <c r="DA156"/>
  <c r="DB156" s="1"/>
  <c r="EP156" s="1"/>
  <c r="CY156"/>
  <c r="CX156"/>
  <c r="CW155"/>
  <c r="DA155"/>
  <c r="DB155" s="1"/>
  <c r="EP155" s="1"/>
  <c r="CY155"/>
  <c r="CX155"/>
  <c r="CW154"/>
  <c r="CY154"/>
  <c r="CX154"/>
  <c r="CW153"/>
  <c r="CY153"/>
  <c r="CX153"/>
  <c r="CW152"/>
  <c r="CY152"/>
  <c r="CX152"/>
  <c r="CW151"/>
  <c r="DA151"/>
  <c r="DB151" s="1"/>
  <c r="EP151" s="1"/>
  <c r="CY151"/>
  <c r="CX151"/>
  <c r="CW150"/>
  <c r="CY150"/>
  <c r="CX150"/>
  <c r="CW149"/>
  <c r="DA149"/>
  <c r="DB149" s="1"/>
  <c r="EP149" s="1"/>
  <c r="CY149"/>
  <c r="CX149"/>
  <c r="CW148"/>
  <c r="CY148"/>
  <c r="CX148"/>
  <c r="CW147"/>
  <c r="CY147"/>
  <c r="CX147"/>
  <c r="CW146"/>
  <c r="DA146"/>
  <c r="DB146" s="1"/>
  <c r="EP146" s="1"/>
  <c r="CY146"/>
  <c r="CX146"/>
  <c r="CW145"/>
  <c r="DA145"/>
  <c r="DB145" s="1"/>
  <c r="EP145" s="1"/>
  <c r="CY145"/>
  <c r="CX145"/>
  <c r="CW144"/>
  <c r="CY144"/>
  <c r="CX144"/>
  <c r="CW143"/>
  <c r="DA143"/>
  <c r="DB143" s="1"/>
  <c r="EP143" s="1"/>
  <c r="CY143"/>
  <c r="CX143"/>
  <c r="CW142"/>
  <c r="CY142"/>
  <c r="CX142"/>
  <c r="CW141"/>
  <c r="CY141"/>
  <c r="CX141"/>
  <c r="CX140"/>
  <c r="CW140"/>
  <c r="CY140"/>
  <c r="CX139"/>
  <c r="CW139"/>
  <c r="DA139"/>
  <c r="DB139" s="1"/>
  <c r="EP139" s="1"/>
  <c r="CY139"/>
  <c r="CX138"/>
  <c r="CW138"/>
  <c r="DA138"/>
  <c r="DB138" s="1"/>
  <c r="EP138" s="1"/>
  <c r="CY138"/>
  <c r="CX137"/>
  <c r="CW137"/>
  <c r="CY137"/>
  <c r="CX136"/>
  <c r="CW136"/>
  <c r="CY136"/>
  <c r="CX135"/>
  <c r="CW135"/>
  <c r="DA135"/>
  <c r="DB135" s="1"/>
  <c r="EP135" s="1"/>
  <c r="CY135"/>
  <c r="CX134"/>
  <c r="CW134"/>
  <c r="CY134"/>
  <c r="CX133"/>
  <c r="CW133"/>
  <c r="CY133"/>
  <c r="CX132"/>
  <c r="CW132"/>
  <c r="CY132"/>
  <c r="CX131"/>
  <c r="CW131"/>
  <c r="DA131"/>
  <c r="DB131" s="1"/>
  <c r="EP131" s="1"/>
  <c r="CY131"/>
  <c r="CX130"/>
  <c r="CW130"/>
  <c r="DA130"/>
  <c r="DB130" s="1"/>
  <c r="EP130" s="1"/>
  <c r="CY130"/>
  <c r="CX129"/>
  <c r="CW129"/>
  <c r="DA129"/>
  <c r="DB129" s="1"/>
  <c r="EP129" s="1"/>
  <c r="CY129"/>
  <c r="CX128"/>
  <c r="CW128"/>
  <c r="CY128"/>
  <c r="CX127"/>
  <c r="CW127"/>
  <c r="DA127"/>
  <c r="DB127" s="1"/>
  <c r="EP127" s="1"/>
  <c r="CY127"/>
  <c r="CX126"/>
  <c r="CW126"/>
  <c r="CY126"/>
  <c r="CX125"/>
  <c r="CW125"/>
  <c r="DA125"/>
  <c r="DB125" s="1"/>
  <c r="EP125" s="1"/>
  <c r="CY125"/>
  <c r="CX124"/>
  <c r="CW124"/>
  <c r="CY124"/>
  <c r="CX123"/>
  <c r="CW123"/>
  <c r="CY123"/>
  <c r="CX122"/>
  <c r="CW122"/>
  <c r="CY122"/>
  <c r="CX121"/>
  <c r="CW121"/>
  <c r="DA121"/>
  <c r="DB121" s="1"/>
  <c r="EP121" s="1"/>
  <c r="CY121"/>
  <c r="CX120"/>
  <c r="CW120"/>
  <c r="CY120"/>
  <c r="CX119"/>
  <c r="CW119"/>
  <c r="DA119"/>
  <c r="DB119" s="1"/>
  <c r="EP119" s="1"/>
  <c r="CY119"/>
  <c r="CX118"/>
  <c r="CW118"/>
  <c r="DA118"/>
  <c r="DB118" s="1"/>
  <c r="EP118" s="1"/>
  <c r="CY118"/>
  <c r="CX117"/>
  <c r="CW117"/>
  <c r="DA117"/>
  <c r="DB117" s="1"/>
  <c r="EP117" s="1"/>
  <c r="CY117"/>
  <c r="CX116"/>
  <c r="CW116"/>
  <c r="CY116"/>
  <c r="CX115"/>
  <c r="CW115"/>
  <c r="DA115"/>
  <c r="DB115" s="1"/>
  <c r="EP115" s="1"/>
  <c r="CY115"/>
  <c r="CX114"/>
  <c r="CW114"/>
  <c r="DA114"/>
  <c r="DB114" s="1"/>
  <c r="EP114" s="1"/>
  <c r="CY114"/>
  <c r="CX113"/>
  <c r="CW113"/>
  <c r="DA113"/>
  <c r="DB113" s="1"/>
  <c r="EP113" s="1"/>
  <c r="CY113"/>
  <c r="CX112"/>
  <c r="CW112"/>
  <c r="CY112"/>
  <c r="CX111"/>
  <c r="CW111"/>
  <c r="DA111"/>
  <c r="DB111" s="1"/>
  <c r="EP111" s="1"/>
  <c r="CY111"/>
  <c r="CX110"/>
  <c r="CW110"/>
  <c r="CY110"/>
  <c r="CX109"/>
  <c r="CW109"/>
  <c r="CY109"/>
  <c r="CX108"/>
  <c r="CW108"/>
  <c r="CY108"/>
  <c r="CX107"/>
  <c r="CW107"/>
  <c r="DA107"/>
  <c r="DB107" s="1"/>
  <c r="EP107" s="1"/>
  <c r="CY107"/>
  <c r="CX106"/>
  <c r="CW106"/>
  <c r="DA106"/>
  <c r="DB106" s="1"/>
  <c r="EP106" s="1"/>
  <c r="CY106"/>
  <c r="CX105"/>
  <c r="CW105"/>
  <c r="DA105"/>
  <c r="DB105" s="1"/>
  <c r="EP105" s="1"/>
  <c r="CY105"/>
  <c r="CX104"/>
  <c r="CW104"/>
  <c r="CY104"/>
  <c r="CX103"/>
  <c r="CW103"/>
  <c r="DA103"/>
  <c r="DB103" s="1"/>
  <c r="EP103" s="1"/>
  <c r="CY103"/>
  <c r="CX102"/>
  <c r="CW102"/>
  <c r="DA102"/>
  <c r="DB102" s="1"/>
  <c r="EP102" s="1"/>
  <c r="CY102"/>
  <c r="CX101"/>
  <c r="CW101"/>
  <c r="CY101"/>
  <c r="CX100"/>
  <c r="CW100"/>
  <c r="DA100"/>
  <c r="DB100" s="1"/>
  <c r="EP100" s="1"/>
  <c r="CY100"/>
  <c r="CX99"/>
  <c r="CW99"/>
  <c r="CY99"/>
  <c r="CX98"/>
  <c r="CW98"/>
  <c r="CY98"/>
  <c r="CX97"/>
  <c r="CW97"/>
  <c r="DA97"/>
  <c r="DB97" s="1"/>
  <c r="EP97" s="1"/>
  <c r="CY97"/>
  <c r="CX96"/>
  <c r="CW96"/>
  <c r="DA96"/>
  <c r="DB96" s="1"/>
  <c r="EP96" s="1"/>
  <c r="CY96"/>
  <c r="CX95"/>
  <c r="CW95"/>
  <c r="DA95"/>
  <c r="DB95" s="1"/>
  <c r="EP95" s="1"/>
  <c r="CY95"/>
  <c r="CX94"/>
  <c r="CW94"/>
  <c r="CY94"/>
  <c r="CX93"/>
  <c r="CW93"/>
  <c r="DA93"/>
  <c r="DB93" s="1"/>
  <c r="EP93" s="1"/>
  <c r="CY93"/>
  <c r="CX92"/>
  <c r="CW92"/>
  <c r="CY92"/>
  <c r="CX91"/>
  <c r="CW91"/>
  <c r="CY91"/>
  <c r="CX90"/>
  <c r="CW90"/>
  <c r="DA90"/>
  <c r="DB90" s="1"/>
  <c r="EP90" s="1"/>
  <c r="CY90"/>
  <c r="CX89"/>
  <c r="CW89"/>
  <c r="DA89"/>
  <c r="DB89" s="1"/>
  <c r="EP89" s="1"/>
  <c r="CY89"/>
  <c r="CX88"/>
  <c r="CW88"/>
  <c r="CY88"/>
  <c r="CX87"/>
  <c r="CW87"/>
  <c r="DA87"/>
  <c r="DB87" s="1"/>
  <c r="EP87" s="1"/>
  <c r="CY87"/>
  <c r="CX86"/>
  <c r="CW86"/>
  <c r="DA86"/>
  <c r="DB86" s="1"/>
  <c r="EP86" s="1"/>
  <c r="CY86"/>
  <c r="CX85"/>
  <c r="CW85"/>
  <c r="CY85"/>
  <c r="CX84"/>
  <c r="CW84"/>
  <c r="DA84"/>
  <c r="DB84" s="1"/>
  <c r="EP84" s="1"/>
  <c r="CY84"/>
  <c r="CX83"/>
  <c r="CW83"/>
  <c r="DA83"/>
  <c r="DB83" s="1"/>
  <c r="EP83" s="1"/>
  <c r="CY83"/>
  <c r="CX82"/>
  <c r="CW82"/>
  <c r="DA82"/>
  <c r="DB82" s="1"/>
  <c r="EP82" s="1"/>
  <c r="CY82"/>
  <c r="CX81"/>
  <c r="CW81"/>
  <c r="DA81"/>
  <c r="DB81" s="1"/>
  <c r="EP81" s="1"/>
  <c r="CY81"/>
  <c r="CX80"/>
  <c r="CW80"/>
  <c r="DA80"/>
  <c r="DB80" s="1"/>
  <c r="EP80" s="1"/>
  <c r="CY80"/>
  <c r="CX79"/>
  <c r="CW79"/>
  <c r="DA79"/>
  <c r="DB79" s="1"/>
  <c r="EP79" s="1"/>
  <c r="CY79"/>
  <c r="CX78"/>
  <c r="CW78"/>
  <c r="DA78"/>
  <c r="DB78" s="1"/>
  <c r="EP78" s="1"/>
  <c r="CY78"/>
  <c r="CX77"/>
  <c r="CW77"/>
  <c r="DA77"/>
  <c r="DB77" s="1"/>
  <c r="EP77" s="1"/>
  <c r="CY77"/>
  <c r="CX76"/>
  <c r="CW76"/>
  <c r="DA76"/>
  <c r="DB76" s="1"/>
  <c r="EP76" s="1"/>
  <c r="CY76"/>
  <c r="CX75"/>
  <c r="CW75"/>
  <c r="DA75"/>
  <c r="DB75" s="1"/>
  <c r="EP75" s="1"/>
  <c r="CY75"/>
  <c r="CX74"/>
  <c r="CW74"/>
  <c r="DA74"/>
  <c r="DB74" s="1"/>
  <c r="EP74" s="1"/>
  <c r="CY74"/>
  <c r="CX73"/>
  <c r="CW73"/>
  <c r="DA73"/>
  <c r="DB73" s="1"/>
  <c r="EP73" s="1"/>
  <c r="CY73"/>
  <c r="CX72"/>
  <c r="CW72"/>
  <c r="DA72"/>
  <c r="DB72" s="1"/>
  <c r="EP72" s="1"/>
  <c r="CY72"/>
  <c r="CX71"/>
  <c r="CW71"/>
  <c r="DA71"/>
  <c r="DB71" s="1"/>
  <c r="EP71" s="1"/>
  <c r="CY71"/>
  <c r="CX70"/>
  <c r="CW70"/>
  <c r="DA70"/>
  <c r="DB70" s="1"/>
  <c r="EP70" s="1"/>
  <c r="CY70"/>
  <c r="CX69"/>
  <c r="CW69"/>
  <c r="DA69"/>
  <c r="DB69" s="1"/>
  <c r="EP69" s="1"/>
  <c r="CY69"/>
  <c r="CX68"/>
  <c r="CW68"/>
  <c r="DA68"/>
  <c r="DB68" s="1"/>
  <c r="EP68" s="1"/>
  <c r="CY68"/>
  <c r="CX67"/>
  <c r="CW67"/>
  <c r="CY67"/>
  <c r="CX66"/>
  <c r="CW66"/>
  <c r="DA66"/>
  <c r="DB66" s="1"/>
  <c r="EP66" s="1"/>
  <c r="CY66"/>
  <c r="CX65"/>
  <c r="CW65"/>
  <c r="DA65"/>
  <c r="DB65" s="1"/>
  <c r="EP65" s="1"/>
  <c r="CY65"/>
  <c r="CX64"/>
  <c r="CW64"/>
  <c r="DA64"/>
  <c r="DB64" s="1"/>
  <c r="EP64" s="1"/>
  <c r="CY64"/>
  <c r="CX63"/>
  <c r="CW63"/>
  <c r="DA63"/>
  <c r="DB63" s="1"/>
  <c r="EP63" s="1"/>
  <c r="CY63"/>
  <c r="CY62"/>
  <c r="CX62"/>
  <c r="CW62"/>
  <c r="CY61"/>
  <c r="CX61"/>
  <c r="CW61"/>
  <c r="DA61"/>
  <c r="DB61" s="1"/>
  <c r="EP61" s="1"/>
  <c r="CY60"/>
  <c r="CX60"/>
  <c r="CW60"/>
  <c r="DA60"/>
  <c r="DB60" s="1"/>
  <c r="EP60" s="1"/>
  <c r="CY59"/>
  <c r="CX59"/>
  <c r="CW59"/>
  <c r="DA59"/>
  <c r="DB59" s="1"/>
  <c r="EP59" s="1"/>
  <c r="CY58"/>
  <c r="CX58"/>
  <c r="CW58"/>
  <c r="DA58"/>
  <c r="DB58" s="1"/>
  <c r="EP58" s="1"/>
  <c r="CY57"/>
  <c r="CX57"/>
  <c r="CW57"/>
  <c r="CY56"/>
  <c r="CX56"/>
  <c r="CW56"/>
  <c r="DA56"/>
  <c r="DB56" s="1"/>
  <c r="EP56" s="1"/>
  <c r="CY55"/>
  <c r="CX55"/>
  <c r="CW55"/>
  <c r="DA55"/>
  <c r="DB55" s="1"/>
  <c r="EP55" s="1"/>
  <c r="CW54"/>
  <c r="CY54"/>
  <c r="CX54"/>
  <c r="CW53"/>
  <c r="CY53"/>
  <c r="CX53"/>
  <c r="CW52"/>
  <c r="DA52"/>
  <c r="DB52" s="1"/>
  <c r="EP52" s="1"/>
  <c r="CY52"/>
  <c r="CX52"/>
  <c r="CW51"/>
  <c r="DA51"/>
  <c r="DB51" s="1"/>
  <c r="EP51" s="1"/>
  <c r="CY51"/>
  <c r="CX51"/>
  <c r="CX50"/>
  <c r="CW50"/>
  <c r="CY50"/>
  <c r="CX49"/>
  <c r="CW49"/>
  <c r="DA49"/>
  <c r="DB49" s="1"/>
  <c r="EP49" s="1"/>
  <c r="CY49"/>
  <c r="CX48"/>
  <c r="CW48"/>
  <c r="DA48"/>
  <c r="DB48" s="1"/>
  <c r="EP48" s="1"/>
  <c r="CY48"/>
  <c r="CX47"/>
  <c r="CW47"/>
  <c r="DA47"/>
  <c r="DB47" s="1"/>
  <c r="EP47" s="1"/>
  <c r="CY47"/>
  <c r="CY46"/>
  <c r="CX46"/>
  <c r="CW46"/>
  <c r="DA46"/>
  <c r="DB46" s="1"/>
  <c r="EP46" s="1"/>
  <c r="CY45"/>
  <c r="CX45"/>
  <c r="CW45"/>
  <c r="DA45"/>
  <c r="DB45" s="1"/>
  <c r="EP45" s="1"/>
  <c r="CY44"/>
  <c r="CX44"/>
  <c r="CW44"/>
  <c r="DA44"/>
  <c r="DB44" s="1"/>
  <c r="EP44" s="1"/>
  <c r="CY43"/>
  <c r="CX43"/>
  <c r="CW43"/>
  <c r="DA43"/>
  <c r="DB43" s="1"/>
  <c r="EP43" s="1"/>
  <c r="CY42"/>
  <c r="CX42"/>
  <c r="CW42"/>
  <c r="DA42"/>
  <c r="DB42" s="1"/>
  <c r="EP42" s="1"/>
  <c r="CY41"/>
  <c r="CX41"/>
  <c r="CW41"/>
  <c r="DA41"/>
  <c r="DB41" s="1"/>
  <c r="EP41" s="1"/>
  <c r="CY40"/>
  <c r="CX40"/>
  <c r="CW40"/>
  <c r="DA40"/>
  <c r="DB40" s="1"/>
  <c r="EP40" s="1"/>
  <c r="CY39"/>
  <c r="CX39"/>
  <c r="CW39"/>
  <c r="DA39"/>
  <c r="DB39" s="1"/>
  <c r="EP39" s="1"/>
  <c r="CW38"/>
  <c r="CY38"/>
  <c r="CX38"/>
  <c r="CX37"/>
  <c r="CX36"/>
  <c r="CX35"/>
  <c r="CX34"/>
  <c r="CX33"/>
  <c r="CX32"/>
  <c r="CX31"/>
  <c r="CX30"/>
  <c r="CX29"/>
  <c r="CX28"/>
  <c r="CX27"/>
  <c r="CX26"/>
  <c r="CX25"/>
  <c r="CX24"/>
  <c r="CX23"/>
  <c r="CX22"/>
  <c r="CX21"/>
  <c r="CX20"/>
  <c r="CX19"/>
  <c r="CX18"/>
  <c r="CX17"/>
  <c r="CX16"/>
  <c r="CX15"/>
  <c r="CX14"/>
  <c r="CX13"/>
  <c r="CX12"/>
  <c r="CX11"/>
  <c r="CX10"/>
  <c r="CX9"/>
  <c r="BQ96"/>
  <c r="BW96" s="1"/>
  <c r="CN34"/>
  <c r="CT34" s="1"/>
  <c r="CN30"/>
  <c r="CT30" s="1"/>
  <c r="CN62"/>
  <c r="CT62" s="1"/>
  <c r="DA62" s="1"/>
  <c r="DB62" s="1"/>
  <c r="EP62" s="1"/>
  <c r="CN94"/>
  <c r="CT94" s="1"/>
  <c r="DA94" s="1"/>
  <c r="DB94" s="1"/>
  <c r="EP94" s="1"/>
  <c r="CN152"/>
  <c r="CT152" s="1"/>
  <c r="DA152" s="1"/>
  <c r="DB152" s="1"/>
  <c r="EP152" s="1"/>
  <c r="CN168"/>
  <c r="CT168" s="1"/>
  <c r="DA168" s="1"/>
  <c r="DB168" s="1"/>
  <c r="EP168" s="1"/>
  <c r="CN200"/>
  <c r="CT200" s="1"/>
  <c r="DA200" s="1"/>
  <c r="DB200" s="1"/>
  <c r="EP200" s="1"/>
  <c r="CN10"/>
  <c r="CT10" s="1"/>
  <c r="O47" i="19" s="1"/>
  <c r="CN108" i="9"/>
  <c r="CT108" s="1"/>
  <c r="DA108" s="1"/>
  <c r="DB108" s="1"/>
  <c r="EP108" s="1"/>
  <c r="CN124"/>
  <c r="CT124" s="1"/>
  <c r="DA124" s="1"/>
  <c r="DB124" s="1"/>
  <c r="EP124" s="1"/>
  <c r="CN140"/>
  <c r="CT140" s="1"/>
  <c r="DA140" s="1"/>
  <c r="DB140" s="1"/>
  <c r="EP140" s="1"/>
  <c r="CT153"/>
  <c r="DA153" s="1"/>
  <c r="DB153" s="1"/>
  <c r="EP153" s="1"/>
  <c r="CN120"/>
  <c r="CT120" s="1"/>
  <c r="DA120" s="1"/>
  <c r="DB120" s="1"/>
  <c r="EP120" s="1"/>
  <c r="CN136"/>
  <c r="CT136" s="1"/>
  <c r="DA136" s="1"/>
  <c r="DB136" s="1"/>
  <c r="EP136" s="1"/>
  <c r="CN148"/>
  <c r="CT148" s="1"/>
  <c r="DA148" s="1"/>
  <c r="DB148" s="1"/>
  <c r="EP148" s="1"/>
  <c r="CN150"/>
  <c r="CT150" s="1"/>
  <c r="DA150" s="1"/>
  <c r="DB150" s="1"/>
  <c r="EP150" s="1"/>
  <c r="CN116"/>
  <c r="CT116" s="1"/>
  <c r="DA116" s="1"/>
  <c r="DB116" s="1"/>
  <c r="EP116" s="1"/>
  <c r="CN132"/>
  <c r="CT132" s="1"/>
  <c r="DA132" s="1"/>
  <c r="DB132" s="1"/>
  <c r="EP132" s="1"/>
  <c r="CN112"/>
  <c r="CT112" s="1"/>
  <c r="DA112" s="1"/>
  <c r="DB112" s="1"/>
  <c r="EP112" s="1"/>
  <c r="CN128"/>
  <c r="CT128" s="1"/>
  <c r="DA128" s="1"/>
  <c r="DB128" s="1"/>
  <c r="EP128" s="1"/>
  <c r="CN144"/>
  <c r="CT144" s="1"/>
  <c r="DA144" s="1"/>
  <c r="DB144" s="1"/>
  <c r="EP144" s="1"/>
  <c r="BQ92"/>
  <c r="BW92" s="1"/>
  <c r="BQ136"/>
  <c r="BW136" s="1"/>
  <c r="CD136" s="1"/>
  <c r="CE136" s="1"/>
  <c r="EO136" s="1"/>
  <c r="BQ128"/>
  <c r="BW128" s="1"/>
  <c r="BQ39"/>
  <c r="BW39" s="1"/>
  <c r="BW79"/>
  <c r="CD79" s="1"/>
  <c r="CE79" s="1"/>
  <c r="EO79" s="1"/>
  <c r="BQ120"/>
  <c r="BW120" s="1"/>
  <c r="BQ146"/>
  <c r="BW146" s="1"/>
  <c r="CD146" s="1"/>
  <c r="CE146" s="1"/>
  <c r="EO146" s="1"/>
  <c r="BW113"/>
  <c r="BW121"/>
  <c r="CD121" s="1"/>
  <c r="CE121" s="1"/>
  <c r="EO121" s="1"/>
  <c r="BW97"/>
  <c r="CB207"/>
  <c r="CA207"/>
  <c r="BZ207"/>
  <c r="CB206"/>
  <c r="CA206"/>
  <c r="BZ206"/>
  <c r="CA205"/>
  <c r="BZ205"/>
  <c r="CB205"/>
  <c r="BZ204"/>
  <c r="CB204"/>
  <c r="CA204"/>
  <c r="CB203"/>
  <c r="CA203"/>
  <c r="BZ203"/>
  <c r="CD203"/>
  <c r="CE203" s="1"/>
  <c r="EO203" s="1"/>
  <c r="CB202"/>
  <c r="CA202"/>
  <c r="BZ202"/>
  <c r="CA201"/>
  <c r="BZ201"/>
  <c r="CB201"/>
  <c r="BZ200"/>
  <c r="CD200"/>
  <c r="CE200" s="1"/>
  <c r="EO200" s="1"/>
  <c r="CB200"/>
  <c r="CA200"/>
  <c r="CB199"/>
  <c r="CA199"/>
  <c r="BZ199"/>
  <c r="CD199"/>
  <c r="CE199" s="1"/>
  <c r="EO199" s="1"/>
  <c r="CB198"/>
  <c r="CA198"/>
  <c r="BZ198"/>
  <c r="CA197"/>
  <c r="BZ197"/>
  <c r="CB197"/>
  <c r="BZ196"/>
  <c r="CB196"/>
  <c r="CA196"/>
  <c r="CB195"/>
  <c r="CA195"/>
  <c r="BZ195"/>
  <c r="CB194"/>
  <c r="CA194"/>
  <c r="BZ194"/>
  <c r="CD194"/>
  <c r="CE194" s="1"/>
  <c r="EO194" s="1"/>
  <c r="CA193"/>
  <c r="BZ193"/>
  <c r="CD193"/>
  <c r="CE193" s="1"/>
  <c r="EO193" s="1"/>
  <c r="CB193"/>
  <c r="BZ192"/>
  <c r="CD192"/>
  <c r="CE192" s="1"/>
  <c r="EO192" s="1"/>
  <c r="CB192"/>
  <c r="CA192"/>
  <c r="CB191"/>
  <c r="CA191"/>
  <c r="BZ191"/>
  <c r="CD191"/>
  <c r="CE191" s="1"/>
  <c r="EO191" s="1"/>
  <c r="CB190"/>
  <c r="CA190"/>
  <c r="BZ190"/>
  <c r="CD190"/>
  <c r="CE190" s="1"/>
  <c r="EO190" s="1"/>
  <c r="CA189"/>
  <c r="BZ189"/>
  <c r="CD189"/>
  <c r="CE189" s="1"/>
  <c r="EO189" s="1"/>
  <c r="CB189"/>
  <c r="BZ188"/>
  <c r="CB188"/>
  <c r="CA188"/>
  <c r="CB187"/>
  <c r="CA187"/>
  <c r="BZ187"/>
  <c r="CB186"/>
  <c r="CA186"/>
  <c r="BZ186"/>
  <c r="CD186"/>
  <c r="CE186" s="1"/>
  <c r="EO186" s="1"/>
  <c r="CA185"/>
  <c r="BZ185"/>
  <c r="CD185"/>
  <c r="CE185" s="1"/>
  <c r="EO185" s="1"/>
  <c r="CB185"/>
  <c r="BZ184"/>
  <c r="CD184"/>
  <c r="CE184" s="1"/>
  <c r="EO184" s="1"/>
  <c r="CB184"/>
  <c r="CA184"/>
  <c r="CB183"/>
  <c r="CA183"/>
  <c r="BZ183"/>
  <c r="CD183"/>
  <c r="CE183" s="1"/>
  <c r="EO183" s="1"/>
  <c r="CB182"/>
  <c r="CA182"/>
  <c r="BZ182"/>
  <c r="CA181"/>
  <c r="BZ181"/>
  <c r="CB181"/>
  <c r="BZ180"/>
  <c r="CB180"/>
  <c r="CA180"/>
  <c r="CB179"/>
  <c r="CA179"/>
  <c r="BZ179"/>
  <c r="CB178"/>
  <c r="CA178"/>
  <c r="BZ178"/>
  <c r="CD178"/>
  <c r="CE178" s="1"/>
  <c r="EO178" s="1"/>
  <c r="CA177"/>
  <c r="BZ177"/>
  <c r="CD177"/>
  <c r="CE177" s="1"/>
  <c r="EO177" s="1"/>
  <c r="CB177"/>
  <c r="BZ176"/>
  <c r="CB176"/>
  <c r="CA176"/>
  <c r="CB175"/>
  <c r="CA175"/>
  <c r="BZ175"/>
  <c r="CD175"/>
  <c r="CE175" s="1"/>
  <c r="EO175" s="1"/>
  <c r="CB174"/>
  <c r="CA174"/>
  <c r="BZ174"/>
  <c r="CD174"/>
  <c r="CE174" s="1"/>
  <c r="EO174" s="1"/>
  <c r="CA173"/>
  <c r="BZ173"/>
  <c r="CD173"/>
  <c r="CE173" s="1"/>
  <c r="EO173" s="1"/>
  <c r="CB173"/>
  <c r="BZ172"/>
  <c r="CB172"/>
  <c r="CA172"/>
  <c r="CB171"/>
  <c r="CA171"/>
  <c r="BZ171"/>
  <c r="CB170"/>
  <c r="CA170"/>
  <c r="BZ170"/>
  <c r="CD170"/>
  <c r="CE170" s="1"/>
  <c r="EO170" s="1"/>
  <c r="CA169"/>
  <c r="BZ169"/>
  <c r="CB169"/>
  <c r="BZ168"/>
  <c r="CD168"/>
  <c r="CE168" s="1"/>
  <c r="EO168" s="1"/>
  <c r="CB168"/>
  <c r="CA168"/>
  <c r="CB167"/>
  <c r="CA167"/>
  <c r="BZ167"/>
  <c r="CD167"/>
  <c r="CE167" s="1"/>
  <c r="EO167" s="1"/>
  <c r="CB166"/>
  <c r="CA166"/>
  <c r="BZ166"/>
  <c r="CD166"/>
  <c r="CE166" s="1"/>
  <c r="EO166" s="1"/>
  <c r="CA165"/>
  <c r="BZ165"/>
  <c r="CD165"/>
  <c r="CE165" s="1"/>
  <c r="EO165" s="1"/>
  <c r="CB165"/>
  <c r="BZ164"/>
  <c r="CB164"/>
  <c r="CA164"/>
  <c r="CA163"/>
  <c r="BZ163"/>
  <c r="CB163"/>
  <c r="CB162"/>
  <c r="CA162"/>
  <c r="BZ162"/>
  <c r="CD162"/>
  <c r="CE162" s="1"/>
  <c r="EO162" s="1"/>
  <c r="CA161"/>
  <c r="BZ161"/>
  <c r="CB161"/>
  <c r="BZ160"/>
  <c r="CD160"/>
  <c r="CE160" s="1"/>
  <c r="EO160" s="1"/>
  <c r="CB160"/>
  <c r="CA160"/>
  <c r="CB159"/>
  <c r="CA159"/>
  <c r="BZ159"/>
  <c r="CB158"/>
  <c r="CA158"/>
  <c r="BZ158"/>
  <c r="CA157"/>
  <c r="BZ157"/>
  <c r="CB157"/>
  <c r="BZ156"/>
  <c r="CB156"/>
  <c r="CA156"/>
  <c r="CB155"/>
  <c r="CA155"/>
  <c r="BZ155"/>
  <c r="CB154"/>
  <c r="CA154"/>
  <c r="BZ154"/>
  <c r="CA153"/>
  <c r="BZ153"/>
  <c r="CB153"/>
  <c r="BZ152"/>
  <c r="CB152"/>
  <c r="CA152"/>
  <c r="CB151"/>
  <c r="CA151"/>
  <c r="BZ151"/>
  <c r="CB150"/>
  <c r="CA150"/>
  <c r="BZ150"/>
  <c r="CA149"/>
  <c r="BZ149"/>
  <c r="CB149"/>
  <c r="BZ148"/>
  <c r="CD148"/>
  <c r="CE148" s="1"/>
  <c r="EO148" s="1"/>
  <c r="CB148"/>
  <c r="CA148"/>
  <c r="CB147"/>
  <c r="CA147"/>
  <c r="BZ147"/>
  <c r="CB146"/>
  <c r="CA146"/>
  <c r="BZ146"/>
  <c r="CA145"/>
  <c r="BZ145"/>
  <c r="CD145"/>
  <c r="CE145" s="1"/>
  <c r="EO145" s="1"/>
  <c r="CB145"/>
  <c r="BZ144"/>
  <c r="CD144"/>
  <c r="CE144" s="1"/>
  <c r="EO144" s="1"/>
  <c r="CB144"/>
  <c r="CA144"/>
  <c r="CB143"/>
  <c r="CA143"/>
  <c r="BZ143"/>
  <c r="CB142"/>
  <c r="CA142"/>
  <c r="BZ142"/>
  <c r="CD142"/>
  <c r="CE142" s="1"/>
  <c r="EO142" s="1"/>
  <c r="CA141"/>
  <c r="BZ141"/>
  <c r="CB141"/>
  <c r="BZ140"/>
  <c r="CB140"/>
  <c r="CA140"/>
  <c r="CB139"/>
  <c r="CA139"/>
  <c r="BZ139"/>
  <c r="CD139"/>
  <c r="CE139" s="1"/>
  <c r="EO139" s="1"/>
  <c r="CB138"/>
  <c r="CA138"/>
  <c r="BZ138"/>
  <c r="CD138"/>
  <c r="CE138" s="1"/>
  <c r="EO138" s="1"/>
  <c r="CA137"/>
  <c r="BZ137"/>
  <c r="CB137"/>
  <c r="BZ136"/>
  <c r="CB136"/>
  <c r="CA136"/>
  <c r="CB135"/>
  <c r="CA135"/>
  <c r="BZ135"/>
  <c r="CD135"/>
  <c r="CE135" s="1"/>
  <c r="EO135" s="1"/>
  <c r="CB134"/>
  <c r="CA134"/>
  <c r="BZ134"/>
  <c r="CD134"/>
  <c r="CE134" s="1"/>
  <c r="EO134" s="1"/>
  <c r="CA133"/>
  <c r="BZ133"/>
  <c r="CD133"/>
  <c r="CE133" s="1"/>
  <c r="EO133" s="1"/>
  <c r="CB133"/>
  <c r="BZ132"/>
  <c r="CB132"/>
  <c r="CA132"/>
  <c r="CB131"/>
  <c r="CA131"/>
  <c r="BZ131"/>
  <c r="CB130"/>
  <c r="CA130"/>
  <c r="BZ130"/>
  <c r="CD130"/>
  <c r="CE130" s="1"/>
  <c r="EO130" s="1"/>
  <c r="CA129"/>
  <c r="BZ129"/>
  <c r="CB129"/>
  <c r="BZ128"/>
  <c r="CD128"/>
  <c r="CE128" s="1"/>
  <c r="EO128" s="1"/>
  <c r="CB128"/>
  <c r="CA128"/>
  <c r="CB127"/>
  <c r="CA127"/>
  <c r="BZ127"/>
  <c r="CB126"/>
  <c r="CA126"/>
  <c r="BZ126"/>
  <c r="CD126"/>
  <c r="CE126" s="1"/>
  <c r="EO126" s="1"/>
  <c r="CA125"/>
  <c r="BZ125"/>
  <c r="CD125"/>
  <c r="CE125" s="1"/>
  <c r="EO125" s="1"/>
  <c r="CB125"/>
  <c r="BZ124"/>
  <c r="CB124"/>
  <c r="CA124"/>
  <c r="CB123"/>
  <c r="CA123"/>
  <c r="BZ123"/>
  <c r="CD123"/>
  <c r="CE123" s="1"/>
  <c r="EO123" s="1"/>
  <c r="CB122"/>
  <c r="CA122"/>
  <c r="BZ122"/>
  <c r="CD122"/>
  <c r="CE122" s="1"/>
  <c r="EO122" s="1"/>
  <c r="CA121"/>
  <c r="BZ121"/>
  <c r="CB121"/>
  <c r="BZ120"/>
  <c r="CD120"/>
  <c r="CE120" s="1"/>
  <c r="EO120" s="1"/>
  <c r="CB120"/>
  <c r="CA120"/>
  <c r="CB119"/>
  <c r="CA119"/>
  <c r="BZ119"/>
  <c r="CB118"/>
  <c r="CA118"/>
  <c r="BZ118"/>
  <c r="CD118"/>
  <c r="CE118" s="1"/>
  <c r="EO118" s="1"/>
  <c r="CA117"/>
  <c r="BZ117"/>
  <c r="CD117"/>
  <c r="CE117" s="1"/>
  <c r="EO117" s="1"/>
  <c r="CB117"/>
  <c r="BZ116"/>
  <c r="CD116"/>
  <c r="CE116" s="1"/>
  <c r="EO116" s="1"/>
  <c r="CB116"/>
  <c r="CA116"/>
  <c r="CB115"/>
  <c r="CA115"/>
  <c r="BZ115"/>
  <c r="CD115"/>
  <c r="CE115" s="1"/>
  <c r="EO115" s="1"/>
  <c r="CB114"/>
  <c r="CA114"/>
  <c r="BZ114"/>
  <c r="CA113"/>
  <c r="BZ113"/>
  <c r="CD113"/>
  <c r="CE113" s="1"/>
  <c r="EO113" s="1"/>
  <c r="CB113"/>
  <c r="BZ112"/>
  <c r="CB112"/>
  <c r="CA112"/>
  <c r="CB111"/>
  <c r="CA111"/>
  <c r="BZ111"/>
  <c r="CB110"/>
  <c r="CA110"/>
  <c r="BZ110"/>
  <c r="CD110"/>
  <c r="CE110" s="1"/>
  <c r="EO110" s="1"/>
  <c r="CA109"/>
  <c r="BZ109"/>
  <c r="CD109"/>
  <c r="CE109" s="1"/>
  <c r="EO109" s="1"/>
  <c r="CB109"/>
  <c r="BZ108"/>
  <c r="CB108"/>
  <c r="CA108"/>
  <c r="CB107"/>
  <c r="CA107"/>
  <c r="BZ107"/>
  <c r="CD107"/>
  <c r="CE107" s="1"/>
  <c r="EO107" s="1"/>
  <c r="CB106"/>
  <c r="CA106"/>
  <c r="BZ106"/>
  <c r="CD106"/>
  <c r="CE106" s="1"/>
  <c r="EO106" s="1"/>
  <c r="CA105"/>
  <c r="BZ105"/>
  <c r="CD105"/>
  <c r="CE105" s="1"/>
  <c r="EO105" s="1"/>
  <c r="CB105"/>
  <c r="BZ104"/>
  <c r="CB104"/>
  <c r="CA104"/>
  <c r="CB103"/>
  <c r="CA103"/>
  <c r="BZ103"/>
  <c r="CD103"/>
  <c r="CE103" s="1"/>
  <c r="EO103" s="1"/>
  <c r="CB102"/>
  <c r="CA102"/>
  <c r="BZ102"/>
  <c r="CA101"/>
  <c r="BZ101"/>
  <c r="CD101"/>
  <c r="CE101" s="1"/>
  <c r="EO101" s="1"/>
  <c r="CB101"/>
  <c r="BZ100"/>
  <c r="CD100"/>
  <c r="CE100" s="1"/>
  <c r="EO100" s="1"/>
  <c r="CB100"/>
  <c r="CA100"/>
  <c r="CB99"/>
  <c r="CA99"/>
  <c r="BZ99"/>
  <c r="CD99"/>
  <c r="CE99" s="1"/>
  <c r="EO99" s="1"/>
  <c r="CB98"/>
  <c r="CA98"/>
  <c r="BZ98"/>
  <c r="CA97"/>
  <c r="BZ97"/>
  <c r="CD97"/>
  <c r="CE97" s="1"/>
  <c r="EO97" s="1"/>
  <c r="CB97"/>
  <c r="BZ96"/>
  <c r="CD96"/>
  <c r="CE96" s="1"/>
  <c r="EO96" s="1"/>
  <c r="CB96"/>
  <c r="CA96"/>
  <c r="CB95"/>
  <c r="CA95"/>
  <c r="BZ95"/>
  <c r="CB94"/>
  <c r="CA94"/>
  <c r="BZ94"/>
  <c r="CD94"/>
  <c r="CE94" s="1"/>
  <c r="EO94" s="1"/>
  <c r="CA93"/>
  <c r="BZ93"/>
  <c r="CB93"/>
  <c r="BZ92"/>
  <c r="CD92"/>
  <c r="CE92" s="1"/>
  <c r="EO92" s="1"/>
  <c r="CB92"/>
  <c r="CA92"/>
  <c r="CB91"/>
  <c r="CA91"/>
  <c r="BZ91"/>
  <c r="CB90"/>
  <c r="CA90"/>
  <c r="BZ90"/>
  <c r="CD90"/>
  <c r="CE90" s="1"/>
  <c r="EO90" s="1"/>
  <c r="CA89"/>
  <c r="BZ89"/>
  <c r="CB89"/>
  <c r="BZ88"/>
  <c r="CB88"/>
  <c r="CA88"/>
  <c r="CB87"/>
  <c r="CA87"/>
  <c r="BZ87"/>
  <c r="CB86"/>
  <c r="CA86"/>
  <c r="BZ86"/>
  <c r="CD86"/>
  <c r="CE86" s="1"/>
  <c r="EO86" s="1"/>
  <c r="CA85"/>
  <c r="BZ85"/>
  <c r="CD85"/>
  <c r="CE85" s="1"/>
  <c r="EO85" s="1"/>
  <c r="CB85"/>
  <c r="BZ84"/>
  <c r="CD84"/>
  <c r="CE84" s="1"/>
  <c r="EO84" s="1"/>
  <c r="CB84"/>
  <c r="CA84"/>
  <c r="CB83"/>
  <c r="CA83"/>
  <c r="BZ83"/>
  <c r="CD83"/>
  <c r="CE83" s="1"/>
  <c r="EO83" s="1"/>
  <c r="CB82"/>
  <c r="CA82"/>
  <c r="BZ82"/>
  <c r="CA81"/>
  <c r="BZ81"/>
  <c r="CB81"/>
  <c r="BZ80"/>
  <c r="CB80"/>
  <c r="CA80"/>
  <c r="CB79"/>
  <c r="CA79"/>
  <c r="BZ79"/>
  <c r="CB78"/>
  <c r="CA78"/>
  <c r="BZ78"/>
  <c r="CD78"/>
  <c r="CE78" s="1"/>
  <c r="EO78" s="1"/>
  <c r="CA77"/>
  <c r="BZ77"/>
  <c r="CD77"/>
  <c r="CE77" s="1"/>
  <c r="EO77" s="1"/>
  <c r="CB77"/>
  <c r="BZ76"/>
  <c r="CB76"/>
  <c r="CA76"/>
  <c r="CB75"/>
  <c r="CA75"/>
  <c r="BZ75"/>
  <c r="CD75"/>
  <c r="CE75" s="1"/>
  <c r="EO75" s="1"/>
  <c r="CB74"/>
  <c r="CA74"/>
  <c r="BZ74"/>
  <c r="CD74"/>
  <c r="CE74" s="1"/>
  <c r="EO74" s="1"/>
  <c r="CA73"/>
  <c r="BZ73"/>
  <c r="CD73"/>
  <c r="CE73" s="1"/>
  <c r="EO73" s="1"/>
  <c r="CB73"/>
  <c r="BZ72"/>
  <c r="CD72"/>
  <c r="CE72" s="1"/>
  <c r="EO72" s="1"/>
  <c r="CB72"/>
  <c r="CA72"/>
  <c r="CB71"/>
  <c r="CA71"/>
  <c r="BZ71"/>
  <c r="CD71"/>
  <c r="CE71" s="1"/>
  <c r="EO71" s="1"/>
  <c r="CB70"/>
  <c r="CA70"/>
  <c r="BZ70"/>
  <c r="CD70"/>
  <c r="CE70" s="1"/>
  <c r="EO70" s="1"/>
  <c r="CA69"/>
  <c r="BZ69"/>
  <c r="CD69"/>
  <c r="CE69" s="1"/>
  <c r="EO69" s="1"/>
  <c r="CB69"/>
  <c r="BZ68"/>
  <c r="CB68"/>
  <c r="CA68"/>
  <c r="CB67"/>
  <c r="CA67"/>
  <c r="BZ67"/>
  <c r="CD67"/>
  <c r="CE67" s="1"/>
  <c r="EO67" s="1"/>
  <c r="CB66"/>
  <c r="CA66"/>
  <c r="BZ66"/>
  <c r="CD66"/>
  <c r="CE66" s="1"/>
  <c r="EO66" s="1"/>
  <c r="CA65"/>
  <c r="BZ65"/>
  <c r="CB65"/>
  <c r="BZ64"/>
  <c r="CD64"/>
  <c r="CE64" s="1"/>
  <c r="EO64" s="1"/>
  <c r="CB64"/>
  <c r="CA64"/>
  <c r="CB63"/>
  <c r="CA63"/>
  <c r="BZ63"/>
  <c r="CD63"/>
  <c r="CE63" s="1"/>
  <c r="EO63" s="1"/>
  <c r="CB62"/>
  <c r="CA62"/>
  <c r="BZ62"/>
  <c r="CA61"/>
  <c r="BZ61"/>
  <c r="CB61"/>
  <c r="BZ60"/>
  <c r="CB60"/>
  <c r="CA60"/>
  <c r="CB59"/>
  <c r="CA59"/>
  <c r="BZ59"/>
  <c r="CB58"/>
  <c r="CA58"/>
  <c r="BZ58"/>
  <c r="CD58"/>
  <c r="CE58" s="1"/>
  <c r="EO58" s="1"/>
  <c r="CA57"/>
  <c r="BZ57"/>
  <c r="CD57"/>
  <c r="CE57" s="1"/>
  <c r="EO57" s="1"/>
  <c r="CB57"/>
  <c r="BZ56"/>
  <c r="CD56"/>
  <c r="CE56" s="1"/>
  <c r="EO56" s="1"/>
  <c r="CB56"/>
  <c r="CA56"/>
  <c r="CB55"/>
  <c r="CA55"/>
  <c r="BZ55"/>
  <c r="CB54"/>
  <c r="CA54"/>
  <c r="BZ54"/>
  <c r="CD54"/>
  <c r="CE54" s="1"/>
  <c r="EO54" s="1"/>
  <c r="CA53"/>
  <c r="BZ53"/>
  <c r="CD53"/>
  <c r="CE53" s="1"/>
  <c r="EO53" s="1"/>
  <c r="CB53"/>
  <c r="BZ52"/>
  <c r="CB52"/>
  <c r="CA52"/>
  <c r="CB51"/>
  <c r="CA51"/>
  <c r="BZ51"/>
  <c r="CB50"/>
  <c r="CA50"/>
  <c r="BZ50"/>
  <c r="CD50"/>
  <c r="CE50" s="1"/>
  <c r="EO50" s="1"/>
  <c r="CA49"/>
  <c r="BZ49"/>
  <c r="CB49"/>
  <c r="BZ48"/>
  <c r="CB48"/>
  <c r="CA48"/>
  <c r="CB47"/>
  <c r="CA47"/>
  <c r="BZ47"/>
  <c r="CD47"/>
  <c r="CE47" s="1"/>
  <c r="EO47" s="1"/>
  <c r="CB46"/>
  <c r="CA46"/>
  <c r="BZ46"/>
  <c r="CD46"/>
  <c r="CE46" s="1"/>
  <c r="EO46" s="1"/>
  <c r="CA45"/>
  <c r="BZ45"/>
  <c r="CD45"/>
  <c r="CE45" s="1"/>
  <c r="EO45" s="1"/>
  <c r="CB45"/>
  <c r="BZ44"/>
  <c r="CB44"/>
  <c r="CA44"/>
  <c r="CB43"/>
  <c r="CA43"/>
  <c r="BZ43"/>
  <c r="CD43"/>
  <c r="CE43" s="1"/>
  <c r="EO43" s="1"/>
  <c r="CB42"/>
  <c r="CA42"/>
  <c r="BZ42"/>
  <c r="CD42"/>
  <c r="CE42" s="1"/>
  <c r="EO42" s="1"/>
  <c r="CA41"/>
  <c r="BZ41"/>
  <c r="CD41"/>
  <c r="CE41" s="1"/>
  <c r="EO41" s="1"/>
  <c r="CB41"/>
  <c r="BZ40"/>
  <c r="CB40"/>
  <c r="CA40"/>
  <c r="CB39"/>
  <c r="CA39"/>
  <c r="BZ39"/>
  <c r="CD39"/>
  <c r="CE39" s="1"/>
  <c r="EO39" s="1"/>
  <c r="CB38"/>
  <c r="CA38"/>
  <c r="BZ38"/>
  <c r="CD38"/>
  <c r="CE38" s="1"/>
  <c r="EO38" s="1"/>
  <c r="CA37"/>
  <c r="CA36"/>
  <c r="CA35"/>
  <c r="CA34"/>
  <c r="CA33"/>
  <c r="CA32"/>
  <c r="CA31"/>
  <c r="CA30"/>
  <c r="CA29"/>
  <c r="CA28"/>
  <c r="CA27"/>
  <c r="CA26"/>
  <c r="CA25"/>
  <c r="CA24"/>
  <c r="CA23"/>
  <c r="CA22"/>
  <c r="CA21"/>
  <c r="CA20"/>
  <c r="CA19"/>
  <c r="CA18"/>
  <c r="CA17"/>
  <c r="CA16"/>
  <c r="CA15"/>
  <c r="CA14"/>
  <c r="CA13"/>
  <c r="CA11"/>
  <c r="BQ124"/>
  <c r="BW124" s="1"/>
  <c r="CD124" s="1"/>
  <c r="CE124" s="1"/>
  <c r="EO124" s="1"/>
  <c r="BQ132"/>
  <c r="BW132" s="1"/>
  <c r="CD132" s="1"/>
  <c r="CE132" s="1"/>
  <c r="EO132" s="1"/>
  <c r="BQ140"/>
  <c r="BW140" s="1"/>
  <c r="CD140" s="1"/>
  <c r="CE140" s="1"/>
  <c r="EO140" s="1"/>
  <c r="BQ163"/>
  <c r="BW163" s="1"/>
  <c r="CD163" s="1"/>
  <c r="CE163" s="1"/>
  <c r="EO163" s="1"/>
  <c r="BQ171"/>
  <c r="BW171" s="1"/>
  <c r="CD171" s="1"/>
  <c r="CE171" s="1"/>
  <c r="EO171" s="1"/>
  <c r="BQ179"/>
  <c r="BW179" s="1"/>
  <c r="CD179" s="1"/>
  <c r="CE179" s="1"/>
  <c r="EO179" s="1"/>
  <c r="BQ187"/>
  <c r="BW187" s="1"/>
  <c r="CD187" s="1"/>
  <c r="CE187" s="1"/>
  <c r="EO187" s="1"/>
  <c r="BQ195"/>
  <c r="BW195" s="1"/>
  <c r="CD195" s="1"/>
  <c r="CE195" s="1"/>
  <c r="EO195" s="1"/>
  <c r="BQ202"/>
  <c r="BW202" s="1"/>
  <c r="CD202" s="1"/>
  <c r="CE202" s="1"/>
  <c r="EO202" s="1"/>
  <c r="BQ18"/>
  <c r="BW18" s="1"/>
  <c r="BW93"/>
  <c r="CD93" s="1"/>
  <c r="CE93" s="1"/>
  <c r="EO93" s="1"/>
  <c r="BQ36"/>
  <c r="BW36" s="1"/>
  <c r="BQ28"/>
  <c r="BW28" s="1"/>
  <c r="BQ76"/>
  <c r="BW76" s="1"/>
  <c r="CD76" s="1"/>
  <c r="CE76" s="1"/>
  <c r="EO76" s="1"/>
  <c r="BQ44"/>
  <c r="BW44" s="1"/>
  <c r="CD44" s="1"/>
  <c r="CE44" s="1"/>
  <c r="EO44" s="1"/>
  <c r="BQ206"/>
  <c r="BW206" s="1"/>
  <c r="CD206" s="1"/>
  <c r="CE206" s="1"/>
  <c r="EO206" s="1"/>
  <c r="BQ207"/>
  <c r="BW207" s="1"/>
  <c r="CD207" s="1"/>
  <c r="CE207" s="1"/>
  <c r="EO207" s="1"/>
  <c r="BQ161"/>
  <c r="BW161" s="1"/>
  <c r="CD161" s="1"/>
  <c r="CE161" s="1"/>
  <c r="EO161" s="1"/>
  <c r="BQ68"/>
  <c r="BW68" s="1"/>
  <c r="CD68" s="1"/>
  <c r="CE68" s="1"/>
  <c r="EO68" s="1"/>
  <c r="BQ12"/>
  <c r="BW12" s="1"/>
  <c r="O75" i="19" s="1"/>
  <c r="BQ205" i="9"/>
  <c r="BW205" s="1"/>
  <c r="CD205" s="1"/>
  <c r="CE205" s="1"/>
  <c r="EO205" s="1"/>
  <c r="BQ17"/>
  <c r="BW17" s="1"/>
  <c r="BQ204"/>
  <c r="BW204" s="1"/>
  <c r="CD204" s="1"/>
  <c r="CE204" s="1"/>
  <c r="EO204" s="1"/>
  <c r="BQ156"/>
  <c r="BW156" s="1"/>
  <c r="CD156" s="1"/>
  <c r="CE156" s="1"/>
  <c r="EO156" s="1"/>
  <c r="BW141"/>
  <c r="CD141" s="1"/>
  <c r="CE141" s="1"/>
  <c r="EO141" s="1"/>
  <c r="BQ87"/>
  <c r="BW87" s="1"/>
  <c r="CD87" s="1"/>
  <c r="CE87" s="1"/>
  <c r="EO87" s="1"/>
  <c r="BQ201"/>
  <c r="BW201" s="1"/>
  <c r="CD201" s="1"/>
  <c r="CE201" s="1"/>
  <c r="EO201" s="1"/>
  <c r="BQ60"/>
  <c r="BW60" s="1"/>
  <c r="CD60" s="1"/>
  <c r="CE60" s="1"/>
  <c r="EO60" s="1"/>
  <c r="BQ164"/>
  <c r="BW164" s="1"/>
  <c r="CD164" s="1"/>
  <c r="CE164" s="1"/>
  <c r="EO164" s="1"/>
  <c r="BQ172"/>
  <c r="BW172" s="1"/>
  <c r="CD172" s="1"/>
  <c r="CE172" s="1"/>
  <c r="EO172" s="1"/>
  <c r="BQ180"/>
  <c r="BW180" s="1"/>
  <c r="CD180" s="1"/>
  <c r="CE180" s="1"/>
  <c r="EO180" s="1"/>
  <c r="BQ188"/>
  <c r="BW188" s="1"/>
  <c r="CD188" s="1"/>
  <c r="CE188" s="1"/>
  <c r="EO188" s="1"/>
  <c r="BQ196"/>
  <c r="BW196" s="1"/>
  <c r="CD196" s="1"/>
  <c r="CE196" s="1"/>
  <c r="EO196" s="1"/>
  <c r="BQ95"/>
  <c r="BW95" s="1"/>
  <c r="CD95" s="1"/>
  <c r="CE95" s="1"/>
  <c r="EO95" s="1"/>
  <c r="BQ119"/>
  <c r="BW119" s="1"/>
  <c r="CD119" s="1"/>
  <c r="CE119" s="1"/>
  <c r="EO119" s="1"/>
  <c r="BQ143"/>
  <c r="BW143" s="1"/>
  <c r="CD143" s="1"/>
  <c r="CE143" s="1"/>
  <c r="EO143" s="1"/>
  <c r="BQ52"/>
  <c r="BW52" s="1"/>
  <c r="CD52" s="1"/>
  <c r="CE52" s="1"/>
  <c r="EO52" s="1"/>
  <c r="BQ152"/>
  <c r="BW152" s="1"/>
  <c r="CD152" s="1"/>
  <c r="CE152" s="1"/>
  <c r="EO152" s="1"/>
  <c r="BW155"/>
  <c r="CD155" s="1"/>
  <c r="CE155" s="1"/>
  <c r="EO155" s="1"/>
  <c r="BQ154"/>
  <c r="BW154" s="1"/>
  <c r="CD154" s="1"/>
  <c r="CE154" s="1"/>
  <c r="EO154" s="1"/>
  <c r="AT14"/>
  <c r="AZ14" s="1"/>
  <c r="M85"/>
  <c r="M81"/>
  <c r="O81" s="1"/>
  <c r="Q81" s="1"/>
  <c r="AT115"/>
  <c r="AZ115" s="1"/>
  <c r="AZ15"/>
  <c r="O16" i="18" s="1"/>
  <c r="AT26" i="9"/>
  <c r="AZ26" s="1"/>
  <c r="AT22"/>
  <c r="AZ22" s="1"/>
  <c r="AT12"/>
  <c r="AZ12" s="1"/>
  <c r="O74" i="19" s="1"/>
  <c r="AT29" i="9"/>
  <c r="AZ29" s="1"/>
  <c r="AT27"/>
  <c r="AZ27" s="1"/>
  <c r="AT147"/>
  <c r="AZ147" s="1"/>
  <c r="BG147" s="1"/>
  <c r="BH147" s="1"/>
  <c r="EN147" s="1"/>
  <c r="AT33"/>
  <c r="AZ33" s="1"/>
  <c r="AT30"/>
  <c r="AZ30" s="1"/>
  <c r="M204"/>
  <c r="O204" s="1"/>
  <c r="Q204" s="1"/>
  <c r="AT34"/>
  <c r="AZ34" s="1"/>
  <c r="AT152"/>
  <c r="AZ152" s="1"/>
  <c r="BG152" s="1"/>
  <c r="BH152" s="1"/>
  <c r="EN152" s="1"/>
  <c r="AT178"/>
  <c r="AZ178" s="1"/>
  <c r="BG178" s="1"/>
  <c r="BH178" s="1"/>
  <c r="EN178" s="1"/>
  <c r="AT189"/>
  <c r="AZ189" s="1"/>
  <c r="BG189" s="1"/>
  <c r="BH189" s="1"/>
  <c r="EN189" s="1"/>
  <c r="AT191"/>
  <c r="AZ191" s="1"/>
  <c r="BG191" s="1"/>
  <c r="BH191" s="1"/>
  <c r="EN191" s="1"/>
  <c r="AT181"/>
  <c r="AZ181" s="1"/>
  <c r="BG181" s="1"/>
  <c r="BH181" s="1"/>
  <c r="EN181" s="1"/>
  <c r="AT203"/>
  <c r="AZ203" s="1"/>
  <c r="BG203" s="1"/>
  <c r="BH203" s="1"/>
  <c r="EN203" s="1"/>
  <c r="AT154"/>
  <c r="AZ154" s="1"/>
  <c r="AT183"/>
  <c r="AZ183" s="1"/>
  <c r="BG183" s="1"/>
  <c r="BH183" s="1"/>
  <c r="EN183" s="1"/>
  <c r="AT197"/>
  <c r="AZ197" s="1"/>
  <c r="BG197" s="1"/>
  <c r="BH197" s="1"/>
  <c r="EN197" s="1"/>
  <c r="AT165"/>
  <c r="AZ165" s="1"/>
  <c r="BG165" s="1"/>
  <c r="BH165" s="1"/>
  <c r="EN165" s="1"/>
  <c r="AT157"/>
  <c r="AZ157" s="1"/>
  <c r="AT207"/>
  <c r="AZ207" s="1"/>
  <c r="BE207"/>
  <c r="BD207"/>
  <c r="BC207"/>
  <c r="BG207"/>
  <c r="BH207" s="1"/>
  <c r="EN207" s="1"/>
  <c r="BE206"/>
  <c r="BD206"/>
  <c r="BC206"/>
  <c r="BE205"/>
  <c r="BD205"/>
  <c r="BC205"/>
  <c r="BG205"/>
  <c r="BH205" s="1"/>
  <c r="EN205" s="1"/>
  <c r="BE204"/>
  <c r="BD204"/>
  <c r="BC204"/>
  <c r="BE203"/>
  <c r="BD203"/>
  <c r="BC203"/>
  <c r="BE202"/>
  <c r="BD202"/>
  <c r="BC202"/>
  <c r="BG202"/>
  <c r="BH202" s="1"/>
  <c r="EN202" s="1"/>
  <c r="BE201"/>
  <c r="BD201"/>
  <c r="BC201"/>
  <c r="BG201"/>
  <c r="BH201" s="1"/>
  <c r="EN201" s="1"/>
  <c r="BE200"/>
  <c r="BD200"/>
  <c r="BC200"/>
  <c r="BG200"/>
  <c r="BH200" s="1"/>
  <c r="EN200" s="1"/>
  <c r="BE199"/>
  <c r="BD199"/>
  <c r="BC199"/>
  <c r="BG199"/>
  <c r="BH199" s="1"/>
  <c r="EN199" s="1"/>
  <c r="BE198"/>
  <c r="BD198"/>
  <c r="BC198"/>
  <c r="BG198"/>
  <c r="BH198" s="1"/>
  <c r="EN198" s="1"/>
  <c r="BE197"/>
  <c r="BD197"/>
  <c r="BC197"/>
  <c r="BE196"/>
  <c r="BD196"/>
  <c r="BC196"/>
  <c r="BG196"/>
  <c r="BH196" s="1"/>
  <c r="EN196" s="1"/>
  <c r="BE195"/>
  <c r="BD195"/>
  <c r="BC195"/>
  <c r="BE194"/>
  <c r="BD194"/>
  <c r="BC194"/>
  <c r="BG194"/>
  <c r="BH194" s="1"/>
  <c r="EN194" s="1"/>
  <c r="BE193"/>
  <c r="BD193"/>
  <c r="BC193"/>
  <c r="BG193"/>
  <c r="BH193" s="1"/>
  <c r="EN193" s="1"/>
  <c r="BE192"/>
  <c r="BD192"/>
  <c r="BC192"/>
  <c r="BG192"/>
  <c r="BH192" s="1"/>
  <c r="EN192" s="1"/>
  <c r="BE191"/>
  <c r="BD191"/>
  <c r="BC191"/>
  <c r="BE190"/>
  <c r="BD190"/>
  <c r="BE189"/>
  <c r="BD189"/>
  <c r="BC189"/>
  <c r="BE188"/>
  <c r="BD188"/>
  <c r="BC188"/>
  <c r="BE187"/>
  <c r="BD187"/>
  <c r="BC187"/>
  <c r="BG187"/>
  <c r="BH187" s="1"/>
  <c r="EN187" s="1"/>
  <c r="BE186"/>
  <c r="BD186"/>
  <c r="BC186"/>
  <c r="BE185"/>
  <c r="BD185"/>
  <c r="BC185"/>
  <c r="BG185"/>
  <c r="BH185" s="1"/>
  <c r="EN185" s="1"/>
  <c r="BE184"/>
  <c r="BD184"/>
  <c r="BC184"/>
  <c r="BG184"/>
  <c r="BH184" s="1"/>
  <c r="EN184" s="1"/>
  <c r="BE183"/>
  <c r="BD183"/>
  <c r="BC183"/>
  <c r="BE182"/>
  <c r="BD182"/>
  <c r="BC182"/>
  <c r="BE181"/>
  <c r="BD181"/>
  <c r="BC181"/>
  <c r="BE180"/>
  <c r="BD180"/>
  <c r="BC180"/>
  <c r="BE179"/>
  <c r="BD179"/>
  <c r="BC179"/>
  <c r="BG179"/>
  <c r="BH179" s="1"/>
  <c r="EN179" s="1"/>
  <c r="BE178"/>
  <c r="BD178"/>
  <c r="BC178"/>
  <c r="BE177"/>
  <c r="BD177"/>
  <c r="BC177"/>
  <c r="BE176"/>
  <c r="BD176"/>
  <c r="BC176"/>
  <c r="BG176"/>
  <c r="BH176" s="1"/>
  <c r="EN176" s="1"/>
  <c r="BE175"/>
  <c r="BD175"/>
  <c r="BC175"/>
  <c r="BE174"/>
  <c r="BD174"/>
  <c r="BC174"/>
  <c r="BG174"/>
  <c r="BH174" s="1"/>
  <c r="EN174" s="1"/>
  <c r="BE173"/>
  <c r="BD173"/>
  <c r="BC173"/>
  <c r="BE172"/>
  <c r="BD172"/>
  <c r="BC172"/>
  <c r="BG172"/>
  <c r="BH172" s="1"/>
  <c r="EN172" s="1"/>
  <c r="BE171"/>
  <c r="BD171"/>
  <c r="BC171"/>
  <c r="BG171"/>
  <c r="BH171" s="1"/>
  <c r="EN171" s="1"/>
  <c r="BE170"/>
  <c r="BD170"/>
  <c r="BC170"/>
  <c r="BE169"/>
  <c r="BD169"/>
  <c r="BC169"/>
  <c r="BE168"/>
  <c r="BD168"/>
  <c r="BC168"/>
  <c r="BG168"/>
  <c r="BH168" s="1"/>
  <c r="EN168" s="1"/>
  <c r="BE167"/>
  <c r="BD167"/>
  <c r="BC167"/>
  <c r="BG167"/>
  <c r="BH167" s="1"/>
  <c r="EN167" s="1"/>
  <c r="BE166"/>
  <c r="BD166"/>
  <c r="BC166"/>
  <c r="BG166"/>
  <c r="BH166" s="1"/>
  <c r="EN166" s="1"/>
  <c r="BE165"/>
  <c r="BD165"/>
  <c r="BC165"/>
  <c r="BE164"/>
  <c r="BD164"/>
  <c r="BC164"/>
  <c r="BE163"/>
  <c r="BD163"/>
  <c r="BC163"/>
  <c r="BG163"/>
  <c r="BH163" s="1"/>
  <c r="EN163" s="1"/>
  <c r="BE162"/>
  <c r="BD162"/>
  <c r="BC162"/>
  <c r="BE161"/>
  <c r="BD161"/>
  <c r="BC161"/>
  <c r="BG161"/>
  <c r="BH161" s="1"/>
  <c r="EN161" s="1"/>
  <c r="BE160"/>
  <c r="BD160"/>
  <c r="BC160"/>
  <c r="BG160"/>
  <c r="BH160" s="1"/>
  <c r="EN160" s="1"/>
  <c r="BE159"/>
  <c r="BD159"/>
  <c r="BC159"/>
  <c r="BE158"/>
  <c r="BD158"/>
  <c r="BC158"/>
  <c r="BG158"/>
  <c r="BH158" s="1"/>
  <c r="EN158" s="1"/>
  <c r="BE157"/>
  <c r="BD157"/>
  <c r="BC157"/>
  <c r="BG157"/>
  <c r="BH157" s="1"/>
  <c r="EN157" s="1"/>
  <c r="BE156"/>
  <c r="BD156"/>
  <c r="BC156"/>
  <c r="BG156"/>
  <c r="BH156" s="1"/>
  <c r="EN156" s="1"/>
  <c r="BD155"/>
  <c r="BC155"/>
  <c r="BE155"/>
  <c r="BG155"/>
  <c r="BH155" s="1"/>
  <c r="EN155" s="1"/>
  <c r="BD154"/>
  <c r="BC154"/>
  <c r="BG154"/>
  <c r="BH154" s="1"/>
  <c r="EN154" s="1"/>
  <c r="BE154"/>
  <c r="BD153"/>
  <c r="BC153"/>
  <c r="BE153"/>
  <c r="BD152"/>
  <c r="BC152"/>
  <c r="BE152"/>
  <c r="BD151"/>
  <c r="BC151"/>
  <c r="BG151"/>
  <c r="BH151" s="1"/>
  <c r="EN151" s="1"/>
  <c r="BE151"/>
  <c r="BD150"/>
  <c r="BC150"/>
  <c r="BE150"/>
  <c r="BD149"/>
  <c r="BC149"/>
  <c r="BG149"/>
  <c r="BH149" s="1"/>
  <c r="EN149" s="1"/>
  <c r="BE149"/>
  <c r="BD148"/>
  <c r="BC148"/>
  <c r="BG148"/>
  <c r="BH148" s="1"/>
  <c r="EN148" s="1"/>
  <c r="BE148"/>
  <c r="BD147"/>
  <c r="BC147"/>
  <c r="BE147"/>
  <c r="BD146"/>
  <c r="BC146"/>
  <c r="BE146"/>
  <c r="BD145"/>
  <c r="BC145"/>
  <c r="BG145"/>
  <c r="BH145" s="1"/>
  <c r="EN145" s="1"/>
  <c r="BE145"/>
  <c r="BD144"/>
  <c r="BC144"/>
  <c r="BE144"/>
  <c r="BD143"/>
  <c r="BC143"/>
  <c r="BE143"/>
  <c r="BD142"/>
  <c r="BC142"/>
  <c r="BE142"/>
  <c r="BD141"/>
  <c r="BC141"/>
  <c r="BE141"/>
  <c r="BD140"/>
  <c r="BC140"/>
  <c r="BG140"/>
  <c r="BH140" s="1"/>
  <c r="EN140" s="1"/>
  <c r="BE140"/>
  <c r="BD139"/>
  <c r="BC139"/>
  <c r="BG139"/>
  <c r="BH139" s="1"/>
  <c r="EN139" s="1"/>
  <c r="BE139"/>
  <c r="BD138"/>
  <c r="BC138"/>
  <c r="BG138"/>
  <c r="BH138" s="1"/>
  <c r="EN138" s="1"/>
  <c r="BE138"/>
  <c r="BD137"/>
  <c r="BC137"/>
  <c r="BG137"/>
  <c r="BH137" s="1"/>
  <c r="EN137" s="1"/>
  <c r="BE137"/>
  <c r="BD136"/>
  <c r="BC136"/>
  <c r="BE136"/>
  <c r="BD135"/>
  <c r="BC135"/>
  <c r="BE135"/>
  <c r="BD134"/>
  <c r="BC134"/>
  <c r="BG134"/>
  <c r="BH134" s="1"/>
  <c r="EN134" s="1"/>
  <c r="BE134"/>
  <c r="BD133"/>
  <c r="BC133"/>
  <c r="BG133"/>
  <c r="BH133" s="1"/>
  <c r="EN133" s="1"/>
  <c r="BE133"/>
  <c r="BD132"/>
  <c r="BC132"/>
  <c r="BG132"/>
  <c r="BH132" s="1"/>
  <c r="EN132" s="1"/>
  <c r="BE132"/>
  <c r="BD131"/>
  <c r="BC131"/>
  <c r="BG131"/>
  <c r="BH131" s="1"/>
  <c r="EN131" s="1"/>
  <c r="BE131"/>
  <c r="BD130"/>
  <c r="BC130"/>
  <c r="BE130"/>
  <c r="BD129"/>
  <c r="BC129"/>
  <c r="BE129"/>
  <c r="BD128"/>
  <c r="BC128"/>
  <c r="BG128"/>
  <c r="BH128" s="1"/>
  <c r="EN128" s="1"/>
  <c r="BE128"/>
  <c r="BD127"/>
  <c r="BC127"/>
  <c r="BE127"/>
  <c r="BD126"/>
  <c r="BC126"/>
  <c r="BG126"/>
  <c r="BH126" s="1"/>
  <c r="EN126" s="1"/>
  <c r="BE126"/>
  <c r="BD125"/>
  <c r="BC125"/>
  <c r="BE125"/>
  <c r="BD124"/>
  <c r="BC124"/>
  <c r="BG124"/>
  <c r="BH124" s="1"/>
  <c r="EN124" s="1"/>
  <c r="BE124"/>
  <c r="BD123"/>
  <c r="BC123"/>
  <c r="BE123"/>
  <c r="BD122"/>
  <c r="BC122"/>
  <c r="BG122"/>
  <c r="BH122" s="1"/>
  <c r="EN122" s="1"/>
  <c r="BE122"/>
  <c r="BD121"/>
  <c r="BC121"/>
  <c r="BG121"/>
  <c r="BH121" s="1"/>
  <c r="EN121" s="1"/>
  <c r="BE121"/>
  <c r="BD120"/>
  <c r="BC120"/>
  <c r="BG120"/>
  <c r="BH120" s="1"/>
  <c r="EN120" s="1"/>
  <c r="BE120"/>
  <c r="BD119"/>
  <c r="BC119"/>
  <c r="BE119"/>
  <c r="BD118"/>
  <c r="BC118"/>
  <c r="BG118"/>
  <c r="BH118" s="1"/>
  <c r="EN118" s="1"/>
  <c r="BE118"/>
  <c r="BD117"/>
  <c r="BC117"/>
  <c r="BE117"/>
  <c r="BD116"/>
  <c r="BC116"/>
  <c r="BG116"/>
  <c r="BH116" s="1"/>
  <c r="EN116" s="1"/>
  <c r="BE116"/>
  <c r="BD115"/>
  <c r="BC115"/>
  <c r="BG115"/>
  <c r="BH115" s="1"/>
  <c r="EN115" s="1"/>
  <c r="BE115"/>
  <c r="BD114"/>
  <c r="BC114"/>
  <c r="BG114"/>
  <c r="BH114" s="1"/>
  <c r="EN114" s="1"/>
  <c r="BE114"/>
  <c r="BD113"/>
  <c r="BC113"/>
  <c r="BG113"/>
  <c r="BH113" s="1"/>
  <c r="EN113" s="1"/>
  <c r="BE113"/>
  <c r="BD112"/>
  <c r="BC112"/>
  <c r="BG112"/>
  <c r="BH112" s="1"/>
  <c r="EN112" s="1"/>
  <c r="BE112"/>
  <c r="BD111"/>
  <c r="BC111"/>
  <c r="BG111"/>
  <c r="BH111" s="1"/>
  <c r="EN111" s="1"/>
  <c r="BE111"/>
  <c r="BD110"/>
  <c r="BC110"/>
  <c r="BG110"/>
  <c r="BH110" s="1"/>
  <c r="EN110" s="1"/>
  <c r="BE110"/>
  <c r="BD109"/>
  <c r="BC109"/>
  <c r="BG109"/>
  <c r="BH109" s="1"/>
  <c r="EN109" s="1"/>
  <c r="BE109"/>
  <c r="BD108"/>
  <c r="BC108"/>
  <c r="BG108"/>
  <c r="BH108" s="1"/>
  <c r="EN108" s="1"/>
  <c r="BE108"/>
  <c r="BD107"/>
  <c r="BC107"/>
  <c r="BE107"/>
  <c r="BD106"/>
  <c r="BC106"/>
  <c r="BG106"/>
  <c r="BH106" s="1"/>
  <c r="EN106" s="1"/>
  <c r="BE106"/>
  <c r="BD105"/>
  <c r="BC105"/>
  <c r="BE105"/>
  <c r="BD104"/>
  <c r="BC104"/>
  <c r="BG104"/>
  <c r="BH104" s="1"/>
  <c r="EN104" s="1"/>
  <c r="BE104"/>
  <c r="BD103"/>
  <c r="BC103"/>
  <c r="BG103"/>
  <c r="BH103" s="1"/>
  <c r="EN103" s="1"/>
  <c r="BE103"/>
  <c r="BD102"/>
  <c r="BC102"/>
  <c r="BG102"/>
  <c r="BH102" s="1"/>
  <c r="EN102" s="1"/>
  <c r="BE102"/>
  <c r="BD101"/>
  <c r="BC101"/>
  <c r="BE101"/>
  <c r="BD100"/>
  <c r="BC100"/>
  <c r="BE100"/>
  <c r="BD99"/>
  <c r="BC99"/>
  <c r="BG99"/>
  <c r="BH99" s="1"/>
  <c r="EN99" s="1"/>
  <c r="BE99"/>
  <c r="BC98"/>
  <c r="BG98"/>
  <c r="BH98" s="1"/>
  <c r="EN98" s="1"/>
  <c r="BE98"/>
  <c r="BD98"/>
  <c r="BE97"/>
  <c r="BD97"/>
  <c r="BC97"/>
  <c r="BG97"/>
  <c r="BH97" s="1"/>
  <c r="EN97" s="1"/>
  <c r="BE96"/>
  <c r="BD96"/>
  <c r="BC96"/>
  <c r="BG96"/>
  <c r="BH96" s="1"/>
  <c r="EN96" s="1"/>
  <c r="BD95"/>
  <c r="BC95"/>
  <c r="BG95"/>
  <c r="BH95" s="1"/>
  <c r="EN95" s="1"/>
  <c r="BE95"/>
  <c r="BC94"/>
  <c r="BG94"/>
  <c r="BH94" s="1"/>
  <c r="EN94" s="1"/>
  <c r="BE94"/>
  <c r="BD94"/>
  <c r="BE93"/>
  <c r="BD93"/>
  <c r="BC93"/>
  <c r="BG93"/>
  <c r="BH93" s="1"/>
  <c r="EN93" s="1"/>
  <c r="BE92"/>
  <c r="BD92"/>
  <c r="BC92"/>
  <c r="BG92"/>
  <c r="BH92" s="1"/>
  <c r="EN92" s="1"/>
  <c r="BD91"/>
  <c r="BC91"/>
  <c r="BE91"/>
  <c r="BC90"/>
  <c r="BG90"/>
  <c r="BH90" s="1"/>
  <c r="EN90" s="1"/>
  <c r="BE90"/>
  <c r="BD90"/>
  <c r="BE89"/>
  <c r="BD89"/>
  <c r="BC89"/>
  <c r="BG89"/>
  <c r="BH89" s="1"/>
  <c r="EN89" s="1"/>
  <c r="BE88"/>
  <c r="BD88"/>
  <c r="BC88"/>
  <c r="BG88"/>
  <c r="BH88" s="1"/>
  <c r="EN88" s="1"/>
  <c r="BD87"/>
  <c r="BC87"/>
  <c r="BE87"/>
  <c r="BC86"/>
  <c r="BG86"/>
  <c r="BH86" s="1"/>
  <c r="EN86" s="1"/>
  <c r="BE86"/>
  <c r="BD86"/>
  <c r="BE85"/>
  <c r="BD85"/>
  <c r="BC85"/>
  <c r="BG85"/>
  <c r="BH85" s="1"/>
  <c r="EN85" s="1"/>
  <c r="BE84"/>
  <c r="BD84"/>
  <c r="BC84"/>
  <c r="BG84"/>
  <c r="BH84" s="1"/>
  <c r="EN84" s="1"/>
  <c r="BD83"/>
  <c r="BC83"/>
  <c r="BE83"/>
  <c r="BC82"/>
  <c r="BE82"/>
  <c r="BD82"/>
  <c r="BE81"/>
  <c r="BD81"/>
  <c r="BC81"/>
  <c r="BG81"/>
  <c r="BH81" s="1"/>
  <c r="EN81" s="1"/>
  <c r="BE80"/>
  <c r="BD80"/>
  <c r="BC80"/>
  <c r="BD79"/>
  <c r="BC79"/>
  <c r="BE79"/>
  <c r="BC78"/>
  <c r="BG78"/>
  <c r="BH78" s="1"/>
  <c r="EN78" s="1"/>
  <c r="BE78"/>
  <c r="BD78"/>
  <c r="BE77"/>
  <c r="BD77"/>
  <c r="BC77"/>
  <c r="BG77"/>
  <c r="BH77" s="1"/>
  <c r="EN77" s="1"/>
  <c r="BE76"/>
  <c r="BD76"/>
  <c r="BC76"/>
  <c r="BD75"/>
  <c r="BC75"/>
  <c r="BE75"/>
  <c r="BC74"/>
  <c r="BG74"/>
  <c r="BH74" s="1"/>
  <c r="EN74" s="1"/>
  <c r="BE74"/>
  <c r="BD74"/>
  <c r="BE73"/>
  <c r="BD73"/>
  <c r="BC73"/>
  <c r="BE72"/>
  <c r="BD72"/>
  <c r="BC72"/>
  <c r="BD71"/>
  <c r="BC71"/>
  <c r="BG71"/>
  <c r="BH71" s="1"/>
  <c r="EN71" s="1"/>
  <c r="BE71"/>
  <c r="BC70"/>
  <c r="BG70"/>
  <c r="BH70" s="1"/>
  <c r="EN70" s="1"/>
  <c r="BE70"/>
  <c r="BD70"/>
  <c r="BE69"/>
  <c r="BD69"/>
  <c r="BC69"/>
  <c r="BG69"/>
  <c r="BH69" s="1"/>
  <c r="EN69" s="1"/>
  <c r="BE68"/>
  <c r="BD68"/>
  <c r="BC68"/>
  <c r="BG68"/>
  <c r="BH68" s="1"/>
  <c r="EN68" s="1"/>
  <c r="BD67"/>
  <c r="BC67"/>
  <c r="BE67"/>
  <c r="BC66"/>
  <c r="BG66"/>
  <c r="BH66" s="1"/>
  <c r="EN66" s="1"/>
  <c r="BE66"/>
  <c r="BD66"/>
  <c r="BE65"/>
  <c r="BD65"/>
  <c r="BC65"/>
  <c r="BE64"/>
  <c r="BD64"/>
  <c r="BC64"/>
  <c r="BG64"/>
  <c r="BH64" s="1"/>
  <c r="EN64" s="1"/>
  <c r="BD63"/>
  <c r="BC63"/>
  <c r="BE63"/>
  <c r="BC62"/>
  <c r="BE62"/>
  <c r="BD62"/>
  <c r="BE61"/>
  <c r="BD61"/>
  <c r="BC61"/>
  <c r="BG61"/>
  <c r="BH61" s="1"/>
  <c r="EN61" s="1"/>
  <c r="BE60"/>
  <c r="BD60"/>
  <c r="BC60"/>
  <c r="BG60"/>
  <c r="BH60" s="1"/>
  <c r="EN60" s="1"/>
  <c r="BD59"/>
  <c r="BC59"/>
  <c r="BG59"/>
  <c r="BH59" s="1"/>
  <c r="EN59" s="1"/>
  <c r="BE59"/>
  <c r="BC58"/>
  <c r="BE58"/>
  <c r="BD58"/>
  <c r="BE57"/>
  <c r="BD57"/>
  <c r="BC57"/>
  <c r="BE56"/>
  <c r="BD56"/>
  <c r="BC56"/>
  <c r="BG56"/>
  <c r="BH56" s="1"/>
  <c r="EN56" s="1"/>
  <c r="BD55"/>
  <c r="BC55"/>
  <c r="BG55"/>
  <c r="BH55" s="1"/>
  <c r="EN55" s="1"/>
  <c r="BE55"/>
  <c r="BC54"/>
  <c r="BG54"/>
  <c r="BH54" s="1"/>
  <c r="EN54" s="1"/>
  <c r="BE54"/>
  <c r="BD54"/>
  <c r="BE53"/>
  <c r="BD53"/>
  <c r="BC53"/>
  <c r="BG53"/>
  <c r="BH53" s="1"/>
  <c r="EN53" s="1"/>
  <c r="BE52"/>
  <c r="BD52"/>
  <c r="BC52"/>
  <c r="BG52"/>
  <c r="BH52" s="1"/>
  <c r="EN52" s="1"/>
  <c r="BD51"/>
  <c r="BC51"/>
  <c r="BG51"/>
  <c r="BH51" s="1"/>
  <c r="EN51" s="1"/>
  <c r="BE51"/>
  <c r="BC50"/>
  <c r="BG50"/>
  <c r="BH50" s="1"/>
  <c r="EN50" s="1"/>
  <c r="BE50"/>
  <c r="BD50"/>
  <c r="BE49"/>
  <c r="BD49"/>
  <c r="BC49"/>
  <c r="BG49"/>
  <c r="BH49" s="1"/>
  <c r="EN49" s="1"/>
  <c r="BE48"/>
  <c r="BD48"/>
  <c r="BC48"/>
  <c r="BG48"/>
  <c r="BH48" s="1"/>
  <c r="EN48" s="1"/>
  <c r="BD47"/>
  <c r="BC47"/>
  <c r="BE47"/>
  <c r="BC46"/>
  <c r="BG46"/>
  <c r="BH46" s="1"/>
  <c r="EN46" s="1"/>
  <c r="BE46"/>
  <c r="BD46"/>
  <c r="BE45"/>
  <c r="BD45"/>
  <c r="BC45"/>
  <c r="BG45"/>
  <c r="BH45" s="1"/>
  <c r="EN45" s="1"/>
  <c r="BE44"/>
  <c r="BD44"/>
  <c r="BC44"/>
  <c r="BG44"/>
  <c r="BH44" s="1"/>
  <c r="EN44" s="1"/>
  <c r="BD43"/>
  <c r="BC43"/>
  <c r="BG43"/>
  <c r="BH43" s="1"/>
  <c r="EN43" s="1"/>
  <c r="BE43"/>
  <c r="BC42"/>
  <c r="BG42"/>
  <c r="BH42" s="1"/>
  <c r="EN42" s="1"/>
  <c r="BE42"/>
  <c r="BD42"/>
  <c r="BE41"/>
  <c r="BD41"/>
  <c r="BC41"/>
  <c r="BE40"/>
  <c r="BD40"/>
  <c r="BC40"/>
  <c r="BD39"/>
  <c r="BC39"/>
  <c r="BG39"/>
  <c r="BH39" s="1"/>
  <c r="EN39" s="1"/>
  <c r="BE39"/>
  <c r="BC38"/>
  <c r="BG38"/>
  <c r="BH38" s="1"/>
  <c r="EN38" s="1"/>
  <c r="BE38"/>
  <c r="BD38"/>
  <c r="BD34"/>
  <c r="BD33"/>
  <c r="BD32"/>
  <c r="BD31"/>
  <c r="BD30"/>
  <c r="BD29"/>
  <c r="BD28"/>
  <c r="BD27"/>
  <c r="BD22"/>
  <c r="BD21"/>
  <c r="BD20"/>
  <c r="BD19"/>
  <c r="BD18"/>
  <c r="BD17"/>
  <c r="BD16"/>
  <c r="BD15"/>
  <c r="BD14"/>
  <c r="BD13"/>
  <c r="BD10"/>
  <c r="AT150"/>
  <c r="AZ150" s="1"/>
  <c r="BG150" s="1"/>
  <c r="BH150" s="1"/>
  <c r="EN150" s="1"/>
  <c r="AZ117"/>
  <c r="BG117" s="1"/>
  <c r="BH117" s="1"/>
  <c r="EN117" s="1"/>
  <c r="AT67"/>
  <c r="AZ67" s="1"/>
  <c r="BG67" s="1"/>
  <c r="BH67" s="1"/>
  <c r="EN67" s="1"/>
  <c r="AT83"/>
  <c r="AZ83" s="1"/>
  <c r="BG83" s="1"/>
  <c r="BH83" s="1"/>
  <c r="EN83" s="1"/>
  <c r="AT170"/>
  <c r="AZ170" s="1"/>
  <c r="BG170" s="1"/>
  <c r="BH170" s="1"/>
  <c r="EN170" s="1"/>
  <c r="AT186"/>
  <c r="AZ186" s="1"/>
  <c r="BG186" s="1"/>
  <c r="BH186" s="1"/>
  <c r="EN186" s="1"/>
  <c r="AT75"/>
  <c r="AZ75" s="1"/>
  <c r="BG75" s="1"/>
  <c r="BH75" s="1"/>
  <c r="EN75" s="1"/>
  <c r="AT107"/>
  <c r="AZ107" s="1"/>
  <c r="BG107" s="1"/>
  <c r="BH107" s="1"/>
  <c r="EN107" s="1"/>
  <c r="AT173"/>
  <c r="AZ173" s="1"/>
  <c r="BG173" s="1"/>
  <c r="BH173" s="1"/>
  <c r="EN173" s="1"/>
  <c r="AT162"/>
  <c r="AZ162" s="1"/>
  <c r="BG162" s="1"/>
  <c r="BH162" s="1"/>
  <c r="EN162" s="1"/>
  <c r="AT188"/>
  <c r="AZ188" s="1"/>
  <c r="BG188" s="1"/>
  <c r="BH188" s="1"/>
  <c r="EN188" s="1"/>
  <c r="AT16"/>
  <c r="AZ16" s="1"/>
  <c r="AT25"/>
  <c r="AZ25" s="1"/>
  <c r="AT28"/>
  <c r="AZ28" s="1"/>
  <c r="AT32"/>
  <c r="AZ32" s="1"/>
  <c r="AT36"/>
  <c r="AZ36" s="1"/>
  <c r="AT31"/>
  <c r="AZ31" s="1"/>
  <c r="AT24"/>
  <c r="AZ24" s="1"/>
  <c r="AT23"/>
  <c r="AZ23" s="1"/>
  <c r="AT20"/>
  <c r="AZ20" s="1"/>
  <c r="M144"/>
  <c r="M192"/>
  <c r="M188"/>
  <c r="O188" s="1"/>
  <c r="Q188" s="1"/>
  <c r="M37"/>
  <c r="O37" s="1"/>
  <c r="Q37" s="1"/>
  <c r="V37" s="1"/>
  <c r="W37" s="1"/>
  <c r="EL37" s="1"/>
  <c r="M33"/>
  <c r="M21"/>
  <c r="O21" s="1"/>
  <c r="Q21" s="1"/>
  <c r="V21" s="1"/>
  <c r="W21" s="1"/>
  <c r="EL21" s="1"/>
  <c r="M17"/>
  <c r="O17" s="1"/>
  <c r="Q17" s="1"/>
  <c r="M13"/>
  <c r="O13" s="1"/>
  <c r="Q13" s="1"/>
  <c r="AE72" i="19" s="1"/>
  <c r="M9" i="9"/>
  <c r="O9" s="1"/>
  <c r="Q9" s="1"/>
  <c r="AE14" i="19" s="1"/>
  <c r="S206" i="9"/>
  <c r="R206"/>
  <c r="S202"/>
  <c r="R202"/>
  <c r="S198"/>
  <c r="R198"/>
  <c r="S194"/>
  <c r="R194"/>
  <c r="S190"/>
  <c r="R190"/>
  <c r="S186"/>
  <c r="R186"/>
  <c r="S182"/>
  <c r="R182"/>
  <c r="S178"/>
  <c r="R178"/>
  <c r="S174"/>
  <c r="R174"/>
  <c r="S170"/>
  <c r="R170"/>
  <c r="S166"/>
  <c r="R166"/>
  <c r="S162"/>
  <c r="R162"/>
  <c r="S158"/>
  <c r="R158"/>
  <c r="S154"/>
  <c r="R154"/>
  <c r="M150"/>
  <c r="S150"/>
  <c r="R150"/>
  <c r="M146"/>
  <c r="S146"/>
  <c r="R146"/>
  <c r="M143"/>
  <c r="S143"/>
  <c r="R143"/>
  <c r="S139"/>
  <c r="R139"/>
  <c r="S135"/>
  <c r="R135"/>
  <c r="S131"/>
  <c r="R131"/>
  <c r="S127"/>
  <c r="R127"/>
  <c r="S123"/>
  <c r="R123"/>
  <c r="S119"/>
  <c r="R119"/>
  <c r="S115"/>
  <c r="R115"/>
  <c r="S111"/>
  <c r="R111"/>
  <c r="S107"/>
  <c r="R107"/>
  <c r="S103"/>
  <c r="R103"/>
  <c r="S99"/>
  <c r="R99"/>
  <c r="S95"/>
  <c r="R95"/>
  <c r="S91"/>
  <c r="R91"/>
  <c r="S87"/>
  <c r="R87"/>
  <c r="S83"/>
  <c r="R83"/>
  <c r="S79"/>
  <c r="R79"/>
  <c r="S75"/>
  <c r="R75"/>
  <c r="S71"/>
  <c r="R71"/>
  <c r="S67"/>
  <c r="R67"/>
  <c r="S63"/>
  <c r="R63"/>
  <c r="S59"/>
  <c r="R59"/>
  <c r="S55"/>
  <c r="R55"/>
  <c r="S51"/>
  <c r="R51"/>
  <c r="S47"/>
  <c r="R47"/>
  <c r="S43"/>
  <c r="R43"/>
  <c r="S39"/>
  <c r="R39"/>
  <c r="S35"/>
  <c r="R35"/>
  <c r="S31"/>
  <c r="R31"/>
  <c r="S27"/>
  <c r="R27"/>
  <c r="S23"/>
  <c r="R23"/>
  <c r="S19"/>
  <c r="R19"/>
  <c r="S15"/>
  <c r="R15"/>
  <c r="S11"/>
  <c r="R11"/>
  <c r="AH13"/>
  <c r="AH25"/>
  <c r="AH12"/>
  <c r="AH20"/>
  <c r="AH36"/>
  <c r="AH15"/>
  <c r="AH27"/>
  <c r="AH26"/>
  <c r="AI207"/>
  <c r="AH207"/>
  <c r="U207"/>
  <c r="AJ207"/>
  <c r="AK207" s="1"/>
  <c r="EM207" s="1"/>
  <c r="T207"/>
  <c r="U206"/>
  <c r="AJ206"/>
  <c r="AK206" s="1"/>
  <c r="EM206" s="1"/>
  <c r="T206"/>
  <c r="AI206"/>
  <c r="AH206"/>
  <c r="AI205"/>
  <c r="AH205"/>
  <c r="U205"/>
  <c r="AJ205"/>
  <c r="AK205" s="1"/>
  <c r="EM205" s="1"/>
  <c r="T205"/>
  <c r="U204"/>
  <c r="AJ204"/>
  <c r="AK204" s="1"/>
  <c r="EM204" s="1"/>
  <c r="T204"/>
  <c r="AI204"/>
  <c r="AH204"/>
  <c r="AI203"/>
  <c r="AH203"/>
  <c r="U203"/>
  <c r="AJ203"/>
  <c r="AK203" s="1"/>
  <c r="EM203" s="1"/>
  <c r="T203"/>
  <c r="U202"/>
  <c r="AJ202"/>
  <c r="AK202" s="1"/>
  <c r="EM202" s="1"/>
  <c r="T202"/>
  <c r="AI202"/>
  <c r="AH202"/>
  <c r="AI201"/>
  <c r="AH201"/>
  <c r="U201"/>
  <c r="AJ201"/>
  <c r="AK201" s="1"/>
  <c r="EM201" s="1"/>
  <c r="T201"/>
  <c r="U200"/>
  <c r="AJ200"/>
  <c r="AK200" s="1"/>
  <c r="EM200" s="1"/>
  <c r="T200"/>
  <c r="AI200"/>
  <c r="AH200"/>
  <c r="AI199"/>
  <c r="AH199"/>
  <c r="U199"/>
  <c r="AJ199"/>
  <c r="AK199" s="1"/>
  <c r="EM199" s="1"/>
  <c r="T199"/>
  <c r="U198"/>
  <c r="AJ198"/>
  <c r="AK198" s="1"/>
  <c r="EM198" s="1"/>
  <c r="T198"/>
  <c r="AI198"/>
  <c r="AH198"/>
  <c r="AI197"/>
  <c r="AH197"/>
  <c r="U197"/>
  <c r="AJ197"/>
  <c r="AK197" s="1"/>
  <c r="EM197" s="1"/>
  <c r="T197"/>
  <c r="U196"/>
  <c r="AJ196"/>
  <c r="AK196" s="1"/>
  <c r="EM196" s="1"/>
  <c r="T196"/>
  <c r="AI196"/>
  <c r="AH196"/>
  <c r="AI195"/>
  <c r="AH195"/>
  <c r="U195"/>
  <c r="AJ195"/>
  <c r="AK195" s="1"/>
  <c r="EM195" s="1"/>
  <c r="T195"/>
  <c r="U194"/>
  <c r="AJ194"/>
  <c r="AK194" s="1"/>
  <c r="EM194" s="1"/>
  <c r="T194"/>
  <c r="AI194"/>
  <c r="AH194"/>
  <c r="AI193"/>
  <c r="AH193"/>
  <c r="U193"/>
  <c r="AJ193"/>
  <c r="AK193" s="1"/>
  <c r="EM193" s="1"/>
  <c r="T193"/>
  <c r="U192"/>
  <c r="AJ192"/>
  <c r="AK192" s="1"/>
  <c r="EM192" s="1"/>
  <c r="T192"/>
  <c r="AI192"/>
  <c r="AH192"/>
  <c r="AI191"/>
  <c r="AH191"/>
  <c r="U191"/>
  <c r="AJ191"/>
  <c r="AK191" s="1"/>
  <c r="EM191" s="1"/>
  <c r="T191"/>
  <c r="U190"/>
  <c r="AJ190"/>
  <c r="AK190" s="1"/>
  <c r="EM190" s="1"/>
  <c r="T190"/>
  <c r="AI190"/>
  <c r="AH190"/>
  <c r="AI189"/>
  <c r="AH189"/>
  <c r="U189"/>
  <c r="AJ189"/>
  <c r="AK189" s="1"/>
  <c r="EM189" s="1"/>
  <c r="T189"/>
  <c r="U188"/>
  <c r="AJ188"/>
  <c r="AK188" s="1"/>
  <c r="EM188" s="1"/>
  <c r="T188"/>
  <c r="AI188"/>
  <c r="AH188"/>
  <c r="AI187"/>
  <c r="AH187"/>
  <c r="U187"/>
  <c r="AJ187"/>
  <c r="AK187" s="1"/>
  <c r="EM187" s="1"/>
  <c r="T187"/>
  <c r="AJ186"/>
  <c r="AK186" s="1"/>
  <c r="EM186" s="1"/>
  <c r="AI186"/>
  <c r="AH186"/>
  <c r="U186"/>
  <c r="T186"/>
  <c r="AI185"/>
  <c r="AH185"/>
  <c r="AJ185"/>
  <c r="AK185" s="1"/>
  <c r="EM185" s="1"/>
  <c r="U185"/>
  <c r="T185"/>
  <c r="AJ184"/>
  <c r="AK184" s="1"/>
  <c r="EM184" s="1"/>
  <c r="AI184"/>
  <c r="AH184"/>
  <c r="U184"/>
  <c r="T184"/>
  <c r="AI183"/>
  <c r="AH183"/>
  <c r="AJ183"/>
  <c r="AK183" s="1"/>
  <c r="EM183" s="1"/>
  <c r="U183"/>
  <c r="T183"/>
  <c r="AJ182"/>
  <c r="AK182" s="1"/>
  <c r="EM182" s="1"/>
  <c r="AI182"/>
  <c r="AH182"/>
  <c r="U182"/>
  <c r="T182"/>
  <c r="AI181"/>
  <c r="AH181"/>
  <c r="AJ181"/>
  <c r="AK181" s="1"/>
  <c r="EM181" s="1"/>
  <c r="U181"/>
  <c r="T181"/>
  <c r="AJ180"/>
  <c r="AK180" s="1"/>
  <c r="EM180" s="1"/>
  <c r="AI180"/>
  <c r="AH180"/>
  <c r="U180"/>
  <c r="T180"/>
  <c r="AI179"/>
  <c r="AH179"/>
  <c r="AJ179"/>
  <c r="AK179" s="1"/>
  <c r="EM179" s="1"/>
  <c r="U179"/>
  <c r="T179"/>
  <c r="AJ178"/>
  <c r="AK178" s="1"/>
  <c r="EM178" s="1"/>
  <c r="AI178"/>
  <c r="AH178"/>
  <c r="U178"/>
  <c r="T178"/>
  <c r="AI177"/>
  <c r="AH177"/>
  <c r="AJ177"/>
  <c r="AK177" s="1"/>
  <c r="EM177" s="1"/>
  <c r="U177"/>
  <c r="T177"/>
  <c r="AJ176"/>
  <c r="AK176" s="1"/>
  <c r="EM176" s="1"/>
  <c r="AI176"/>
  <c r="AH176"/>
  <c r="U176"/>
  <c r="T176"/>
  <c r="AI175"/>
  <c r="AH175"/>
  <c r="AJ175"/>
  <c r="AK175" s="1"/>
  <c r="EM175" s="1"/>
  <c r="U175"/>
  <c r="T175"/>
  <c r="AJ174"/>
  <c r="AK174" s="1"/>
  <c r="EM174" s="1"/>
  <c r="AI174"/>
  <c r="AH174"/>
  <c r="U174"/>
  <c r="T174"/>
  <c r="AI173"/>
  <c r="AH173"/>
  <c r="AJ173"/>
  <c r="AK173" s="1"/>
  <c r="EM173" s="1"/>
  <c r="U173"/>
  <c r="T173"/>
  <c r="AJ172"/>
  <c r="AK172" s="1"/>
  <c r="EM172" s="1"/>
  <c r="AI172"/>
  <c r="AH172"/>
  <c r="U172"/>
  <c r="T172"/>
  <c r="AI171"/>
  <c r="AH171"/>
  <c r="AJ171"/>
  <c r="AK171" s="1"/>
  <c r="EM171" s="1"/>
  <c r="U171"/>
  <c r="T171"/>
  <c r="AJ170"/>
  <c r="AK170" s="1"/>
  <c r="EM170" s="1"/>
  <c r="AI170"/>
  <c r="AH170"/>
  <c r="U170"/>
  <c r="T170"/>
  <c r="AI169"/>
  <c r="AH169"/>
  <c r="AJ169"/>
  <c r="AK169" s="1"/>
  <c r="EM169" s="1"/>
  <c r="U169"/>
  <c r="T169"/>
  <c r="AJ168"/>
  <c r="AK168" s="1"/>
  <c r="EM168" s="1"/>
  <c r="AI168"/>
  <c r="AH168"/>
  <c r="U168"/>
  <c r="T168"/>
  <c r="AI167"/>
  <c r="AH167"/>
  <c r="AJ167"/>
  <c r="AK167" s="1"/>
  <c r="EM167" s="1"/>
  <c r="U167"/>
  <c r="T167"/>
  <c r="AJ166"/>
  <c r="AK166" s="1"/>
  <c r="EM166" s="1"/>
  <c r="AI166"/>
  <c r="AH166"/>
  <c r="U166"/>
  <c r="T166"/>
  <c r="AI165"/>
  <c r="AH165"/>
  <c r="AJ165"/>
  <c r="AK165" s="1"/>
  <c r="EM165" s="1"/>
  <c r="U165"/>
  <c r="T165"/>
  <c r="AJ164"/>
  <c r="AK164" s="1"/>
  <c r="EM164" s="1"/>
  <c r="AI164"/>
  <c r="AH164"/>
  <c r="U164"/>
  <c r="T164"/>
  <c r="AI163"/>
  <c r="AH163"/>
  <c r="AJ163"/>
  <c r="AK163" s="1"/>
  <c r="EM163" s="1"/>
  <c r="U163"/>
  <c r="T163"/>
  <c r="AJ162"/>
  <c r="AK162" s="1"/>
  <c r="EM162" s="1"/>
  <c r="AI162"/>
  <c r="AH162"/>
  <c r="U162"/>
  <c r="T162"/>
  <c r="AI161"/>
  <c r="AH161"/>
  <c r="AJ161"/>
  <c r="AK161" s="1"/>
  <c r="EM161" s="1"/>
  <c r="U161"/>
  <c r="T161"/>
  <c r="AJ160"/>
  <c r="AK160" s="1"/>
  <c r="EM160" s="1"/>
  <c r="AI160"/>
  <c r="AH160"/>
  <c r="U160"/>
  <c r="T160"/>
  <c r="AI159"/>
  <c r="AH159"/>
  <c r="AJ159"/>
  <c r="AK159" s="1"/>
  <c r="EM159" s="1"/>
  <c r="U159"/>
  <c r="T159"/>
  <c r="AJ158"/>
  <c r="AK158" s="1"/>
  <c r="EM158" s="1"/>
  <c r="AI158"/>
  <c r="AH158"/>
  <c r="U158"/>
  <c r="T158"/>
  <c r="AI157"/>
  <c r="AH157"/>
  <c r="AJ157"/>
  <c r="AK157" s="1"/>
  <c r="EM157" s="1"/>
  <c r="U157"/>
  <c r="T157"/>
  <c r="AJ156"/>
  <c r="AK156" s="1"/>
  <c r="EM156" s="1"/>
  <c r="AI156"/>
  <c r="AH156"/>
  <c r="U156"/>
  <c r="T156"/>
  <c r="AI155"/>
  <c r="AH155"/>
  <c r="AJ155"/>
  <c r="AK155" s="1"/>
  <c r="EM155" s="1"/>
  <c r="U155"/>
  <c r="T155"/>
  <c r="AJ154"/>
  <c r="AK154" s="1"/>
  <c r="EM154" s="1"/>
  <c r="AI154"/>
  <c r="AH154"/>
  <c r="U154"/>
  <c r="T154"/>
  <c r="AI153"/>
  <c r="AH153"/>
  <c r="AJ153"/>
  <c r="AK153" s="1"/>
  <c r="EM153" s="1"/>
  <c r="U153"/>
  <c r="T153"/>
  <c r="AJ152"/>
  <c r="AK152" s="1"/>
  <c r="EM152" s="1"/>
  <c r="AI152"/>
  <c r="AH152"/>
  <c r="U152"/>
  <c r="T152"/>
  <c r="AI151"/>
  <c r="AH151"/>
  <c r="AJ151"/>
  <c r="AK151" s="1"/>
  <c r="EM151" s="1"/>
  <c r="U151"/>
  <c r="T151"/>
  <c r="AJ150"/>
  <c r="AK150" s="1"/>
  <c r="EM150" s="1"/>
  <c r="AI150"/>
  <c r="AH150"/>
  <c r="U150"/>
  <c r="T150"/>
  <c r="AI149"/>
  <c r="AH149"/>
  <c r="AJ149"/>
  <c r="AK149" s="1"/>
  <c r="EM149" s="1"/>
  <c r="U149"/>
  <c r="T149"/>
  <c r="AJ148"/>
  <c r="AK148" s="1"/>
  <c r="EM148" s="1"/>
  <c r="AI148"/>
  <c r="AH148"/>
  <c r="U148"/>
  <c r="T148"/>
  <c r="AI147"/>
  <c r="AH147"/>
  <c r="AJ147"/>
  <c r="AK147" s="1"/>
  <c r="EM147" s="1"/>
  <c r="U147"/>
  <c r="T147"/>
  <c r="AJ146"/>
  <c r="AK146" s="1"/>
  <c r="EM146" s="1"/>
  <c r="AI146"/>
  <c r="AH146"/>
  <c r="U146"/>
  <c r="T146"/>
  <c r="AI145"/>
  <c r="AH145"/>
  <c r="AJ145"/>
  <c r="AK145" s="1"/>
  <c r="EM145" s="1"/>
  <c r="U145"/>
  <c r="T145"/>
  <c r="AJ144"/>
  <c r="AK144" s="1"/>
  <c r="EM144" s="1"/>
  <c r="AI144"/>
  <c r="AH144"/>
  <c r="U144"/>
  <c r="T144"/>
  <c r="AI143"/>
  <c r="AH143"/>
  <c r="AJ143"/>
  <c r="AK143" s="1"/>
  <c r="EM143" s="1"/>
  <c r="U143"/>
  <c r="T143"/>
  <c r="AJ142"/>
  <c r="AK142" s="1"/>
  <c r="EM142" s="1"/>
  <c r="AI142"/>
  <c r="AH142"/>
  <c r="U142"/>
  <c r="T142"/>
  <c r="AI141"/>
  <c r="AH141"/>
  <c r="AJ141"/>
  <c r="AK141" s="1"/>
  <c r="EM141" s="1"/>
  <c r="U141"/>
  <c r="T141"/>
  <c r="AJ140"/>
  <c r="AK140" s="1"/>
  <c r="EM140" s="1"/>
  <c r="AI140"/>
  <c r="AH140"/>
  <c r="U140"/>
  <c r="T140"/>
  <c r="AI139"/>
  <c r="AH139"/>
  <c r="AJ139"/>
  <c r="AK139" s="1"/>
  <c r="EM139" s="1"/>
  <c r="U139"/>
  <c r="T139"/>
  <c r="AJ138"/>
  <c r="AK138" s="1"/>
  <c r="EM138" s="1"/>
  <c r="AI138"/>
  <c r="AH138"/>
  <c r="U138"/>
  <c r="T138"/>
  <c r="AI137"/>
  <c r="AH137"/>
  <c r="AJ137"/>
  <c r="AK137" s="1"/>
  <c r="EM137" s="1"/>
  <c r="U137"/>
  <c r="T137"/>
  <c r="AJ136"/>
  <c r="AK136" s="1"/>
  <c r="EM136" s="1"/>
  <c r="AI136"/>
  <c r="AH136"/>
  <c r="U136"/>
  <c r="T136"/>
  <c r="AI135"/>
  <c r="AH135"/>
  <c r="AJ135"/>
  <c r="AK135" s="1"/>
  <c r="EM135" s="1"/>
  <c r="U135"/>
  <c r="T135"/>
  <c r="AJ134"/>
  <c r="AK134" s="1"/>
  <c r="EM134" s="1"/>
  <c r="AI134"/>
  <c r="AH134"/>
  <c r="U134"/>
  <c r="T134"/>
  <c r="AI133"/>
  <c r="AH133"/>
  <c r="AJ133"/>
  <c r="AK133" s="1"/>
  <c r="EM133" s="1"/>
  <c r="U133"/>
  <c r="T133"/>
  <c r="AJ132"/>
  <c r="AK132" s="1"/>
  <c r="EM132" s="1"/>
  <c r="AI132"/>
  <c r="AH132"/>
  <c r="U132"/>
  <c r="T132"/>
  <c r="AI131"/>
  <c r="AH131"/>
  <c r="AJ131"/>
  <c r="AK131" s="1"/>
  <c r="EM131" s="1"/>
  <c r="U131"/>
  <c r="T131"/>
  <c r="AJ130"/>
  <c r="AK130" s="1"/>
  <c r="EM130" s="1"/>
  <c r="AI130"/>
  <c r="AH130"/>
  <c r="U130"/>
  <c r="T130"/>
  <c r="AI129"/>
  <c r="AH129"/>
  <c r="AJ129"/>
  <c r="AK129" s="1"/>
  <c r="EM129" s="1"/>
  <c r="U129"/>
  <c r="T129"/>
  <c r="AJ128"/>
  <c r="AK128" s="1"/>
  <c r="EM128" s="1"/>
  <c r="AI128"/>
  <c r="AH128"/>
  <c r="U128"/>
  <c r="T128"/>
  <c r="AI127"/>
  <c r="AH127"/>
  <c r="AJ127"/>
  <c r="AK127" s="1"/>
  <c r="EM127" s="1"/>
  <c r="U127"/>
  <c r="T127"/>
  <c r="AJ126"/>
  <c r="AK126" s="1"/>
  <c r="EM126" s="1"/>
  <c r="AI126"/>
  <c r="AH126"/>
  <c r="U126"/>
  <c r="T126"/>
  <c r="AI125"/>
  <c r="AH125"/>
  <c r="AJ125"/>
  <c r="AK125" s="1"/>
  <c r="EM125" s="1"/>
  <c r="U125"/>
  <c r="T125"/>
  <c r="AJ124"/>
  <c r="AK124" s="1"/>
  <c r="EM124" s="1"/>
  <c r="AI124"/>
  <c r="AH124"/>
  <c r="U124"/>
  <c r="T124"/>
  <c r="AI123"/>
  <c r="AH123"/>
  <c r="AJ123"/>
  <c r="AK123" s="1"/>
  <c r="EM123" s="1"/>
  <c r="U123"/>
  <c r="T123"/>
  <c r="AJ122"/>
  <c r="AK122" s="1"/>
  <c r="EM122" s="1"/>
  <c r="AI122"/>
  <c r="AH122"/>
  <c r="U122"/>
  <c r="T122"/>
  <c r="AI121"/>
  <c r="AH121"/>
  <c r="AJ121"/>
  <c r="AK121" s="1"/>
  <c r="EM121" s="1"/>
  <c r="U121"/>
  <c r="T121"/>
  <c r="AJ120"/>
  <c r="AK120" s="1"/>
  <c r="EM120" s="1"/>
  <c r="AI120"/>
  <c r="AH120"/>
  <c r="U120"/>
  <c r="T120"/>
  <c r="AI119"/>
  <c r="AH119"/>
  <c r="AJ119"/>
  <c r="AK119" s="1"/>
  <c r="EM119" s="1"/>
  <c r="U119"/>
  <c r="T119"/>
  <c r="AJ118"/>
  <c r="AK118" s="1"/>
  <c r="EM118" s="1"/>
  <c r="AI118"/>
  <c r="AH118"/>
  <c r="U118"/>
  <c r="T118"/>
  <c r="AI117"/>
  <c r="AH117"/>
  <c r="AJ117"/>
  <c r="AK117" s="1"/>
  <c r="EM117" s="1"/>
  <c r="U117"/>
  <c r="T117"/>
  <c r="AJ116"/>
  <c r="AK116" s="1"/>
  <c r="EM116" s="1"/>
  <c r="AI116"/>
  <c r="AH116"/>
  <c r="U116"/>
  <c r="T116"/>
  <c r="AI115"/>
  <c r="AH115"/>
  <c r="AJ115"/>
  <c r="AK115" s="1"/>
  <c r="EM115" s="1"/>
  <c r="U115"/>
  <c r="T115"/>
  <c r="AJ114"/>
  <c r="AK114" s="1"/>
  <c r="EM114" s="1"/>
  <c r="AI114"/>
  <c r="AH114"/>
  <c r="U114"/>
  <c r="T114"/>
  <c r="AI113"/>
  <c r="AH113"/>
  <c r="AJ113"/>
  <c r="AK113" s="1"/>
  <c r="EM113" s="1"/>
  <c r="U113"/>
  <c r="T113"/>
  <c r="AJ112"/>
  <c r="AK112" s="1"/>
  <c r="EM112" s="1"/>
  <c r="AI112"/>
  <c r="AH112"/>
  <c r="U112"/>
  <c r="T112"/>
  <c r="AI111"/>
  <c r="AH111"/>
  <c r="AJ111"/>
  <c r="AK111" s="1"/>
  <c r="EM111" s="1"/>
  <c r="U111"/>
  <c r="T111"/>
  <c r="AJ110"/>
  <c r="AK110" s="1"/>
  <c r="EM110" s="1"/>
  <c r="AI110"/>
  <c r="AH110"/>
  <c r="U110"/>
  <c r="T110"/>
  <c r="AI109"/>
  <c r="AH109"/>
  <c r="AJ109"/>
  <c r="AK109" s="1"/>
  <c r="EM109" s="1"/>
  <c r="U109"/>
  <c r="T109"/>
  <c r="AJ108"/>
  <c r="AK108" s="1"/>
  <c r="EM108" s="1"/>
  <c r="AI108"/>
  <c r="AH108"/>
  <c r="U108"/>
  <c r="T108"/>
  <c r="AI107"/>
  <c r="AH107"/>
  <c r="AJ107"/>
  <c r="AK107" s="1"/>
  <c r="EM107" s="1"/>
  <c r="U107"/>
  <c r="T107"/>
  <c r="AJ106"/>
  <c r="AK106" s="1"/>
  <c r="EM106" s="1"/>
  <c r="AI106"/>
  <c r="AH106"/>
  <c r="U106"/>
  <c r="T106"/>
  <c r="AI105"/>
  <c r="AH105"/>
  <c r="AJ105"/>
  <c r="AK105" s="1"/>
  <c r="EM105" s="1"/>
  <c r="U105"/>
  <c r="T105"/>
  <c r="AJ104"/>
  <c r="AK104" s="1"/>
  <c r="EM104" s="1"/>
  <c r="AI104"/>
  <c r="AH104"/>
  <c r="U104"/>
  <c r="T104"/>
  <c r="AI103"/>
  <c r="AH103"/>
  <c r="AJ103"/>
  <c r="AK103" s="1"/>
  <c r="EM103" s="1"/>
  <c r="U103"/>
  <c r="T103"/>
  <c r="AJ102"/>
  <c r="AK102" s="1"/>
  <c r="EM102" s="1"/>
  <c r="AI102"/>
  <c r="AH102"/>
  <c r="U102"/>
  <c r="T102"/>
  <c r="AI101"/>
  <c r="AH101"/>
  <c r="AJ101"/>
  <c r="AK101" s="1"/>
  <c r="EM101" s="1"/>
  <c r="U101"/>
  <c r="T101"/>
  <c r="AJ100"/>
  <c r="AK100" s="1"/>
  <c r="EM100" s="1"/>
  <c r="AI100"/>
  <c r="AH100"/>
  <c r="U100"/>
  <c r="T100"/>
  <c r="AI99"/>
  <c r="AH99"/>
  <c r="AJ99"/>
  <c r="AK99" s="1"/>
  <c r="EM99" s="1"/>
  <c r="U99"/>
  <c r="T99"/>
  <c r="AJ98"/>
  <c r="AK98" s="1"/>
  <c r="EM98" s="1"/>
  <c r="AI98"/>
  <c r="AH98"/>
  <c r="U98"/>
  <c r="T98"/>
  <c r="AI97"/>
  <c r="AH97"/>
  <c r="AJ97"/>
  <c r="AK97" s="1"/>
  <c r="EM97" s="1"/>
  <c r="U97"/>
  <c r="T97"/>
  <c r="AJ96"/>
  <c r="AK96" s="1"/>
  <c r="EM96" s="1"/>
  <c r="AI96"/>
  <c r="AH96"/>
  <c r="U96"/>
  <c r="T96"/>
  <c r="AI95"/>
  <c r="AH95"/>
  <c r="AJ95"/>
  <c r="AK95" s="1"/>
  <c r="EM95" s="1"/>
  <c r="U95"/>
  <c r="T95"/>
  <c r="AJ94"/>
  <c r="AK94" s="1"/>
  <c r="EM94" s="1"/>
  <c r="AI94"/>
  <c r="AH94"/>
  <c r="U94"/>
  <c r="T94"/>
  <c r="AI93"/>
  <c r="AH93"/>
  <c r="AJ93"/>
  <c r="AK93" s="1"/>
  <c r="EM93" s="1"/>
  <c r="U93"/>
  <c r="T93"/>
  <c r="AJ92"/>
  <c r="AK92" s="1"/>
  <c r="EM92" s="1"/>
  <c r="AI92"/>
  <c r="AH92"/>
  <c r="U92"/>
  <c r="T92"/>
  <c r="AI91"/>
  <c r="AH91"/>
  <c r="AJ91"/>
  <c r="AK91" s="1"/>
  <c r="EM91" s="1"/>
  <c r="U91"/>
  <c r="T91"/>
  <c r="AJ90"/>
  <c r="AK90" s="1"/>
  <c r="EM90" s="1"/>
  <c r="AI90"/>
  <c r="AH90"/>
  <c r="U90"/>
  <c r="T90"/>
  <c r="AI89"/>
  <c r="AH89"/>
  <c r="AJ89"/>
  <c r="AK89" s="1"/>
  <c r="EM89" s="1"/>
  <c r="U89"/>
  <c r="T89"/>
  <c r="AJ88"/>
  <c r="AK88" s="1"/>
  <c r="EM88" s="1"/>
  <c r="AI88"/>
  <c r="AH88"/>
  <c r="U88"/>
  <c r="T88"/>
  <c r="AI87"/>
  <c r="AH87"/>
  <c r="AJ87"/>
  <c r="AK87" s="1"/>
  <c r="EM87" s="1"/>
  <c r="U87"/>
  <c r="T87"/>
  <c r="AJ86"/>
  <c r="AK86" s="1"/>
  <c r="EM86" s="1"/>
  <c r="AI86"/>
  <c r="AH86"/>
  <c r="U86"/>
  <c r="T86"/>
  <c r="AI85"/>
  <c r="AH85"/>
  <c r="AJ85"/>
  <c r="AK85" s="1"/>
  <c r="EM85" s="1"/>
  <c r="U85"/>
  <c r="T85"/>
  <c r="AJ84"/>
  <c r="AK84" s="1"/>
  <c r="EM84" s="1"/>
  <c r="AI84"/>
  <c r="AH84"/>
  <c r="U84"/>
  <c r="T84"/>
  <c r="AI83"/>
  <c r="AH83"/>
  <c r="AJ83"/>
  <c r="AK83" s="1"/>
  <c r="EM83" s="1"/>
  <c r="U83"/>
  <c r="T83"/>
  <c r="AJ82"/>
  <c r="AK82" s="1"/>
  <c r="EM82" s="1"/>
  <c r="AI82"/>
  <c r="AH82"/>
  <c r="U82"/>
  <c r="T82"/>
  <c r="AI81"/>
  <c r="AH81"/>
  <c r="AJ81"/>
  <c r="AK81" s="1"/>
  <c r="EM81" s="1"/>
  <c r="U81"/>
  <c r="T81"/>
  <c r="AJ80"/>
  <c r="AK80" s="1"/>
  <c r="EM80" s="1"/>
  <c r="AI80"/>
  <c r="AH80"/>
  <c r="U80"/>
  <c r="T80"/>
  <c r="AI79"/>
  <c r="AH79"/>
  <c r="AJ79"/>
  <c r="AK79" s="1"/>
  <c r="EM79" s="1"/>
  <c r="U79"/>
  <c r="T79"/>
  <c r="AJ78"/>
  <c r="AK78" s="1"/>
  <c r="EM78" s="1"/>
  <c r="AI78"/>
  <c r="AH78"/>
  <c r="U78"/>
  <c r="T78"/>
  <c r="AI77"/>
  <c r="AH77"/>
  <c r="AJ77"/>
  <c r="AK77" s="1"/>
  <c r="EM77" s="1"/>
  <c r="U77"/>
  <c r="T77"/>
  <c r="AJ76"/>
  <c r="AK76" s="1"/>
  <c r="EM76" s="1"/>
  <c r="AI76"/>
  <c r="AH76"/>
  <c r="U76"/>
  <c r="T76"/>
  <c r="AI75"/>
  <c r="AH75"/>
  <c r="AJ75"/>
  <c r="AK75" s="1"/>
  <c r="EM75" s="1"/>
  <c r="U75"/>
  <c r="T75"/>
  <c r="AJ74"/>
  <c r="AK74" s="1"/>
  <c r="EM74" s="1"/>
  <c r="AI74"/>
  <c r="AH74"/>
  <c r="U74"/>
  <c r="T74"/>
  <c r="AI73"/>
  <c r="AH73"/>
  <c r="AJ73"/>
  <c r="AK73" s="1"/>
  <c r="EM73" s="1"/>
  <c r="U73"/>
  <c r="T73"/>
  <c r="AJ72"/>
  <c r="AK72" s="1"/>
  <c r="EM72" s="1"/>
  <c r="AI72"/>
  <c r="AH72"/>
  <c r="U72"/>
  <c r="T72"/>
  <c r="AI71"/>
  <c r="AH71"/>
  <c r="AJ71"/>
  <c r="AK71" s="1"/>
  <c r="EM71" s="1"/>
  <c r="U71"/>
  <c r="T71"/>
  <c r="AJ70"/>
  <c r="AK70" s="1"/>
  <c r="EM70" s="1"/>
  <c r="AI70"/>
  <c r="AH70"/>
  <c r="U70"/>
  <c r="T70"/>
  <c r="AI69"/>
  <c r="AH69"/>
  <c r="AJ69"/>
  <c r="AK69" s="1"/>
  <c r="EM69" s="1"/>
  <c r="U69"/>
  <c r="T69"/>
  <c r="AJ68"/>
  <c r="AK68" s="1"/>
  <c r="EM68" s="1"/>
  <c r="AI68"/>
  <c r="AH68"/>
  <c r="U68"/>
  <c r="T68"/>
  <c r="AI67"/>
  <c r="AH67"/>
  <c r="AJ67"/>
  <c r="AK67" s="1"/>
  <c r="EM67" s="1"/>
  <c r="U67"/>
  <c r="T67"/>
  <c r="AJ66"/>
  <c r="AK66" s="1"/>
  <c r="EM66" s="1"/>
  <c r="AI66"/>
  <c r="AH66"/>
  <c r="U66"/>
  <c r="T66"/>
  <c r="AI65"/>
  <c r="AH65"/>
  <c r="AJ65"/>
  <c r="AK65" s="1"/>
  <c r="EM65" s="1"/>
  <c r="U65"/>
  <c r="T65"/>
  <c r="AJ64"/>
  <c r="AK64" s="1"/>
  <c r="EM64" s="1"/>
  <c r="AI64"/>
  <c r="AH64"/>
  <c r="U64"/>
  <c r="T64"/>
  <c r="AI63"/>
  <c r="AH63"/>
  <c r="AJ63"/>
  <c r="AK63" s="1"/>
  <c r="EM63" s="1"/>
  <c r="U63"/>
  <c r="T63"/>
  <c r="AJ62"/>
  <c r="AK62" s="1"/>
  <c r="EM62" s="1"/>
  <c r="AI62"/>
  <c r="AH62"/>
  <c r="U62"/>
  <c r="T62"/>
  <c r="AI61"/>
  <c r="AH61"/>
  <c r="AJ61"/>
  <c r="AK61" s="1"/>
  <c r="EM61" s="1"/>
  <c r="U61"/>
  <c r="T61"/>
  <c r="AJ60"/>
  <c r="AK60" s="1"/>
  <c r="EM60" s="1"/>
  <c r="AI60"/>
  <c r="AH60"/>
  <c r="U60"/>
  <c r="T60"/>
  <c r="AI59"/>
  <c r="AH59"/>
  <c r="AJ59"/>
  <c r="AK59" s="1"/>
  <c r="EM59" s="1"/>
  <c r="U59"/>
  <c r="T59"/>
  <c r="AJ58"/>
  <c r="AK58" s="1"/>
  <c r="EM58" s="1"/>
  <c r="AI58"/>
  <c r="AH58"/>
  <c r="U58"/>
  <c r="T58"/>
  <c r="AI57"/>
  <c r="AH57"/>
  <c r="AJ57"/>
  <c r="AK57" s="1"/>
  <c r="EM57" s="1"/>
  <c r="U57"/>
  <c r="T57"/>
  <c r="AJ56"/>
  <c r="AK56" s="1"/>
  <c r="EM56" s="1"/>
  <c r="AI56"/>
  <c r="AH56"/>
  <c r="U56"/>
  <c r="T56"/>
  <c r="AI55"/>
  <c r="AH55"/>
  <c r="AJ55"/>
  <c r="AK55" s="1"/>
  <c r="EM55" s="1"/>
  <c r="U55"/>
  <c r="T55"/>
  <c r="AJ54"/>
  <c r="AK54" s="1"/>
  <c r="EM54" s="1"/>
  <c r="AI54"/>
  <c r="AH54"/>
  <c r="U54"/>
  <c r="T54"/>
  <c r="AI53"/>
  <c r="AH53"/>
  <c r="AJ53"/>
  <c r="AK53" s="1"/>
  <c r="EM53" s="1"/>
  <c r="U53"/>
  <c r="T53"/>
  <c r="AJ52"/>
  <c r="AK52" s="1"/>
  <c r="EM52" s="1"/>
  <c r="AI52"/>
  <c r="AH52"/>
  <c r="U52"/>
  <c r="T52"/>
  <c r="AI51"/>
  <c r="AH51"/>
  <c r="AJ51"/>
  <c r="AK51" s="1"/>
  <c r="EM51" s="1"/>
  <c r="U51"/>
  <c r="T51"/>
  <c r="AJ50"/>
  <c r="AK50" s="1"/>
  <c r="EM50" s="1"/>
  <c r="AI50"/>
  <c r="AH50"/>
  <c r="U50"/>
  <c r="T50"/>
  <c r="AI49"/>
  <c r="AH49"/>
  <c r="AJ49"/>
  <c r="AK49" s="1"/>
  <c r="EM49" s="1"/>
  <c r="U49"/>
  <c r="T49"/>
  <c r="AJ48"/>
  <c r="AK48" s="1"/>
  <c r="EM48" s="1"/>
  <c r="AI48"/>
  <c r="AH48"/>
  <c r="U48"/>
  <c r="T48"/>
  <c r="AI47"/>
  <c r="AH47"/>
  <c r="AJ47"/>
  <c r="AK47" s="1"/>
  <c r="EM47" s="1"/>
  <c r="U47"/>
  <c r="T47"/>
  <c r="AJ46"/>
  <c r="AK46" s="1"/>
  <c r="EM46" s="1"/>
  <c r="AI46"/>
  <c r="AH46"/>
  <c r="U46"/>
  <c r="T46"/>
  <c r="AI45"/>
  <c r="AH45"/>
  <c r="AJ45"/>
  <c r="AK45" s="1"/>
  <c r="EM45" s="1"/>
  <c r="U45"/>
  <c r="T45"/>
  <c r="AJ44"/>
  <c r="AK44" s="1"/>
  <c r="EM44" s="1"/>
  <c r="AI44"/>
  <c r="AH44"/>
  <c r="U44"/>
  <c r="T44"/>
  <c r="AI43"/>
  <c r="AH43"/>
  <c r="AJ43"/>
  <c r="AK43" s="1"/>
  <c r="EM43" s="1"/>
  <c r="U43"/>
  <c r="T43"/>
  <c r="AJ42"/>
  <c r="AK42" s="1"/>
  <c r="EM42" s="1"/>
  <c r="AI42"/>
  <c r="AH42"/>
  <c r="U42"/>
  <c r="T42"/>
  <c r="AI41"/>
  <c r="AH41"/>
  <c r="AJ41"/>
  <c r="AK41" s="1"/>
  <c r="EM41" s="1"/>
  <c r="U41"/>
  <c r="T41"/>
  <c r="AJ40"/>
  <c r="AK40" s="1"/>
  <c r="EM40" s="1"/>
  <c r="AI40"/>
  <c r="AH40"/>
  <c r="U40"/>
  <c r="T40"/>
  <c r="AI39"/>
  <c r="AH39"/>
  <c r="AJ39"/>
  <c r="AK39" s="1"/>
  <c r="EM39" s="1"/>
  <c r="U39"/>
  <c r="T39"/>
  <c r="AJ38"/>
  <c r="AK38" s="1"/>
  <c r="EM38" s="1"/>
  <c r="AI38"/>
  <c r="AH38"/>
  <c r="U38"/>
  <c r="T38"/>
  <c r="AI37"/>
  <c r="AJ37"/>
  <c r="AK37" s="1"/>
  <c r="EM37" s="1"/>
  <c r="U37"/>
  <c r="AJ36"/>
  <c r="AK36" s="1"/>
  <c r="EM36" s="1"/>
  <c r="AI36"/>
  <c r="U36"/>
  <c r="AJ35"/>
  <c r="AK35" s="1"/>
  <c r="EM35" s="1"/>
  <c r="AI35"/>
  <c r="U35"/>
  <c r="AJ34"/>
  <c r="AK34" s="1"/>
  <c r="EM34" s="1"/>
  <c r="AI34"/>
  <c r="U34"/>
  <c r="AI33"/>
  <c r="AJ33"/>
  <c r="AK33" s="1"/>
  <c r="EM33" s="1"/>
  <c r="U33"/>
  <c r="AJ32"/>
  <c r="AK32" s="1"/>
  <c r="EM32" s="1"/>
  <c r="AI32"/>
  <c r="U32"/>
  <c r="AJ31"/>
  <c r="AK31" s="1"/>
  <c r="EM31" s="1"/>
  <c r="AI31"/>
  <c r="U31"/>
  <c r="AJ30"/>
  <c r="AK30" s="1"/>
  <c r="EM30" s="1"/>
  <c r="AI30"/>
  <c r="U30"/>
  <c r="AI29"/>
  <c r="AJ29"/>
  <c r="AK29" s="1"/>
  <c r="EM29" s="1"/>
  <c r="U29"/>
  <c r="AJ28"/>
  <c r="AK28" s="1"/>
  <c r="EM28" s="1"/>
  <c r="AI28"/>
  <c r="U28"/>
  <c r="AJ27"/>
  <c r="AK27" s="1"/>
  <c r="EM27" s="1"/>
  <c r="AI27"/>
  <c r="U27"/>
  <c r="AJ26"/>
  <c r="AK26" s="1"/>
  <c r="EM26" s="1"/>
  <c r="AI26"/>
  <c r="U26"/>
  <c r="AI25"/>
  <c r="AJ25"/>
  <c r="AK25" s="1"/>
  <c r="EM25" s="1"/>
  <c r="U25"/>
  <c r="AJ24"/>
  <c r="AK24" s="1"/>
  <c r="EM24" s="1"/>
  <c r="AI24"/>
  <c r="U24"/>
  <c r="AJ23"/>
  <c r="AK23" s="1"/>
  <c r="EM23" s="1"/>
  <c r="AI23"/>
  <c r="U23"/>
  <c r="AJ22"/>
  <c r="AK22" s="1"/>
  <c r="EM22" s="1"/>
  <c r="AI22"/>
  <c r="U22"/>
  <c r="AI21"/>
  <c r="AJ21"/>
  <c r="AK21" s="1"/>
  <c r="EM21" s="1"/>
  <c r="U21"/>
  <c r="AJ20"/>
  <c r="AK20" s="1"/>
  <c r="EM20" s="1"/>
  <c r="AI20"/>
  <c r="U20"/>
  <c r="AJ19"/>
  <c r="AK19" s="1"/>
  <c r="EM19" s="1"/>
  <c r="AI19"/>
  <c r="U19"/>
  <c r="AI18"/>
  <c r="U18"/>
  <c r="AI17"/>
  <c r="U17"/>
  <c r="AI16"/>
  <c r="U16"/>
  <c r="AI15"/>
  <c r="U15"/>
  <c r="AI14"/>
  <c r="U14"/>
  <c r="AI13"/>
  <c r="U13"/>
  <c r="AI12"/>
  <c r="U12"/>
  <c r="AI11"/>
  <c r="U11"/>
  <c r="AI10"/>
  <c r="AH10"/>
  <c r="U10"/>
  <c r="AI9"/>
  <c r="U9"/>
  <c r="S207"/>
  <c r="R207"/>
  <c r="S203"/>
  <c r="R203"/>
  <c r="S199"/>
  <c r="R199"/>
  <c r="S195"/>
  <c r="R195"/>
  <c r="S191"/>
  <c r="R191"/>
  <c r="S187"/>
  <c r="R187"/>
  <c r="S183"/>
  <c r="R183"/>
  <c r="S179"/>
  <c r="R179"/>
  <c r="S175"/>
  <c r="R175"/>
  <c r="S171"/>
  <c r="R171"/>
  <c r="S167"/>
  <c r="R167"/>
  <c r="S163"/>
  <c r="R163"/>
  <c r="S159"/>
  <c r="R159"/>
  <c r="S155"/>
  <c r="R155"/>
  <c r="S151"/>
  <c r="R151"/>
  <c r="S147"/>
  <c r="R147"/>
  <c r="S144"/>
  <c r="R144"/>
  <c r="S140"/>
  <c r="R140"/>
  <c r="S136"/>
  <c r="R136"/>
  <c r="S132"/>
  <c r="R132"/>
  <c r="S128"/>
  <c r="R128"/>
  <c r="S124"/>
  <c r="R124"/>
  <c r="S120"/>
  <c r="R120"/>
  <c r="S116"/>
  <c r="R116"/>
  <c r="M112"/>
  <c r="S112"/>
  <c r="R112"/>
  <c r="S108"/>
  <c r="R108"/>
  <c r="M104"/>
  <c r="O104" s="1"/>
  <c r="Q104" s="1"/>
  <c r="S104"/>
  <c r="R104"/>
  <c r="S100"/>
  <c r="R100"/>
  <c r="S96"/>
  <c r="R96"/>
  <c r="S92"/>
  <c r="R92"/>
  <c r="M88"/>
  <c r="O88" s="1"/>
  <c r="Q88" s="1"/>
  <c r="S88"/>
  <c r="R88"/>
  <c r="S84"/>
  <c r="R84"/>
  <c r="S80"/>
  <c r="R80"/>
  <c r="S76"/>
  <c r="R76"/>
  <c r="S72"/>
  <c r="R72"/>
  <c r="S68"/>
  <c r="R68"/>
  <c r="S64"/>
  <c r="R64"/>
  <c r="S60"/>
  <c r="R60"/>
  <c r="S56"/>
  <c r="R56"/>
  <c r="S52"/>
  <c r="R52"/>
  <c r="M48"/>
  <c r="O48" s="1"/>
  <c r="Q48" s="1"/>
  <c r="S48"/>
  <c r="R48"/>
  <c r="S44"/>
  <c r="R44"/>
  <c r="S40"/>
  <c r="R40"/>
  <c r="S36"/>
  <c r="R36"/>
  <c r="S32"/>
  <c r="R32"/>
  <c r="S28"/>
  <c r="R28"/>
  <c r="S24"/>
  <c r="R24"/>
  <c r="S20"/>
  <c r="R20"/>
  <c r="S16"/>
  <c r="R16"/>
  <c r="S12"/>
  <c r="R12"/>
  <c r="M15"/>
  <c r="M11"/>
  <c r="AH17"/>
  <c r="AH29"/>
  <c r="AH24"/>
  <c r="AH11"/>
  <c r="AH31"/>
  <c r="AH18"/>
  <c r="AH30"/>
  <c r="S204"/>
  <c r="R204"/>
  <c r="S200"/>
  <c r="R200"/>
  <c r="S196"/>
  <c r="R196"/>
  <c r="S192"/>
  <c r="R192"/>
  <c r="S188"/>
  <c r="R188"/>
  <c r="S184"/>
  <c r="R184"/>
  <c r="S180"/>
  <c r="R180"/>
  <c r="M176"/>
  <c r="O176" s="1"/>
  <c r="Q176" s="1"/>
  <c r="S176"/>
  <c r="R176"/>
  <c r="S172"/>
  <c r="R172"/>
  <c r="S168"/>
  <c r="R168"/>
  <c r="S164"/>
  <c r="R164"/>
  <c r="S160"/>
  <c r="R160"/>
  <c r="S156"/>
  <c r="R156"/>
  <c r="S152"/>
  <c r="R152"/>
  <c r="S148"/>
  <c r="R148"/>
  <c r="S141"/>
  <c r="R141"/>
  <c r="S137"/>
  <c r="R137"/>
  <c r="S133"/>
  <c r="R133"/>
  <c r="S129"/>
  <c r="R129"/>
  <c r="S125"/>
  <c r="R125"/>
  <c r="S121"/>
  <c r="R121"/>
  <c r="S117"/>
  <c r="R117"/>
  <c r="S113"/>
  <c r="R113"/>
  <c r="S109"/>
  <c r="R109"/>
  <c r="S105"/>
  <c r="R105"/>
  <c r="S101"/>
  <c r="R101"/>
  <c r="S97"/>
  <c r="R97"/>
  <c r="S93"/>
  <c r="R93"/>
  <c r="S89"/>
  <c r="R89"/>
  <c r="S85"/>
  <c r="R85"/>
  <c r="S81"/>
  <c r="R81"/>
  <c r="S77"/>
  <c r="R77"/>
  <c r="S73"/>
  <c r="R73"/>
  <c r="S69"/>
  <c r="R69"/>
  <c r="S65"/>
  <c r="R65"/>
  <c r="S61"/>
  <c r="R61"/>
  <c r="S57"/>
  <c r="R57"/>
  <c r="S53"/>
  <c r="R53"/>
  <c r="S49"/>
  <c r="R49"/>
  <c r="S45"/>
  <c r="R45"/>
  <c r="S41"/>
  <c r="R41"/>
  <c r="R37"/>
  <c r="S37"/>
  <c r="R33"/>
  <c r="S33"/>
  <c r="R29"/>
  <c r="S29"/>
  <c r="R25"/>
  <c r="S25"/>
  <c r="R21"/>
  <c r="S21"/>
  <c r="R17"/>
  <c r="S17"/>
  <c r="R13"/>
  <c r="S13"/>
  <c r="S9"/>
  <c r="R9"/>
  <c r="M140"/>
  <c r="M128"/>
  <c r="O128" s="1"/>
  <c r="Q128" s="1"/>
  <c r="M124"/>
  <c r="O124" s="1"/>
  <c r="Q124" s="1"/>
  <c r="M80"/>
  <c r="O80" s="1"/>
  <c r="Q80" s="1"/>
  <c r="M76"/>
  <c r="M64"/>
  <c r="O64" s="1"/>
  <c r="Q64" s="1"/>
  <c r="M60"/>
  <c r="O60" s="1"/>
  <c r="Q60" s="1"/>
  <c r="AH9"/>
  <c r="AH33"/>
  <c r="AH16"/>
  <c r="AH28"/>
  <c r="AH19"/>
  <c r="AH35"/>
  <c r="AH34"/>
  <c r="S205"/>
  <c r="R205"/>
  <c r="S201"/>
  <c r="R201"/>
  <c r="S197"/>
  <c r="R197"/>
  <c r="S193"/>
  <c r="R193"/>
  <c r="S189"/>
  <c r="R189"/>
  <c r="S185"/>
  <c r="R185"/>
  <c r="S181"/>
  <c r="R181"/>
  <c r="S177"/>
  <c r="R177"/>
  <c r="S173"/>
  <c r="R173"/>
  <c r="S169"/>
  <c r="R169"/>
  <c r="S165"/>
  <c r="R165"/>
  <c r="S161"/>
  <c r="R161"/>
  <c r="S157"/>
  <c r="R157"/>
  <c r="S153"/>
  <c r="R153"/>
  <c r="S149"/>
  <c r="R149"/>
  <c r="S145"/>
  <c r="R145"/>
  <c r="S142"/>
  <c r="R142"/>
  <c r="S138"/>
  <c r="R138"/>
  <c r="S134"/>
  <c r="R134"/>
  <c r="S130"/>
  <c r="R130"/>
  <c r="S126"/>
  <c r="R126"/>
  <c r="S122"/>
  <c r="R122"/>
  <c r="S118"/>
  <c r="R118"/>
  <c r="S114"/>
  <c r="R114"/>
  <c r="S110"/>
  <c r="R110"/>
  <c r="S106"/>
  <c r="R106"/>
  <c r="S102"/>
  <c r="R102"/>
  <c r="S98"/>
  <c r="R98"/>
  <c r="S94"/>
  <c r="R94"/>
  <c r="S90"/>
  <c r="R90"/>
  <c r="S86"/>
  <c r="R86"/>
  <c r="S82"/>
  <c r="R82"/>
  <c r="S78"/>
  <c r="R78"/>
  <c r="S74"/>
  <c r="R74"/>
  <c r="S70"/>
  <c r="R70"/>
  <c r="S66"/>
  <c r="R66"/>
  <c r="S62"/>
  <c r="R62"/>
  <c r="S58"/>
  <c r="R58"/>
  <c r="S54"/>
  <c r="R54"/>
  <c r="S50"/>
  <c r="R50"/>
  <c r="S46"/>
  <c r="R46"/>
  <c r="S42"/>
  <c r="R42"/>
  <c r="S38"/>
  <c r="R38"/>
  <c r="S34"/>
  <c r="R34"/>
  <c r="S30"/>
  <c r="R30"/>
  <c r="S26"/>
  <c r="R26"/>
  <c r="M22"/>
  <c r="O22" s="1"/>
  <c r="S22"/>
  <c r="R22"/>
  <c r="M18"/>
  <c r="O18" s="1"/>
  <c r="Q18" s="1"/>
  <c r="S18"/>
  <c r="R18"/>
  <c r="S14"/>
  <c r="R14"/>
  <c r="S10"/>
  <c r="R10"/>
  <c r="AH21"/>
  <c r="AH37"/>
  <c r="AH32"/>
  <c r="AH23"/>
  <c r="AH14"/>
  <c r="AH22"/>
  <c r="M200"/>
  <c r="M184"/>
  <c r="O184" s="1"/>
  <c r="Q184" s="1"/>
  <c r="M172"/>
  <c r="O172" s="1"/>
  <c r="Q172" s="1"/>
  <c r="M160"/>
  <c r="M156"/>
  <c r="O156" s="1"/>
  <c r="Q156" s="1"/>
  <c r="M118"/>
  <c r="M114"/>
  <c r="M111"/>
  <c r="M72"/>
  <c r="O72" s="1"/>
  <c r="Q72" s="1"/>
  <c r="M56"/>
  <c r="M44"/>
  <c r="M32"/>
  <c r="O32" s="1"/>
  <c r="Q32" s="1"/>
  <c r="V32" s="1"/>
  <c r="W32" s="1"/>
  <c r="EL32" s="1"/>
  <c r="M28"/>
  <c r="O28" s="1"/>
  <c r="Q28" s="1"/>
  <c r="V28" s="1"/>
  <c r="W28" s="1"/>
  <c r="EL28" s="1"/>
  <c r="M182"/>
  <c r="M178"/>
  <c r="M175"/>
  <c r="O175" s="1"/>
  <c r="Q175" s="1"/>
  <c r="M136"/>
  <c r="O136" s="1"/>
  <c r="Q136" s="1"/>
  <c r="M120"/>
  <c r="O120" s="1"/>
  <c r="Q120" s="1"/>
  <c r="M108"/>
  <c r="O108" s="1"/>
  <c r="Q108" s="1"/>
  <c r="M96"/>
  <c r="O96" s="1"/>
  <c r="Q96" s="1"/>
  <c r="M92"/>
  <c r="O92" s="1"/>
  <c r="Q92" s="1"/>
  <c r="M69"/>
  <c r="O69" s="1"/>
  <c r="Q69" s="1"/>
  <c r="M65"/>
  <c r="M54"/>
  <c r="O54" s="1"/>
  <c r="Q54" s="1"/>
  <c r="M53"/>
  <c r="O53" s="1"/>
  <c r="Q53" s="1"/>
  <c r="M50"/>
  <c r="O50" s="1"/>
  <c r="Q50" s="1"/>
  <c r="M49"/>
  <c r="O49" s="1"/>
  <c r="Q49" s="1"/>
  <c r="M207"/>
  <c r="M168"/>
  <c r="M152"/>
  <c r="O152" s="1"/>
  <c r="Q152" s="1"/>
  <c r="M86"/>
  <c r="M82"/>
  <c r="O82" s="1"/>
  <c r="Q82" s="1"/>
  <c r="M40"/>
  <c r="O40" s="1"/>
  <c r="Q40" s="1"/>
  <c r="M24"/>
  <c r="O24" s="1"/>
  <c r="Q24" s="1"/>
  <c r="V24" s="1"/>
  <c r="W24" s="1"/>
  <c r="EL24" s="1"/>
  <c r="M206"/>
  <c r="M202"/>
  <c r="O202" s="1"/>
  <c r="Q202" s="1"/>
  <c r="M199"/>
  <c r="O199" s="1"/>
  <c r="Q199" s="1"/>
  <c r="M180"/>
  <c r="O180" s="1"/>
  <c r="Q180" s="1"/>
  <c r="M174"/>
  <c r="M170"/>
  <c r="O170" s="1"/>
  <c r="Q170" s="1"/>
  <c r="M167"/>
  <c r="O167" s="1"/>
  <c r="Q167" s="1"/>
  <c r="M148"/>
  <c r="O148" s="1"/>
  <c r="Q148" s="1"/>
  <c r="M142"/>
  <c r="O142" s="1"/>
  <c r="Q142" s="1"/>
  <c r="M138"/>
  <c r="O138" s="1"/>
  <c r="Q138" s="1"/>
  <c r="M135"/>
  <c r="O135" s="1"/>
  <c r="Q135" s="1"/>
  <c r="M116"/>
  <c r="O116" s="1"/>
  <c r="Q116" s="1"/>
  <c r="M110"/>
  <c r="O110" s="1"/>
  <c r="Q110" s="1"/>
  <c r="M106"/>
  <c r="O106" s="1"/>
  <c r="Q106" s="1"/>
  <c r="M103"/>
  <c r="O103" s="1"/>
  <c r="Q103" s="1"/>
  <c r="M84"/>
  <c r="M78"/>
  <c r="O78" s="1"/>
  <c r="Q78" s="1"/>
  <c r="M77"/>
  <c r="O77" s="1"/>
  <c r="Q77" s="1"/>
  <c r="M74"/>
  <c r="O74" s="1"/>
  <c r="Q74" s="1"/>
  <c r="M73"/>
  <c r="M52"/>
  <c r="M46"/>
  <c r="O46" s="1"/>
  <c r="Q46" s="1"/>
  <c r="M45"/>
  <c r="O45" s="1"/>
  <c r="Q45" s="1"/>
  <c r="M42"/>
  <c r="O42" s="1"/>
  <c r="Q42" s="1"/>
  <c r="M41"/>
  <c r="M20"/>
  <c r="O20" s="1"/>
  <c r="Q20" s="1"/>
  <c r="V20" s="1"/>
  <c r="W20" s="1"/>
  <c r="EL20" s="1"/>
  <c r="Q22"/>
  <c r="V22" s="1"/>
  <c r="W22" s="1"/>
  <c r="EL22" s="1"/>
  <c r="M196"/>
  <c r="O196" s="1"/>
  <c r="Q196" s="1"/>
  <c r="M190"/>
  <c r="M186"/>
  <c r="O186" s="1"/>
  <c r="Q186" s="1"/>
  <c r="M183"/>
  <c r="O183" s="1"/>
  <c r="Q183" s="1"/>
  <c r="M164"/>
  <c r="O164" s="1"/>
  <c r="Q164" s="1"/>
  <c r="M158"/>
  <c r="M154"/>
  <c r="O154" s="1"/>
  <c r="Q154" s="1"/>
  <c r="M151"/>
  <c r="O151" s="1"/>
  <c r="Q151" s="1"/>
  <c r="M132"/>
  <c r="O132" s="1"/>
  <c r="Q132" s="1"/>
  <c r="M126"/>
  <c r="O126" s="1"/>
  <c r="Q126" s="1"/>
  <c r="M122"/>
  <c r="O122" s="1"/>
  <c r="Q122" s="1"/>
  <c r="M119"/>
  <c r="O119" s="1"/>
  <c r="Q119" s="1"/>
  <c r="M100"/>
  <c r="O100" s="1"/>
  <c r="Q100" s="1"/>
  <c r="M94"/>
  <c r="M90"/>
  <c r="O90" s="1"/>
  <c r="Q90" s="1"/>
  <c r="M89"/>
  <c r="O89" s="1"/>
  <c r="Q89" s="1"/>
  <c r="M68"/>
  <c r="M62"/>
  <c r="M61"/>
  <c r="O61" s="1"/>
  <c r="Q61" s="1"/>
  <c r="M58"/>
  <c r="O58" s="1"/>
  <c r="Q58" s="1"/>
  <c r="M57"/>
  <c r="O57" s="1"/>
  <c r="Q57" s="1"/>
  <c r="M36"/>
  <c r="O36" s="1"/>
  <c r="Q36" s="1"/>
  <c r="V36" s="1"/>
  <c r="W36" s="1"/>
  <c r="EL36" s="1"/>
  <c r="M30"/>
  <c r="O30" s="1"/>
  <c r="Q30" s="1"/>
  <c r="V30" s="1"/>
  <c r="W30" s="1"/>
  <c r="EL30" s="1"/>
  <c r="M29"/>
  <c r="O29" s="1"/>
  <c r="Q29" s="1"/>
  <c r="V29" s="1"/>
  <c r="W29" s="1"/>
  <c r="EL29" s="1"/>
  <c r="M26"/>
  <c r="O26" s="1"/>
  <c r="Q26" s="1"/>
  <c r="V26" s="1"/>
  <c r="W26" s="1"/>
  <c r="EL26" s="1"/>
  <c r="M25"/>
  <c r="O25" s="1"/>
  <c r="Q25" s="1"/>
  <c r="V25" s="1"/>
  <c r="W25" s="1"/>
  <c r="EL25" s="1"/>
  <c r="M198"/>
  <c r="O198" s="1"/>
  <c r="Q198" s="1"/>
  <c r="M194"/>
  <c r="O194" s="1"/>
  <c r="Q194" s="1"/>
  <c r="M191"/>
  <c r="O191" s="1"/>
  <c r="Q191" s="1"/>
  <c r="M166"/>
  <c r="O166" s="1"/>
  <c r="Q166" s="1"/>
  <c r="M162"/>
  <c r="O162" s="1"/>
  <c r="Q162" s="1"/>
  <c r="M159"/>
  <c r="O159" s="1"/>
  <c r="Q159" s="1"/>
  <c r="M134"/>
  <c r="O134" s="1"/>
  <c r="Q134" s="1"/>
  <c r="M130"/>
  <c r="O130" s="1"/>
  <c r="Q130" s="1"/>
  <c r="M127"/>
  <c r="O127" s="1"/>
  <c r="Q127" s="1"/>
  <c r="M102"/>
  <c r="M98"/>
  <c r="M95"/>
  <c r="M70"/>
  <c r="O70" s="1"/>
  <c r="Q70" s="1"/>
  <c r="M66"/>
  <c r="O66" s="1"/>
  <c r="Q66" s="1"/>
  <c r="M38"/>
  <c r="O38" s="1"/>
  <c r="Q38" s="1"/>
  <c r="M34"/>
  <c r="O34" s="1"/>
  <c r="Q34" s="1"/>
  <c r="V34" s="1"/>
  <c r="W34" s="1"/>
  <c r="EL34" s="1"/>
  <c r="O33"/>
  <c r="Q33" s="1"/>
  <c r="V33" s="1"/>
  <c r="W33" s="1"/>
  <c r="EL33" s="1"/>
  <c r="M201"/>
  <c r="O201" s="1"/>
  <c r="Q201" s="1"/>
  <c r="M193"/>
  <c r="O193" s="1"/>
  <c r="Q193" s="1"/>
  <c r="M185"/>
  <c r="O185" s="1"/>
  <c r="Q185" s="1"/>
  <c r="M177"/>
  <c r="O177" s="1"/>
  <c r="Q177" s="1"/>
  <c r="M169"/>
  <c r="O169" s="1"/>
  <c r="Q169" s="1"/>
  <c r="M161"/>
  <c r="O161" s="1"/>
  <c r="Q161" s="1"/>
  <c r="M153"/>
  <c r="O153" s="1"/>
  <c r="Q153" s="1"/>
  <c r="M145"/>
  <c r="O145" s="1"/>
  <c r="Q145" s="1"/>
  <c r="M137"/>
  <c r="O137" s="1"/>
  <c r="Q137" s="1"/>
  <c r="M129"/>
  <c r="O129" s="1"/>
  <c r="Q129" s="1"/>
  <c r="M121"/>
  <c r="O121" s="1"/>
  <c r="Q121" s="1"/>
  <c r="M113"/>
  <c r="O113" s="1"/>
  <c r="Q113" s="1"/>
  <c r="M105"/>
  <c r="O105" s="1"/>
  <c r="Q105" s="1"/>
  <c r="M97"/>
  <c r="O97" s="1"/>
  <c r="Q97" s="1"/>
  <c r="M91"/>
  <c r="O91" s="1"/>
  <c r="Q91" s="1"/>
  <c r="M83"/>
  <c r="O83" s="1"/>
  <c r="Q83" s="1"/>
  <c r="M75"/>
  <c r="O75" s="1"/>
  <c r="Q75" s="1"/>
  <c r="M67"/>
  <c r="O67" s="1"/>
  <c r="Q67" s="1"/>
  <c r="M59"/>
  <c r="O59" s="1"/>
  <c r="Q59" s="1"/>
  <c r="M51"/>
  <c r="O51" s="1"/>
  <c r="Q51" s="1"/>
  <c r="M43"/>
  <c r="O43" s="1"/>
  <c r="Q43" s="1"/>
  <c r="M35"/>
  <c r="O35" s="1"/>
  <c r="Q35" s="1"/>
  <c r="V35" s="1"/>
  <c r="W35" s="1"/>
  <c r="EL35" s="1"/>
  <c r="M27"/>
  <c r="O27" s="1"/>
  <c r="Q27" s="1"/>
  <c r="V27" s="1"/>
  <c r="W27" s="1"/>
  <c r="EL27" s="1"/>
  <c r="M19"/>
  <c r="O19" s="1"/>
  <c r="Q19" s="1"/>
  <c r="V19" s="1"/>
  <c r="W19" s="1"/>
  <c r="EL19" s="1"/>
  <c r="M205"/>
  <c r="O205" s="1"/>
  <c r="Q205" s="1"/>
  <c r="M197"/>
  <c r="O197" s="1"/>
  <c r="Q197" s="1"/>
  <c r="M189"/>
  <c r="O189" s="1"/>
  <c r="Q189" s="1"/>
  <c r="M181"/>
  <c r="O181" s="1"/>
  <c r="Q181" s="1"/>
  <c r="M173"/>
  <c r="O173" s="1"/>
  <c r="Q173" s="1"/>
  <c r="M165"/>
  <c r="O165" s="1"/>
  <c r="Q165" s="1"/>
  <c r="M157"/>
  <c r="O157" s="1"/>
  <c r="Q157" s="1"/>
  <c r="M149"/>
  <c r="O149" s="1"/>
  <c r="Q149" s="1"/>
  <c r="M141"/>
  <c r="O141" s="1"/>
  <c r="Q141" s="1"/>
  <c r="M133"/>
  <c r="O133" s="1"/>
  <c r="Q133" s="1"/>
  <c r="M125"/>
  <c r="O125" s="1"/>
  <c r="Q125" s="1"/>
  <c r="M117"/>
  <c r="O117" s="1"/>
  <c r="Q117" s="1"/>
  <c r="M109"/>
  <c r="O109" s="1"/>
  <c r="Q109" s="1"/>
  <c r="M101"/>
  <c r="O101" s="1"/>
  <c r="Q101" s="1"/>
  <c r="M93"/>
  <c r="O93" s="1"/>
  <c r="Q93" s="1"/>
  <c r="M87"/>
  <c r="O87" s="1"/>
  <c r="Q87" s="1"/>
  <c r="M79"/>
  <c r="O79" s="1"/>
  <c r="Q79" s="1"/>
  <c r="M71"/>
  <c r="O71" s="1"/>
  <c r="Q71" s="1"/>
  <c r="M63"/>
  <c r="O63" s="1"/>
  <c r="Q63" s="1"/>
  <c r="M55"/>
  <c r="O55" s="1"/>
  <c r="Q55" s="1"/>
  <c r="M47"/>
  <c r="O47" s="1"/>
  <c r="Q47" s="1"/>
  <c r="M39"/>
  <c r="M31"/>
  <c r="O31" s="1"/>
  <c r="Q31" s="1"/>
  <c r="V31" s="1"/>
  <c r="W31" s="1"/>
  <c r="EL31" s="1"/>
  <c r="M23"/>
  <c r="O23" s="1"/>
  <c r="Q23" s="1"/>
  <c r="V23" s="1"/>
  <c r="W23" s="1"/>
  <c r="EL23" s="1"/>
  <c r="M203"/>
  <c r="O203" s="1"/>
  <c r="Q203" s="1"/>
  <c r="M195"/>
  <c r="M187"/>
  <c r="O187" s="1"/>
  <c r="Q187" s="1"/>
  <c r="M179"/>
  <c r="O179" s="1"/>
  <c r="Q179" s="1"/>
  <c r="M171"/>
  <c r="O171" s="1"/>
  <c r="Q171" s="1"/>
  <c r="M163"/>
  <c r="O163" s="1"/>
  <c r="Q163" s="1"/>
  <c r="M155"/>
  <c r="O155" s="1"/>
  <c r="Q155" s="1"/>
  <c r="M147"/>
  <c r="O147" s="1"/>
  <c r="Q147" s="1"/>
  <c r="M139"/>
  <c r="O139" s="1"/>
  <c r="Q139" s="1"/>
  <c r="M131"/>
  <c r="O131" s="1"/>
  <c r="Q131" s="1"/>
  <c r="M123"/>
  <c r="O123" s="1"/>
  <c r="Q123" s="1"/>
  <c r="M115"/>
  <c r="O115" s="1"/>
  <c r="Q115" s="1"/>
  <c r="M107"/>
  <c r="O107" s="1"/>
  <c r="Q107" s="1"/>
  <c r="M99"/>
  <c r="O99" s="1"/>
  <c r="Q99" s="1"/>
  <c r="O207"/>
  <c r="Q207" s="1"/>
  <c r="O195"/>
  <c r="Q195" s="1"/>
  <c r="O143"/>
  <c r="Q143" s="1"/>
  <c r="O111"/>
  <c r="Q111" s="1"/>
  <c r="O95"/>
  <c r="Q95" s="1"/>
  <c r="O85"/>
  <c r="Q85" s="1"/>
  <c r="O73"/>
  <c r="Q73" s="1"/>
  <c r="O65"/>
  <c r="Q65" s="1"/>
  <c r="O41"/>
  <c r="Q41" s="1"/>
  <c r="O39"/>
  <c r="Q39" s="1"/>
  <c r="M16"/>
  <c r="O16" s="1"/>
  <c r="Q16" s="1"/>
  <c r="M12"/>
  <c r="O12" s="1"/>
  <c r="Q12" s="1"/>
  <c r="O72" i="19" s="1"/>
  <c r="M6" i="9"/>
  <c r="O206"/>
  <c r="Q206" s="1"/>
  <c r="O200"/>
  <c r="Q200" s="1"/>
  <c r="O192"/>
  <c r="Q192" s="1"/>
  <c r="O190"/>
  <c r="Q190" s="1"/>
  <c r="O182"/>
  <c r="Q182" s="1"/>
  <c r="O178"/>
  <c r="Q178" s="1"/>
  <c r="O174"/>
  <c r="Q174" s="1"/>
  <c r="O168"/>
  <c r="Q168" s="1"/>
  <c r="O160"/>
  <c r="Q160" s="1"/>
  <c r="O158"/>
  <c r="Q158" s="1"/>
  <c r="O150"/>
  <c r="Q150" s="1"/>
  <c r="O146"/>
  <c r="Q146" s="1"/>
  <c r="O144"/>
  <c r="Q144" s="1"/>
  <c r="O140"/>
  <c r="Q140" s="1"/>
  <c r="O118"/>
  <c r="Q118" s="1"/>
  <c r="O114"/>
  <c r="Q114" s="1"/>
  <c r="O112"/>
  <c r="Q112" s="1"/>
  <c r="O102"/>
  <c r="Q102" s="1"/>
  <c r="O98"/>
  <c r="Q98" s="1"/>
  <c r="O94"/>
  <c r="Q94" s="1"/>
  <c r="O86"/>
  <c r="Q86" s="1"/>
  <c r="O84"/>
  <c r="Q84" s="1"/>
  <c r="O76"/>
  <c r="Q76" s="1"/>
  <c r="O68"/>
  <c r="Q68" s="1"/>
  <c r="O62"/>
  <c r="Q62" s="1"/>
  <c r="O56"/>
  <c r="Q56" s="1"/>
  <c r="O52"/>
  <c r="Q52" s="1"/>
  <c r="O44"/>
  <c r="Q44" s="1"/>
  <c r="M14"/>
  <c r="O14" s="1"/>
  <c r="Q14" s="1"/>
  <c r="M10"/>
  <c r="O10" s="1"/>
  <c r="Q10" s="1"/>
  <c r="O15"/>
  <c r="Q15" s="1"/>
  <c r="O14" i="18" s="1"/>
  <c r="O11" i="9"/>
  <c r="Q11" s="1"/>
  <c r="AE43" i="19" s="1"/>
  <c r="AZ5" i="8"/>
  <c r="DN5" i="9" s="1"/>
  <c r="AY5" i="8"/>
  <c r="DM5" i="9" s="1"/>
  <c r="AW220" i="8"/>
  <c r="BA1" s="1"/>
  <c r="BA5"/>
  <c r="DO5" i="9" s="1"/>
  <c r="AX5" i="8"/>
  <c r="DJ5" i="9" s="1"/>
  <c r="AW5" i="8"/>
  <c r="DI5" i="9" s="1"/>
  <c r="AV5" i="8"/>
  <c r="DG5" i="9" s="1"/>
  <c r="AU5" i="8"/>
  <c r="DF5" i="9" s="1"/>
  <c r="AT5" i="8"/>
  <c r="DE5" i="9" s="1"/>
  <c r="AT4" i="8"/>
  <c r="DE4" i="9" s="1"/>
  <c r="AS4" i="8"/>
  <c r="DD4" i="9" s="1"/>
  <c r="AK4" i="8"/>
  <c r="CF4" i="9" s="1"/>
  <c r="AR5" i="8"/>
  <c r="CP5" i="9" s="1"/>
  <c r="AQ5" i="8"/>
  <c r="CO5" i="9" s="1"/>
  <c r="AP5" i="8"/>
  <c r="CL5" i="9" s="1"/>
  <c r="AO5" i="8"/>
  <c r="CK5" i="9" s="1"/>
  <c r="AN5" i="8"/>
  <c r="CI5" i="9" s="1"/>
  <c r="AM5" i="8"/>
  <c r="CH5" i="9" s="1"/>
  <c r="AL5" i="8"/>
  <c r="CG5" i="9" s="1"/>
  <c r="AQ4" i="8"/>
  <c r="CO4" i="9" s="1"/>
  <c r="AO4" i="8"/>
  <c r="CK4" i="9" s="1"/>
  <c r="AL4" i="8"/>
  <c r="CG4" i="9" s="1"/>
  <c r="AC4" i="8"/>
  <c r="BI4" i="9" s="1"/>
  <c r="AJ5" i="8"/>
  <c r="BS5" i="9" s="1"/>
  <c r="AI5" i="8"/>
  <c r="BR5" i="9" s="1"/>
  <c r="BO5"/>
  <c r="BN5"/>
  <c r="AF5" i="8"/>
  <c r="BL5" i="9" s="1"/>
  <c r="AE5" i="8"/>
  <c r="BK5" i="9" s="1"/>
  <c r="AD5" i="8"/>
  <c r="BJ5" i="9" s="1"/>
  <c r="AI4" i="8"/>
  <c r="BR4" i="9" s="1"/>
  <c r="AG4" i="8"/>
  <c r="BN4" i="9" s="1"/>
  <c r="AD4" i="8"/>
  <c r="BJ4" i="9" s="1"/>
  <c r="AB5" i="8"/>
  <c r="AV5" i="9" s="1"/>
  <c r="AA5" i="8"/>
  <c r="AU5" i="9" s="1"/>
  <c r="AA4" i="8"/>
  <c r="AU4" i="9" s="1"/>
  <c r="T4" i="8"/>
  <c r="AD4" i="9" s="1"/>
  <c r="Y4" i="8"/>
  <c r="AQ4" i="9" s="1"/>
  <c r="S4" i="8"/>
  <c r="AB4" i="9" s="1"/>
  <c r="X5" i="8"/>
  <c r="AO5" i="9" s="1"/>
  <c r="W5" i="8"/>
  <c r="AN5" i="9" s="1"/>
  <c r="V5" i="8"/>
  <c r="AM5" i="9" s="1"/>
  <c r="V4" i="8"/>
  <c r="AM4" i="9" s="1"/>
  <c r="R5" i="8"/>
  <c r="Z5" i="9" s="1"/>
  <c r="P5" i="8"/>
  <c r="X5" i="9" s="1"/>
  <c r="K4" i="8"/>
  <c r="J4" i="9" s="1"/>
  <c r="L5" i="8"/>
  <c r="K5" i="9" s="1"/>
  <c r="B1" i="3"/>
  <c r="DE8" i="9" l="1"/>
  <c r="C20" i="4" s="1"/>
  <c r="DM8" i="9"/>
  <c r="DF8"/>
  <c r="D20" i="4" s="1"/>
  <c r="DG8" i="9"/>
  <c r="E20" i="4" s="1"/>
  <c r="DI8" i="9"/>
  <c r="DD8"/>
  <c r="DN12"/>
  <c r="DR12" s="1"/>
  <c r="DD13"/>
  <c r="DN13"/>
  <c r="DR13" s="1"/>
  <c r="DM7"/>
  <c r="DG6"/>
  <c r="DN6"/>
  <c r="DO11"/>
  <c r="DS11" s="1"/>
  <c r="DM12"/>
  <c r="DM13"/>
  <c r="DM6"/>
  <c r="DI6"/>
  <c r="DJ6"/>
  <c r="DD11"/>
  <c r="DN11"/>
  <c r="DO7"/>
  <c r="DS7" s="1"/>
  <c r="DM11"/>
  <c r="DD12"/>
  <c r="DO12"/>
  <c r="DS12" s="1"/>
  <c r="DO13"/>
  <c r="DS13" s="1"/>
  <c r="DO6"/>
  <c r="DI7"/>
  <c r="DF6"/>
  <c r="DE6"/>
  <c r="GS132"/>
  <c r="GS152"/>
  <c r="GS188"/>
  <c r="GS203"/>
  <c r="FI19"/>
  <c r="FI21"/>
  <c r="FI27"/>
  <c r="FI29"/>
  <c r="FI31"/>
  <c r="FI33"/>
  <c r="FI35"/>
  <c r="FI37"/>
  <c r="FI43"/>
  <c r="FI45"/>
  <c r="FI47"/>
  <c r="FI49"/>
  <c r="FI51"/>
  <c r="FI53"/>
  <c r="FI59"/>
  <c r="FI61"/>
  <c r="FI63"/>
  <c r="FI65"/>
  <c r="FI67"/>
  <c r="FI69"/>
  <c r="FI75"/>
  <c r="FI77"/>
  <c r="FI79"/>
  <c r="FI81"/>
  <c r="FI83"/>
  <c r="FI85"/>
  <c r="FI91"/>
  <c r="FI93"/>
  <c r="FI95"/>
  <c r="FI97"/>
  <c r="FI99"/>
  <c r="FI101"/>
  <c r="FI107"/>
  <c r="FI109"/>
  <c r="FI111"/>
  <c r="FI113"/>
  <c r="FI115"/>
  <c r="FI117"/>
  <c r="FI123"/>
  <c r="FI125"/>
  <c r="FI127"/>
  <c r="FI129"/>
  <c r="FI131"/>
  <c r="FI133"/>
  <c r="FI139"/>
  <c r="FI141"/>
  <c r="FI143"/>
  <c r="FI145"/>
  <c r="FI147"/>
  <c r="FI149"/>
  <c r="FI155"/>
  <c r="FI157"/>
  <c r="FI159"/>
  <c r="FI161"/>
  <c r="FI167"/>
  <c r="FI169"/>
  <c r="FI175"/>
  <c r="FI177"/>
  <c r="FI183"/>
  <c r="FI187"/>
  <c r="FI195"/>
  <c r="FI199"/>
  <c r="FI203"/>
  <c r="GS40"/>
  <c r="GS49"/>
  <c r="GS73"/>
  <c r="GS81"/>
  <c r="GS83"/>
  <c r="GS138"/>
  <c r="GS181"/>
  <c r="GS187"/>
  <c r="GS189"/>
  <c r="GS199"/>
  <c r="GS46"/>
  <c r="GS124"/>
  <c r="GS174"/>
  <c r="GS180"/>
  <c r="GS201"/>
  <c r="GS197"/>
  <c r="GS65"/>
  <c r="GS116"/>
  <c r="GS125"/>
  <c r="GS153"/>
  <c r="GS193"/>
  <c r="GS68"/>
  <c r="GS77"/>
  <c r="GS105"/>
  <c r="GS119"/>
  <c r="GS150"/>
  <c r="GS196"/>
  <c r="GS70"/>
  <c r="GS191"/>
  <c r="GS43"/>
  <c r="GS108"/>
  <c r="GS137"/>
  <c r="V92"/>
  <c r="W92" s="1"/>
  <c r="EL92" s="1"/>
  <c r="GZ92"/>
  <c r="HA92" s="1"/>
  <c r="V38"/>
  <c r="W38" s="1"/>
  <c r="EL38" s="1"/>
  <c r="GZ38"/>
  <c r="HA38" s="1"/>
  <c r="V100"/>
  <c r="W100" s="1"/>
  <c r="EL100" s="1"/>
  <c r="GZ100"/>
  <c r="HA100" s="1"/>
  <c r="V116"/>
  <c r="W116" s="1"/>
  <c r="EL116" s="1"/>
  <c r="GZ116"/>
  <c r="HA116" s="1"/>
  <c r="V69"/>
  <c r="W69" s="1"/>
  <c r="EL69" s="1"/>
  <c r="GZ69"/>
  <c r="HA69" s="1"/>
  <c r="V61"/>
  <c r="W61" s="1"/>
  <c r="EL61" s="1"/>
  <c r="GZ61"/>
  <c r="HA61" s="1"/>
  <c r="V46"/>
  <c r="W46" s="1"/>
  <c r="EL46" s="1"/>
  <c r="GZ46"/>
  <c r="HA46" s="1"/>
  <c r="V77"/>
  <c r="W77" s="1"/>
  <c r="EL77" s="1"/>
  <c r="GZ77"/>
  <c r="HA77" s="1"/>
  <c r="V54"/>
  <c r="W54" s="1"/>
  <c r="EL54" s="1"/>
  <c r="GZ54"/>
  <c r="HA54" s="1"/>
  <c r="V96"/>
  <c r="W96" s="1"/>
  <c r="EL96" s="1"/>
  <c r="GZ96"/>
  <c r="HA96" s="1"/>
  <c r="V64"/>
  <c r="W64" s="1"/>
  <c r="EL64" s="1"/>
  <c r="GZ64"/>
  <c r="HA64" s="1"/>
  <c r="V128"/>
  <c r="W128" s="1"/>
  <c r="EL128" s="1"/>
  <c r="GZ128"/>
  <c r="HA128" s="1"/>
  <c r="V104"/>
  <c r="W104" s="1"/>
  <c r="EL104" s="1"/>
  <c r="GZ104"/>
  <c r="HA104" s="1"/>
  <c r="V161"/>
  <c r="W161" s="1"/>
  <c r="EL161" s="1"/>
  <c r="GZ161"/>
  <c r="HA161" s="1"/>
  <c r="V191"/>
  <c r="W191" s="1"/>
  <c r="EL191" s="1"/>
  <c r="GZ191"/>
  <c r="HA191" s="1"/>
  <c r="V196"/>
  <c r="W196" s="1"/>
  <c r="EL196" s="1"/>
  <c r="GZ196"/>
  <c r="HA196" s="1"/>
  <c r="V180"/>
  <c r="W180" s="1"/>
  <c r="EL180" s="1"/>
  <c r="GZ180"/>
  <c r="HA180" s="1"/>
  <c r="V120"/>
  <c r="W120" s="1"/>
  <c r="EL120" s="1"/>
  <c r="GZ120"/>
  <c r="HA120" s="1"/>
  <c r="V80"/>
  <c r="W80" s="1"/>
  <c r="EL80" s="1"/>
  <c r="GZ80"/>
  <c r="HA80" s="1"/>
  <c r="V48"/>
  <c r="W48" s="1"/>
  <c r="EL48" s="1"/>
  <c r="GZ48"/>
  <c r="HA48" s="1"/>
  <c r="V119"/>
  <c r="W119" s="1"/>
  <c r="EL119" s="1"/>
  <c r="GZ119"/>
  <c r="HA119" s="1"/>
  <c r="V53"/>
  <c r="W53" s="1"/>
  <c r="EL53" s="1"/>
  <c r="GZ53"/>
  <c r="HA53" s="1"/>
  <c r="V134"/>
  <c r="W134" s="1"/>
  <c r="EL134" s="1"/>
  <c r="GZ134"/>
  <c r="HA134" s="1"/>
  <c r="V164"/>
  <c r="W164" s="1"/>
  <c r="EL164" s="1"/>
  <c r="GZ164"/>
  <c r="HA164" s="1"/>
  <c r="V148"/>
  <c r="W148" s="1"/>
  <c r="EL148" s="1"/>
  <c r="GZ148"/>
  <c r="HA148" s="1"/>
  <c r="V152"/>
  <c r="W152" s="1"/>
  <c r="EL152" s="1"/>
  <c r="GZ152"/>
  <c r="HA152" s="1"/>
  <c r="V184"/>
  <c r="W184" s="1"/>
  <c r="EL184" s="1"/>
  <c r="GZ184"/>
  <c r="HA184" s="1"/>
  <c r="V176"/>
  <c r="W176" s="1"/>
  <c r="EL176" s="1"/>
  <c r="GZ176"/>
  <c r="HA176" s="1"/>
  <c r="V40"/>
  <c r="W40" s="1"/>
  <c r="EL40" s="1"/>
  <c r="GZ40"/>
  <c r="HA40" s="1"/>
  <c r="V62"/>
  <c r="W62" s="1"/>
  <c r="EL62" s="1"/>
  <c r="GZ62"/>
  <c r="HA62" s="1"/>
  <c r="V98"/>
  <c r="W98" s="1"/>
  <c r="EL98" s="1"/>
  <c r="GZ98"/>
  <c r="HA98" s="1"/>
  <c r="V132"/>
  <c r="W132" s="1"/>
  <c r="EL132" s="1"/>
  <c r="GZ132"/>
  <c r="HA132" s="1"/>
  <c r="V160"/>
  <c r="W160" s="1"/>
  <c r="EL160" s="1"/>
  <c r="GZ160"/>
  <c r="HA160" s="1"/>
  <c r="V182"/>
  <c r="W182" s="1"/>
  <c r="EL182" s="1"/>
  <c r="GZ182"/>
  <c r="HA182" s="1"/>
  <c r="V206"/>
  <c r="W206" s="1"/>
  <c r="EL206" s="1"/>
  <c r="GZ206"/>
  <c r="HA206" s="1"/>
  <c r="V65"/>
  <c r="W65" s="1"/>
  <c r="EL65" s="1"/>
  <c r="GZ65"/>
  <c r="HA65" s="1"/>
  <c r="V183"/>
  <c r="W183" s="1"/>
  <c r="EL183" s="1"/>
  <c r="GZ183"/>
  <c r="HA183" s="1"/>
  <c r="V115"/>
  <c r="W115" s="1"/>
  <c r="EL115" s="1"/>
  <c r="GZ115"/>
  <c r="HA115" s="1"/>
  <c r="V179"/>
  <c r="W179" s="1"/>
  <c r="EL179" s="1"/>
  <c r="GZ179"/>
  <c r="HA179" s="1"/>
  <c r="V55"/>
  <c r="W55" s="1"/>
  <c r="EL55" s="1"/>
  <c r="GZ55"/>
  <c r="HA55" s="1"/>
  <c r="V117"/>
  <c r="W117" s="1"/>
  <c r="EL117" s="1"/>
  <c r="GZ117"/>
  <c r="HA117" s="1"/>
  <c r="V181"/>
  <c r="W181" s="1"/>
  <c r="EL181" s="1"/>
  <c r="GZ181"/>
  <c r="HA181" s="1"/>
  <c r="V83"/>
  <c r="W83" s="1"/>
  <c r="EL83" s="1"/>
  <c r="GZ83"/>
  <c r="HA83" s="1"/>
  <c r="V145"/>
  <c r="W145" s="1"/>
  <c r="EL145" s="1"/>
  <c r="GZ145"/>
  <c r="HA145" s="1"/>
  <c r="V122"/>
  <c r="W122" s="1"/>
  <c r="EL122" s="1"/>
  <c r="GZ122"/>
  <c r="HA122" s="1"/>
  <c r="V186"/>
  <c r="W186" s="1"/>
  <c r="EL186" s="1"/>
  <c r="GZ186"/>
  <c r="HA186" s="1"/>
  <c r="V170"/>
  <c r="W170" s="1"/>
  <c r="EL170" s="1"/>
  <c r="GZ170"/>
  <c r="HA170" s="1"/>
  <c r="V82"/>
  <c r="W82" s="1"/>
  <c r="EL82" s="1"/>
  <c r="GZ82"/>
  <c r="HA82" s="1"/>
  <c r="V60"/>
  <c r="W60" s="1"/>
  <c r="EL60" s="1"/>
  <c r="GZ60"/>
  <c r="HA60" s="1"/>
  <c r="V72"/>
  <c r="W72" s="1"/>
  <c r="EL72" s="1"/>
  <c r="GZ72"/>
  <c r="HA72" s="1"/>
  <c r="V86"/>
  <c r="W86" s="1"/>
  <c r="EL86" s="1"/>
  <c r="GZ86"/>
  <c r="HA86" s="1"/>
  <c r="V140"/>
  <c r="W140" s="1"/>
  <c r="EL140" s="1"/>
  <c r="GZ140"/>
  <c r="HA140" s="1"/>
  <c r="V158"/>
  <c r="W158" s="1"/>
  <c r="EL158" s="1"/>
  <c r="GZ158"/>
  <c r="HA158" s="1"/>
  <c r="V172"/>
  <c r="W172" s="1"/>
  <c r="EL172" s="1"/>
  <c r="GZ172"/>
  <c r="HA172" s="1"/>
  <c r="V190"/>
  <c r="W190" s="1"/>
  <c r="EL190" s="1"/>
  <c r="GZ190"/>
  <c r="HA190" s="1"/>
  <c r="V204"/>
  <c r="W204" s="1"/>
  <c r="EL204" s="1"/>
  <c r="GZ204"/>
  <c r="HA204" s="1"/>
  <c r="V41"/>
  <c r="W41" s="1"/>
  <c r="EL41" s="1"/>
  <c r="GZ41"/>
  <c r="HA41" s="1"/>
  <c r="V95"/>
  <c r="W95" s="1"/>
  <c r="EL95" s="1"/>
  <c r="GZ95"/>
  <c r="HA95" s="1"/>
  <c r="V201"/>
  <c r="W201" s="1"/>
  <c r="EL201" s="1"/>
  <c r="GZ201"/>
  <c r="HA201" s="1"/>
  <c r="V107"/>
  <c r="W107" s="1"/>
  <c r="EL107" s="1"/>
  <c r="GZ107"/>
  <c r="HA107" s="1"/>
  <c r="V139"/>
  <c r="W139" s="1"/>
  <c r="EL139" s="1"/>
  <c r="GZ139"/>
  <c r="HA139" s="1"/>
  <c r="V171"/>
  <c r="W171" s="1"/>
  <c r="EL171" s="1"/>
  <c r="GZ171"/>
  <c r="HA171" s="1"/>
  <c r="V203"/>
  <c r="W203" s="1"/>
  <c r="EL203" s="1"/>
  <c r="GZ203"/>
  <c r="HA203" s="1"/>
  <c r="V47"/>
  <c r="W47" s="1"/>
  <c r="EL47" s="1"/>
  <c r="GZ47"/>
  <c r="HA47" s="1"/>
  <c r="V79"/>
  <c r="W79" s="1"/>
  <c r="EL79" s="1"/>
  <c r="GZ79"/>
  <c r="HA79" s="1"/>
  <c r="V109"/>
  <c r="W109" s="1"/>
  <c r="EL109" s="1"/>
  <c r="GZ109"/>
  <c r="HA109" s="1"/>
  <c r="V141"/>
  <c r="W141" s="1"/>
  <c r="EL141" s="1"/>
  <c r="GZ141"/>
  <c r="HA141" s="1"/>
  <c r="V173"/>
  <c r="W173" s="1"/>
  <c r="EL173" s="1"/>
  <c r="GZ173"/>
  <c r="HA173" s="1"/>
  <c r="V205"/>
  <c r="W205" s="1"/>
  <c r="EL205" s="1"/>
  <c r="GZ205"/>
  <c r="HA205" s="1"/>
  <c r="V43"/>
  <c r="W43" s="1"/>
  <c r="EL43" s="1"/>
  <c r="GZ43"/>
  <c r="HA43" s="1"/>
  <c r="V75"/>
  <c r="W75" s="1"/>
  <c r="EL75" s="1"/>
  <c r="GZ75"/>
  <c r="HA75" s="1"/>
  <c r="V105"/>
  <c r="W105" s="1"/>
  <c r="EL105" s="1"/>
  <c r="GZ105"/>
  <c r="HA105" s="1"/>
  <c r="V137"/>
  <c r="W137" s="1"/>
  <c r="EL137" s="1"/>
  <c r="GZ137"/>
  <c r="HA137" s="1"/>
  <c r="V169"/>
  <c r="W169" s="1"/>
  <c r="EL169" s="1"/>
  <c r="GZ169"/>
  <c r="HA169" s="1"/>
  <c r="V66"/>
  <c r="W66" s="1"/>
  <c r="EL66" s="1"/>
  <c r="GZ66"/>
  <c r="HA66" s="1"/>
  <c r="V159"/>
  <c r="W159" s="1"/>
  <c r="EL159" s="1"/>
  <c r="GZ159"/>
  <c r="HA159" s="1"/>
  <c r="V194"/>
  <c r="W194" s="1"/>
  <c r="EL194" s="1"/>
  <c r="GZ194"/>
  <c r="HA194" s="1"/>
  <c r="V58"/>
  <c r="W58" s="1"/>
  <c r="EL58" s="1"/>
  <c r="GZ58"/>
  <c r="HA58" s="1"/>
  <c r="V151"/>
  <c r="W151" s="1"/>
  <c r="EL151" s="1"/>
  <c r="GZ151"/>
  <c r="HA151" s="1"/>
  <c r="V45"/>
  <c r="W45" s="1"/>
  <c r="EL45" s="1"/>
  <c r="GZ45"/>
  <c r="HA45" s="1"/>
  <c r="V74"/>
  <c r="W74" s="1"/>
  <c r="EL74" s="1"/>
  <c r="GZ74"/>
  <c r="HA74" s="1"/>
  <c r="V103"/>
  <c r="W103" s="1"/>
  <c r="EL103" s="1"/>
  <c r="GZ103"/>
  <c r="HA103" s="1"/>
  <c r="V135"/>
  <c r="W135" s="1"/>
  <c r="EL135" s="1"/>
  <c r="GZ135"/>
  <c r="HA135" s="1"/>
  <c r="V167"/>
  <c r="W167" s="1"/>
  <c r="EL167" s="1"/>
  <c r="GZ167"/>
  <c r="HA167" s="1"/>
  <c r="V199"/>
  <c r="W199" s="1"/>
  <c r="EL199" s="1"/>
  <c r="GZ199"/>
  <c r="HA199" s="1"/>
  <c r="FI193"/>
  <c r="S189" i="11"/>
  <c r="ET47" i="9"/>
  <c r="ET65"/>
  <c r="GS42"/>
  <c r="GS79"/>
  <c r="GS98"/>
  <c r="GS123"/>
  <c r="GS166"/>
  <c r="GS178"/>
  <c r="GS50"/>
  <c r="O46" i="19"/>
  <c r="O17" i="4"/>
  <c r="GS58" i="9"/>
  <c r="GS64"/>
  <c r="GS67"/>
  <c r="GS82"/>
  <c r="GS89"/>
  <c r="GS107"/>
  <c r="GS114"/>
  <c r="GS126"/>
  <c r="GS136"/>
  <c r="GS145"/>
  <c r="GS146"/>
  <c r="GS163"/>
  <c r="GS175"/>
  <c r="GS182"/>
  <c r="GS74"/>
  <c r="GS86"/>
  <c r="GS102"/>
  <c r="GS118"/>
  <c r="GS164"/>
  <c r="GS205"/>
  <c r="GS56"/>
  <c r="GS62"/>
  <c r="GS72"/>
  <c r="GS103"/>
  <c r="GS110"/>
  <c r="GS113"/>
  <c r="GS133"/>
  <c r="GS154"/>
  <c r="GS159"/>
  <c r="GS160"/>
  <c r="GS176"/>
  <c r="GS184"/>
  <c r="GS186"/>
  <c r="GS198"/>
  <c r="GS204"/>
  <c r="V52"/>
  <c r="W52" s="1"/>
  <c r="EL52" s="1"/>
  <c r="GZ52"/>
  <c r="HA52" s="1"/>
  <c r="V88"/>
  <c r="W88" s="1"/>
  <c r="EL88" s="1"/>
  <c r="GZ88"/>
  <c r="HA88" s="1"/>
  <c r="V118"/>
  <c r="W118" s="1"/>
  <c r="EL118" s="1"/>
  <c r="GZ118"/>
  <c r="HA118" s="1"/>
  <c r="V150"/>
  <c r="W150" s="1"/>
  <c r="EL150" s="1"/>
  <c r="GZ150"/>
  <c r="HA150" s="1"/>
  <c r="V81"/>
  <c r="W81" s="1"/>
  <c r="EL81" s="1"/>
  <c r="GZ81"/>
  <c r="HA81" s="1"/>
  <c r="V87"/>
  <c r="W87" s="1"/>
  <c r="EL87" s="1"/>
  <c r="GZ87"/>
  <c r="HA87" s="1"/>
  <c r="V149"/>
  <c r="W149" s="1"/>
  <c r="EL149" s="1"/>
  <c r="GZ149"/>
  <c r="HA149" s="1"/>
  <c r="V51"/>
  <c r="W51" s="1"/>
  <c r="EL51" s="1"/>
  <c r="GZ51"/>
  <c r="HA51" s="1"/>
  <c r="V127"/>
  <c r="W127" s="1"/>
  <c r="EL127" s="1"/>
  <c r="GZ127"/>
  <c r="HA127" s="1"/>
  <c r="V198"/>
  <c r="W198" s="1"/>
  <c r="EL198" s="1"/>
  <c r="GZ198"/>
  <c r="HA198" s="1"/>
  <c r="V138"/>
  <c r="W138" s="1"/>
  <c r="EL138" s="1"/>
  <c r="GZ138"/>
  <c r="HA138" s="1"/>
  <c r="V202"/>
  <c r="W202" s="1"/>
  <c r="EL202" s="1"/>
  <c r="GZ202"/>
  <c r="HA202" s="1"/>
  <c r="V175"/>
  <c r="W175" s="1"/>
  <c r="EL175" s="1"/>
  <c r="GZ175"/>
  <c r="HA175" s="1"/>
  <c r="V56"/>
  <c r="W56" s="1"/>
  <c r="EL56" s="1"/>
  <c r="GZ56"/>
  <c r="HA56" s="1"/>
  <c r="V68"/>
  <c r="W68" s="1"/>
  <c r="EL68" s="1"/>
  <c r="GZ68"/>
  <c r="HA68" s="1"/>
  <c r="V84"/>
  <c r="W84" s="1"/>
  <c r="EL84" s="1"/>
  <c r="GZ84"/>
  <c r="HA84" s="1"/>
  <c r="V94"/>
  <c r="W94" s="1"/>
  <c r="EL94" s="1"/>
  <c r="GZ94"/>
  <c r="HA94" s="1"/>
  <c r="V102"/>
  <c r="W102" s="1"/>
  <c r="EL102" s="1"/>
  <c r="GZ102"/>
  <c r="HA102" s="1"/>
  <c r="V114"/>
  <c r="W114" s="1"/>
  <c r="EL114" s="1"/>
  <c r="GZ114"/>
  <c r="HA114" s="1"/>
  <c r="V124"/>
  <c r="W124" s="1"/>
  <c r="EL124" s="1"/>
  <c r="ES124" s="1"/>
  <c r="GZ124"/>
  <c r="HA124" s="1"/>
  <c r="V136"/>
  <c r="W136" s="1"/>
  <c r="EL136" s="1"/>
  <c r="GZ136"/>
  <c r="HA136" s="1"/>
  <c r="V146"/>
  <c r="W146" s="1"/>
  <c r="EL146" s="1"/>
  <c r="ER146" s="1"/>
  <c r="GZ146"/>
  <c r="HA146" s="1"/>
  <c r="V156"/>
  <c r="W156" s="1"/>
  <c r="EL156" s="1"/>
  <c r="GZ156"/>
  <c r="HA156" s="1"/>
  <c r="V168"/>
  <c r="W168" s="1"/>
  <c r="EL168" s="1"/>
  <c r="ER168" s="1"/>
  <c r="GZ168"/>
  <c r="HA168" s="1"/>
  <c r="V178"/>
  <c r="W178" s="1"/>
  <c r="EL178" s="1"/>
  <c r="GZ178"/>
  <c r="HA178" s="1"/>
  <c r="V188"/>
  <c r="W188" s="1"/>
  <c r="EL188" s="1"/>
  <c r="ER188" s="1"/>
  <c r="GZ188"/>
  <c r="HA188" s="1"/>
  <c r="V200"/>
  <c r="W200" s="1"/>
  <c r="EL200" s="1"/>
  <c r="GZ200"/>
  <c r="HA200" s="1"/>
  <c r="V39"/>
  <c r="W39" s="1"/>
  <c r="EL39" s="1"/>
  <c r="EU39" s="1"/>
  <c r="GZ39"/>
  <c r="HA39" s="1"/>
  <c r="V57"/>
  <c r="W57" s="1"/>
  <c r="EL57" s="1"/>
  <c r="GZ57"/>
  <c r="HA57" s="1"/>
  <c r="V73"/>
  <c r="W73" s="1"/>
  <c r="EL73" s="1"/>
  <c r="GZ73"/>
  <c r="HA73" s="1"/>
  <c r="V89"/>
  <c r="W89" s="1"/>
  <c r="EL89" s="1"/>
  <c r="GZ89"/>
  <c r="HA89" s="1"/>
  <c r="V143"/>
  <c r="W143" s="1"/>
  <c r="EL143" s="1"/>
  <c r="EV143" s="1"/>
  <c r="GZ143"/>
  <c r="HA143" s="1"/>
  <c r="V195"/>
  <c r="W195" s="1"/>
  <c r="EL195" s="1"/>
  <c r="GZ195"/>
  <c r="HA195" s="1"/>
  <c r="V99"/>
  <c r="W99" s="1"/>
  <c r="EL99" s="1"/>
  <c r="EU99" s="1"/>
  <c r="GZ99"/>
  <c r="HA99" s="1"/>
  <c r="V131"/>
  <c r="W131" s="1"/>
  <c r="EL131" s="1"/>
  <c r="GZ131"/>
  <c r="HA131" s="1"/>
  <c r="V163"/>
  <c r="W163" s="1"/>
  <c r="EL163" s="1"/>
  <c r="GZ163"/>
  <c r="HA163" s="1"/>
  <c r="V71"/>
  <c r="W71" s="1"/>
  <c r="EL71" s="1"/>
  <c r="GZ71"/>
  <c r="HA71" s="1"/>
  <c r="V101"/>
  <c r="W101" s="1"/>
  <c r="EL101" s="1"/>
  <c r="EU101" s="1"/>
  <c r="GZ101"/>
  <c r="HA101" s="1"/>
  <c r="V133"/>
  <c r="W133" s="1"/>
  <c r="EL133" s="1"/>
  <c r="GZ133"/>
  <c r="HA133" s="1"/>
  <c r="V165"/>
  <c r="W165" s="1"/>
  <c r="EL165" s="1"/>
  <c r="ER165" s="1"/>
  <c r="GZ165"/>
  <c r="HA165" s="1"/>
  <c r="V197"/>
  <c r="W197" s="1"/>
  <c r="EL197" s="1"/>
  <c r="GZ197"/>
  <c r="HA197" s="1"/>
  <c r="V67"/>
  <c r="W67" s="1"/>
  <c r="EL67" s="1"/>
  <c r="GZ67"/>
  <c r="HA67" s="1"/>
  <c r="V97"/>
  <c r="W97" s="1"/>
  <c r="EL97" s="1"/>
  <c r="GZ97"/>
  <c r="HA97" s="1"/>
  <c r="V129"/>
  <c r="W129" s="1"/>
  <c r="EL129" s="1"/>
  <c r="GZ129"/>
  <c r="HA129" s="1"/>
  <c r="V193"/>
  <c r="W193" s="1"/>
  <c r="EL193" s="1"/>
  <c r="GZ193"/>
  <c r="HA193" s="1"/>
  <c r="V42"/>
  <c r="W42" s="1"/>
  <c r="EL42" s="1"/>
  <c r="GZ42"/>
  <c r="HA42" s="1"/>
  <c r="V50"/>
  <c r="W50" s="1"/>
  <c r="EL50" s="1"/>
  <c r="GZ50"/>
  <c r="HA50" s="1"/>
  <c r="V44"/>
  <c r="W44" s="1"/>
  <c r="EL44" s="1"/>
  <c r="ET44" s="1"/>
  <c r="GZ44"/>
  <c r="HA44" s="1"/>
  <c r="V112"/>
  <c r="W112" s="1"/>
  <c r="EL112" s="1"/>
  <c r="GZ112"/>
  <c r="HA112" s="1"/>
  <c r="V144"/>
  <c r="W144" s="1"/>
  <c r="EL144" s="1"/>
  <c r="GZ144"/>
  <c r="HA144" s="1"/>
  <c r="V85"/>
  <c r="W85" s="1"/>
  <c r="EL85" s="1"/>
  <c r="GZ85"/>
  <c r="HA85" s="1"/>
  <c r="V123"/>
  <c r="W123" s="1"/>
  <c r="EL123" s="1"/>
  <c r="ES123" s="1"/>
  <c r="GZ123"/>
  <c r="HA123" s="1"/>
  <c r="V155"/>
  <c r="W155" s="1"/>
  <c r="EL155" s="1"/>
  <c r="GZ155"/>
  <c r="HA155" s="1"/>
  <c r="V187"/>
  <c r="W187" s="1"/>
  <c r="EL187" s="1"/>
  <c r="ER187" s="1"/>
  <c r="GZ187"/>
  <c r="HA187" s="1"/>
  <c r="V63"/>
  <c r="W63" s="1"/>
  <c r="EL63" s="1"/>
  <c r="GZ63"/>
  <c r="HA63" s="1"/>
  <c r="V93"/>
  <c r="W93" s="1"/>
  <c r="EL93" s="1"/>
  <c r="EU93" s="1"/>
  <c r="GZ93"/>
  <c r="HA93" s="1"/>
  <c r="V125"/>
  <c r="W125" s="1"/>
  <c r="EL125" s="1"/>
  <c r="GZ125"/>
  <c r="HA125" s="1"/>
  <c r="V157"/>
  <c r="W157" s="1"/>
  <c r="EL157" s="1"/>
  <c r="ER157" s="1"/>
  <c r="GZ157"/>
  <c r="HA157" s="1"/>
  <c r="V189"/>
  <c r="W189" s="1"/>
  <c r="EL189" s="1"/>
  <c r="GZ189"/>
  <c r="HA189" s="1"/>
  <c r="V59"/>
  <c r="W59" s="1"/>
  <c r="EL59" s="1"/>
  <c r="EV59" s="1"/>
  <c r="GZ59"/>
  <c r="HA59" s="1"/>
  <c r="V91"/>
  <c r="W91" s="1"/>
  <c r="EL91" s="1"/>
  <c r="GZ91"/>
  <c r="HA91" s="1"/>
  <c r="V121"/>
  <c r="W121" s="1"/>
  <c r="EL121" s="1"/>
  <c r="ET121" s="1"/>
  <c r="GZ121"/>
  <c r="HA121" s="1"/>
  <c r="V153"/>
  <c r="W153" s="1"/>
  <c r="EL153" s="1"/>
  <c r="GZ153"/>
  <c r="HA153" s="1"/>
  <c r="V185"/>
  <c r="W185" s="1"/>
  <c r="EL185" s="1"/>
  <c r="ET185" s="1"/>
  <c r="GZ185"/>
  <c r="HA185" s="1"/>
  <c r="V130"/>
  <c r="W130" s="1"/>
  <c r="EL130" s="1"/>
  <c r="GZ130"/>
  <c r="HA130" s="1"/>
  <c r="V166"/>
  <c r="W166" s="1"/>
  <c r="EL166" s="1"/>
  <c r="ER166" s="1"/>
  <c r="GZ166"/>
  <c r="HA166" s="1"/>
  <c r="V126"/>
  <c r="W126" s="1"/>
  <c r="EL126" s="1"/>
  <c r="GZ126"/>
  <c r="HA126" s="1"/>
  <c r="V78"/>
  <c r="W78" s="1"/>
  <c r="EL78" s="1"/>
  <c r="EV78" s="1"/>
  <c r="GZ78"/>
  <c r="HA78" s="1"/>
  <c r="V108"/>
  <c r="W108" s="1"/>
  <c r="EL108" s="1"/>
  <c r="GZ108"/>
  <c r="HA108" s="1"/>
  <c r="FI48"/>
  <c r="S44" i="11"/>
  <c r="FI64" i="9"/>
  <c r="S60" i="11"/>
  <c r="FI80" i="9"/>
  <c r="S76" i="11"/>
  <c r="FI96" i="9"/>
  <c r="S92" i="11"/>
  <c r="FI128" i="9"/>
  <c r="S124" i="11"/>
  <c r="FI144" i="9"/>
  <c r="S140" i="11"/>
  <c r="GS45" i="9"/>
  <c r="GS101"/>
  <c r="GS169"/>
  <c r="GS200"/>
  <c r="GS57"/>
  <c r="GS69"/>
  <c r="GS128"/>
  <c r="GS140"/>
  <c r="GS148"/>
  <c r="GS157"/>
  <c r="GS177"/>
  <c r="GS84"/>
  <c r="GS121"/>
  <c r="GS141"/>
  <c r="O43" i="19"/>
  <c r="O14" i="4"/>
  <c r="V76" i="9"/>
  <c r="W76" s="1"/>
  <c r="EL76" s="1"/>
  <c r="GZ76"/>
  <c r="HA76" s="1"/>
  <c r="V110"/>
  <c r="W110" s="1"/>
  <c r="EL110" s="1"/>
  <c r="GZ110"/>
  <c r="HA110" s="1"/>
  <c r="V142"/>
  <c r="W142" s="1"/>
  <c r="EL142" s="1"/>
  <c r="GZ142"/>
  <c r="HA142" s="1"/>
  <c r="V174"/>
  <c r="W174" s="1"/>
  <c r="EL174" s="1"/>
  <c r="GZ174"/>
  <c r="HA174" s="1"/>
  <c r="V192"/>
  <c r="W192" s="1"/>
  <c r="EL192" s="1"/>
  <c r="GZ192"/>
  <c r="HA192" s="1"/>
  <c r="V49"/>
  <c r="W49" s="1"/>
  <c r="EL49" s="1"/>
  <c r="GZ49"/>
  <c r="HA49" s="1"/>
  <c r="V111"/>
  <c r="W111" s="1"/>
  <c r="EL111" s="1"/>
  <c r="GZ111"/>
  <c r="HA111" s="1"/>
  <c r="V207"/>
  <c r="W207" s="1"/>
  <c r="EL207" s="1"/>
  <c r="GZ207"/>
  <c r="HA207" s="1"/>
  <c r="V147"/>
  <c r="W147" s="1"/>
  <c r="EL147" s="1"/>
  <c r="GZ147"/>
  <c r="HA147" s="1"/>
  <c r="V113"/>
  <c r="W113" s="1"/>
  <c r="EL113" s="1"/>
  <c r="GZ113"/>
  <c r="HA113" s="1"/>
  <c r="V177"/>
  <c r="W177" s="1"/>
  <c r="EL177" s="1"/>
  <c r="GZ177"/>
  <c r="HA177" s="1"/>
  <c r="V70"/>
  <c r="W70" s="1"/>
  <c r="EL70" s="1"/>
  <c r="GZ70"/>
  <c r="HA70" s="1"/>
  <c r="V162"/>
  <c r="W162" s="1"/>
  <c r="EL162" s="1"/>
  <c r="GZ162"/>
  <c r="HA162" s="1"/>
  <c r="V90"/>
  <c r="W90" s="1"/>
  <c r="EL90" s="1"/>
  <c r="GZ90"/>
  <c r="HA90" s="1"/>
  <c r="V154"/>
  <c r="W154" s="1"/>
  <c r="EL154" s="1"/>
  <c r="GZ154"/>
  <c r="HA154" s="1"/>
  <c r="V106"/>
  <c r="W106" s="1"/>
  <c r="EL106" s="1"/>
  <c r="GZ106"/>
  <c r="HA106" s="1"/>
  <c r="O45" i="19"/>
  <c r="O16" i="4"/>
  <c r="Q16" s="1"/>
  <c r="GS55" i="9"/>
  <c r="GS185"/>
  <c r="GS194"/>
  <c r="GS206"/>
  <c r="GS54"/>
  <c r="GS59"/>
  <c r="GS106"/>
  <c r="GS112"/>
  <c r="GS183"/>
  <c r="GS195"/>
  <c r="GS207"/>
  <c r="GS41"/>
  <c r="GS53"/>
  <c r="GS60"/>
  <c r="GS91"/>
  <c r="F21" i="18"/>
  <c r="J18"/>
  <c r="J76" i="19"/>
  <c r="BP12" i="20"/>
  <c r="DD3" i="9"/>
  <c r="DD209" s="1"/>
  <c r="B16" i="6" s="1"/>
  <c r="D20" i="19"/>
  <c r="DK7" i="9"/>
  <c r="DK3"/>
  <c r="BP13" i="20"/>
  <c r="E20" i="19"/>
  <c r="DR6" i="9"/>
  <c r="DP3"/>
  <c r="BP9" i="20"/>
  <c r="AH6" i="4"/>
  <c r="AH7" s="1"/>
  <c r="AG6"/>
  <c r="AF6"/>
  <c r="AF7" s="1"/>
  <c r="AZ6" i="19"/>
  <c r="AX6"/>
  <c r="AY6"/>
  <c r="GZ16" i="9"/>
  <c r="HA16" s="1"/>
  <c r="GZ20"/>
  <c r="HA20" s="1"/>
  <c r="GZ24"/>
  <c r="HA24" s="1"/>
  <c r="GZ28"/>
  <c r="HA28" s="1"/>
  <c r="GZ32"/>
  <c r="HA32" s="1"/>
  <c r="GZ36"/>
  <c r="HA36" s="1"/>
  <c r="GZ15"/>
  <c r="HA15" s="1"/>
  <c r="GZ19"/>
  <c r="HA19" s="1"/>
  <c r="GZ23"/>
  <c r="HA23" s="1"/>
  <c r="GZ27"/>
  <c r="HA27" s="1"/>
  <c r="GZ31"/>
  <c r="HA31" s="1"/>
  <c r="GZ35"/>
  <c r="HA35" s="1"/>
  <c r="GZ10"/>
  <c r="GZ14"/>
  <c r="GZ18"/>
  <c r="HA18" s="1"/>
  <c r="GZ22"/>
  <c r="HA22" s="1"/>
  <c r="GZ26"/>
  <c r="HA26" s="1"/>
  <c r="GZ30"/>
  <c r="HA30" s="1"/>
  <c r="GZ34"/>
  <c r="HA34" s="1"/>
  <c r="GZ9"/>
  <c r="HA9" s="1"/>
  <c r="GZ17"/>
  <c r="HA17" s="1"/>
  <c r="GZ21"/>
  <c r="HA21" s="1"/>
  <c r="GZ25"/>
  <c r="HA25" s="1"/>
  <c r="GZ29"/>
  <c r="HA29" s="1"/>
  <c r="GZ33"/>
  <c r="HA33" s="1"/>
  <c r="GZ37"/>
  <c r="HA37" s="1"/>
  <c r="M21" i="18"/>
  <c r="K21"/>
  <c r="O21"/>
  <c r="L21"/>
  <c r="N21"/>
  <c r="AE21" i="19"/>
  <c r="AX213" i="9"/>
  <c r="H9" i="6" s="1"/>
  <c r="AV215" i="9"/>
  <c r="AY213"/>
  <c r="I9" i="6" s="1"/>
  <c r="AV211" i="9"/>
  <c r="AV214" s="1"/>
  <c r="AW213"/>
  <c r="G9" i="6" s="1"/>
  <c r="ER71" i="9"/>
  <c r="EV71"/>
  <c r="ES71"/>
  <c r="EU71"/>
  <c r="ET101"/>
  <c r="ES101"/>
  <c r="ET99"/>
  <c r="ES99"/>
  <c r="ER99"/>
  <c r="EV165"/>
  <c r="ET165"/>
  <c r="ET131"/>
  <c r="EU131"/>
  <c r="ER131"/>
  <c r="ES131"/>
  <c r="EV131"/>
  <c r="ER60"/>
  <c r="EV60"/>
  <c r="ES60"/>
  <c r="EU60"/>
  <c r="ER104"/>
  <c r="EV104"/>
  <c r="ET104"/>
  <c r="ES104"/>
  <c r="EU104"/>
  <c r="EU140"/>
  <c r="EV140"/>
  <c r="ET140"/>
  <c r="ER140"/>
  <c r="ES46"/>
  <c r="EV46"/>
  <c r="ER46"/>
  <c r="EU46"/>
  <c r="ER68"/>
  <c r="EV68"/>
  <c r="ES68"/>
  <c r="EU68"/>
  <c r="ET94"/>
  <c r="ER94"/>
  <c r="ES94"/>
  <c r="EU94"/>
  <c r="ET114"/>
  <c r="ER114"/>
  <c r="EV114"/>
  <c r="ES114"/>
  <c r="ET124"/>
  <c r="ER124"/>
  <c r="ET136"/>
  <c r="ER136"/>
  <c r="ES136"/>
  <c r="EV136"/>
  <c r="EU146"/>
  <c r="ET146"/>
  <c r="EU156"/>
  <c r="EV156"/>
  <c r="ET156"/>
  <c r="ER156"/>
  <c r="EU168"/>
  <c r="EV168"/>
  <c r="EU178"/>
  <c r="ET178"/>
  <c r="EV178"/>
  <c r="ER178"/>
  <c r="EU188"/>
  <c r="EV188"/>
  <c r="EU200"/>
  <c r="EV200"/>
  <c r="ET200"/>
  <c r="ER200"/>
  <c r="ES39"/>
  <c r="EV39"/>
  <c r="ER57"/>
  <c r="EU57"/>
  <c r="EV57"/>
  <c r="ES57"/>
  <c r="ER85"/>
  <c r="EU85"/>
  <c r="EV85"/>
  <c r="ES85"/>
  <c r="EU143"/>
  <c r="ET143"/>
  <c r="EU191"/>
  <c r="ET191"/>
  <c r="ER191"/>
  <c r="EV191"/>
  <c r="ET123"/>
  <c r="EU123"/>
  <c r="EV123"/>
  <c r="EU155"/>
  <c r="ET155"/>
  <c r="ER155"/>
  <c r="EV155"/>
  <c r="EU187"/>
  <c r="EV187"/>
  <c r="ER63"/>
  <c r="EV63"/>
  <c r="ES63"/>
  <c r="EU63"/>
  <c r="ET93"/>
  <c r="ES93"/>
  <c r="ET125"/>
  <c r="EU125"/>
  <c r="EV125"/>
  <c r="ES125"/>
  <c r="ER125"/>
  <c r="EV157"/>
  <c r="ET157"/>
  <c r="EU189"/>
  <c r="ER189"/>
  <c r="EV189"/>
  <c r="ET189"/>
  <c r="ES59"/>
  <c r="EU59"/>
  <c r="ET91"/>
  <c r="EV91"/>
  <c r="ER91"/>
  <c r="EU91"/>
  <c r="ES91"/>
  <c r="EU121"/>
  <c r="ES121"/>
  <c r="EU153"/>
  <c r="ER153"/>
  <c r="EV153"/>
  <c r="ET153"/>
  <c r="EU185"/>
  <c r="ER185"/>
  <c r="ET130"/>
  <c r="ER130"/>
  <c r="EV130"/>
  <c r="ES130"/>
  <c r="EU166"/>
  <c r="ET166"/>
  <c r="ET126"/>
  <c r="ER126"/>
  <c r="EV126"/>
  <c r="ES126"/>
  <c r="ER78"/>
  <c r="ES78"/>
  <c r="ET108"/>
  <c r="ER108"/>
  <c r="EV108"/>
  <c r="ES108"/>
  <c r="ES141"/>
  <c r="ES145"/>
  <c r="ES149"/>
  <c r="ES153"/>
  <c r="ES157"/>
  <c r="ES161"/>
  <c r="ES165"/>
  <c r="ES169"/>
  <c r="ES173"/>
  <c r="ES177"/>
  <c r="ES181"/>
  <c r="ES188"/>
  <c r="ES192"/>
  <c r="ES196"/>
  <c r="ES200"/>
  <c r="ES204"/>
  <c r="ET40"/>
  <c r="ET41"/>
  <c r="ET45"/>
  <c r="ET48"/>
  <c r="ET49"/>
  <c r="ET52"/>
  <c r="ET53"/>
  <c r="ET56"/>
  <c r="ET57"/>
  <c r="ET60"/>
  <c r="ET61"/>
  <c r="ET64"/>
  <c r="ET71"/>
  <c r="ET82"/>
  <c r="EU118"/>
  <c r="EU120"/>
  <c r="EU122"/>
  <c r="EU124"/>
  <c r="EU126"/>
  <c r="EU128"/>
  <c r="EU130"/>
  <c r="EU132"/>
  <c r="EU134"/>
  <c r="EU136"/>
  <c r="FI12"/>
  <c r="FI18"/>
  <c r="FI20"/>
  <c r="FI24"/>
  <c r="FI28"/>
  <c r="FI30"/>
  <c r="FI32"/>
  <c r="FI36"/>
  <c r="FI40"/>
  <c r="FI44"/>
  <c r="FI46"/>
  <c r="FI52"/>
  <c r="FI56"/>
  <c r="FI60"/>
  <c r="FI62"/>
  <c r="FI70"/>
  <c r="FI74"/>
  <c r="FI76"/>
  <c r="FI78"/>
  <c r="FI88"/>
  <c r="FI92"/>
  <c r="FI94"/>
  <c r="FI100"/>
  <c r="FI104"/>
  <c r="FI108"/>
  <c r="FI110"/>
  <c r="FI112"/>
  <c r="FI116"/>
  <c r="FI120"/>
  <c r="FI124"/>
  <c r="FI126"/>
  <c r="FI132"/>
  <c r="FI136"/>
  <c r="FI140"/>
  <c r="FI142"/>
  <c r="FI148"/>
  <c r="FI152"/>
  <c r="FI156"/>
  <c r="FI158"/>
  <c r="FI160"/>
  <c r="FI168"/>
  <c r="FI176"/>
  <c r="FI184"/>
  <c r="FI186"/>
  <c r="FI200"/>
  <c r="FI202"/>
  <c r="ER72"/>
  <c r="EV72"/>
  <c r="ES72"/>
  <c r="EU72"/>
  <c r="ER96"/>
  <c r="EV96"/>
  <c r="ET96"/>
  <c r="ES96"/>
  <c r="EU96"/>
  <c r="ET128"/>
  <c r="ER128"/>
  <c r="ES128"/>
  <c r="EV128"/>
  <c r="ER56"/>
  <c r="EV56"/>
  <c r="ES56"/>
  <c r="EU56"/>
  <c r="ER84"/>
  <c r="EV84"/>
  <c r="ES84"/>
  <c r="EU84"/>
  <c r="ET102"/>
  <c r="ER102"/>
  <c r="ES102"/>
  <c r="EU102"/>
  <c r="ES44"/>
  <c r="EV44"/>
  <c r="ER44"/>
  <c r="EU44"/>
  <c r="ER54"/>
  <c r="ES54"/>
  <c r="EU54"/>
  <c r="EV54"/>
  <c r="ER64"/>
  <c r="EV64"/>
  <c r="ES64"/>
  <c r="EU64"/>
  <c r="ER80"/>
  <c r="EV80"/>
  <c r="ES80"/>
  <c r="EU80"/>
  <c r="ER92"/>
  <c r="EV92"/>
  <c r="ET92"/>
  <c r="EU92"/>
  <c r="ES92"/>
  <c r="ER100"/>
  <c r="EV100"/>
  <c r="ET100"/>
  <c r="EU100"/>
  <c r="ES100"/>
  <c r="ET112"/>
  <c r="ER112"/>
  <c r="ES112"/>
  <c r="EV112"/>
  <c r="ET120"/>
  <c r="ER120"/>
  <c r="ES120"/>
  <c r="EV120"/>
  <c r="ET134"/>
  <c r="ER134"/>
  <c r="EV134"/>
  <c r="ES134"/>
  <c r="EU144"/>
  <c r="EV144"/>
  <c r="ET144"/>
  <c r="ER144"/>
  <c r="EU152"/>
  <c r="EV152"/>
  <c r="ET152"/>
  <c r="ER152"/>
  <c r="EU164"/>
  <c r="EV164"/>
  <c r="ET164"/>
  <c r="ER164"/>
  <c r="EU176"/>
  <c r="EV176"/>
  <c r="ET176"/>
  <c r="ER176"/>
  <c r="EU184"/>
  <c r="EV184"/>
  <c r="ET184"/>
  <c r="ER184"/>
  <c r="EU196"/>
  <c r="EV196"/>
  <c r="ET196"/>
  <c r="ER196"/>
  <c r="ER53"/>
  <c r="EU53"/>
  <c r="EV53"/>
  <c r="ES53"/>
  <c r="ER69"/>
  <c r="EU69"/>
  <c r="EV69"/>
  <c r="ES69"/>
  <c r="ER81"/>
  <c r="EU81"/>
  <c r="EV81"/>
  <c r="ES81"/>
  <c r="EU183"/>
  <c r="ET183"/>
  <c r="ER183"/>
  <c r="EV183"/>
  <c r="EU207"/>
  <c r="ET207"/>
  <c r="ER207"/>
  <c r="EV207"/>
  <c r="ET115"/>
  <c r="EU115"/>
  <c r="ER115"/>
  <c r="ES115"/>
  <c r="EV115"/>
  <c r="EU147"/>
  <c r="ET147"/>
  <c r="ER147"/>
  <c r="EV147"/>
  <c r="EU179"/>
  <c r="ET179"/>
  <c r="ER179"/>
  <c r="EV179"/>
  <c r="ER55"/>
  <c r="EV55"/>
  <c r="ES55"/>
  <c r="EU55"/>
  <c r="ER87"/>
  <c r="EV87"/>
  <c r="ES87"/>
  <c r="EU87"/>
  <c r="ET117"/>
  <c r="EU117"/>
  <c r="EV117"/>
  <c r="ES117"/>
  <c r="ER117"/>
  <c r="EU149"/>
  <c r="ER149"/>
  <c r="EV149"/>
  <c r="ET149"/>
  <c r="EU181"/>
  <c r="ER181"/>
  <c r="EV181"/>
  <c r="ET181"/>
  <c r="ER51"/>
  <c r="EV51"/>
  <c r="ES51"/>
  <c r="EU51"/>
  <c r="ER83"/>
  <c r="EV83"/>
  <c r="ES83"/>
  <c r="EU83"/>
  <c r="ET113"/>
  <c r="EU113"/>
  <c r="ES113"/>
  <c r="EV113"/>
  <c r="ER113"/>
  <c r="EU145"/>
  <c r="ER145"/>
  <c r="EV145"/>
  <c r="ET145"/>
  <c r="EU177"/>
  <c r="ER177"/>
  <c r="EV177"/>
  <c r="ET177"/>
  <c r="ER70"/>
  <c r="ES70"/>
  <c r="EU70"/>
  <c r="EV70"/>
  <c r="ET127"/>
  <c r="EU127"/>
  <c r="ER127"/>
  <c r="EV127"/>
  <c r="ES127"/>
  <c r="EU162"/>
  <c r="ET162"/>
  <c r="EV162"/>
  <c r="ER162"/>
  <c r="EU198"/>
  <c r="ET198"/>
  <c r="EV198"/>
  <c r="ER198"/>
  <c r="ER90"/>
  <c r="ET90"/>
  <c r="EU90"/>
  <c r="ES90"/>
  <c r="ET122"/>
  <c r="ER122"/>
  <c r="EV122"/>
  <c r="ES122"/>
  <c r="EU154"/>
  <c r="ET154"/>
  <c r="EV154"/>
  <c r="ER154"/>
  <c r="EU186"/>
  <c r="ET186"/>
  <c r="EV186"/>
  <c r="ER186"/>
  <c r="ER106"/>
  <c r="ET106"/>
  <c r="EU106"/>
  <c r="ES106"/>
  <c r="EU138"/>
  <c r="ET138"/>
  <c r="EV138"/>
  <c r="ER138"/>
  <c r="EU170"/>
  <c r="ET170"/>
  <c r="EV170"/>
  <c r="ER170"/>
  <c r="EU202"/>
  <c r="ET202"/>
  <c r="EV202"/>
  <c r="ER202"/>
  <c r="ER82"/>
  <c r="ES82"/>
  <c r="EU82"/>
  <c r="EV82"/>
  <c r="EU175"/>
  <c r="ET175"/>
  <c r="ER175"/>
  <c r="EV175"/>
  <c r="ES138"/>
  <c r="ES142"/>
  <c r="ES146"/>
  <c r="ES150"/>
  <c r="ES154"/>
  <c r="ES158"/>
  <c r="ES162"/>
  <c r="ES166"/>
  <c r="ES170"/>
  <c r="ES174"/>
  <c r="ES178"/>
  <c r="ES182"/>
  <c r="ES186"/>
  <c r="ES189"/>
  <c r="ES193"/>
  <c r="ES197"/>
  <c r="ES201"/>
  <c r="ES205"/>
  <c r="ET68"/>
  <c r="ET69"/>
  <c r="ET72"/>
  <c r="ET73"/>
  <c r="ET79"/>
  <c r="ET86"/>
  <c r="EV90"/>
  <c r="EV94"/>
  <c r="EV98"/>
  <c r="ES48"/>
  <c r="EV48"/>
  <c r="ER48"/>
  <c r="EU48"/>
  <c r="ES40"/>
  <c r="EV40"/>
  <c r="ER40"/>
  <c r="EU40"/>
  <c r="ER52"/>
  <c r="EV52"/>
  <c r="ES52"/>
  <c r="EU52"/>
  <c r="ER62"/>
  <c r="ES62"/>
  <c r="EU62"/>
  <c r="EV62"/>
  <c r="ER76"/>
  <c r="EV76"/>
  <c r="ES76"/>
  <c r="EU76"/>
  <c r="ER88"/>
  <c r="EV88"/>
  <c r="ES88"/>
  <c r="EU88"/>
  <c r="ER98"/>
  <c r="ET98"/>
  <c r="EU98"/>
  <c r="ES98"/>
  <c r="ET110"/>
  <c r="ER110"/>
  <c r="EV110"/>
  <c r="ES110"/>
  <c r="ET118"/>
  <c r="ER118"/>
  <c r="EV118"/>
  <c r="ES118"/>
  <c r="ET132"/>
  <c r="ER132"/>
  <c r="EV132"/>
  <c r="ES132"/>
  <c r="EU142"/>
  <c r="ET142"/>
  <c r="EV142"/>
  <c r="ER142"/>
  <c r="EU150"/>
  <c r="ET150"/>
  <c r="EV150"/>
  <c r="ER150"/>
  <c r="EU160"/>
  <c r="EV160"/>
  <c r="ET160"/>
  <c r="ER160"/>
  <c r="EU174"/>
  <c r="ET174"/>
  <c r="EV174"/>
  <c r="ER174"/>
  <c r="EU182"/>
  <c r="ET182"/>
  <c r="EV182"/>
  <c r="ER182"/>
  <c r="EU192"/>
  <c r="EV192"/>
  <c r="ET192"/>
  <c r="ER192"/>
  <c r="EU206"/>
  <c r="ET206"/>
  <c r="EV206"/>
  <c r="ER206"/>
  <c r="ES49"/>
  <c r="EV49"/>
  <c r="ER49"/>
  <c r="EU49"/>
  <c r="ER65"/>
  <c r="EU65"/>
  <c r="EV65"/>
  <c r="ES65"/>
  <c r="ER77"/>
  <c r="EU77"/>
  <c r="EV77"/>
  <c r="ES77"/>
  <c r="ET95"/>
  <c r="EV95"/>
  <c r="ES95"/>
  <c r="ER95"/>
  <c r="EU95"/>
  <c r="ET119"/>
  <c r="EU119"/>
  <c r="ER119"/>
  <c r="EV119"/>
  <c r="ES119"/>
  <c r="EU201"/>
  <c r="ER201"/>
  <c r="EV201"/>
  <c r="ET201"/>
  <c r="ET107"/>
  <c r="EU107"/>
  <c r="ER107"/>
  <c r="ES107"/>
  <c r="EV107"/>
  <c r="EU139"/>
  <c r="ET139"/>
  <c r="ER139"/>
  <c r="EV139"/>
  <c r="EU171"/>
  <c r="ET171"/>
  <c r="ER171"/>
  <c r="EV171"/>
  <c r="EU203"/>
  <c r="ET203"/>
  <c r="ER203"/>
  <c r="EV203"/>
  <c r="ES47"/>
  <c r="EV47"/>
  <c r="ER47"/>
  <c r="EU47"/>
  <c r="ER79"/>
  <c r="EV79"/>
  <c r="ES79"/>
  <c r="EU79"/>
  <c r="ET109"/>
  <c r="EU109"/>
  <c r="EV109"/>
  <c r="ES109"/>
  <c r="ER109"/>
  <c r="EU141"/>
  <c r="ER141"/>
  <c r="EV141"/>
  <c r="ET141"/>
  <c r="EU173"/>
  <c r="ER173"/>
  <c r="EV173"/>
  <c r="ET173"/>
  <c r="EU205"/>
  <c r="ER205"/>
  <c r="EV205"/>
  <c r="ET205"/>
  <c r="ES43"/>
  <c r="EV43"/>
  <c r="ER43"/>
  <c r="EU43"/>
  <c r="ER75"/>
  <c r="EV75"/>
  <c r="ES75"/>
  <c r="EU75"/>
  <c r="ET105"/>
  <c r="ER105"/>
  <c r="EU105"/>
  <c r="ES105"/>
  <c r="ET137"/>
  <c r="EU137"/>
  <c r="ES137"/>
  <c r="EV137"/>
  <c r="ER137"/>
  <c r="EU169"/>
  <c r="ER169"/>
  <c r="EV169"/>
  <c r="ET169"/>
  <c r="ER66"/>
  <c r="ES66"/>
  <c r="EU66"/>
  <c r="EV66"/>
  <c r="EU159"/>
  <c r="ET159"/>
  <c r="ER159"/>
  <c r="EV159"/>
  <c r="EU194"/>
  <c r="ET194"/>
  <c r="EV194"/>
  <c r="ER194"/>
  <c r="ER58"/>
  <c r="ES58"/>
  <c r="EU58"/>
  <c r="EV58"/>
  <c r="EU151"/>
  <c r="ET151"/>
  <c r="ER151"/>
  <c r="EV151"/>
  <c r="ES45"/>
  <c r="EV45"/>
  <c r="ER45"/>
  <c r="EU45"/>
  <c r="ER74"/>
  <c r="ES74"/>
  <c r="EU74"/>
  <c r="EV74"/>
  <c r="ET103"/>
  <c r="EV103"/>
  <c r="ES103"/>
  <c r="EU103"/>
  <c r="ER103"/>
  <c r="ET135"/>
  <c r="EU135"/>
  <c r="ER135"/>
  <c r="EV135"/>
  <c r="ES135"/>
  <c r="EU167"/>
  <c r="ET167"/>
  <c r="ER167"/>
  <c r="EV167"/>
  <c r="EU199"/>
  <c r="ET199"/>
  <c r="ER199"/>
  <c r="EV199"/>
  <c r="ES139"/>
  <c r="ES143"/>
  <c r="ES147"/>
  <c r="ES151"/>
  <c r="ES155"/>
  <c r="ES159"/>
  <c r="ES163"/>
  <c r="ES167"/>
  <c r="ES171"/>
  <c r="ES175"/>
  <c r="ES179"/>
  <c r="ES183"/>
  <c r="ES190"/>
  <c r="ES194"/>
  <c r="ES198"/>
  <c r="ES202"/>
  <c r="ES206"/>
  <c r="ET75"/>
  <c r="ET67"/>
  <c r="ET38"/>
  <c r="ET42"/>
  <c r="ET46"/>
  <c r="ET50"/>
  <c r="ET54"/>
  <c r="ET58"/>
  <c r="ET62"/>
  <c r="ET66"/>
  <c r="ET76"/>
  <c r="ET77"/>
  <c r="ET80"/>
  <c r="ET81"/>
  <c r="ET87"/>
  <c r="EV101"/>
  <c r="EV102"/>
  <c r="EV105"/>
  <c r="EV106"/>
  <c r="FI11"/>
  <c r="FI23"/>
  <c r="FI25"/>
  <c r="FI39"/>
  <c r="FI41"/>
  <c r="FI55"/>
  <c r="FI57"/>
  <c r="FI71"/>
  <c r="FI73"/>
  <c r="FI87"/>
  <c r="FI89"/>
  <c r="FI103"/>
  <c r="FI105"/>
  <c r="FI119"/>
  <c r="FI121"/>
  <c r="FI135"/>
  <c r="FI137"/>
  <c r="FI151"/>
  <c r="FI153"/>
  <c r="FI163"/>
  <c r="FI165"/>
  <c r="FI171"/>
  <c r="FI173"/>
  <c r="FI179"/>
  <c r="FI181"/>
  <c r="FI185"/>
  <c r="FI189"/>
  <c r="FI191"/>
  <c r="FI197"/>
  <c r="FI201"/>
  <c r="FI205"/>
  <c r="FI207"/>
  <c r="ES38"/>
  <c r="EV38"/>
  <c r="ER38"/>
  <c r="EU38"/>
  <c r="ER86"/>
  <c r="ES86"/>
  <c r="EU86"/>
  <c r="EV86"/>
  <c r="ET116"/>
  <c r="ER116"/>
  <c r="EV116"/>
  <c r="ES116"/>
  <c r="EU148"/>
  <c r="EV148"/>
  <c r="ET148"/>
  <c r="ER148"/>
  <c r="EU158"/>
  <c r="ET158"/>
  <c r="EV158"/>
  <c r="ER158"/>
  <c r="EU172"/>
  <c r="EV172"/>
  <c r="ET172"/>
  <c r="ER172"/>
  <c r="EU180"/>
  <c r="EV180"/>
  <c r="ET180"/>
  <c r="ER180"/>
  <c r="EU190"/>
  <c r="ET190"/>
  <c r="EV190"/>
  <c r="ER190"/>
  <c r="EU204"/>
  <c r="EV204"/>
  <c r="ET204"/>
  <c r="ER204"/>
  <c r="ES41"/>
  <c r="EV41"/>
  <c r="ER41"/>
  <c r="EU41"/>
  <c r="ER61"/>
  <c r="EU61"/>
  <c r="EV61"/>
  <c r="ES61"/>
  <c r="ER73"/>
  <c r="EU73"/>
  <c r="EV73"/>
  <c r="ES73"/>
  <c r="ER89"/>
  <c r="EU89"/>
  <c r="ET89"/>
  <c r="ES89"/>
  <c r="ET111"/>
  <c r="EU111"/>
  <c r="ER111"/>
  <c r="EV111"/>
  <c r="ES111"/>
  <c r="EU161"/>
  <c r="ER161"/>
  <c r="EV161"/>
  <c r="ET161"/>
  <c r="EU195"/>
  <c r="ET195"/>
  <c r="ER195"/>
  <c r="EV195"/>
  <c r="EU163"/>
  <c r="ET163"/>
  <c r="ER163"/>
  <c r="EV163"/>
  <c r="ET133"/>
  <c r="EU133"/>
  <c r="EV133"/>
  <c r="ES133"/>
  <c r="ER133"/>
  <c r="EU197"/>
  <c r="ER197"/>
  <c r="EV197"/>
  <c r="ET197"/>
  <c r="ER67"/>
  <c r="EV67"/>
  <c r="ES67"/>
  <c r="EU67"/>
  <c r="ET97"/>
  <c r="ER97"/>
  <c r="EU97"/>
  <c r="ES97"/>
  <c r="ET129"/>
  <c r="EU129"/>
  <c r="ES129"/>
  <c r="EV129"/>
  <c r="ER129"/>
  <c r="EU193"/>
  <c r="ER193"/>
  <c r="EV193"/>
  <c r="ET193"/>
  <c r="ES42"/>
  <c r="EV42"/>
  <c r="ER42"/>
  <c r="EU42"/>
  <c r="ES50"/>
  <c r="EV50"/>
  <c r="ER50"/>
  <c r="EU50"/>
  <c r="ES140"/>
  <c r="ES144"/>
  <c r="ES148"/>
  <c r="ES152"/>
  <c r="ES156"/>
  <c r="ES160"/>
  <c r="ES164"/>
  <c r="ES168"/>
  <c r="ES172"/>
  <c r="ES176"/>
  <c r="ES180"/>
  <c r="ES184"/>
  <c r="ES187"/>
  <c r="ES191"/>
  <c r="ES195"/>
  <c r="ES199"/>
  <c r="ES203"/>
  <c r="ES207"/>
  <c r="ET83"/>
  <c r="ET39"/>
  <c r="ET43"/>
  <c r="ET51"/>
  <c r="ET55"/>
  <c r="ET59"/>
  <c r="ET63"/>
  <c r="ET70"/>
  <c r="ET74"/>
  <c r="ET84"/>
  <c r="ET85"/>
  <c r="ET88"/>
  <c r="EV89"/>
  <c r="EV93"/>
  <c r="EV97"/>
  <c r="EU108"/>
  <c r="EU110"/>
  <c r="EU112"/>
  <c r="EU114"/>
  <c r="EU116"/>
  <c r="T13"/>
  <c r="T9"/>
  <c r="T17"/>
  <c r="T14"/>
  <c r="T26"/>
  <c r="T34"/>
  <c r="T11"/>
  <c r="T33"/>
  <c r="T16"/>
  <c r="T32"/>
  <c r="T10"/>
  <c r="T15"/>
  <c r="T23"/>
  <c r="T31"/>
  <c r="T25"/>
  <c r="T24"/>
  <c r="T18"/>
  <c r="T30"/>
  <c r="T22"/>
  <c r="T21"/>
  <c r="T29"/>
  <c r="T37"/>
  <c r="T12"/>
  <c r="T20"/>
  <c r="T28"/>
  <c r="T36"/>
  <c r="T19"/>
  <c r="T27"/>
  <c r="T35"/>
  <c r="A10" i="8"/>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9"/>
  <c r="J8"/>
  <c r="D8"/>
  <c r="AB67" i="7"/>
  <c r="AB66"/>
  <c r="AB64"/>
  <c r="AB65"/>
  <c r="AB55"/>
  <c r="AB56"/>
  <c r="AB57"/>
  <c r="AB58"/>
  <c r="AB59"/>
  <c r="AB60"/>
  <c r="AB61"/>
  <c r="AB62"/>
  <c r="AB63"/>
  <c r="AB54"/>
  <c r="AB45"/>
  <c r="AB46"/>
  <c r="AB47"/>
  <c r="AB48"/>
  <c r="AB49"/>
  <c r="AB50"/>
  <c r="AB51"/>
  <c r="AB52"/>
  <c r="AB53"/>
  <c r="AB44"/>
  <c r="AB40"/>
  <c r="AB41"/>
  <c r="AB42"/>
  <c r="AB43"/>
  <c r="AB39"/>
  <c r="G21"/>
  <c r="BE1" i="8" s="1"/>
  <c r="G20" i="7"/>
  <c r="G4"/>
  <c r="H4"/>
  <c r="K6" i="11" l="1"/>
  <c r="HA10" i="9"/>
  <c r="K10" i="11"/>
  <c r="HA14" i="9"/>
  <c r="DV8"/>
  <c r="G20" i="4"/>
  <c r="DQ11" i="9"/>
  <c r="DP13"/>
  <c r="DT13" s="1"/>
  <c r="DQ13"/>
  <c r="DP11"/>
  <c r="DT11" s="1"/>
  <c r="DR11"/>
  <c r="DP12"/>
  <c r="DT12" s="1"/>
  <c r="DQ12"/>
  <c r="O50" i="19"/>
  <c r="EU78" i="9"/>
  <c r="EV166"/>
  <c r="EV185"/>
  <c r="EV121"/>
  <c r="ER59"/>
  <c r="EU157"/>
  <c r="ER93"/>
  <c r="ET187"/>
  <c r="ER123"/>
  <c r="ER143"/>
  <c r="ER39"/>
  <c r="ET188"/>
  <c r="ET168"/>
  <c r="EV146"/>
  <c r="EV124"/>
  <c r="EU165"/>
  <c r="EV99"/>
  <c r="ER101"/>
  <c r="ET78"/>
  <c r="ES185"/>
  <c r="ER121"/>
  <c r="K11" i="11"/>
  <c r="BP34" i="20"/>
  <c r="BP55"/>
  <c r="BP71"/>
  <c r="BP87"/>
  <c r="BP103"/>
  <c r="BP119"/>
  <c r="BP135"/>
  <c r="BP151"/>
  <c r="BP167"/>
  <c r="BP181"/>
  <c r="BP197"/>
  <c r="BP31"/>
  <c r="BP44"/>
  <c r="BP53"/>
  <c r="BP69"/>
  <c r="BP85"/>
  <c r="BP101"/>
  <c r="BP117"/>
  <c r="BP133"/>
  <c r="BP149"/>
  <c r="BP165"/>
  <c r="BP180"/>
  <c r="BP193"/>
  <c r="BP20"/>
  <c r="BP35"/>
  <c r="BP47"/>
  <c r="BP63"/>
  <c r="BP79"/>
  <c r="BP95"/>
  <c r="BP111"/>
  <c r="BP127"/>
  <c r="BP143"/>
  <c r="BP159"/>
  <c r="BP175"/>
  <c r="BP194"/>
  <c r="BP30"/>
  <c r="BP56"/>
  <c r="BP72"/>
  <c r="BP88"/>
  <c r="BP104"/>
  <c r="BP120"/>
  <c r="BP136"/>
  <c r="BP152"/>
  <c r="BP168"/>
  <c r="BP190"/>
  <c r="BP208"/>
  <c r="BP203"/>
  <c r="BP41"/>
  <c r="BP60"/>
  <c r="BP92"/>
  <c r="BP124"/>
  <c r="BP156"/>
  <c r="BP186"/>
  <c r="BP38"/>
  <c r="BP46"/>
  <c r="BP107"/>
  <c r="BP198"/>
  <c r="BP26"/>
  <c r="BP37"/>
  <c r="BP132"/>
  <c r="BP58"/>
  <c r="BP192"/>
  <c r="BP27"/>
  <c r="BP49"/>
  <c r="BP65"/>
  <c r="BP81"/>
  <c r="BP97"/>
  <c r="BP113"/>
  <c r="BP129"/>
  <c r="BP145"/>
  <c r="BP161"/>
  <c r="BP177"/>
  <c r="BP191"/>
  <c r="BP29"/>
  <c r="BP42"/>
  <c r="BP50"/>
  <c r="BP66"/>
  <c r="BP82"/>
  <c r="BP98"/>
  <c r="BP114"/>
  <c r="BP130"/>
  <c r="BP146"/>
  <c r="BP162"/>
  <c r="BP178"/>
  <c r="BP187"/>
  <c r="BP202"/>
  <c r="BP33"/>
  <c r="BP43"/>
  <c r="BP57"/>
  <c r="BP73"/>
  <c r="BP89"/>
  <c r="BP105"/>
  <c r="BP121"/>
  <c r="BP137"/>
  <c r="BP153"/>
  <c r="BP169"/>
  <c r="BP189"/>
  <c r="BP23"/>
  <c r="BP51"/>
  <c r="BP67"/>
  <c r="BP83"/>
  <c r="BP99"/>
  <c r="BP115"/>
  <c r="BP131"/>
  <c r="BP147"/>
  <c r="BP163"/>
  <c r="BP185"/>
  <c r="BP201"/>
  <c r="BP204"/>
  <c r="BP22"/>
  <c r="BP172"/>
  <c r="BP91"/>
  <c r="BP123"/>
  <c r="BP171"/>
  <c r="BP68"/>
  <c r="BP100"/>
  <c r="BP164"/>
  <c r="BP32"/>
  <c r="BP74"/>
  <c r="BP170"/>
  <c r="BP25"/>
  <c r="BP45"/>
  <c r="BP62"/>
  <c r="BP78"/>
  <c r="BP94"/>
  <c r="BP110"/>
  <c r="BP126"/>
  <c r="BP142"/>
  <c r="BP158"/>
  <c r="BP174"/>
  <c r="BP188"/>
  <c r="BP24"/>
  <c r="BP40"/>
  <c r="BP48"/>
  <c r="BP64"/>
  <c r="BP80"/>
  <c r="BP96"/>
  <c r="BP112"/>
  <c r="BP128"/>
  <c r="BP144"/>
  <c r="BP160"/>
  <c r="BP176"/>
  <c r="BP184"/>
  <c r="BP200"/>
  <c r="BP28"/>
  <c r="BP39"/>
  <c r="BP54"/>
  <c r="BP70"/>
  <c r="BP86"/>
  <c r="BP102"/>
  <c r="BP118"/>
  <c r="BP134"/>
  <c r="BP150"/>
  <c r="BP166"/>
  <c r="BP183"/>
  <c r="BP199"/>
  <c r="BP36"/>
  <c r="BP61"/>
  <c r="BP77"/>
  <c r="BP93"/>
  <c r="BP109"/>
  <c r="BP125"/>
  <c r="BP141"/>
  <c r="BP157"/>
  <c r="BP173"/>
  <c r="BP195"/>
  <c r="BP205"/>
  <c r="BP76"/>
  <c r="BP108"/>
  <c r="BP140"/>
  <c r="BP21"/>
  <c r="BP59"/>
  <c r="BP75"/>
  <c r="BP139"/>
  <c r="BP155"/>
  <c r="BP182"/>
  <c r="BP52"/>
  <c r="BP84"/>
  <c r="BP116"/>
  <c r="BP148"/>
  <c r="BP179"/>
  <c r="BP196"/>
  <c r="BP90"/>
  <c r="BP106"/>
  <c r="BP122"/>
  <c r="BP138"/>
  <c r="BP154"/>
  <c r="BP207"/>
  <c r="S14" i="12"/>
  <c r="BP18" i="20"/>
  <c r="S10" i="12"/>
  <c r="BP14" i="20"/>
  <c r="BP19"/>
  <c r="K5" i="11"/>
  <c r="AU78" i="19"/>
  <c r="S9" i="12"/>
  <c r="AI20" i="4"/>
  <c r="AV49" i="19"/>
  <c r="R49" s="1"/>
  <c r="S8" i="12"/>
  <c r="L78" i="19"/>
  <c r="L20" i="4"/>
  <c r="L21" s="1"/>
  <c r="K78" i="19"/>
  <c r="K20" i="4"/>
  <c r="AU20" i="19"/>
  <c r="B20" s="1"/>
  <c r="S5" i="12"/>
  <c r="M78" i="19"/>
  <c r="M20" i="4"/>
  <c r="M21" s="1"/>
  <c r="AC49" i="19"/>
  <c r="C20"/>
  <c r="DU8" i="9"/>
  <c r="DH8"/>
  <c r="F20" i="4" s="1"/>
  <c r="K20" i="19"/>
  <c r="DP8" i="9"/>
  <c r="N20" i="19" s="1"/>
  <c r="AB49"/>
  <c r="DK6" i="9"/>
  <c r="AJ3" i="15"/>
  <c r="DI209" i="9"/>
  <c r="B17" i="6" s="1"/>
  <c r="GM5" i="9"/>
  <c r="DZ12"/>
  <c r="DS6"/>
  <c r="DX11" s="1"/>
  <c r="G20" i="19"/>
  <c r="DK8" i="9"/>
  <c r="I20" i="4" s="1"/>
  <c r="AJ4" i="15"/>
  <c r="DN209" i="9"/>
  <c r="B18" i="6" s="1"/>
  <c r="GN5" i="9"/>
  <c r="AA49" i="19"/>
  <c r="DZ11" i="9"/>
  <c r="DZ13"/>
  <c r="DP6"/>
  <c r="AX9" i="19"/>
  <c r="AH9" i="4"/>
  <c r="AY7" i="19"/>
  <c r="AY9"/>
  <c r="AG9" i="4"/>
  <c r="AG7"/>
  <c r="AF9"/>
  <c r="AZ9" i="19"/>
  <c r="BS210" i="9"/>
  <c r="A12" i="6" s="1"/>
  <c r="CK210" i="9"/>
  <c r="DD210"/>
  <c r="A16" i="6" s="1"/>
  <c r="CP210" i="9"/>
  <c r="U211" i="20" s="1"/>
  <c r="BI210" i="9"/>
  <c r="AQ210"/>
  <c r="A8" i="6" s="1"/>
  <c r="CF210" i="9"/>
  <c r="I211" i="20" s="1"/>
  <c r="BN210" i="9"/>
  <c r="A11" i="6" s="1"/>
  <c r="AL210" i="9"/>
  <c r="K13" i="11"/>
  <c r="K14"/>
  <c r="K12"/>
  <c r="F25" i="18"/>
  <c r="J5"/>
  <c r="D5"/>
  <c r="DI210" i="9" l="1"/>
  <c r="A17" i="6" s="1"/>
  <c r="DX12" i="9"/>
  <c r="DX13"/>
  <c r="A14" i="6"/>
  <c r="O211" i="20"/>
  <c r="A20" i="4"/>
  <c r="J20" s="1"/>
  <c r="DN210" i="9"/>
  <c r="A18" i="6" s="1"/>
  <c r="DZ8" i="9"/>
  <c r="AY8" i="19"/>
  <c r="N78"/>
  <c r="N20" i="4"/>
  <c r="N21" s="1"/>
  <c r="I20" i="19"/>
  <c r="DL8" i="9"/>
  <c r="DT8" s="1"/>
  <c r="AD49" i="19"/>
  <c r="F20"/>
  <c r="DQ8" i="9"/>
  <c r="AY10" i="19"/>
  <c r="AG10" i="4"/>
  <c r="AG8"/>
  <c r="T206" i="12"/>
  <c r="GZ8" i="9" l="1"/>
  <c r="HA8" s="1"/>
  <c r="N9" i="4"/>
  <c r="AB9" i="19"/>
  <c r="O78"/>
  <c r="O20" i="4"/>
  <c r="GZ12" i="9"/>
  <c r="HA12" s="1"/>
  <c r="O20" i="19"/>
  <c r="O21" s="1"/>
  <c r="AE49"/>
  <c r="AE50" s="1"/>
  <c r="GZ11" i="9"/>
  <c r="HA11" s="1"/>
  <c r="GZ13"/>
  <c r="HA13" s="1"/>
  <c r="J20" i="19"/>
  <c r="AP8" i="15"/>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P163"/>
  <c r="AP164"/>
  <c r="AP165"/>
  <c r="AP166"/>
  <c r="AP167"/>
  <c r="AP168"/>
  <c r="AP169"/>
  <c r="AP170"/>
  <c r="AP171"/>
  <c r="AP172"/>
  <c r="AP173"/>
  <c r="AP174"/>
  <c r="AP175"/>
  <c r="AP176"/>
  <c r="AP177"/>
  <c r="AP178"/>
  <c r="AP179"/>
  <c r="AP180"/>
  <c r="AP181"/>
  <c r="AP182"/>
  <c r="AP183"/>
  <c r="AP184"/>
  <c r="AP185"/>
  <c r="AP186"/>
  <c r="AP187"/>
  <c r="AP188"/>
  <c r="AP189"/>
  <c r="AP190"/>
  <c r="AP191"/>
  <c r="AP192"/>
  <c r="AP193"/>
  <c r="AP194"/>
  <c r="AP195"/>
  <c r="AP196"/>
  <c r="AP197"/>
  <c r="AP198"/>
  <c r="AP199"/>
  <c r="AP200"/>
  <c r="AP201"/>
  <c r="AP202"/>
  <c r="AP203"/>
  <c r="AP204"/>
  <c r="AP205"/>
  <c r="AP206"/>
  <c r="AP7"/>
  <c r="AN7"/>
  <c r="AL7"/>
  <c r="FC8" i="9"/>
  <c r="FD8"/>
  <c r="EY6"/>
  <c r="FC6"/>
  <c r="FD6"/>
  <c r="X6"/>
  <c r="AA6" s="1"/>
  <c r="K7" i="11" l="1"/>
  <c r="K9"/>
  <c r="K8"/>
  <c r="Q20" i="4"/>
  <c r="FB6" i="9"/>
  <c r="FE6"/>
  <c r="FE8"/>
  <c r="BE2" i="8"/>
  <c r="EY210" i="9" s="1"/>
  <c r="A20" i="6" s="1"/>
  <c r="EY3" i="9"/>
  <c r="AT15" i="20" s="1"/>
  <c r="BB2" i="8"/>
  <c r="B4" i="9"/>
  <c r="C4"/>
  <c r="D4"/>
  <c r="A4"/>
  <c r="Y139" i="19" l="1"/>
  <c r="Y110"/>
  <c r="Y81"/>
  <c r="K23" i="18"/>
  <c r="I139" i="19"/>
  <c r="I110"/>
  <c r="I81"/>
  <c r="Y52"/>
  <c r="I52"/>
  <c r="Y23"/>
  <c r="K23" i="4"/>
  <c r="I23" i="19"/>
  <c r="R5" i="15"/>
  <c r="GS4" i="9"/>
  <c r="FF38"/>
  <c r="GS38" s="1"/>
  <c r="FF35"/>
  <c r="GS35" s="1"/>
  <c r="FF23"/>
  <c r="GS23" s="1"/>
  <c r="FF37"/>
  <c r="GS37" s="1"/>
  <c r="FF30"/>
  <c r="GS30" s="1"/>
  <c r="FF19"/>
  <c r="GS19" s="1"/>
  <c r="FF31"/>
  <c r="GS31" s="1"/>
  <c r="FF20"/>
  <c r="GS20" s="1"/>
  <c r="FF34"/>
  <c r="GS34" s="1"/>
  <c r="FF29"/>
  <c r="GS29" s="1"/>
  <c r="FF26"/>
  <c r="GS26" s="1"/>
  <c r="FF27"/>
  <c r="GS27" s="1"/>
  <c r="FF28"/>
  <c r="GS28" s="1"/>
  <c r="FF21"/>
  <c r="GS21" s="1"/>
  <c r="FF33"/>
  <c r="GS33" s="1"/>
  <c r="FF24"/>
  <c r="GS24" s="1"/>
  <c r="FF32"/>
  <c r="GS32" s="1"/>
  <c r="FF22"/>
  <c r="GS22" s="1"/>
  <c r="FF36"/>
  <c r="GS36" s="1"/>
  <c r="FF25"/>
  <c r="GS25" s="1"/>
  <c r="EY209"/>
  <c r="AO2" i="15"/>
  <c r="A8" i="8"/>
  <c r="H2" i="12"/>
  <c r="J2" i="11"/>
  <c r="N30" i="6"/>
  <c r="I30"/>
  <c r="H2"/>
  <c r="M2"/>
  <c r="G2" i="15"/>
  <c r="B20" i="6" l="1"/>
  <c r="R4" i="12"/>
  <c r="B8" i="8" l="1"/>
  <c r="AK7" i="9"/>
  <c r="T208" i="15"/>
  <c r="GX212" i="9"/>
  <c r="IQ208"/>
  <c r="IR208"/>
  <c r="IR209"/>
  <c r="IR210"/>
  <c r="IR211"/>
  <c r="IR212"/>
  <c r="IR213"/>
  <c r="IR214"/>
  <c r="IR215"/>
  <c r="IR216"/>
  <c r="IR217"/>
  <c r="IR218"/>
  <c r="IR219"/>
  <c r="IK208"/>
  <c r="IL208"/>
  <c r="IM208"/>
  <c r="IN208"/>
  <c r="IO208"/>
  <c r="IP208"/>
  <c r="IK209"/>
  <c r="IL209"/>
  <c r="IM209"/>
  <c r="IN209"/>
  <c r="IO209"/>
  <c r="IP209"/>
  <c r="IK210"/>
  <c r="IL210"/>
  <c r="IM210"/>
  <c r="IN210"/>
  <c r="IO210"/>
  <c r="IP210"/>
  <c r="IK211"/>
  <c r="IL211"/>
  <c r="IM211"/>
  <c r="IN211"/>
  <c r="IO211"/>
  <c r="IP211"/>
  <c r="IK212"/>
  <c r="IL212"/>
  <c r="IM212"/>
  <c r="IN212"/>
  <c r="IO212"/>
  <c r="IP212"/>
  <c r="IK213"/>
  <c r="IL213"/>
  <c r="IM213"/>
  <c r="IN213"/>
  <c r="IO213"/>
  <c r="IP213"/>
  <c r="IK214"/>
  <c r="IL214"/>
  <c r="IM214"/>
  <c r="IN214"/>
  <c r="IO214"/>
  <c r="IP214"/>
  <c r="IK215"/>
  <c r="IL215"/>
  <c r="IM215"/>
  <c r="IN215"/>
  <c r="IO215"/>
  <c r="IP215"/>
  <c r="IK216"/>
  <c r="IL216"/>
  <c r="IM216"/>
  <c r="IN216"/>
  <c r="IO216"/>
  <c r="IP216"/>
  <c r="IK217"/>
  <c r="IL217"/>
  <c r="IM217"/>
  <c r="IN217"/>
  <c r="IO217"/>
  <c r="IP217"/>
  <c r="IK218"/>
  <c r="IL218"/>
  <c r="IM218"/>
  <c r="IN218"/>
  <c r="IO218"/>
  <c r="IP218"/>
  <c r="IK219"/>
  <c r="IL219"/>
  <c r="IM219"/>
  <c r="IN219"/>
  <c r="IO219"/>
  <c r="IP219"/>
  <c r="IE208"/>
  <c r="IF208"/>
  <c r="IG208"/>
  <c r="IH208"/>
  <c r="II208"/>
  <c r="IJ208"/>
  <c r="IE209"/>
  <c r="IF209"/>
  <c r="IG209"/>
  <c r="IH209"/>
  <c r="II209"/>
  <c r="IJ209"/>
  <c r="IE210"/>
  <c r="IF210"/>
  <c r="IG210"/>
  <c r="IH210"/>
  <c r="II210"/>
  <c r="IJ210"/>
  <c r="IE211"/>
  <c r="IF211"/>
  <c r="IG211"/>
  <c r="IH211"/>
  <c r="II211"/>
  <c r="IJ211"/>
  <c r="IE212"/>
  <c r="IF212"/>
  <c r="IG212"/>
  <c r="IH212"/>
  <c r="II212"/>
  <c r="IJ212"/>
  <c r="IE213"/>
  <c r="IF213"/>
  <c r="IG213"/>
  <c r="IH213"/>
  <c r="II213"/>
  <c r="IJ213"/>
  <c r="IE214"/>
  <c r="IF214"/>
  <c r="IG214"/>
  <c r="IH214"/>
  <c r="II214"/>
  <c r="IJ214"/>
  <c r="IE215"/>
  <c r="IF215"/>
  <c r="IG215"/>
  <c r="IH215"/>
  <c r="II215"/>
  <c r="IJ215"/>
  <c r="IE216"/>
  <c r="IF216"/>
  <c r="IG216"/>
  <c r="IH216"/>
  <c r="II216"/>
  <c r="IJ216"/>
  <c r="IE217"/>
  <c r="IF217"/>
  <c r="IG217"/>
  <c r="IH217"/>
  <c r="II217"/>
  <c r="IJ217"/>
  <c r="IE218"/>
  <c r="IF218"/>
  <c r="IG218"/>
  <c r="IH218"/>
  <c r="II218"/>
  <c r="IJ218"/>
  <c r="IE219"/>
  <c r="IF219"/>
  <c r="IG219"/>
  <c r="IH219"/>
  <c r="II219"/>
  <c r="IJ219"/>
  <c r="HY9"/>
  <c r="HZ9"/>
  <c r="HY10"/>
  <c r="HZ10"/>
  <c r="HY11"/>
  <c r="HZ11"/>
  <c r="HY12"/>
  <c r="HZ12"/>
  <c r="HY13"/>
  <c r="HZ13"/>
  <c r="HY14"/>
  <c r="HZ14"/>
  <c r="HY15"/>
  <c r="HZ15"/>
  <c r="HY16"/>
  <c r="HZ16"/>
  <c r="HY17"/>
  <c r="HZ17"/>
  <c r="HY18"/>
  <c r="HZ18"/>
  <c r="HY19"/>
  <c r="HZ19"/>
  <c r="HY20"/>
  <c r="HZ20"/>
  <c r="HY21"/>
  <c r="HZ21"/>
  <c r="HY22"/>
  <c r="HZ22"/>
  <c r="HY23"/>
  <c r="HZ23"/>
  <c r="HY24"/>
  <c r="HZ24"/>
  <c r="HY25"/>
  <c r="HZ25"/>
  <c r="HY26"/>
  <c r="HZ26"/>
  <c r="HY27"/>
  <c r="HZ27"/>
  <c r="HY28"/>
  <c r="HZ28"/>
  <c r="HY29"/>
  <c r="HZ29"/>
  <c r="HY30"/>
  <c r="HZ30"/>
  <c r="HY31"/>
  <c r="HZ31"/>
  <c r="HY32"/>
  <c r="HZ32"/>
  <c r="HY33"/>
  <c r="HZ33"/>
  <c r="HY34"/>
  <c r="HZ34"/>
  <c r="HY35"/>
  <c r="HZ35"/>
  <c r="HY36"/>
  <c r="HZ36"/>
  <c r="HY37"/>
  <c r="HZ37"/>
  <c r="HY38"/>
  <c r="HZ38"/>
  <c r="HY39"/>
  <c r="HZ39"/>
  <c r="HY40"/>
  <c r="HZ40"/>
  <c r="HY41"/>
  <c r="HZ41"/>
  <c r="HY42"/>
  <c r="HZ42"/>
  <c r="HY43"/>
  <c r="HZ43"/>
  <c r="HY44"/>
  <c r="HZ44"/>
  <c r="HY45"/>
  <c r="HZ45"/>
  <c r="HY46"/>
  <c r="HZ46"/>
  <c r="HY47"/>
  <c r="HZ47"/>
  <c r="HY48"/>
  <c r="HZ48"/>
  <c r="HY49"/>
  <c r="HZ49"/>
  <c r="HY50"/>
  <c r="HZ50"/>
  <c r="HY51"/>
  <c r="HZ51"/>
  <c r="HY52"/>
  <c r="HZ52"/>
  <c r="HY53"/>
  <c r="HZ53"/>
  <c r="HY54"/>
  <c r="HZ54"/>
  <c r="HY55"/>
  <c r="HZ55"/>
  <c r="HY56"/>
  <c r="HZ56"/>
  <c r="HY57"/>
  <c r="HZ57"/>
  <c r="HY58"/>
  <c r="HZ58"/>
  <c r="HY59"/>
  <c r="HZ59"/>
  <c r="HY60"/>
  <c r="HZ60"/>
  <c r="HY61"/>
  <c r="HZ61"/>
  <c r="HY62"/>
  <c r="HZ62"/>
  <c r="HY63"/>
  <c r="HZ63"/>
  <c r="HY64"/>
  <c r="HZ64"/>
  <c r="HY65"/>
  <c r="HZ65"/>
  <c r="HY66"/>
  <c r="HZ66"/>
  <c r="HY67"/>
  <c r="HZ67"/>
  <c r="HY68"/>
  <c r="HZ68"/>
  <c r="HY69"/>
  <c r="HZ69"/>
  <c r="HY70"/>
  <c r="HZ70"/>
  <c r="HY71"/>
  <c r="HZ71"/>
  <c r="HY72"/>
  <c r="HZ72"/>
  <c r="HY73"/>
  <c r="HZ73"/>
  <c r="HY74"/>
  <c r="HZ74"/>
  <c r="HY75"/>
  <c r="HZ75"/>
  <c r="HY76"/>
  <c r="HZ76"/>
  <c r="HY77"/>
  <c r="HZ77"/>
  <c r="HY78"/>
  <c r="HZ78"/>
  <c r="HY79"/>
  <c r="HZ79"/>
  <c r="HY80"/>
  <c r="HZ80"/>
  <c r="HY81"/>
  <c r="HZ81"/>
  <c r="HY82"/>
  <c r="HZ82"/>
  <c r="HY83"/>
  <c r="HZ83"/>
  <c r="HY84"/>
  <c r="HZ84"/>
  <c r="HY85"/>
  <c r="HZ85"/>
  <c r="HY86"/>
  <c r="HZ86"/>
  <c r="HY87"/>
  <c r="HZ87"/>
  <c r="HY88"/>
  <c r="HZ88"/>
  <c r="HY89"/>
  <c r="HZ89"/>
  <c r="HY90"/>
  <c r="HZ90"/>
  <c r="HY91"/>
  <c r="HZ91"/>
  <c r="HY92"/>
  <c r="HZ92"/>
  <c r="HY93"/>
  <c r="HZ93"/>
  <c r="HY94"/>
  <c r="HZ94"/>
  <c r="HY95"/>
  <c r="HZ95"/>
  <c r="HY96"/>
  <c r="HZ96"/>
  <c r="HY97"/>
  <c r="HZ97"/>
  <c r="HY98"/>
  <c r="HZ98"/>
  <c r="HY99"/>
  <c r="HZ99"/>
  <c r="HY100"/>
  <c r="HZ100"/>
  <c r="HY101"/>
  <c r="HZ101"/>
  <c r="HY102"/>
  <c r="HZ102"/>
  <c r="HY103"/>
  <c r="HZ103"/>
  <c r="HY104"/>
  <c r="HZ104"/>
  <c r="HY105"/>
  <c r="HZ105"/>
  <c r="HY106"/>
  <c r="HZ106"/>
  <c r="HY107"/>
  <c r="HZ107"/>
  <c r="HY108"/>
  <c r="HZ108"/>
  <c r="HY109"/>
  <c r="HZ109"/>
  <c r="HY110"/>
  <c r="HZ110"/>
  <c r="HY111"/>
  <c r="HZ111"/>
  <c r="HY112"/>
  <c r="HZ112"/>
  <c r="HY113"/>
  <c r="HZ113"/>
  <c r="HY114"/>
  <c r="HZ114"/>
  <c r="HY115"/>
  <c r="HZ115"/>
  <c r="HY116"/>
  <c r="HZ116"/>
  <c r="HY117"/>
  <c r="HZ117"/>
  <c r="HY118"/>
  <c r="HZ118"/>
  <c r="HY119"/>
  <c r="HZ119"/>
  <c r="HY120"/>
  <c r="HZ120"/>
  <c r="HY121"/>
  <c r="HZ121"/>
  <c r="HY122"/>
  <c r="HZ122"/>
  <c r="HY123"/>
  <c r="HZ123"/>
  <c r="HY124"/>
  <c r="HZ124"/>
  <c r="HY125"/>
  <c r="HZ125"/>
  <c r="HY126"/>
  <c r="HZ126"/>
  <c r="HY127"/>
  <c r="HZ127"/>
  <c r="HY128"/>
  <c r="HZ128"/>
  <c r="HY129"/>
  <c r="HZ129"/>
  <c r="HY130"/>
  <c r="HZ130"/>
  <c r="HY131"/>
  <c r="HZ131"/>
  <c r="HY132"/>
  <c r="HZ132"/>
  <c r="HY133"/>
  <c r="HZ133"/>
  <c r="HY134"/>
  <c r="HZ134"/>
  <c r="HY135"/>
  <c r="HZ135"/>
  <c r="HY136"/>
  <c r="HZ136"/>
  <c r="HY137"/>
  <c r="HZ137"/>
  <c r="HY138"/>
  <c r="HZ138"/>
  <c r="HY139"/>
  <c r="HZ139"/>
  <c r="HY140"/>
  <c r="HZ140"/>
  <c r="HY141"/>
  <c r="HZ141"/>
  <c r="HY142"/>
  <c r="HZ142"/>
  <c r="HY143"/>
  <c r="HZ143"/>
  <c r="HY144"/>
  <c r="HZ144"/>
  <c r="HY145"/>
  <c r="HZ145"/>
  <c r="HY146"/>
  <c r="HZ146"/>
  <c r="HY147"/>
  <c r="HZ147"/>
  <c r="HY148"/>
  <c r="HZ148"/>
  <c r="HY149"/>
  <c r="HZ149"/>
  <c r="HY150"/>
  <c r="HZ150"/>
  <c r="HY151"/>
  <c r="HZ151"/>
  <c r="HY152"/>
  <c r="HZ152"/>
  <c r="HY153"/>
  <c r="HZ153"/>
  <c r="HY154"/>
  <c r="HZ154"/>
  <c r="HY155"/>
  <c r="HZ155"/>
  <c r="HY156"/>
  <c r="HZ156"/>
  <c r="HY157"/>
  <c r="HZ157"/>
  <c r="HY158"/>
  <c r="HZ158"/>
  <c r="HY159"/>
  <c r="HZ159"/>
  <c r="HY160"/>
  <c r="HZ160"/>
  <c r="HY161"/>
  <c r="HZ161"/>
  <c r="HY162"/>
  <c r="HZ162"/>
  <c r="HY163"/>
  <c r="HZ163"/>
  <c r="HY164"/>
  <c r="HZ164"/>
  <c r="HY165"/>
  <c r="HZ165"/>
  <c r="HY166"/>
  <c r="HZ166"/>
  <c r="HY167"/>
  <c r="HZ167"/>
  <c r="HY168"/>
  <c r="HZ168"/>
  <c r="HY169"/>
  <c r="HZ169"/>
  <c r="HY170"/>
  <c r="HZ170"/>
  <c r="HY171"/>
  <c r="HZ171"/>
  <c r="HY172"/>
  <c r="HZ172"/>
  <c r="HY173"/>
  <c r="HZ173"/>
  <c r="HY174"/>
  <c r="HZ174"/>
  <c r="HY175"/>
  <c r="HZ175"/>
  <c r="HY176"/>
  <c r="HZ176"/>
  <c r="HY177"/>
  <c r="HZ177"/>
  <c r="HY178"/>
  <c r="HZ178"/>
  <c r="HY179"/>
  <c r="HZ179"/>
  <c r="HY180"/>
  <c r="HZ180"/>
  <c r="HY181"/>
  <c r="HZ181"/>
  <c r="HY182"/>
  <c r="HZ182"/>
  <c r="HY183"/>
  <c r="HZ183"/>
  <c r="HY184"/>
  <c r="HZ184"/>
  <c r="HY185"/>
  <c r="HZ185"/>
  <c r="HY186"/>
  <c r="HZ186"/>
  <c r="HY187"/>
  <c r="HZ187"/>
  <c r="HY188"/>
  <c r="HZ188"/>
  <c r="HY189"/>
  <c r="HZ189"/>
  <c r="HY190"/>
  <c r="HZ190"/>
  <c r="HY191"/>
  <c r="HZ191"/>
  <c r="HY192"/>
  <c r="HZ192"/>
  <c r="HY193"/>
  <c r="HZ193"/>
  <c r="HY194"/>
  <c r="HZ194"/>
  <c r="HY195"/>
  <c r="HZ195"/>
  <c r="HY196"/>
  <c r="HZ196"/>
  <c r="HY197"/>
  <c r="HZ197"/>
  <c r="HY198"/>
  <c r="HZ198"/>
  <c r="HY199"/>
  <c r="HZ199"/>
  <c r="HY200"/>
  <c r="HZ200"/>
  <c r="HY201"/>
  <c r="HZ201"/>
  <c r="HY202"/>
  <c r="HZ202"/>
  <c r="HY203"/>
  <c r="HZ203"/>
  <c r="HY204"/>
  <c r="HZ204"/>
  <c r="HY205"/>
  <c r="HZ205"/>
  <c r="HY206"/>
  <c r="HZ206"/>
  <c r="HY207"/>
  <c r="HZ207"/>
  <c r="HY208"/>
  <c r="HZ208"/>
  <c r="HY209"/>
  <c r="HZ209"/>
  <c r="HY210"/>
  <c r="HZ210"/>
  <c r="HY211"/>
  <c r="HZ211"/>
  <c r="HY212"/>
  <c r="HZ212"/>
  <c r="HY213"/>
  <c r="HZ213"/>
  <c r="HY214"/>
  <c r="HZ214"/>
  <c r="HY215"/>
  <c r="HZ215"/>
  <c r="HY216"/>
  <c r="HZ216"/>
  <c r="HY217"/>
  <c r="HZ217"/>
  <c r="HY218"/>
  <c r="HZ218"/>
  <c r="HY219"/>
  <c r="HZ219"/>
  <c r="HZ8"/>
  <c r="HY8"/>
  <c r="IA8"/>
  <c r="IA9"/>
  <c r="IB9"/>
  <c r="IC9"/>
  <c r="ID9"/>
  <c r="IA10"/>
  <c r="IB10"/>
  <c r="IC10"/>
  <c r="ID10"/>
  <c r="IA11"/>
  <c r="IB11"/>
  <c r="IC11"/>
  <c r="ID11"/>
  <c r="IA12"/>
  <c r="IB12"/>
  <c r="IC12"/>
  <c r="ID12"/>
  <c r="IA13"/>
  <c r="IB13"/>
  <c r="IC13"/>
  <c r="ID13"/>
  <c r="IA14"/>
  <c r="IB14"/>
  <c r="IC14"/>
  <c r="ID14"/>
  <c r="IA15"/>
  <c r="IB15"/>
  <c r="IC15"/>
  <c r="ID15"/>
  <c r="IA16"/>
  <c r="IB16"/>
  <c r="IC16"/>
  <c r="ID16"/>
  <c r="IA17"/>
  <c r="IB17"/>
  <c r="IC17"/>
  <c r="ID17"/>
  <c r="IA18"/>
  <c r="IB18"/>
  <c r="IC18"/>
  <c r="ID18"/>
  <c r="IA19"/>
  <c r="IB19"/>
  <c r="IC19"/>
  <c r="ID19"/>
  <c r="IA20"/>
  <c r="IB20"/>
  <c r="IC20"/>
  <c r="ID20"/>
  <c r="IA21"/>
  <c r="IB21"/>
  <c r="IC21"/>
  <c r="ID21"/>
  <c r="IA22"/>
  <c r="IB22"/>
  <c r="IC22"/>
  <c r="ID22"/>
  <c r="IA23"/>
  <c r="IB23"/>
  <c r="IC23"/>
  <c r="ID23"/>
  <c r="IA24"/>
  <c r="IB24"/>
  <c r="IC24"/>
  <c r="ID24"/>
  <c r="IA25"/>
  <c r="IB25"/>
  <c r="IC25"/>
  <c r="ID25"/>
  <c r="IA26"/>
  <c r="IB26"/>
  <c r="IC26"/>
  <c r="ID26"/>
  <c r="IA27"/>
  <c r="IB27"/>
  <c r="IC27"/>
  <c r="ID27"/>
  <c r="IA28"/>
  <c r="IB28"/>
  <c r="IC28"/>
  <c r="ID28"/>
  <c r="IA29"/>
  <c r="IB29"/>
  <c r="IC29"/>
  <c r="ID29"/>
  <c r="IA30"/>
  <c r="IB30"/>
  <c r="IC30"/>
  <c r="ID30"/>
  <c r="IA31"/>
  <c r="IB31"/>
  <c r="IC31"/>
  <c r="ID31"/>
  <c r="IA32"/>
  <c r="IB32"/>
  <c r="IC32"/>
  <c r="ID32"/>
  <c r="IA33"/>
  <c r="IB33"/>
  <c r="IC33"/>
  <c r="ID33"/>
  <c r="IA34"/>
  <c r="IB34"/>
  <c r="IC34"/>
  <c r="ID34"/>
  <c r="IA35"/>
  <c r="IB35"/>
  <c r="IC35"/>
  <c r="ID35"/>
  <c r="IA36"/>
  <c r="IB36"/>
  <c r="IC36"/>
  <c r="ID36"/>
  <c r="IA37"/>
  <c r="IB37"/>
  <c r="IC37"/>
  <c r="ID37"/>
  <c r="IA38"/>
  <c r="IB38"/>
  <c r="IC38"/>
  <c r="ID38"/>
  <c r="IA39"/>
  <c r="IB39"/>
  <c r="IC39"/>
  <c r="ID39"/>
  <c r="IA40"/>
  <c r="IB40"/>
  <c r="IC40"/>
  <c r="ID40"/>
  <c r="IA41"/>
  <c r="IB41"/>
  <c r="IC41"/>
  <c r="ID41"/>
  <c r="IA42"/>
  <c r="IB42"/>
  <c r="IC42"/>
  <c r="ID42"/>
  <c r="IA43"/>
  <c r="IB43"/>
  <c r="IC43"/>
  <c r="ID43"/>
  <c r="IA44"/>
  <c r="IB44"/>
  <c r="IC44"/>
  <c r="ID44"/>
  <c r="IA45"/>
  <c r="IB45"/>
  <c r="IC45"/>
  <c r="ID45"/>
  <c r="IA46"/>
  <c r="IB46"/>
  <c r="IC46"/>
  <c r="ID46"/>
  <c r="IA47"/>
  <c r="IB47"/>
  <c r="IC47"/>
  <c r="ID47"/>
  <c r="IA48"/>
  <c r="IB48"/>
  <c r="IC48"/>
  <c r="ID48"/>
  <c r="IA49"/>
  <c r="IB49"/>
  <c r="IC49"/>
  <c r="ID49"/>
  <c r="IA50"/>
  <c r="IB50"/>
  <c r="IC50"/>
  <c r="ID50"/>
  <c r="IA51"/>
  <c r="IB51"/>
  <c r="IC51"/>
  <c r="ID51"/>
  <c r="IA52"/>
  <c r="IB52"/>
  <c r="IC52"/>
  <c r="ID52"/>
  <c r="IA53"/>
  <c r="IB53"/>
  <c r="IC53"/>
  <c r="ID53"/>
  <c r="IA54"/>
  <c r="IB54"/>
  <c r="IC54"/>
  <c r="ID54"/>
  <c r="IA55"/>
  <c r="IB55"/>
  <c r="IC55"/>
  <c r="ID55"/>
  <c r="IA56"/>
  <c r="IB56"/>
  <c r="IC56"/>
  <c r="ID56"/>
  <c r="IA57"/>
  <c r="IB57"/>
  <c r="IC57"/>
  <c r="ID57"/>
  <c r="IA58"/>
  <c r="IB58"/>
  <c r="IC58"/>
  <c r="ID58"/>
  <c r="IA59"/>
  <c r="IB59"/>
  <c r="IC59"/>
  <c r="ID59"/>
  <c r="IA60"/>
  <c r="IB60"/>
  <c r="IC60"/>
  <c r="ID60"/>
  <c r="IA61"/>
  <c r="IB61"/>
  <c r="IC61"/>
  <c r="ID61"/>
  <c r="IA62"/>
  <c r="IB62"/>
  <c r="IC62"/>
  <c r="ID62"/>
  <c r="IA63"/>
  <c r="IB63"/>
  <c r="IC63"/>
  <c r="ID63"/>
  <c r="IA64"/>
  <c r="IB64"/>
  <c r="IC64"/>
  <c r="ID64"/>
  <c r="IA65"/>
  <c r="IB65"/>
  <c r="IC65"/>
  <c r="ID65"/>
  <c r="IA66"/>
  <c r="IB66"/>
  <c r="IC66"/>
  <c r="ID66"/>
  <c r="IA67"/>
  <c r="IB67"/>
  <c r="IC67"/>
  <c r="ID67"/>
  <c r="IA68"/>
  <c r="IB68"/>
  <c r="IC68"/>
  <c r="ID68"/>
  <c r="IA69"/>
  <c r="IB69"/>
  <c r="IC69"/>
  <c r="ID69"/>
  <c r="IA70"/>
  <c r="IB70"/>
  <c r="IC70"/>
  <c r="ID70"/>
  <c r="IA71"/>
  <c r="IB71"/>
  <c r="IC71"/>
  <c r="ID71"/>
  <c r="IA72"/>
  <c r="IB72"/>
  <c r="IC72"/>
  <c r="ID72"/>
  <c r="IA73"/>
  <c r="IB73"/>
  <c r="IC73"/>
  <c r="ID73"/>
  <c r="IA74"/>
  <c r="IB74"/>
  <c r="IC74"/>
  <c r="ID74"/>
  <c r="IA75"/>
  <c r="IB75"/>
  <c r="IC75"/>
  <c r="ID75"/>
  <c r="IA76"/>
  <c r="IB76"/>
  <c r="IC76"/>
  <c r="ID76"/>
  <c r="IA77"/>
  <c r="IB77"/>
  <c r="IC77"/>
  <c r="ID77"/>
  <c r="IA78"/>
  <c r="IB78"/>
  <c r="IC78"/>
  <c r="ID78"/>
  <c r="IA79"/>
  <c r="IB79"/>
  <c r="IC79"/>
  <c r="ID79"/>
  <c r="IA80"/>
  <c r="IB80"/>
  <c r="IC80"/>
  <c r="ID80"/>
  <c r="IA81"/>
  <c r="IB81"/>
  <c r="IC81"/>
  <c r="ID81"/>
  <c r="IA82"/>
  <c r="IB82"/>
  <c r="IC82"/>
  <c r="ID82"/>
  <c r="IA83"/>
  <c r="IB83"/>
  <c r="IC83"/>
  <c r="ID83"/>
  <c r="IA84"/>
  <c r="IB84"/>
  <c r="IC84"/>
  <c r="ID84"/>
  <c r="IA85"/>
  <c r="IB85"/>
  <c r="IC85"/>
  <c r="ID85"/>
  <c r="IA86"/>
  <c r="IB86"/>
  <c r="IC86"/>
  <c r="ID86"/>
  <c r="IA87"/>
  <c r="IB87"/>
  <c r="IC87"/>
  <c r="ID87"/>
  <c r="IA88"/>
  <c r="IB88"/>
  <c r="IC88"/>
  <c r="ID88"/>
  <c r="IA89"/>
  <c r="IB89"/>
  <c r="IC89"/>
  <c r="ID89"/>
  <c r="IA90"/>
  <c r="IB90"/>
  <c r="IC90"/>
  <c r="ID90"/>
  <c r="IA91"/>
  <c r="IB91"/>
  <c r="IC91"/>
  <c r="ID91"/>
  <c r="IA92"/>
  <c r="IB92"/>
  <c r="IC92"/>
  <c r="ID92"/>
  <c r="IA93"/>
  <c r="IB93"/>
  <c r="IC93"/>
  <c r="ID93"/>
  <c r="IA94"/>
  <c r="IB94"/>
  <c r="IC94"/>
  <c r="ID94"/>
  <c r="IA95"/>
  <c r="IB95"/>
  <c r="IC95"/>
  <c r="ID95"/>
  <c r="IA96"/>
  <c r="IB96"/>
  <c r="IC96"/>
  <c r="ID96"/>
  <c r="IA97"/>
  <c r="IB97"/>
  <c r="IC97"/>
  <c r="ID97"/>
  <c r="IA98"/>
  <c r="IB98"/>
  <c r="IC98"/>
  <c r="ID98"/>
  <c r="IA99"/>
  <c r="IB99"/>
  <c r="IC99"/>
  <c r="ID99"/>
  <c r="IA100"/>
  <c r="IB100"/>
  <c r="IC100"/>
  <c r="ID100"/>
  <c r="IA101"/>
  <c r="IB101"/>
  <c r="IC101"/>
  <c r="ID101"/>
  <c r="IA102"/>
  <c r="IB102"/>
  <c r="IC102"/>
  <c r="ID102"/>
  <c r="IA103"/>
  <c r="IB103"/>
  <c r="IC103"/>
  <c r="ID103"/>
  <c r="IA104"/>
  <c r="IB104"/>
  <c r="IC104"/>
  <c r="ID104"/>
  <c r="IA105"/>
  <c r="IB105"/>
  <c r="IC105"/>
  <c r="ID105"/>
  <c r="IA106"/>
  <c r="IB106"/>
  <c r="IC106"/>
  <c r="ID106"/>
  <c r="IA107"/>
  <c r="IB107"/>
  <c r="IC107"/>
  <c r="ID107"/>
  <c r="IA108"/>
  <c r="IB108"/>
  <c r="IC108"/>
  <c r="ID108"/>
  <c r="IA109"/>
  <c r="IB109"/>
  <c r="IC109"/>
  <c r="ID109"/>
  <c r="IA110"/>
  <c r="IB110"/>
  <c r="IC110"/>
  <c r="ID110"/>
  <c r="IA111"/>
  <c r="IB111"/>
  <c r="IC111"/>
  <c r="ID111"/>
  <c r="IA112"/>
  <c r="IB112"/>
  <c r="IC112"/>
  <c r="ID112"/>
  <c r="IA113"/>
  <c r="IB113"/>
  <c r="IC113"/>
  <c r="ID113"/>
  <c r="IA114"/>
  <c r="IB114"/>
  <c r="IC114"/>
  <c r="ID114"/>
  <c r="IA115"/>
  <c r="IB115"/>
  <c r="IC115"/>
  <c r="ID115"/>
  <c r="IA116"/>
  <c r="IB116"/>
  <c r="IC116"/>
  <c r="ID116"/>
  <c r="IA117"/>
  <c r="IB117"/>
  <c r="IC117"/>
  <c r="ID117"/>
  <c r="IA118"/>
  <c r="IB118"/>
  <c r="IC118"/>
  <c r="ID118"/>
  <c r="IA119"/>
  <c r="IB119"/>
  <c r="IC119"/>
  <c r="ID119"/>
  <c r="IA120"/>
  <c r="IB120"/>
  <c r="IC120"/>
  <c r="ID120"/>
  <c r="IA121"/>
  <c r="IB121"/>
  <c r="IC121"/>
  <c r="ID121"/>
  <c r="IA122"/>
  <c r="IB122"/>
  <c r="IC122"/>
  <c r="ID122"/>
  <c r="IA123"/>
  <c r="IB123"/>
  <c r="IC123"/>
  <c r="ID123"/>
  <c r="IA124"/>
  <c r="IB124"/>
  <c r="IC124"/>
  <c r="ID124"/>
  <c r="IA125"/>
  <c r="IB125"/>
  <c r="IC125"/>
  <c r="ID125"/>
  <c r="IA126"/>
  <c r="IB126"/>
  <c r="IC126"/>
  <c r="ID126"/>
  <c r="IA127"/>
  <c r="IB127"/>
  <c r="IC127"/>
  <c r="ID127"/>
  <c r="IA128"/>
  <c r="IB128"/>
  <c r="IC128"/>
  <c r="ID128"/>
  <c r="IA129"/>
  <c r="IB129"/>
  <c r="IC129"/>
  <c r="ID129"/>
  <c r="IA130"/>
  <c r="IB130"/>
  <c r="IC130"/>
  <c r="ID130"/>
  <c r="IA131"/>
  <c r="IB131"/>
  <c r="IC131"/>
  <c r="ID131"/>
  <c r="IA132"/>
  <c r="IB132"/>
  <c r="IC132"/>
  <c r="ID132"/>
  <c r="IA133"/>
  <c r="IB133"/>
  <c r="IC133"/>
  <c r="ID133"/>
  <c r="IA134"/>
  <c r="IB134"/>
  <c r="IC134"/>
  <c r="ID134"/>
  <c r="IA135"/>
  <c r="IB135"/>
  <c r="IC135"/>
  <c r="ID135"/>
  <c r="IA136"/>
  <c r="IB136"/>
  <c r="IC136"/>
  <c r="ID136"/>
  <c r="IA137"/>
  <c r="IB137"/>
  <c r="IC137"/>
  <c r="ID137"/>
  <c r="IA138"/>
  <c r="IB138"/>
  <c r="IC138"/>
  <c r="ID138"/>
  <c r="IA139"/>
  <c r="IB139"/>
  <c r="IC139"/>
  <c r="ID139"/>
  <c r="IA140"/>
  <c r="IB140"/>
  <c r="IC140"/>
  <c r="ID140"/>
  <c r="IA141"/>
  <c r="IB141"/>
  <c r="IC141"/>
  <c r="ID141"/>
  <c r="IA142"/>
  <c r="IB142"/>
  <c r="IC142"/>
  <c r="ID142"/>
  <c r="IA143"/>
  <c r="IB143"/>
  <c r="IC143"/>
  <c r="ID143"/>
  <c r="IA144"/>
  <c r="IB144"/>
  <c r="IC144"/>
  <c r="ID144"/>
  <c r="IA145"/>
  <c r="IB145"/>
  <c r="IC145"/>
  <c r="ID145"/>
  <c r="IA146"/>
  <c r="IB146"/>
  <c r="IC146"/>
  <c r="ID146"/>
  <c r="IA147"/>
  <c r="IB147"/>
  <c r="IC147"/>
  <c r="ID147"/>
  <c r="IA148"/>
  <c r="IB148"/>
  <c r="IC148"/>
  <c r="ID148"/>
  <c r="IA149"/>
  <c r="IB149"/>
  <c r="IC149"/>
  <c r="ID149"/>
  <c r="IA150"/>
  <c r="IB150"/>
  <c r="IC150"/>
  <c r="ID150"/>
  <c r="IA151"/>
  <c r="IB151"/>
  <c r="IC151"/>
  <c r="ID151"/>
  <c r="IA152"/>
  <c r="IB152"/>
  <c r="IC152"/>
  <c r="ID152"/>
  <c r="IA153"/>
  <c r="IB153"/>
  <c r="IC153"/>
  <c r="ID153"/>
  <c r="IA154"/>
  <c r="IB154"/>
  <c r="IC154"/>
  <c r="ID154"/>
  <c r="IA155"/>
  <c r="IB155"/>
  <c r="IC155"/>
  <c r="ID155"/>
  <c r="IA156"/>
  <c r="IB156"/>
  <c r="IC156"/>
  <c r="ID156"/>
  <c r="IA157"/>
  <c r="IB157"/>
  <c r="IC157"/>
  <c r="ID157"/>
  <c r="IA158"/>
  <c r="IB158"/>
  <c r="IC158"/>
  <c r="ID158"/>
  <c r="IA159"/>
  <c r="IB159"/>
  <c r="IC159"/>
  <c r="ID159"/>
  <c r="IA160"/>
  <c r="IB160"/>
  <c r="IC160"/>
  <c r="ID160"/>
  <c r="IA161"/>
  <c r="IB161"/>
  <c r="IC161"/>
  <c r="ID161"/>
  <c r="IA162"/>
  <c r="IB162"/>
  <c r="IC162"/>
  <c r="ID162"/>
  <c r="IA163"/>
  <c r="IB163"/>
  <c r="IC163"/>
  <c r="ID163"/>
  <c r="IA164"/>
  <c r="IB164"/>
  <c r="IC164"/>
  <c r="ID164"/>
  <c r="IA165"/>
  <c r="IB165"/>
  <c r="IC165"/>
  <c r="ID165"/>
  <c r="IA166"/>
  <c r="IB166"/>
  <c r="IC166"/>
  <c r="ID166"/>
  <c r="IA167"/>
  <c r="IB167"/>
  <c r="IC167"/>
  <c r="ID167"/>
  <c r="IA168"/>
  <c r="IB168"/>
  <c r="IC168"/>
  <c r="ID168"/>
  <c r="IA169"/>
  <c r="IB169"/>
  <c r="IC169"/>
  <c r="ID169"/>
  <c r="IA170"/>
  <c r="IB170"/>
  <c r="IC170"/>
  <c r="ID170"/>
  <c r="IA171"/>
  <c r="IB171"/>
  <c r="IC171"/>
  <c r="ID171"/>
  <c r="IA172"/>
  <c r="IB172"/>
  <c r="IC172"/>
  <c r="ID172"/>
  <c r="IA173"/>
  <c r="IB173"/>
  <c r="IC173"/>
  <c r="ID173"/>
  <c r="IA174"/>
  <c r="IB174"/>
  <c r="IC174"/>
  <c r="ID174"/>
  <c r="IA175"/>
  <c r="IB175"/>
  <c r="IC175"/>
  <c r="ID175"/>
  <c r="IA176"/>
  <c r="IB176"/>
  <c r="IC176"/>
  <c r="ID176"/>
  <c r="IA177"/>
  <c r="IB177"/>
  <c r="IC177"/>
  <c r="ID177"/>
  <c r="IA178"/>
  <c r="IB178"/>
  <c r="IC178"/>
  <c r="ID178"/>
  <c r="IA179"/>
  <c r="IB179"/>
  <c r="IC179"/>
  <c r="ID179"/>
  <c r="IA180"/>
  <c r="IB180"/>
  <c r="IC180"/>
  <c r="ID180"/>
  <c r="IA181"/>
  <c r="IB181"/>
  <c r="IC181"/>
  <c r="ID181"/>
  <c r="IA182"/>
  <c r="IB182"/>
  <c r="IC182"/>
  <c r="ID182"/>
  <c r="IA183"/>
  <c r="IB183"/>
  <c r="IC183"/>
  <c r="ID183"/>
  <c r="IA184"/>
  <c r="IB184"/>
  <c r="IC184"/>
  <c r="ID184"/>
  <c r="IA185"/>
  <c r="IB185"/>
  <c r="IC185"/>
  <c r="ID185"/>
  <c r="IA186"/>
  <c r="IB186"/>
  <c r="IC186"/>
  <c r="ID186"/>
  <c r="IA187"/>
  <c r="IB187"/>
  <c r="IC187"/>
  <c r="ID187"/>
  <c r="IA188"/>
  <c r="IB188"/>
  <c r="IC188"/>
  <c r="ID188"/>
  <c r="IA189"/>
  <c r="IB189"/>
  <c r="IC189"/>
  <c r="ID189"/>
  <c r="IA190"/>
  <c r="IB190"/>
  <c r="IC190"/>
  <c r="ID190"/>
  <c r="IA191"/>
  <c r="IB191"/>
  <c r="IC191"/>
  <c r="ID191"/>
  <c r="IA192"/>
  <c r="IB192"/>
  <c r="IC192"/>
  <c r="ID192"/>
  <c r="IA193"/>
  <c r="IB193"/>
  <c r="IC193"/>
  <c r="ID193"/>
  <c r="IA194"/>
  <c r="IB194"/>
  <c r="IC194"/>
  <c r="ID194"/>
  <c r="IA195"/>
  <c r="IB195"/>
  <c r="IC195"/>
  <c r="ID195"/>
  <c r="IA196"/>
  <c r="IB196"/>
  <c r="IC196"/>
  <c r="ID196"/>
  <c r="IA197"/>
  <c r="IB197"/>
  <c r="IC197"/>
  <c r="ID197"/>
  <c r="IA198"/>
  <c r="IB198"/>
  <c r="IC198"/>
  <c r="ID198"/>
  <c r="IA199"/>
  <c r="IB199"/>
  <c r="IC199"/>
  <c r="ID199"/>
  <c r="IA200"/>
  <c r="IB200"/>
  <c r="IC200"/>
  <c r="ID200"/>
  <c r="IA201"/>
  <c r="IB201"/>
  <c r="IC201"/>
  <c r="ID201"/>
  <c r="IA202"/>
  <c r="IB202"/>
  <c r="IC202"/>
  <c r="ID202"/>
  <c r="IA203"/>
  <c r="IB203"/>
  <c r="IC203"/>
  <c r="ID203"/>
  <c r="IA204"/>
  <c r="IB204"/>
  <c r="IC204"/>
  <c r="ID204"/>
  <c r="IA205"/>
  <c r="IB205"/>
  <c r="IC205"/>
  <c r="ID205"/>
  <c r="IA206"/>
  <c r="IB206"/>
  <c r="IC206"/>
  <c r="ID206"/>
  <c r="IA207"/>
  <c r="IB207"/>
  <c r="IC207"/>
  <c r="ID207"/>
  <c r="IA208"/>
  <c r="IB208"/>
  <c r="IC208"/>
  <c r="ID208"/>
  <c r="IA209"/>
  <c r="IB209"/>
  <c r="IC209"/>
  <c r="ID209"/>
  <c r="IA210"/>
  <c r="IB210"/>
  <c r="IC210"/>
  <c r="ID210"/>
  <c r="IA211"/>
  <c r="IB211"/>
  <c r="IC211"/>
  <c r="ID211"/>
  <c r="IA212"/>
  <c r="IB212"/>
  <c r="IC212"/>
  <c r="ID212"/>
  <c r="IA213"/>
  <c r="IB213"/>
  <c r="IC213"/>
  <c r="ID213"/>
  <c r="IA214"/>
  <c r="IB214"/>
  <c r="IC214"/>
  <c r="ID214"/>
  <c r="IA215"/>
  <c r="IB215"/>
  <c r="IC215"/>
  <c r="ID215"/>
  <c r="IA216"/>
  <c r="IB216"/>
  <c r="IC216"/>
  <c r="ID216"/>
  <c r="IA217"/>
  <c r="IB217"/>
  <c r="IC217"/>
  <c r="ID217"/>
  <c r="IA218"/>
  <c r="IB218"/>
  <c r="IC218"/>
  <c r="ID218"/>
  <c r="IA219"/>
  <c r="IB219"/>
  <c r="IC219"/>
  <c r="ID219"/>
  <c r="ID8"/>
  <c r="IC8"/>
  <c r="IB8"/>
  <c r="AK13" i="15"/>
  <c r="IJ14" i="9" s="1"/>
  <c r="AK8" i="15"/>
  <c r="IJ9" i="9" s="1"/>
  <c r="AL8" i="15"/>
  <c r="IP9" i="9" s="1"/>
  <c r="AK9" i="15"/>
  <c r="IJ10" i="9" s="1"/>
  <c r="AL9" i="15"/>
  <c r="IP10" i="9" s="1"/>
  <c r="AK10" i="15"/>
  <c r="IJ11" i="9" s="1"/>
  <c r="AL10" i="15"/>
  <c r="IP11" i="9" s="1"/>
  <c r="AK11" i="15"/>
  <c r="IJ12" i="9" s="1"/>
  <c r="AL11" i="15"/>
  <c r="IP12" i="9" s="1"/>
  <c r="AK12" i="15"/>
  <c r="IJ13" i="9" s="1"/>
  <c r="AL12" i="15"/>
  <c r="IP13" i="9" s="1"/>
  <c r="AL13" i="15"/>
  <c r="IP14" i="9" s="1"/>
  <c r="AK14" i="15"/>
  <c r="IJ15" i="9" s="1"/>
  <c r="AL14" i="15"/>
  <c r="IP15" i="9" s="1"/>
  <c r="AK15" i="15"/>
  <c r="IJ16" i="9" s="1"/>
  <c r="AL15" i="15"/>
  <c r="IP16" i="9" s="1"/>
  <c r="AK16" i="15"/>
  <c r="IJ17" i="9" s="1"/>
  <c r="AL16" i="15"/>
  <c r="IP17" i="9" s="1"/>
  <c r="AK17" i="15"/>
  <c r="IJ18" i="9" s="1"/>
  <c r="AL17" i="15"/>
  <c r="IP18" i="9" s="1"/>
  <c r="AK18" i="15"/>
  <c r="IJ19" i="9" s="1"/>
  <c r="AL18" i="15"/>
  <c r="IP19" i="9" s="1"/>
  <c r="AK19" i="15"/>
  <c r="IJ20" i="9" s="1"/>
  <c r="AL19" i="15"/>
  <c r="IP20" i="9" s="1"/>
  <c r="AK20" i="15"/>
  <c r="IJ21" i="9" s="1"/>
  <c r="AL20" i="15"/>
  <c r="IP21" i="9" s="1"/>
  <c r="AK21" i="15"/>
  <c r="IJ22" i="9" s="1"/>
  <c r="AL21" i="15"/>
  <c r="IP22" i="9" s="1"/>
  <c r="AK22" i="15"/>
  <c r="IJ23" i="9" s="1"/>
  <c r="AL22" i="15"/>
  <c r="IP23" i="9" s="1"/>
  <c r="AK23" i="15"/>
  <c r="IJ24" i="9" s="1"/>
  <c r="AL23" i="15"/>
  <c r="IP24" i="9" s="1"/>
  <c r="AK24" i="15"/>
  <c r="IJ25" i="9" s="1"/>
  <c r="AL24" i="15"/>
  <c r="IP25" i="9" s="1"/>
  <c r="AK25" i="15"/>
  <c r="IJ26" i="9" s="1"/>
  <c r="AL25" i="15"/>
  <c r="IP26" i="9" s="1"/>
  <c r="AK26" i="15"/>
  <c r="IJ27" i="9" s="1"/>
  <c r="AL26" i="15"/>
  <c r="IP27" i="9" s="1"/>
  <c r="AK27" i="15"/>
  <c r="IJ28" i="9" s="1"/>
  <c r="AL27" i="15"/>
  <c r="IP28" i="9" s="1"/>
  <c r="AK28" i="15"/>
  <c r="IJ29" i="9" s="1"/>
  <c r="AL28" i="15"/>
  <c r="IP29" i="9" s="1"/>
  <c r="AK29" i="15"/>
  <c r="IJ30" i="9" s="1"/>
  <c r="AL29" i="15"/>
  <c r="IP30" i="9" s="1"/>
  <c r="AK30" i="15"/>
  <c r="IJ31" i="9" s="1"/>
  <c r="AL30" i="15"/>
  <c r="IP31" i="9" s="1"/>
  <c r="AK31" i="15"/>
  <c r="IJ32" i="9" s="1"/>
  <c r="AL31" i="15"/>
  <c r="IP32" i="9" s="1"/>
  <c r="AK32" i="15"/>
  <c r="IJ33" i="9" s="1"/>
  <c r="AL32" i="15"/>
  <c r="IP33" i="9" s="1"/>
  <c r="AK33" i="15"/>
  <c r="IJ34" i="9" s="1"/>
  <c r="AL33" i="15"/>
  <c r="IP34" i="9" s="1"/>
  <c r="AK34" i="15"/>
  <c r="IJ35" i="9" s="1"/>
  <c r="AL34" i="15"/>
  <c r="IP35" i="9" s="1"/>
  <c r="AK35" i="15"/>
  <c r="IJ36" i="9" s="1"/>
  <c r="AL35" i="15"/>
  <c r="IP36" i="9" s="1"/>
  <c r="AK36" i="15"/>
  <c r="IJ37" i="9" s="1"/>
  <c r="AL36" i="15"/>
  <c r="IP37" i="9" s="1"/>
  <c r="AK37" i="15"/>
  <c r="IJ38" i="9" s="1"/>
  <c r="AL37" i="15"/>
  <c r="IP38" i="9" s="1"/>
  <c r="AK38" i="15"/>
  <c r="IJ39" i="9" s="1"/>
  <c r="AL38" i="15"/>
  <c r="IP39" i="9" s="1"/>
  <c r="AK39" i="15"/>
  <c r="IJ40" i="9" s="1"/>
  <c r="AL39" i="15"/>
  <c r="IP40" i="9" s="1"/>
  <c r="AK40" i="15"/>
  <c r="IJ41" i="9" s="1"/>
  <c r="AL40" i="15"/>
  <c r="IP41" i="9" s="1"/>
  <c r="AK41" i="15"/>
  <c r="IJ42" i="9" s="1"/>
  <c r="AL41" i="15"/>
  <c r="IP42" i="9" s="1"/>
  <c r="AK42" i="15"/>
  <c r="IJ43" i="9" s="1"/>
  <c r="AL42" i="15"/>
  <c r="IP43" i="9" s="1"/>
  <c r="AK43" i="15"/>
  <c r="IJ44" i="9" s="1"/>
  <c r="AL43" i="15"/>
  <c r="IP44" i="9" s="1"/>
  <c r="AK44" i="15"/>
  <c r="IJ45" i="9" s="1"/>
  <c r="AL44" i="15"/>
  <c r="IP45" i="9" s="1"/>
  <c r="AK45" i="15"/>
  <c r="IJ46" i="9" s="1"/>
  <c r="AL45" i="15"/>
  <c r="IP46" i="9" s="1"/>
  <c r="AK46" i="15"/>
  <c r="IJ47" i="9" s="1"/>
  <c r="AL46" i="15"/>
  <c r="IP47" i="9" s="1"/>
  <c r="AK47" i="15"/>
  <c r="IJ48" i="9" s="1"/>
  <c r="AL47" i="15"/>
  <c r="IP48" i="9" s="1"/>
  <c r="AK48" i="15"/>
  <c r="IJ49" i="9" s="1"/>
  <c r="AL48" i="15"/>
  <c r="IP49" i="9" s="1"/>
  <c r="AK49" i="15"/>
  <c r="IJ50" i="9" s="1"/>
  <c r="AL49" i="15"/>
  <c r="IP50" i="9" s="1"/>
  <c r="AK50" i="15"/>
  <c r="IJ51" i="9" s="1"/>
  <c r="AL50" i="15"/>
  <c r="IP51" i="9" s="1"/>
  <c r="AK51" i="15"/>
  <c r="IJ52" i="9" s="1"/>
  <c r="AL51" i="15"/>
  <c r="IP52" i="9" s="1"/>
  <c r="AK52" i="15"/>
  <c r="IJ53" i="9" s="1"/>
  <c r="AL52" i="15"/>
  <c r="IP53" i="9" s="1"/>
  <c r="AK53" i="15"/>
  <c r="IJ54" i="9" s="1"/>
  <c r="AL53" i="15"/>
  <c r="IP54" i="9" s="1"/>
  <c r="AK54" i="15"/>
  <c r="IJ55" i="9" s="1"/>
  <c r="AL54" i="15"/>
  <c r="IP55" i="9" s="1"/>
  <c r="AK55" i="15"/>
  <c r="IJ56" i="9" s="1"/>
  <c r="AL55" i="15"/>
  <c r="IP56" i="9" s="1"/>
  <c r="AK56" i="15"/>
  <c r="IJ57" i="9" s="1"/>
  <c r="AL56" i="15"/>
  <c r="IP57" i="9" s="1"/>
  <c r="AK57" i="15"/>
  <c r="IJ58" i="9" s="1"/>
  <c r="AL57" i="15"/>
  <c r="IP58" i="9" s="1"/>
  <c r="AK58" i="15"/>
  <c r="IJ59" i="9" s="1"/>
  <c r="AL58" i="15"/>
  <c r="IP59" i="9" s="1"/>
  <c r="AK59" i="15"/>
  <c r="IJ60" i="9" s="1"/>
  <c r="AL59" i="15"/>
  <c r="IP60" i="9" s="1"/>
  <c r="AK60" i="15"/>
  <c r="IJ61" i="9" s="1"/>
  <c r="AL60" i="15"/>
  <c r="IP61" i="9" s="1"/>
  <c r="AK61" i="15"/>
  <c r="IJ62" i="9" s="1"/>
  <c r="AL61" i="15"/>
  <c r="IP62" i="9" s="1"/>
  <c r="AK62" i="15"/>
  <c r="IJ63" i="9" s="1"/>
  <c r="AL62" i="15"/>
  <c r="IP63" i="9" s="1"/>
  <c r="AK63" i="15"/>
  <c r="IJ64" i="9" s="1"/>
  <c r="AL63" i="15"/>
  <c r="IP64" i="9" s="1"/>
  <c r="AK64" i="15"/>
  <c r="IJ65" i="9" s="1"/>
  <c r="AL64" i="15"/>
  <c r="IP65" i="9" s="1"/>
  <c r="AK65" i="15"/>
  <c r="IJ66" i="9" s="1"/>
  <c r="AL65" i="15"/>
  <c r="IP66" i="9" s="1"/>
  <c r="AK66" i="15"/>
  <c r="IJ67" i="9" s="1"/>
  <c r="AL66" i="15"/>
  <c r="IP67" i="9" s="1"/>
  <c r="AK67" i="15"/>
  <c r="IJ68" i="9" s="1"/>
  <c r="AL67" i="15"/>
  <c r="IP68" i="9" s="1"/>
  <c r="AK68" i="15"/>
  <c r="IJ69" i="9" s="1"/>
  <c r="AL68" i="15"/>
  <c r="IP69" i="9" s="1"/>
  <c r="AK69" i="15"/>
  <c r="IJ70" i="9" s="1"/>
  <c r="AL69" i="15"/>
  <c r="IP70" i="9" s="1"/>
  <c r="AK70" i="15"/>
  <c r="IJ71" i="9" s="1"/>
  <c r="AL70" i="15"/>
  <c r="IP71" i="9" s="1"/>
  <c r="AK71" i="15"/>
  <c r="IJ72" i="9" s="1"/>
  <c r="AL71" i="15"/>
  <c r="IP72" i="9" s="1"/>
  <c r="AK72" i="15"/>
  <c r="IJ73" i="9" s="1"/>
  <c r="AL72" i="15"/>
  <c r="IP73" i="9" s="1"/>
  <c r="AK73" i="15"/>
  <c r="IJ74" i="9" s="1"/>
  <c r="AL73" i="15"/>
  <c r="IP74" i="9" s="1"/>
  <c r="AK74" i="15"/>
  <c r="IJ75" i="9" s="1"/>
  <c r="AL74" i="15"/>
  <c r="IP75" i="9" s="1"/>
  <c r="AK75" i="15"/>
  <c r="IJ76" i="9" s="1"/>
  <c r="AL75" i="15"/>
  <c r="IP76" i="9" s="1"/>
  <c r="AK76" i="15"/>
  <c r="IJ77" i="9" s="1"/>
  <c r="AL76" i="15"/>
  <c r="IP77" i="9" s="1"/>
  <c r="AK77" i="15"/>
  <c r="IJ78" i="9" s="1"/>
  <c r="AL77" i="15"/>
  <c r="IP78" i="9" s="1"/>
  <c r="AK78" i="15"/>
  <c r="IJ79" i="9" s="1"/>
  <c r="AL78" i="15"/>
  <c r="IP79" i="9" s="1"/>
  <c r="AK79" i="15"/>
  <c r="IJ80" i="9" s="1"/>
  <c r="AL79" i="15"/>
  <c r="IP80" i="9" s="1"/>
  <c r="AK80" i="15"/>
  <c r="IJ81" i="9" s="1"/>
  <c r="AL80" i="15"/>
  <c r="IP81" i="9" s="1"/>
  <c r="AK81" i="15"/>
  <c r="IJ82" i="9" s="1"/>
  <c r="AL81" i="15"/>
  <c r="IP82" i="9" s="1"/>
  <c r="AK82" i="15"/>
  <c r="IJ83" i="9" s="1"/>
  <c r="AL82" i="15"/>
  <c r="IP83" i="9" s="1"/>
  <c r="AK83" i="15"/>
  <c r="IJ84" i="9" s="1"/>
  <c r="AL83" i="15"/>
  <c r="IP84" i="9" s="1"/>
  <c r="AK84" i="15"/>
  <c r="IJ85" i="9" s="1"/>
  <c r="AL84" i="15"/>
  <c r="IP85" i="9" s="1"/>
  <c r="AK85" i="15"/>
  <c r="IJ86" i="9" s="1"/>
  <c r="AL85" i="15"/>
  <c r="IP86" i="9" s="1"/>
  <c r="AK86" i="15"/>
  <c r="IJ87" i="9" s="1"/>
  <c r="AL86" i="15"/>
  <c r="IP87" i="9" s="1"/>
  <c r="AK87" i="15"/>
  <c r="IJ88" i="9" s="1"/>
  <c r="AL87" i="15"/>
  <c r="IP88" i="9" s="1"/>
  <c r="AK88" i="15"/>
  <c r="IJ89" i="9" s="1"/>
  <c r="AL88" i="15"/>
  <c r="IP89" i="9" s="1"/>
  <c r="AK89" i="15"/>
  <c r="IJ90" i="9" s="1"/>
  <c r="AL89" i="15"/>
  <c r="IP90" i="9" s="1"/>
  <c r="AK90" i="15"/>
  <c r="IJ91" i="9" s="1"/>
  <c r="AL90" i="15"/>
  <c r="IP91" i="9" s="1"/>
  <c r="AK91" i="15"/>
  <c r="IJ92" i="9" s="1"/>
  <c r="AL91" i="15"/>
  <c r="IP92" i="9" s="1"/>
  <c r="AK92" i="15"/>
  <c r="IJ93" i="9" s="1"/>
  <c r="AL92" i="15"/>
  <c r="IP93" i="9" s="1"/>
  <c r="AK93" i="15"/>
  <c r="IJ94" i="9" s="1"/>
  <c r="AL93" i="15"/>
  <c r="IP94" i="9" s="1"/>
  <c r="AK94" i="15"/>
  <c r="IJ95" i="9" s="1"/>
  <c r="AL94" i="15"/>
  <c r="IP95" i="9" s="1"/>
  <c r="AK95" i="15"/>
  <c r="IJ96" i="9" s="1"/>
  <c r="AL95" i="15"/>
  <c r="IP96" i="9" s="1"/>
  <c r="AK96" i="15"/>
  <c r="IJ97" i="9" s="1"/>
  <c r="AL96" i="15"/>
  <c r="IP97" i="9" s="1"/>
  <c r="AK97" i="15"/>
  <c r="IJ98" i="9" s="1"/>
  <c r="AL97" i="15"/>
  <c r="IP98" i="9" s="1"/>
  <c r="AK98" i="15"/>
  <c r="IJ99" i="9" s="1"/>
  <c r="AL98" i="15"/>
  <c r="IP99" i="9" s="1"/>
  <c r="AK99" i="15"/>
  <c r="IJ100" i="9" s="1"/>
  <c r="AL99" i="15"/>
  <c r="IP100" i="9" s="1"/>
  <c r="AK100" i="15"/>
  <c r="IJ101" i="9" s="1"/>
  <c r="AL100" i="15"/>
  <c r="IP101" i="9" s="1"/>
  <c r="AK101" i="15"/>
  <c r="IJ102" i="9" s="1"/>
  <c r="AL101" i="15"/>
  <c r="IP102" i="9" s="1"/>
  <c r="AK102" i="15"/>
  <c r="IJ103" i="9" s="1"/>
  <c r="AL102" i="15"/>
  <c r="IP103" i="9" s="1"/>
  <c r="AK103" i="15"/>
  <c r="IJ104" i="9" s="1"/>
  <c r="AL103" i="15"/>
  <c r="IP104" i="9" s="1"/>
  <c r="AK104" i="15"/>
  <c r="IJ105" i="9" s="1"/>
  <c r="AL104" i="15"/>
  <c r="IP105" i="9" s="1"/>
  <c r="AK105" i="15"/>
  <c r="IJ106" i="9" s="1"/>
  <c r="AL105" i="15"/>
  <c r="IP106" i="9" s="1"/>
  <c r="AK106" i="15"/>
  <c r="IJ107" i="9" s="1"/>
  <c r="AL106" i="15"/>
  <c r="IP107" i="9" s="1"/>
  <c r="AK107" i="15"/>
  <c r="IJ108" i="9" s="1"/>
  <c r="AL107" i="15"/>
  <c r="IP108" i="9" s="1"/>
  <c r="AK108" i="15"/>
  <c r="IJ109" i="9" s="1"/>
  <c r="AL108" i="15"/>
  <c r="IP109" i="9" s="1"/>
  <c r="AK109" i="15"/>
  <c r="IJ110" i="9" s="1"/>
  <c r="AL109" i="15"/>
  <c r="IP110" i="9" s="1"/>
  <c r="AK110" i="15"/>
  <c r="IJ111" i="9" s="1"/>
  <c r="AL110" i="15"/>
  <c r="IP111" i="9" s="1"/>
  <c r="AK111" i="15"/>
  <c r="IJ112" i="9" s="1"/>
  <c r="AL111" i="15"/>
  <c r="IP112" i="9" s="1"/>
  <c r="AK112" i="15"/>
  <c r="IJ113" i="9" s="1"/>
  <c r="AL112" i="15"/>
  <c r="IP113" i="9" s="1"/>
  <c r="AK113" i="15"/>
  <c r="IJ114" i="9" s="1"/>
  <c r="AL113" i="15"/>
  <c r="IP114" i="9" s="1"/>
  <c r="AK114" i="15"/>
  <c r="IJ115" i="9" s="1"/>
  <c r="AL114" i="15"/>
  <c r="IP115" i="9" s="1"/>
  <c r="AK115" i="15"/>
  <c r="IJ116" i="9" s="1"/>
  <c r="AL115" i="15"/>
  <c r="IP116" i="9" s="1"/>
  <c r="AK116" i="15"/>
  <c r="IJ117" i="9" s="1"/>
  <c r="AL116" i="15"/>
  <c r="IP117" i="9" s="1"/>
  <c r="AK117" i="15"/>
  <c r="IJ118" i="9" s="1"/>
  <c r="AL117" i="15"/>
  <c r="IP118" i="9" s="1"/>
  <c r="AK118" i="15"/>
  <c r="IJ119" i="9" s="1"/>
  <c r="AL118" i="15"/>
  <c r="IP119" i="9" s="1"/>
  <c r="AK119" i="15"/>
  <c r="IJ120" i="9" s="1"/>
  <c r="AL119" i="15"/>
  <c r="IP120" i="9" s="1"/>
  <c r="AK120" i="15"/>
  <c r="IJ121" i="9" s="1"/>
  <c r="AL120" i="15"/>
  <c r="IP121" i="9" s="1"/>
  <c r="AK121" i="15"/>
  <c r="IJ122" i="9" s="1"/>
  <c r="AL121" i="15"/>
  <c r="IP122" i="9" s="1"/>
  <c r="AK122" i="15"/>
  <c r="IJ123" i="9" s="1"/>
  <c r="AL122" i="15"/>
  <c r="IP123" i="9" s="1"/>
  <c r="AK123" i="15"/>
  <c r="IJ124" i="9" s="1"/>
  <c r="AL123" i="15"/>
  <c r="IP124" i="9" s="1"/>
  <c r="AK124" i="15"/>
  <c r="IJ125" i="9" s="1"/>
  <c r="AL124" i="15"/>
  <c r="IP125" i="9" s="1"/>
  <c r="AK125" i="15"/>
  <c r="IJ126" i="9" s="1"/>
  <c r="AL125" i="15"/>
  <c r="IP126" i="9" s="1"/>
  <c r="AK126" i="15"/>
  <c r="IJ127" i="9" s="1"/>
  <c r="AL126" i="15"/>
  <c r="IP127" i="9" s="1"/>
  <c r="AK127" i="15"/>
  <c r="IJ128" i="9" s="1"/>
  <c r="AL127" i="15"/>
  <c r="IP128" i="9" s="1"/>
  <c r="AK128" i="15"/>
  <c r="IJ129" i="9" s="1"/>
  <c r="AL128" i="15"/>
  <c r="IP129" i="9" s="1"/>
  <c r="AK129" i="15"/>
  <c r="IJ130" i="9" s="1"/>
  <c r="AL129" i="15"/>
  <c r="IP130" i="9" s="1"/>
  <c r="AK130" i="15"/>
  <c r="IJ131" i="9" s="1"/>
  <c r="AL130" i="15"/>
  <c r="IP131" i="9" s="1"/>
  <c r="AK131" i="15"/>
  <c r="IJ132" i="9" s="1"/>
  <c r="AL131" i="15"/>
  <c r="IP132" i="9" s="1"/>
  <c r="AK132" i="15"/>
  <c r="IJ133" i="9" s="1"/>
  <c r="AL132" i="15"/>
  <c r="IP133" i="9" s="1"/>
  <c r="AK133" i="15"/>
  <c r="IJ134" i="9" s="1"/>
  <c r="AL133" i="15"/>
  <c r="IP134" i="9" s="1"/>
  <c r="AK134" i="15"/>
  <c r="IJ135" i="9" s="1"/>
  <c r="AL134" i="15"/>
  <c r="IP135" i="9" s="1"/>
  <c r="AK135" i="15"/>
  <c r="IJ136" i="9" s="1"/>
  <c r="AL135" i="15"/>
  <c r="IP136" i="9" s="1"/>
  <c r="AK136" i="15"/>
  <c r="IJ137" i="9" s="1"/>
  <c r="AL136" i="15"/>
  <c r="IP137" i="9" s="1"/>
  <c r="AK137" i="15"/>
  <c r="IJ138" i="9" s="1"/>
  <c r="AL137" i="15"/>
  <c r="IP138" i="9" s="1"/>
  <c r="AK138" i="15"/>
  <c r="IJ139" i="9" s="1"/>
  <c r="AL138" i="15"/>
  <c r="IP139" i="9" s="1"/>
  <c r="AK139" i="15"/>
  <c r="IJ140" i="9" s="1"/>
  <c r="AL139" i="15"/>
  <c r="IP140" i="9" s="1"/>
  <c r="AK140" i="15"/>
  <c r="IJ141" i="9" s="1"/>
  <c r="AL140" i="15"/>
  <c r="IP141" i="9" s="1"/>
  <c r="AK141" i="15"/>
  <c r="IJ142" i="9" s="1"/>
  <c r="AL141" i="15"/>
  <c r="IP142" i="9" s="1"/>
  <c r="AK142" i="15"/>
  <c r="IJ143" i="9" s="1"/>
  <c r="AL142" i="15"/>
  <c r="IP143" i="9" s="1"/>
  <c r="AK143" i="15"/>
  <c r="IJ144" i="9" s="1"/>
  <c r="AL143" i="15"/>
  <c r="IP144" i="9" s="1"/>
  <c r="AK144" i="15"/>
  <c r="IJ145" i="9" s="1"/>
  <c r="AL144" i="15"/>
  <c r="IP145" i="9" s="1"/>
  <c r="AK145" i="15"/>
  <c r="IJ146" i="9" s="1"/>
  <c r="AL145" i="15"/>
  <c r="IP146" i="9" s="1"/>
  <c r="AK146" i="15"/>
  <c r="IJ147" i="9" s="1"/>
  <c r="AL146" i="15"/>
  <c r="IP147" i="9" s="1"/>
  <c r="AK147" i="15"/>
  <c r="IJ148" i="9" s="1"/>
  <c r="AL147" i="15"/>
  <c r="IP148" i="9" s="1"/>
  <c r="AK148" i="15"/>
  <c r="IJ149" i="9" s="1"/>
  <c r="AL148" i="15"/>
  <c r="IP149" i="9" s="1"/>
  <c r="AK149" i="15"/>
  <c r="IJ150" i="9" s="1"/>
  <c r="AL149" i="15"/>
  <c r="IP150" i="9" s="1"/>
  <c r="AK150" i="15"/>
  <c r="IJ151" i="9" s="1"/>
  <c r="AL150" i="15"/>
  <c r="IP151" i="9" s="1"/>
  <c r="AK151" i="15"/>
  <c r="IJ152" i="9" s="1"/>
  <c r="AL151" i="15"/>
  <c r="IP152" i="9" s="1"/>
  <c r="AK152" i="15"/>
  <c r="IJ153" i="9" s="1"/>
  <c r="AL152" i="15"/>
  <c r="IP153" i="9" s="1"/>
  <c r="AK153" i="15"/>
  <c r="IJ154" i="9" s="1"/>
  <c r="AL153" i="15"/>
  <c r="IP154" i="9" s="1"/>
  <c r="AK154" i="15"/>
  <c r="IJ155" i="9" s="1"/>
  <c r="AL154" i="15"/>
  <c r="IP155" i="9" s="1"/>
  <c r="AK155" i="15"/>
  <c r="IJ156" i="9" s="1"/>
  <c r="AL155" i="15"/>
  <c r="IP156" i="9" s="1"/>
  <c r="AK156" i="15"/>
  <c r="IJ157" i="9" s="1"/>
  <c r="AL156" i="15"/>
  <c r="IP157" i="9" s="1"/>
  <c r="AK157" i="15"/>
  <c r="IJ158" i="9" s="1"/>
  <c r="AL157" i="15"/>
  <c r="IP158" i="9" s="1"/>
  <c r="AK158" i="15"/>
  <c r="IJ159" i="9" s="1"/>
  <c r="AL158" i="15"/>
  <c r="IP159" i="9" s="1"/>
  <c r="AK159" i="15"/>
  <c r="IJ160" i="9" s="1"/>
  <c r="AL159" i="15"/>
  <c r="IP160" i="9" s="1"/>
  <c r="AK160" i="15"/>
  <c r="IJ161" i="9" s="1"/>
  <c r="AL160" i="15"/>
  <c r="IP161" i="9" s="1"/>
  <c r="AK161" i="15"/>
  <c r="IJ162" i="9" s="1"/>
  <c r="AL161" i="15"/>
  <c r="IP162" i="9" s="1"/>
  <c r="AK162" i="15"/>
  <c r="IJ163" i="9" s="1"/>
  <c r="AL162" i="15"/>
  <c r="IP163" i="9" s="1"/>
  <c r="AK163" i="15"/>
  <c r="IJ164" i="9" s="1"/>
  <c r="AL163" i="15"/>
  <c r="IP164" i="9" s="1"/>
  <c r="AK164" i="15"/>
  <c r="IJ165" i="9" s="1"/>
  <c r="AL164" i="15"/>
  <c r="IP165" i="9" s="1"/>
  <c r="AK165" i="15"/>
  <c r="IJ166" i="9" s="1"/>
  <c r="AL165" i="15"/>
  <c r="IP166" i="9" s="1"/>
  <c r="AK166" i="15"/>
  <c r="IJ167" i="9" s="1"/>
  <c r="AL166" i="15"/>
  <c r="IP167" i="9" s="1"/>
  <c r="AK167" i="15"/>
  <c r="IJ168" i="9" s="1"/>
  <c r="AL167" i="15"/>
  <c r="IP168" i="9" s="1"/>
  <c r="AK168" i="15"/>
  <c r="IJ169" i="9" s="1"/>
  <c r="AL168" i="15"/>
  <c r="IP169" i="9" s="1"/>
  <c r="AK169" i="15"/>
  <c r="IJ170" i="9" s="1"/>
  <c r="AL169" i="15"/>
  <c r="IP170" i="9" s="1"/>
  <c r="AK170" i="15"/>
  <c r="IJ171" i="9" s="1"/>
  <c r="AL170" i="15"/>
  <c r="IP171" i="9" s="1"/>
  <c r="AK171" i="15"/>
  <c r="IJ172" i="9" s="1"/>
  <c r="AL171" i="15"/>
  <c r="IP172" i="9" s="1"/>
  <c r="AK172" i="15"/>
  <c r="IJ173" i="9" s="1"/>
  <c r="AL172" i="15"/>
  <c r="IP173" i="9" s="1"/>
  <c r="AK173" i="15"/>
  <c r="IJ174" i="9" s="1"/>
  <c r="AL173" i="15"/>
  <c r="IP174" i="9" s="1"/>
  <c r="AK174" i="15"/>
  <c r="IJ175" i="9" s="1"/>
  <c r="AL174" i="15"/>
  <c r="IP175" i="9" s="1"/>
  <c r="AK175" i="15"/>
  <c r="IJ176" i="9" s="1"/>
  <c r="AL175" i="15"/>
  <c r="IP176" i="9" s="1"/>
  <c r="AK176" i="15"/>
  <c r="IJ177" i="9" s="1"/>
  <c r="AL176" i="15"/>
  <c r="IP177" i="9" s="1"/>
  <c r="AK177" i="15"/>
  <c r="IJ178" i="9" s="1"/>
  <c r="AL177" i="15"/>
  <c r="IP178" i="9" s="1"/>
  <c r="AK178" i="15"/>
  <c r="IJ179" i="9" s="1"/>
  <c r="AL178" i="15"/>
  <c r="IP179" i="9" s="1"/>
  <c r="AK179" i="15"/>
  <c r="IJ180" i="9" s="1"/>
  <c r="AL179" i="15"/>
  <c r="IP180" i="9" s="1"/>
  <c r="AK180" i="15"/>
  <c r="IJ181" i="9" s="1"/>
  <c r="AL180" i="15"/>
  <c r="IP181" i="9" s="1"/>
  <c r="AK181" i="15"/>
  <c r="IJ182" i="9" s="1"/>
  <c r="AL181" i="15"/>
  <c r="IP182" i="9" s="1"/>
  <c r="AK182" i="15"/>
  <c r="IJ183" i="9" s="1"/>
  <c r="AL182" i="15"/>
  <c r="IP183" i="9" s="1"/>
  <c r="AK183" i="15"/>
  <c r="IJ184" i="9" s="1"/>
  <c r="AL183" i="15"/>
  <c r="IP184" i="9" s="1"/>
  <c r="AK184" i="15"/>
  <c r="IJ185" i="9" s="1"/>
  <c r="AL184" i="15"/>
  <c r="IP185" i="9" s="1"/>
  <c r="AK185" i="15"/>
  <c r="IJ186" i="9" s="1"/>
  <c r="AL185" i="15"/>
  <c r="IP186" i="9" s="1"/>
  <c r="AK186" i="15"/>
  <c r="IJ187" i="9" s="1"/>
  <c r="AL186" i="15"/>
  <c r="IP187" i="9" s="1"/>
  <c r="AK187" i="15"/>
  <c r="IJ188" i="9" s="1"/>
  <c r="AL187" i="15"/>
  <c r="IP188" i="9" s="1"/>
  <c r="AK188" i="15"/>
  <c r="IJ189" i="9" s="1"/>
  <c r="AL188" i="15"/>
  <c r="IP189" i="9" s="1"/>
  <c r="AK189" i="15"/>
  <c r="IJ190" i="9" s="1"/>
  <c r="AL189" i="15"/>
  <c r="IP190" i="9" s="1"/>
  <c r="AK190" i="15"/>
  <c r="IJ191" i="9" s="1"/>
  <c r="AL190" i="15"/>
  <c r="IP191" i="9" s="1"/>
  <c r="AK191" i="15"/>
  <c r="IJ192" i="9" s="1"/>
  <c r="AL191" i="15"/>
  <c r="IP192" i="9" s="1"/>
  <c r="AK192" i="15"/>
  <c r="IJ193" i="9" s="1"/>
  <c r="AL192" i="15"/>
  <c r="IP193" i="9" s="1"/>
  <c r="AK193" i="15"/>
  <c r="IJ194" i="9" s="1"/>
  <c r="AL193" i="15"/>
  <c r="IP194" i="9" s="1"/>
  <c r="AK194" i="15"/>
  <c r="IJ195" i="9" s="1"/>
  <c r="AL194" i="15"/>
  <c r="IP195" i="9" s="1"/>
  <c r="AK195" i="15"/>
  <c r="IJ196" i="9" s="1"/>
  <c r="AL195" i="15"/>
  <c r="IP196" i="9" s="1"/>
  <c r="AK196" i="15"/>
  <c r="IJ197" i="9" s="1"/>
  <c r="AL196" i="15"/>
  <c r="IP197" i="9" s="1"/>
  <c r="AK197" i="15"/>
  <c r="IJ198" i="9" s="1"/>
  <c r="AL197" i="15"/>
  <c r="IP198" i="9" s="1"/>
  <c r="AK198" i="15"/>
  <c r="IJ199" i="9" s="1"/>
  <c r="AL198" i="15"/>
  <c r="IP199" i="9" s="1"/>
  <c r="AK199" i="15"/>
  <c r="IJ200" i="9" s="1"/>
  <c r="AL199" i="15"/>
  <c r="IP200" i="9" s="1"/>
  <c r="AK200" i="15"/>
  <c r="IJ201" i="9" s="1"/>
  <c r="AL200" i="15"/>
  <c r="IP201" i="9" s="1"/>
  <c r="AK201" i="15"/>
  <c r="IJ202" i="9" s="1"/>
  <c r="AL201" i="15"/>
  <c r="IP202" i="9" s="1"/>
  <c r="AK202" i="15"/>
  <c r="IJ203" i="9" s="1"/>
  <c r="AL202" i="15"/>
  <c r="IP203" i="9" s="1"/>
  <c r="AK203" i="15"/>
  <c r="IJ204" i="9" s="1"/>
  <c r="AL203" i="15"/>
  <c r="IP204" i="9" s="1"/>
  <c r="AK204" i="15"/>
  <c r="IJ205" i="9" s="1"/>
  <c r="AL204" i="15"/>
  <c r="IP205" i="9" s="1"/>
  <c r="AK205" i="15"/>
  <c r="IJ206" i="9" s="1"/>
  <c r="AL205" i="15"/>
  <c r="IP206" i="9" s="1"/>
  <c r="AK206" i="15"/>
  <c r="IJ207" i="9" s="1"/>
  <c r="AL206" i="15"/>
  <c r="IP207" i="9" s="1"/>
  <c r="IP8"/>
  <c r="AI7" i="15"/>
  <c r="IO8" i="9" s="1"/>
  <c r="AH7" i="15"/>
  <c r="II8" i="9" s="1"/>
  <c r="AK7" i="15"/>
  <c r="IJ8" i="9" s="1"/>
  <c r="AI8" i="15"/>
  <c r="IO9" i="9" s="1"/>
  <c r="AH9" i="15"/>
  <c r="II10" i="9" s="1"/>
  <c r="AI9" i="15"/>
  <c r="IO10" i="9" s="1"/>
  <c r="AH10" i="15"/>
  <c r="II11" i="9" s="1"/>
  <c r="AI10" i="15"/>
  <c r="IO11" i="9" s="1"/>
  <c r="AH11" i="15"/>
  <c r="II12" i="9" s="1"/>
  <c r="AI11" i="15"/>
  <c r="IO12" i="9" s="1"/>
  <c r="AH12" i="15"/>
  <c r="II13" i="9" s="1"/>
  <c r="AI12" i="15"/>
  <c r="IO13" i="9" s="1"/>
  <c r="AH13" i="15"/>
  <c r="II14" i="9" s="1"/>
  <c r="AI13" i="15"/>
  <c r="IO14" i="9" s="1"/>
  <c r="AI14" i="15"/>
  <c r="IO15" i="9" s="1"/>
  <c r="AH15" i="15"/>
  <c r="II16" i="9" s="1"/>
  <c r="AI15" i="15"/>
  <c r="IO16" i="9" s="1"/>
  <c r="AH16" i="15"/>
  <c r="II17" i="9" s="1"/>
  <c r="AI16" i="15"/>
  <c r="IO17" i="9" s="1"/>
  <c r="AH17" i="15"/>
  <c r="II18" i="9" s="1"/>
  <c r="AI17" i="15"/>
  <c r="IO18" i="9" s="1"/>
  <c r="AH18" i="15"/>
  <c r="II19" i="9" s="1"/>
  <c r="AI18" i="15"/>
  <c r="IO19" i="9" s="1"/>
  <c r="AH19" i="15"/>
  <c r="II20" i="9" s="1"/>
  <c r="AI19" i="15"/>
  <c r="IO20" i="9" s="1"/>
  <c r="AH20" i="15"/>
  <c r="II21" i="9" s="1"/>
  <c r="AI20" i="15"/>
  <c r="IO21" i="9" s="1"/>
  <c r="AH21" i="15"/>
  <c r="II22" i="9" s="1"/>
  <c r="AI21" i="15"/>
  <c r="IO22" i="9" s="1"/>
  <c r="AH22" i="15"/>
  <c r="II23" i="9" s="1"/>
  <c r="AI22" i="15"/>
  <c r="IO23" i="9" s="1"/>
  <c r="AH23" i="15"/>
  <c r="II24" i="9" s="1"/>
  <c r="AI23" i="15"/>
  <c r="IO24" i="9" s="1"/>
  <c r="AH24" i="15"/>
  <c r="II25" i="9" s="1"/>
  <c r="AI24" i="15"/>
  <c r="IO25" i="9" s="1"/>
  <c r="AH25" i="15"/>
  <c r="II26" i="9" s="1"/>
  <c r="AI25" i="15"/>
  <c r="IO26" i="9" s="1"/>
  <c r="AH26" i="15"/>
  <c r="II27" i="9" s="1"/>
  <c r="AI26" i="15"/>
  <c r="IO27" i="9" s="1"/>
  <c r="AH27" i="15"/>
  <c r="II28" i="9" s="1"/>
  <c r="AI27" i="15"/>
  <c r="IO28" i="9" s="1"/>
  <c r="AH28" i="15"/>
  <c r="II29" i="9" s="1"/>
  <c r="AI28" i="15"/>
  <c r="IO29" i="9" s="1"/>
  <c r="AH29" i="15"/>
  <c r="II30" i="9" s="1"/>
  <c r="AI29" i="15"/>
  <c r="IO30" i="9" s="1"/>
  <c r="AH30" i="15"/>
  <c r="II31" i="9" s="1"/>
  <c r="AI30" i="15"/>
  <c r="IO31" i="9" s="1"/>
  <c r="AH31" i="15"/>
  <c r="II32" i="9" s="1"/>
  <c r="AI31" i="15"/>
  <c r="IO32" i="9" s="1"/>
  <c r="AH32" i="15"/>
  <c r="II33" i="9" s="1"/>
  <c r="AI32" i="15"/>
  <c r="IO33" i="9" s="1"/>
  <c r="AH33" i="15"/>
  <c r="II34" i="9" s="1"/>
  <c r="AI33" i="15"/>
  <c r="IO34" i="9" s="1"/>
  <c r="AH34" i="15"/>
  <c r="II35" i="9" s="1"/>
  <c r="AI34" i="15"/>
  <c r="IO35" i="9" s="1"/>
  <c r="AH35" i="15"/>
  <c r="II36" i="9" s="1"/>
  <c r="AI35" i="15"/>
  <c r="IO36" i="9" s="1"/>
  <c r="AH36" i="15"/>
  <c r="II37" i="9" s="1"/>
  <c r="AI36" i="15"/>
  <c r="IO37" i="9" s="1"/>
  <c r="AH37" i="15"/>
  <c r="II38" i="9" s="1"/>
  <c r="AI37" i="15"/>
  <c r="IO38" i="9" s="1"/>
  <c r="AH38" i="15"/>
  <c r="II39" i="9" s="1"/>
  <c r="AI38" i="15"/>
  <c r="IO39" i="9" s="1"/>
  <c r="AH39" i="15"/>
  <c r="II40" i="9" s="1"/>
  <c r="AI39" i="15"/>
  <c r="IO40" i="9" s="1"/>
  <c r="AH40" i="15"/>
  <c r="II41" i="9" s="1"/>
  <c r="AI40" i="15"/>
  <c r="IO41" i="9" s="1"/>
  <c r="AH41" i="15"/>
  <c r="II42" i="9" s="1"/>
  <c r="AI41" i="15"/>
  <c r="IO42" i="9" s="1"/>
  <c r="AH42" i="15"/>
  <c r="II43" i="9" s="1"/>
  <c r="AI42" i="15"/>
  <c r="IO43" i="9" s="1"/>
  <c r="AH43" i="15"/>
  <c r="II44" i="9" s="1"/>
  <c r="AI43" i="15"/>
  <c r="IO44" i="9" s="1"/>
  <c r="AH44" i="15"/>
  <c r="II45" i="9" s="1"/>
  <c r="AI44" i="15"/>
  <c r="IO45" i="9" s="1"/>
  <c r="AH45" i="15"/>
  <c r="II46" i="9" s="1"/>
  <c r="AI45" i="15"/>
  <c r="IO46" i="9" s="1"/>
  <c r="AH46" i="15"/>
  <c r="II47" i="9" s="1"/>
  <c r="AI46" i="15"/>
  <c r="IO47" i="9" s="1"/>
  <c r="AH47" i="15"/>
  <c r="II48" i="9" s="1"/>
  <c r="AI47" i="15"/>
  <c r="IO48" i="9" s="1"/>
  <c r="AH48" i="15"/>
  <c r="II49" i="9" s="1"/>
  <c r="AI48" i="15"/>
  <c r="IO49" i="9" s="1"/>
  <c r="AH49" i="15"/>
  <c r="II50" i="9" s="1"/>
  <c r="AI49" i="15"/>
  <c r="IO50" i="9" s="1"/>
  <c r="AH50" i="15"/>
  <c r="II51" i="9" s="1"/>
  <c r="AI50" i="15"/>
  <c r="IO51" i="9" s="1"/>
  <c r="AH51" i="15"/>
  <c r="II52" i="9" s="1"/>
  <c r="AI51" i="15"/>
  <c r="IO52" i="9" s="1"/>
  <c r="AH52" i="15"/>
  <c r="II53" i="9" s="1"/>
  <c r="AI52" i="15"/>
  <c r="IO53" i="9" s="1"/>
  <c r="AH53" i="15"/>
  <c r="II54" i="9" s="1"/>
  <c r="AI53" i="15"/>
  <c r="IO54" i="9" s="1"/>
  <c r="AH54" i="15"/>
  <c r="II55" i="9" s="1"/>
  <c r="AI54" i="15"/>
  <c r="IO55" i="9" s="1"/>
  <c r="AH55" i="15"/>
  <c r="II56" i="9" s="1"/>
  <c r="AI55" i="15"/>
  <c r="IO56" i="9" s="1"/>
  <c r="AH56" i="15"/>
  <c r="II57" i="9" s="1"/>
  <c r="AI56" i="15"/>
  <c r="IO57" i="9" s="1"/>
  <c r="AH57" i="15"/>
  <c r="II58" i="9" s="1"/>
  <c r="AI57" i="15"/>
  <c r="IO58" i="9" s="1"/>
  <c r="AH58" i="15"/>
  <c r="II59" i="9" s="1"/>
  <c r="AI58" i="15"/>
  <c r="IO59" i="9" s="1"/>
  <c r="AH59" i="15"/>
  <c r="II60" i="9" s="1"/>
  <c r="AI59" i="15"/>
  <c r="IO60" i="9" s="1"/>
  <c r="AH60" i="15"/>
  <c r="II61" i="9" s="1"/>
  <c r="AI60" i="15"/>
  <c r="IO61" i="9" s="1"/>
  <c r="AH61" i="15"/>
  <c r="II62" i="9" s="1"/>
  <c r="AI61" i="15"/>
  <c r="IO62" i="9" s="1"/>
  <c r="AH62" i="15"/>
  <c r="II63" i="9" s="1"/>
  <c r="AI62" i="15"/>
  <c r="IO63" i="9" s="1"/>
  <c r="AH63" i="15"/>
  <c r="II64" i="9" s="1"/>
  <c r="AI63" i="15"/>
  <c r="IO64" i="9" s="1"/>
  <c r="AH64" i="15"/>
  <c r="II65" i="9" s="1"/>
  <c r="AI64" i="15"/>
  <c r="IO65" i="9" s="1"/>
  <c r="AH65" i="15"/>
  <c r="II66" i="9" s="1"/>
  <c r="AI65" i="15"/>
  <c r="IO66" i="9" s="1"/>
  <c r="AH66" i="15"/>
  <c r="II67" i="9" s="1"/>
  <c r="AI66" i="15"/>
  <c r="IO67" i="9" s="1"/>
  <c r="AH67" i="15"/>
  <c r="II68" i="9" s="1"/>
  <c r="AI67" i="15"/>
  <c r="IO68" i="9" s="1"/>
  <c r="AH68" i="15"/>
  <c r="II69" i="9" s="1"/>
  <c r="AI68" i="15"/>
  <c r="IO69" i="9" s="1"/>
  <c r="AH69" i="15"/>
  <c r="II70" i="9" s="1"/>
  <c r="AI69" i="15"/>
  <c r="IO70" i="9" s="1"/>
  <c r="AH70" i="15"/>
  <c r="II71" i="9" s="1"/>
  <c r="AI70" i="15"/>
  <c r="IO71" i="9" s="1"/>
  <c r="AH71" i="15"/>
  <c r="II72" i="9" s="1"/>
  <c r="AI71" i="15"/>
  <c r="IO72" i="9" s="1"/>
  <c r="AH72" i="15"/>
  <c r="II73" i="9" s="1"/>
  <c r="AI72" i="15"/>
  <c r="IO73" i="9" s="1"/>
  <c r="AH73" i="15"/>
  <c r="II74" i="9" s="1"/>
  <c r="AI73" i="15"/>
  <c r="IO74" i="9" s="1"/>
  <c r="AH74" i="15"/>
  <c r="II75" i="9" s="1"/>
  <c r="AI74" i="15"/>
  <c r="IO75" i="9" s="1"/>
  <c r="AH75" i="15"/>
  <c r="II76" i="9" s="1"/>
  <c r="AI75" i="15"/>
  <c r="IO76" i="9" s="1"/>
  <c r="AH76" i="15"/>
  <c r="II77" i="9" s="1"/>
  <c r="AI76" i="15"/>
  <c r="IO77" i="9" s="1"/>
  <c r="AH77" i="15"/>
  <c r="II78" i="9" s="1"/>
  <c r="AI77" i="15"/>
  <c r="IO78" i="9" s="1"/>
  <c r="AH78" i="15"/>
  <c r="II79" i="9" s="1"/>
  <c r="AI78" i="15"/>
  <c r="IO79" i="9" s="1"/>
  <c r="AH79" i="15"/>
  <c r="II80" i="9" s="1"/>
  <c r="AI79" i="15"/>
  <c r="IO80" i="9" s="1"/>
  <c r="AH80" i="15"/>
  <c r="II81" i="9" s="1"/>
  <c r="AI80" i="15"/>
  <c r="IO81" i="9" s="1"/>
  <c r="AH81" i="15"/>
  <c r="II82" i="9" s="1"/>
  <c r="AI81" i="15"/>
  <c r="IO82" i="9" s="1"/>
  <c r="AH82" i="15"/>
  <c r="II83" i="9" s="1"/>
  <c r="AI82" i="15"/>
  <c r="IO83" i="9" s="1"/>
  <c r="AH83" i="15"/>
  <c r="II84" i="9" s="1"/>
  <c r="AI83" i="15"/>
  <c r="IO84" i="9" s="1"/>
  <c r="AH84" i="15"/>
  <c r="II85" i="9" s="1"/>
  <c r="AI84" i="15"/>
  <c r="IO85" i="9" s="1"/>
  <c r="AH85" i="15"/>
  <c r="II86" i="9" s="1"/>
  <c r="AI85" i="15"/>
  <c r="IO86" i="9" s="1"/>
  <c r="AH86" i="15"/>
  <c r="II87" i="9" s="1"/>
  <c r="AI86" i="15"/>
  <c r="IO87" i="9" s="1"/>
  <c r="AH87" i="15"/>
  <c r="II88" i="9" s="1"/>
  <c r="AI87" i="15"/>
  <c r="IO88" i="9" s="1"/>
  <c r="AH88" i="15"/>
  <c r="II89" i="9" s="1"/>
  <c r="AI88" i="15"/>
  <c r="IO89" i="9" s="1"/>
  <c r="AH89" i="15"/>
  <c r="II90" i="9" s="1"/>
  <c r="AI89" i="15"/>
  <c r="IO90" i="9" s="1"/>
  <c r="AH90" i="15"/>
  <c r="II91" i="9" s="1"/>
  <c r="AI90" i="15"/>
  <c r="IO91" i="9" s="1"/>
  <c r="AH91" i="15"/>
  <c r="II92" i="9" s="1"/>
  <c r="AI91" i="15"/>
  <c r="IO92" i="9" s="1"/>
  <c r="AH92" i="15"/>
  <c r="II93" i="9" s="1"/>
  <c r="AI92" i="15"/>
  <c r="IO93" i="9" s="1"/>
  <c r="AH93" i="15"/>
  <c r="II94" i="9" s="1"/>
  <c r="AI93" i="15"/>
  <c r="IO94" i="9" s="1"/>
  <c r="AH94" i="15"/>
  <c r="II95" i="9" s="1"/>
  <c r="AI94" i="15"/>
  <c r="IO95" i="9" s="1"/>
  <c r="AH95" i="15"/>
  <c r="II96" i="9" s="1"/>
  <c r="AI95" i="15"/>
  <c r="IO96" i="9" s="1"/>
  <c r="AH96" i="15"/>
  <c r="II97" i="9" s="1"/>
  <c r="AI96" i="15"/>
  <c r="IO97" i="9" s="1"/>
  <c r="AH97" i="15"/>
  <c r="II98" i="9" s="1"/>
  <c r="AI97" i="15"/>
  <c r="IO98" i="9" s="1"/>
  <c r="AH98" i="15"/>
  <c r="II99" i="9" s="1"/>
  <c r="AI98" i="15"/>
  <c r="IO99" i="9" s="1"/>
  <c r="AH99" i="15"/>
  <c r="II100" i="9" s="1"/>
  <c r="AI99" i="15"/>
  <c r="IO100" i="9" s="1"/>
  <c r="AH100" i="15"/>
  <c r="II101" i="9" s="1"/>
  <c r="AI100" i="15"/>
  <c r="IO101" i="9" s="1"/>
  <c r="AH101" i="15"/>
  <c r="II102" i="9" s="1"/>
  <c r="AI101" i="15"/>
  <c r="IO102" i="9" s="1"/>
  <c r="AH102" i="15"/>
  <c r="II103" i="9" s="1"/>
  <c r="AI102" i="15"/>
  <c r="IO103" i="9" s="1"/>
  <c r="AH103" i="15"/>
  <c r="II104" i="9" s="1"/>
  <c r="AI103" i="15"/>
  <c r="IO104" i="9" s="1"/>
  <c r="AH104" i="15"/>
  <c r="II105" i="9" s="1"/>
  <c r="AI104" i="15"/>
  <c r="IO105" i="9" s="1"/>
  <c r="AH105" i="15"/>
  <c r="II106" i="9" s="1"/>
  <c r="AI105" i="15"/>
  <c r="IO106" i="9" s="1"/>
  <c r="AH106" i="15"/>
  <c r="II107" i="9" s="1"/>
  <c r="AI106" i="15"/>
  <c r="IO107" i="9" s="1"/>
  <c r="AH107" i="15"/>
  <c r="II108" i="9" s="1"/>
  <c r="AI107" i="15"/>
  <c r="IO108" i="9" s="1"/>
  <c r="AH108" i="15"/>
  <c r="II109" i="9" s="1"/>
  <c r="AI108" i="15"/>
  <c r="IO109" i="9" s="1"/>
  <c r="AH109" i="15"/>
  <c r="II110" i="9" s="1"/>
  <c r="AI109" i="15"/>
  <c r="IO110" i="9" s="1"/>
  <c r="AH110" i="15"/>
  <c r="II111" i="9" s="1"/>
  <c r="AI110" i="15"/>
  <c r="IO111" i="9" s="1"/>
  <c r="AH111" i="15"/>
  <c r="II112" i="9" s="1"/>
  <c r="AI111" i="15"/>
  <c r="IO112" i="9" s="1"/>
  <c r="AH112" i="15"/>
  <c r="II113" i="9" s="1"/>
  <c r="AI112" i="15"/>
  <c r="IO113" i="9" s="1"/>
  <c r="AH113" i="15"/>
  <c r="II114" i="9" s="1"/>
  <c r="AI113" i="15"/>
  <c r="IO114" i="9" s="1"/>
  <c r="AH114" i="15"/>
  <c r="II115" i="9" s="1"/>
  <c r="AI114" i="15"/>
  <c r="IO115" i="9" s="1"/>
  <c r="AH115" i="15"/>
  <c r="II116" i="9" s="1"/>
  <c r="AI115" i="15"/>
  <c r="IO116" i="9" s="1"/>
  <c r="AH116" i="15"/>
  <c r="II117" i="9" s="1"/>
  <c r="AI116" i="15"/>
  <c r="IO117" i="9" s="1"/>
  <c r="AH117" i="15"/>
  <c r="II118" i="9" s="1"/>
  <c r="AI117" i="15"/>
  <c r="IO118" i="9" s="1"/>
  <c r="AH118" i="15"/>
  <c r="II119" i="9" s="1"/>
  <c r="AI118" i="15"/>
  <c r="IO119" i="9" s="1"/>
  <c r="AH119" i="15"/>
  <c r="II120" i="9" s="1"/>
  <c r="AI119" i="15"/>
  <c r="IO120" i="9" s="1"/>
  <c r="AH120" i="15"/>
  <c r="II121" i="9" s="1"/>
  <c r="AI120" i="15"/>
  <c r="IO121" i="9" s="1"/>
  <c r="AH121" i="15"/>
  <c r="II122" i="9" s="1"/>
  <c r="AI121" i="15"/>
  <c r="IO122" i="9" s="1"/>
  <c r="AH122" i="15"/>
  <c r="II123" i="9" s="1"/>
  <c r="AI122" i="15"/>
  <c r="IO123" i="9" s="1"/>
  <c r="AH123" i="15"/>
  <c r="II124" i="9" s="1"/>
  <c r="AI123" i="15"/>
  <c r="IO124" i="9" s="1"/>
  <c r="AH124" i="15"/>
  <c r="II125" i="9" s="1"/>
  <c r="AI124" i="15"/>
  <c r="IO125" i="9" s="1"/>
  <c r="AH125" i="15"/>
  <c r="II126" i="9" s="1"/>
  <c r="AI125" i="15"/>
  <c r="IO126" i="9" s="1"/>
  <c r="AH126" i="15"/>
  <c r="II127" i="9" s="1"/>
  <c r="AI126" i="15"/>
  <c r="IO127" i="9" s="1"/>
  <c r="AH127" i="15"/>
  <c r="II128" i="9" s="1"/>
  <c r="AI127" i="15"/>
  <c r="IO128" i="9" s="1"/>
  <c r="AH128" i="15"/>
  <c r="II129" i="9" s="1"/>
  <c r="AI128" i="15"/>
  <c r="IO129" i="9" s="1"/>
  <c r="AH129" i="15"/>
  <c r="II130" i="9" s="1"/>
  <c r="AI129" i="15"/>
  <c r="IO130" i="9" s="1"/>
  <c r="AH130" i="15"/>
  <c r="II131" i="9" s="1"/>
  <c r="AI130" i="15"/>
  <c r="IO131" i="9" s="1"/>
  <c r="AH131" i="15"/>
  <c r="II132" i="9" s="1"/>
  <c r="AI131" i="15"/>
  <c r="IO132" i="9" s="1"/>
  <c r="AH132" i="15"/>
  <c r="II133" i="9" s="1"/>
  <c r="AI132" i="15"/>
  <c r="IO133" i="9" s="1"/>
  <c r="AH133" i="15"/>
  <c r="II134" i="9" s="1"/>
  <c r="AI133" i="15"/>
  <c r="IO134" i="9" s="1"/>
  <c r="AH134" i="15"/>
  <c r="II135" i="9" s="1"/>
  <c r="AI134" i="15"/>
  <c r="IO135" i="9" s="1"/>
  <c r="AH135" i="15"/>
  <c r="II136" i="9" s="1"/>
  <c r="AI135" i="15"/>
  <c r="IO136" i="9" s="1"/>
  <c r="AH136" i="15"/>
  <c r="II137" i="9" s="1"/>
  <c r="AI136" i="15"/>
  <c r="IO137" i="9" s="1"/>
  <c r="AH137" i="15"/>
  <c r="II138" i="9" s="1"/>
  <c r="AI137" i="15"/>
  <c r="IO138" i="9" s="1"/>
  <c r="AH138" i="15"/>
  <c r="II139" i="9" s="1"/>
  <c r="AI138" i="15"/>
  <c r="IO139" i="9" s="1"/>
  <c r="AH139" i="15"/>
  <c r="II140" i="9" s="1"/>
  <c r="AI139" i="15"/>
  <c r="IO140" i="9" s="1"/>
  <c r="AH140" i="15"/>
  <c r="II141" i="9" s="1"/>
  <c r="AI140" i="15"/>
  <c r="IO141" i="9" s="1"/>
  <c r="AH141" i="15"/>
  <c r="II142" i="9" s="1"/>
  <c r="AI141" i="15"/>
  <c r="IO142" i="9" s="1"/>
  <c r="AH142" i="15"/>
  <c r="II143" i="9" s="1"/>
  <c r="AI142" i="15"/>
  <c r="IO143" i="9" s="1"/>
  <c r="AH143" i="15"/>
  <c r="II144" i="9" s="1"/>
  <c r="AI143" i="15"/>
  <c r="IO144" i="9" s="1"/>
  <c r="AH144" i="15"/>
  <c r="II145" i="9" s="1"/>
  <c r="AI144" i="15"/>
  <c r="IO145" i="9" s="1"/>
  <c r="AH145" i="15"/>
  <c r="II146" i="9" s="1"/>
  <c r="AI145" i="15"/>
  <c r="IO146" i="9" s="1"/>
  <c r="AH146" i="15"/>
  <c r="II147" i="9" s="1"/>
  <c r="AI146" i="15"/>
  <c r="IO147" i="9" s="1"/>
  <c r="AH147" i="15"/>
  <c r="II148" i="9" s="1"/>
  <c r="AI147" i="15"/>
  <c r="IO148" i="9" s="1"/>
  <c r="AH148" i="15"/>
  <c r="II149" i="9" s="1"/>
  <c r="AI148" i="15"/>
  <c r="IO149" i="9" s="1"/>
  <c r="AH149" i="15"/>
  <c r="II150" i="9" s="1"/>
  <c r="AI149" i="15"/>
  <c r="IO150" i="9" s="1"/>
  <c r="AH150" i="15"/>
  <c r="II151" i="9" s="1"/>
  <c r="AI150" i="15"/>
  <c r="IO151" i="9" s="1"/>
  <c r="AH151" i="15"/>
  <c r="II152" i="9" s="1"/>
  <c r="AI151" i="15"/>
  <c r="IO152" i="9" s="1"/>
  <c r="AH152" i="15"/>
  <c r="II153" i="9" s="1"/>
  <c r="AI152" i="15"/>
  <c r="IO153" i="9" s="1"/>
  <c r="AH153" i="15"/>
  <c r="II154" i="9" s="1"/>
  <c r="AI153" i="15"/>
  <c r="IO154" i="9" s="1"/>
  <c r="AH154" i="15"/>
  <c r="II155" i="9" s="1"/>
  <c r="AI154" i="15"/>
  <c r="IO155" i="9" s="1"/>
  <c r="AH155" i="15"/>
  <c r="II156" i="9" s="1"/>
  <c r="AI155" i="15"/>
  <c r="IO156" i="9" s="1"/>
  <c r="AH156" i="15"/>
  <c r="II157" i="9" s="1"/>
  <c r="AI156" i="15"/>
  <c r="IO157" i="9" s="1"/>
  <c r="AH157" i="15"/>
  <c r="II158" i="9" s="1"/>
  <c r="AI157" i="15"/>
  <c r="IO158" i="9" s="1"/>
  <c r="AH158" i="15"/>
  <c r="II159" i="9" s="1"/>
  <c r="AI158" i="15"/>
  <c r="IO159" i="9" s="1"/>
  <c r="AH159" i="15"/>
  <c r="II160" i="9" s="1"/>
  <c r="AI159" i="15"/>
  <c r="IO160" i="9" s="1"/>
  <c r="AH160" i="15"/>
  <c r="II161" i="9" s="1"/>
  <c r="AI160" i="15"/>
  <c r="IO161" i="9" s="1"/>
  <c r="AH161" i="15"/>
  <c r="II162" i="9" s="1"/>
  <c r="AI161" i="15"/>
  <c r="IO162" i="9" s="1"/>
  <c r="AH162" i="15"/>
  <c r="II163" i="9" s="1"/>
  <c r="AI162" i="15"/>
  <c r="IO163" i="9" s="1"/>
  <c r="AH163" i="15"/>
  <c r="II164" i="9" s="1"/>
  <c r="AI163" i="15"/>
  <c r="IO164" i="9" s="1"/>
  <c r="AH164" i="15"/>
  <c r="II165" i="9" s="1"/>
  <c r="AI164" i="15"/>
  <c r="IO165" i="9" s="1"/>
  <c r="AH165" i="15"/>
  <c r="II166" i="9" s="1"/>
  <c r="AI165" i="15"/>
  <c r="IO166" i="9" s="1"/>
  <c r="AH166" i="15"/>
  <c r="II167" i="9" s="1"/>
  <c r="AI166" i="15"/>
  <c r="IO167" i="9" s="1"/>
  <c r="AH167" i="15"/>
  <c r="II168" i="9" s="1"/>
  <c r="AI167" i="15"/>
  <c r="IO168" i="9" s="1"/>
  <c r="AH168" i="15"/>
  <c r="II169" i="9" s="1"/>
  <c r="AI168" i="15"/>
  <c r="IO169" i="9" s="1"/>
  <c r="AH169" i="15"/>
  <c r="II170" i="9" s="1"/>
  <c r="AI169" i="15"/>
  <c r="IO170" i="9" s="1"/>
  <c r="AH170" i="15"/>
  <c r="II171" i="9" s="1"/>
  <c r="AI170" i="15"/>
  <c r="IO171" i="9" s="1"/>
  <c r="AH171" i="15"/>
  <c r="II172" i="9" s="1"/>
  <c r="AI171" i="15"/>
  <c r="IO172" i="9" s="1"/>
  <c r="AH172" i="15"/>
  <c r="II173" i="9" s="1"/>
  <c r="AI172" i="15"/>
  <c r="IO173" i="9" s="1"/>
  <c r="AH173" i="15"/>
  <c r="II174" i="9" s="1"/>
  <c r="AI173" i="15"/>
  <c r="IO174" i="9" s="1"/>
  <c r="AH174" i="15"/>
  <c r="II175" i="9" s="1"/>
  <c r="AI174" i="15"/>
  <c r="IO175" i="9" s="1"/>
  <c r="AH175" i="15"/>
  <c r="II176" i="9" s="1"/>
  <c r="AI175" i="15"/>
  <c r="IO176" i="9" s="1"/>
  <c r="AH176" i="15"/>
  <c r="II177" i="9" s="1"/>
  <c r="AI176" i="15"/>
  <c r="IO177" i="9" s="1"/>
  <c r="AH177" i="15"/>
  <c r="II178" i="9" s="1"/>
  <c r="AI177" i="15"/>
  <c r="IO178" i="9" s="1"/>
  <c r="AH178" i="15"/>
  <c r="II179" i="9" s="1"/>
  <c r="AI178" i="15"/>
  <c r="IO179" i="9" s="1"/>
  <c r="AH179" i="15"/>
  <c r="II180" i="9" s="1"/>
  <c r="AI179" i="15"/>
  <c r="IO180" i="9" s="1"/>
  <c r="AH180" i="15"/>
  <c r="II181" i="9" s="1"/>
  <c r="AI180" i="15"/>
  <c r="IO181" i="9" s="1"/>
  <c r="AH181" i="15"/>
  <c r="II182" i="9" s="1"/>
  <c r="AI181" i="15"/>
  <c r="IO182" i="9" s="1"/>
  <c r="AH182" i="15"/>
  <c r="II183" i="9" s="1"/>
  <c r="AI182" i="15"/>
  <c r="IO183" i="9" s="1"/>
  <c r="AH183" i="15"/>
  <c r="II184" i="9" s="1"/>
  <c r="AI183" i="15"/>
  <c r="IO184" i="9" s="1"/>
  <c r="AH184" i="15"/>
  <c r="II185" i="9" s="1"/>
  <c r="AI184" i="15"/>
  <c r="IO185" i="9" s="1"/>
  <c r="AH185" i="15"/>
  <c r="II186" i="9" s="1"/>
  <c r="AI185" i="15"/>
  <c r="IO186" i="9" s="1"/>
  <c r="AH186" i="15"/>
  <c r="II187" i="9" s="1"/>
  <c r="AI186" i="15"/>
  <c r="IO187" i="9" s="1"/>
  <c r="AH187" i="15"/>
  <c r="II188" i="9" s="1"/>
  <c r="AI187" i="15"/>
  <c r="IO188" i="9" s="1"/>
  <c r="AH188" i="15"/>
  <c r="II189" i="9" s="1"/>
  <c r="AI188" i="15"/>
  <c r="IO189" i="9" s="1"/>
  <c r="AH189" i="15"/>
  <c r="II190" i="9" s="1"/>
  <c r="AI189" i="15"/>
  <c r="IO190" i="9" s="1"/>
  <c r="AH190" i="15"/>
  <c r="II191" i="9" s="1"/>
  <c r="AI190" i="15"/>
  <c r="IO191" i="9" s="1"/>
  <c r="AH191" i="15"/>
  <c r="II192" i="9" s="1"/>
  <c r="AI191" i="15"/>
  <c r="IO192" i="9" s="1"/>
  <c r="AH192" i="15"/>
  <c r="II193" i="9" s="1"/>
  <c r="AI192" i="15"/>
  <c r="IO193" i="9" s="1"/>
  <c r="AH193" i="15"/>
  <c r="II194" i="9" s="1"/>
  <c r="AI193" i="15"/>
  <c r="IO194" i="9" s="1"/>
  <c r="AH194" i="15"/>
  <c r="II195" i="9" s="1"/>
  <c r="AI194" i="15"/>
  <c r="IO195" i="9" s="1"/>
  <c r="AH195" i="15"/>
  <c r="II196" i="9" s="1"/>
  <c r="AI195" i="15"/>
  <c r="IO196" i="9" s="1"/>
  <c r="AH196" i="15"/>
  <c r="II197" i="9" s="1"/>
  <c r="AI196" i="15"/>
  <c r="IO197" i="9" s="1"/>
  <c r="AH197" i="15"/>
  <c r="II198" i="9" s="1"/>
  <c r="AI197" i="15"/>
  <c r="IO198" i="9" s="1"/>
  <c r="AH198" i="15"/>
  <c r="II199" i="9" s="1"/>
  <c r="AI198" i="15"/>
  <c r="IO199" i="9" s="1"/>
  <c r="AH199" i="15"/>
  <c r="II200" i="9" s="1"/>
  <c r="AI199" i="15"/>
  <c r="IO200" i="9" s="1"/>
  <c r="AH200" i="15"/>
  <c r="II201" i="9" s="1"/>
  <c r="AI200" i="15"/>
  <c r="IO201" i="9" s="1"/>
  <c r="AH201" i="15"/>
  <c r="II202" i="9" s="1"/>
  <c r="AI201" i="15"/>
  <c r="IO202" i="9" s="1"/>
  <c r="AH202" i="15"/>
  <c r="II203" i="9" s="1"/>
  <c r="AI202" i="15"/>
  <c r="IO203" i="9" s="1"/>
  <c r="AH203" i="15"/>
  <c r="II204" i="9" s="1"/>
  <c r="AI203" i="15"/>
  <c r="IO204" i="9" s="1"/>
  <c r="AH204" i="15"/>
  <c r="II205" i="9" s="1"/>
  <c r="AI204" i="15"/>
  <c r="IO205" i="9" s="1"/>
  <c r="AH205" i="15"/>
  <c r="II206" i="9" s="1"/>
  <c r="AI205" i="15"/>
  <c r="IO206" i="9" s="1"/>
  <c r="AH206" i="15"/>
  <c r="II207" i="9" s="1"/>
  <c r="AI206" i="15"/>
  <c r="IO207" i="9" s="1"/>
  <c r="AE8" i="15"/>
  <c r="IH9" i="9" s="1"/>
  <c r="AF8" i="15"/>
  <c r="IN9" i="9" s="1"/>
  <c r="AE9" i="15"/>
  <c r="IH10" i="9" s="1"/>
  <c r="AF9" i="15"/>
  <c r="IN10" i="9" s="1"/>
  <c r="AE10" i="15"/>
  <c r="IH11" i="9" s="1"/>
  <c r="AF10" i="15"/>
  <c r="IN11" i="9" s="1"/>
  <c r="AE11" i="15"/>
  <c r="IH12" i="9" s="1"/>
  <c r="AF11" i="15"/>
  <c r="IN12" i="9" s="1"/>
  <c r="AE12" i="15"/>
  <c r="IH13" i="9" s="1"/>
  <c r="AF12" i="15"/>
  <c r="IN13" i="9" s="1"/>
  <c r="AE13" i="15"/>
  <c r="IH14" i="9" s="1"/>
  <c r="AF13" i="15"/>
  <c r="IN14" i="9" s="1"/>
  <c r="AE14" i="15"/>
  <c r="IH15" i="9" s="1"/>
  <c r="AF14" i="15"/>
  <c r="IN15" i="9" s="1"/>
  <c r="AE15" i="15"/>
  <c r="IH16" i="9" s="1"/>
  <c r="AF15" i="15"/>
  <c r="IN16" i="9" s="1"/>
  <c r="AE16" i="15"/>
  <c r="IH17" i="9" s="1"/>
  <c r="AF16" i="15"/>
  <c r="IN17" i="9" s="1"/>
  <c r="AE17" i="15"/>
  <c r="IH18" i="9" s="1"/>
  <c r="AF17" i="15"/>
  <c r="IN18" i="9" s="1"/>
  <c r="AE18" i="15"/>
  <c r="IH19" i="9" s="1"/>
  <c r="AF18" i="15"/>
  <c r="IN19" i="9" s="1"/>
  <c r="AE19" i="15"/>
  <c r="IH20" i="9" s="1"/>
  <c r="AF19" i="15"/>
  <c r="IN20" i="9" s="1"/>
  <c r="AE20" i="15"/>
  <c r="IH21" i="9" s="1"/>
  <c r="AF20" i="15"/>
  <c r="IN21" i="9" s="1"/>
  <c r="AE21" i="15"/>
  <c r="IH22" i="9" s="1"/>
  <c r="AF21" i="15"/>
  <c r="IN22" i="9" s="1"/>
  <c r="AE22" i="15"/>
  <c r="IH23" i="9" s="1"/>
  <c r="AF22" i="15"/>
  <c r="IN23" i="9" s="1"/>
  <c r="AE23" i="15"/>
  <c r="IH24" i="9" s="1"/>
  <c r="AF23" i="15"/>
  <c r="IN24" i="9" s="1"/>
  <c r="AE24" i="15"/>
  <c r="IH25" i="9" s="1"/>
  <c r="AF24" i="15"/>
  <c r="IN25" i="9" s="1"/>
  <c r="AE25" i="15"/>
  <c r="IH26" i="9" s="1"/>
  <c r="AF25" i="15"/>
  <c r="IN26" i="9" s="1"/>
  <c r="AE26" i="15"/>
  <c r="IH27" i="9" s="1"/>
  <c r="AF26" i="15"/>
  <c r="IN27" i="9" s="1"/>
  <c r="AE27" i="15"/>
  <c r="IH28" i="9" s="1"/>
  <c r="AF27" i="15"/>
  <c r="IN28" i="9" s="1"/>
  <c r="AE28" i="15"/>
  <c r="IH29" i="9" s="1"/>
  <c r="AF28" i="15"/>
  <c r="IN29" i="9" s="1"/>
  <c r="AE29" i="15"/>
  <c r="IH30" i="9" s="1"/>
  <c r="AF29" i="15"/>
  <c r="IN30" i="9" s="1"/>
  <c r="AE30" i="15"/>
  <c r="IH31" i="9" s="1"/>
  <c r="AF30" i="15"/>
  <c r="IN31" i="9" s="1"/>
  <c r="AE31" i="15"/>
  <c r="IH32" i="9" s="1"/>
  <c r="AF31" i="15"/>
  <c r="IN32" i="9" s="1"/>
  <c r="AE32" i="15"/>
  <c r="IH33" i="9" s="1"/>
  <c r="AF32" i="15"/>
  <c r="IN33" i="9" s="1"/>
  <c r="AE33" i="15"/>
  <c r="IH34" i="9" s="1"/>
  <c r="AF33" i="15"/>
  <c r="IN34" i="9" s="1"/>
  <c r="AE34" i="15"/>
  <c r="IH35" i="9" s="1"/>
  <c r="AF34" i="15"/>
  <c r="IN35" i="9" s="1"/>
  <c r="AE35" i="15"/>
  <c r="IH36" i="9" s="1"/>
  <c r="AF35" i="15"/>
  <c r="IN36" i="9" s="1"/>
  <c r="AE36" i="15"/>
  <c r="IH37" i="9" s="1"/>
  <c r="AF36" i="15"/>
  <c r="IN37" i="9" s="1"/>
  <c r="AE37" i="15"/>
  <c r="IH38" i="9" s="1"/>
  <c r="AF37" i="15"/>
  <c r="IN38" i="9" s="1"/>
  <c r="AE38" i="15"/>
  <c r="IH39" i="9" s="1"/>
  <c r="AF38" i="15"/>
  <c r="IN39" i="9" s="1"/>
  <c r="AE39" i="15"/>
  <c r="IH40" i="9" s="1"/>
  <c r="AF39" i="15"/>
  <c r="IN40" i="9" s="1"/>
  <c r="AE40" i="15"/>
  <c r="IH41" i="9" s="1"/>
  <c r="AF40" i="15"/>
  <c r="IN41" i="9" s="1"/>
  <c r="AE41" i="15"/>
  <c r="IH42" i="9" s="1"/>
  <c r="AF41" i="15"/>
  <c r="IN42" i="9" s="1"/>
  <c r="AE42" i="15"/>
  <c r="IH43" i="9" s="1"/>
  <c r="AF42" i="15"/>
  <c r="IN43" i="9" s="1"/>
  <c r="AE43" i="15"/>
  <c r="IH44" i="9" s="1"/>
  <c r="AF43" i="15"/>
  <c r="IN44" i="9" s="1"/>
  <c r="AE44" i="15"/>
  <c r="IH45" i="9" s="1"/>
  <c r="AF44" i="15"/>
  <c r="IN45" i="9" s="1"/>
  <c r="AE45" i="15"/>
  <c r="IH46" i="9" s="1"/>
  <c r="AF45" i="15"/>
  <c r="IN46" i="9" s="1"/>
  <c r="AE46" i="15"/>
  <c r="IH47" i="9" s="1"/>
  <c r="AF46" i="15"/>
  <c r="IN47" i="9" s="1"/>
  <c r="AE47" i="15"/>
  <c r="IH48" i="9" s="1"/>
  <c r="AF47" i="15"/>
  <c r="IN48" i="9" s="1"/>
  <c r="AE48" i="15"/>
  <c r="IH49" i="9" s="1"/>
  <c r="AF48" i="15"/>
  <c r="IN49" i="9" s="1"/>
  <c r="AE49" i="15"/>
  <c r="IH50" i="9" s="1"/>
  <c r="AF49" i="15"/>
  <c r="IN50" i="9" s="1"/>
  <c r="AE50" i="15"/>
  <c r="IH51" i="9" s="1"/>
  <c r="AF50" i="15"/>
  <c r="IN51" i="9" s="1"/>
  <c r="AE51" i="15"/>
  <c r="IH52" i="9" s="1"/>
  <c r="AF51" i="15"/>
  <c r="IN52" i="9" s="1"/>
  <c r="AE52" i="15"/>
  <c r="IH53" i="9" s="1"/>
  <c r="AF52" i="15"/>
  <c r="IN53" i="9" s="1"/>
  <c r="AE53" i="15"/>
  <c r="IH54" i="9" s="1"/>
  <c r="AF53" i="15"/>
  <c r="IN54" i="9" s="1"/>
  <c r="AE54" i="15"/>
  <c r="IH55" i="9" s="1"/>
  <c r="AF54" i="15"/>
  <c r="IN55" i="9" s="1"/>
  <c r="AE55" i="15"/>
  <c r="IH56" i="9" s="1"/>
  <c r="AF55" i="15"/>
  <c r="IN56" i="9" s="1"/>
  <c r="AE56" i="15"/>
  <c r="IH57" i="9" s="1"/>
  <c r="AF56" i="15"/>
  <c r="IN57" i="9" s="1"/>
  <c r="AE57" i="15"/>
  <c r="IH58" i="9" s="1"/>
  <c r="AF57" i="15"/>
  <c r="IN58" i="9" s="1"/>
  <c r="AE58" i="15"/>
  <c r="IH59" i="9" s="1"/>
  <c r="AF58" i="15"/>
  <c r="IN59" i="9" s="1"/>
  <c r="AE59" i="15"/>
  <c r="IH60" i="9" s="1"/>
  <c r="AF59" i="15"/>
  <c r="IN60" i="9" s="1"/>
  <c r="AE60" i="15"/>
  <c r="IH61" i="9" s="1"/>
  <c r="AF60" i="15"/>
  <c r="IN61" i="9" s="1"/>
  <c r="AE61" i="15"/>
  <c r="IH62" i="9" s="1"/>
  <c r="AF61" i="15"/>
  <c r="IN62" i="9" s="1"/>
  <c r="AE62" i="15"/>
  <c r="IH63" i="9" s="1"/>
  <c r="AF62" i="15"/>
  <c r="IN63" i="9" s="1"/>
  <c r="AE63" i="15"/>
  <c r="IH64" i="9" s="1"/>
  <c r="AF63" i="15"/>
  <c r="IN64" i="9" s="1"/>
  <c r="AE64" i="15"/>
  <c r="IH65" i="9" s="1"/>
  <c r="AF64" i="15"/>
  <c r="IN65" i="9" s="1"/>
  <c r="AE65" i="15"/>
  <c r="IH66" i="9" s="1"/>
  <c r="AF65" i="15"/>
  <c r="IN66" i="9" s="1"/>
  <c r="AE66" i="15"/>
  <c r="IH67" i="9" s="1"/>
  <c r="AF66" i="15"/>
  <c r="IN67" i="9" s="1"/>
  <c r="AE67" i="15"/>
  <c r="IH68" i="9" s="1"/>
  <c r="AF67" i="15"/>
  <c r="IN68" i="9" s="1"/>
  <c r="AE68" i="15"/>
  <c r="IH69" i="9" s="1"/>
  <c r="AF68" i="15"/>
  <c r="IN69" i="9" s="1"/>
  <c r="AE69" i="15"/>
  <c r="IH70" i="9" s="1"/>
  <c r="AF69" i="15"/>
  <c r="IN70" i="9" s="1"/>
  <c r="AE70" i="15"/>
  <c r="IH71" i="9" s="1"/>
  <c r="AF70" i="15"/>
  <c r="IN71" i="9" s="1"/>
  <c r="AE71" i="15"/>
  <c r="IH72" i="9" s="1"/>
  <c r="AF71" i="15"/>
  <c r="IN72" i="9" s="1"/>
  <c r="AE72" i="15"/>
  <c r="IH73" i="9" s="1"/>
  <c r="AF72" i="15"/>
  <c r="IN73" i="9" s="1"/>
  <c r="AE73" i="15"/>
  <c r="IH74" i="9" s="1"/>
  <c r="AF73" i="15"/>
  <c r="IN74" i="9" s="1"/>
  <c r="AE74" i="15"/>
  <c r="IH75" i="9" s="1"/>
  <c r="AF74" i="15"/>
  <c r="IN75" i="9" s="1"/>
  <c r="AE75" i="15"/>
  <c r="IH76" i="9" s="1"/>
  <c r="AF75" i="15"/>
  <c r="IN76" i="9" s="1"/>
  <c r="AE76" i="15"/>
  <c r="IH77" i="9" s="1"/>
  <c r="AF76" i="15"/>
  <c r="IN77" i="9" s="1"/>
  <c r="AE77" i="15"/>
  <c r="IH78" i="9" s="1"/>
  <c r="AF77" i="15"/>
  <c r="IN78" i="9" s="1"/>
  <c r="AE78" i="15"/>
  <c r="IH79" i="9" s="1"/>
  <c r="AF78" i="15"/>
  <c r="IN79" i="9" s="1"/>
  <c r="AE79" i="15"/>
  <c r="IH80" i="9" s="1"/>
  <c r="AF79" i="15"/>
  <c r="IN80" i="9" s="1"/>
  <c r="AE80" i="15"/>
  <c r="IH81" i="9" s="1"/>
  <c r="AF80" i="15"/>
  <c r="IN81" i="9" s="1"/>
  <c r="AE81" i="15"/>
  <c r="IH82" i="9" s="1"/>
  <c r="AF81" i="15"/>
  <c r="IN82" i="9" s="1"/>
  <c r="AE82" i="15"/>
  <c r="IH83" i="9" s="1"/>
  <c r="AF82" i="15"/>
  <c r="IN83" i="9" s="1"/>
  <c r="AE83" i="15"/>
  <c r="IH84" i="9" s="1"/>
  <c r="AF83" i="15"/>
  <c r="IN84" i="9" s="1"/>
  <c r="AE84" i="15"/>
  <c r="IH85" i="9" s="1"/>
  <c r="AF84" i="15"/>
  <c r="IN85" i="9" s="1"/>
  <c r="AE85" i="15"/>
  <c r="IH86" i="9" s="1"/>
  <c r="AF85" i="15"/>
  <c r="IN86" i="9" s="1"/>
  <c r="AE86" i="15"/>
  <c r="IH87" i="9" s="1"/>
  <c r="AF86" i="15"/>
  <c r="IN87" i="9" s="1"/>
  <c r="AE87" i="15"/>
  <c r="IH88" i="9" s="1"/>
  <c r="AF87" i="15"/>
  <c r="IN88" i="9" s="1"/>
  <c r="AE88" i="15"/>
  <c r="IH89" i="9" s="1"/>
  <c r="AF88" i="15"/>
  <c r="IN89" i="9" s="1"/>
  <c r="AE89" i="15"/>
  <c r="IH90" i="9" s="1"/>
  <c r="AF89" i="15"/>
  <c r="IN90" i="9" s="1"/>
  <c r="AE90" i="15"/>
  <c r="IH91" i="9" s="1"/>
  <c r="AF90" i="15"/>
  <c r="IN91" i="9" s="1"/>
  <c r="AE91" i="15"/>
  <c r="IH92" i="9" s="1"/>
  <c r="AF91" i="15"/>
  <c r="IN92" i="9" s="1"/>
  <c r="AE92" i="15"/>
  <c r="IH93" i="9" s="1"/>
  <c r="AF92" i="15"/>
  <c r="IN93" i="9" s="1"/>
  <c r="AE93" i="15"/>
  <c r="IH94" i="9" s="1"/>
  <c r="AF93" i="15"/>
  <c r="IN94" i="9" s="1"/>
  <c r="AE94" i="15"/>
  <c r="IH95" i="9" s="1"/>
  <c r="AF94" i="15"/>
  <c r="IN95" i="9" s="1"/>
  <c r="AE95" i="15"/>
  <c r="IH96" i="9" s="1"/>
  <c r="AF95" i="15"/>
  <c r="IN96" i="9" s="1"/>
  <c r="AE96" i="15"/>
  <c r="IH97" i="9" s="1"/>
  <c r="AF96" i="15"/>
  <c r="IN97" i="9" s="1"/>
  <c r="AE97" i="15"/>
  <c r="IH98" i="9" s="1"/>
  <c r="AF97" i="15"/>
  <c r="IN98" i="9" s="1"/>
  <c r="AE98" i="15"/>
  <c r="IH99" i="9" s="1"/>
  <c r="AF98" i="15"/>
  <c r="IN99" i="9" s="1"/>
  <c r="AE99" i="15"/>
  <c r="IH100" i="9" s="1"/>
  <c r="AF99" i="15"/>
  <c r="IN100" i="9" s="1"/>
  <c r="AE100" i="15"/>
  <c r="IH101" i="9" s="1"/>
  <c r="AF100" i="15"/>
  <c r="IN101" i="9" s="1"/>
  <c r="AE101" i="15"/>
  <c r="IH102" i="9" s="1"/>
  <c r="AF101" i="15"/>
  <c r="IN102" i="9" s="1"/>
  <c r="AE102" i="15"/>
  <c r="IH103" i="9" s="1"/>
  <c r="AF102" i="15"/>
  <c r="IN103" i="9" s="1"/>
  <c r="AE103" i="15"/>
  <c r="IH104" i="9" s="1"/>
  <c r="AF103" i="15"/>
  <c r="IN104" i="9" s="1"/>
  <c r="AE104" i="15"/>
  <c r="IH105" i="9" s="1"/>
  <c r="AF104" i="15"/>
  <c r="IN105" i="9" s="1"/>
  <c r="AE105" i="15"/>
  <c r="IH106" i="9" s="1"/>
  <c r="AF105" i="15"/>
  <c r="IN106" i="9" s="1"/>
  <c r="AE106" i="15"/>
  <c r="IH107" i="9" s="1"/>
  <c r="AF106" i="15"/>
  <c r="IN107" i="9" s="1"/>
  <c r="AE107" i="15"/>
  <c r="IH108" i="9" s="1"/>
  <c r="AF107" i="15"/>
  <c r="IN108" i="9" s="1"/>
  <c r="AE108" i="15"/>
  <c r="IH109" i="9" s="1"/>
  <c r="AF108" i="15"/>
  <c r="IN109" i="9" s="1"/>
  <c r="AE109" i="15"/>
  <c r="IH110" i="9" s="1"/>
  <c r="AF109" i="15"/>
  <c r="IN110" i="9" s="1"/>
  <c r="AE110" i="15"/>
  <c r="IH111" i="9" s="1"/>
  <c r="AF110" i="15"/>
  <c r="IN111" i="9" s="1"/>
  <c r="AE111" i="15"/>
  <c r="IH112" i="9" s="1"/>
  <c r="AF111" i="15"/>
  <c r="IN112" i="9" s="1"/>
  <c r="AE112" i="15"/>
  <c r="IH113" i="9" s="1"/>
  <c r="AF112" i="15"/>
  <c r="IN113" i="9" s="1"/>
  <c r="AE113" i="15"/>
  <c r="IH114" i="9" s="1"/>
  <c r="AF113" i="15"/>
  <c r="IN114" i="9" s="1"/>
  <c r="AE114" i="15"/>
  <c r="IH115" i="9" s="1"/>
  <c r="AF114" i="15"/>
  <c r="IN115" i="9" s="1"/>
  <c r="AE115" i="15"/>
  <c r="IH116" i="9" s="1"/>
  <c r="AF115" i="15"/>
  <c r="IN116" i="9" s="1"/>
  <c r="AE116" i="15"/>
  <c r="IH117" i="9" s="1"/>
  <c r="AF116" i="15"/>
  <c r="IN117" i="9" s="1"/>
  <c r="AE117" i="15"/>
  <c r="IH118" i="9" s="1"/>
  <c r="AF117" i="15"/>
  <c r="IN118" i="9" s="1"/>
  <c r="AE118" i="15"/>
  <c r="IH119" i="9" s="1"/>
  <c r="AF118" i="15"/>
  <c r="IN119" i="9" s="1"/>
  <c r="AE119" i="15"/>
  <c r="IH120" i="9" s="1"/>
  <c r="AF119" i="15"/>
  <c r="IN120" i="9" s="1"/>
  <c r="AE120" i="15"/>
  <c r="IH121" i="9" s="1"/>
  <c r="AF120" i="15"/>
  <c r="IN121" i="9" s="1"/>
  <c r="AE121" i="15"/>
  <c r="IH122" i="9" s="1"/>
  <c r="AF121" i="15"/>
  <c r="IN122" i="9" s="1"/>
  <c r="AE122" i="15"/>
  <c r="IH123" i="9" s="1"/>
  <c r="AF122" i="15"/>
  <c r="IN123" i="9" s="1"/>
  <c r="AE123" i="15"/>
  <c r="IH124" i="9" s="1"/>
  <c r="AF123" i="15"/>
  <c r="IN124" i="9" s="1"/>
  <c r="AE124" i="15"/>
  <c r="IH125" i="9" s="1"/>
  <c r="AF124" i="15"/>
  <c r="IN125" i="9" s="1"/>
  <c r="AE125" i="15"/>
  <c r="IH126" i="9" s="1"/>
  <c r="AF125" i="15"/>
  <c r="IN126" i="9" s="1"/>
  <c r="AE126" i="15"/>
  <c r="IH127" i="9" s="1"/>
  <c r="AF126" i="15"/>
  <c r="IN127" i="9" s="1"/>
  <c r="AE127" i="15"/>
  <c r="IH128" i="9" s="1"/>
  <c r="AF127" i="15"/>
  <c r="IN128" i="9" s="1"/>
  <c r="AE128" i="15"/>
  <c r="IH129" i="9" s="1"/>
  <c r="AF128" i="15"/>
  <c r="IN129" i="9" s="1"/>
  <c r="AE129" i="15"/>
  <c r="IH130" i="9" s="1"/>
  <c r="AF129" i="15"/>
  <c r="IN130" i="9" s="1"/>
  <c r="AE130" i="15"/>
  <c r="IH131" i="9" s="1"/>
  <c r="AF130" i="15"/>
  <c r="IN131" i="9" s="1"/>
  <c r="AE131" i="15"/>
  <c r="IH132" i="9" s="1"/>
  <c r="AF131" i="15"/>
  <c r="IN132" i="9" s="1"/>
  <c r="AE132" i="15"/>
  <c r="IH133" i="9" s="1"/>
  <c r="AF132" i="15"/>
  <c r="IN133" i="9" s="1"/>
  <c r="AE133" i="15"/>
  <c r="IH134" i="9" s="1"/>
  <c r="AF133" i="15"/>
  <c r="IN134" i="9" s="1"/>
  <c r="AE134" i="15"/>
  <c r="IH135" i="9" s="1"/>
  <c r="AF134" i="15"/>
  <c r="IN135" i="9" s="1"/>
  <c r="AE135" i="15"/>
  <c r="IH136" i="9" s="1"/>
  <c r="AF135" i="15"/>
  <c r="IN136" i="9" s="1"/>
  <c r="AE136" i="15"/>
  <c r="IH137" i="9" s="1"/>
  <c r="AF136" i="15"/>
  <c r="IN137" i="9" s="1"/>
  <c r="AE137" i="15"/>
  <c r="IH138" i="9" s="1"/>
  <c r="AF137" i="15"/>
  <c r="IN138" i="9" s="1"/>
  <c r="AE138" i="15"/>
  <c r="IH139" i="9" s="1"/>
  <c r="AF138" i="15"/>
  <c r="IN139" i="9" s="1"/>
  <c r="AE139" i="15"/>
  <c r="IH140" i="9" s="1"/>
  <c r="AF139" i="15"/>
  <c r="IN140" i="9" s="1"/>
  <c r="AE140" i="15"/>
  <c r="IH141" i="9" s="1"/>
  <c r="AF140" i="15"/>
  <c r="IN141" i="9" s="1"/>
  <c r="AE141" i="15"/>
  <c r="IH142" i="9" s="1"/>
  <c r="AF141" i="15"/>
  <c r="IN142" i="9" s="1"/>
  <c r="AE142" i="15"/>
  <c r="IH143" i="9" s="1"/>
  <c r="AF142" i="15"/>
  <c r="IN143" i="9" s="1"/>
  <c r="AE143" i="15"/>
  <c r="IH144" i="9" s="1"/>
  <c r="AF143" i="15"/>
  <c r="IN144" i="9" s="1"/>
  <c r="AE144" i="15"/>
  <c r="IH145" i="9" s="1"/>
  <c r="AF144" i="15"/>
  <c r="IN145" i="9" s="1"/>
  <c r="AE145" i="15"/>
  <c r="IH146" i="9" s="1"/>
  <c r="AF145" i="15"/>
  <c r="IN146" i="9" s="1"/>
  <c r="AE146" i="15"/>
  <c r="IH147" i="9" s="1"/>
  <c r="AF146" i="15"/>
  <c r="IN147" i="9" s="1"/>
  <c r="AE147" i="15"/>
  <c r="IH148" i="9" s="1"/>
  <c r="AF147" i="15"/>
  <c r="IN148" i="9" s="1"/>
  <c r="AE148" i="15"/>
  <c r="IH149" i="9" s="1"/>
  <c r="AF148" i="15"/>
  <c r="IN149" i="9" s="1"/>
  <c r="AE149" i="15"/>
  <c r="IH150" i="9" s="1"/>
  <c r="AF149" i="15"/>
  <c r="IN150" i="9" s="1"/>
  <c r="AE150" i="15"/>
  <c r="IH151" i="9" s="1"/>
  <c r="AF150" i="15"/>
  <c r="IN151" i="9" s="1"/>
  <c r="AE151" i="15"/>
  <c r="IH152" i="9" s="1"/>
  <c r="AF151" i="15"/>
  <c r="IN152" i="9" s="1"/>
  <c r="AE152" i="15"/>
  <c r="IH153" i="9" s="1"/>
  <c r="AF152" i="15"/>
  <c r="IN153" i="9" s="1"/>
  <c r="AE153" i="15"/>
  <c r="IH154" i="9" s="1"/>
  <c r="AF153" i="15"/>
  <c r="IN154" i="9" s="1"/>
  <c r="AE154" i="15"/>
  <c r="IH155" i="9" s="1"/>
  <c r="AF154" i="15"/>
  <c r="IN155" i="9" s="1"/>
  <c r="AE155" i="15"/>
  <c r="IH156" i="9" s="1"/>
  <c r="AF155" i="15"/>
  <c r="IN156" i="9" s="1"/>
  <c r="AE156" i="15"/>
  <c r="IH157" i="9" s="1"/>
  <c r="AF156" i="15"/>
  <c r="IN157" i="9" s="1"/>
  <c r="AE157" i="15"/>
  <c r="IH158" i="9" s="1"/>
  <c r="AF157" i="15"/>
  <c r="IN158" i="9" s="1"/>
  <c r="AE158" i="15"/>
  <c r="IH159" i="9" s="1"/>
  <c r="AF158" i="15"/>
  <c r="IN159" i="9" s="1"/>
  <c r="AE159" i="15"/>
  <c r="IH160" i="9" s="1"/>
  <c r="AF159" i="15"/>
  <c r="IN160" i="9" s="1"/>
  <c r="AE160" i="15"/>
  <c r="IH161" i="9" s="1"/>
  <c r="AF160" i="15"/>
  <c r="IN161" i="9" s="1"/>
  <c r="AE161" i="15"/>
  <c r="IH162" i="9" s="1"/>
  <c r="AF161" i="15"/>
  <c r="IN162" i="9" s="1"/>
  <c r="AE162" i="15"/>
  <c r="IH163" i="9" s="1"/>
  <c r="AF162" i="15"/>
  <c r="IN163" i="9" s="1"/>
  <c r="AE163" i="15"/>
  <c r="IH164" i="9" s="1"/>
  <c r="AF163" i="15"/>
  <c r="IN164" i="9" s="1"/>
  <c r="AE164" i="15"/>
  <c r="IH165" i="9" s="1"/>
  <c r="AF164" i="15"/>
  <c r="IN165" i="9" s="1"/>
  <c r="AE165" i="15"/>
  <c r="IH166" i="9" s="1"/>
  <c r="AF165" i="15"/>
  <c r="IN166" i="9" s="1"/>
  <c r="AE166" i="15"/>
  <c r="IH167" i="9" s="1"/>
  <c r="AF166" i="15"/>
  <c r="IN167" i="9" s="1"/>
  <c r="AE167" i="15"/>
  <c r="IH168" i="9" s="1"/>
  <c r="AF167" i="15"/>
  <c r="IN168" i="9" s="1"/>
  <c r="AE168" i="15"/>
  <c r="IH169" i="9" s="1"/>
  <c r="AF168" i="15"/>
  <c r="IN169" i="9" s="1"/>
  <c r="AE169" i="15"/>
  <c r="IH170" i="9" s="1"/>
  <c r="AF169" i="15"/>
  <c r="IN170" i="9" s="1"/>
  <c r="AE170" i="15"/>
  <c r="IH171" i="9" s="1"/>
  <c r="AF170" i="15"/>
  <c r="IN171" i="9" s="1"/>
  <c r="AE171" i="15"/>
  <c r="IH172" i="9" s="1"/>
  <c r="AF171" i="15"/>
  <c r="IN172" i="9" s="1"/>
  <c r="AE172" i="15"/>
  <c r="IH173" i="9" s="1"/>
  <c r="AF172" i="15"/>
  <c r="IN173" i="9" s="1"/>
  <c r="AE173" i="15"/>
  <c r="IH174" i="9" s="1"/>
  <c r="AF173" i="15"/>
  <c r="IN174" i="9" s="1"/>
  <c r="AE174" i="15"/>
  <c r="IH175" i="9" s="1"/>
  <c r="AF174" i="15"/>
  <c r="IN175" i="9" s="1"/>
  <c r="AE175" i="15"/>
  <c r="IH176" i="9" s="1"/>
  <c r="AF175" i="15"/>
  <c r="IN176" i="9" s="1"/>
  <c r="AE176" i="15"/>
  <c r="IH177" i="9" s="1"/>
  <c r="AF176" i="15"/>
  <c r="IN177" i="9" s="1"/>
  <c r="AE177" i="15"/>
  <c r="IH178" i="9" s="1"/>
  <c r="AF177" i="15"/>
  <c r="IN178" i="9" s="1"/>
  <c r="AE178" i="15"/>
  <c r="IH179" i="9" s="1"/>
  <c r="AF178" i="15"/>
  <c r="IN179" i="9" s="1"/>
  <c r="AE179" i="15"/>
  <c r="IH180" i="9" s="1"/>
  <c r="AF179" i="15"/>
  <c r="IN180" i="9" s="1"/>
  <c r="AE180" i="15"/>
  <c r="IH181" i="9" s="1"/>
  <c r="AF180" i="15"/>
  <c r="IN181" i="9" s="1"/>
  <c r="AE181" i="15"/>
  <c r="IH182" i="9" s="1"/>
  <c r="AF181" i="15"/>
  <c r="IN182" i="9" s="1"/>
  <c r="AE182" i="15"/>
  <c r="IH183" i="9" s="1"/>
  <c r="AF182" i="15"/>
  <c r="IN183" i="9" s="1"/>
  <c r="AE183" i="15"/>
  <c r="IH184" i="9" s="1"/>
  <c r="AF183" i="15"/>
  <c r="IN184" i="9" s="1"/>
  <c r="AE184" i="15"/>
  <c r="IH185" i="9" s="1"/>
  <c r="AF184" i="15"/>
  <c r="IN185" i="9" s="1"/>
  <c r="AE185" i="15"/>
  <c r="IH186" i="9" s="1"/>
  <c r="AF185" i="15"/>
  <c r="IN186" i="9" s="1"/>
  <c r="AE186" i="15"/>
  <c r="IH187" i="9" s="1"/>
  <c r="AF186" i="15"/>
  <c r="IN187" i="9" s="1"/>
  <c r="AE187" i="15"/>
  <c r="IH188" i="9" s="1"/>
  <c r="AF187" i="15"/>
  <c r="IN188" i="9" s="1"/>
  <c r="AE188" i="15"/>
  <c r="IH189" i="9" s="1"/>
  <c r="AF188" i="15"/>
  <c r="IN189" i="9" s="1"/>
  <c r="AE189" i="15"/>
  <c r="IH190" i="9" s="1"/>
  <c r="AF189" i="15"/>
  <c r="IN190" i="9" s="1"/>
  <c r="AE190" i="15"/>
  <c r="IH191" i="9" s="1"/>
  <c r="AF190" i="15"/>
  <c r="IN191" i="9" s="1"/>
  <c r="AE191" i="15"/>
  <c r="IH192" i="9" s="1"/>
  <c r="AF191" i="15"/>
  <c r="IN192" i="9" s="1"/>
  <c r="AE192" i="15"/>
  <c r="IH193" i="9" s="1"/>
  <c r="AF192" i="15"/>
  <c r="IN193" i="9" s="1"/>
  <c r="AE193" i="15"/>
  <c r="IH194" i="9" s="1"/>
  <c r="AF193" i="15"/>
  <c r="IN194" i="9" s="1"/>
  <c r="AE194" i="15"/>
  <c r="IH195" i="9" s="1"/>
  <c r="AF194" i="15"/>
  <c r="IN195" i="9" s="1"/>
  <c r="AE195" i="15"/>
  <c r="IH196" i="9" s="1"/>
  <c r="AF195" i="15"/>
  <c r="IN196" i="9" s="1"/>
  <c r="AE196" i="15"/>
  <c r="IH197" i="9" s="1"/>
  <c r="AF196" i="15"/>
  <c r="IN197" i="9" s="1"/>
  <c r="AE197" i="15"/>
  <c r="IH198" i="9" s="1"/>
  <c r="AF197" i="15"/>
  <c r="IN198" i="9" s="1"/>
  <c r="AE198" i="15"/>
  <c r="IH199" i="9" s="1"/>
  <c r="AF198" i="15"/>
  <c r="IN199" i="9" s="1"/>
  <c r="AE199" i="15"/>
  <c r="IH200" i="9" s="1"/>
  <c r="AF199" i="15"/>
  <c r="IN200" i="9" s="1"/>
  <c r="AE200" i="15"/>
  <c r="IH201" i="9" s="1"/>
  <c r="AF200" i="15"/>
  <c r="IN201" i="9" s="1"/>
  <c r="AE201" i="15"/>
  <c r="IH202" i="9" s="1"/>
  <c r="AF201" i="15"/>
  <c r="IN202" i="9" s="1"/>
  <c r="AE202" i="15"/>
  <c r="IH203" i="9" s="1"/>
  <c r="AF202" i="15"/>
  <c r="IN203" i="9" s="1"/>
  <c r="AE203" i="15"/>
  <c r="IH204" i="9" s="1"/>
  <c r="AF203" i="15"/>
  <c r="IN204" i="9" s="1"/>
  <c r="AE204" i="15"/>
  <c r="IH205" i="9" s="1"/>
  <c r="AF204" i="15"/>
  <c r="IN205" i="9" s="1"/>
  <c r="AE205" i="15"/>
  <c r="IH206" i="9" s="1"/>
  <c r="AF205" i="15"/>
  <c r="IN206" i="9" s="1"/>
  <c r="AE206" i="15"/>
  <c r="IH207" i="9" s="1"/>
  <c r="AF206" i="15"/>
  <c r="IN207" i="9" s="1"/>
  <c r="AB206" i="15"/>
  <c r="IG207" i="9" s="1"/>
  <c r="AC206" i="15"/>
  <c r="IM207" i="9" s="1"/>
  <c r="AB8" i="15"/>
  <c r="IG9" i="9" s="1"/>
  <c r="AC8" i="15"/>
  <c r="IM9" i="9" s="1"/>
  <c r="AB9" i="15"/>
  <c r="IG10" i="9" s="1"/>
  <c r="AC9" i="15"/>
  <c r="IM10" i="9" s="1"/>
  <c r="AB10" i="15"/>
  <c r="IG11" i="9" s="1"/>
  <c r="AC10" i="15"/>
  <c r="IM11" i="9" s="1"/>
  <c r="AB11" i="15"/>
  <c r="IG12" i="9" s="1"/>
  <c r="AC11" i="15"/>
  <c r="IM12" i="9" s="1"/>
  <c r="AB12" i="15"/>
  <c r="IG13" i="9" s="1"/>
  <c r="AC12" i="15"/>
  <c r="IM13" i="9" s="1"/>
  <c r="AC13" i="15"/>
  <c r="IM14" i="9" s="1"/>
  <c r="AC14" i="15"/>
  <c r="IM15" i="9" s="1"/>
  <c r="AC15" i="15"/>
  <c r="IM16" i="9" s="1"/>
  <c r="AB16" i="15"/>
  <c r="IG17" i="9" s="1"/>
  <c r="AC16" i="15"/>
  <c r="IM17" i="9" s="1"/>
  <c r="AB17" i="15"/>
  <c r="IG18" i="9" s="1"/>
  <c r="AC17" i="15"/>
  <c r="IM18" i="9" s="1"/>
  <c r="AB18" i="15"/>
  <c r="IG19" i="9" s="1"/>
  <c r="AC18" i="15"/>
  <c r="IM19" i="9" s="1"/>
  <c r="AB19" i="15"/>
  <c r="IG20" i="9" s="1"/>
  <c r="AC19" i="15"/>
  <c r="IM20" i="9" s="1"/>
  <c r="AB20" i="15"/>
  <c r="IG21" i="9" s="1"/>
  <c r="AC20" i="15"/>
  <c r="IM21" i="9" s="1"/>
  <c r="AB21" i="15"/>
  <c r="IG22" i="9" s="1"/>
  <c r="AC21" i="15"/>
  <c r="IM22" i="9" s="1"/>
  <c r="AB22" i="15"/>
  <c r="IG23" i="9" s="1"/>
  <c r="AC22" i="15"/>
  <c r="IM23" i="9" s="1"/>
  <c r="AB23" i="15"/>
  <c r="IG24" i="9" s="1"/>
  <c r="AC23" i="15"/>
  <c r="IM24" i="9" s="1"/>
  <c r="AB24" i="15"/>
  <c r="IG25" i="9" s="1"/>
  <c r="AC24" i="15"/>
  <c r="IM25" i="9" s="1"/>
  <c r="AB25" i="15"/>
  <c r="IG26" i="9" s="1"/>
  <c r="AC25" i="15"/>
  <c r="IM26" i="9" s="1"/>
  <c r="AB26" i="15"/>
  <c r="IG27" i="9" s="1"/>
  <c r="AC26" i="15"/>
  <c r="IM27" i="9" s="1"/>
  <c r="AB27" i="15"/>
  <c r="IG28" i="9" s="1"/>
  <c r="AC27" i="15"/>
  <c r="IM28" i="9" s="1"/>
  <c r="AB28" i="15"/>
  <c r="IG29" i="9" s="1"/>
  <c r="AC28" i="15"/>
  <c r="IM29" i="9" s="1"/>
  <c r="AB29" i="15"/>
  <c r="IG30" i="9" s="1"/>
  <c r="AC29" i="15"/>
  <c r="IM30" i="9" s="1"/>
  <c r="AB30" i="15"/>
  <c r="IG31" i="9" s="1"/>
  <c r="AC30" i="15"/>
  <c r="IM31" i="9" s="1"/>
  <c r="AB31" i="15"/>
  <c r="IG32" i="9" s="1"/>
  <c r="AC31" i="15"/>
  <c r="IM32" i="9" s="1"/>
  <c r="AB32" i="15"/>
  <c r="IG33" i="9" s="1"/>
  <c r="AC32" i="15"/>
  <c r="IM33" i="9" s="1"/>
  <c r="AB33" i="15"/>
  <c r="IG34" i="9" s="1"/>
  <c r="AC33" i="15"/>
  <c r="IM34" i="9" s="1"/>
  <c r="AB34" i="15"/>
  <c r="IG35" i="9" s="1"/>
  <c r="AC34" i="15"/>
  <c r="IM35" i="9" s="1"/>
  <c r="AB35" i="15"/>
  <c r="IG36" i="9" s="1"/>
  <c r="AC35" i="15"/>
  <c r="IM36" i="9" s="1"/>
  <c r="AB36" i="15"/>
  <c r="IG37" i="9" s="1"/>
  <c r="AC36" i="15"/>
  <c r="IM37" i="9" s="1"/>
  <c r="AB37" i="15"/>
  <c r="IG38" i="9" s="1"/>
  <c r="AC37" i="15"/>
  <c r="IM38" i="9" s="1"/>
  <c r="AB38" i="15"/>
  <c r="IG39" i="9" s="1"/>
  <c r="AC38" i="15"/>
  <c r="IM39" i="9" s="1"/>
  <c r="AB39" i="15"/>
  <c r="IG40" i="9" s="1"/>
  <c r="AC39" i="15"/>
  <c r="IM40" i="9" s="1"/>
  <c r="AB40" i="15"/>
  <c r="IG41" i="9" s="1"/>
  <c r="AC40" i="15"/>
  <c r="IM41" i="9" s="1"/>
  <c r="AB41" i="15"/>
  <c r="IG42" i="9" s="1"/>
  <c r="AC41" i="15"/>
  <c r="IM42" i="9" s="1"/>
  <c r="AB42" i="15"/>
  <c r="IG43" i="9" s="1"/>
  <c r="AC42" i="15"/>
  <c r="IM43" i="9" s="1"/>
  <c r="AB43" i="15"/>
  <c r="IG44" i="9" s="1"/>
  <c r="AC43" i="15"/>
  <c r="IM44" i="9" s="1"/>
  <c r="AB44" i="15"/>
  <c r="IG45" i="9" s="1"/>
  <c r="AC44" i="15"/>
  <c r="IM45" i="9" s="1"/>
  <c r="AB45" i="15"/>
  <c r="IG46" i="9" s="1"/>
  <c r="AC45" i="15"/>
  <c r="IM46" i="9" s="1"/>
  <c r="AB46" i="15"/>
  <c r="IG47" i="9" s="1"/>
  <c r="AC46" i="15"/>
  <c r="IM47" i="9" s="1"/>
  <c r="AB47" i="15"/>
  <c r="IG48" i="9" s="1"/>
  <c r="AC47" i="15"/>
  <c r="IM48" i="9" s="1"/>
  <c r="AB48" i="15"/>
  <c r="IG49" i="9" s="1"/>
  <c r="AC48" i="15"/>
  <c r="IM49" i="9" s="1"/>
  <c r="AB49" i="15"/>
  <c r="IG50" i="9" s="1"/>
  <c r="AC49" i="15"/>
  <c r="IM50" i="9" s="1"/>
  <c r="AB50" i="15"/>
  <c r="IG51" i="9" s="1"/>
  <c r="AC50" i="15"/>
  <c r="IM51" i="9" s="1"/>
  <c r="AB51" i="15"/>
  <c r="IG52" i="9" s="1"/>
  <c r="AC51" i="15"/>
  <c r="IM52" i="9" s="1"/>
  <c r="AB52" i="15"/>
  <c r="IG53" i="9" s="1"/>
  <c r="AC52" i="15"/>
  <c r="IM53" i="9" s="1"/>
  <c r="AB53" i="15"/>
  <c r="IG54" i="9" s="1"/>
  <c r="AC53" i="15"/>
  <c r="IM54" i="9" s="1"/>
  <c r="AB54" i="15"/>
  <c r="IG55" i="9" s="1"/>
  <c r="AC54" i="15"/>
  <c r="IM55" i="9" s="1"/>
  <c r="AB55" i="15"/>
  <c r="IG56" i="9" s="1"/>
  <c r="AC55" i="15"/>
  <c r="IM56" i="9" s="1"/>
  <c r="AB56" i="15"/>
  <c r="IG57" i="9" s="1"/>
  <c r="AC56" i="15"/>
  <c r="IM57" i="9" s="1"/>
  <c r="AB57" i="15"/>
  <c r="IG58" i="9" s="1"/>
  <c r="AC57" i="15"/>
  <c r="IM58" i="9" s="1"/>
  <c r="AB58" i="15"/>
  <c r="IG59" i="9" s="1"/>
  <c r="AC58" i="15"/>
  <c r="IM59" i="9" s="1"/>
  <c r="AB59" i="15"/>
  <c r="IG60" i="9" s="1"/>
  <c r="AC59" i="15"/>
  <c r="IM60" i="9" s="1"/>
  <c r="AB60" i="15"/>
  <c r="IG61" i="9" s="1"/>
  <c r="AC60" i="15"/>
  <c r="IM61" i="9" s="1"/>
  <c r="AB61" i="15"/>
  <c r="IG62" i="9" s="1"/>
  <c r="AC61" i="15"/>
  <c r="IM62" i="9" s="1"/>
  <c r="AB62" i="15"/>
  <c r="IG63" i="9" s="1"/>
  <c r="AC62" i="15"/>
  <c r="IM63" i="9" s="1"/>
  <c r="AB63" i="15"/>
  <c r="IG64" i="9" s="1"/>
  <c r="AC63" i="15"/>
  <c r="IM64" i="9" s="1"/>
  <c r="AB64" i="15"/>
  <c r="IG65" i="9" s="1"/>
  <c r="AC64" i="15"/>
  <c r="IM65" i="9" s="1"/>
  <c r="AB65" i="15"/>
  <c r="IG66" i="9" s="1"/>
  <c r="AC65" i="15"/>
  <c r="IM66" i="9" s="1"/>
  <c r="AB66" i="15"/>
  <c r="IG67" i="9" s="1"/>
  <c r="AC66" i="15"/>
  <c r="IM67" i="9" s="1"/>
  <c r="AB67" i="15"/>
  <c r="IG68" i="9" s="1"/>
  <c r="AC67" i="15"/>
  <c r="IM68" i="9" s="1"/>
  <c r="AB68" i="15"/>
  <c r="IG69" i="9" s="1"/>
  <c r="AC68" i="15"/>
  <c r="IM69" i="9" s="1"/>
  <c r="AB69" i="15"/>
  <c r="IG70" i="9" s="1"/>
  <c r="AC69" i="15"/>
  <c r="IM70" i="9" s="1"/>
  <c r="AB70" i="15"/>
  <c r="IG71" i="9" s="1"/>
  <c r="AC70" i="15"/>
  <c r="IM71" i="9" s="1"/>
  <c r="AB71" i="15"/>
  <c r="IG72" i="9" s="1"/>
  <c r="AC71" i="15"/>
  <c r="IM72" i="9" s="1"/>
  <c r="AB72" i="15"/>
  <c r="IG73" i="9" s="1"/>
  <c r="AC72" i="15"/>
  <c r="IM73" i="9" s="1"/>
  <c r="AB73" i="15"/>
  <c r="IG74" i="9" s="1"/>
  <c r="AC73" i="15"/>
  <c r="IM74" i="9" s="1"/>
  <c r="AB74" i="15"/>
  <c r="IG75" i="9" s="1"/>
  <c r="AC74" i="15"/>
  <c r="IM75" i="9" s="1"/>
  <c r="AB75" i="15"/>
  <c r="IG76" i="9" s="1"/>
  <c r="AC75" i="15"/>
  <c r="IM76" i="9" s="1"/>
  <c r="AB76" i="15"/>
  <c r="IG77" i="9" s="1"/>
  <c r="AC76" i="15"/>
  <c r="IM77" i="9" s="1"/>
  <c r="AB77" i="15"/>
  <c r="IG78" i="9" s="1"/>
  <c r="AC77" i="15"/>
  <c r="IM78" i="9" s="1"/>
  <c r="AB78" i="15"/>
  <c r="IG79" i="9" s="1"/>
  <c r="AC78" i="15"/>
  <c r="IM79" i="9" s="1"/>
  <c r="AB79" i="15"/>
  <c r="IG80" i="9" s="1"/>
  <c r="AC79" i="15"/>
  <c r="IM80" i="9" s="1"/>
  <c r="AB80" i="15"/>
  <c r="IG81" i="9" s="1"/>
  <c r="AC80" i="15"/>
  <c r="IM81" i="9" s="1"/>
  <c r="AB81" i="15"/>
  <c r="IG82" i="9" s="1"/>
  <c r="AC81" i="15"/>
  <c r="IM82" i="9" s="1"/>
  <c r="AB82" i="15"/>
  <c r="IG83" i="9" s="1"/>
  <c r="AC82" i="15"/>
  <c r="IM83" i="9" s="1"/>
  <c r="AB83" i="15"/>
  <c r="IG84" i="9" s="1"/>
  <c r="AC83" i="15"/>
  <c r="IM84" i="9" s="1"/>
  <c r="AB84" i="15"/>
  <c r="IG85" i="9" s="1"/>
  <c r="AC84" i="15"/>
  <c r="IM85" i="9" s="1"/>
  <c r="AB85" i="15"/>
  <c r="IG86" i="9" s="1"/>
  <c r="AC85" i="15"/>
  <c r="IM86" i="9" s="1"/>
  <c r="AB86" i="15"/>
  <c r="IG87" i="9" s="1"/>
  <c r="AC86" i="15"/>
  <c r="IM87" i="9" s="1"/>
  <c r="AB87" i="15"/>
  <c r="IG88" i="9" s="1"/>
  <c r="AC87" i="15"/>
  <c r="IM88" i="9" s="1"/>
  <c r="AB88" i="15"/>
  <c r="IG89" i="9" s="1"/>
  <c r="AC88" i="15"/>
  <c r="IM89" i="9" s="1"/>
  <c r="AB89" i="15"/>
  <c r="IG90" i="9" s="1"/>
  <c r="AC89" i="15"/>
  <c r="IM90" i="9" s="1"/>
  <c r="AB90" i="15"/>
  <c r="IG91" i="9" s="1"/>
  <c r="AC90" i="15"/>
  <c r="IM91" i="9" s="1"/>
  <c r="AB91" i="15"/>
  <c r="IG92" i="9" s="1"/>
  <c r="AC91" i="15"/>
  <c r="IM92" i="9" s="1"/>
  <c r="AB92" i="15"/>
  <c r="IG93" i="9" s="1"/>
  <c r="AC92" i="15"/>
  <c r="IM93" i="9" s="1"/>
  <c r="AB93" i="15"/>
  <c r="IG94" i="9" s="1"/>
  <c r="AC93" i="15"/>
  <c r="IM94" i="9" s="1"/>
  <c r="AB94" i="15"/>
  <c r="IG95" i="9" s="1"/>
  <c r="AC94" i="15"/>
  <c r="IM95" i="9" s="1"/>
  <c r="AB95" i="15"/>
  <c r="IG96" i="9" s="1"/>
  <c r="AC95" i="15"/>
  <c r="IM96" i="9" s="1"/>
  <c r="AB96" i="15"/>
  <c r="IG97" i="9" s="1"/>
  <c r="AC96" i="15"/>
  <c r="IM97" i="9" s="1"/>
  <c r="AB97" i="15"/>
  <c r="IG98" i="9" s="1"/>
  <c r="AC97" i="15"/>
  <c r="IM98" i="9" s="1"/>
  <c r="AB98" i="15"/>
  <c r="IG99" i="9" s="1"/>
  <c r="AC98" i="15"/>
  <c r="IM99" i="9" s="1"/>
  <c r="AB99" i="15"/>
  <c r="IG100" i="9" s="1"/>
  <c r="AC99" i="15"/>
  <c r="IM100" i="9" s="1"/>
  <c r="AB100" i="15"/>
  <c r="IG101" i="9" s="1"/>
  <c r="AC100" i="15"/>
  <c r="IM101" i="9" s="1"/>
  <c r="AB101" i="15"/>
  <c r="IG102" i="9" s="1"/>
  <c r="AC101" i="15"/>
  <c r="IM102" i="9" s="1"/>
  <c r="AB102" i="15"/>
  <c r="IG103" i="9" s="1"/>
  <c r="AC102" i="15"/>
  <c r="IM103" i="9" s="1"/>
  <c r="AB103" i="15"/>
  <c r="IG104" i="9" s="1"/>
  <c r="AC103" i="15"/>
  <c r="IM104" i="9" s="1"/>
  <c r="AB104" i="15"/>
  <c r="IG105" i="9" s="1"/>
  <c r="AC104" i="15"/>
  <c r="IM105" i="9" s="1"/>
  <c r="AB105" i="15"/>
  <c r="IG106" i="9" s="1"/>
  <c r="AC105" i="15"/>
  <c r="IM106" i="9" s="1"/>
  <c r="AB106" i="15"/>
  <c r="IG107" i="9" s="1"/>
  <c r="AC106" i="15"/>
  <c r="IM107" i="9" s="1"/>
  <c r="AB107" i="15"/>
  <c r="IG108" i="9" s="1"/>
  <c r="AC107" i="15"/>
  <c r="IM108" i="9" s="1"/>
  <c r="AB108" i="15"/>
  <c r="IG109" i="9" s="1"/>
  <c r="AC108" i="15"/>
  <c r="IM109" i="9" s="1"/>
  <c r="AB109" i="15"/>
  <c r="IG110" i="9" s="1"/>
  <c r="AC109" i="15"/>
  <c r="IM110" i="9" s="1"/>
  <c r="AB110" i="15"/>
  <c r="IG111" i="9" s="1"/>
  <c r="AC110" i="15"/>
  <c r="IM111" i="9" s="1"/>
  <c r="AB111" i="15"/>
  <c r="IG112" i="9" s="1"/>
  <c r="AC111" i="15"/>
  <c r="IM112" i="9" s="1"/>
  <c r="AB112" i="15"/>
  <c r="IG113" i="9" s="1"/>
  <c r="AC112" i="15"/>
  <c r="IM113" i="9" s="1"/>
  <c r="AB113" i="15"/>
  <c r="IG114" i="9" s="1"/>
  <c r="AC113" i="15"/>
  <c r="IM114" i="9" s="1"/>
  <c r="AB114" i="15"/>
  <c r="IG115" i="9" s="1"/>
  <c r="AC114" i="15"/>
  <c r="IM115" i="9" s="1"/>
  <c r="AB115" i="15"/>
  <c r="IG116" i="9" s="1"/>
  <c r="AC115" i="15"/>
  <c r="IM116" i="9" s="1"/>
  <c r="AB116" i="15"/>
  <c r="IG117" i="9" s="1"/>
  <c r="AC116" i="15"/>
  <c r="IM117" i="9" s="1"/>
  <c r="AB117" i="15"/>
  <c r="IG118" i="9" s="1"/>
  <c r="AC117" i="15"/>
  <c r="IM118" i="9" s="1"/>
  <c r="AB118" i="15"/>
  <c r="IG119" i="9" s="1"/>
  <c r="AC118" i="15"/>
  <c r="IM119" i="9" s="1"/>
  <c r="AB119" i="15"/>
  <c r="IG120" i="9" s="1"/>
  <c r="AC119" i="15"/>
  <c r="IM120" i="9" s="1"/>
  <c r="AB120" i="15"/>
  <c r="IG121" i="9" s="1"/>
  <c r="AC120" i="15"/>
  <c r="IM121" i="9" s="1"/>
  <c r="AB121" i="15"/>
  <c r="IG122" i="9" s="1"/>
  <c r="AC121" i="15"/>
  <c r="IM122" i="9" s="1"/>
  <c r="AB122" i="15"/>
  <c r="IG123" i="9" s="1"/>
  <c r="AC122" i="15"/>
  <c r="IM123" i="9" s="1"/>
  <c r="AB123" i="15"/>
  <c r="IG124" i="9" s="1"/>
  <c r="AC123" i="15"/>
  <c r="IM124" i="9" s="1"/>
  <c r="AB124" i="15"/>
  <c r="IG125" i="9" s="1"/>
  <c r="AC124" i="15"/>
  <c r="IM125" i="9" s="1"/>
  <c r="AB125" i="15"/>
  <c r="IG126" i="9" s="1"/>
  <c r="AC125" i="15"/>
  <c r="IM126" i="9" s="1"/>
  <c r="AB126" i="15"/>
  <c r="IG127" i="9" s="1"/>
  <c r="AC126" i="15"/>
  <c r="IM127" i="9" s="1"/>
  <c r="AB127" i="15"/>
  <c r="IG128" i="9" s="1"/>
  <c r="AC127" i="15"/>
  <c r="IM128" i="9" s="1"/>
  <c r="AB128" i="15"/>
  <c r="IG129" i="9" s="1"/>
  <c r="AC128" i="15"/>
  <c r="IM129" i="9" s="1"/>
  <c r="AB129" i="15"/>
  <c r="IG130" i="9" s="1"/>
  <c r="AC129" i="15"/>
  <c r="IM130" i="9" s="1"/>
  <c r="AB130" i="15"/>
  <c r="IG131" i="9" s="1"/>
  <c r="AC130" i="15"/>
  <c r="IM131" i="9" s="1"/>
  <c r="AB131" i="15"/>
  <c r="IG132" i="9" s="1"/>
  <c r="AC131" i="15"/>
  <c r="IM132" i="9" s="1"/>
  <c r="AB132" i="15"/>
  <c r="IG133" i="9" s="1"/>
  <c r="AC132" i="15"/>
  <c r="IM133" i="9" s="1"/>
  <c r="AB133" i="15"/>
  <c r="IG134" i="9" s="1"/>
  <c r="AC133" i="15"/>
  <c r="IM134" i="9" s="1"/>
  <c r="AB134" i="15"/>
  <c r="IG135" i="9" s="1"/>
  <c r="AC134" i="15"/>
  <c r="IM135" i="9" s="1"/>
  <c r="AB135" i="15"/>
  <c r="IG136" i="9" s="1"/>
  <c r="AC135" i="15"/>
  <c r="IM136" i="9" s="1"/>
  <c r="AB136" i="15"/>
  <c r="IG137" i="9" s="1"/>
  <c r="AC136" i="15"/>
  <c r="IM137" i="9" s="1"/>
  <c r="AB137" i="15"/>
  <c r="IG138" i="9" s="1"/>
  <c r="AC137" i="15"/>
  <c r="IM138" i="9" s="1"/>
  <c r="AB138" i="15"/>
  <c r="IG139" i="9" s="1"/>
  <c r="AC138" i="15"/>
  <c r="IM139" i="9" s="1"/>
  <c r="AB139" i="15"/>
  <c r="IG140" i="9" s="1"/>
  <c r="AC139" i="15"/>
  <c r="IM140" i="9" s="1"/>
  <c r="AB140" i="15"/>
  <c r="IG141" i="9" s="1"/>
  <c r="AC140" i="15"/>
  <c r="IM141" i="9" s="1"/>
  <c r="AB141" i="15"/>
  <c r="IG142" i="9" s="1"/>
  <c r="AC141" i="15"/>
  <c r="IM142" i="9" s="1"/>
  <c r="AB142" i="15"/>
  <c r="IG143" i="9" s="1"/>
  <c r="AC142" i="15"/>
  <c r="IM143" i="9" s="1"/>
  <c r="AB143" i="15"/>
  <c r="IG144" i="9" s="1"/>
  <c r="AC143" i="15"/>
  <c r="IM144" i="9" s="1"/>
  <c r="AB144" i="15"/>
  <c r="IG145" i="9" s="1"/>
  <c r="AC144" i="15"/>
  <c r="IM145" i="9" s="1"/>
  <c r="AB145" i="15"/>
  <c r="IG146" i="9" s="1"/>
  <c r="AC145" i="15"/>
  <c r="IM146" i="9" s="1"/>
  <c r="AB146" i="15"/>
  <c r="IG147" i="9" s="1"/>
  <c r="AC146" i="15"/>
  <c r="IM147" i="9" s="1"/>
  <c r="AB147" i="15"/>
  <c r="IG148" i="9" s="1"/>
  <c r="AC147" i="15"/>
  <c r="IM148" i="9" s="1"/>
  <c r="AB148" i="15"/>
  <c r="IG149" i="9" s="1"/>
  <c r="AC148" i="15"/>
  <c r="IM149" i="9" s="1"/>
  <c r="AB149" i="15"/>
  <c r="IG150" i="9" s="1"/>
  <c r="AC149" i="15"/>
  <c r="IM150" i="9" s="1"/>
  <c r="AB150" i="15"/>
  <c r="IG151" i="9" s="1"/>
  <c r="AC150" i="15"/>
  <c r="IM151" i="9" s="1"/>
  <c r="AB151" i="15"/>
  <c r="IG152" i="9" s="1"/>
  <c r="AC151" i="15"/>
  <c r="IM152" i="9" s="1"/>
  <c r="AB152" i="15"/>
  <c r="IG153" i="9" s="1"/>
  <c r="AC152" i="15"/>
  <c r="IM153" i="9" s="1"/>
  <c r="AB153" i="15"/>
  <c r="IG154" i="9" s="1"/>
  <c r="AC153" i="15"/>
  <c r="IM154" i="9" s="1"/>
  <c r="AB154" i="15"/>
  <c r="IG155" i="9" s="1"/>
  <c r="AC154" i="15"/>
  <c r="IM155" i="9" s="1"/>
  <c r="AB155" i="15"/>
  <c r="IG156" i="9" s="1"/>
  <c r="AC155" i="15"/>
  <c r="IM156" i="9" s="1"/>
  <c r="AB156" i="15"/>
  <c r="IG157" i="9" s="1"/>
  <c r="AC156" i="15"/>
  <c r="IM157" i="9" s="1"/>
  <c r="AB157" i="15"/>
  <c r="IG158" i="9" s="1"/>
  <c r="AC157" i="15"/>
  <c r="IM158" i="9" s="1"/>
  <c r="AB158" i="15"/>
  <c r="IG159" i="9" s="1"/>
  <c r="AC158" i="15"/>
  <c r="IM159" i="9" s="1"/>
  <c r="AB159" i="15"/>
  <c r="IG160" i="9" s="1"/>
  <c r="AC159" i="15"/>
  <c r="IM160" i="9" s="1"/>
  <c r="AB160" i="15"/>
  <c r="IG161" i="9" s="1"/>
  <c r="AC160" i="15"/>
  <c r="IM161" i="9" s="1"/>
  <c r="AB161" i="15"/>
  <c r="IG162" i="9" s="1"/>
  <c r="AC161" i="15"/>
  <c r="IM162" i="9" s="1"/>
  <c r="AB162" i="15"/>
  <c r="IG163" i="9" s="1"/>
  <c r="AC162" i="15"/>
  <c r="IM163" i="9" s="1"/>
  <c r="AB163" i="15"/>
  <c r="IG164" i="9" s="1"/>
  <c r="AC163" i="15"/>
  <c r="IM164" i="9" s="1"/>
  <c r="AB164" i="15"/>
  <c r="IG165" i="9" s="1"/>
  <c r="AC164" i="15"/>
  <c r="IM165" i="9" s="1"/>
  <c r="AB165" i="15"/>
  <c r="IG166" i="9" s="1"/>
  <c r="AC165" i="15"/>
  <c r="IM166" i="9" s="1"/>
  <c r="AB166" i="15"/>
  <c r="IG167" i="9" s="1"/>
  <c r="AC166" i="15"/>
  <c r="IM167" i="9" s="1"/>
  <c r="AB167" i="15"/>
  <c r="IG168" i="9" s="1"/>
  <c r="AC167" i="15"/>
  <c r="IM168" i="9" s="1"/>
  <c r="AB168" i="15"/>
  <c r="IG169" i="9" s="1"/>
  <c r="AC168" i="15"/>
  <c r="IM169" i="9" s="1"/>
  <c r="AB169" i="15"/>
  <c r="IG170" i="9" s="1"/>
  <c r="AC169" i="15"/>
  <c r="IM170" i="9" s="1"/>
  <c r="AB170" i="15"/>
  <c r="IG171" i="9" s="1"/>
  <c r="AC170" i="15"/>
  <c r="IM171" i="9" s="1"/>
  <c r="AB171" i="15"/>
  <c r="IG172" i="9" s="1"/>
  <c r="AC171" i="15"/>
  <c r="IM172" i="9" s="1"/>
  <c r="AB172" i="15"/>
  <c r="IG173" i="9" s="1"/>
  <c r="AC172" i="15"/>
  <c r="IM173" i="9" s="1"/>
  <c r="AB173" i="15"/>
  <c r="IG174" i="9" s="1"/>
  <c r="AC173" i="15"/>
  <c r="IM174" i="9" s="1"/>
  <c r="AB174" i="15"/>
  <c r="IG175" i="9" s="1"/>
  <c r="AC174" i="15"/>
  <c r="IM175" i="9" s="1"/>
  <c r="AB175" i="15"/>
  <c r="IG176" i="9" s="1"/>
  <c r="AC175" i="15"/>
  <c r="IM176" i="9" s="1"/>
  <c r="AB176" i="15"/>
  <c r="IG177" i="9" s="1"/>
  <c r="AC176" i="15"/>
  <c r="IM177" i="9" s="1"/>
  <c r="AB177" i="15"/>
  <c r="IG178" i="9" s="1"/>
  <c r="AC177" i="15"/>
  <c r="IM178" i="9" s="1"/>
  <c r="AB178" i="15"/>
  <c r="IG179" i="9" s="1"/>
  <c r="AC178" i="15"/>
  <c r="IM179" i="9" s="1"/>
  <c r="AB179" i="15"/>
  <c r="IG180" i="9" s="1"/>
  <c r="AC179" i="15"/>
  <c r="IM180" i="9" s="1"/>
  <c r="AB180" i="15"/>
  <c r="IG181" i="9" s="1"/>
  <c r="AC180" i="15"/>
  <c r="IM181" i="9" s="1"/>
  <c r="AB181" i="15"/>
  <c r="IG182" i="9" s="1"/>
  <c r="AC181" i="15"/>
  <c r="IM182" i="9" s="1"/>
  <c r="AB182" i="15"/>
  <c r="IG183" i="9" s="1"/>
  <c r="AC182" i="15"/>
  <c r="IM183" i="9" s="1"/>
  <c r="AB183" i="15"/>
  <c r="IG184" i="9" s="1"/>
  <c r="AC183" i="15"/>
  <c r="IM184" i="9" s="1"/>
  <c r="AB184" i="15"/>
  <c r="IG185" i="9" s="1"/>
  <c r="AC184" i="15"/>
  <c r="IM185" i="9" s="1"/>
  <c r="AB185" i="15"/>
  <c r="IG186" i="9" s="1"/>
  <c r="AC185" i="15"/>
  <c r="IM186" i="9" s="1"/>
  <c r="AB186" i="15"/>
  <c r="IG187" i="9" s="1"/>
  <c r="AC186" i="15"/>
  <c r="IM187" i="9" s="1"/>
  <c r="AB187" i="15"/>
  <c r="IG188" i="9" s="1"/>
  <c r="AC187" i="15"/>
  <c r="IM188" i="9" s="1"/>
  <c r="AB188" i="15"/>
  <c r="IG189" i="9" s="1"/>
  <c r="AC188" i="15"/>
  <c r="IM189" i="9" s="1"/>
  <c r="AB189" i="15"/>
  <c r="IG190" i="9" s="1"/>
  <c r="AC189" i="15"/>
  <c r="IM190" i="9" s="1"/>
  <c r="AB190" i="15"/>
  <c r="IG191" i="9" s="1"/>
  <c r="AC190" i="15"/>
  <c r="IM191" i="9" s="1"/>
  <c r="AB191" i="15"/>
  <c r="IG192" i="9" s="1"/>
  <c r="AC191" i="15"/>
  <c r="IM192" i="9" s="1"/>
  <c r="AB192" i="15"/>
  <c r="IG193" i="9" s="1"/>
  <c r="AC192" i="15"/>
  <c r="IM193" i="9" s="1"/>
  <c r="AB193" i="15"/>
  <c r="IG194" i="9" s="1"/>
  <c r="AC193" i="15"/>
  <c r="IM194" i="9" s="1"/>
  <c r="AB194" i="15"/>
  <c r="IG195" i="9" s="1"/>
  <c r="AC194" i="15"/>
  <c r="IM195" i="9" s="1"/>
  <c r="AB195" i="15"/>
  <c r="IG196" i="9" s="1"/>
  <c r="AC195" i="15"/>
  <c r="IM196" i="9" s="1"/>
  <c r="AB196" i="15"/>
  <c r="IG197" i="9" s="1"/>
  <c r="AC196" i="15"/>
  <c r="IM197" i="9" s="1"/>
  <c r="AB197" i="15"/>
  <c r="IG198" i="9" s="1"/>
  <c r="AC197" i="15"/>
  <c r="IM198" i="9" s="1"/>
  <c r="AB198" i="15"/>
  <c r="IG199" i="9" s="1"/>
  <c r="AC198" i="15"/>
  <c r="IM199" i="9" s="1"/>
  <c r="AB199" i="15"/>
  <c r="IG200" i="9" s="1"/>
  <c r="AC199" i="15"/>
  <c r="IM200" i="9" s="1"/>
  <c r="AB200" i="15"/>
  <c r="IG201" i="9" s="1"/>
  <c r="AC200" i="15"/>
  <c r="IM201" i="9" s="1"/>
  <c r="AB201" i="15"/>
  <c r="IG202" i="9" s="1"/>
  <c r="AC201" i="15"/>
  <c r="IM202" i="9" s="1"/>
  <c r="AB202" i="15"/>
  <c r="IG203" i="9" s="1"/>
  <c r="AC202" i="15"/>
  <c r="IM203" i="9" s="1"/>
  <c r="AB203" i="15"/>
  <c r="IG204" i="9" s="1"/>
  <c r="AC203" i="15"/>
  <c r="IM204" i="9" s="1"/>
  <c r="AB204" i="15"/>
  <c r="IG205" i="9" s="1"/>
  <c r="AC204" i="15"/>
  <c r="IM205" i="9" s="1"/>
  <c r="AB205" i="15"/>
  <c r="IG206" i="9" s="1"/>
  <c r="AC205" i="15"/>
  <c r="IM206" i="9" s="1"/>
  <c r="Y8" i="15"/>
  <c r="IF9" i="9" s="1"/>
  <c r="Z8" i="15"/>
  <c r="IL9" i="9" s="1"/>
  <c r="Y9" i="15"/>
  <c r="IF10" i="9" s="1"/>
  <c r="Z9" i="15"/>
  <c r="IL10" i="9" s="1"/>
  <c r="Y10" i="15"/>
  <c r="IF11" i="9" s="1"/>
  <c r="Z10" i="15"/>
  <c r="IL11" i="9" s="1"/>
  <c r="Y11" i="15"/>
  <c r="IF12" i="9" s="1"/>
  <c r="Z11" i="15"/>
  <c r="IL12" i="9" s="1"/>
  <c r="Y12" i="15"/>
  <c r="IF13" i="9" s="1"/>
  <c r="Z12" i="15"/>
  <c r="IL13" i="9" s="1"/>
  <c r="Y13" i="15"/>
  <c r="IF14" i="9" s="1"/>
  <c r="Z13" i="15"/>
  <c r="IL14" i="9" s="1"/>
  <c r="Y14" i="15"/>
  <c r="IF15" i="9" s="1"/>
  <c r="Z14" i="15"/>
  <c r="IL15" i="9" s="1"/>
  <c r="Y15" i="15"/>
  <c r="IF16" i="9" s="1"/>
  <c r="Z15" i="15"/>
  <c r="IL16" i="9" s="1"/>
  <c r="Y16" i="15"/>
  <c r="IF17" i="9" s="1"/>
  <c r="Z16" i="15"/>
  <c r="IL17" i="9" s="1"/>
  <c r="Y17" i="15"/>
  <c r="IF18" i="9" s="1"/>
  <c r="Z17" i="15"/>
  <c r="IL18" i="9" s="1"/>
  <c r="Y18" i="15"/>
  <c r="IF19" i="9" s="1"/>
  <c r="Z18" i="15"/>
  <c r="IL19" i="9" s="1"/>
  <c r="Y19" i="15"/>
  <c r="IF20" i="9" s="1"/>
  <c r="Z19" i="15"/>
  <c r="IL20" i="9" s="1"/>
  <c r="Y20" i="15"/>
  <c r="IF21" i="9" s="1"/>
  <c r="Z20" i="15"/>
  <c r="IL21" i="9" s="1"/>
  <c r="Y21" i="15"/>
  <c r="IF22" i="9" s="1"/>
  <c r="Z21" i="15"/>
  <c r="IL22" i="9" s="1"/>
  <c r="Y22" i="15"/>
  <c r="IF23" i="9" s="1"/>
  <c r="Z22" i="15"/>
  <c r="IL23" i="9" s="1"/>
  <c r="Y23" i="15"/>
  <c r="IF24" i="9" s="1"/>
  <c r="Z23" i="15"/>
  <c r="IL24" i="9" s="1"/>
  <c r="Y24" i="15"/>
  <c r="IF25" i="9" s="1"/>
  <c r="Z24" i="15"/>
  <c r="IL25" i="9" s="1"/>
  <c r="Y25" i="15"/>
  <c r="IF26" i="9" s="1"/>
  <c r="Z25" i="15"/>
  <c r="IL26" i="9" s="1"/>
  <c r="Y26" i="15"/>
  <c r="IF27" i="9" s="1"/>
  <c r="Z26" i="15"/>
  <c r="IL27" i="9" s="1"/>
  <c r="Y27" i="15"/>
  <c r="IF28" i="9" s="1"/>
  <c r="Z27" i="15"/>
  <c r="IL28" i="9" s="1"/>
  <c r="Y28" i="15"/>
  <c r="IF29" i="9" s="1"/>
  <c r="Z28" i="15"/>
  <c r="IL29" i="9" s="1"/>
  <c r="Y29" i="15"/>
  <c r="IF30" i="9" s="1"/>
  <c r="Z29" i="15"/>
  <c r="IL30" i="9" s="1"/>
  <c r="Y30" i="15"/>
  <c r="IF31" i="9" s="1"/>
  <c r="Z30" i="15"/>
  <c r="IL31" i="9" s="1"/>
  <c r="Y31" i="15"/>
  <c r="IF32" i="9" s="1"/>
  <c r="Z31" i="15"/>
  <c r="IL32" i="9" s="1"/>
  <c r="Y32" i="15"/>
  <c r="IF33" i="9" s="1"/>
  <c r="Z32" i="15"/>
  <c r="IL33" i="9" s="1"/>
  <c r="Y33" i="15"/>
  <c r="IF34" i="9" s="1"/>
  <c r="Z33" i="15"/>
  <c r="IL34" i="9" s="1"/>
  <c r="Y34" i="15"/>
  <c r="IF35" i="9" s="1"/>
  <c r="Z34" i="15"/>
  <c r="IL35" i="9" s="1"/>
  <c r="Y35" i="15"/>
  <c r="IF36" i="9" s="1"/>
  <c r="Z35" i="15"/>
  <c r="IL36" i="9" s="1"/>
  <c r="Y36" i="15"/>
  <c r="IF37" i="9" s="1"/>
  <c r="Z36" i="15"/>
  <c r="IL37" i="9" s="1"/>
  <c r="Y37" i="15"/>
  <c r="IF38" i="9" s="1"/>
  <c r="Z37" i="15"/>
  <c r="IL38" i="9" s="1"/>
  <c r="Y38" i="15"/>
  <c r="IF39" i="9" s="1"/>
  <c r="Z38" i="15"/>
  <c r="IL39" i="9" s="1"/>
  <c r="Y39" i="15"/>
  <c r="IF40" i="9" s="1"/>
  <c r="Z39" i="15"/>
  <c r="IL40" i="9" s="1"/>
  <c r="Y40" i="15"/>
  <c r="IF41" i="9" s="1"/>
  <c r="Z40" i="15"/>
  <c r="IL41" i="9" s="1"/>
  <c r="Y41" i="15"/>
  <c r="IF42" i="9" s="1"/>
  <c r="Z41" i="15"/>
  <c r="IL42" i="9" s="1"/>
  <c r="Y42" i="15"/>
  <c r="IF43" i="9" s="1"/>
  <c r="Z42" i="15"/>
  <c r="IL43" i="9" s="1"/>
  <c r="Y43" i="15"/>
  <c r="IF44" i="9" s="1"/>
  <c r="Z43" i="15"/>
  <c r="IL44" i="9" s="1"/>
  <c r="Y44" i="15"/>
  <c r="IF45" i="9" s="1"/>
  <c r="Z44" i="15"/>
  <c r="IL45" i="9" s="1"/>
  <c r="Y45" i="15"/>
  <c r="IF46" i="9" s="1"/>
  <c r="Z45" i="15"/>
  <c r="IL46" i="9" s="1"/>
  <c r="Y46" i="15"/>
  <c r="IF47" i="9" s="1"/>
  <c r="Z46" i="15"/>
  <c r="IL47" i="9" s="1"/>
  <c r="Y47" i="15"/>
  <c r="IF48" i="9" s="1"/>
  <c r="Z47" i="15"/>
  <c r="IL48" i="9" s="1"/>
  <c r="Y48" i="15"/>
  <c r="IF49" i="9" s="1"/>
  <c r="Z48" i="15"/>
  <c r="IL49" i="9" s="1"/>
  <c r="Y49" i="15"/>
  <c r="IF50" i="9" s="1"/>
  <c r="Z49" i="15"/>
  <c r="IL50" i="9" s="1"/>
  <c r="Y50" i="15"/>
  <c r="IF51" i="9" s="1"/>
  <c r="Z50" i="15"/>
  <c r="IL51" i="9" s="1"/>
  <c r="Y51" i="15"/>
  <c r="IF52" i="9" s="1"/>
  <c r="Z51" i="15"/>
  <c r="IL52" i="9" s="1"/>
  <c r="Y52" i="15"/>
  <c r="IF53" i="9" s="1"/>
  <c r="Z52" i="15"/>
  <c r="IL53" i="9" s="1"/>
  <c r="Y53" i="15"/>
  <c r="IF54" i="9" s="1"/>
  <c r="Z53" i="15"/>
  <c r="IL54" i="9" s="1"/>
  <c r="Y54" i="15"/>
  <c r="IF55" i="9" s="1"/>
  <c r="Z54" i="15"/>
  <c r="IL55" i="9" s="1"/>
  <c r="Y55" i="15"/>
  <c r="IF56" i="9" s="1"/>
  <c r="Z55" i="15"/>
  <c r="IL56" i="9" s="1"/>
  <c r="Y56" i="15"/>
  <c r="IF57" i="9" s="1"/>
  <c r="Z56" i="15"/>
  <c r="IL57" i="9" s="1"/>
  <c r="Y57" i="15"/>
  <c r="IF58" i="9" s="1"/>
  <c r="Z57" i="15"/>
  <c r="IL58" i="9" s="1"/>
  <c r="Y58" i="15"/>
  <c r="IF59" i="9" s="1"/>
  <c r="Z58" i="15"/>
  <c r="IL59" i="9" s="1"/>
  <c r="Y59" i="15"/>
  <c r="IF60" i="9" s="1"/>
  <c r="Z59" i="15"/>
  <c r="IL60" i="9" s="1"/>
  <c r="Y60" i="15"/>
  <c r="IF61" i="9" s="1"/>
  <c r="Z60" i="15"/>
  <c r="IL61" i="9" s="1"/>
  <c r="Y61" i="15"/>
  <c r="IF62" i="9" s="1"/>
  <c r="Z61" i="15"/>
  <c r="IL62" i="9" s="1"/>
  <c r="Y62" i="15"/>
  <c r="IF63" i="9" s="1"/>
  <c r="Z62" i="15"/>
  <c r="IL63" i="9" s="1"/>
  <c r="Y63" i="15"/>
  <c r="IF64" i="9" s="1"/>
  <c r="Z63" i="15"/>
  <c r="IL64" i="9" s="1"/>
  <c r="Y64" i="15"/>
  <c r="IF65" i="9" s="1"/>
  <c r="Z64" i="15"/>
  <c r="IL65" i="9" s="1"/>
  <c r="Y65" i="15"/>
  <c r="IF66" i="9" s="1"/>
  <c r="Z65" i="15"/>
  <c r="IL66" i="9" s="1"/>
  <c r="Y66" i="15"/>
  <c r="IF67" i="9" s="1"/>
  <c r="Z66" i="15"/>
  <c r="IL67" i="9" s="1"/>
  <c r="Y67" i="15"/>
  <c r="IF68" i="9" s="1"/>
  <c r="Z67" i="15"/>
  <c r="IL68" i="9" s="1"/>
  <c r="Y68" i="15"/>
  <c r="IF69" i="9" s="1"/>
  <c r="Z68" i="15"/>
  <c r="IL69" i="9" s="1"/>
  <c r="Y69" i="15"/>
  <c r="IF70" i="9" s="1"/>
  <c r="Z69" i="15"/>
  <c r="IL70" i="9" s="1"/>
  <c r="Y70" i="15"/>
  <c r="IF71" i="9" s="1"/>
  <c r="Z70" i="15"/>
  <c r="IL71" i="9" s="1"/>
  <c r="Y71" i="15"/>
  <c r="IF72" i="9" s="1"/>
  <c r="Z71" i="15"/>
  <c r="IL72" i="9" s="1"/>
  <c r="Y72" i="15"/>
  <c r="IF73" i="9" s="1"/>
  <c r="Z72" i="15"/>
  <c r="IL73" i="9" s="1"/>
  <c r="Y73" i="15"/>
  <c r="IF74" i="9" s="1"/>
  <c r="Z73" i="15"/>
  <c r="IL74" i="9" s="1"/>
  <c r="Y74" i="15"/>
  <c r="IF75" i="9" s="1"/>
  <c r="Z74" i="15"/>
  <c r="IL75" i="9" s="1"/>
  <c r="Y75" i="15"/>
  <c r="IF76" i="9" s="1"/>
  <c r="Z75" i="15"/>
  <c r="IL76" i="9" s="1"/>
  <c r="Y76" i="15"/>
  <c r="IF77" i="9" s="1"/>
  <c r="Z76" i="15"/>
  <c r="IL77" i="9" s="1"/>
  <c r="Y77" i="15"/>
  <c r="IF78" i="9" s="1"/>
  <c r="Z77" i="15"/>
  <c r="IL78" i="9" s="1"/>
  <c r="Y78" i="15"/>
  <c r="IF79" i="9" s="1"/>
  <c r="Z78" i="15"/>
  <c r="IL79" i="9" s="1"/>
  <c r="Y79" i="15"/>
  <c r="IF80" i="9" s="1"/>
  <c r="Z79" i="15"/>
  <c r="IL80" i="9" s="1"/>
  <c r="Y80" i="15"/>
  <c r="IF81" i="9" s="1"/>
  <c r="Z80" i="15"/>
  <c r="IL81" i="9" s="1"/>
  <c r="Y81" i="15"/>
  <c r="IF82" i="9" s="1"/>
  <c r="Z81" i="15"/>
  <c r="IL82" i="9" s="1"/>
  <c r="Y82" i="15"/>
  <c r="IF83" i="9" s="1"/>
  <c r="Z82" i="15"/>
  <c r="IL83" i="9" s="1"/>
  <c r="Y83" i="15"/>
  <c r="IF84" i="9" s="1"/>
  <c r="Z83" i="15"/>
  <c r="IL84" i="9" s="1"/>
  <c r="Y84" i="15"/>
  <c r="IF85" i="9" s="1"/>
  <c r="Z84" i="15"/>
  <c r="IL85" i="9" s="1"/>
  <c r="Y85" i="15"/>
  <c r="IF86" i="9" s="1"/>
  <c r="Z85" i="15"/>
  <c r="IL86" i="9" s="1"/>
  <c r="Y86" i="15"/>
  <c r="IF87" i="9" s="1"/>
  <c r="Z86" i="15"/>
  <c r="IL87" i="9" s="1"/>
  <c r="Y87" i="15"/>
  <c r="IF88" i="9" s="1"/>
  <c r="Z87" i="15"/>
  <c r="IL88" i="9" s="1"/>
  <c r="Y88" i="15"/>
  <c r="IF89" i="9" s="1"/>
  <c r="Z88" i="15"/>
  <c r="IL89" i="9" s="1"/>
  <c r="Y89" i="15"/>
  <c r="IF90" i="9" s="1"/>
  <c r="Z89" i="15"/>
  <c r="IL90" i="9" s="1"/>
  <c r="Y90" i="15"/>
  <c r="IF91" i="9" s="1"/>
  <c r="Z90" i="15"/>
  <c r="IL91" i="9" s="1"/>
  <c r="Y91" i="15"/>
  <c r="IF92" i="9" s="1"/>
  <c r="Z91" i="15"/>
  <c r="IL92" i="9" s="1"/>
  <c r="Y92" i="15"/>
  <c r="IF93" i="9" s="1"/>
  <c r="Z92" i="15"/>
  <c r="IL93" i="9" s="1"/>
  <c r="Y93" i="15"/>
  <c r="IF94" i="9" s="1"/>
  <c r="Z93" i="15"/>
  <c r="IL94" i="9" s="1"/>
  <c r="Y94" i="15"/>
  <c r="IF95" i="9" s="1"/>
  <c r="Z94" i="15"/>
  <c r="IL95" i="9" s="1"/>
  <c r="Y95" i="15"/>
  <c r="IF96" i="9" s="1"/>
  <c r="Z95" i="15"/>
  <c r="IL96" i="9" s="1"/>
  <c r="Y96" i="15"/>
  <c r="IF97" i="9" s="1"/>
  <c r="Z96" i="15"/>
  <c r="IL97" i="9" s="1"/>
  <c r="Y97" i="15"/>
  <c r="IF98" i="9" s="1"/>
  <c r="Z97" i="15"/>
  <c r="IL98" i="9" s="1"/>
  <c r="Y98" i="15"/>
  <c r="IF99" i="9" s="1"/>
  <c r="Z98" i="15"/>
  <c r="IL99" i="9" s="1"/>
  <c r="Y99" i="15"/>
  <c r="IF100" i="9" s="1"/>
  <c r="Z99" i="15"/>
  <c r="IL100" i="9" s="1"/>
  <c r="Y100" i="15"/>
  <c r="IF101" i="9" s="1"/>
  <c r="Z100" i="15"/>
  <c r="IL101" i="9" s="1"/>
  <c r="Y101" i="15"/>
  <c r="IF102" i="9" s="1"/>
  <c r="Z101" i="15"/>
  <c r="IL102" i="9" s="1"/>
  <c r="Y102" i="15"/>
  <c r="IF103" i="9" s="1"/>
  <c r="Z102" i="15"/>
  <c r="IL103" i="9" s="1"/>
  <c r="Y103" i="15"/>
  <c r="IF104" i="9" s="1"/>
  <c r="Z103" i="15"/>
  <c r="IL104" i="9" s="1"/>
  <c r="Y104" i="15"/>
  <c r="IF105" i="9" s="1"/>
  <c r="Z104" i="15"/>
  <c r="IL105" i="9" s="1"/>
  <c r="Y105" i="15"/>
  <c r="IF106" i="9" s="1"/>
  <c r="Z105" i="15"/>
  <c r="IL106" i="9" s="1"/>
  <c r="Y106" i="15"/>
  <c r="IF107" i="9" s="1"/>
  <c r="Z106" i="15"/>
  <c r="IL107" i="9" s="1"/>
  <c r="Y107" i="15"/>
  <c r="IF108" i="9" s="1"/>
  <c r="Z107" i="15"/>
  <c r="IL108" i="9" s="1"/>
  <c r="Y108" i="15"/>
  <c r="IF109" i="9" s="1"/>
  <c r="Z108" i="15"/>
  <c r="IL109" i="9" s="1"/>
  <c r="Y109" i="15"/>
  <c r="IF110" i="9" s="1"/>
  <c r="Z109" i="15"/>
  <c r="IL110" i="9" s="1"/>
  <c r="Y110" i="15"/>
  <c r="IF111" i="9" s="1"/>
  <c r="Z110" i="15"/>
  <c r="IL111" i="9" s="1"/>
  <c r="Y111" i="15"/>
  <c r="IF112" i="9" s="1"/>
  <c r="Z111" i="15"/>
  <c r="IL112" i="9" s="1"/>
  <c r="Y112" i="15"/>
  <c r="IF113" i="9" s="1"/>
  <c r="Z112" i="15"/>
  <c r="IL113" i="9" s="1"/>
  <c r="Y113" i="15"/>
  <c r="IF114" i="9" s="1"/>
  <c r="Z113" i="15"/>
  <c r="IL114" i="9" s="1"/>
  <c r="Y114" i="15"/>
  <c r="IF115" i="9" s="1"/>
  <c r="Z114" i="15"/>
  <c r="IL115" i="9" s="1"/>
  <c r="Y115" i="15"/>
  <c r="IF116" i="9" s="1"/>
  <c r="Z115" i="15"/>
  <c r="IL116" i="9" s="1"/>
  <c r="Y116" i="15"/>
  <c r="IF117" i="9" s="1"/>
  <c r="Z116" i="15"/>
  <c r="IL117" i="9" s="1"/>
  <c r="Y117" i="15"/>
  <c r="IF118" i="9" s="1"/>
  <c r="Z117" i="15"/>
  <c r="IL118" i="9" s="1"/>
  <c r="Y118" i="15"/>
  <c r="IF119" i="9" s="1"/>
  <c r="Z118" i="15"/>
  <c r="IL119" i="9" s="1"/>
  <c r="Y119" i="15"/>
  <c r="IF120" i="9" s="1"/>
  <c r="Z119" i="15"/>
  <c r="IL120" i="9" s="1"/>
  <c r="Y120" i="15"/>
  <c r="IF121" i="9" s="1"/>
  <c r="Z120" i="15"/>
  <c r="IL121" i="9" s="1"/>
  <c r="Y121" i="15"/>
  <c r="IF122" i="9" s="1"/>
  <c r="Z121" i="15"/>
  <c r="IL122" i="9" s="1"/>
  <c r="Y122" i="15"/>
  <c r="IF123" i="9" s="1"/>
  <c r="Z122" i="15"/>
  <c r="IL123" i="9" s="1"/>
  <c r="Y123" i="15"/>
  <c r="IF124" i="9" s="1"/>
  <c r="Z123" i="15"/>
  <c r="IL124" i="9" s="1"/>
  <c r="Y124" i="15"/>
  <c r="IF125" i="9" s="1"/>
  <c r="Z124" i="15"/>
  <c r="IL125" i="9" s="1"/>
  <c r="Y125" i="15"/>
  <c r="IF126" i="9" s="1"/>
  <c r="Z125" i="15"/>
  <c r="IL126" i="9" s="1"/>
  <c r="Y126" i="15"/>
  <c r="IF127" i="9" s="1"/>
  <c r="Z126" i="15"/>
  <c r="IL127" i="9" s="1"/>
  <c r="Y127" i="15"/>
  <c r="IF128" i="9" s="1"/>
  <c r="Z127" i="15"/>
  <c r="IL128" i="9" s="1"/>
  <c r="Y128" i="15"/>
  <c r="IF129" i="9" s="1"/>
  <c r="Z128" i="15"/>
  <c r="IL129" i="9" s="1"/>
  <c r="Y129" i="15"/>
  <c r="IF130" i="9" s="1"/>
  <c r="Z129" i="15"/>
  <c r="IL130" i="9" s="1"/>
  <c r="Y130" i="15"/>
  <c r="IF131" i="9" s="1"/>
  <c r="Z130" i="15"/>
  <c r="IL131" i="9" s="1"/>
  <c r="Y131" i="15"/>
  <c r="IF132" i="9" s="1"/>
  <c r="Z131" i="15"/>
  <c r="IL132" i="9" s="1"/>
  <c r="Y132" i="15"/>
  <c r="IF133" i="9" s="1"/>
  <c r="Z132" i="15"/>
  <c r="IL133" i="9" s="1"/>
  <c r="Y133" i="15"/>
  <c r="IF134" i="9" s="1"/>
  <c r="Z133" i="15"/>
  <c r="IL134" i="9" s="1"/>
  <c r="Y134" i="15"/>
  <c r="IF135" i="9" s="1"/>
  <c r="Z134" i="15"/>
  <c r="IL135" i="9" s="1"/>
  <c r="Y135" i="15"/>
  <c r="IF136" i="9" s="1"/>
  <c r="Z135" i="15"/>
  <c r="IL136" i="9" s="1"/>
  <c r="Y136" i="15"/>
  <c r="IF137" i="9" s="1"/>
  <c r="Z136" i="15"/>
  <c r="IL137" i="9" s="1"/>
  <c r="Y137" i="15"/>
  <c r="IF138" i="9" s="1"/>
  <c r="Z137" i="15"/>
  <c r="IL138" i="9" s="1"/>
  <c r="Y138" i="15"/>
  <c r="IF139" i="9" s="1"/>
  <c r="Z138" i="15"/>
  <c r="IL139" i="9" s="1"/>
  <c r="Y139" i="15"/>
  <c r="IF140" i="9" s="1"/>
  <c r="Z139" i="15"/>
  <c r="IL140" i="9" s="1"/>
  <c r="Y140" i="15"/>
  <c r="IF141" i="9" s="1"/>
  <c r="Z140" i="15"/>
  <c r="IL141" i="9" s="1"/>
  <c r="Y141" i="15"/>
  <c r="IF142" i="9" s="1"/>
  <c r="Z141" i="15"/>
  <c r="IL142" i="9" s="1"/>
  <c r="Y142" i="15"/>
  <c r="IF143" i="9" s="1"/>
  <c r="Z142" i="15"/>
  <c r="IL143" i="9" s="1"/>
  <c r="Y143" i="15"/>
  <c r="IF144" i="9" s="1"/>
  <c r="Z143" i="15"/>
  <c r="IL144" i="9" s="1"/>
  <c r="Y144" i="15"/>
  <c r="IF145" i="9" s="1"/>
  <c r="Z144" i="15"/>
  <c r="IL145" i="9" s="1"/>
  <c r="Y145" i="15"/>
  <c r="IF146" i="9" s="1"/>
  <c r="Z145" i="15"/>
  <c r="IL146" i="9" s="1"/>
  <c r="Y146" i="15"/>
  <c r="IF147" i="9" s="1"/>
  <c r="Z146" i="15"/>
  <c r="IL147" i="9" s="1"/>
  <c r="Y147" i="15"/>
  <c r="IF148" i="9" s="1"/>
  <c r="Z147" i="15"/>
  <c r="IL148" i="9" s="1"/>
  <c r="Y148" i="15"/>
  <c r="IF149" i="9" s="1"/>
  <c r="Z148" i="15"/>
  <c r="IL149" i="9" s="1"/>
  <c r="Y149" i="15"/>
  <c r="IF150" i="9" s="1"/>
  <c r="Z149" i="15"/>
  <c r="IL150" i="9" s="1"/>
  <c r="Y150" i="15"/>
  <c r="IF151" i="9" s="1"/>
  <c r="Z150" i="15"/>
  <c r="IL151" i="9" s="1"/>
  <c r="Y151" i="15"/>
  <c r="IF152" i="9" s="1"/>
  <c r="Z151" i="15"/>
  <c r="IL152" i="9" s="1"/>
  <c r="Y152" i="15"/>
  <c r="IF153" i="9" s="1"/>
  <c r="Z152" i="15"/>
  <c r="IL153" i="9" s="1"/>
  <c r="Y153" i="15"/>
  <c r="IF154" i="9" s="1"/>
  <c r="Z153" i="15"/>
  <c r="IL154" i="9" s="1"/>
  <c r="Y154" i="15"/>
  <c r="IF155" i="9" s="1"/>
  <c r="Z154" i="15"/>
  <c r="IL155" i="9" s="1"/>
  <c r="Y155" i="15"/>
  <c r="IF156" i="9" s="1"/>
  <c r="Z155" i="15"/>
  <c r="IL156" i="9" s="1"/>
  <c r="Y156" i="15"/>
  <c r="IF157" i="9" s="1"/>
  <c r="Z156" i="15"/>
  <c r="IL157" i="9" s="1"/>
  <c r="Y157" i="15"/>
  <c r="IF158" i="9" s="1"/>
  <c r="Z157" i="15"/>
  <c r="IL158" i="9" s="1"/>
  <c r="Y158" i="15"/>
  <c r="IF159" i="9" s="1"/>
  <c r="Z158" i="15"/>
  <c r="IL159" i="9" s="1"/>
  <c r="Y159" i="15"/>
  <c r="IF160" i="9" s="1"/>
  <c r="Z159" i="15"/>
  <c r="IL160" i="9" s="1"/>
  <c r="Y160" i="15"/>
  <c r="IF161" i="9" s="1"/>
  <c r="Z160" i="15"/>
  <c r="IL161" i="9" s="1"/>
  <c r="Y161" i="15"/>
  <c r="IF162" i="9" s="1"/>
  <c r="Z161" i="15"/>
  <c r="IL162" i="9" s="1"/>
  <c r="Y162" i="15"/>
  <c r="IF163" i="9" s="1"/>
  <c r="Z162" i="15"/>
  <c r="IL163" i="9" s="1"/>
  <c r="Y163" i="15"/>
  <c r="IF164" i="9" s="1"/>
  <c r="Z163" i="15"/>
  <c r="IL164" i="9" s="1"/>
  <c r="Y164" i="15"/>
  <c r="IF165" i="9" s="1"/>
  <c r="Z164" i="15"/>
  <c r="IL165" i="9" s="1"/>
  <c r="Y165" i="15"/>
  <c r="IF166" i="9" s="1"/>
  <c r="Z165" i="15"/>
  <c r="IL166" i="9" s="1"/>
  <c r="Y166" i="15"/>
  <c r="IF167" i="9" s="1"/>
  <c r="Z166" i="15"/>
  <c r="IL167" i="9" s="1"/>
  <c r="Y167" i="15"/>
  <c r="IF168" i="9" s="1"/>
  <c r="Z167" i="15"/>
  <c r="IL168" i="9" s="1"/>
  <c r="Y168" i="15"/>
  <c r="IF169" i="9" s="1"/>
  <c r="Z168" i="15"/>
  <c r="IL169" i="9" s="1"/>
  <c r="Y169" i="15"/>
  <c r="IF170" i="9" s="1"/>
  <c r="Z169" i="15"/>
  <c r="IL170" i="9" s="1"/>
  <c r="Y170" i="15"/>
  <c r="IF171" i="9" s="1"/>
  <c r="Z170" i="15"/>
  <c r="IL171" i="9" s="1"/>
  <c r="Y171" i="15"/>
  <c r="IF172" i="9" s="1"/>
  <c r="Z171" i="15"/>
  <c r="IL172" i="9" s="1"/>
  <c r="Y172" i="15"/>
  <c r="IF173" i="9" s="1"/>
  <c r="Z172" i="15"/>
  <c r="IL173" i="9" s="1"/>
  <c r="Y173" i="15"/>
  <c r="IF174" i="9" s="1"/>
  <c r="Z173" i="15"/>
  <c r="IL174" i="9" s="1"/>
  <c r="Y174" i="15"/>
  <c r="IF175" i="9" s="1"/>
  <c r="Z174" i="15"/>
  <c r="IL175" i="9" s="1"/>
  <c r="Y175" i="15"/>
  <c r="IF176" i="9" s="1"/>
  <c r="Z175" i="15"/>
  <c r="IL176" i="9" s="1"/>
  <c r="Y176" i="15"/>
  <c r="IF177" i="9" s="1"/>
  <c r="Z176" i="15"/>
  <c r="IL177" i="9" s="1"/>
  <c r="Y177" i="15"/>
  <c r="IF178" i="9" s="1"/>
  <c r="Z177" i="15"/>
  <c r="IL178" i="9" s="1"/>
  <c r="Y178" i="15"/>
  <c r="IF179" i="9" s="1"/>
  <c r="Z178" i="15"/>
  <c r="IL179" i="9" s="1"/>
  <c r="Y179" i="15"/>
  <c r="IF180" i="9" s="1"/>
  <c r="Z179" i="15"/>
  <c r="IL180" i="9" s="1"/>
  <c r="Y180" i="15"/>
  <c r="IF181" i="9" s="1"/>
  <c r="Z180" i="15"/>
  <c r="IL181" i="9" s="1"/>
  <c r="Y181" i="15"/>
  <c r="IF182" i="9" s="1"/>
  <c r="Z181" i="15"/>
  <c r="IL182" i="9" s="1"/>
  <c r="Y182" i="15"/>
  <c r="IF183" i="9" s="1"/>
  <c r="Z182" i="15"/>
  <c r="IL183" i="9" s="1"/>
  <c r="Y183" i="15"/>
  <c r="IF184" i="9" s="1"/>
  <c r="Z183" i="15"/>
  <c r="IL184" i="9" s="1"/>
  <c r="Y184" i="15"/>
  <c r="IF185" i="9" s="1"/>
  <c r="Z184" i="15"/>
  <c r="IL185" i="9" s="1"/>
  <c r="Y185" i="15"/>
  <c r="IF186" i="9" s="1"/>
  <c r="Z185" i="15"/>
  <c r="IL186" i="9" s="1"/>
  <c r="Y186" i="15"/>
  <c r="IF187" i="9" s="1"/>
  <c r="Z186" i="15"/>
  <c r="IL187" i="9" s="1"/>
  <c r="Y187" i="15"/>
  <c r="IF188" i="9" s="1"/>
  <c r="Z187" i="15"/>
  <c r="IL188" i="9" s="1"/>
  <c r="Y188" i="15"/>
  <c r="IF189" i="9" s="1"/>
  <c r="Z188" i="15"/>
  <c r="IL189" i="9" s="1"/>
  <c r="Y189" i="15"/>
  <c r="IF190" i="9" s="1"/>
  <c r="Z189" i="15"/>
  <c r="IL190" i="9" s="1"/>
  <c r="Y190" i="15"/>
  <c r="IF191" i="9" s="1"/>
  <c r="Z190" i="15"/>
  <c r="IL191" i="9" s="1"/>
  <c r="Y191" i="15"/>
  <c r="IF192" i="9" s="1"/>
  <c r="Z191" i="15"/>
  <c r="IL192" i="9" s="1"/>
  <c r="Y192" i="15"/>
  <c r="IF193" i="9" s="1"/>
  <c r="Z192" i="15"/>
  <c r="IL193" i="9" s="1"/>
  <c r="Y193" i="15"/>
  <c r="IF194" i="9" s="1"/>
  <c r="Z193" i="15"/>
  <c r="IL194" i="9" s="1"/>
  <c r="Y194" i="15"/>
  <c r="IF195" i="9" s="1"/>
  <c r="Z194" i="15"/>
  <c r="IL195" i="9" s="1"/>
  <c r="Y195" i="15"/>
  <c r="IF196" i="9" s="1"/>
  <c r="Z195" i="15"/>
  <c r="IL196" i="9" s="1"/>
  <c r="Y196" i="15"/>
  <c r="IF197" i="9" s="1"/>
  <c r="Z196" i="15"/>
  <c r="IL197" i="9" s="1"/>
  <c r="Y197" i="15"/>
  <c r="IF198" i="9" s="1"/>
  <c r="Z197" i="15"/>
  <c r="IL198" i="9" s="1"/>
  <c r="Y198" i="15"/>
  <c r="IF199" i="9" s="1"/>
  <c r="Z198" i="15"/>
  <c r="IL199" i="9" s="1"/>
  <c r="Y199" i="15"/>
  <c r="IF200" i="9" s="1"/>
  <c r="Z199" i="15"/>
  <c r="IL200" i="9" s="1"/>
  <c r="Y200" i="15"/>
  <c r="IF201" i="9" s="1"/>
  <c r="Z200" i="15"/>
  <c r="IL201" i="9" s="1"/>
  <c r="Y201" i="15"/>
  <c r="IF202" i="9" s="1"/>
  <c r="Z201" i="15"/>
  <c r="IL202" i="9" s="1"/>
  <c r="Y202" i="15"/>
  <c r="IF203" i="9" s="1"/>
  <c r="Z202" i="15"/>
  <c r="IL203" i="9" s="1"/>
  <c r="Y203" i="15"/>
  <c r="IF204" i="9" s="1"/>
  <c r="Z203" i="15"/>
  <c r="IL204" i="9" s="1"/>
  <c r="Y204" i="15"/>
  <c r="IF205" i="9" s="1"/>
  <c r="Z204" i="15"/>
  <c r="IL205" i="9" s="1"/>
  <c r="Y205" i="15"/>
  <c r="IF206" i="9" s="1"/>
  <c r="Z205" i="15"/>
  <c r="IL206" i="9" s="1"/>
  <c r="Y206" i="15"/>
  <c r="IF207" i="9" s="1"/>
  <c r="Z206" i="15"/>
  <c r="IL207" i="9" s="1"/>
  <c r="V8" i="15"/>
  <c r="W8"/>
  <c r="IK9" i="9" s="1"/>
  <c r="V9" i="15"/>
  <c r="W9"/>
  <c r="IK10" i="9" s="1"/>
  <c r="V10" i="15"/>
  <c r="W10"/>
  <c r="IK11" i="9" s="1"/>
  <c r="V11" i="15"/>
  <c r="W11"/>
  <c r="IK12" i="9" s="1"/>
  <c r="V12" i="15"/>
  <c r="W12"/>
  <c r="IK13" i="9" s="1"/>
  <c r="V13" i="15"/>
  <c r="W13"/>
  <c r="IK14" i="9" s="1"/>
  <c r="V14" i="15"/>
  <c r="W14"/>
  <c r="IK15" i="9" s="1"/>
  <c r="V15" i="15"/>
  <c r="W15"/>
  <c r="IK16" i="9" s="1"/>
  <c r="V16" i="15"/>
  <c r="W16"/>
  <c r="IK17" i="9" s="1"/>
  <c r="V17" i="15"/>
  <c r="W17"/>
  <c r="IK18" i="9" s="1"/>
  <c r="V18" i="15"/>
  <c r="W18"/>
  <c r="IK19" i="9" s="1"/>
  <c r="V19" i="15"/>
  <c r="W19"/>
  <c r="IK20" i="9" s="1"/>
  <c r="V20" i="15"/>
  <c r="W20"/>
  <c r="IK21" i="9" s="1"/>
  <c r="V21" i="15"/>
  <c r="W21"/>
  <c r="IK22" i="9" s="1"/>
  <c r="V22" i="15"/>
  <c r="W22"/>
  <c r="IK23" i="9" s="1"/>
  <c r="V23" i="15"/>
  <c r="W23"/>
  <c r="IK24" i="9" s="1"/>
  <c r="V24" i="15"/>
  <c r="W24"/>
  <c r="IK25" i="9" s="1"/>
  <c r="V25" i="15"/>
  <c r="W25"/>
  <c r="IK26" i="9" s="1"/>
  <c r="V26" i="15"/>
  <c r="W26"/>
  <c r="IK27" i="9" s="1"/>
  <c r="V27" i="15"/>
  <c r="W27"/>
  <c r="IK28" i="9" s="1"/>
  <c r="V28" i="15"/>
  <c r="W28"/>
  <c r="IK29" i="9" s="1"/>
  <c r="V29" i="15"/>
  <c r="W29"/>
  <c r="IK30" i="9" s="1"/>
  <c r="V30" i="15"/>
  <c r="W30"/>
  <c r="IK31" i="9" s="1"/>
  <c r="V31" i="15"/>
  <c r="W31"/>
  <c r="IK32" i="9" s="1"/>
  <c r="V32" i="15"/>
  <c r="W32"/>
  <c r="IK33" i="9" s="1"/>
  <c r="V33" i="15"/>
  <c r="W33"/>
  <c r="IK34" i="9" s="1"/>
  <c r="V34" i="15"/>
  <c r="W34"/>
  <c r="IK35" i="9" s="1"/>
  <c r="V35" i="15"/>
  <c r="W35"/>
  <c r="IK36" i="9" s="1"/>
  <c r="V36" i="15"/>
  <c r="W36"/>
  <c r="IK37" i="9" s="1"/>
  <c r="V37" i="15"/>
  <c r="W37"/>
  <c r="IK38" i="9" s="1"/>
  <c r="V38" i="15"/>
  <c r="W38"/>
  <c r="IK39" i="9" s="1"/>
  <c r="V39" i="15"/>
  <c r="W39"/>
  <c r="IK40" i="9" s="1"/>
  <c r="V40" i="15"/>
  <c r="W40"/>
  <c r="IK41" i="9" s="1"/>
  <c r="V41" i="15"/>
  <c r="W41"/>
  <c r="IK42" i="9" s="1"/>
  <c r="V42" i="15"/>
  <c r="W42"/>
  <c r="IK43" i="9" s="1"/>
  <c r="V43" i="15"/>
  <c r="W43"/>
  <c r="IK44" i="9" s="1"/>
  <c r="V44" i="15"/>
  <c r="W44"/>
  <c r="IK45" i="9" s="1"/>
  <c r="V45" i="15"/>
  <c r="W45"/>
  <c r="IK46" i="9" s="1"/>
  <c r="V46" i="15"/>
  <c r="W46"/>
  <c r="IK47" i="9" s="1"/>
  <c r="V47" i="15"/>
  <c r="W47"/>
  <c r="IK48" i="9" s="1"/>
  <c r="V48" i="15"/>
  <c r="W48"/>
  <c r="IK49" i="9" s="1"/>
  <c r="V49" i="15"/>
  <c r="W49"/>
  <c r="IK50" i="9" s="1"/>
  <c r="V50" i="15"/>
  <c r="W50"/>
  <c r="IK51" i="9" s="1"/>
  <c r="V51" i="15"/>
  <c r="W51"/>
  <c r="IK52" i="9" s="1"/>
  <c r="V52" i="15"/>
  <c r="W52"/>
  <c r="IK53" i="9" s="1"/>
  <c r="V53" i="15"/>
  <c r="W53"/>
  <c r="IK54" i="9" s="1"/>
  <c r="V54" i="15"/>
  <c r="W54"/>
  <c r="IK55" i="9" s="1"/>
  <c r="V55" i="15"/>
  <c r="W55"/>
  <c r="IK56" i="9" s="1"/>
  <c r="V56" i="15"/>
  <c r="W56"/>
  <c r="IK57" i="9" s="1"/>
  <c r="V57" i="15"/>
  <c r="W57"/>
  <c r="IK58" i="9" s="1"/>
  <c r="V58" i="15"/>
  <c r="W58"/>
  <c r="IK59" i="9" s="1"/>
  <c r="V59" i="15"/>
  <c r="W59"/>
  <c r="IK60" i="9" s="1"/>
  <c r="V60" i="15"/>
  <c r="W60"/>
  <c r="IK61" i="9" s="1"/>
  <c r="V61" i="15"/>
  <c r="W61"/>
  <c r="IK62" i="9" s="1"/>
  <c r="V62" i="15"/>
  <c r="W62"/>
  <c r="IK63" i="9" s="1"/>
  <c r="V63" i="15"/>
  <c r="W63"/>
  <c r="IK64" i="9" s="1"/>
  <c r="V64" i="15"/>
  <c r="W64"/>
  <c r="IK65" i="9" s="1"/>
  <c r="V65" i="15"/>
  <c r="W65"/>
  <c r="IK66" i="9" s="1"/>
  <c r="V66" i="15"/>
  <c r="W66"/>
  <c r="IK67" i="9" s="1"/>
  <c r="V67" i="15"/>
  <c r="W67"/>
  <c r="IK68" i="9" s="1"/>
  <c r="V68" i="15"/>
  <c r="W68"/>
  <c r="IK69" i="9" s="1"/>
  <c r="V69" i="15"/>
  <c r="W69"/>
  <c r="IK70" i="9" s="1"/>
  <c r="V70" i="15"/>
  <c r="W70"/>
  <c r="IK71" i="9" s="1"/>
  <c r="V71" i="15"/>
  <c r="W71"/>
  <c r="IK72" i="9" s="1"/>
  <c r="V72" i="15"/>
  <c r="W72"/>
  <c r="IK73" i="9" s="1"/>
  <c r="V73" i="15"/>
  <c r="W73"/>
  <c r="IK74" i="9" s="1"/>
  <c r="V74" i="15"/>
  <c r="W74"/>
  <c r="IK75" i="9" s="1"/>
  <c r="V75" i="15"/>
  <c r="W75"/>
  <c r="IK76" i="9" s="1"/>
  <c r="V76" i="15"/>
  <c r="W76"/>
  <c r="IK77" i="9" s="1"/>
  <c r="V77" i="15"/>
  <c r="W77"/>
  <c r="IK78" i="9" s="1"/>
  <c r="V78" i="15"/>
  <c r="W78"/>
  <c r="IK79" i="9" s="1"/>
  <c r="V79" i="15"/>
  <c r="W79"/>
  <c r="IK80" i="9" s="1"/>
  <c r="V80" i="15"/>
  <c r="W80"/>
  <c r="IK81" i="9" s="1"/>
  <c r="V81" i="15"/>
  <c r="W81"/>
  <c r="IK82" i="9" s="1"/>
  <c r="V82" i="15"/>
  <c r="W82"/>
  <c r="IK83" i="9" s="1"/>
  <c r="V83" i="15"/>
  <c r="W83"/>
  <c r="IK84" i="9" s="1"/>
  <c r="V84" i="15"/>
  <c r="W84"/>
  <c r="IK85" i="9" s="1"/>
  <c r="V85" i="15"/>
  <c r="W85"/>
  <c r="IK86" i="9" s="1"/>
  <c r="V86" i="15"/>
  <c r="W86"/>
  <c r="IK87" i="9" s="1"/>
  <c r="V87" i="15"/>
  <c r="W87"/>
  <c r="IK88" i="9" s="1"/>
  <c r="V88" i="15"/>
  <c r="W88"/>
  <c r="IK89" i="9" s="1"/>
  <c r="V89" i="15"/>
  <c r="W89"/>
  <c r="IK90" i="9" s="1"/>
  <c r="V90" i="15"/>
  <c r="W90"/>
  <c r="IK91" i="9" s="1"/>
  <c r="V91" i="15"/>
  <c r="W91"/>
  <c r="IK92" i="9" s="1"/>
  <c r="V92" i="15"/>
  <c r="W92"/>
  <c r="IK93" i="9" s="1"/>
  <c r="V93" i="15"/>
  <c r="W93"/>
  <c r="IK94" i="9" s="1"/>
  <c r="V94" i="15"/>
  <c r="W94"/>
  <c r="IK95" i="9" s="1"/>
  <c r="V95" i="15"/>
  <c r="W95"/>
  <c r="IK96" i="9" s="1"/>
  <c r="V96" i="15"/>
  <c r="W96"/>
  <c r="IK97" i="9" s="1"/>
  <c r="V97" i="15"/>
  <c r="W97"/>
  <c r="IK98" i="9" s="1"/>
  <c r="V98" i="15"/>
  <c r="W98"/>
  <c r="IK99" i="9" s="1"/>
  <c r="V99" i="15"/>
  <c r="W99"/>
  <c r="IK100" i="9" s="1"/>
  <c r="V100" i="15"/>
  <c r="W100"/>
  <c r="IK101" i="9" s="1"/>
  <c r="V101" i="15"/>
  <c r="W101"/>
  <c r="IK102" i="9" s="1"/>
  <c r="V102" i="15"/>
  <c r="W102"/>
  <c r="IK103" i="9" s="1"/>
  <c r="V103" i="15"/>
  <c r="W103"/>
  <c r="IK104" i="9" s="1"/>
  <c r="V104" i="15"/>
  <c r="W104"/>
  <c r="IK105" i="9" s="1"/>
  <c r="V105" i="15"/>
  <c r="W105"/>
  <c r="IK106" i="9" s="1"/>
  <c r="V106" i="15"/>
  <c r="W106"/>
  <c r="IK107" i="9" s="1"/>
  <c r="V107" i="15"/>
  <c r="W107"/>
  <c r="IK108" i="9" s="1"/>
  <c r="V108" i="15"/>
  <c r="W108"/>
  <c r="IK109" i="9" s="1"/>
  <c r="V109" i="15"/>
  <c r="W109"/>
  <c r="IK110" i="9" s="1"/>
  <c r="V110" i="15"/>
  <c r="W110"/>
  <c r="IK111" i="9" s="1"/>
  <c r="V111" i="15"/>
  <c r="W111"/>
  <c r="IK112" i="9" s="1"/>
  <c r="V112" i="15"/>
  <c r="W112"/>
  <c r="IK113" i="9" s="1"/>
  <c r="V113" i="15"/>
  <c r="W113"/>
  <c r="IK114" i="9" s="1"/>
  <c r="V114" i="15"/>
  <c r="W114"/>
  <c r="IK115" i="9" s="1"/>
  <c r="V115" i="15"/>
  <c r="W115"/>
  <c r="IK116" i="9" s="1"/>
  <c r="V116" i="15"/>
  <c r="W116"/>
  <c r="IK117" i="9" s="1"/>
  <c r="V117" i="15"/>
  <c r="W117"/>
  <c r="IK118" i="9" s="1"/>
  <c r="V118" i="15"/>
  <c r="W118"/>
  <c r="IK119" i="9" s="1"/>
  <c r="V119" i="15"/>
  <c r="W119"/>
  <c r="IK120" i="9" s="1"/>
  <c r="V120" i="15"/>
  <c r="W120"/>
  <c r="IK121" i="9" s="1"/>
  <c r="V121" i="15"/>
  <c r="W121"/>
  <c r="IK122" i="9" s="1"/>
  <c r="V122" i="15"/>
  <c r="W122"/>
  <c r="IK123" i="9" s="1"/>
  <c r="V123" i="15"/>
  <c r="W123"/>
  <c r="IK124" i="9" s="1"/>
  <c r="V124" i="15"/>
  <c r="W124"/>
  <c r="IK125" i="9" s="1"/>
  <c r="V125" i="15"/>
  <c r="W125"/>
  <c r="IK126" i="9" s="1"/>
  <c r="V126" i="15"/>
  <c r="W126"/>
  <c r="IK127" i="9" s="1"/>
  <c r="V127" i="15"/>
  <c r="W127"/>
  <c r="IK128" i="9" s="1"/>
  <c r="V128" i="15"/>
  <c r="W128"/>
  <c r="IK129" i="9" s="1"/>
  <c r="V129" i="15"/>
  <c r="W129"/>
  <c r="IK130" i="9" s="1"/>
  <c r="V130" i="15"/>
  <c r="W130"/>
  <c r="IK131" i="9" s="1"/>
  <c r="V131" i="15"/>
  <c r="W131"/>
  <c r="IK132" i="9" s="1"/>
  <c r="V132" i="15"/>
  <c r="W132"/>
  <c r="IK133" i="9" s="1"/>
  <c r="V133" i="15"/>
  <c r="W133"/>
  <c r="IK134" i="9" s="1"/>
  <c r="V134" i="15"/>
  <c r="W134"/>
  <c r="IK135" i="9" s="1"/>
  <c r="V135" i="15"/>
  <c r="W135"/>
  <c r="IK136" i="9" s="1"/>
  <c r="V136" i="15"/>
  <c r="W136"/>
  <c r="IK137" i="9" s="1"/>
  <c r="V137" i="15"/>
  <c r="W137"/>
  <c r="IK138" i="9" s="1"/>
  <c r="V138" i="15"/>
  <c r="W138"/>
  <c r="IK139" i="9" s="1"/>
  <c r="V139" i="15"/>
  <c r="W139"/>
  <c r="IK140" i="9" s="1"/>
  <c r="V140" i="15"/>
  <c r="W140"/>
  <c r="IK141" i="9" s="1"/>
  <c r="V141" i="15"/>
  <c r="W141"/>
  <c r="IK142" i="9" s="1"/>
  <c r="V142" i="15"/>
  <c r="W142"/>
  <c r="IK143" i="9" s="1"/>
  <c r="V143" i="15"/>
  <c r="W143"/>
  <c r="IK144" i="9" s="1"/>
  <c r="V144" i="15"/>
  <c r="W144"/>
  <c r="IK145" i="9" s="1"/>
  <c r="V145" i="15"/>
  <c r="W145"/>
  <c r="IK146" i="9" s="1"/>
  <c r="V146" i="15"/>
  <c r="W146"/>
  <c r="IK147" i="9" s="1"/>
  <c r="V147" i="15"/>
  <c r="W147"/>
  <c r="IK148" i="9" s="1"/>
  <c r="V148" i="15"/>
  <c r="W148"/>
  <c r="IK149" i="9" s="1"/>
  <c r="V149" i="15"/>
  <c r="W149"/>
  <c r="IK150" i="9" s="1"/>
  <c r="V150" i="15"/>
  <c r="W150"/>
  <c r="IK151" i="9" s="1"/>
  <c r="V151" i="15"/>
  <c r="W151"/>
  <c r="IK152" i="9" s="1"/>
  <c r="V152" i="15"/>
  <c r="W152"/>
  <c r="IK153" i="9" s="1"/>
  <c r="V153" i="15"/>
  <c r="W153"/>
  <c r="IK154" i="9" s="1"/>
  <c r="V154" i="15"/>
  <c r="W154"/>
  <c r="IK155" i="9" s="1"/>
  <c r="V155" i="15"/>
  <c r="W155"/>
  <c r="IK156" i="9" s="1"/>
  <c r="V156" i="15"/>
  <c r="W156"/>
  <c r="IK157" i="9" s="1"/>
  <c r="V157" i="15"/>
  <c r="W157"/>
  <c r="IK158" i="9" s="1"/>
  <c r="V158" i="15"/>
  <c r="W158"/>
  <c r="IK159" i="9" s="1"/>
  <c r="V159" i="15"/>
  <c r="W159"/>
  <c r="IK160" i="9" s="1"/>
  <c r="V160" i="15"/>
  <c r="W160"/>
  <c r="IK161" i="9" s="1"/>
  <c r="V161" i="15"/>
  <c r="W161"/>
  <c r="IK162" i="9" s="1"/>
  <c r="V162" i="15"/>
  <c r="W162"/>
  <c r="IK163" i="9" s="1"/>
  <c r="V163" i="15"/>
  <c r="W163"/>
  <c r="IK164" i="9" s="1"/>
  <c r="V164" i="15"/>
  <c r="W164"/>
  <c r="IK165" i="9" s="1"/>
  <c r="V165" i="15"/>
  <c r="W165"/>
  <c r="IK166" i="9" s="1"/>
  <c r="V166" i="15"/>
  <c r="W166"/>
  <c r="IK167" i="9" s="1"/>
  <c r="V167" i="15"/>
  <c r="W167"/>
  <c r="IK168" i="9" s="1"/>
  <c r="V168" i="15"/>
  <c r="W168"/>
  <c r="IK169" i="9" s="1"/>
  <c r="V169" i="15"/>
  <c r="W169"/>
  <c r="IK170" i="9" s="1"/>
  <c r="V170" i="15"/>
  <c r="W170"/>
  <c r="IK171" i="9" s="1"/>
  <c r="V171" i="15"/>
  <c r="W171"/>
  <c r="IK172" i="9" s="1"/>
  <c r="V172" i="15"/>
  <c r="W172"/>
  <c r="IK173" i="9" s="1"/>
  <c r="V173" i="15"/>
  <c r="W173"/>
  <c r="IK174" i="9" s="1"/>
  <c r="V174" i="15"/>
  <c r="W174"/>
  <c r="IK175" i="9" s="1"/>
  <c r="V175" i="15"/>
  <c r="W175"/>
  <c r="IK176" i="9" s="1"/>
  <c r="V176" i="15"/>
  <c r="W176"/>
  <c r="IK177" i="9" s="1"/>
  <c r="V177" i="15"/>
  <c r="W177"/>
  <c r="IK178" i="9" s="1"/>
  <c r="V178" i="15"/>
  <c r="W178"/>
  <c r="IK179" i="9" s="1"/>
  <c r="V179" i="15"/>
  <c r="W179"/>
  <c r="IK180" i="9" s="1"/>
  <c r="V180" i="15"/>
  <c r="W180"/>
  <c r="IK181" i="9" s="1"/>
  <c r="V181" i="15"/>
  <c r="W181"/>
  <c r="IK182" i="9" s="1"/>
  <c r="V182" i="15"/>
  <c r="W182"/>
  <c r="IK183" i="9" s="1"/>
  <c r="V183" i="15"/>
  <c r="W183"/>
  <c r="IK184" i="9" s="1"/>
  <c r="V184" i="15"/>
  <c r="W184"/>
  <c r="IK185" i="9" s="1"/>
  <c r="V185" i="15"/>
  <c r="W185"/>
  <c r="IK186" i="9" s="1"/>
  <c r="V186" i="15"/>
  <c r="W186"/>
  <c r="IK187" i="9" s="1"/>
  <c r="V187" i="15"/>
  <c r="W187"/>
  <c r="IK188" i="9" s="1"/>
  <c r="V188" i="15"/>
  <c r="W188"/>
  <c r="IK189" i="9" s="1"/>
  <c r="V189" i="15"/>
  <c r="W189"/>
  <c r="IK190" i="9" s="1"/>
  <c r="V190" i="15"/>
  <c r="W190"/>
  <c r="IK191" i="9" s="1"/>
  <c r="V191" i="15"/>
  <c r="W191"/>
  <c r="IK192" i="9" s="1"/>
  <c r="V192" i="15"/>
  <c r="W192"/>
  <c r="IK193" i="9" s="1"/>
  <c r="V193" i="15"/>
  <c r="W193"/>
  <c r="IK194" i="9" s="1"/>
  <c r="V194" i="15"/>
  <c r="W194"/>
  <c r="IK195" i="9" s="1"/>
  <c r="V195" i="15"/>
  <c r="W195"/>
  <c r="IK196" i="9" s="1"/>
  <c r="V196" i="15"/>
  <c r="W196"/>
  <c r="IK197" i="9" s="1"/>
  <c r="V197" i="15"/>
  <c r="W197"/>
  <c r="IK198" i="9" s="1"/>
  <c r="V198" i="15"/>
  <c r="W198"/>
  <c r="IK199" i="9" s="1"/>
  <c r="V199" i="15"/>
  <c r="W199"/>
  <c r="IK200" i="9" s="1"/>
  <c r="V200" i="15"/>
  <c r="W200"/>
  <c r="IK201" i="9" s="1"/>
  <c r="V201" i="15"/>
  <c r="W201"/>
  <c r="IK202" i="9" s="1"/>
  <c r="V202" i="15"/>
  <c r="W202"/>
  <c r="IK203" i="9" s="1"/>
  <c r="V203" i="15"/>
  <c r="W203"/>
  <c r="IK204" i="9" s="1"/>
  <c r="V204" i="15"/>
  <c r="W204"/>
  <c r="IK205" i="9" s="1"/>
  <c r="V205" i="15"/>
  <c r="W205"/>
  <c r="IK206" i="9" s="1"/>
  <c r="V206" i="15"/>
  <c r="W206"/>
  <c r="IK207" i="9" s="1"/>
  <c r="AC7" i="15"/>
  <c r="IM8" i="9" s="1"/>
  <c r="Z7" i="15"/>
  <c r="IL8" i="9" s="1"/>
  <c r="W7" i="15"/>
  <c r="IK8" i="9" s="1"/>
  <c r="AE7" i="15"/>
  <c r="IH8" i="9" s="1"/>
  <c r="AB7" i="15"/>
  <c r="IG8" i="9" s="1"/>
  <c r="Y7" i="15"/>
  <c r="IF8" i="9" s="1"/>
  <c r="V7" i="15"/>
  <c r="IE8" i="9" s="1"/>
  <c r="AN206" i="15"/>
  <c r="AN205"/>
  <c r="AN204"/>
  <c r="AN203"/>
  <c r="AN202"/>
  <c r="AN201"/>
  <c r="AN200"/>
  <c r="AN199"/>
  <c r="AN198"/>
  <c r="AN197"/>
  <c r="AN196"/>
  <c r="AN195"/>
  <c r="AN194"/>
  <c r="AN193"/>
  <c r="AN192"/>
  <c r="AN191"/>
  <c r="AN190"/>
  <c r="AN189"/>
  <c r="AN188"/>
  <c r="AN187"/>
  <c r="AN186"/>
  <c r="AN185"/>
  <c r="AN184"/>
  <c r="AN183"/>
  <c r="AN182"/>
  <c r="AN181"/>
  <c r="AN180"/>
  <c r="AN179"/>
  <c r="AN178"/>
  <c r="AN177"/>
  <c r="AN176"/>
  <c r="AN175"/>
  <c r="AN174"/>
  <c r="AN173"/>
  <c r="AN172"/>
  <c r="AN171"/>
  <c r="AN170"/>
  <c r="AN169"/>
  <c r="AN168"/>
  <c r="AN167"/>
  <c r="AN166"/>
  <c r="AN165"/>
  <c r="AN164"/>
  <c r="AN163"/>
  <c r="AN162"/>
  <c r="AN161"/>
  <c r="AN160"/>
  <c r="AN159"/>
  <c r="AN158"/>
  <c r="AN157"/>
  <c r="AN156"/>
  <c r="AN155"/>
  <c r="AN154"/>
  <c r="AN153"/>
  <c r="AN152"/>
  <c r="AN151"/>
  <c r="AN150"/>
  <c r="AN149"/>
  <c r="AN148"/>
  <c r="AN147"/>
  <c r="AN146"/>
  <c r="AN145"/>
  <c r="AN144"/>
  <c r="AN143"/>
  <c r="AN142"/>
  <c r="AN141"/>
  <c r="AN140"/>
  <c r="AN139"/>
  <c r="AN138"/>
  <c r="AN137"/>
  <c r="AN136"/>
  <c r="AN135"/>
  <c r="AN134"/>
  <c r="AN133"/>
  <c r="AN132"/>
  <c r="AN131"/>
  <c r="AN130"/>
  <c r="AN129"/>
  <c r="AN128"/>
  <c r="AN127"/>
  <c r="AN126"/>
  <c r="AN125"/>
  <c r="AN124"/>
  <c r="AN123"/>
  <c r="AN122"/>
  <c r="AN121"/>
  <c r="AN120"/>
  <c r="AN119"/>
  <c r="AN118"/>
  <c r="AN117"/>
  <c r="AN116"/>
  <c r="AN115"/>
  <c r="AN114"/>
  <c r="AN113"/>
  <c r="AN112"/>
  <c r="AN111"/>
  <c r="AN110"/>
  <c r="AN109"/>
  <c r="AN108"/>
  <c r="AN107"/>
  <c r="AN106"/>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F7"/>
  <c r="IN8" i="9" s="1"/>
  <c r="A7" i="15"/>
  <c r="M207" i="11"/>
  <c r="IE16" i="9" l="1"/>
  <c r="IE9"/>
  <c r="IS8"/>
  <c r="IS219"/>
  <c r="IS217"/>
  <c r="IS215"/>
  <c r="IS213"/>
  <c r="IS211"/>
  <c r="IS209"/>
  <c r="IS207"/>
  <c r="IS205"/>
  <c r="IS203"/>
  <c r="IS201"/>
  <c r="IS199"/>
  <c r="IS197"/>
  <c r="IS195"/>
  <c r="IS193"/>
  <c r="IS191"/>
  <c r="IS189"/>
  <c r="IS187"/>
  <c r="IS185"/>
  <c r="IS183"/>
  <c r="IS181"/>
  <c r="IS179"/>
  <c r="IS177"/>
  <c r="IS175"/>
  <c r="IS173"/>
  <c r="IS171"/>
  <c r="IS169"/>
  <c r="IS167"/>
  <c r="IS165"/>
  <c r="IS163"/>
  <c r="IS161"/>
  <c r="IS159"/>
  <c r="IS157"/>
  <c r="IS155"/>
  <c r="IS153"/>
  <c r="IS151"/>
  <c r="IS149"/>
  <c r="IS147"/>
  <c r="IS145"/>
  <c r="IS143"/>
  <c r="IS141"/>
  <c r="IS139"/>
  <c r="IS137"/>
  <c r="IS135"/>
  <c r="IS133"/>
  <c r="IS131"/>
  <c r="IS129"/>
  <c r="IS127"/>
  <c r="IS125"/>
  <c r="IS123"/>
  <c r="IS121"/>
  <c r="IS119"/>
  <c r="IS117"/>
  <c r="IS115"/>
  <c r="IS113"/>
  <c r="IS111"/>
  <c r="IS109"/>
  <c r="IS107"/>
  <c r="IS105"/>
  <c r="IS103"/>
  <c r="IS101"/>
  <c r="IS99"/>
  <c r="IS97"/>
  <c r="IS95"/>
  <c r="IS93"/>
  <c r="IS91"/>
  <c r="IS89"/>
  <c r="IS87"/>
  <c r="IS85"/>
  <c r="IS83"/>
  <c r="IS81"/>
  <c r="IS79"/>
  <c r="IS77"/>
  <c r="IS75"/>
  <c r="IS73"/>
  <c r="IS69"/>
  <c r="IS65"/>
  <c r="IS218"/>
  <c r="IS216"/>
  <c r="IS214"/>
  <c r="IS212"/>
  <c r="IS210"/>
  <c r="IS208"/>
  <c r="JA208" s="1"/>
  <c r="IS206"/>
  <c r="IS204"/>
  <c r="IS202"/>
  <c r="IS200"/>
  <c r="IS198"/>
  <c r="IS196"/>
  <c r="IS194"/>
  <c r="IS192"/>
  <c r="IS190"/>
  <c r="IS188"/>
  <c r="IS186"/>
  <c r="IS184"/>
  <c r="IS182"/>
  <c r="IS180"/>
  <c r="IS178"/>
  <c r="IS176"/>
  <c r="IS174"/>
  <c r="IS172"/>
  <c r="IS170"/>
  <c r="IS168"/>
  <c r="IS166"/>
  <c r="IS164"/>
  <c r="IS162"/>
  <c r="IS160"/>
  <c r="IS158"/>
  <c r="IS156"/>
  <c r="IS154"/>
  <c r="IS152"/>
  <c r="IS150"/>
  <c r="IS148"/>
  <c r="IS146"/>
  <c r="IS144"/>
  <c r="IS142"/>
  <c r="IS140"/>
  <c r="IS138"/>
  <c r="IS136"/>
  <c r="IS134"/>
  <c r="IS132"/>
  <c r="IS130"/>
  <c r="IS128"/>
  <c r="IS126"/>
  <c r="IS124"/>
  <c r="IS122"/>
  <c r="IS120"/>
  <c r="IS118"/>
  <c r="IS116"/>
  <c r="IS114"/>
  <c r="IS112"/>
  <c r="IS110"/>
  <c r="IS108"/>
  <c r="IS106"/>
  <c r="IS104"/>
  <c r="IS102"/>
  <c r="IS100"/>
  <c r="IS98"/>
  <c r="IS96"/>
  <c r="IS94"/>
  <c r="IS92"/>
  <c r="IS90"/>
  <c r="IS88"/>
  <c r="IS86"/>
  <c r="IS84"/>
  <c r="IS82"/>
  <c r="IS80"/>
  <c r="IS78"/>
  <c r="IS76"/>
  <c r="IS74"/>
  <c r="IS70"/>
  <c r="IS66"/>
  <c r="IS62"/>
  <c r="IW208"/>
  <c r="IS72"/>
  <c r="IS68"/>
  <c r="IS64"/>
  <c r="IS60"/>
  <c r="IS58"/>
  <c r="IS56"/>
  <c r="IS54"/>
  <c r="IS52"/>
  <c r="IS50"/>
  <c r="IS48"/>
  <c r="IS46"/>
  <c r="IS44"/>
  <c r="IS42"/>
  <c r="IS40"/>
  <c r="IS38"/>
  <c r="IS36"/>
  <c r="IS34"/>
  <c r="IS32"/>
  <c r="IS30"/>
  <c r="IS28"/>
  <c r="IS26"/>
  <c r="IS24"/>
  <c r="IS22"/>
  <c r="IS20"/>
  <c r="IS18"/>
  <c r="IS16"/>
  <c r="IS14"/>
  <c r="IS12"/>
  <c r="IS10"/>
  <c r="IS71"/>
  <c r="IS67"/>
  <c r="IS63"/>
  <c r="IS61"/>
  <c r="IS59"/>
  <c r="IS57"/>
  <c r="IS55"/>
  <c r="IS53"/>
  <c r="IS51"/>
  <c r="IS49"/>
  <c r="IS47"/>
  <c r="IS45"/>
  <c r="IS43"/>
  <c r="IS41"/>
  <c r="IS39"/>
  <c r="IS37"/>
  <c r="IS35"/>
  <c r="IS33"/>
  <c r="IS31"/>
  <c r="IS29"/>
  <c r="IS27"/>
  <c r="IS25"/>
  <c r="IS23"/>
  <c r="IS21"/>
  <c r="IS19"/>
  <c r="IS17"/>
  <c r="IS15"/>
  <c r="IS13"/>
  <c r="IS11"/>
  <c r="IS9"/>
  <c r="IE177"/>
  <c r="IE173"/>
  <c r="IE169"/>
  <c r="IE165"/>
  <c r="IE159"/>
  <c r="IE155"/>
  <c r="IE151"/>
  <c r="IE147"/>
  <c r="IE143"/>
  <c r="IE139"/>
  <c r="IE135"/>
  <c r="IE131"/>
  <c r="IE127"/>
  <c r="IE123"/>
  <c r="IE119"/>
  <c r="IE115"/>
  <c r="IE111"/>
  <c r="IE107"/>
  <c r="IE103"/>
  <c r="IE99"/>
  <c r="IE95"/>
  <c r="IE91"/>
  <c r="IE87"/>
  <c r="IE83"/>
  <c r="IE79"/>
  <c r="IE75"/>
  <c r="IE73"/>
  <c r="IE71"/>
  <c r="IE69"/>
  <c r="IE67"/>
  <c r="IE65"/>
  <c r="IE63"/>
  <c r="IE61"/>
  <c r="IE59"/>
  <c r="IE57"/>
  <c r="IE55"/>
  <c r="IE53"/>
  <c r="IE49"/>
  <c r="IE47"/>
  <c r="IE45"/>
  <c r="IE43"/>
  <c r="IE41"/>
  <c r="IE39"/>
  <c r="IE37"/>
  <c r="IE35"/>
  <c r="IE33"/>
  <c r="IE31"/>
  <c r="IE29"/>
  <c r="IE27"/>
  <c r="IE25"/>
  <c r="IE23"/>
  <c r="IE21"/>
  <c r="IE19"/>
  <c r="IE17"/>
  <c r="IE15"/>
  <c r="IE13"/>
  <c r="IE11"/>
  <c r="IE207"/>
  <c r="IE205"/>
  <c r="IE203"/>
  <c r="IE201"/>
  <c r="IE199"/>
  <c r="IE197"/>
  <c r="IE195"/>
  <c r="IE193"/>
  <c r="IE191"/>
  <c r="IE189"/>
  <c r="IE187"/>
  <c r="IE185"/>
  <c r="IE183"/>
  <c r="IE181"/>
  <c r="IE179"/>
  <c r="IE175"/>
  <c r="IE171"/>
  <c r="IE167"/>
  <c r="IE163"/>
  <c r="IE161"/>
  <c r="IE157"/>
  <c r="IE153"/>
  <c r="IE149"/>
  <c r="IE145"/>
  <c r="IE141"/>
  <c r="IE137"/>
  <c r="IE133"/>
  <c r="IE129"/>
  <c r="IE125"/>
  <c r="IE121"/>
  <c r="IE117"/>
  <c r="IE113"/>
  <c r="IE109"/>
  <c r="IE105"/>
  <c r="IE101"/>
  <c r="IE97"/>
  <c r="IE93"/>
  <c r="IE89"/>
  <c r="IE85"/>
  <c r="IE81"/>
  <c r="IE77"/>
  <c r="IE51"/>
  <c r="IE178"/>
  <c r="IE172"/>
  <c r="IE168"/>
  <c r="IE164"/>
  <c r="IE160"/>
  <c r="IE154"/>
  <c r="IE152"/>
  <c r="IE148"/>
  <c r="IE144"/>
  <c r="IE140"/>
  <c r="IE136"/>
  <c r="IE132"/>
  <c r="IE128"/>
  <c r="IE124"/>
  <c r="IE120"/>
  <c r="IE116"/>
  <c r="IE112"/>
  <c r="IE108"/>
  <c r="IE104"/>
  <c r="IE98"/>
  <c r="IE94"/>
  <c r="IE92"/>
  <c r="IE88"/>
  <c r="IE84"/>
  <c r="IE80"/>
  <c r="IE76"/>
  <c r="IE74"/>
  <c r="IE72"/>
  <c r="IE70"/>
  <c r="IE68"/>
  <c r="IE66"/>
  <c r="IE64"/>
  <c r="IE62"/>
  <c r="IE60"/>
  <c r="IE58"/>
  <c r="IE56"/>
  <c r="IE54"/>
  <c r="IE52"/>
  <c r="IE48"/>
  <c r="IE46"/>
  <c r="IE44"/>
  <c r="IE42"/>
  <c r="IE40"/>
  <c r="IE38"/>
  <c r="IE36"/>
  <c r="IE34"/>
  <c r="IE32"/>
  <c r="IE30"/>
  <c r="IE28"/>
  <c r="IE26"/>
  <c r="IE24"/>
  <c r="IE22"/>
  <c r="IE20"/>
  <c r="IE18"/>
  <c r="IE14"/>
  <c r="IE12"/>
  <c r="IE10"/>
  <c r="IE206"/>
  <c r="IE204"/>
  <c r="IE202"/>
  <c r="IE200"/>
  <c r="IE198"/>
  <c r="IE196"/>
  <c r="IE194"/>
  <c r="IE192"/>
  <c r="IE190"/>
  <c r="IE188"/>
  <c r="IE186"/>
  <c r="IE184"/>
  <c r="IE182"/>
  <c r="IE180"/>
  <c r="IE176"/>
  <c r="IE174"/>
  <c r="IE170"/>
  <c r="IE166"/>
  <c r="IE162"/>
  <c r="IE158"/>
  <c r="IE156"/>
  <c r="IE150"/>
  <c r="IE146"/>
  <c r="IE142"/>
  <c r="IE138"/>
  <c r="IE134"/>
  <c r="IE130"/>
  <c r="IE126"/>
  <c r="IE122"/>
  <c r="IE118"/>
  <c r="IE114"/>
  <c r="IE110"/>
  <c r="IE106"/>
  <c r="IE102"/>
  <c r="IE100"/>
  <c r="IE96"/>
  <c r="IE90"/>
  <c r="IE86"/>
  <c r="IE82"/>
  <c r="IE78"/>
  <c r="IE50"/>
  <c r="IZ208" l="1"/>
  <c r="JB208" s="1"/>
  <c r="IV208"/>
  <c r="IY208"/>
  <c r="IU208"/>
  <c r="IT208"/>
  <c r="IX208"/>
  <c r="FG2" l="1"/>
  <c r="ED5"/>
  <c r="EC5"/>
  <c r="F4"/>
  <c r="G4"/>
  <c r="E4"/>
  <c r="EC4"/>
  <c r="AT14" i="20" s="1"/>
  <c r="AY3" i="8"/>
  <c r="AW3"/>
  <c r="AS3"/>
  <c r="AQ3"/>
  <c r="AO3"/>
  <c r="AK3"/>
  <c r="AI3"/>
  <c r="AG3"/>
  <c r="AC3"/>
  <c r="AA3"/>
  <c r="Y3"/>
  <c r="U3"/>
  <c r="M6" i="20" l="1"/>
  <c r="O6"/>
  <c r="N6"/>
  <c r="V8"/>
  <c r="V9"/>
  <c r="L5"/>
  <c r="L6"/>
  <c r="S5"/>
  <c r="R7"/>
  <c r="O8"/>
  <c r="Z8" s="1"/>
  <c r="R6"/>
  <c r="O207"/>
  <c r="Z207" s="1"/>
  <c r="P5"/>
  <c r="O7"/>
  <c r="Z7" s="1"/>
  <c r="R11"/>
  <c r="R15"/>
  <c r="V17"/>
  <c r="V7"/>
  <c r="V16"/>
  <c r="R9"/>
  <c r="O38"/>
  <c r="Z38" s="1"/>
  <c r="O58"/>
  <c r="Z58" s="1"/>
  <c r="O186"/>
  <c r="Z186" s="1"/>
  <c r="O78"/>
  <c r="Z78" s="1"/>
  <c r="O142"/>
  <c r="Z142" s="1"/>
  <c r="O18"/>
  <c r="Z18" s="1"/>
  <c r="O162"/>
  <c r="Z162" s="1"/>
  <c r="O112"/>
  <c r="Z112" s="1"/>
  <c r="O52"/>
  <c r="Z52" s="1"/>
  <c r="O88"/>
  <c r="Z88" s="1"/>
  <c r="O108"/>
  <c r="Z108" s="1"/>
  <c r="V19"/>
  <c r="O208"/>
  <c r="Z208" s="1"/>
  <c r="R13"/>
  <c r="V14"/>
  <c r="R18"/>
  <c r="R16"/>
  <c r="O22"/>
  <c r="Z22" s="1"/>
  <c r="O154"/>
  <c r="Z154" s="1"/>
  <c r="O62"/>
  <c r="Z62" s="1"/>
  <c r="O126"/>
  <c r="Z126" s="1"/>
  <c r="O190"/>
  <c r="Z190" s="1"/>
  <c r="O82"/>
  <c r="Z82" s="1"/>
  <c r="O146"/>
  <c r="Z146" s="1"/>
  <c r="O16"/>
  <c r="Z16" s="1"/>
  <c r="O96"/>
  <c r="Z96" s="1"/>
  <c r="O176"/>
  <c r="Z176" s="1"/>
  <c r="O105"/>
  <c r="Z105" s="1"/>
  <c r="O36"/>
  <c r="Z36" s="1"/>
  <c r="O100"/>
  <c r="Z100" s="1"/>
  <c r="O164"/>
  <c r="Z164" s="1"/>
  <c r="O29"/>
  <c r="Z29" s="1"/>
  <c r="O72"/>
  <c r="Z72" s="1"/>
  <c r="O152"/>
  <c r="Z152" s="1"/>
  <c r="O49"/>
  <c r="Z49" s="1"/>
  <c r="O161"/>
  <c r="Z161" s="1"/>
  <c r="O92"/>
  <c r="Z92" s="1"/>
  <c r="O37"/>
  <c r="Z37" s="1"/>
  <c r="O117"/>
  <c r="Z117" s="1"/>
  <c r="O122"/>
  <c r="Z122" s="1"/>
  <c r="O30"/>
  <c r="Z30" s="1"/>
  <c r="O174"/>
  <c r="Z174" s="1"/>
  <c r="O130"/>
  <c r="Z130" s="1"/>
  <c r="O64"/>
  <c r="Z64" s="1"/>
  <c r="O73"/>
  <c r="Z73" s="1"/>
  <c r="O84"/>
  <c r="Z84" s="1"/>
  <c r="O13"/>
  <c r="Z13" s="1"/>
  <c r="O205"/>
  <c r="Z205" s="1"/>
  <c r="O33"/>
  <c r="Z33" s="1"/>
  <c r="O60"/>
  <c r="Z60" s="1"/>
  <c r="O101"/>
  <c r="Z101" s="1"/>
  <c r="O116"/>
  <c r="Z116" s="1"/>
  <c r="O200"/>
  <c r="Z200" s="1"/>
  <c r="O53"/>
  <c r="Z53" s="1"/>
  <c r="V11"/>
  <c r="V13"/>
  <c r="V18"/>
  <c r="R19"/>
  <c r="O9"/>
  <c r="Z9" s="1"/>
  <c r="O110"/>
  <c r="Z110" s="1"/>
  <c r="O66"/>
  <c r="Z66" s="1"/>
  <c r="O194"/>
  <c r="Z194" s="1"/>
  <c r="O160"/>
  <c r="Z160" s="1"/>
  <c r="O201"/>
  <c r="Z201" s="1"/>
  <c r="O148"/>
  <c r="Z148" s="1"/>
  <c r="O136"/>
  <c r="Z136" s="1"/>
  <c r="O145"/>
  <c r="Z145" s="1"/>
  <c r="O172"/>
  <c r="Z172" s="1"/>
  <c r="O181"/>
  <c r="Z181" s="1"/>
  <c r="O192"/>
  <c r="Z192" s="1"/>
  <c r="O45"/>
  <c r="Z45" s="1"/>
  <c r="O28"/>
  <c r="Z28" s="1"/>
  <c r="R10"/>
  <c r="V15"/>
  <c r="O206"/>
  <c r="Z206" s="1"/>
  <c r="R14"/>
  <c r="V12"/>
  <c r="V10"/>
  <c r="R17"/>
  <c r="R12"/>
  <c r="O54"/>
  <c r="Z54" s="1"/>
  <c r="O90"/>
  <c r="Z90" s="1"/>
  <c r="O14"/>
  <c r="Z14" s="1"/>
  <c r="O94"/>
  <c r="Z94" s="1"/>
  <c r="O158"/>
  <c r="Z158" s="1"/>
  <c r="O34"/>
  <c r="Z34" s="1"/>
  <c r="O114"/>
  <c r="Z114" s="1"/>
  <c r="O178"/>
  <c r="Z178" s="1"/>
  <c r="O48"/>
  <c r="Z48" s="1"/>
  <c r="O128"/>
  <c r="Z128" s="1"/>
  <c r="O41"/>
  <c r="Z41" s="1"/>
  <c r="O169"/>
  <c r="Z169" s="1"/>
  <c r="O68"/>
  <c r="Z68" s="1"/>
  <c r="O132"/>
  <c r="Z132" s="1"/>
  <c r="O196"/>
  <c r="Z196" s="1"/>
  <c r="O77"/>
  <c r="Z77" s="1"/>
  <c r="O120"/>
  <c r="Z120" s="1"/>
  <c r="O17"/>
  <c r="Z17" s="1"/>
  <c r="O97"/>
  <c r="Z97" s="1"/>
  <c r="O44"/>
  <c r="Z44" s="1"/>
  <c r="O156"/>
  <c r="Z156" s="1"/>
  <c r="O85"/>
  <c r="Z85" s="1"/>
  <c r="O165"/>
  <c r="Z165" s="1"/>
  <c r="O98"/>
  <c r="Z98" s="1"/>
  <c r="O32"/>
  <c r="Z32" s="1"/>
  <c r="O137"/>
  <c r="Z137" s="1"/>
  <c r="O180"/>
  <c r="Z180" s="1"/>
  <c r="O81"/>
  <c r="Z81" s="1"/>
  <c r="O149"/>
  <c r="Z149" s="1"/>
  <c r="O113"/>
  <c r="Z113" s="1"/>
  <c r="O184"/>
  <c r="Z184" s="1"/>
  <c r="O26"/>
  <c r="Z26" s="1"/>
  <c r="O25"/>
  <c r="Z25" s="1"/>
  <c r="O86"/>
  <c r="Z86" s="1"/>
  <c r="O40"/>
  <c r="Z40" s="1"/>
  <c r="O182"/>
  <c r="Z182" s="1"/>
  <c r="O140"/>
  <c r="Z140" s="1"/>
  <c r="O109"/>
  <c r="Z109" s="1"/>
  <c r="O138"/>
  <c r="Z138" s="1"/>
  <c r="O193"/>
  <c r="Z193" s="1"/>
  <c r="O153"/>
  <c r="Z153" s="1"/>
  <c r="O170"/>
  <c r="Z170" s="1"/>
  <c r="O70"/>
  <c r="Z70" s="1"/>
  <c r="O197"/>
  <c r="Z197" s="1"/>
  <c r="O31"/>
  <c r="Z31" s="1"/>
  <c r="O163"/>
  <c r="Z163" s="1"/>
  <c r="O99"/>
  <c r="Z99" s="1"/>
  <c r="O51"/>
  <c r="Z51" s="1"/>
  <c r="O171"/>
  <c r="Z171" s="1"/>
  <c r="O107"/>
  <c r="Z107" s="1"/>
  <c r="O43"/>
  <c r="Z43" s="1"/>
  <c r="O91"/>
  <c r="Z91" s="1"/>
  <c r="O127"/>
  <c r="Z127" s="1"/>
  <c r="O95"/>
  <c r="Z95" s="1"/>
  <c r="O188"/>
  <c r="Z188" s="1"/>
  <c r="O124"/>
  <c r="Z124" s="1"/>
  <c r="O150"/>
  <c r="Z150" s="1"/>
  <c r="O157"/>
  <c r="Z157" s="1"/>
  <c r="O189"/>
  <c r="Z189" s="1"/>
  <c r="O42"/>
  <c r="Z42" s="1"/>
  <c r="O204"/>
  <c r="Z204" s="1"/>
  <c r="O46"/>
  <c r="Z46" s="1"/>
  <c r="O173"/>
  <c r="Z173" s="1"/>
  <c r="O57"/>
  <c r="Z57" s="1"/>
  <c r="O102"/>
  <c r="Z102" s="1"/>
  <c r="O20"/>
  <c r="Z20" s="1"/>
  <c r="O80"/>
  <c r="Z80" s="1"/>
  <c r="O134"/>
  <c r="Z134" s="1"/>
  <c r="S13"/>
  <c r="AD13" s="1"/>
  <c r="S18"/>
  <c r="AD18" s="1"/>
  <c r="O23"/>
  <c r="Z23" s="1"/>
  <c r="O199"/>
  <c r="Z199" s="1"/>
  <c r="O135"/>
  <c r="Z135" s="1"/>
  <c r="O71"/>
  <c r="Z71" s="1"/>
  <c r="O19"/>
  <c r="Z19" s="1"/>
  <c r="O143"/>
  <c r="Z143" s="1"/>
  <c r="O79"/>
  <c r="Z79" s="1"/>
  <c r="O15"/>
  <c r="Z15" s="1"/>
  <c r="O179"/>
  <c r="Z179" s="1"/>
  <c r="O115"/>
  <c r="Z115" s="1"/>
  <c r="O151"/>
  <c r="Z151" s="1"/>
  <c r="O87"/>
  <c r="Z87" s="1"/>
  <c r="O11"/>
  <c r="Z11" s="1"/>
  <c r="O123"/>
  <c r="Z123" s="1"/>
  <c r="O56"/>
  <c r="Z56" s="1"/>
  <c r="O21"/>
  <c r="Z21" s="1"/>
  <c r="O202"/>
  <c r="Z202" s="1"/>
  <c r="O118"/>
  <c r="Z118" s="1"/>
  <c r="O61"/>
  <c r="Z61" s="1"/>
  <c r="O141"/>
  <c r="Z141" s="1"/>
  <c r="O69"/>
  <c r="Z69" s="1"/>
  <c r="O12"/>
  <c r="Z12" s="1"/>
  <c r="O104"/>
  <c r="Z104" s="1"/>
  <c r="O121"/>
  <c r="Z121" s="1"/>
  <c r="O166"/>
  <c r="Z166" s="1"/>
  <c r="O65"/>
  <c r="Z65" s="1"/>
  <c r="O144"/>
  <c r="Z144" s="1"/>
  <c r="O198"/>
  <c r="Z198" s="1"/>
  <c r="O195"/>
  <c r="Z195" s="1"/>
  <c r="O131"/>
  <c r="Z131" s="1"/>
  <c r="O67"/>
  <c r="Z67" s="1"/>
  <c r="O27"/>
  <c r="Z27" s="1"/>
  <c r="O203"/>
  <c r="Z203" s="1"/>
  <c r="O139"/>
  <c r="Z139" s="1"/>
  <c r="O75"/>
  <c r="Z75" s="1"/>
  <c r="O39"/>
  <c r="Z39" s="1"/>
  <c r="O187"/>
  <c r="Z187" s="1"/>
  <c r="O159"/>
  <c r="Z159" s="1"/>
  <c r="O10"/>
  <c r="Z10" s="1"/>
  <c r="O177"/>
  <c r="Z177" s="1"/>
  <c r="O50"/>
  <c r="Z50" s="1"/>
  <c r="O125"/>
  <c r="Z125" s="1"/>
  <c r="O93"/>
  <c r="Z93" s="1"/>
  <c r="O24"/>
  <c r="Z24" s="1"/>
  <c r="O133"/>
  <c r="Z133" s="1"/>
  <c r="O76"/>
  <c r="Z76" s="1"/>
  <c r="O168"/>
  <c r="Z168" s="1"/>
  <c r="O185"/>
  <c r="Z185" s="1"/>
  <c r="O74"/>
  <c r="Z74" s="1"/>
  <c r="O129"/>
  <c r="Z129" s="1"/>
  <c r="O89"/>
  <c r="Z89" s="1"/>
  <c r="O106"/>
  <c r="Z106" s="1"/>
  <c r="O55"/>
  <c r="Z55" s="1"/>
  <c r="O167"/>
  <c r="Z167" s="1"/>
  <c r="O103"/>
  <c r="Z103" s="1"/>
  <c r="O175"/>
  <c r="Z175" s="1"/>
  <c r="O111"/>
  <c r="Z111" s="1"/>
  <c r="O47"/>
  <c r="Z47" s="1"/>
  <c r="O147"/>
  <c r="Z147" s="1"/>
  <c r="O83"/>
  <c r="Z83" s="1"/>
  <c r="O35"/>
  <c r="Z35" s="1"/>
  <c r="O183"/>
  <c r="Z183" s="1"/>
  <c r="O119"/>
  <c r="Z119" s="1"/>
  <c r="O155"/>
  <c r="Z155" s="1"/>
  <c r="O191"/>
  <c r="Z191" s="1"/>
  <c r="O63"/>
  <c r="Z63" s="1"/>
  <c r="O59"/>
  <c r="Z59" s="1"/>
  <c r="S15"/>
  <c r="AD15" s="1"/>
  <c r="S11"/>
  <c r="AD11" s="1"/>
  <c r="S19"/>
  <c r="AD19" s="1"/>
  <c r="R139" i="19"/>
  <c r="R110"/>
  <c r="R81"/>
  <c r="A23" i="18"/>
  <c r="B139" i="19"/>
  <c r="B110"/>
  <c r="B81"/>
  <c r="R52"/>
  <c r="B52"/>
  <c r="A23" i="4"/>
  <c r="R23" i="19"/>
  <c r="B23"/>
  <c r="AM2" i="15"/>
  <c r="S17" i="20" l="1"/>
  <c r="AD17" s="1"/>
  <c r="S7"/>
  <c r="W7" s="1"/>
  <c r="S8"/>
  <c r="X165"/>
  <c r="X169"/>
  <c r="X28"/>
  <c r="X64"/>
  <c r="X58"/>
  <c r="X206"/>
  <c r="X117"/>
  <c r="X25"/>
  <c r="X53"/>
  <c r="X137"/>
  <c r="X30"/>
  <c r="X153"/>
  <c r="X133"/>
  <c r="X46"/>
  <c r="X89"/>
  <c r="X88"/>
  <c r="X71"/>
  <c r="X193"/>
  <c r="X87"/>
  <c r="X157"/>
  <c r="X109"/>
  <c r="X164"/>
  <c r="X26"/>
  <c r="X51"/>
  <c r="X107"/>
  <c r="X43"/>
  <c r="X127"/>
  <c r="X115"/>
  <c r="X174"/>
  <c r="X126"/>
  <c r="X34"/>
  <c r="X158"/>
  <c r="X80"/>
  <c r="X55"/>
  <c r="X103"/>
  <c r="X179"/>
  <c r="X132"/>
  <c r="X40"/>
  <c r="X130"/>
  <c r="X181"/>
  <c r="X54"/>
  <c r="X67"/>
  <c r="X203"/>
  <c r="X72"/>
  <c r="X59"/>
  <c r="X147"/>
  <c r="X177"/>
  <c r="X167"/>
  <c r="X69"/>
  <c r="X27"/>
  <c r="X92"/>
  <c r="X48"/>
  <c r="X108"/>
  <c r="X160"/>
  <c r="X186"/>
  <c r="X90"/>
  <c r="X44"/>
  <c r="X201"/>
  <c r="X149"/>
  <c r="X32"/>
  <c r="X22"/>
  <c r="X50"/>
  <c r="X140"/>
  <c r="X120"/>
  <c r="X124"/>
  <c r="X23"/>
  <c r="X135"/>
  <c r="X118"/>
  <c r="X83"/>
  <c r="X98"/>
  <c r="X148"/>
  <c r="X78"/>
  <c r="X180"/>
  <c r="X49"/>
  <c r="X99"/>
  <c r="X171"/>
  <c r="X39"/>
  <c r="X191"/>
  <c r="X20"/>
  <c r="X70"/>
  <c r="X178"/>
  <c r="X131"/>
  <c r="X97"/>
  <c r="X208"/>
  <c r="X128"/>
  <c r="X154"/>
  <c r="X38"/>
  <c r="X105"/>
  <c r="X121"/>
  <c r="X156"/>
  <c r="X176"/>
  <c r="X60"/>
  <c r="X112"/>
  <c r="X122"/>
  <c r="X93"/>
  <c r="X168"/>
  <c r="X100"/>
  <c r="X202"/>
  <c r="X198"/>
  <c r="X199"/>
  <c r="X111"/>
  <c r="X47"/>
  <c r="X110"/>
  <c r="X62"/>
  <c r="X197"/>
  <c r="X94"/>
  <c r="X144"/>
  <c r="X163"/>
  <c r="X141"/>
  <c r="X200"/>
  <c r="X91"/>
  <c r="X65"/>
  <c r="X161"/>
  <c r="X68"/>
  <c r="X173"/>
  <c r="X66"/>
  <c r="X188"/>
  <c r="X33"/>
  <c r="X77"/>
  <c r="X79"/>
  <c r="X52"/>
  <c r="X190"/>
  <c r="X76"/>
  <c r="X56"/>
  <c r="X138"/>
  <c r="X195"/>
  <c r="X152"/>
  <c r="X75"/>
  <c r="X187"/>
  <c r="X95"/>
  <c r="X151"/>
  <c r="X166"/>
  <c r="X41"/>
  <c r="X45"/>
  <c r="X106"/>
  <c r="X123"/>
  <c r="X207"/>
  <c r="X85"/>
  <c r="X73"/>
  <c r="X101"/>
  <c r="X185"/>
  <c r="X96"/>
  <c r="X29"/>
  <c r="X37"/>
  <c r="X172"/>
  <c r="X192"/>
  <c r="X57"/>
  <c r="X196"/>
  <c r="X84"/>
  <c r="X194"/>
  <c r="X116"/>
  <c r="X74"/>
  <c r="X205"/>
  <c r="X175"/>
  <c r="X61"/>
  <c r="X102"/>
  <c r="X113"/>
  <c r="X204"/>
  <c r="X184"/>
  <c r="X21"/>
  <c r="X31"/>
  <c r="X24"/>
  <c r="X129"/>
  <c r="X155"/>
  <c r="X63"/>
  <c r="X119"/>
  <c r="X162"/>
  <c r="X114"/>
  <c r="X142"/>
  <c r="X82"/>
  <c r="X170"/>
  <c r="X145"/>
  <c r="X143"/>
  <c r="X183"/>
  <c r="X36"/>
  <c r="X104"/>
  <c r="X150"/>
  <c r="X42"/>
  <c r="X134"/>
  <c r="X81"/>
  <c r="X139"/>
  <c r="X125"/>
  <c r="X159"/>
  <c r="X35"/>
  <c r="X189"/>
  <c r="X86"/>
  <c r="X136"/>
  <c r="X146"/>
  <c r="X182"/>
  <c r="X17"/>
  <c r="X19"/>
  <c r="AC19" s="1"/>
  <c r="AW19" s="1"/>
  <c r="X13"/>
  <c r="X11"/>
  <c r="AC11" s="1"/>
  <c r="AW11" s="1"/>
  <c r="X18"/>
  <c r="AC18" s="1"/>
  <c r="X15"/>
  <c r="AC15" s="1"/>
  <c r="AW15" s="1"/>
  <c r="W13"/>
  <c r="S16"/>
  <c r="AD16" s="1"/>
  <c r="W18"/>
  <c r="W17"/>
  <c r="S9"/>
  <c r="AD9" s="1"/>
  <c r="S10"/>
  <c r="AD10" s="1"/>
  <c r="W19"/>
  <c r="S14"/>
  <c r="X14" s="1"/>
  <c r="AC14" s="1"/>
  <c r="W11"/>
  <c r="W15"/>
  <c r="AC13"/>
  <c r="AW13" s="1"/>
  <c r="X16"/>
  <c r="AC16" s="1"/>
  <c r="S12"/>
  <c r="X12" s="1"/>
  <c r="AC17"/>
  <c r="CL3" i="9"/>
  <c r="BO3"/>
  <c r="AX17" i="20" l="1"/>
  <c r="X9"/>
  <c r="AC9" s="1"/>
  <c r="AW9" s="1"/>
  <c r="AE9" s="1"/>
  <c r="X10"/>
  <c r="AC10" s="1"/>
  <c r="AW10" s="1"/>
  <c r="W10"/>
  <c r="AX18"/>
  <c r="W16"/>
  <c r="AX16" s="1"/>
  <c r="AD8"/>
  <c r="W8"/>
  <c r="AG8" s="1"/>
  <c r="W9"/>
  <c r="AC12"/>
  <c r="AX13"/>
  <c r="AE13" s="1"/>
  <c r="AG13" s="1"/>
  <c r="AW17"/>
  <c r="AE17" s="1"/>
  <c r="AF17" s="1"/>
  <c r="AX11"/>
  <c r="AE11" s="1"/>
  <c r="AF11" s="1"/>
  <c r="AX19"/>
  <c r="AE19" s="1"/>
  <c r="AF19" s="1"/>
  <c r="AD14"/>
  <c r="AW14" s="1"/>
  <c r="W14"/>
  <c r="AX14" s="1"/>
  <c r="AX15"/>
  <c r="AE15" s="1"/>
  <c r="W12"/>
  <c r="AD12"/>
  <c r="AW18"/>
  <c r="AE18" s="1"/>
  <c r="AW16"/>
  <c r="AE16" s="1"/>
  <c r="AG3" i="15"/>
  <c r="AD3"/>
  <c r="A15" i="6"/>
  <c r="AT19" i="20" l="1"/>
  <c r="X8" s="1"/>
  <c r="AX9"/>
  <c r="AE14"/>
  <c r="AX10"/>
  <c r="AX12"/>
  <c r="AE10"/>
  <c r="AT20"/>
  <c r="AW12"/>
  <c r="AE12" s="1"/>
  <c r="I212" s="1"/>
  <c r="AF13"/>
  <c r="AG19"/>
  <c r="AF14"/>
  <c r="AG14"/>
  <c r="AG11"/>
  <c r="AG17"/>
  <c r="AG9"/>
  <c r="AF9"/>
  <c r="I220"/>
  <c r="I218"/>
  <c r="U212"/>
  <c r="O212"/>
  <c r="AG18"/>
  <c r="AF18"/>
  <c r="U217"/>
  <c r="U220"/>
  <c r="U218"/>
  <c r="U219"/>
  <c r="U216"/>
  <c r="U221"/>
  <c r="AG16"/>
  <c r="AF16"/>
  <c r="AG12"/>
  <c r="AF15"/>
  <c r="AG15"/>
  <c r="AF10"/>
  <c r="O217"/>
  <c r="O221"/>
  <c r="O219"/>
  <c r="O218"/>
  <c r="O216"/>
  <c r="O220"/>
  <c r="AG10"/>
  <c r="A203" i="12"/>
  <c r="A204"/>
  <c r="A172"/>
  <c r="A173"/>
  <c r="A174"/>
  <c r="A175"/>
  <c r="A176"/>
  <c r="A177"/>
  <c r="A178"/>
  <c r="A179"/>
  <c r="A180"/>
  <c r="A181"/>
  <c r="A182"/>
  <c r="A183"/>
  <c r="A184"/>
  <c r="A185"/>
  <c r="A186"/>
  <c r="A187"/>
  <c r="A188"/>
  <c r="A189"/>
  <c r="A190"/>
  <c r="A191"/>
  <c r="A192"/>
  <c r="A193"/>
  <c r="A194"/>
  <c r="A195"/>
  <c r="A196"/>
  <c r="A197"/>
  <c r="A198"/>
  <c r="A199"/>
  <c r="A200"/>
  <c r="A201"/>
  <c r="A202"/>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5"/>
  <c r="A4" i="11"/>
  <c r="BB3" i="8"/>
  <c r="DS210" i="9" s="1"/>
  <c r="A19" i="6" s="1"/>
  <c r="AB26" i="7"/>
  <c r="AB27"/>
  <c r="AB28"/>
  <c r="AB29"/>
  <c r="AB30"/>
  <c r="AB31"/>
  <c r="AB32"/>
  <c r="AB33"/>
  <c r="AB34"/>
  <c r="AB35"/>
  <c r="AB36"/>
  <c r="AB37"/>
  <c r="AB38"/>
  <c r="AB25"/>
  <c r="AB5"/>
  <c r="AB6"/>
  <c r="AB7"/>
  <c r="AB8"/>
  <c r="AB9"/>
  <c r="AB10"/>
  <c r="AB11"/>
  <c r="AB12"/>
  <c r="AB13"/>
  <c r="AB14"/>
  <c r="AB15"/>
  <c r="AB16"/>
  <c r="AB17"/>
  <c r="AB18"/>
  <c r="AB19"/>
  <c r="AB20"/>
  <c r="AB21"/>
  <c r="AB22"/>
  <c r="AB23"/>
  <c r="AB24"/>
  <c r="AB4"/>
  <c r="I217" i="20" l="1"/>
  <c r="I221"/>
  <c r="I219"/>
  <c r="I216"/>
  <c r="AF12"/>
  <c r="L214" s="1"/>
  <c r="AD214"/>
  <c r="W214"/>
  <c r="V214"/>
  <c r="U214"/>
  <c r="Q214"/>
  <c r="P214"/>
  <c r="O214"/>
  <c r="R214"/>
  <c r="I214"/>
  <c r="DS209" i="9"/>
  <c r="B19" i="6" s="1"/>
  <c r="AJ2" i="15"/>
  <c r="DD2" i="9"/>
  <c r="CL209"/>
  <c r="BO209"/>
  <c r="I4"/>
  <c r="H4"/>
  <c r="FT9"/>
  <c r="FX9"/>
  <c r="GG9"/>
  <c r="GM9"/>
  <c r="FT10"/>
  <c r="FX10"/>
  <c r="GH10"/>
  <c r="GO10"/>
  <c r="FT11"/>
  <c r="FZ11"/>
  <c r="GH11"/>
  <c r="GL11"/>
  <c r="FQ12"/>
  <c r="GA12"/>
  <c r="GG12"/>
  <c r="GO12"/>
  <c r="FT13"/>
  <c r="FX13"/>
  <c r="GF13"/>
  <c r="GO13"/>
  <c r="FR14"/>
  <c r="FY14"/>
  <c r="GG14"/>
  <c r="GO14"/>
  <c r="FR15"/>
  <c r="GA15"/>
  <c r="GH15"/>
  <c r="GM15"/>
  <c r="FS16"/>
  <c r="FY16"/>
  <c r="GG16"/>
  <c r="GL16"/>
  <c r="FR17"/>
  <c r="GA17"/>
  <c r="GH17"/>
  <c r="GO17"/>
  <c r="FS18"/>
  <c r="FY18"/>
  <c r="GH18"/>
  <c r="GO18"/>
  <c r="FR19"/>
  <c r="FY19"/>
  <c r="GH19"/>
  <c r="GO19"/>
  <c r="FR20"/>
  <c r="FZ20"/>
  <c r="GH20"/>
  <c r="GN20"/>
  <c r="FT21"/>
  <c r="FY21"/>
  <c r="GH21"/>
  <c r="GL21"/>
  <c r="FS22"/>
  <c r="GA22"/>
  <c r="GH22"/>
  <c r="GM22"/>
  <c r="FT23"/>
  <c r="GA23"/>
  <c r="GF23"/>
  <c r="GL24"/>
  <c r="FS25"/>
  <c r="GO25"/>
  <c r="FQ26"/>
  <c r="GA26"/>
  <c r="GN26"/>
  <c r="FT27"/>
  <c r="GF27"/>
  <c r="GN27"/>
  <c r="GH28"/>
  <c r="GM28"/>
  <c r="FR29"/>
  <c r="FZ29"/>
  <c r="GG29"/>
  <c r="GL29"/>
  <c r="FT30"/>
  <c r="GA30"/>
  <c r="GG30"/>
  <c r="GN30"/>
  <c r="FT31"/>
  <c r="FZ31"/>
  <c r="GG31"/>
  <c r="GN31"/>
  <c r="FT32"/>
  <c r="GO32"/>
  <c r="FT33"/>
  <c r="GA33"/>
  <c r="GH33"/>
  <c r="GM33"/>
  <c r="GG33"/>
  <c r="FR34"/>
  <c r="FX34"/>
  <c r="GN34"/>
  <c r="GF35"/>
  <c r="GO35"/>
  <c r="GA36"/>
  <c r="GH36"/>
  <c r="GA37"/>
  <c r="GG37"/>
  <c r="GM37"/>
  <c r="FS38"/>
  <c r="FX38"/>
  <c r="GO38"/>
  <c r="FQ39"/>
  <c r="FY39"/>
  <c r="GF39"/>
  <c r="GL39"/>
  <c r="FR40"/>
  <c r="FZ40"/>
  <c r="GH40"/>
  <c r="FQ41"/>
  <c r="FZ41"/>
  <c r="GE41"/>
  <c r="GM41"/>
  <c r="GE42"/>
  <c r="GM42"/>
  <c r="FR43"/>
  <c r="FX43"/>
  <c r="GN43"/>
  <c r="FS44"/>
  <c r="FZ44"/>
  <c r="GH44"/>
  <c r="FQ45"/>
  <c r="FX45"/>
  <c r="GE45"/>
  <c r="GL45"/>
  <c r="FQ46"/>
  <c r="GE46"/>
  <c r="GO46"/>
  <c r="FS47"/>
  <c r="GA47"/>
  <c r="GM47"/>
  <c r="FT48"/>
  <c r="FY48"/>
  <c r="GN48"/>
  <c r="FX49"/>
  <c r="GH49"/>
  <c r="FR50"/>
  <c r="FX50"/>
  <c r="GF50"/>
  <c r="GL50"/>
  <c r="FQ51"/>
  <c r="FZ51"/>
  <c r="GE51"/>
  <c r="GN51"/>
  <c r="FR52"/>
  <c r="FZ52"/>
  <c r="GE52"/>
  <c r="FQ53"/>
  <c r="FY53"/>
  <c r="GG53"/>
  <c r="GO53"/>
  <c r="FQ54"/>
  <c r="FZ54"/>
  <c r="GG54"/>
  <c r="GN54"/>
  <c r="FZ55"/>
  <c r="GG55"/>
  <c r="GE55"/>
  <c r="FT56"/>
  <c r="FX56"/>
  <c r="GN56"/>
  <c r="FT57"/>
  <c r="FY57"/>
  <c r="GG57"/>
  <c r="FR58"/>
  <c r="FX58"/>
  <c r="GG58"/>
  <c r="FS59"/>
  <c r="GA59"/>
  <c r="GE59"/>
  <c r="GM59"/>
  <c r="FS60"/>
  <c r="FX60"/>
  <c r="GF60"/>
  <c r="GM60"/>
  <c r="FR61"/>
  <c r="FZ61"/>
  <c r="GG61"/>
  <c r="GN61"/>
  <c r="FR62"/>
  <c r="FX62"/>
  <c r="GF62"/>
  <c r="GL62"/>
  <c r="FQ63"/>
  <c r="GA63"/>
  <c r="GE63"/>
  <c r="GO63"/>
  <c r="FS64"/>
  <c r="FZ64"/>
  <c r="GF64"/>
  <c r="GO64"/>
  <c r="GA65"/>
  <c r="GF65"/>
  <c r="FQ66"/>
  <c r="GA66"/>
  <c r="GH66"/>
  <c r="GO66"/>
  <c r="FT67"/>
  <c r="FX67"/>
  <c r="GH67"/>
  <c r="GN67"/>
  <c r="FQ68"/>
  <c r="FZ68"/>
  <c r="GG68"/>
  <c r="GM68"/>
  <c r="FT69"/>
  <c r="FZ69"/>
  <c r="GE69"/>
  <c r="GL69"/>
  <c r="FT70"/>
  <c r="FY70"/>
  <c r="GH70"/>
  <c r="GN70"/>
  <c r="FS71"/>
  <c r="FY71"/>
  <c r="GH71"/>
  <c r="GM71"/>
  <c r="FT72"/>
  <c r="GA72"/>
  <c r="GH72"/>
  <c r="GN72"/>
  <c r="FT73"/>
  <c r="FY73"/>
  <c r="GG73"/>
  <c r="GN73"/>
  <c r="FT74"/>
  <c r="FY74"/>
  <c r="GH74"/>
  <c r="GN74"/>
  <c r="FR75"/>
  <c r="FY75"/>
  <c r="GH75"/>
  <c r="GL75"/>
  <c r="FQ76"/>
  <c r="FY76"/>
  <c r="GH76"/>
  <c r="GO76"/>
  <c r="FR77"/>
  <c r="FZ77"/>
  <c r="GF77"/>
  <c r="GL77"/>
  <c r="FT78"/>
  <c r="GA78"/>
  <c r="GH78"/>
  <c r="GN78"/>
  <c r="FS79"/>
  <c r="FY79"/>
  <c r="GG79"/>
  <c r="GO79"/>
  <c r="FR80"/>
  <c r="FX80"/>
  <c r="GH80"/>
  <c r="GL80"/>
  <c r="FQ81"/>
  <c r="FY81"/>
  <c r="GG81"/>
  <c r="GM81"/>
  <c r="FR82"/>
  <c r="FX82"/>
  <c r="GH82"/>
  <c r="GL82"/>
  <c r="FR83"/>
  <c r="GA83"/>
  <c r="GG83"/>
  <c r="GL83"/>
  <c r="FT84"/>
  <c r="FX84"/>
  <c r="GF84"/>
  <c r="GN84"/>
  <c r="FS85"/>
  <c r="FY85"/>
  <c r="GE85"/>
  <c r="GM85"/>
  <c r="GF85"/>
  <c r="FR86"/>
  <c r="FX86"/>
  <c r="GO86"/>
  <c r="FR87"/>
  <c r="GA87"/>
  <c r="GG87"/>
  <c r="GE87"/>
  <c r="FY88"/>
  <c r="GF88"/>
  <c r="FS89"/>
  <c r="GF89"/>
  <c r="GM89"/>
  <c r="FY90"/>
  <c r="GH90"/>
  <c r="GM90"/>
  <c r="FR91"/>
  <c r="GA91"/>
  <c r="GG91"/>
  <c r="FT92"/>
  <c r="FX92"/>
  <c r="GF92"/>
  <c r="GN92"/>
  <c r="FY93"/>
  <c r="GE93"/>
  <c r="GM93"/>
  <c r="FR94"/>
  <c r="FY94"/>
  <c r="GE94"/>
  <c r="GL94"/>
  <c r="FT95"/>
  <c r="GA95"/>
  <c r="GG95"/>
  <c r="GM95"/>
  <c r="FQ96"/>
  <c r="FZ96"/>
  <c r="GO96"/>
  <c r="FT97"/>
  <c r="FX97"/>
  <c r="GG97"/>
  <c r="GM97"/>
  <c r="FS98"/>
  <c r="FY98"/>
  <c r="GE98"/>
  <c r="GM98"/>
  <c r="FR99"/>
  <c r="FX99"/>
  <c r="GG99"/>
  <c r="GL99"/>
  <c r="FY100"/>
  <c r="GE100"/>
  <c r="GM100"/>
  <c r="FQ101"/>
  <c r="FX101"/>
  <c r="GF101"/>
  <c r="GM101"/>
  <c r="FR102"/>
  <c r="GA102"/>
  <c r="GN102"/>
  <c r="FT103"/>
  <c r="GG103"/>
  <c r="GL103"/>
  <c r="GA104"/>
  <c r="GH104"/>
  <c r="GM104"/>
  <c r="FR105"/>
  <c r="FX105"/>
  <c r="GH105"/>
  <c r="GN105"/>
  <c r="FT106"/>
  <c r="FZ106"/>
  <c r="GG106"/>
  <c r="GO106"/>
  <c r="FT107"/>
  <c r="FY107"/>
  <c r="GH107"/>
  <c r="GL107"/>
  <c r="FS108"/>
  <c r="GA108"/>
  <c r="GF108"/>
  <c r="GM108"/>
  <c r="FS109"/>
  <c r="FX109"/>
  <c r="GF109"/>
  <c r="GO109"/>
  <c r="FR110"/>
  <c r="FZ110"/>
  <c r="GG110"/>
  <c r="GL110"/>
  <c r="FR111"/>
  <c r="GA111"/>
  <c r="GE111"/>
  <c r="GL111"/>
  <c r="FS112"/>
  <c r="GA112"/>
  <c r="GF112"/>
  <c r="GM112"/>
  <c r="FQ113"/>
  <c r="FX113"/>
  <c r="GF113"/>
  <c r="GN113"/>
  <c r="FR114"/>
  <c r="FZ114"/>
  <c r="GG114"/>
  <c r="GL114"/>
  <c r="FR115"/>
  <c r="GA115"/>
  <c r="GH115"/>
  <c r="GL115"/>
  <c r="FQ116"/>
  <c r="GA116"/>
  <c r="GF116"/>
  <c r="GO116"/>
  <c r="GG116"/>
  <c r="FT117"/>
  <c r="FZ117"/>
  <c r="GF117"/>
  <c r="GM117"/>
  <c r="FR118"/>
  <c r="FZ118"/>
  <c r="GE118"/>
  <c r="GL118"/>
  <c r="FR119"/>
  <c r="GA119"/>
  <c r="GE119"/>
  <c r="GL119"/>
  <c r="FQ120"/>
  <c r="GA120"/>
  <c r="GF120"/>
  <c r="GO120"/>
  <c r="FT121"/>
  <c r="FZ121"/>
  <c r="GF121"/>
  <c r="GN121"/>
  <c r="FR122"/>
  <c r="GA122"/>
  <c r="GE122"/>
  <c r="GL122"/>
  <c r="FT123"/>
  <c r="GA123"/>
  <c r="GE123"/>
  <c r="GN123"/>
  <c r="FR124"/>
  <c r="FZ124"/>
  <c r="GF124"/>
  <c r="GL124"/>
  <c r="FQ125"/>
  <c r="FZ125"/>
  <c r="GH125"/>
  <c r="GM125"/>
  <c r="FR126"/>
  <c r="FY126"/>
  <c r="GF126"/>
  <c r="GL126"/>
  <c r="FS127"/>
  <c r="GA127"/>
  <c r="GG127"/>
  <c r="GM127"/>
  <c r="FR128"/>
  <c r="FY128"/>
  <c r="GE128"/>
  <c r="GN128"/>
  <c r="FT129"/>
  <c r="FX129"/>
  <c r="GF129"/>
  <c r="GN129"/>
  <c r="FQ130"/>
  <c r="FY130"/>
  <c r="GG130"/>
  <c r="GG131"/>
  <c r="GL131"/>
  <c r="FS132"/>
  <c r="GA132"/>
  <c r="GF132"/>
  <c r="GM132"/>
  <c r="FQ133"/>
  <c r="FX133"/>
  <c r="GF133"/>
  <c r="FS134"/>
  <c r="FY134"/>
  <c r="GE134"/>
  <c r="GL134"/>
  <c r="FR135"/>
  <c r="FX135"/>
  <c r="GH135"/>
  <c r="GL135"/>
  <c r="FR136"/>
  <c r="GA136"/>
  <c r="GM136"/>
  <c r="FT137"/>
  <c r="GM137"/>
  <c r="FQ138"/>
  <c r="FY138"/>
  <c r="GO138"/>
  <c r="FR139"/>
  <c r="GA139"/>
  <c r="GL139"/>
  <c r="FS140"/>
  <c r="GG140"/>
  <c r="GM140"/>
  <c r="GF141"/>
  <c r="FR142"/>
  <c r="GA142"/>
  <c r="GG142"/>
  <c r="GL142"/>
  <c r="FZ143"/>
  <c r="GH143"/>
  <c r="GL143"/>
  <c r="FS144"/>
  <c r="GE144"/>
  <c r="GO144"/>
  <c r="FQ145"/>
  <c r="FX145"/>
  <c r="GF145"/>
  <c r="GM145"/>
  <c r="FQ146"/>
  <c r="FZ146"/>
  <c r="GG146"/>
  <c r="FY147"/>
  <c r="GH147"/>
  <c r="FS148"/>
  <c r="GA148"/>
  <c r="GE148"/>
  <c r="FS149"/>
  <c r="FX149"/>
  <c r="GF149"/>
  <c r="FR150"/>
  <c r="GG150"/>
  <c r="GL150"/>
  <c r="GE150"/>
  <c r="FR151"/>
  <c r="FY151"/>
  <c r="FS152"/>
  <c r="GA152"/>
  <c r="FT153"/>
  <c r="FZ153"/>
  <c r="GF153"/>
  <c r="GE154"/>
  <c r="GM154"/>
  <c r="FQ155"/>
  <c r="FZ155"/>
  <c r="GH155"/>
  <c r="GO155"/>
  <c r="FZ156"/>
  <c r="GL156"/>
  <c r="FT157"/>
  <c r="FZ157"/>
  <c r="GE157"/>
  <c r="GM157"/>
  <c r="FQ158"/>
  <c r="FX158"/>
  <c r="GG158"/>
  <c r="GN158"/>
  <c r="GE158"/>
  <c r="FQ159"/>
  <c r="GA159"/>
  <c r="GE159"/>
  <c r="GO159"/>
  <c r="FR160"/>
  <c r="FY160"/>
  <c r="GH160"/>
  <c r="GO160"/>
  <c r="FQ161"/>
  <c r="FZ161"/>
  <c r="GH161"/>
  <c r="GN161"/>
  <c r="FR162"/>
  <c r="FY162"/>
  <c r="GF162"/>
  <c r="GN162"/>
  <c r="FT163"/>
  <c r="FY163"/>
  <c r="GH163"/>
  <c r="GO163"/>
  <c r="FQ164"/>
  <c r="FZ164"/>
  <c r="GE164"/>
  <c r="GL164"/>
  <c r="FS165"/>
  <c r="GA165"/>
  <c r="GE165"/>
  <c r="GN165"/>
  <c r="FR166"/>
  <c r="FY166"/>
  <c r="GF166"/>
  <c r="FT167"/>
  <c r="GA167"/>
  <c r="GH167"/>
  <c r="FR168"/>
  <c r="FZ168"/>
  <c r="GH168"/>
  <c r="FT169"/>
  <c r="FZ169"/>
  <c r="GH169"/>
  <c r="GN169"/>
  <c r="FS170"/>
  <c r="GG170"/>
  <c r="GL170"/>
  <c r="FR171"/>
  <c r="GA171"/>
  <c r="GH171"/>
  <c r="GL171"/>
  <c r="FT172"/>
  <c r="FX172"/>
  <c r="GF172"/>
  <c r="GN172"/>
  <c r="FS173"/>
  <c r="FY173"/>
  <c r="GG173"/>
  <c r="GM173"/>
  <c r="FR174"/>
  <c r="FZ174"/>
  <c r="GH174"/>
  <c r="GL174"/>
  <c r="FS175"/>
  <c r="GA175"/>
  <c r="GH175"/>
  <c r="GM175"/>
  <c r="FT176"/>
  <c r="FX176"/>
  <c r="GF176"/>
  <c r="GN176"/>
  <c r="FR177"/>
  <c r="FY177"/>
  <c r="GG177"/>
  <c r="GL177"/>
  <c r="FR178"/>
  <c r="FY178"/>
  <c r="GH178"/>
  <c r="GL178"/>
  <c r="FS179"/>
  <c r="GA179"/>
  <c r="GG179"/>
  <c r="GM179"/>
  <c r="FT180"/>
  <c r="FX180"/>
  <c r="GF180"/>
  <c r="FQ181"/>
  <c r="FY181"/>
  <c r="GG181"/>
  <c r="FR182"/>
  <c r="FZ182"/>
  <c r="GH182"/>
  <c r="GL182"/>
  <c r="FS183"/>
  <c r="GA183"/>
  <c r="GG183"/>
  <c r="GM183"/>
  <c r="FT184"/>
  <c r="FX184"/>
  <c r="GF184"/>
  <c r="GN184"/>
  <c r="FR185"/>
  <c r="FY185"/>
  <c r="GE185"/>
  <c r="GL185"/>
  <c r="FR186"/>
  <c r="GH186"/>
  <c r="GL186"/>
  <c r="FS187"/>
  <c r="GA187"/>
  <c r="GF187"/>
  <c r="GM187"/>
  <c r="FT188"/>
  <c r="FX188"/>
  <c r="GF188"/>
  <c r="GN188"/>
  <c r="FS189"/>
  <c r="FY189"/>
  <c r="GL189"/>
  <c r="FR190"/>
  <c r="GA190"/>
  <c r="GH190"/>
  <c r="GL190"/>
  <c r="FS191"/>
  <c r="GA191"/>
  <c r="GH191"/>
  <c r="GM191"/>
  <c r="FT192"/>
  <c r="FX192"/>
  <c r="GF192"/>
  <c r="GN192"/>
  <c r="FS193"/>
  <c r="FY193"/>
  <c r="GG193"/>
  <c r="GO193"/>
  <c r="FR194"/>
  <c r="GA194"/>
  <c r="GH194"/>
  <c r="GL194"/>
  <c r="FS195"/>
  <c r="GA195"/>
  <c r="GF195"/>
  <c r="GM195"/>
  <c r="FT196"/>
  <c r="FX196"/>
  <c r="GF196"/>
  <c r="GN196"/>
  <c r="FQ197"/>
  <c r="FY197"/>
  <c r="GG197"/>
  <c r="GO197"/>
  <c r="FR198"/>
  <c r="FZ198"/>
  <c r="GH198"/>
  <c r="GL198"/>
  <c r="GE198"/>
  <c r="FS199"/>
  <c r="GA199"/>
  <c r="GE199"/>
  <c r="GM199"/>
  <c r="FT200"/>
  <c r="FX200"/>
  <c r="GF200"/>
  <c r="GN200"/>
  <c r="FQ201"/>
  <c r="FY201"/>
  <c r="GG201"/>
  <c r="GO201"/>
  <c r="FR202"/>
  <c r="FX202"/>
  <c r="GH202"/>
  <c r="GL202"/>
  <c r="FS203"/>
  <c r="GA203"/>
  <c r="GH203"/>
  <c r="GM203"/>
  <c r="GF203"/>
  <c r="GO203"/>
  <c r="FT204"/>
  <c r="FX204"/>
  <c r="GF204"/>
  <c r="GN204"/>
  <c r="FT205"/>
  <c r="FY205"/>
  <c r="GG205"/>
  <c r="GM205"/>
  <c r="FR206"/>
  <c r="FX206"/>
  <c r="GH206"/>
  <c r="GL206"/>
  <c r="FS207"/>
  <c r="GA207"/>
  <c r="GH207"/>
  <c r="GM207"/>
  <c r="J214" i="20" l="1"/>
  <c r="K214"/>
  <c r="AE214"/>
  <c r="U215" s="1"/>
  <c r="S214"/>
  <c r="O215" s="1"/>
  <c r="GL10" i="9"/>
  <c r="GN191"/>
  <c r="GH173"/>
  <c r="GF191"/>
  <c r="GG178"/>
  <c r="GG111"/>
  <c r="GF68"/>
  <c r="GG194"/>
  <c r="GE183"/>
  <c r="GM118"/>
  <c r="GF93"/>
  <c r="GG77"/>
  <c r="GE17"/>
  <c r="GE195"/>
  <c r="GE190"/>
  <c r="GE170"/>
  <c r="GG164"/>
  <c r="GH121"/>
  <c r="GH83"/>
  <c r="GN35"/>
  <c r="GH127"/>
  <c r="GF143"/>
  <c r="GH63"/>
  <c r="GG50"/>
  <c r="GE40"/>
  <c r="GG36"/>
  <c r="GF160"/>
  <c r="GE141"/>
  <c r="GH140"/>
  <c r="GG123"/>
  <c r="GE112"/>
  <c r="GG100"/>
  <c r="GE54"/>
  <c r="GG49"/>
  <c r="GF10"/>
  <c r="GO39"/>
  <c r="GL195"/>
  <c r="GH101"/>
  <c r="FY11"/>
  <c r="GA11"/>
  <c r="FS9"/>
  <c r="FR22"/>
  <c r="FR95"/>
  <c r="FT22"/>
  <c r="FZ181"/>
  <c r="GM165"/>
  <c r="GN46"/>
  <c r="GL31"/>
  <c r="GO15"/>
  <c r="FZ14"/>
  <c r="GO207"/>
  <c r="FR148"/>
  <c r="FR138"/>
  <c r="FX182"/>
  <c r="FZ74"/>
  <c r="GL73"/>
  <c r="FY82"/>
  <c r="GA192"/>
  <c r="FT119"/>
  <c r="FY106"/>
  <c r="FZ204"/>
  <c r="FQ98"/>
  <c r="FT62"/>
  <c r="FS15"/>
  <c r="FQ9"/>
  <c r="GO171"/>
  <c r="GE95"/>
  <c r="FZ75"/>
  <c r="GN179"/>
  <c r="GO41"/>
  <c r="FX205"/>
  <c r="FR193"/>
  <c r="FS169"/>
  <c r="FT159"/>
  <c r="GN117"/>
  <c r="GL79"/>
  <c r="GO73"/>
  <c r="GO67"/>
  <c r="FY62"/>
  <c r="FS61"/>
  <c r="FT50"/>
  <c r="GO21"/>
  <c r="GA169"/>
  <c r="GO142"/>
  <c r="FZ50"/>
  <c r="FR46"/>
  <c r="FX28"/>
  <c r="FZ27"/>
  <c r="FZ24"/>
  <c r="FQ24"/>
  <c r="FR205"/>
  <c r="GM201"/>
  <c r="GO200"/>
  <c r="FY120"/>
  <c r="FX114"/>
  <c r="GO81"/>
  <c r="FX75"/>
  <c r="FQ74"/>
  <c r="FY25"/>
  <c r="FR10"/>
  <c r="GO45"/>
  <c r="GM39"/>
  <c r="FZ28"/>
  <c r="FZ22"/>
  <c r="FY167"/>
  <c r="GM50"/>
  <c r="GA206"/>
  <c r="FS196"/>
  <c r="FQ183"/>
  <c r="GA182"/>
  <c r="FZ171"/>
  <c r="GO169"/>
  <c r="FZ145"/>
  <c r="FZ92"/>
  <c r="FZ53"/>
  <c r="FY41"/>
  <c r="FT39"/>
  <c r="GA25"/>
  <c r="GH24"/>
  <c r="FS17"/>
  <c r="FZ201"/>
  <c r="FS197"/>
  <c r="FZ196"/>
  <c r="FZ183"/>
  <c r="FQ149"/>
  <c r="GG148"/>
  <c r="GA145"/>
  <c r="FS138"/>
  <c r="FZ136"/>
  <c r="FQ135"/>
  <c r="FZ133"/>
  <c r="FQ132"/>
  <c r="FR130"/>
  <c r="GM129"/>
  <c r="FZ128"/>
  <c r="GN126"/>
  <c r="GO125"/>
  <c r="FS117"/>
  <c r="FT111"/>
  <c r="GO99"/>
  <c r="FZ95"/>
  <c r="FT89"/>
  <c r="GA75"/>
  <c r="GE73"/>
  <c r="GO60"/>
  <c r="FQ50"/>
  <c r="FZ38"/>
  <c r="FR27"/>
  <c r="FR21"/>
  <c r="FT17"/>
  <c r="FT16"/>
  <c r="FZ15"/>
  <c r="GA14"/>
  <c r="FS13"/>
  <c r="FZ10"/>
  <c r="GA130"/>
  <c r="GH73"/>
  <c r="FS50"/>
  <c r="GL5"/>
  <c r="GF207"/>
  <c r="GO202"/>
  <c r="GA178"/>
  <c r="GN177"/>
  <c r="GO176"/>
  <c r="FQ165"/>
  <c r="GN163"/>
  <c r="GO150"/>
  <c r="FX142"/>
  <c r="FS125"/>
  <c r="FZ122"/>
  <c r="GG120"/>
  <c r="GF111"/>
  <c r="FR109"/>
  <c r="FX106"/>
  <c r="GE97"/>
  <c r="FX96"/>
  <c r="GH89"/>
  <c r="GH77"/>
  <c r="FZ76"/>
  <c r="FZ73"/>
  <c r="FT61"/>
  <c r="FY58"/>
  <c r="GM51"/>
  <c r="GA40"/>
  <c r="GL37"/>
  <c r="FT15"/>
  <c r="B15" i="6"/>
  <c r="Q5" i="15"/>
  <c r="Q4" i="12"/>
  <c r="FS180" i="9"/>
  <c r="FQ169"/>
  <c r="FQ67"/>
  <c r="FQ61"/>
  <c r="FT60"/>
  <c r="P4" i="12"/>
  <c r="P5" i="15"/>
  <c r="FZ172" i="9"/>
  <c r="FR169"/>
  <c r="GO165"/>
  <c r="GF158"/>
  <c r="FY155"/>
  <c r="GH112"/>
  <c r="GA106"/>
  <c r="FZ99"/>
  <c r="GH87"/>
  <c r="GF67"/>
  <c r="GN64"/>
  <c r="FY51"/>
  <c r="FX47"/>
  <c r="GA45"/>
  <c r="GL41"/>
  <c r="FS34"/>
  <c r="GO29"/>
  <c r="GA20"/>
  <c r="FZ19"/>
  <c r="GA18"/>
  <c r="GM17"/>
  <c r="GF22"/>
  <c r="GG22"/>
  <c r="FQ207"/>
  <c r="GA204"/>
  <c r="FZ202"/>
  <c r="GN189"/>
  <c r="GA188"/>
  <c r="FZ185"/>
  <c r="GO184"/>
  <c r="GH183"/>
  <c r="FY182"/>
  <c r="GA176"/>
  <c r="FT175"/>
  <c r="FZ173"/>
  <c r="GA172"/>
  <c r="GM169"/>
  <c r="FZ167"/>
  <c r="FZ166"/>
  <c r="GA163"/>
  <c r="GM162"/>
  <c r="FZ152"/>
  <c r="GE135"/>
  <c r="GF130"/>
  <c r="GA126"/>
  <c r="FX119"/>
  <c r="GO117"/>
  <c r="FX115"/>
  <c r="GA114"/>
  <c r="FZ112"/>
  <c r="GO107"/>
  <c r="GF87"/>
  <c r="FT79"/>
  <c r="FX72"/>
  <c r="GL67"/>
  <c r="FR67"/>
  <c r="FX66"/>
  <c r="GL64"/>
  <c r="FZ62"/>
  <c r="FQ62"/>
  <c r="GO61"/>
  <c r="FT46"/>
  <c r="GG40"/>
  <c r="GO37"/>
  <c r="GN28"/>
  <c r="GH144"/>
  <c r="FQ142"/>
  <c r="GG135"/>
  <c r="GG119"/>
  <c r="FY115"/>
  <c r="FY108"/>
  <c r="FQ102"/>
  <c r="FQ94"/>
  <c r="GF79"/>
  <c r="FQ71"/>
  <c r="FS70"/>
  <c r="GM67"/>
  <c r="FS67"/>
  <c r="FY66"/>
  <c r="GA62"/>
  <c r="FQ59"/>
  <c r="FR48"/>
  <c r="GG46"/>
  <c r="FQ40"/>
  <c r="FQ36"/>
  <c r="FQ206"/>
  <c r="FY204"/>
  <c r="GE178"/>
  <c r="FY172"/>
  <c r="FX167"/>
  <c r="FR132"/>
  <c r="FS130"/>
  <c r="FZ129"/>
  <c r="GG128"/>
  <c r="GO115"/>
  <c r="GO113"/>
  <c r="FZ108"/>
  <c r="GO104"/>
  <c r="GH95"/>
  <c r="FS94"/>
  <c r="GH93"/>
  <c r="GH91"/>
  <c r="FS83"/>
  <c r="GH79"/>
  <c r="GO77"/>
  <c r="GN75"/>
  <c r="FR73"/>
  <c r="GA70"/>
  <c r="FQ69"/>
  <c r="FZ66"/>
  <c r="GO62"/>
  <c r="GH58"/>
  <c r="GA57"/>
  <c r="GO50"/>
  <c r="GG41"/>
  <c r="GE36"/>
  <c r="GL34"/>
  <c r="GL32"/>
  <c r="GN29"/>
  <c r="FY150"/>
  <c r="FX150"/>
  <c r="GL162"/>
  <c r="FS157"/>
  <c r="GN149"/>
  <c r="GL149"/>
  <c r="FT149"/>
  <c r="FR149"/>
  <c r="FR143"/>
  <c r="FQ143"/>
  <c r="GG207"/>
  <c r="FZ205"/>
  <c r="GF201"/>
  <c r="FT199"/>
  <c r="GE197"/>
  <c r="GH193"/>
  <c r="FZ187"/>
  <c r="GL183"/>
  <c r="FT183"/>
  <c r="GO179"/>
  <c r="FX177"/>
  <c r="GO175"/>
  <c r="FR201"/>
  <c r="GF197"/>
  <c r="FS184"/>
  <c r="GN183"/>
  <c r="GA180"/>
  <c r="FY176"/>
  <c r="FX174"/>
  <c r="GL173"/>
  <c r="FQ170"/>
  <c r="GL165"/>
  <c r="FY154"/>
  <c r="FZ154"/>
  <c r="GA151"/>
  <c r="FX151"/>
  <c r="FZ151"/>
  <c r="FY146"/>
  <c r="FX146"/>
  <c r="GA146"/>
  <c r="FT145"/>
  <c r="FS145"/>
  <c r="GE207"/>
  <c r="FZ206"/>
  <c r="GE204"/>
  <c r="FS201"/>
  <c r="FX198"/>
  <c r="GM197"/>
  <c r="GN195"/>
  <c r="FZ192"/>
  <c r="FX181"/>
  <c r="FT179"/>
  <c r="FQ178"/>
  <c r="FZ176"/>
  <c r="FR175"/>
  <c r="FQ173"/>
  <c r="GM172"/>
  <c r="GA161"/>
  <c r="GO34"/>
  <c r="FS20"/>
  <c r="FZ18"/>
  <c r="GL17"/>
  <c r="GA16"/>
  <c r="FY15"/>
  <c r="GN142"/>
  <c r="FR140"/>
  <c r="GO136"/>
  <c r="GE130"/>
  <c r="GO129"/>
  <c r="FQ129"/>
  <c r="FQ124"/>
  <c r="GN119"/>
  <c r="FQ119"/>
  <c r="FY114"/>
  <c r="FY110"/>
  <c r="FZ109"/>
  <c r="GN107"/>
  <c r="FY104"/>
  <c r="FZ101"/>
  <c r="GH99"/>
  <c r="FY92"/>
  <c r="FY86"/>
  <c r="FY84"/>
  <c r="FQ83"/>
  <c r="GO82"/>
  <c r="GF80"/>
  <c r="FQ77"/>
  <c r="GE75"/>
  <c r="FT71"/>
  <c r="GM70"/>
  <c r="FX68"/>
  <c r="GM64"/>
  <c r="FZ58"/>
  <c r="FT52"/>
  <c r="FX51"/>
  <c r="FZ48"/>
  <c r="GH45"/>
  <c r="GF44"/>
  <c r="GL35"/>
  <c r="FT34"/>
  <c r="GN32"/>
  <c r="FZ30"/>
  <c r="GA29"/>
  <c r="FS27"/>
  <c r="GO24"/>
  <c r="GL128"/>
  <c r="FS126"/>
  <c r="FQ123"/>
  <c r="FT113"/>
  <c r="FY111"/>
  <c r="FZ102"/>
  <c r="GA98"/>
  <c r="FZ84"/>
  <c r="GH81"/>
  <c r="FY77"/>
  <c r="FY68"/>
  <c r="GE64"/>
  <c r="FZ59"/>
  <c r="GM48"/>
  <c r="FX40"/>
  <c r="FT142"/>
  <c r="GL140"/>
  <c r="FZ139"/>
  <c r="FX138"/>
  <c r="FR137"/>
  <c r="GL129"/>
  <c r="GM128"/>
  <c r="GL127"/>
  <c r="FT126"/>
  <c r="GF123"/>
  <c r="GH116"/>
  <c r="FT115"/>
  <c r="FY112"/>
  <c r="FQ108"/>
  <c r="GL102"/>
  <c r="FQ99"/>
  <c r="GO98"/>
  <c r="GG93"/>
  <c r="GE91"/>
  <c r="GG89"/>
  <c r="FT87"/>
  <c r="FT83"/>
  <c r="FS82"/>
  <c r="FX76"/>
  <c r="GO74"/>
  <c r="GA68"/>
  <c r="GH64"/>
  <c r="GH60"/>
  <c r="GA51"/>
  <c r="GO48"/>
  <c r="FY40"/>
  <c r="GA39"/>
  <c r="FX36"/>
  <c r="FS35"/>
  <c r="GM34"/>
  <c r="FR32"/>
  <c r="FX30"/>
  <c r="GM29"/>
  <c r="GL28"/>
  <c r="FY26"/>
  <c r="GM25"/>
  <c r="GF24"/>
  <c r="FZ16"/>
  <c r="GM14"/>
  <c r="GN9"/>
  <c r="GG189"/>
  <c r="GH189"/>
  <c r="GN180"/>
  <c r="GO180"/>
  <c r="GM180"/>
  <c r="GG185"/>
  <c r="GH185"/>
  <c r="GO181"/>
  <c r="GM181"/>
  <c r="FS205"/>
  <c r="GG203"/>
  <c r="GA202"/>
  <c r="FZ200"/>
  <c r="FR197"/>
  <c r="GO196"/>
  <c r="GM193"/>
  <c r="FT191"/>
  <c r="GG190"/>
  <c r="FX189"/>
  <c r="GO185"/>
  <c r="GM185"/>
  <c r="FR181"/>
  <c r="FT181"/>
  <c r="FS181"/>
  <c r="FR207"/>
  <c r="GN207"/>
  <c r="FT207"/>
  <c r="FQ204"/>
  <c r="GE202"/>
  <c r="GE201"/>
  <c r="GA200"/>
  <c r="GE193"/>
  <c r="FZ189"/>
  <c r="FQ188"/>
  <c r="GO187"/>
  <c r="GE187"/>
  <c r="GG187"/>
  <c r="GA186"/>
  <c r="FY186"/>
  <c r="FT185"/>
  <c r="FQ185"/>
  <c r="FQ205"/>
  <c r="GG202"/>
  <c r="FZ197"/>
  <c r="GF193"/>
  <c r="GF189"/>
  <c r="FS188"/>
  <c r="FT187"/>
  <c r="GM94"/>
  <c r="FX98"/>
  <c r="FZ98"/>
  <c r="GF96"/>
  <c r="GE96"/>
  <c r="GL90"/>
  <c r="GO90"/>
  <c r="FR90"/>
  <c r="FS90"/>
  <c r="FZ184"/>
  <c r="GF183"/>
  <c r="FR183"/>
  <c r="GO182"/>
  <c r="GH181"/>
  <c r="FZ178"/>
  <c r="GH177"/>
  <c r="GM176"/>
  <c r="FS176"/>
  <c r="FY174"/>
  <c r="FX173"/>
  <c r="GE171"/>
  <c r="GN170"/>
  <c r="GF168"/>
  <c r="GO164"/>
  <c r="FS158"/>
  <c r="FX154"/>
  <c r="FR152"/>
  <c r="GF150"/>
  <c r="FS150"/>
  <c r="GE149"/>
  <c r="GH148"/>
  <c r="FQ148"/>
  <c r="FX147"/>
  <c r="FR145"/>
  <c r="FR144"/>
  <c r="GG143"/>
  <c r="FX143"/>
  <c r="GE140"/>
  <c r="GO139"/>
  <c r="GA138"/>
  <c r="GF135"/>
  <c r="GM134"/>
  <c r="GE133"/>
  <c r="GL132"/>
  <c r="GO128"/>
  <c r="GA128"/>
  <c r="FY127"/>
  <c r="FT125"/>
  <c r="GL121"/>
  <c r="FX118"/>
  <c r="FY116"/>
  <c r="GH111"/>
  <c r="GA110"/>
  <c r="GM109"/>
  <c r="FX107"/>
  <c r="FZ104"/>
  <c r="FS97"/>
  <c r="FQ97"/>
  <c r="FS93"/>
  <c r="FT93"/>
  <c r="FT91"/>
  <c r="FQ91"/>
  <c r="FX90"/>
  <c r="GA90"/>
  <c r="FQ177"/>
  <c r="FQ172"/>
  <c r="GO170"/>
  <c r="GE167"/>
  <c r="FQ166"/>
  <c r="FX162"/>
  <c r="FT158"/>
  <c r="GE155"/>
  <c r="FQ153"/>
  <c r="FT150"/>
  <c r="GA147"/>
  <c r="FY143"/>
  <c r="GM142"/>
  <c r="GF140"/>
  <c r="FX139"/>
  <c r="FQ137"/>
  <c r="GO132"/>
  <c r="FZ127"/>
  <c r="FZ126"/>
  <c r="GG124"/>
  <c r="FR121"/>
  <c r="FY118"/>
  <c r="GE117"/>
  <c r="FZ116"/>
  <c r="GH113"/>
  <c r="GE110"/>
  <c r="GM106"/>
  <c r="FQ106"/>
  <c r="FT105"/>
  <c r="GM91"/>
  <c r="GO91"/>
  <c r="FY89"/>
  <c r="FZ89"/>
  <c r="FT177"/>
  <c r="FS171"/>
  <c r="FY164"/>
  <c r="FR161"/>
  <c r="GA158"/>
  <c r="GG155"/>
  <c r="GF148"/>
  <c r="GG147"/>
  <c r="GA143"/>
  <c r="FQ140"/>
  <c r="FY139"/>
  <c r="FX134"/>
  <c r="FX128"/>
  <c r="GE127"/>
  <c r="GN125"/>
  <c r="FR125"/>
  <c r="FQ122"/>
  <c r="GN115"/>
  <c r="GN114"/>
  <c r="FQ111"/>
  <c r="FX110"/>
  <c r="GO92"/>
  <c r="FT85"/>
  <c r="GN83"/>
  <c r="FZ81"/>
  <c r="GG80"/>
  <c r="FZ79"/>
  <c r="GE78"/>
  <c r="GM75"/>
  <c r="GF69"/>
  <c r="GO68"/>
  <c r="FZ67"/>
  <c r="GL61"/>
  <c r="FR60"/>
  <c r="GH59"/>
  <c r="GE58"/>
  <c r="GE57"/>
  <c r="GA53"/>
  <c r="GH50"/>
  <c r="FS48"/>
  <c r="FY47"/>
  <c r="GM46"/>
  <c r="FY44"/>
  <c r="GL38"/>
  <c r="FT35"/>
  <c r="GM32"/>
  <c r="GO31"/>
  <c r="GH30"/>
  <c r="FZ25"/>
  <c r="GG23"/>
  <c r="FS21"/>
  <c r="GO20"/>
  <c r="GG15"/>
  <c r="GL13"/>
  <c r="GO11"/>
  <c r="FQ11"/>
  <c r="FZ9"/>
  <c r="GE83"/>
  <c r="GA79"/>
  <c r="FQ79"/>
  <c r="FY63"/>
  <c r="GM61"/>
  <c r="GF58"/>
  <c r="FZ56"/>
  <c r="FX53"/>
  <c r="GE50"/>
  <c r="FZ47"/>
  <c r="FY45"/>
  <c r="FX39"/>
  <c r="FQ35"/>
  <c r="FX33"/>
  <c r="FR16"/>
  <c r="GH12"/>
  <c r="FS86"/>
  <c r="GO85"/>
  <c r="GF83"/>
  <c r="GM82"/>
  <c r="GL81"/>
  <c r="GE80"/>
  <c r="FR79"/>
  <c r="FS74"/>
  <c r="GN71"/>
  <c r="GE66"/>
  <c r="FZ65"/>
  <c r="FZ63"/>
  <c r="GO56"/>
  <c r="GN50"/>
  <c r="FQ48"/>
  <c r="FZ45"/>
  <c r="GN39"/>
  <c r="FZ39"/>
  <c r="FZ36"/>
  <c r="FZ33"/>
  <c r="FS32"/>
  <c r="GH31"/>
  <c r="GH26"/>
  <c r="GM24"/>
  <c r="FS24"/>
  <c r="GF21"/>
  <c r="GF19"/>
  <c r="GL168"/>
  <c r="GO168"/>
  <c r="GN166"/>
  <c r="GL166"/>
  <c r="GH156"/>
  <c r="GE156"/>
  <c r="GN153"/>
  <c r="GO153"/>
  <c r="GM153"/>
  <c r="GM148"/>
  <c r="GO148"/>
  <c r="GL147"/>
  <c r="GO147"/>
  <c r="FX137"/>
  <c r="FZ137"/>
  <c r="GO206"/>
  <c r="GL207"/>
  <c r="GH205"/>
  <c r="GN203"/>
  <c r="FR203"/>
  <c r="GH201"/>
  <c r="FT201"/>
  <c r="GE200"/>
  <c r="FQ200"/>
  <c r="GG199"/>
  <c r="GG198"/>
  <c r="GH197"/>
  <c r="FT197"/>
  <c r="GA196"/>
  <c r="GO195"/>
  <c r="GG195"/>
  <c r="FT193"/>
  <c r="GO192"/>
  <c r="GO191"/>
  <c r="FR191"/>
  <c r="FY190"/>
  <c r="FR189"/>
  <c r="GH187"/>
  <c r="GN185"/>
  <c r="GF185"/>
  <c r="FS185"/>
  <c r="GA184"/>
  <c r="GO183"/>
  <c r="GN181"/>
  <c r="GE181"/>
  <c r="GE180"/>
  <c r="GF179"/>
  <c r="FQ179"/>
  <c r="FX178"/>
  <c r="FZ177"/>
  <c r="GE176"/>
  <c r="GF175"/>
  <c r="GE174"/>
  <c r="GN173"/>
  <c r="GO172"/>
  <c r="FX171"/>
  <c r="GO162"/>
  <c r="GO161"/>
  <c r="FZ160"/>
  <c r="FR158"/>
  <c r="FR157"/>
  <c r="GN167"/>
  <c r="GO167"/>
  <c r="FT166"/>
  <c r="FS166"/>
  <c r="FT165"/>
  <c r="FR165"/>
  <c r="FT161"/>
  <c r="FS161"/>
  <c r="GN157"/>
  <c r="GO157"/>
  <c r="GM152"/>
  <c r="GO152"/>
  <c r="FR147"/>
  <c r="FQ147"/>
  <c r="GO146"/>
  <c r="GM146"/>
  <c r="FX141"/>
  <c r="GA141"/>
  <c r="FZ141"/>
  <c r="GG138"/>
  <c r="GE138"/>
  <c r="FZ131"/>
  <c r="FY131"/>
  <c r="GA131"/>
  <c r="GO205"/>
  <c r="FZ203"/>
  <c r="FY202"/>
  <c r="GL201"/>
  <c r="FS200"/>
  <c r="GO199"/>
  <c r="GO198"/>
  <c r="GL197"/>
  <c r="FQ196"/>
  <c r="GH195"/>
  <c r="FZ195"/>
  <c r="FY194"/>
  <c r="GL193"/>
  <c r="FZ193"/>
  <c r="FQ193"/>
  <c r="FZ190"/>
  <c r="FT189"/>
  <c r="FQ184"/>
  <c r="FQ182"/>
  <c r="GF181"/>
  <c r="FQ180"/>
  <c r="GL179"/>
  <c r="FR179"/>
  <c r="GF177"/>
  <c r="GN175"/>
  <c r="GG174"/>
  <c r="GO173"/>
  <c r="GN171"/>
  <c r="FY171"/>
  <c r="FX166"/>
  <c r="FY170"/>
  <c r="FZ170"/>
  <c r="FT162"/>
  <c r="FS162"/>
  <c r="GL158"/>
  <c r="GM158"/>
  <c r="FT154"/>
  <c r="FS154"/>
  <c r="GH151"/>
  <c r="GG151"/>
  <c r="GF151"/>
  <c r="GF136"/>
  <c r="GH136"/>
  <c r="GG136"/>
  <c r="GG132"/>
  <c r="GH132"/>
  <c r="GE132"/>
  <c r="GO130"/>
  <c r="GL130"/>
  <c r="GM130"/>
  <c r="FZ163"/>
  <c r="FX163"/>
  <c r="GG160"/>
  <c r="GE160"/>
  <c r="GH159"/>
  <c r="GG159"/>
  <c r="GN150"/>
  <c r="GM150"/>
  <c r="GN145"/>
  <c r="GO145"/>
  <c r="GA144"/>
  <c r="FZ144"/>
  <c r="GN137"/>
  <c r="GO137"/>
  <c r="GL137"/>
  <c r="FR134"/>
  <c r="FT134"/>
  <c r="FQ134"/>
  <c r="GN201"/>
  <c r="GN197"/>
  <c r="GN193"/>
  <c r="FX190"/>
  <c r="FQ189"/>
  <c r="GG186"/>
  <c r="GE179"/>
  <c r="FS172"/>
  <c r="GA166"/>
  <c r="FQ162"/>
  <c r="GM161"/>
  <c r="GL160"/>
  <c r="FY159"/>
  <c r="GO158"/>
  <c r="GL157"/>
  <c r="GL152"/>
  <c r="GF138"/>
  <c r="FX131"/>
  <c r="FQ52"/>
  <c r="FS52"/>
  <c r="FT128"/>
  <c r="FR127"/>
  <c r="FY122"/>
  <c r="GO121"/>
  <c r="FQ121"/>
  <c r="GF119"/>
  <c r="GF115"/>
  <c r="GM114"/>
  <c r="GL109"/>
  <c r="GH108"/>
  <c r="FS105"/>
  <c r="GO101"/>
  <c r="GG101"/>
  <c r="GF99"/>
  <c r="FZ97"/>
  <c r="GA96"/>
  <c r="FQ95"/>
  <c r="GN91"/>
  <c r="GE90"/>
  <c r="FS87"/>
  <c r="GM83"/>
  <c r="GE82"/>
  <c r="GE81"/>
  <c r="FS78"/>
  <c r="FT75"/>
  <c r="GF63"/>
  <c r="GG62"/>
  <c r="GF59"/>
  <c r="FQ58"/>
  <c r="GL56"/>
  <c r="FZ49"/>
  <c r="FY49"/>
  <c r="GF48"/>
  <c r="GE48"/>
  <c r="GG48"/>
  <c r="GE72"/>
  <c r="GO71"/>
  <c r="FZ71"/>
  <c r="GO70"/>
  <c r="FZ70"/>
  <c r="GG69"/>
  <c r="FR69"/>
  <c r="GN68"/>
  <c r="FT64"/>
  <c r="GG63"/>
  <c r="GN62"/>
  <c r="GE60"/>
  <c r="FQ60"/>
  <c r="GG59"/>
  <c r="FY59"/>
  <c r="FT58"/>
  <c r="GM56"/>
  <c r="FX54"/>
  <c r="FS53"/>
  <c r="GF56"/>
  <c r="GE56"/>
  <c r="GA55"/>
  <c r="FY55"/>
  <c r="GG52"/>
  <c r="GF52"/>
  <c r="GF155"/>
  <c r="GA154"/>
  <c r="FQ150"/>
  <c r="GO149"/>
  <c r="FZ149"/>
  <c r="GE147"/>
  <c r="GE146"/>
  <c r="FS146"/>
  <c r="FQ144"/>
  <c r="GL138"/>
  <c r="FZ138"/>
  <c r="FS137"/>
  <c r="GN134"/>
  <c r="GA133"/>
  <c r="GO131"/>
  <c r="FX130"/>
  <c r="FR129"/>
  <c r="GH128"/>
  <c r="GO127"/>
  <c r="GM126"/>
  <c r="FX126"/>
  <c r="GA125"/>
  <c r="GE124"/>
  <c r="GH123"/>
  <c r="GN122"/>
  <c r="FS122"/>
  <c r="GM121"/>
  <c r="GH119"/>
  <c r="FZ119"/>
  <c r="GA118"/>
  <c r="GH117"/>
  <c r="GE116"/>
  <c r="FZ115"/>
  <c r="FQ114"/>
  <c r="GL113"/>
  <c r="FR113"/>
  <c r="GO112"/>
  <c r="FZ111"/>
  <c r="GN109"/>
  <c r="GE109"/>
  <c r="GE108"/>
  <c r="GG107"/>
  <c r="GL105"/>
  <c r="FQ105"/>
  <c r="GL101"/>
  <c r="GE101"/>
  <c r="GH97"/>
  <c r="FR97"/>
  <c r="GG96"/>
  <c r="FY96"/>
  <c r="FS95"/>
  <c r="GO93"/>
  <c r="FZ93"/>
  <c r="GA92"/>
  <c r="FQ92"/>
  <c r="GL91"/>
  <c r="FS91"/>
  <c r="GL89"/>
  <c r="GE89"/>
  <c r="GE88"/>
  <c r="FZ87"/>
  <c r="FQ87"/>
  <c r="FZ86"/>
  <c r="GL85"/>
  <c r="FQ85"/>
  <c r="GO83"/>
  <c r="FR81"/>
  <c r="FY80"/>
  <c r="FQ78"/>
  <c r="GA76"/>
  <c r="GA74"/>
  <c r="GG72"/>
  <c r="GF71"/>
  <c r="FQ70"/>
  <c r="GH69"/>
  <c r="GH54"/>
  <c r="GF54"/>
  <c r="GA149"/>
  <c r="GE143"/>
  <c r="GM138"/>
  <c r="GO134"/>
  <c r="FZ130"/>
  <c r="FS129"/>
  <c r="FS128"/>
  <c r="FX122"/>
  <c r="GE121"/>
  <c r="GL117"/>
  <c r="GE115"/>
  <c r="FS114"/>
  <c r="FS113"/>
  <c r="GH109"/>
  <c r="GG108"/>
  <c r="GM105"/>
  <c r="GN101"/>
  <c r="GO100"/>
  <c r="GL97"/>
  <c r="GE92"/>
  <c r="FZ91"/>
  <c r="GO89"/>
  <c r="FQ89"/>
  <c r="GG88"/>
  <c r="GA86"/>
  <c r="GN85"/>
  <c r="FR85"/>
  <c r="GO84"/>
  <c r="FX83"/>
  <c r="GA82"/>
  <c r="FZ80"/>
  <c r="GE79"/>
  <c r="GO78"/>
  <c r="FR78"/>
  <c r="GE77"/>
  <c r="GE76"/>
  <c r="FS75"/>
  <c r="GL74"/>
  <c r="FR74"/>
  <c r="GO72"/>
  <c r="FQ72"/>
  <c r="GL71"/>
  <c r="FR71"/>
  <c r="GL70"/>
  <c r="FR70"/>
  <c r="GE61"/>
  <c r="GN60"/>
  <c r="GO59"/>
  <c r="FZ57"/>
  <c r="GH56"/>
  <c r="FX55"/>
  <c r="GM53"/>
  <c r="GH52"/>
  <c r="GF45"/>
  <c r="GA44"/>
  <c r="FS43"/>
  <c r="FR39"/>
  <c r="GH37"/>
  <c r="GA34"/>
  <c r="GE33"/>
  <c r="FZ32"/>
  <c r="FS31"/>
  <c r="FS29"/>
  <c r="GH27"/>
  <c r="GF26"/>
  <c r="FQ25"/>
  <c r="FZ21"/>
  <c r="FS14"/>
  <c r="GA13"/>
  <c r="GL48"/>
  <c r="GG45"/>
  <c r="GE44"/>
  <c r="FX44"/>
  <c r="FT43"/>
  <c r="FS39"/>
  <c r="GA38"/>
  <c r="GE37"/>
  <c r="GM35"/>
  <c r="GO30"/>
  <c r="FX29"/>
  <c r="GO28"/>
  <c r="GO27"/>
  <c r="GG26"/>
  <c r="GN24"/>
  <c r="GG24"/>
  <c r="FT24"/>
  <c r="FQ23"/>
  <c r="GN22"/>
  <c r="GA21"/>
  <c r="GE15"/>
  <c r="FR13"/>
  <c r="FS12"/>
  <c r="GA10"/>
  <c r="GA9"/>
  <c r="GO51"/>
  <c r="GL46"/>
  <c r="FS46"/>
  <c r="GG44"/>
  <c r="FQ43"/>
  <c r="GF40"/>
  <c r="FZ34"/>
  <c r="FX32"/>
  <c r="FR31"/>
  <c r="GG27"/>
  <c r="GM21"/>
  <c r="GF11"/>
  <c r="GG10"/>
  <c r="GL4"/>
  <c r="GK5"/>
  <c r="GM16"/>
  <c r="GL14"/>
  <c r="DJ209"/>
  <c r="GM156"/>
  <c r="GO156"/>
  <c r="FS156"/>
  <c r="FQ156"/>
  <c r="FR156"/>
  <c r="GA155"/>
  <c r="FX155"/>
  <c r="GE206"/>
  <c r="FZ207"/>
  <c r="GG206"/>
  <c r="FY206"/>
  <c r="GN205"/>
  <c r="GF205"/>
  <c r="GO204"/>
  <c r="GL203"/>
  <c r="GE203"/>
  <c r="FQ203"/>
  <c r="FX201"/>
  <c r="GM200"/>
  <c r="FY200"/>
  <c r="GN199"/>
  <c r="GF199"/>
  <c r="FR199"/>
  <c r="GA198"/>
  <c r="FQ198"/>
  <c r="FX197"/>
  <c r="GM196"/>
  <c r="FY196"/>
  <c r="FT195"/>
  <c r="GE194"/>
  <c r="FX194"/>
  <c r="FX193"/>
  <c r="GM192"/>
  <c r="FY192"/>
  <c r="GL191"/>
  <c r="GE191"/>
  <c r="FQ191"/>
  <c r="FQ190"/>
  <c r="GM189"/>
  <c r="GE189"/>
  <c r="GO188"/>
  <c r="FZ188"/>
  <c r="GN187"/>
  <c r="FR187"/>
  <c r="GE186"/>
  <c r="FX186"/>
  <c r="FX185"/>
  <c r="GM184"/>
  <c r="FY184"/>
  <c r="GG182"/>
  <c r="GL181"/>
  <c r="FZ180"/>
  <c r="GH179"/>
  <c r="FZ179"/>
  <c r="GO178"/>
  <c r="GM177"/>
  <c r="GE177"/>
  <c r="FS177"/>
  <c r="FQ176"/>
  <c r="GL175"/>
  <c r="GE175"/>
  <c r="FQ175"/>
  <c r="GA174"/>
  <c r="FQ174"/>
  <c r="GF173"/>
  <c r="FT173"/>
  <c r="GE172"/>
  <c r="GM171"/>
  <c r="GM170"/>
  <c r="FT170"/>
  <c r="GL169"/>
  <c r="GE168"/>
  <c r="GG167"/>
  <c r="GO166"/>
  <c r="GF164"/>
  <c r="FR164"/>
  <c r="GG163"/>
  <c r="GL161"/>
  <c r="GF159"/>
  <c r="FX159"/>
  <c r="GO154"/>
  <c r="GL154"/>
  <c r="GF152"/>
  <c r="GE152"/>
  <c r="GG152"/>
  <c r="FY158"/>
  <c r="FZ158"/>
  <c r="FX157"/>
  <c r="GA157"/>
  <c r="GF156"/>
  <c r="GG156"/>
  <c r="FQ154"/>
  <c r="FR154"/>
  <c r="GL205"/>
  <c r="FS204"/>
  <c r="GH199"/>
  <c r="FZ199"/>
  <c r="FY198"/>
  <c r="FQ195"/>
  <c r="GO194"/>
  <c r="FZ194"/>
  <c r="FQ192"/>
  <c r="GG191"/>
  <c r="GO189"/>
  <c r="GE188"/>
  <c r="GO186"/>
  <c r="FZ186"/>
  <c r="GO177"/>
  <c r="GG175"/>
  <c r="FR173"/>
  <c r="FR170"/>
  <c r="GE169"/>
  <c r="GG168"/>
  <c r="GM166"/>
  <c r="GH164"/>
  <c r="GE163"/>
  <c r="FZ162"/>
  <c r="GE161"/>
  <c r="FZ159"/>
  <c r="GN154"/>
  <c r="GH152"/>
  <c r="GG154"/>
  <c r="GF154"/>
  <c r="FX153"/>
  <c r="GA153"/>
  <c r="GL151"/>
  <c r="GO151"/>
  <c r="FT203"/>
  <c r="GE205"/>
  <c r="GM204"/>
  <c r="FQ202"/>
  <c r="GL199"/>
  <c r="FQ199"/>
  <c r="GE196"/>
  <c r="FR195"/>
  <c r="FQ194"/>
  <c r="GE192"/>
  <c r="FS192"/>
  <c r="FZ191"/>
  <c r="GO190"/>
  <c r="GM188"/>
  <c r="FY188"/>
  <c r="GL187"/>
  <c r="FQ187"/>
  <c r="FQ186"/>
  <c r="GE184"/>
  <c r="GE182"/>
  <c r="FY180"/>
  <c r="FZ175"/>
  <c r="GO174"/>
  <c r="GE173"/>
  <c r="GF167"/>
  <c r="GF163"/>
  <c r="GA162"/>
  <c r="GH139"/>
  <c r="GF139"/>
  <c r="GE139"/>
  <c r="GF137"/>
  <c r="GE137"/>
  <c r="FS136"/>
  <c r="FQ136"/>
  <c r="GG134"/>
  <c r="GF134"/>
  <c r="GN133"/>
  <c r="GM133"/>
  <c r="GL133"/>
  <c r="GL153"/>
  <c r="FS153"/>
  <c r="GE151"/>
  <c r="GL148"/>
  <c r="FZ147"/>
  <c r="GL146"/>
  <c r="FR146"/>
  <c r="GL145"/>
  <c r="GG144"/>
  <c r="GF142"/>
  <c r="FT141"/>
  <c r="FS141"/>
  <c r="GH131"/>
  <c r="GF131"/>
  <c r="GE131"/>
  <c r="FR131"/>
  <c r="FQ131"/>
  <c r="GN141"/>
  <c r="GM141"/>
  <c r="GL141"/>
  <c r="FT133"/>
  <c r="FR133"/>
  <c r="FS133"/>
  <c r="FZ150"/>
  <c r="GN146"/>
  <c r="FT146"/>
  <c r="GO143"/>
  <c r="FQ141"/>
  <c r="GO140"/>
  <c r="FQ139"/>
  <c r="GO133"/>
  <c r="GM144"/>
  <c r="GL144"/>
  <c r="FY142"/>
  <c r="FZ142"/>
  <c r="GA140"/>
  <c r="FZ140"/>
  <c r="FY135"/>
  <c r="GA135"/>
  <c r="FZ135"/>
  <c r="FQ157"/>
  <c r="GE153"/>
  <c r="FR153"/>
  <c r="FQ152"/>
  <c r="FQ151"/>
  <c r="GA150"/>
  <c r="GM149"/>
  <c r="FZ148"/>
  <c r="GF147"/>
  <c r="GF146"/>
  <c r="GE145"/>
  <c r="GF144"/>
  <c r="GE142"/>
  <c r="FS142"/>
  <c r="GO141"/>
  <c r="FR141"/>
  <c r="GG139"/>
  <c r="GA107"/>
  <c r="FZ107"/>
  <c r="FS104"/>
  <c r="FQ104"/>
  <c r="FX102"/>
  <c r="FY102"/>
  <c r="GL95"/>
  <c r="GO95"/>
  <c r="GN95"/>
  <c r="FX94"/>
  <c r="GA94"/>
  <c r="FZ94"/>
  <c r="GN88"/>
  <c r="GO88"/>
  <c r="GN138"/>
  <c r="FT138"/>
  <c r="GA137"/>
  <c r="GL136"/>
  <c r="GE136"/>
  <c r="FZ134"/>
  <c r="GN130"/>
  <c r="FT130"/>
  <c r="GA129"/>
  <c r="FQ128"/>
  <c r="GN127"/>
  <c r="GF127"/>
  <c r="FX127"/>
  <c r="GO126"/>
  <c r="GE126"/>
  <c r="GL125"/>
  <c r="GH124"/>
  <c r="FY124"/>
  <c r="FY123"/>
  <c r="FT122"/>
  <c r="FS121"/>
  <c r="FZ120"/>
  <c r="FY119"/>
  <c r="GN118"/>
  <c r="FS118"/>
  <c r="FQ117"/>
  <c r="GG115"/>
  <c r="GO114"/>
  <c r="FT114"/>
  <c r="GM113"/>
  <c r="FZ113"/>
  <c r="GG112"/>
  <c r="FQ112"/>
  <c r="GO111"/>
  <c r="FX111"/>
  <c r="GN110"/>
  <c r="FS110"/>
  <c r="FT109"/>
  <c r="GE107"/>
  <c r="GE106"/>
  <c r="GO105"/>
  <c r="FZ105"/>
  <c r="FX100"/>
  <c r="GG98"/>
  <c r="GL106"/>
  <c r="GN106"/>
  <c r="FT102"/>
  <c r="FS102"/>
  <c r="GN99"/>
  <c r="GM99"/>
  <c r="GH86"/>
  <c r="GE86"/>
  <c r="GO135"/>
  <c r="GA134"/>
  <c r="FZ132"/>
  <c r="GE129"/>
  <c r="FQ126"/>
  <c r="GO124"/>
  <c r="FZ123"/>
  <c r="GM122"/>
  <c r="GE120"/>
  <c r="GO118"/>
  <c r="FT118"/>
  <c r="FR117"/>
  <c r="FQ115"/>
  <c r="GE114"/>
  <c r="GE113"/>
  <c r="GO110"/>
  <c r="FT110"/>
  <c r="FQ109"/>
  <c r="GF107"/>
  <c r="GE103"/>
  <c r="GN103"/>
  <c r="GM103"/>
  <c r="FR103"/>
  <c r="FQ103"/>
  <c r="GF102"/>
  <c r="GH102"/>
  <c r="GG102"/>
  <c r="FS101"/>
  <c r="FT101"/>
  <c r="FR101"/>
  <c r="GA100"/>
  <c r="FZ100"/>
  <c r="FT88"/>
  <c r="FQ88"/>
  <c r="GM87"/>
  <c r="GL87"/>
  <c r="GO87"/>
  <c r="GL86"/>
  <c r="GM86"/>
  <c r="FR107"/>
  <c r="FQ107"/>
  <c r="FR106"/>
  <c r="FS106"/>
  <c r="GF105"/>
  <c r="GE105"/>
  <c r="GF104"/>
  <c r="GG104"/>
  <c r="GE104"/>
  <c r="FY103"/>
  <c r="FZ103"/>
  <c r="FX103"/>
  <c r="FS100"/>
  <c r="FQ100"/>
  <c r="FT99"/>
  <c r="FS99"/>
  <c r="FX88"/>
  <c r="GA88"/>
  <c r="FZ88"/>
  <c r="FX123"/>
  <c r="GO122"/>
  <c r="GH120"/>
  <c r="GO119"/>
  <c r="FQ118"/>
  <c r="GN111"/>
  <c r="GM110"/>
  <c r="FQ110"/>
  <c r="GO108"/>
  <c r="GO103"/>
  <c r="FS103"/>
  <c r="GN87"/>
  <c r="GM65"/>
  <c r="GL65"/>
  <c r="FR65"/>
  <c r="FQ65"/>
  <c r="GL58"/>
  <c r="GO58"/>
  <c r="GN58"/>
  <c r="GM57"/>
  <c r="GL57"/>
  <c r="GO57"/>
  <c r="GH53"/>
  <c r="GE53"/>
  <c r="GN52"/>
  <c r="GO52"/>
  <c r="GM52"/>
  <c r="FZ35"/>
  <c r="GA35"/>
  <c r="FX69"/>
  <c r="FY69"/>
  <c r="FY67"/>
  <c r="GA67"/>
  <c r="GG66"/>
  <c r="GF66"/>
  <c r="FY65"/>
  <c r="FX65"/>
  <c r="FY52"/>
  <c r="FX52"/>
  <c r="GF38"/>
  <c r="GE38"/>
  <c r="GE99"/>
  <c r="GN97"/>
  <c r="GF97"/>
  <c r="GF95"/>
  <c r="GO94"/>
  <c r="GL93"/>
  <c r="FQ93"/>
  <c r="GG92"/>
  <c r="GF91"/>
  <c r="FZ90"/>
  <c r="GN89"/>
  <c r="FR89"/>
  <c r="FX87"/>
  <c r="FQ86"/>
  <c r="GG85"/>
  <c r="GA84"/>
  <c r="FQ84"/>
  <c r="FZ83"/>
  <c r="FZ82"/>
  <c r="GN81"/>
  <c r="GF81"/>
  <c r="FT81"/>
  <c r="GM80"/>
  <c r="GA80"/>
  <c r="FS80"/>
  <c r="GM79"/>
  <c r="GL78"/>
  <c r="FZ78"/>
  <c r="GF76"/>
  <c r="GO75"/>
  <c r="GF75"/>
  <c r="FQ75"/>
  <c r="GM74"/>
  <c r="GF73"/>
  <c r="FQ73"/>
  <c r="GF72"/>
  <c r="FY72"/>
  <c r="GA71"/>
  <c r="GE70"/>
  <c r="GN66"/>
  <c r="GN65"/>
  <c r="FS65"/>
  <c r="GL52"/>
  <c r="GH68"/>
  <c r="GE68"/>
  <c r="GG67"/>
  <c r="GE67"/>
  <c r="FR64"/>
  <c r="FQ64"/>
  <c r="GE62"/>
  <c r="GH62"/>
  <c r="FY61"/>
  <c r="FX61"/>
  <c r="GA61"/>
  <c r="FS56"/>
  <c r="FR56"/>
  <c r="FQ56"/>
  <c r="GN55"/>
  <c r="GO55"/>
  <c r="GM55"/>
  <c r="GL55"/>
  <c r="GM54"/>
  <c r="GL54"/>
  <c r="GO54"/>
  <c r="GN47"/>
  <c r="GO47"/>
  <c r="GL44"/>
  <c r="GN44"/>
  <c r="FT42"/>
  <c r="FR42"/>
  <c r="FS42"/>
  <c r="FQ42"/>
  <c r="GL40"/>
  <c r="GO40"/>
  <c r="FT38"/>
  <c r="FR38"/>
  <c r="FQ38"/>
  <c r="GH34"/>
  <c r="GG34"/>
  <c r="GE34"/>
  <c r="GO97"/>
  <c r="FX95"/>
  <c r="GN93"/>
  <c r="FR93"/>
  <c r="FX91"/>
  <c r="FQ90"/>
  <c r="GH85"/>
  <c r="FZ85"/>
  <c r="GE84"/>
  <c r="FQ82"/>
  <c r="FX81"/>
  <c r="GO80"/>
  <c r="GN79"/>
  <c r="FX79"/>
  <c r="GM78"/>
  <c r="GG76"/>
  <c r="FZ72"/>
  <c r="GE71"/>
  <c r="FT66"/>
  <c r="GO65"/>
  <c r="FT65"/>
  <c r="GN69"/>
  <c r="GO69"/>
  <c r="FS68"/>
  <c r="FT68"/>
  <c r="FS57"/>
  <c r="FR57"/>
  <c r="FQ57"/>
  <c r="FT54"/>
  <c r="FS54"/>
  <c r="FR54"/>
  <c r="FS49"/>
  <c r="FQ49"/>
  <c r="GO43"/>
  <c r="GM43"/>
  <c r="GL43"/>
  <c r="GG84"/>
  <c r="GE74"/>
  <c r="FX71"/>
  <c r="GN57"/>
  <c r="FX35"/>
  <c r="GF46"/>
  <c r="GH46"/>
  <c r="FS45"/>
  <c r="FR45"/>
  <c r="FR44"/>
  <c r="FQ44"/>
  <c r="FT44"/>
  <c r="FY43"/>
  <c r="FZ43"/>
  <c r="FZ42"/>
  <c r="GA42"/>
  <c r="GF41"/>
  <c r="GH41"/>
  <c r="FS41"/>
  <c r="FR41"/>
  <c r="FS37"/>
  <c r="FQ37"/>
  <c r="GG35"/>
  <c r="GL33"/>
  <c r="GN33"/>
  <c r="GL60"/>
  <c r="GA58"/>
  <c r="FX57"/>
  <c r="GA49"/>
  <c r="FT51"/>
  <c r="FS51"/>
  <c r="GG47"/>
  <c r="GE47"/>
  <c r="FT47"/>
  <c r="FQ47"/>
  <c r="GF43"/>
  <c r="GE43"/>
  <c r="GN42"/>
  <c r="GL42"/>
  <c r="GO42"/>
  <c r="GG39"/>
  <c r="GE39"/>
  <c r="FZ60"/>
  <c r="GE49"/>
  <c r="GH48"/>
  <c r="FX48"/>
  <c r="FT45"/>
  <c r="GA43"/>
  <c r="GM49"/>
  <c r="GO49"/>
  <c r="FX46"/>
  <c r="FZ46"/>
  <c r="GN38"/>
  <c r="GM38"/>
  <c r="GL36"/>
  <c r="GO36"/>
  <c r="FR33"/>
  <c r="FS33"/>
  <c r="GM45"/>
  <c r="FZ37"/>
  <c r="FT36"/>
  <c r="FT28"/>
  <c r="FS28"/>
  <c r="GH29"/>
  <c r="GF29"/>
  <c r="FR28"/>
  <c r="GA32"/>
  <c r="GF30"/>
  <c r="FT29"/>
  <c r="GA28"/>
  <c r="GL27"/>
  <c r="FZ26"/>
  <c r="FS26"/>
  <c r="FY23"/>
  <c r="GO22"/>
  <c r="GG21"/>
  <c r="GL20"/>
  <c r="FT20"/>
  <c r="GG19"/>
  <c r="GF18"/>
  <c r="FT18"/>
  <c r="GF17"/>
  <c r="FY17"/>
  <c r="GO16"/>
  <c r="GE16"/>
  <c r="GL15"/>
  <c r="GE14"/>
  <c r="FT14"/>
  <c r="FT12"/>
  <c r="GG11"/>
  <c r="GN10"/>
  <c r="FS10"/>
  <c r="GO9"/>
  <c r="GM31"/>
  <c r="GM27"/>
  <c r="GO26"/>
  <c r="FT26"/>
  <c r="FZ23"/>
  <c r="GL22"/>
  <c r="GM20"/>
  <c r="GG18"/>
  <c r="FZ17"/>
  <c r="GH16"/>
  <c r="GL12"/>
  <c r="FZ12"/>
  <c r="GH9"/>
  <c r="GA168"/>
  <c r="FX168"/>
  <c r="FX165"/>
  <c r="FY165"/>
  <c r="FS160"/>
  <c r="FT160"/>
  <c r="GL159"/>
  <c r="GM159"/>
  <c r="FX207"/>
  <c r="GG204"/>
  <c r="FX203"/>
  <c r="GM202"/>
  <c r="FX199"/>
  <c r="FS198"/>
  <c r="GG196"/>
  <c r="FX195"/>
  <c r="GM194"/>
  <c r="FS194"/>
  <c r="GG192"/>
  <c r="FX191"/>
  <c r="GM190"/>
  <c r="FS190"/>
  <c r="GG188"/>
  <c r="FX187"/>
  <c r="GM186"/>
  <c r="FS186"/>
  <c r="GG184"/>
  <c r="FX183"/>
  <c r="GM182"/>
  <c r="FS182"/>
  <c r="GG180"/>
  <c r="FX179"/>
  <c r="GM178"/>
  <c r="FS178"/>
  <c r="GG176"/>
  <c r="FX175"/>
  <c r="GM174"/>
  <c r="FS174"/>
  <c r="GG172"/>
  <c r="GG171"/>
  <c r="GH170"/>
  <c r="FQ163"/>
  <c r="GE162"/>
  <c r="GF169"/>
  <c r="GG169"/>
  <c r="GM168"/>
  <c r="GN168"/>
  <c r="FR167"/>
  <c r="FS167"/>
  <c r="GG166"/>
  <c r="GH166"/>
  <c r="GA164"/>
  <c r="FX164"/>
  <c r="FX161"/>
  <c r="FY161"/>
  <c r="GA156"/>
  <c r="FY156"/>
  <c r="FX156"/>
  <c r="FR155"/>
  <c r="FT155"/>
  <c r="FS155"/>
  <c r="GM206"/>
  <c r="FS206"/>
  <c r="FS202"/>
  <c r="GG200"/>
  <c r="GM198"/>
  <c r="FY207"/>
  <c r="GN206"/>
  <c r="GF206"/>
  <c r="FT206"/>
  <c r="GA205"/>
  <c r="GL204"/>
  <c r="GH204"/>
  <c r="FR204"/>
  <c r="FY203"/>
  <c r="GN202"/>
  <c r="GF202"/>
  <c r="FT202"/>
  <c r="GA201"/>
  <c r="GL200"/>
  <c r="GH200"/>
  <c r="FR200"/>
  <c r="FY199"/>
  <c r="GN198"/>
  <c r="GF198"/>
  <c r="FT198"/>
  <c r="GA197"/>
  <c r="GL196"/>
  <c r="GH196"/>
  <c r="FR196"/>
  <c r="FY195"/>
  <c r="GN194"/>
  <c r="GF194"/>
  <c r="FT194"/>
  <c r="GA193"/>
  <c r="GL192"/>
  <c r="GH192"/>
  <c r="FR192"/>
  <c r="FY191"/>
  <c r="GN190"/>
  <c r="GF190"/>
  <c r="FT190"/>
  <c r="GA189"/>
  <c r="GL188"/>
  <c r="GH188"/>
  <c r="FR188"/>
  <c r="FY187"/>
  <c r="GN186"/>
  <c r="GF186"/>
  <c r="FT186"/>
  <c r="GA185"/>
  <c r="GL184"/>
  <c r="GH184"/>
  <c r="FR184"/>
  <c r="FY183"/>
  <c r="GN182"/>
  <c r="GF182"/>
  <c r="FT182"/>
  <c r="GA181"/>
  <c r="GL180"/>
  <c r="GH180"/>
  <c r="FR180"/>
  <c r="FY179"/>
  <c r="GN178"/>
  <c r="GF178"/>
  <c r="FT178"/>
  <c r="GA177"/>
  <c r="GL176"/>
  <c r="GH176"/>
  <c r="FR176"/>
  <c r="FY175"/>
  <c r="GN174"/>
  <c r="GF174"/>
  <c r="FT174"/>
  <c r="GA173"/>
  <c r="GL172"/>
  <c r="GH172"/>
  <c r="FR172"/>
  <c r="FT171"/>
  <c r="FX170"/>
  <c r="FQ160"/>
  <c r="FS168"/>
  <c r="FT168"/>
  <c r="GL167"/>
  <c r="GM167"/>
  <c r="GF165"/>
  <c r="GG165"/>
  <c r="GM164"/>
  <c r="GN164"/>
  <c r="FR163"/>
  <c r="FS163"/>
  <c r="GG162"/>
  <c r="GH162"/>
  <c r="GA160"/>
  <c r="FX160"/>
  <c r="GL155"/>
  <c r="GN155"/>
  <c r="GM155"/>
  <c r="FX169"/>
  <c r="FY169"/>
  <c r="FS164"/>
  <c r="FT164"/>
  <c r="GL163"/>
  <c r="GM163"/>
  <c r="GF161"/>
  <c r="GG161"/>
  <c r="GM160"/>
  <c r="GN160"/>
  <c r="FR159"/>
  <c r="FS159"/>
  <c r="GF157"/>
  <c r="GH157"/>
  <c r="GG157"/>
  <c r="GF171"/>
  <c r="FQ171"/>
  <c r="GF170"/>
  <c r="GA170"/>
  <c r="FY168"/>
  <c r="FQ168"/>
  <c r="FQ167"/>
  <c r="GE166"/>
  <c r="GH165"/>
  <c r="FZ165"/>
  <c r="GN159"/>
  <c r="GF125"/>
  <c r="GG125"/>
  <c r="GA124"/>
  <c r="FX124"/>
  <c r="GG118"/>
  <c r="GF118"/>
  <c r="GH118"/>
  <c r="GH158"/>
  <c r="FY157"/>
  <c r="GN156"/>
  <c r="FT156"/>
  <c r="GH154"/>
  <c r="GG153"/>
  <c r="FY153"/>
  <c r="GN152"/>
  <c r="FX152"/>
  <c r="FT152"/>
  <c r="GM151"/>
  <c r="FS151"/>
  <c r="GH150"/>
  <c r="GG149"/>
  <c r="FY149"/>
  <c r="GN148"/>
  <c r="FX148"/>
  <c r="FT148"/>
  <c r="GM147"/>
  <c r="FS147"/>
  <c r="GH146"/>
  <c r="GG145"/>
  <c r="FY145"/>
  <c r="GN144"/>
  <c r="FX144"/>
  <c r="FT144"/>
  <c r="GM143"/>
  <c r="FS143"/>
  <c r="GH142"/>
  <c r="GG141"/>
  <c r="FY141"/>
  <c r="GN140"/>
  <c r="FX140"/>
  <c r="FT140"/>
  <c r="GM139"/>
  <c r="FS139"/>
  <c r="GH138"/>
  <c r="GG137"/>
  <c r="FY137"/>
  <c r="GN136"/>
  <c r="FX136"/>
  <c r="FT136"/>
  <c r="GM135"/>
  <c r="FS135"/>
  <c r="GH134"/>
  <c r="GG133"/>
  <c r="FY133"/>
  <c r="GN132"/>
  <c r="FX132"/>
  <c r="FT132"/>
  <c r="GM131"/>
  <c r="FS131"/>
  <c r="GH130"/>
  <c r="GG129"/>
  <c r="FY129"/>
  <c r="GF128"/>
  <c r="GM124"/>
  <c r="GN124"/>
  <c r="FR123"/>
  <c r="FS123"/>
  <c r="FX121"/>
  <c r="GA121"/>
  <c r="FY121"/>
  <c r="GM120"/>
  <c r="GL120"/>
  <c r="GN120"/>
  <c r="FS116"/>
  <c r="FR116"/>
  <c r="FT116"/>
  <c r="GH153"/>
  <c r="FY152"/>
  <c r="GN151"/>
  <c r="FT151"/>
  <c r="GH149"/>
  <c r="FY148"/>
  <c r="GN147"/>
  <c r="FT147"/>
  <c r="GH145"/>
  <c r="FY144"/>
  <c r="GN143"/>
  <c r="FT143"/>
  <c r="GH141"/>
  <c r="FY140"/>
  <c r="GN139"/>
  <c r="FT139"/>
  <c r="GH137"/>
  <c r="FY136"/>
  <c r="GN135"/>
  <c r="FT135"/>
  <c r="GH133"/>
  <c r="FY132"/>
  <c r="GN131"/>
  <c r="FT131"/>
  <c r="GH129"/>
  <c r="FQ127"/>
  <c r="GL123"/>
  <c r="GM123"/>
  <c r="GG122"/>
  <c r="GF122"/>
  <c r="GH122"/>
  <c r="GG126"/>
  <c r="GH126"/>
  <c r="FX125"/>
  <c r="FY125"/>
  <c r="FS124"/>
  <c r="FT124"/>
  <c r="FS120"/>
  <c r="FR120"/>
  <c r="FT120"/>
  <c r="FX117"/>
  <c r="GA117"/>
  <c r="FY117"/>
  <c r="GM116"/>
  <c r="GL116"/>
  <c r="GN116"/>
  <c r="FT127"/>
  <c r="GE125"/>
  <c r="GO123"/>
  <c r="FT100"/>
  <c r="FR100"/>
  <c r="FR98"/>
  <c r="FT98"/>
  <c r="GN96"/>
  <c r="GM96"/>
  <c r="GL96"/>
  <c r="GG121"/>
  <c r="FX120"/>
  <c r="GM119"/>
  <c r="FS119"/>
  <c r="GG117"/>
  <c r="FX116"/>
  <c r="GM115"/>
  <c r="FS115"/>
  <c r="GH114"/>
  <c r="GG113"/>
  <c r="FY113"/>
  <c r="GN112"/>
  <c r="FX112"/>
  <c r="FT112"/>
  <c r="GM111"/>
  <c r="FS111"/>
  <c r="GH110"/>
  <c r="GG109"/>
  <c r="FY109"/>
  <c r="GN108"/>
  <c r="FX108"/>
  <c r="FT108"/>
  <c r="GM107"/>
  <c r="FS107"/>
  <c r="GH106"/>
  <c r="GG105"/>
  <c r="FY105"/>
  <c r="GN104"/>
  <c r="FX104"/>
  <c r="FT104"/>
  <c r="GH103"/>
  <c r="GE102"/>
  <c r="GH94"/>
  <c r="GG94"/>
  <c r="GF94"/>
  <c r="FY101"/>
  <c r="GA101"/>
  <c r="GF100"/>
  <c r="GH100"/>
  <c r="GH98"/>
  <c r="GF98"/>
  <c r="FY97"/>
  <c r="GA97"/>
  <c r="FT96"/>
  <c r="FS96"/>
  <c r="FR96"/>
  <c r="GF114"/>
  <c r="GA113"/>
  <c r="GL112"/>
  <c r="FR112"/>
  <c r="GF110"/>
  <c r="GA109"/>
  <c r="GL108"/>
  <c r="FR108"/>
  <c r="GF106"/>
  <c r="GA105"/>
  <c r="GL104"/>
  <c r="FR104"/>
  <c r="GM102"/>
  <c r="GN100"/>
  <c r="GL100"/>
  <c r="GA99"/>
  <c r="FY99"/>
  <c r="GL98"/>
  <c r="GN98"/>
  <c r="GF103"/>
  <c r="GA103"/>
  <c r="GO102"/>
  <c r="FY78"/>
  <c r="FX78"/>
  <c r="FT77"/>
  <c r="FS77"/>
  <c r="FT76"/>
  <c r="FS76"/>
  <c r="FR76"/>
  <c r="GH96"/>
  <c r="FY95"/>
  <c r="GN94"/>
  <c r="FT94"/>
  <c r="GA93"/>
  <c r="GL92"/>
  <c r="GH92"/>
  <c r="FR92"/>
  <c r="FY91"/>
  <c r="GN90"/>
  <c r="GF90"/>
  <c r="FT90"/>
  <c r="GA89"/>
  <c r="GL88"/>
  <c r="GH88"/>
  <c r="FR88"/>
  <c r="FY87"/>
  <c r="GN86"/>
  <c r="GF86"/>
  <c r="FT86"/>
  <c r="GA85"/>
  <c r="GL84"/>
  <c r="GH84"/>
  <c r="FR84"/>
  <c r="FY83"/>
  <c r="GN82"/>
  <c r="GF82"/>
  <c r="FT82"/>
  <c r="GA81"/>
  <c r="FS81"/>
  <c r="GN80"/>
  <c r="FT80"/>
  <c r="GN76"/>
  <c r="GM76"/>
  <c r="GL76"/>
  <c r="FX93"/>
  <c r="GM92"/>
  <c r="FS92"/>
  <c r="GG90"/>
  <c r="FX89"/>
  <c r="GM88"/>
  <c r="FS88"/>
  <c r="GG86"/>
  <c r="FX85"/>
  <c r="GM84"/>
  <c r="FS84"/>
  <c r="GG82"/>
  <c r="GG78"/>
  <c r="GF78"/>
  <c r="FX77"/>
  <c r="GA77"/>
  <c r="FQ80"/>
  <c r="GN77"/>
  <c r="GM77"/>
  <c r="GG75"/>
  <c r="GF74"/>
  <c r="FX74"/>
  <c r="GM73"/>
  <c r="GA73"/>
  <c r="FS73"/>
  <c r="GL72"/>
  <c r="FR72"/>
  <c r="GG71"/>
  <c r="GF70"/>
  <c r="FX70"/>
  <c r="GM69"/>
  <c r="GA69"/>
  <c r="FS69"/>
  <c r="GL68"/>
  <c r="FR68"/>
  <c r="GE65"/>
  <c r="FR66"/>
  <c r="FS66"/>
  <c r="FX64"/>
  <c r="GA64"/>
  <c r="FY64"/>
  <c r="GM63"/>
  <c r="GL63"/>
  <c r="GN63"/>
  <c r="GG74"/>
  <c r="FX73"/>
  <c r="GM72"/>
  <c r="FS72"/>
  <c r="GG70"/>
  <c r="GG65"/>
  <c r="GH65"/>
  <c r="GL66"/>
  <c r="GM66"/>
  <c r="FS63"/>
  <c r="FR63"/>
  <c r="FT63"/>
  <c r="GG51"/>
  <c r="GF51"/>
  <c r="GH51"/>
  <c r="GG64"/>
  <c r="FX63"/>
  <c r="GM62"/>
  <c r="FS62"/>
  <c r="GH61"/>
  <c r="GG60"/>
  <c r="FY60"/>
  <c r="GN59"/>
  <c r="FX59"/>
  <c r="FT59"/>
  <c r="GM58"/>
  <c r="FS58"/>
  <c r="GH57"/>
  <c r="GG56"/>
  <c r="FY56"/>
  <c r="FT55"/>
  <c r="FR55"/>
  <c r="GL53"/>
  <c r="GN53"/>
  <c r="GF61"/>
  <c r="GA60"/>
  <c r="GL59"/>
  <c r="FR59"/>
  <c r="GF57"/>
  <c r="GA56"/>
  <c r="FQ55"/>
  <c r="GF55"/>
  <c r="GH55"/>
  <c r="GA54"/>
  <c r="FY54"/>
  <c r="FR53"/>
  <c r="FT53"/>
  <c r="FS55"/>
  <c r="GF53"/>
  <c r="GA52"/>
  <c r="GL51"/>
  <c r="FR51"/>
  <c r="FY50"/>
  <c r="GN49"/>
  <c r="GF49"/>
  <c r="FT49"/>
  <c r="GA48"/>
  <c r="GL47"/>
  <c r="GH47"/>
  <c r="FR47"/>
  <c r="FY46"/>
  <c r="GN45"/>
  <c r="GM44"/>
  <c r="GF42"/>
  <c r="GG42"/>
  <c r="GA41"/>
  <c r="FX41"/>
  <c r="GA50"/>
  <c r="GL49"/>
  <c r="FR49"/>
  <c r="GF47"/>
  <c r="GA46"/>
  <c r="GO44"/>
  <c r="GH42"/>
  <c r="GG43"/>
  <c r="GH43"/>
  <c r="FX42"/>
  <c r="FY42"/>
  <c r="GN41"/>
  <c r="FT41"/>
  <c r="GM40"/>
  <c r="FS40"/>
  <c r="GH39"/>
  <c r="GG38"/>
  <c r="FY38"/>
  <c r="GN37"/>
  <c r="FX37"/>
  <c r="FT37"/>
  <c r="GM36"/>
  <c r="FS36"/>
  <c r="GH35"/>
  <c r="GN40"/>
  <c r="FT40"/>
  <c r="GH38"/>
  <c r="GN36"/>
  <c r="FX31"/>
  <c r="GA31"/>
  <c r="GH32"/>
  <c r="GG32"/>
  <c r="GF32"/>
  <c r="GO33"/>
  <c r="GH25"/>
  <c r="GF25"/>
  <c r="GN23"/>
  <c r="GM23"/>
  <c r="GL23"/>
  <c r="GL25"/>
  <c r="GN25"/>
  <c r="GL30"/>
  <c r="FR30"/>
  <c r="GF28"/>
  <c r="GA27"/>
  <c r="GL26"/>
  <c r="GG25"/>
  <c r="FT25"/>
  <c r="GF31"/>
  <c r="GM30"/>
  <c r="FS30"/>
  <c r="GG28"/>
  <c r="FX27"/>
  <c r="GM26"/>
  <c r="FY24"/>
  <c r="GA24"/>
  <c r="GO23"/>
  <c r="GA19"/>
  <c r="GH23"/>
  <c r="FY22"/>
  <c r="GN21"/>
  <c r="FY20"/>
  <c r="GM18"/>
  <c r="FS23"/>
  <c r="GG20"/>
  <c r="GF20"/>
  <c r="GN19"/>
  <c r="GM19"/>
  <c r="FT19"/>
  <c r="FS19"/>
  <c r="GN18"/>
  <c r="FR18"/>
  <c r="GH14"/>
  <c r="GG13"/>
  <c r="FY13"/>
  <c r="GN12"/>
  <c r="FX12"/>
  <c r="FS11"/>
  <c r="GH13"/>
  <c r="GN11"/>
  <c r="DH6"/>
  <c r="DV3"/>
  <c r="CP8"/>
  <c r="CO7"/>
  <c r="CO6"/>
  <c r="CK7"/>
  <c r="CK8"/>
  <c r="G18" i="4" s="1"/>
  <c r="CK6" i="9"/>
  <c r="CG6"/>
  <c r="BR8"/>
  <c r="BN8"/>
  <c r="G17" i="4" s="1"/>
  <c r="BR7" i="9"/>
  <c r="BR6"/>
  <c r="BN7"/>
  <c r="BN6"/>
  <c r="BJ6"/>
  <c r="M214" i="20" l="1"/>
  <c r="I215" s="1"/>
  <c r="DQ6" i="9"/>
  <c r="DL6"/>
  <c r="DQ7"/>
  <c r="DY8" s="1"/>
  <c r="G21" i="4"/>
  <c r="DV192" i="9"/>
  <c r="DV167"/>
  <c r="DV135"/>
  <c r="DV113"/>
  <c r="DV74"/>
  <c r="DV177"/>
  <c r="DV166"/>
  <c r="DV150"/>
  <c r="DV115"/>
  <c r="DV99"/>
  <c r="DV180"/>
  <c r="DV96"/>
  <c r="DV84"/>
  <c r="DV73"/>
  <c r="DV154"/>
  <c r="DV119"/>
  <c r="DV103"/>
  <c r="DV79"/>
  <c r="DV184"/>
  <c r="DV159"/>
  <c r="DV121"/>
  <c r="DV201"/>
  <c r="DV185"/>
  <c r="DV142"/>
  <c r="DV126"/>
  <c r="DV195"/>
  <c r="DV156"/>
  <c r="DV93"/>
  <c r="DV68"/>
  <c r="DV189"/>
  <c r="DV94"/>
  <c r="DV41"/>
  <c r="DV9"/>
  <c r="DV58"/>
  <c r="DV43"/>
  <c r="DV61"/>
  <c r="DV29"/>
  <c r="DV47"/>
  <c r="DV30"/>
  <c r="DV65"/>
  <c r="DV33"/>
  <c r="DV82"/>
  <c r="DV67"/>
  <c r="DV34"/>
  <c r="DV19"/>
  <c r="DV85"/>
  <c r="DV53"/>
  <c r="DV21"/>
  <c r="DV54"/>
  <c r="DV22"/>
  <c r="DV176"/>
  <c r="DV149"/>
  <c r="DV148"/>
  <c r="DV124"/>
  <c r="DV92"/>
  <c r="DV72"/>
  <c r="DV198"/>
  <c r="DV151"/>
  <c r="DV203"/>
  <c r="DV164"/>
  <c r="DV139"/>
  <c r="DV101"/>
  <c r="DV197"/>
  <c r="DV186"/>
  <c r="DV165"/>
  <c r="DV207"/>
  <c r="DV168"/>
  <c r="DV141"/>
  <c r="DV140"/>
  <c r="DV100"/>
  <c r="DV169"/>
  <c r="DV143"/>
  <c r="DV127"/>
  <c r="DV122"/>
  <c r="DV106"/>
  <c r="DV90"/>
  <c r="DV204"/>
  <c r="DV179"/>
  <c r="DV129"/>
  <c r="DV128"/>
  <c r="DV104"/>
  <c r="DV78"/>
  <c r="DV194"/>
  <c r="DV173"/>
  <c r="DV146"/>
  <c r="DV130"/>
  <c r="DV110"/>
  <c r="DV95"/>
  <c r="DV52"/>
  <c r="DV20"/>
  <c r="DV59"/>
  <c r="DV10"/>
  <c r="DV40"/>
  <c r="DV31"/>
  <c r="DV14"/>
  <c r="DV76"/>
  <c r="DV44"/>
  <c r="DV12"/>
  <c r="DV83"/>
  <c r="DV35"/>
  <c r="DV64"/>
  <c r="DV32"/>
  <c r="DV86"/>
  <c r="DV70"/>
  <c r="DV55"/>
  <c r="DV23"/>
  <c r="DV199"/>
  <c r="DV160"/>
  <c r="DV133"/>
  <c r="DV132"/>
  <c r="DV97"/>
  <c r="DV182"/>
  <c r="DV161"/>
  <c r="DV134"/>
  <c r="DV187"/>
  <c r="DV153"/>
  <c r="DV152"/>
  <c r="DV112"/>
  <c r="DV77"/>
  <c r="DV191"/>
  <c r="DV105"/>
  <c r="DV206"/>
  <c r="DV190"/>
  <c r="DV123"/>
  <c r="DV107"/>
  <c r="DV91"/>
  <c r="DV188"/>
  <c r="DV163"/>
  <c r="DV145"/>
  <c r="DV144"/>
  <c r="DV109"/>
  <c r="DV178"/>
  <c r="DV157"/>
  <c r="DV147"/>
  <c r="DV131"/>
  <c r="DV111"/>
  <c r="DV57"/>
  <c r="DV25"/>
  <c r="DV26"/>
  <c r="DV11"/>
  <c r="DV45"/>
  <c r="DV13"/>
  <c r="DV62"/>
  <c r="DV15"/>
  <c r="DV81"/>
  <c r="DV49"/>
  <c r="DV17"/>
  <c r="DV50"/>
  <c r="DV69"/>
  <c r="DV37"/>
  <c r="DV87"/>
  <c r="DV71"/>
  <c r="DV38"/>
  <c r="DV183"/>
  <c r="DV108"/>
  <c r="DV89"/>
  <c r="DV193"/>
  <c r="DV155"/>
  <c r="DV114"/>
  <c r="DV98"/>
  <c r="DV196"/>
  <c r="DV171"/>
  <c r="DV137"/>
  <c r="DV136"/>
  <c r="DV117"/>
  <c r="DV202"/>
  <c r="DV181"/>
  <c r="DV170"/>
  <c r="DV138"/>
  <c r="DV118"/>
  <c r="DV102"/>
  <c r="DV75"/>
  <c r="DV200"/>
  <c r="DV175"/>
  <c r="DV116"/>
  <c r="DV174"/>
  <c r="DV158"/>
  <c r="DV172"/>
  <c r="DV125"/>
  <c r="DV120"/>
  <c r="DV88"/>
  <c r="DV205"/>
  <c r="DV162"/>
  <c r="DV36"/>
  <c r="DV42"/>
  <c r="DV27"/>
  <c r="DV56"/>
  <c r="DV24"/>
  <c r="DV63"/>
  <c r="DV46"/>
  <c r="DV60"/>
  <c r="DV28"/>
  <c r="DV66"/>
  <c r="DV51"/>
  <c r="DV18"/>
  <c r="DV80"/>
  <c r="DV48"/>
  <c r="DV16"/>
  <c r="DV39"/>
  <c r="DP7"/>
  <c r="DW8"/>
  <c r="EA8" s="1"/>
  <c r="DW11"/>
  <c r="DW12"/>
  <c r="DW13"/>
  <c r="CV7"/>
  <c r="CM7"/>
  <c r="CU6"/>
  <c r="CJ6"/>
  <c r="CV8"/>
  <c r="CM8"/>
  <c r="CR8"/>
  <c r="CZ8"/>
  <c r="CS8"/>
  <c r="CQ8"/>
  <c r="CV6"/>
  <c r="CM6"/>
  <c r="CV105"/>
  <c r="CV198"/>
  <c r="CV189"/>
  <c r="CV174"/>
  <c r="CV131"/>
  <c r="CV195"/>
  <c r="CV192"/>
  <c r="CV163"/>
  <c r="CV160"/>
  <c r="CV137"/>
  <c r="CV158"/>
  <c r="CV147"/>
  <c r="CV128"/>
  <c r="CV150"/>
  <c r="CV194"/>
  <c r="CV185"/>
  <c r="CV162"/>
  <c r="CV199"/>
  <c r="CV196"/>
  <c r="CV167"/>
  <c r="CV164"/>
  <c r="CV136"/>
  <c r="CV111"/>
  <c r="CV126"/>
  <c r="CV110"/>
  <c r="CV86"/>
  <c r="CV54"/>
  <c r="CV22"/>
  <c r="CV71"/>
  <c r="CV25"/>
  <c r="CV23"/>
  <c r="CV89"/>
  <c r="CV79"/>
  <c r="CV40"/>
  <c r="CV24"/>
  <c r="CV130"/>
  <c r="CV114"/>
  <c r="CV90"/>
  <c r="CV58"/>
  <c r="CV26"/>
  <c r="CV207"/>
  <c r="CV146"/>
  <c r="CV77"/>
  <c r="CV29"/>
  <c r="CV9"/>
  <c r="CV109"/>
  <c r="CV100"/>
  <c r="CV92"/>
  <c r="CV84"/>
  <c r="CV76"/>
  <c r="CV69"/>
  <c r="CV60"/>
  <c r="CV52"/>
  <c r="CV43"/>
  <c r="CV35"/>
  <c r="CV27"/>
  <c r="CV156"/>
  <c r="CV205"/>
  <c r="CV190"/>
  <c r="CV181"/>
  <c r="CV165"/>
  <c r="CV132"/>
  <c r="CV187"/>
  <c r="CV184"/>
  <c r="CV143"/>
  <c r="CV148"/>
  <c r="CV186"/>
  <c r="CV177"/>
  <c r="CV149"/>
  <c r="CV140"/>
  <c r="CV121"/>
  <c r="CV191"/>
  <c r="CV188"/>
  <c r="CV159"/>
  <c r="CV155"/>
  <c r="CV113"/>
  <c r="CV78"/>
  <c r="CV46"/>
  <c r="CV14"/>
  <c r="CV10"/>
  <c r="CV81"/>
  <c r="CV33"/>
  <c r="CV31"/>
  <c r="CV80"/>
  <c r="CV72"/>
  <c r="CV56"/>
  <c r="CV11"/>
  <c r="CV82"/>
  <c r="CV50"/>
  <c r="CV18"/>
  <c r="CV123"/>
  <c r="CV117"/>
  <c r="CV101"/>
  <c r="CV21"/>
  <c r="CV19"/>
  <c r="CV124"/>
  <c r="CV85"/>
  <c r="CV44"/>
  <c r="CV36"/>
  <c r="CV28"/>
  <c r="CV20"/>
  <c r="CV141"/>
  <c r="CV206"/>
  <c r="CV182"/>
  <c r="CV166"/>
  <c r="CV103"/>
  <c r="CV179"/>
  <c r="CV176"/>
  <c r="CV153"/>
  <c r="CV154"/>
  <c r="CV133"/>
  <c r="CV120"/>
  <c r="CV201"/>
  <c r="CV178"/>
  <c r="CV169"/>
  <c r="CV183"/>
  <c r="CV180"/>
  <c r="CV145"/>
  <c r="CV129"/>
  <c r="CV151"/>
  <c r="CV134"/>
  <c r="CV118"/>
  <c r="CV102"/>
  <c r="CV70"/>
  <c r="CV38"/>
  <c r="CV87"/>
  <c r="CV57"/>
  <c r="CV55"/>
  <c r="CV41"/>
  <c r="CV39"/>
  <c r="CV95"/>
  <c r="CV73"/>
  <c r="CV48"/>
  <c r="CV32"/>
  <c r="CV12"/>
  <c r="CV138"/>
  <c r="CV122"/>
  <c r="CV106"/>
  <c r="CV74"/>
  <c r="CV42"/>
  <c r="CV93"/>
  <c r="CV91"/>
  <c r="CV61"/>
  <c r="CV45"/>
  <c r="CV115"/>
  <c r="CV107"/>
  <c r="CV104"/>
  <c r="CV197"/>
  <c r="CV173"/>
  <c r="CV203"/>
  <c r="CV200"/>
  <c r="CV171"/>
  <c r="CV168"/>
  <c r="CV127"/>
  <c r="CV157"/>
  <c r="CV144"/>
  <c r="CV139"/>
  <c r="CV119"/>
  <c r="CV202"/>
  <c r="CV193"/>
  <c r="CV170"/>
  <c r="CV161"/>
  <c r="CV204"/>
  <c r="CV175"/>
  <c r="CV172"/>
  <c r="CV152"/>
  <c r="CV112"/>
  <c r="CV135"/>
  <c r="CV94"/>
  <c r="CV62"/>
  <c r="CV30"/>
  <c r="CV13"/>
  <c r="CV97"/>
  <c r="CV65"/>
  <c r="CV63"/>
  <c r="CV47"/>
  <c r="CV17"/>
  <c r="CV15"/>
  <c r="CV96"/>
  <c r="CV88"/>
  <c r="CV64"/>
  <c r="CV49"/>
  <c r="CV16"/>
  <c r="CV98"/>
  <c r="CV66"/>
  <c r="CV34"/>
  <c r="CV142"/>
  <c r="CV67"/>
  <c r="CV53"/>
  <c r="CV51"/>
  <c r="CV37"/>
  <c r="CV125"/>
  <c r="CV116"/>
  <c r="CV108"/>
  <c r="CV99"/>
  <c r="CV83"/>
  <c r="CV75"/>
  <c r="CV68"/>
  <c r="CV59"/>
  <c r="CQ7"/>
  <c r="CW36"/>
  <c r="CW34"/>
  <c r="CW37"/>
  <c r="CW33"/>
  <c r="CW17"/>
  <c r="CW16"/>
  <c r="CW14"/>
  <c r="CW9"/>
  <c r="CW15"/>
  <c r="CW12"/>
  <c r="CQ6"/>
  <c r="CW31"/>
  <c r="CW30"/>
  <c r="CW27"/>
  <c r="CW20"/>
  <c r="CW13"/>
  <c r="CW10"/>
  <c r="CW26"/>
  <c r="CW22"/>
  <c r="CW19"/>
  <c r="CW35"/>
  <c r="CW29"/>
  <c r="CW23"/>
  <c r="CW21"/>
  <c r="CW32"/>
  <c r="CW28"/>
  <c r="CW25"/>
  <c r="CW24"/>
  <c r="CW18"/>
  <c r="CW11"/>
  <c r="BT7"/>
  <c r="BZ34"/>
  <c r="BZ30"/>
  <c r="BZ26"/>
  <c r="BZ22"/>
  <c r="BZ18"/>
  <c r="BZ14"/>
  <c r="BZ36"/>
  <c r="BZ32"/>
  <c r="BZ28"/>
  <c r="BZ24"/>
  <c r="BZ20"/>
  <c r="BZ16"/>
  <c r="BZ37"/>
  <c r="BZ35"/>
  <c r="BZ33"/>
  <c r="BZ31"/>
  <c r="BZ29"/>
  <c r="BZ27"/>
  <c r="BZ25"/>
  <c r="BZ23"/>
  <c r="BZ21"/>
  <c r="BZ19"/>
  <c r="BZ17"/>
  <c r="BZ15"/>
  <c r="BZ13"/>
  <c r="BZ11"/>
  <c r="BT6"/>
  <c r="BZ10"/>
  <c r="BZ12"/>
  <c r="BZ9"/>
  <c r="BX6"/>
  <c r="BM6"/>
  <c r="BY7"/>
  <c r="BP7"/>
  <c r="BT8"/>
  <c r="BP6"/>
  <c r="BY6"/>
  <c r="BY195"/>
  <c r="BY181"/>
  <c r="BY166"/>
  <c r="BY200"/>
  <c r="BY187"/>
  <c r="BY173"/>
  <c r="BY134"/>
  <c r="BY110"/>
  <c r="BY87"/>
  <c r="BY70"/>
  <c r="BY38"/>
  <c r="BY156"/>
  <c r="BY146"/>
  <c r="BY137"/>
  <c r="BY98"/>
  <c r="BY90"/>
  <c r="BY33"/>
  <c r="BY31"/>
  <c r="BY155"/>
  <c r="BY144"/>
  <c r="BY88"/>
  <c r="BY73"/>
  <c r="BY49"/>
  <c r="BY24"/>
  <c r="BY201"/>
  <c r="BY185"/>
  <c r="BY169"/>
  <c r="BY126"/>
  <c r="BY102"/>
  <c r="BY66"/>
  <c r="BY34"/>
  <c r="BY13"/>
  <c r="BY10"/>
  <c r="BY19"/>
  <c r="BY196"/>
  <c r="BY164"/>
  <c r="BY118"/>
  <c r="BY105"/>
  <c r="BY61"/>
  <c r="BY59"/>
  <c r="BY29"/>
  <c r="BY128"/>
  <c r="BY117"/>
  <c r="BY83"/>
  <c r="BY52"/>
  <c r="BY44"/>
  <c r="BY12"/>
  <c r="BY203"/>
  <c r="BY197"/>
  <c r="BY182"/>
  <c r="BY175"/>
  <c r="BY189"/>
  <c r="BY174"/>
  <c r="BY167"/>
  <c r="BY161"/>
  <c r="BY62"/>
  <c r="BY30"/>
  <c r="BY162"/>
  <c r="BY131"/>
  <c r="BY15"/>
  <c r="BY194"/>
  <c r="BY186"/>
  <c r="BY178"/>
  <c r="BY170"/>
  <c r="BY122"/>
  <c r="BY114"/>
  <c r="BY57"/>
  <c r="BY55"/>
  <c r="BY41"/>
  <c r="BY39"/>
  <c r="BY145"/>
  <c r="BY135"/>
  <c r="BY120"/>
  <c r="BY89"/>
  <c r="BY80"/>
  <c r="BY40"/>
  <c r="BY32"/>
  <c r="BY25"/>
  <c r="BY205"/>
  <c r="BY139"/>
  <c r="BY115"/>
  <c r="BY91"/>
  <c r="BY58"/>
  <c r="BY26"/>
  <c r="BY123"/>
  <c r="BY99"/>
  <c r="BY20"/>
  <c r="BY204"/>
  <c r="BY172"/>
  <c r="BY130"/>
  <c r="BY94"/>
  <c r="BY85"/>
  <c r="BY69"/>
  <c r="BY67"/>
  <c r="BY37"/>
  <c r="BY35"/>
  <c r="BY14"/>
  <c r="BY92"/>
  <c r="BY84"/>
  <c r="BY60"/>
  <c r="BY27"/>
  <c r="BY198"/>
  <c r="BY191"/>
  <c r="BY176"/>
  <c r="BY202"/>
  <c r="BY190"/>
  <c r="BY183"/>
  <c r="BY168"/>
  <c r="BY133"/>
  <c r="BY109"/>
  <c r="BY54"/>
  <c r="BY22"/>
  <c r="BY163"/>
  <c r="BY151"/>
  <c r="BY132"/>
  <c r="BY107"/>
  <c r="BY16"/>
  <c r="BY138"/>
  <c r="BY97"/>
  <c r="BY81"/>
  <c r="BY79"/>
  <c r="BY65"/>
  <c r="BY63"/>
  <c r="BY47"/>
  <c r="BY18"/>
  <c r="BY149"/>
  <c r="BY136"/>
  <c r="BY111"/>
  <c r="BY9"/>
  <c r="BY193"/>
  <c r="BY177"/>
  <c r="BY125"/>
  <c r="BY101"/>
  <c r="BY82"/>
  <c r="BY50"/>
  <c r="BY158"/>
  <c r="BY124"/>
  <c r="BY100"/>
  <c r="BY180"/>
  <c r="BY160"/>
  <c r="BY106"/>
  <c r="BY77"/>
  <c r="BY75"/>
  <c r="BY45"/>
  <c r="BY43"/>
  <c r="BY147"/>
  <c r="BY140"/>
  <c r="BY103"/>
  <c r="BY93"/>
  <c r="BY68"/>
  <c r="BY28"/>
  <c r="BY207"/>
  <c r="BY192"/>
  <c r="BY179"/>
  <c r="BY165"/>
  <c r="BY199"/>
  <c r="BY184"/>
  <c r="BY171"/>
  <c r="BY143"/>
  <c r="BY119"/>
  <c r="BY95"/>
  <c r="BY78"/>
  <c r="BY46"/>
  <c r="BY152"/>
  <c r="BY108"/>
  <c r="BY17"/>
  <c r="BY206"/>
  <c r="BY121"/>
  <c r="BY113"/>
  <c r="BY71"/>
  <c r="BY150"/>
  <c r="BY112"/>
  <c r="BY96"/>
  <c r="BY72"/>
  <c r="BY64"/>
  <c r="BY56"/>
  <c r="BY48"/>
  <c r="BY23"/>
  <c r="BY157"/>
  <c r="BY74"/>
  <c r="BY42"/>
  <c r="BY21"/>
  <c r="BY159"/>
  <c r="BY188"/>
  <c r="BY154"/>
  <c r="BY148"/>
  <c r="BY142"/>
  <c r="BY129"/>
  <c r="BY86"/>
  <c r="BY53"/>
  <c r="BY51"/>
  <c r="BY11"/>
  <c r="BY153"/>
  <c r="BY141"/>
  <c r="BY127"/>
  <c r="BY116"/>
  <c r="BY104"/>
  <c r="BY76"/>
  <c r="BY36"/>
  <c r="BP8"/>
  <c r="I17" i="4" s="1"/>
  <c r="GM8" i="9"/>
  <c r="GN8"/>
  <c r="GO8"/>
  <c r="CZ7"/>
  <c r="CC7"/>
  <c r="BV7"/>
  <c r="DY12" l="1"/>
  <c r="EA12" s="1"/>
  <c r="DY11"/>
  <c r="EA11" s="1"/>
  <c r="DY13"/>
  <c r="EA13" s="1"/>
  <c r="DT6"/>
  <c r="GZ6" s="1"/>
  <c r="CN8"/>
  <c r="I18" i="4"/>
  <c r="J18" s="1"/>
  <c r="CT8" i="9"/>
  <c r="O18" i="4" s="1"/>
  <c r="O21" s="1"/>
  <c r="CR6" i="9"/>
  <c r="CY24" s="1"/>
  <c r="DA24" s="1"/>
  <c r="CR7"/>
  <c r="CY9" s="1"/>
  <c r="CN6"/>
  <c r="CY16"/>
  <c r="DA16" s="1"/>
  <c r="CY12"/>
  <c r="DA12" s="1"/>
  <c r="CY36"/>
  <c r="DA36" s="1"/>
  <c r="BQ6"/>
  <c r="BU6"/>
  <c r="CB12" s="1"/>
  <c r="CA8"/>
  <c r="CA12"/>
  <c r="CA10"/>
  <c r="CA9"/>
  <c r="HB68"/>
  <c r="HB82"/>
  <c r="HB67"/>
  <c r="HB143"/>
  <c r="HB74"/>
  <c r="CZ6"/>
  <c r="BU7"/>
  <c r="CB17" s="1"/>
  <c r="CD17" s="1"/>
  <c r="CC6"/>
  <c r="EB12" l="1"/>
  <c r="EQ12" s="1"/>
  <c r="M64" i="11"/>
  <c r="I67" i="15"/>
  <c r="M78" i="11"/>
  <c r="I81" i="15"/>
  <c r="M139" i="11"/>
  <c r="I142" i="15"/>
  <c r="M63" i="11"/>
  <c r="I66" i="15"/>
  <c r="M70" i="11"/>
  <c r="I73" i="15"/>
  <c r="Q18" i="4"/>
  <c r="CB10" i="9"/>
  <c r="CD10" s="1"/>
  <c r="EB13"/>
  <c r="EQ13" s="1"/>
  <c r="EB11"/>
  <c r="EQ11" s="1"/>
  <c r="CY28"/>
  <c r="DA28" s="1"/>
  <c r="CB9"/>
  <c r="CD9" s="1"/>
  <c r="CE9" s="1"/>
  <c r="EO9" s="1"/>
  <c r="CY32"/>
  <c r="DA32" s="1"/>
  <c r="CT6"/>
  <c r="CY35"/>
  <c r="DA35" s="1"/>
  <c r="CY26"/>
  <c r="DA26" s="1"/>
  <c r="DB26" s="1"/>
  <c r="EP26" s="1"/>
  <c r="CY21"/>
  <c r="DA21" s="1"/>
  <c r="CY29"/>
  <c r="DA29" s="1"/>
  <c r="DB29" s="1"/>
  <c r="EP29" s="1"/>
  <c r="CY23"/>
  <c r="DA23" s="1"/>
  <c r="DB23" s="1"/>
  <c r="EP23" s="1"/>
  <c r="CY11"/>
  <c r="DA11" s="1"/>
  <c r="DB11" s="1"/>
  <c r="EP11" s="1"/>
  <c r="CY31"/>
  <c r="DA31" s="1"/>
  <c r="DB31" s="1"/>
  <c r="EP31" s="1"/>
  <c r="CY30"/>
  <c r="DA30" s="1"/>
  <c r="DB30" s="1"/>
  <c r="EP30" s="1"/>
  <c r="CY27"/>
  <c r="DA27" s="1"/>
  <c r="DB27" s="1"/>
  <c r="EP27" s="1"/>
  <c r="CY25"/>
  <c r="DA25" s="1"/>
  <c r="DB25" s="1"/>
  <c r="EP25" s="1"/>
  <c r="CY18"/>
  <c r="DA18" s="1"/>
  <c r="DB18" s="1"/>
  <c r="EP18" s="1"/>
  <c r="CY13"/>
  <c r="DA13" s="1"/>
  <c r="CY10"/>
  <c r="DA10" s="1"/>
  <c r="DB10" s="1"/>
  <c r="EP10" s="1"/>
  <c r="CY22"/>
  <c r="DA22" s="1"/>
  <c r="DB22" s="1"/>
  <c r="EP22" s="1"/>
  <c r="CY19"/>
  <c r="DA19" s="1"/>
  <c r="DB19" s="1"/>
  <c r="EP19" s="1"/>
  <c r="DB12"/>
  <c r="EP12" s="1"/>
  <c r="DB16"/>
  <c r="EP16" s="1"/>
  <c r="CY17"/>
  <c r="DA17" s="1"/>
  <c r="DB17" s="1"/>
  <c r="EP17" s="1"/>
  <c r="CY14"/>
  <c r="DA14" s="1"/>
  <c r="DB14" s="1"/>
  <c r="EP14" s="1"/>
  <c r="DA9"/>
  <c r="DB9" s="1"/>
  <c r="EP9" s="1"/>
  <c r="CY34"/>
  <c r="DA34" s="1"/>
  <c r="DB34" s="1"/>
  <c r="EP34" s="1"/>
  <c r="CY15"/>
  <c r="DA15" s="1"/>
  <c r="DB15" s="1"/>
  <c r="EP15" s="1"/>
  <c r="CY37"/>
  <c r="DA37" s="1"/>
  <c r="DB37" s="1"/>
  <c r="EP37" s="1"/>
  <c r="CY33"/>
  <c r="DA33" s="1"/>
  <c r="DB33" s="1"/>
  <c r="EP33" s="1"/>
  <c r="CY20"/>
  <c r="DA20" s="1"/>
  <c r="DB20" s="1"/>
  <c r="EP20" s="1"/>
  <c r="HB70"/>
  <c r="HB69"/>
  <c r="CB33"/>
  <c r="CD33" s="1"/>
  <c r="CB32"/>
  <c r="CD32" s="1"/>
  <c r="CB18"/>
  <c r="CD18" s="1"/>
  <c r="CB13"/>
  <c r="CD13" s="1"/>
  <c r="CB22"/>
  <c r="CD22" s="1"/>
  <c r="CB34"/>
  <c r="CD34" s="1"/>
  <c r="CB28"/>
  <c r="CD28" s="1"/>
  <c r="CB25"/>
  <c r="CD25" s="1"/>
  <c r="CB30"/>
  <c r="CD30" s="1"/>
  <c r="CB16"/>
  <c r="CD16" s="1"/>
  <c r="CB24"/>
  <c r="CD24" s="1"/>
  <c r="CB35"/>
  <c r="CD35" s="1"/>
  <c r="CB37"/>
  <c r="CD37" s="1"/>
  <c r="CB19"/>
  <c r="CD19" s="1"/>
  <c r="CB21"/>
  <c r="CD21" s="1"/>
  <c r="CB29"/>
  <c r="CD29" s="1"/>
  <c r="CB27"/>
  <c r="CD27" s="1"/>
  <c r="CB26"/>
  <c r="CD26" s="1"/>
  <c r="CE26" s="1"/>
  <c r="EO26" s="1"/>
  <c r="BW6"/>
  <c r="CE17" s="1"/>
  <c r="EO17" s="1"/>
  <c r="CB20"/>
  <c r="CD20" s="1"/>
  <c r="CB31"/>
  <c r="CD31" s="1"/>
  <c r="CE31" s="1"/>
  <c r="EO31" s="1"/>
  <c r="CB23"/>
  <c r="CD23" s="1"/>
  <c r="CE10"/>
  <c r="EO10" s="1"/>
  <c r="CB14"/>
  <c r="CD14" s="1"/>
  <c r="CB15"/>
  <c r="CD15" s="1"/>
  <c r="CE15" s="1"/>
  <c r="EO15" s="1"/>
  <c r="CB11"/>
  <c r="CD12"/>
  <c r="CE12" s="1"/>
  <c r="EO12" s="1"/>
  <c r="CB36"/>
  <c r="CD36" s="1"/>
  <c r="CE36" s="1"/>
  <c r="EO36" s="1"/>
  <c r="HB86"/>
  <c r="HB62"/>
  <c r="HB90"/>
  <c r="HB103"/>
  <c r="HB104"/>
  <c r="HB61"/>
  <c r="HB77"/>
  <c r="HB93"/>
  <c r="HB94"/>
  <c r="HB46"/>
  <c r="HB207"/>
  <c r="HB48"/>
  <c r="HB75"/>
  <c r="HB79"/>
  <c r="HB97"/>
  <c r="HB87"/>
  <c r="HB98"/>
  <c r="HB51"/>
  <c r="HB50"/>
  <c r="HB100"/>
  <c r="HB52"/>
  <c r="HB60"/>
  <c r="HB106"/>
  <c r="HB99"/>
  <c r="HB42"/>
  <c r="HB65"/>
  <c r="HB54"/>
  <c r="HB71"/>
  <c r="HB73"/>
  <c r="HB96"/>
  <c r="HB89"/>
  <c r="HB64"/>
  <c r="HB45"/>
  <c r="HB84"/>
  <c r="HB49"/>
  <c r="HB105"/>
  <c r="HB83"/>
  <c r="HB80"/>
  <c r="HB85"/>
  <c r="HB56"/>
  <c r="HB53"/>
  <c r="HB66"/>
  <c r="HB58"/>
  <c r="HB81"/>
  <c r="HB102"/>
  <c r="HB59"/>
  <c r="HB47"/>
  <c r="HB92"/>
  <c r="HB131"/>
  <c r="HB72"/>
  <c r="HB134"/>
  <c r="HB205"/>
  <c r="HB117"/>
  <c r="HB109"/>
  <c r="HB140"/>
  <c r="HB160"/>
  <c r="HB127"/>
  <c r="HB112"/>
  <c r="HB113"/>
  <c r="HB159"/>
  <c r="HB181"/>
  <c r="HB145"/>
  <c r="HB175"/>
  <c r="HB191"/>
  <c r="HB115"/>
  <c r="HB136"/>
  <c r="HB152"/>
  <c r="HB173"/>
  <c r="HB206"/>
  <c r="HB88"/>
  <c r="HB147"/>
  <c r="HB201"/>
  <c r="HB130"/>
  <c r="HB179"/>
  <c r="HB193"/>
  <c r="HB107"/>
  <c r="HB186"/>
  <c r="HB114"/>
  <c r="HB118"/>
  <c r="HB128"/>
  <c r="HB154"/>
  <c r="HB185"/>
  <c r="HB120"/>
  <c r="HB190"/>
  <c r="HB132"/>
  <c r="HB148"/>
  <c r="HB178"/>
  <c r="HB172"/>
  <c r="HB180"/>
  <c r="HB164"/>
  <c r="HB198"/>
  <c r="HB199"/>
  <c r="HB174"/>
  <c r="HB135"/>
  <c r="HB155"/>
  <c r="HB151"/>
  <c r="HB167"/>
  <c r="HB203"/>
  <c r="HB125"/>
  <c r="HB168"/>
  <c r="HB166"/>
  <c r="HB141"/>
  <c r="HB196"/>
  <c r="HB116"/>
  <c r="HB165"/>
  <c r="HB129"/>
  <c r="HB162"/>
  <c r="HB183"/>
  <c r="HB197"/>
  <c r="HB156"/>
  <c r="HB188"/>
  <c r="HB119"/>
  <c r="HB137"/>
  <c r="HB153"/>
  <c r="HB170"/>
  <c r="HB126"/>
  <c r="HB150"/>
  <c r="HB169"/>
  <c r="HB146"/>
  <c r="HB187"/>
  <c r="HB111"/>
  <c r="HB163"/>
  <c r="HB202"/>
  <c r="HB121"/>
  <c r="HB138"/>
  <c r="HB177"/>
  <c r="HB204"/>
  <c r="HB158"/>
  <c r="HB157"/>
  <c r="HB189"/>
  <c r="HB139"/>
  <c r="HB123"/>
  <c r="HB133"/>
  <c r="HB149"/>
  <c r="HB176"/>
  <c r="HB184"/>
  <c r="HB192"/>
  <c r="HB182"/>
  <c r="HB142"/>
  <c r="HB124"/>
  <c r="BE6"/>
  <c r="AU7"/>
  <c r="AM8"/>
  <c r="AM6"/>
  <c r="AR3"/>
  <c r="AL3"/>
  <c r="AA2" i="15" s="1"/>
  <c r="P1" i="8"/>
  <c r="FM5" i="9" s="1"/>
  <c r="K1" i="8"/>
  <c r="FJ5" i="9" s="1"/>
  <c r="AD8"/>
  <c r="AB8"/>
  <c r="AD6"/>
  <c r="AB6"/>
  <c r="AC6" s="1"/>
  <c r="P8"/>
  <c r="N8"/>
  <c r="N6"/>
  <c r="O6" s="1"/>
  <c r="P6"/>
  <c r="BM203" i="11"/>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M103"/>
  <c r="BM104"/>
  <c r="BM105"/>
  <c r="BM106"/>
  <c r="BM107"/>
  <c r="BM108"/>
  <c r="BM109"/>
  <c r="BM110"/>
  <c r="BM111"/>
  <c r="BM112"/>
  <c r="BM113"/>
  <c r="BM114"/>
  <c r="BM115"/>
  <c r="BM116"/>
  <c r="BM117"/>
  <c r="BM118"/>
  <c r="BM119"/>
  <c r="BM120"/>
  <c r="BM121"/>
  <c r="BM122"/>
  <c r="BM123"/>
  <c r="BM124"/>
  <c r="BM125"/>
  <c r="BM126"/>
  <c r="BM127"/>
  <c r="BM128"/>
  <c r="BM129"/>
  <c r="BM130"/>
  <c r="BM131"/>
  <c r="BM132"/>
  <c r="BM133"/>
  <c r="BM134"/>
  <c r="BM135"/>
  <c r="BM136"/>
  <c r="BM137"/>
  <c r="BM138"/>
  <c r="BM139"/>
  <c r="BM140"/>
  <c r="BM141"/>
  <c r="BM142"/>
  <c r="BM143"/>
  <c r="BM144"/>
  <c r="BM145"/>
  <c r="BM146"/>
  <c r="BM147"/>
  <c r="BM148"/>
  <c r="BM149"/>
  <c r="BM150"/>
  <c r="BM151"/>
  <c r="BM152"/>
  <c r="BM153"/>
  <c r="BM154"/>
  <c r="BM155"/>
  <c r="BM156"/>
  <c r="BM157"/>
  <c r="BM158"/>
  <c r="BM159"/>
  <c r="BM160"/>
  <c r="BM161"/>
  <c r="BM162"/>
  <c r="BM163"/>
  <c r="BM164"/>
  <c r="BM165"/>
  <c r="BM166"/>
  <c r="BM167"/>
  <c r="BM168"/>
  <c r="BM169"/>
  <c r="BM170"/>
  <c r="BM171"/>
  <c r="BM172"/>
  <c r="BM173"/>
  <c r="BM174"/>
  <c r="BM175"/>
  <c r="BM176"/>
  <c r="BM177"/>
  <c r="BM178"/>
  <c r="BM179"/>
  <c r="BM180"/>
  <c r="BM181"/>
  <c r="BM182"/>
  <c r="BM183"/>
  <c r="BM184"/>
  <c r="BM185"/>
  <c r="BM186"/>
  <c r="BM187"/>
  <c r="BM188"/>
  <c r="BM189"/>
  <c r="BM190"/>
  <c r="BM191"/>
  <c r="BM192"/>
  <c r="BM193"/>
  <c r="BM194"/>
  <c r="BM195"/>
  <c r="BM196"/>
  <c r="BM197"/>
  <c r="BM198"/>
  <c r="BM199"/>
  <c r="BM200"/>
  <c r="BM201"/>
  <c r="BM202"/>
  <c r="BM5"/>
  <c r="I8" i="8"/>
  <c r="H8"/>
  <c r="G8"/>
  <c r="F8"/>
  <c r="CD7" i="9"/>
  <c r="CF2"/>
  <c r="O5" i="15" s="1"/>
  <c r="BI2" i="9"/>
  <c r="N5" i="15" s="1"/>
  <c r="AL2" i="9"/>
  <c r="M5" i="15" s="1"/>
  <c r="CE11" i="9" l="1"/>
  <c r="EO11" s="1"/>
  <c r="CD11"/>
  <c r="HA6"/>
  <c r="DB13"/>
  <c r="EP13" s="1"/>
  <c r="M138" i="11"/>
  <c r="I141" i="15"/>
  <c r="M172" i="11"/>
  <c r="I175" i="15"/>
  <c r="M135" i="11"/>
  <c r="I138" i="15"/>
  <c r="M200" i="11"/>
  <c r="I203" i="15"/>
  <c r="M198" i="11"/>
  <c r="I201" i="15"/>
  <c r="M142" i="11"/>
  <c r="I145" i="15"/>
  <c r="M166" i="11"/>
  <c r="I169" i="15"/>
  <c r="M184" i="11"/>
  <c r="I187" i="15"/>
  <c r="M158" i="11"/>
  <c r="I161" i="15"/>
  <c r="M192" i="11"/>
  <c r="I195" i="15"/>
  <c r="M121" i="11"/>
  <c r="I124" i="15"/>
  <c r="M151" i="11"/>
  <c r="I154" i="15"/>
  <c r="M194" i="11"/>
  <c r="I197" i="15"/>
  <c r="M174" i="11"/>
  <c r="I177" i="15"/>
  <c r="M116" i="11"/>
  <c r="I119" i="15"/>
  <c r="M114" i="11"/>
  <c r="I117" i="15"/>
  <c r="M189" i="11"/>
  <c r="I192" i="15"/>
  <c r="M143" i="11"/>
  <c r="I146" i="15"/>
  <c r="M148" i="11"/>
  <c r="I151" i="15"/>
  <c r="M171" i="11"/>
  <c r="I174" i="15"/>
  <c r="M109" i="11"/>
  <c r="I112" i="15"/>
  <c r="M136" i="11"/>
  <c r="I139" i="15"/>
  <c r="M130" i="11"/>
  <c r="I133" i="15"/>
  <c r="M43" i="11"/>
  <c r="I46" i="15"/>
  <c r="M54" i="11"/>
  <c r="I57" i="15"/>
  <c r="M81" i="11"/>
  <c r="I84" i="15"/>
  <c r="M45" i="11"/>
  <c r="I48" i="15"/>
  <c r="M85" i="11"/>
  <c r="I88" i="15"/>
  <c r="M50" i="11"/>
  <c r="I53" i="15"/>
  <c r="M102" i="11"/>
  <c r="I105" i="15"/>
  <c r="M46" i="11"/>
  <c r="I49" i="15"/>
  <c r="M93" i="11"/>
  <c r="I96" i="15"/>
  <c r="M203" i="11"/>
  <c r="I206" i="15"/>
  <c r="M73" i="11"/>
  <c r="I76" i="15"/>
  <c r="M86" i="11"/>
  <c r="I89" i="15"/>
  <c r="M65" i="11"/>
  <c r="I68" i="15"/>
  <c r="M120" i="11"/>
  <c r="I123" i="15"/>
  <c r="M180" i="11"/>
  <c r="I183" i="15"/>
  <c r="M119" i="11"/>
  <c r="I122" i="15"/>
  <c r="M154" i="11"/>
  <c r="I157" i="15"/>
  <c r="M117" i="11"/>
  <c r="I120" i="15"/>
  <c r="M183" i="11"/>
  <c r="I186" i="15"/>
  <c r="M122" i="11"/>
  <c r="I125" i="15"/>
  <c r="M115" i="11"/>
  <c r="I118" i="15"/>
  <c r="M179" i="11"/>
  <c r="I182" i="15"/>
  <c r="M112" i="11"/>
  <c r="I115" i="15"/>
  <c r="M164" i="11"/>
  <c r="I167" i="15"/>
  <c r="M147" i="11"/>
  <c r="I150" i="15"/>
  <c r="M195" i="11"/>
  <c r="I198" i="15"/>
  <c r="M168" i="11"/>
  <c r="I171" i="15"/>
  <c r="M186" i="11"/>
  <c r="I189" i="15"/>
  <c r="M124" i="11"/>
  <c r="I127" i="15"/>
  <c r="M103" i="11"/>
  <c r="I106" i="15"/>
  <c r="M197" i="11"/>
  <c r="I200" i="15"/>
  <c r="M169" i="11"/>
  <c r="I172" i="15"/>
  <c r="M187" i="11"/>
  <c r="I190" i="15"/>
  <c r="M155" i="11"/>
  <c r="I158" i="15"/>
  <c r="M156" i="11"/>
  <c r="I159" i="15"/>
  <c r="M201" i="11"/>
  <c r="I204" i="15"/>
  <c r="M88" i="11"/>
  <c r="I91" i="15"/>
  <c r="M77" i="11"/>
  <c r="I80" i="15"/>
  <c r="M52" i="11"/>
  <c r="I55" i="15"/>
  <c r="M101" i="11"/>
  <c r="I104" i="15"/>
  <c r="M60" i="11"/>
  <c r="I63" i="15"/>
  <c r="M67" i="11"/>
  <c r="I70" i="15"/>
  <c r="M95" i="11"/>
  <c r="I98" i="15"/>
  <c r="M96" i="11"/>
  <c r="I99" i="15"/>
  <c r="M83" i="11"/>
  <c r="I86" i="15"/>
  <c r="M44" i="11"/>
  <c r="I47" i="15"/>
  <c r="M89" i="11"/>
  <c r="I92" i="15"/>
  <c r="M99" i="11"/>
  <c r="I102" i="15"/>
  <c r="M82" i="11"/>
  <c r="I85" i="15"/>
  <c r="M188" i="11"/>
  <c r="I191" i="15"/>
  <c r="M129" i="11"/>
  <c r="I132" i="15"/>
  <c r="M153" i="11"/>
  <c r="I156" i="15"/>
  <c r="M134" i="11"/>
  <c r="I137" i="15"/>
  <c r="M107" i="11"/>
  <c r="I110" i="15"/>
  <c r="M146" i="11"/>
  <c r="I149" i="15"/>
  <c r="M133" i="11"/>
  <c r="I136" i="15"/>
  <c r="M193" i="11"/>
  <c r="I196" i="15"/>
  <c r="M161" i="11"/>
  <c r="I164" i="15"/>
  <c r="M162" i="11"/>
  <c r="I165" i="15"/>
  <c r="M163" i="11"/>
  <c r="I166" i="15"/>
  <c r="M170" i="11"/>
  <c r="I173" i="15"/>
  <c r="M176" i="11"/>
  <c r="I179" i="15"/>
  <c r="M128" i="11"/>
  <c r="I131" i="15"/>
  <c r="M150" i="11"/>
  <c r="I153" i="15"/>
  <c r="M182" i="11"/>
  <c r="I185" i="15"/>
  <c r="M126" i="11"/>
  <c r="I129" i="15"/>
  <c r="M202" i="11"/>
  <c r="I205" i="15"/>
  <c r="M111" i="11"/>
  <c r="I114" i="15"/>
  <c r="M177" i="11"/>
  <c r="I180" i="15"/>
  <c r="M123" i="11"/>
  <c r="I126" i="15"/>
  <c r="M113" i="11"/>
  <c r="I116" i="15"/>
  <c r="M127" i="11"/>
  <c r="I130" i="15"/>
  <c r="M98" i="11"/>
  <c r="I101" i="15"/>
  <c r="M49" i="11"/>
  <c r="I52" i="15"/>
  <c r="M79" i="11"/>
  <c r="I82" i="15"/>
  <c r="M41" i="11"/>
  <c r="I44" i="15"/>
  <c r="M69" i="11"/>
  <c r="I72" i="15"/>
  <c r="M38" i="11"/>
  <c r="I41" i="15"/>
  <c r="M48" i="11"/>
  <c r="I51" i="15"/>
  <c r="M94" i="11"/>
  <c r="I97" i="15"/>
  <c r="M71" i="11"/>
  <c r="I74" i="15"/>
  <c r="M90" i="11"/>
  <c r="I93" i="15"/>
  <c r="M100" i="11"/>
  <c r="I103" i="15"/>
  <c r="M58" i="11"/>
  <c r="I61" i="15"/>
  <c r="M178" i="11"/>
  <c r="I181" i="15"/>
  <c r="M145" i="11"/>
  <c r="I148" i="15"/>
  <c r="M185" i="11"/>
  <c r="I188" i="15"/>
  <c r="M173" i="11"/>
  <c r="I176" i="15"/>
  <c r="M159" i="11"/>
  <c r="I162" i="15"/>
  <c r="M165" i="11"/>
  <c r="I168" i="15"/>
  <c r="M149" i="11"/>
  <c r="I152" i="15"/>
  <c r="M152" i="11"/>
  <c r="I155" i="15"/>
  <c r="M125" i="11"/>
  <c r="I128" i="15"/>
  <c r="M137" i="11"/>
  <c r="I140" i="15"/>
  <c r="M199" i="11"/>
  <c r="I202" i="15"/>
  <c r="M131" i="11"/>
  <c r="I134" i="15"/>
  <c r="M160" i="11"/>
  <c r="I163" i="15"/>
  <c r="M144" i="11"/>
  <c r="I147" i="15"/>
  <c r="M181" i="11"/>
  <c r="I184" i="15"/>
  <c r="M110" i="11"/>
  <c r="I113" i="15"/>
  <c r="M175" i="11"/>
  <c r="I178" i="15"/>
  <c r="M84" i="11"/>
  <c r="I87" i="15"/>
  <c r="M132" i="11"/>
  <c r="I135" i="15"/>
  <c r="M141" i="11"/>
  <c r="I144" i="15"/>
  <c r="M108" i="11"/>
  <c r="I111" i="15"/>
  <c r="M105" i="11"/>
  <c r="I108" i="15"/>
  <c r="M68" i="11"/>
  <c r="I71" i="15"/>
  <c r="M55" i="11"/>
  <c r="I58" i="15"/>
  <c r="M62" i="11"/>
  <c r="I65" i="15"/>
  <c r="M76" i="11"/>
  <c r="I79" i="15"/>
  <c r="M80" i="11"/>
  <c r="I83" i="15"/>
  <c r="M92" i="11"/>
  <c r="I95" i="15"/>
  <c r="M61" i="11"/>
  <c r="I64" i="15"/>
  <c r="M56" i="11"/>
  <c r="I59" i="15"/>
  <c r="M47" i="11"/>
  <c r="I50" i="15"/>
  <c r="M75" i="11"/>
  <c r="I78" i="15"/>
  <c r="M42" i="11"/>
  <c r="I45" i="15"/>
  <c r="M57" i="11"/>
  <c r="I60" i="15"/>
  <c r="M66" i="11"/>
  <c r="I69" i="15"/>
  <c r="CE27" i="9"/>
  <c r="EO27" s="1"/>
  <c r="DB24"/>
  <c r="EP24" s="1"/>
  <c r="DB35"/>
  <c r="EP35" s="1"/>
  <c r="DB21"/>
  <c r="EP21" s="1"/>
  <c r="DB32"/>
  <c r="EP32" s="1"/>
  <c r="HB43"/>
  <c r="HB194"/>
  <c r="CE14"/>
  <c r="EO14" s="1"/>
  <c r="CE20"/>
  <c r="EO20" s="1"/>
  <c r="CE29"/>
  <c r="EO29" s="1"/>
  <c r="DB28"/>
  <c r="EP28" s="1"/>
  <c r="CE37"/>
  <c r="EO37" s="1"/>
  <c r="CE23"/>
  <c r="EO23" s="1"/>
  <c r="DB36"/>
  <c r="EP36" s="1"/>
  <c r="CE35"/>
  <c r="EO35" s="1"/>
  <c r="CE25"/>
  <c r="EO25" s="1"/>
  <c r="CE13"/>
  <c r="EO13" s="1"/>
  <c r="CE30"/>
  <c r="EO30" s="1"/>
  <c r="CE22"/>
  <c r="EO22" s="1"/>
  <c r="CE33"/>
  <c r="EO33" s="1"/>
  <c r="HB78"/>
  <c r="CE19"/>
  <c r="EO19" s="1"/>
  <c r="CE16"/>
  <c r="EO16" s="1"/>
  <c r="CE34"/>
  <c r="EO34" s="1"/>
  <c r="CE32"/>
  <c r="EO32" s="1"/>
  <c r="CE21"/>
  <c r="EO21" s="1"/>
  <c r="CE24"/>
  <c r="EO24" s="1"/>
  <c r="CE28"/>
  <c r="EO28" s="1"/>
  <c r="CE18"/>
  <c r="EO18" s="1"/>
  <c r="AW7"/>
  <c r="BC32"/>
  <c r="BC28"/>
  <c r="BC20"/>
  <c r="BC16"/>
  <c r="BC34"/>
  <c r="BC30"/>
  <c r="BC22"/>
  <c r="BC18"/>
  <c r="BC14"/>
  <c r="BC10"/>
  <c r="BC33"/>
  <c r="BC31"/>
  <c r="BC29"/>
  <c r="BC27"/>
  <c r="BC21"/>
  <c r="BC19"/>
  <c r="BC17"/>
  <c r="BC15"/>
  <c r="BC13"/>
  <c r="AP8"/>
  <c r="BA8"/>
  <c r="AP6"/>
  <c r="BA6"/>
  <c r="AE6"/>
  <c r="AJ11"/>
  <c r="AK11" s="1"/>
  <c r="EM11" s="1"/>
  <c r="V17"/>
  <c r="W17" s="1"/>
  <c r="EL17" s="1"/>
  <c r="AJ9"/>
  <c r="AK9" s="1"/>
  <c r="EM9" s="1"/>
  <c r="AJ10"/>
  <c r="AK10" s="1"/>
  <c r="EM10" s="1"/>
  <c r="AJ18"/>
  <c r="AK18" s="1"/>
  <c r="EM18" s="1"/>
  <c r="V13"/>
  <c r="W13" s="1"/>
  <c r="EL13" s="1"/>
  <c r="AJ16"/>
  <c r="AK16" s="1"/>
  <c r="EM16" s="1"/>
  <c r="AJ17"/>
  <c r="AK17" s="1"/>
  <c r="EM17" s="1"/>
  <c r="V10"/>
  <c r="W10" s="1"/>
  <c r="EL10" s="1"/>
  <c r="AJ14"/>
  <c r="AK14" s="1"/>
  <c r="EM14" s="1"/>
  <c r="AJ15"/>
  <c r="AK15" s="1"/>
  <c r="EM15" s="1"/>
  <c r="V14"/>
  <c r="W14" s="1"/>
  <c r="EL14" s="1"/>
  <c r="AJ13"/>
  <c r="AK13" s="1"/>
  <c r="EM13" s="1"/>
  <c r="V9"/>
  <c r="W9" s="1"/>
  <c r="EL9" s="1"/>
  <c r="AJ12"/>
  <c r="AK12" s="1"/>
  <c r="EM12" s="1"/>
  <c r="V12"/>
  <c r="W12" s="1"/>
  <c r="EL12" s="1"/>
  <c r="V16"/>
  <c r="W16" s="1"/>
  <c r="EL16" s="1"/>
  <c r="V18"/>
  <c r="W18" s="1"/>
  <c r="EL18" s="1"/>
  <c r="V11"/>
  <c r="W11" s="1"/>
  <c r="EL11" s="1"/>
  <c r="V15"/>
  <c r="W15" s="1"/>
  <c r="EL15" s="1"/>
  <c r="Q6"/>
  <c r="HB63"/>
  <c r="HB95"/>
  <c r="HB41"/>
  <c r="HB200"/>
  <c r="HB101"/>
  <c r="AA3" i="15"/>
  <c r="GY182" i="9"/>
  <c r="GY150"/>
  <c r="GY142"/>
  <c r="GY134"/>
  <c r="GY126"/>
  <c r="GY118"/>
  <c r="GY86"/>
  <c r="GY78"/>
  <c r="GY70"/>
  <c r="GY38"/>
  <c r="HB57"/>
  <c r="HB76"/>
  <c r="A7" i="6"/>
  <c r="HB55" i="9"/>
  <c r="HB195"/>
  <c r="HB122"/>
  <c r="HB171"/>
  <c r="HB44"/>
  <c r="GR182"/>
  <c r="GR70"/>
  <c r="HB91"/>
  <c r="HB144"/>
  <c r="HB110"/>
  <c r="HB161"/>
  <c r="GR136"/>
  <c r="HB108"/>
  <c r="C203" i="12"/>
  <c r="C201"/>
  <c r="C199"/>
  <c r="C197"/>
  <c r="C195"/>
  <c r="C193"/>
  <c r="C191"/>
  <c r="C189"/>
  <c r="C187"/>
  <c r="C185"/>
  <c r="C183"/>
  <c r="C181"/>
  <c r="C179"/>
  <c r="C177"/>
  <c r="C175"/>
  <c r="C173"/>
  <c r="C171"/>
  <c r="C169"/>
  <c r="C167"/>
  <c r="C165"/>
  <c r="C163"/>
  <c r="C161"/>
  <c r="C159"/>
  <c r="C157"/>
  <c r="C155"/>
  <c r="C153"/>
  <c r="C151"/>
  <c r="C149"/>
  <c r="C147"/>
  <c r="C145"/>
  <c r="C143"/>
  <c r="C141"/>
  <c r="C139"/>
  <c r="C137"/>
  <c r="C135"/>
  <c r="C133"/>
  <c r="C131"/>
  <c r="C129"/>
  <c r="C127"/>
  <c r="C125"/>
  <c r="C123"/>
  <c r="C121"/>
  <c r="C119"/>
  <c r="C117"/>
  <c r="C115"/>
  <c r="C113"/>
  <c r="C111"/>
  <c r="C109"/>
  <c r="C107"/>
  <c r="C105"/>
  <c r="G203"/>
  <c r="E201"/>
  <c r="F200"/>
  <c r="G199"/>
  <c r="E197"/>
  <c r="F196"/>
  <c r="G195"/>
  <c r="D203"/>
  <c r="D201"/>
  <c r="D199"/>
  <c r="D197"/>
  <c r="D195"/>
  <c r="D193"/>
  <c r="D191"/>
  <c r="D189"/>
  <c r="D187"/>
  <c r="D185"/>
  <c r="D183"/>
  <c r="D181"/>
  <c r="D179"/>
  <c r="D177"/>
  <c r="D175"/>
  <c r="D173"/>
  <c r="D171"/>
  <c r="D169"/>
  <c r="D167"/>
  <c r="D165"/>
  <c r="D163"/>
  <c r="D161"/>
  <c r="D159"/>
  <c r="D157"/>
  <c r="D155"/>
  <c r="D153"/>
  <c r="D151"/>
  <c r="D149"/>
  <c r="D147"/>
  <c r="D145"/>
  <c r="D143"/>
  <c r="D141"/>
  <c r="D139"/>
  <c r="D137"/>
  <c r="D135"/>
  <c r="D133"/>
  <c r="D131"/>
  <c r="D129"/>
  <c r="D127"/>
  <c r="D125"/>
  <c r="D123"/>
  <c r="D121"/>
  <c r="D119"/>
  <c r="D117"/>
  <c r="D115"/>
  <c r="D113"/>
  <c r="D111"/>
  <c r="D109"/>
  <c r="D107"/>
  <c r="D105"/>
  <c r="G6"/>
  <c r="E202"/>
  <c r="F201"/>
  <c r="G200"/>
  <c r="E198"/>
  <c r="F197"/>
  <c r="G196"/>
  <c r="E194"/>
  <c r="F193"/>
  <c r="C204"/>
  <c r="C202"/>
  <c r="C200"/>
  <c r="C198"/>
  <c r="C196"/>
  <c r="C194"/>
  <c r="C192"/>
  <c r="C190"/>
  <c r="C188"/>
  <c r="C186"/>
  <c r="C184"/>
  <c r="C182"/>
  <c r="C180"/>
  <c r="C178"/>
  <c r="C176"/>
  <c r="C174"/>
  <c r="C172"/>
  <c r="C170"/>
  <c r="C168"/>
  <c r="C166"/>
  <c r="C164"/>
  <c r="C162"/>
  <c r="C160"/>
  <c r="C158"/>
  <c r="C156"/>
  <c r="C154"/>
  <c r="C152"/>
  <c r="C150"/>
  <c r="C148"/>
  <c r="C146"/>
  <c r="C144"/>
  <c r="C142"/>
  <c r="C140"/>
  <c r="C138"/>
  <c r="C136"/>
  <c r="C134"/>
  <c r="C132"/>
  <c r="C130"/>
  <c r="C128"/>
  <c r="C126"/>
  <c r="C124"/>
  <c r="C122"/>
  <c r="C120"/>
  <c r="C118"/>
  <c r="C116"/>
  <c r="C114"/>
  <c r="C112"/>
  <c r="C110"/>
  <c r="C108"/>
  <c r="C106"/>
  <c r="C104"/>
  <c r="F6"/>
  <c r="E203"/>
  <c r="F202"/>
  <c r="G201"/>
  <c r="E199"/>
  <c r="F198"/>
  <c r="G197"/>
  <c r="E195"/>
  <c r="F194"/>
  <c r="G193"/>
  <c r="D204"/>
  <c r="D202"/>
  <c r="D200"/>
  <c r="D198"/>
  <c r="D196"/>
  <c r="D194"/>
  <c r="D192"/>
  <c r="D190"/>
  <c r="D188"/>
  <c r="D186"/>
  <c r="D184"/>
  <c r="D182"/>
  <c r="D180"/>
  <c r="D178"/>
  <c r="D176"/>
  <c r="D174"/>
  <c r="D172"/>
  <c r="D170"/>
  <c r="D168"/>
  <c r="D166"/>
  <c r="D164"/>
  <c r="D162"/>
  <c r="D160"/>
  <c r="D158"/>
  <c r="D156"/>
  <c r="D154"/>
  <c r="D152"/>
  <c r="D150"/>
  <c r="D148"/>
  <c r="D146"/>
  <c r="D144"/>
  <c r="D142"/>
  <c r="D140"/>
  <c r="D138"/>
  <c r="D136"/>
  <c r="D134"/>
  <c r="D132"/>
  <c r="D130"/>
  <c r="D128"/>
  <c r="D126"/>
  <c r="D124"/>
  <c r="D122"/>
  <c r="D120"/>
  <c r="D118"/>
  <c r="D116"/>
  <c r="D114"/>
  <c r="D112"/>
  <c r="D110"/>
  <c r="D108"/>
  <c r="D106"/>
  <c r="D104"/>
  <c r="E6"/>
  <c r="F203"/>
  <c r="G202"/>
  <c r="E200"/>
  <c r="F199"/>
  <c r="G198"/>
  <c r="E196"/>
  <c r="F195"/>
  <c r="G194"/>
  <c r="E192"/>
  <c r="F191"/>
  <c r="G190"/>
  <c r="E188"/>
  <c r="F187"/>
  <c r="G186"/>
  <c r="E184"/>
  <c r="F183"/>
  <c r="G182"/>
  <c r="E180"/>
  <c r="F179"/>
  <c r="G178"/>
  <c r="E176"/>
  <c r="F175"/>
  <c r="G174"/>
  <c r="E172"/>
  <c r="F171"/>
  <c r="G170"/>
  <c r="E168"/>
  <c r="F167"/>
  <c r="G166"/>
  <c r="E164"/>
  <c r="F163"/>
  <c r="G162"/>
  <c r="E160"/>
  <c r="F159"/>
  <c r="G158"/>
  <c r="E156"/>
  <c r="F155"/>
  <c r="G154"/>
  <c r="E152"/>
  <c r="F151"/>
  <c r="G150"/>
  <c r="E148"/>
  <c r="F147"/>
  <c r="G146"/>
  <c r="E144"/>
  <c r="F143"/>
  <c r="G142"/>
  <c r="E140"/>
  <c r="F139"/>
  <c r="G138"/>
  <c r="E136"/>
  <c r="F135"/>
  <c r="G134"/>
  <c r="E132"/>
  <c r="F131"/>
  <c r="G130"/>
  <c r="E128"/>
  <c r="F127"/>
  <c r="G126"/>
  <c r="E124"/>
  <c r="F123"/>
  <c r="G122"/>
  <c r="E120"/>
  <c r="F119"/>
  <c r="G118"/>
  <c r="E116"/>
  <c r="F115"/>
  <c r="G114"/>
  <c r="E112"/>
  <c r="F111"/>
  <c r="G110"/>
  <c r="E108"/>
  <c r="F107"/>
  <c r="G106"/>
  <c r="E104"/>
  <c r="F103"/>
  <c r="G102"/>
  <c r="E100"/>
  <c r="F99"/>
  <c r="G98"/>
  <c r="E96"/>
  <c r="F95"/>
  <c r="G94"/>
  <c r="E92"/>
  <c r="F91"/>
  <c r="G90"/>
  <c r="E88"/>
  <c r="F87"/>
  <c r="G86"/>
  <c r="E84"/>
  <c r="F83"/>
  <c r="G82"/>
  <c r="E80"/>
  <c r="F79"/>
  <c r="G78"/>
  <c r="E76"/>
  <c r="F75"/>
  <c r="G74"/>
  <c r="E72"/>
  <c r="F71"/>
  <c r="G70"/>
  <c r="E68"/>
  <c r="F67"/>
  <c r="G66"/>
  <c r="E64"/>
  <c r="F63"/>
  <c r="G62"/>
  <c r="E60"/>
  <c r="F59"/>
  <c r="G58"/>
  <c r="E56"/>
  <c r="F55"/>
  <c r="G54"/>
  <c r="E52"/>
  <c r="F51"/>
  <c r="G50"/>
  <c r="E48"/>
  <c r="F47"/>
  <c r="G46"/>
  <c r="E44"/>
  <c r="F43"/>
  <c r="G42"/>
  <c r="E40"/>
  <c r="F39"/>
  <c r="G38"/>
  <c r="E36"/>
  <c r="F35"/>
  <c r="G34"/>
  <c r="E32"/>
  <c r="F31"/>
  <c r="G30"/>
  <c r="E28"/>
  <c r="F27"/>
  <c r="G26"/>
  <c r="E24"/>
  <c r="F23"/>
  <c r="G22"/>
  <c r="E20"/>
  <c r="F19"/>
  <c r="G18"/>
  <c r="E16"/>
  <c r="F15"/>
  <c r="G14"/>
  <c r="E12"/>
  <c r="F11"/>
  <c r="G10"/>
  <c r="E8"/>
  <c r="F7"/>
  <c r="G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B8"/>
  <c r="E193"/>
  <c r="F192"/>
  <c r="G191"/>
  <c r="E189"/>
  <c r="F188"/>
  <c r="G187"/>
  <c r="E185"/>
  <c r="F184"/>
  <c r="G183"/>
  <c r="E181"/>
  <c r="F180"/>
  <c r="G179"/>
  <c r="E177"/>
  <c r="F176"/>
  <c r="G175"/>
  <c r="E173"/>
  <c r="F172"/>
  <c r="G171"/>
  <c r="E169"/>
  <c r="F168"/>
  <c r="G167"/>
  <c r="E165"/>
  <c r="F164"/>
  <c r="G163"/>
  <c r="E161"/>
  <c r="F160"/>
  <c r="G159"/>
  <c r="E157"/>
  <c r="F156"/>
  <c r="G155"/>
  <c r="E153"/>
  <c r="F152"/>
  <c r="G151"/>
  <c r="E149"/>
  <c r="F148"/>
  <c r="G147"/>
  <c r="E145"/>
  <c r="F144"/>
  <c r="G143"/>
  <c r="E141"/>
  <c r="F140"/>
  <c r="G139"/>
  <c r="E137"/>
  <c r="F136"/>
  <c r="G135"/>
  <c r="E133"/>
  <c r="F132"/>
  <c r="G131"/>
  <c r="E129"/>
  <c r="F128"/>
  <c r="G127"/>
  <c r="E125"/>
  <c r="F124"/>
  <c r="G123"/>
  <c r="E121"/>
  <c r="F120"/>
  <c r="G119"/>
  <c r="E117"/>
  <c r="F116"/>
  <c r="G115"/>
  <c r="E113"/>
  <c r="F112"/>
  <c r="G111"/>
  <c r="E109"/>
  <c r="F108"/>
  <c r="G107"/>
  <c r="E105"/>
  <c r="F104"/>
  <c r="G103"/>
  <c r="E101"/>
  <c r="F100"/>
  <c r="G99"/>
  <c r="E97"/>
  <c r="F96"/>
  <c r="G95"/>
  <c r="E93"/>
  <c r="F92"/>
  <c r="G91"/>
  <c r="E89"/>
  <c r="F88"/>
  <c r="G87"/>
  <c r="E85"/>
  <c r="F84"/>
  <c r="G83"/>
  <c r="E81"/>
  <c r="F80"/>
  <c r="G79"/>
  <c r="E77"/>
  <c r="F76"/>
  <c r="G75"/>
  <c r="E73"/>
  <c r="F72"/>
  <c r="G71"/>
  <c r="E69"/>
  <c r="F68"/>
  <c r="G67"/>
  <c r="E65"/>
  <c r="F64"/>
  <c r="G63"/>
  <c r="E61"/>
  <c r="F60"/>
  <c r="G59"/>
  <c r="E57"/>
  <c r="F56"/>
  <c r="G55"/>
  <c r="E53"/>
  <c r="F52"/>
  <c r="G51"/>
  <c r="E49"/>
  <c r="F48"/>
  <c r="G47"/>
  <c r="E45"/>
  <c r="F44"/>
  <c r="G43"/>
  <c r="E41"/>
  <c r="F40"/>
  <c r="G39"/>
  <c r="E37"/>
  <c r="F36"/>
  <c r="G35"/>
  <c r="E33"/>
  <c r="F32"/>
  <c r="G31"/>
  <c r="E29"/>
  <c r="F28"/>
  <c r="G27"/>
  <c r="E25"/>
  <c r="F24"/>
  <c r="G23"/>
  <c r="E21"/>
  <c r="F20"/>
  <c r="G19"/>
  <c r="E17"/>
  <c r="F16"/>
  <c r="G15"/>
  <c r="E13"/>
  <c r="F12"/>
  <c r="G11"/>
  <c r="E9"/>
  <c r="F8"/>
  <c r="G7"/>
  <c r="F204"/>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B9"/>
  <c r="B204"/>
  <c r="G192"/>
  <c r="E190"/>
  <c r="F189"/>
  <c r="G188"/>
  <c r="E186"/>
  <c r="F185"/>
  <c r="G184"/>
  <c r="E182"/>
  <c r="F181"/>
  <c r="G180"/>
  <c r="E178"/>
  <c r="F177"/>
  <c r="G176"/>
  <c r="E174"/>
  <c r="F173"/>
  <c r="G172"/>
  <c r="E170"/>
  <c r="F169"/>
  <c r="G168"/>
  <c r="E166"/>
  <c r="F165"/>
  <c r="G164"/>
  <c r="E162"/>
  <c r="F161"/>
  <c r="G160"/>
  <c r="E158"/>
  <c r="F157"/>
  <c r="G156"/>
  <c r="E154"/>
  <c r="F153"/>
  <c r="G152"/>
  <c r="E150"/>
  <c r="F149"/>
  <c r="G148"/>
  <c r="E146"/>
  <c r="F145"/>
  <c r="G144"/>
  <c r="E142"/>
  <c r="F141"/>
  <c r="G140"/>
  <c r="E138"/>
  <c r="F137"/>
  <c r="G136"/>
  <c r="E134"/>
  <c r="F133"/>
  <c r="G132"/>
  <c r="E130"/>
  <c r="F129"/>
  <c r="G128"/>
  <c r="E126"/>
  <c r="F125"/>
  <c r="G124"/>
  <c r="E122"/>
  <c r="F121"/>
  <c r="G120"/>
  <c r="E118"/>
  <c r="F117"/>
  <c r="G116"/>
  <c r="E114"/>
  <c r="F113"/>
  <c r="G112"/>
  <c r="E110"/>
  <c r="F109"/>
  <c r="G108"/>
  <c r="E106"/>
  <c r="F105"/>
  <c r="G104"/>
  <c r="E102"/>
  <c r="F101"/>
  <c r="G100"/>
  <c r="E98"/>
  <c r="F97"/>
  <c r="G96"/>
  <c r="E94"/>
  <c r="F93"/>
  <c r="G92"/>
  <c r="E90"/>
  <c r="F89"/>
  <c r="G88"/>
  <c r="E86"/>
  <c r="F85"/>
  <c r="G84"/>
  <c r="E82"/>
  <c r="F81"/>
  <c r="G80"/>
  <c r="E78"/>
  <c r="F77"/>
  <c r="G76"/>
  <c r="E74"/>
  <c r="F73"/>
  <c r="G72"/>
  <c r="E70"/>
  <c r="F69"/>
  <c r="G68"/>
  <c r="E66"/>
  <c r="F65"/>
  <c r="G64"/>
  <c r="E62"/>
  <c r="F61"/>
  <c r="G60"/>
  <c r="E58"/>
  <c r="F57"/>
  <c r="G56"/>
  <c r="E54"/>
  <c r="F53"/>
  <c r="G52"/>
  <c r="E50"/>
  <c r="F49"/>
  <c r="G48"/>
  <c r="E46"/>
  <c r="F45"/>
  <c r="G44"/>
  <c r="E42"/>
  <c r="F41"/>
  <c r="G40"/>
  <c r="E38"/>
  <c r="F37"/>
  <c r="G36"/>
  <c r="E34"/>
  <c r="F33"/>
  <c r="G32"/>
  <c r="E30"/>
  <c r="F29"/>
  <c r="G28"/>
  <c r="E26"/>
  <c r="F25"/>
  <c r="G24"/>
  <c r="E22"/>
  <c r="F21"/>
  <c r="G20"/>
  <c r="E18"/>
  <c r="F17"/>
  <c r="G16"/>
  <c r="E14"/>
  <c r="F13"/>
  <c r="G12"/>
  <c r="E10"/>
  <c r="F9"/>
  <c r="G8"/>
  <c r="E204"/>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B10"/>
  <c r="B203"/>
  <c r="GY206" i="9"/>
  <c r="E191" i="12"/>
  <c r="F190"/>
  <c r="G189"/>
  <c r="E187"/>
  <c r="F186"/>
  <c r="G185"/>
  <c r="E183"/>
  <c r="F182"/>
  <c r="G181"/>
  <c r="E179"/>
  <c r="F178"/>
  <c r="G177"/>
  <c r="E175"/>
  <c r="F174"/>
  <c r="G173"/>
  <c r="E171"/>
  <c r="F170"/>
  <c r="G169"/>
  <c r="E167"/>
  <c r="F166"/>
  <c r="G165"/>
  <c r="E163"/>
  <c r="F162"/>
  <c r="G161"/>
  <c r="E159"/>
  <c r="F158"/>
  <c r="G157"/>
  <c r="E155"/>
  <c r="F154"/>
  <c r="G153"/>
  <c r="E151"/>
  <c r="F150"/>
  <c r="G149"/>
  <c r="E147"/>
  <c r="F146"/>
  <c r="G145"/>
  <c r="E143"/>
  <c r="F142"/>
  <c r="G141"/>
  <c r="E139"/>
  <c r="F138"/>
  <c r="G137"/>
  <c r="E135"/>
  <c r="F134"/>
  <c r="G133"/>
  <c r="E131"/>
  <c r="F130"/>
  <c r="G129"/>
  <c r="E127"/>
  <c r="F126"/>
  <c r="G125"/>
  <c r="E123"/>
  <c r="F122"/>
  <c r="G121"/>
  <c r="E119"/>
  <c r="F118"/>
  <c r="G117"/>
  <c r="E115"/>
  <c r="F114"/>
  <c r="G113"/>
  <c r="E111"/>
  <c r="F110"/>
  <c r="G109"/>
  <c r="E107"/>
  <c r="F106"/>
  <c r="G105"/>
  <c r="E103"/>
  <c r="F102"/>
  <c r="G101"/>
  <c r="E99"/>
  <c r="F98"/>
  <c r="G97"/>
  <c r="E95"/>
  <c r="F94"/>
  <c r="G93"/>
  <c r="E91"/>
  <c r="F90"/>
  <c r="G89"/>
  <c r="E87"/>
  <c r="F86"/>
  <c r="G85"/>
  <c r="E83"/>
  <c r="F82"/>
  <c r="G81"/>
  <c r="E79"/>
  <c r="F78"/>
  <c r="G77"/>
  <c r="E75"/>
  <c r="F74"/>
  <c r="G73"/>
  <c r="E71"/>
  <c r="F70"/>
  <c r="G69"/>
  <c r="E67"/>
  <c r="F66"/>
  <c r="G65"/>
  <c r="E63"/>
  <c r="F62"/>
  <c r="G61"/>
  <c r="E59"/>
  <c r="F58"/>
  <c r="G57"/>
  <c r="E55"/>
  <c r="F54"/>
  <c r="G53"/>
  <c r="E51"/>
  <c r="F50"/>
  <c r="G49"/>
  <c r="E47"/>
  <c r="F46"/>
  <c r="G45"/>
  <c r="E43"/>
  <c r="F42"/>
  <c r="G41"/>
  <c r="E39"/>
  <c r="F38"/>
  <c r="G37"/>
  <c r="E35"/>
  <c r="F34"/>
  <c r="G33"/>
  <c r="E31"/>
  <c r="F30"/>
  <c r="G29"/>
  <c r="E27"/>
  <c r="F26"/>
  <c r="G25"/>
  <c r="E23"/>
  <c r="F22"/>
  <c r="G21"/>
  <c r="E19"/>
  <c r="F18"/>
  <c r="G17"/>
  <c r="E15"/>
  <c r="F14"/>
  <c r="G13"/>
  <c r="E11"/>
  <c r="F10"/>
  <c r="G9"/>
  <c r="E7"/>
  <c r="B6"/>
  <c r="GY202" i="9"/>
  <c r="B199" i="12"/>
  <c r="B195"/>
  <c r="GY198" i="9"/>
  <c r="B191" i="12"/>
  <c r="GY194" i="9"/>
  <c r="B187" i="12"/>
  <c r="GY190" i="9"/>
  <c r="B183" i="12"/>
  <c r="GY186" i="9"/>
  <c r="B179" i="12"/>
  <c r="B175"/>
  <c r="GY178" i="9"/>
  <c r="B171" i="12"/>
  <c r="GY174" i="9"/>
  <c r="B167" i="12"/>
  <c r="GY170" i="9"/>
  <c r="B163" i="12"/>
  <c r="GY166" i="9"/>
  <c r="B159" i="12"/>
  <c r="GY162" i="9"/>
  <c r="B155" i="12"/>
  <c r="GY158" i="9"/>
  <c r="B151" i="12"/>
  <c r="GY154" i="9"/>
  <c r="B147" i="12"/>
  <c r="B143"/>
  <c r="GY146" i="9"/>
  <c r="B139" i="12"/>
  <c r="B135"/>
  <c r="GY138" i="9"/>
  <c r="B131" i="12"/>
  <c r="B127"/>
  <c r="GY130" i="9"/>
  <c r="B123" i="12"/>
  <c r="B119"/>
  <c r="GY122" i="9"/>
  <c r="B115" i="12"/>
  <c r="B111"/>
  <c r="GY114" i="9"/>
  <c r="B107" i="12"/>
  <c r="GY110" i="9"/>
  <c r="B103" i="12"/>
  <c r="GY106" i="9"/>
  <c r="B99" i="12"/>
  <c r="GY102" i="9"/>
  <c r="B95" i="12"/>
  <c r="GY98" i="9"/>
  <c r="B91" i="12"/>
  <c r="GY94" i="9"/>
  <c r="B87" i="12"/>
  <c r="GY90" i="9"/>
  <c r="B83" i="12"/>
  <c r="B79"/>
  <c r="GY82" i="9"/>
  <c r="B75" i="12"/>
  <c r="B71"/>
  <c r="GY74" i="9"/>
  <c r="B67" i="12"/>
  <c r="B63"/>
  <c r="GY66" i="9"/>
  <c r="GY62"/>
  <c r="B59" i="12"/>
  <c r="B55"/>
  <c r="GY58" i="9"/>
  <c r="B51" i="12"/>
  <c r="GY54" i="9"/>
  <c r="B47" i="12"/>
  <c r="GY50" i="9"/>
  <c r="B43" i="12"/>
  <c r="GY46" i="9"/>
  <c r="B39" i="12"/>
  <c r="GY42" i="9"/>
  <c r="B35" i="12"/>
  <c r="B31"/>
  <c r="B27"/>
  <c r="B23"/>
  <c r="B19"/>
  <c r="B15"/>
  <c r="S15" s="1"/>
  <c r="B11"/>
  <c r="B7"/>
  <c r="GN14" i="9"/>
  <c r="FR5"/>
  <c r="AQ209"/>
  <c r="GN16"/>
  <c r="GN15"/>
  <c r="J46" i="11" l="1"/>
  <c r="H49" i="15"/>
  <c r="HE50" i="9"/>
  <c r="HC50"/>
  <c r="J118" i="11"/>
  <c r="H121" i="15"/>
  <c r="HC122" i="9"/>
  <c r="HE122"/>
  <c r="S139" i="12"/>
  <c r="H139"/>
  <c r="K139"/>
  <c r="O139"/>
  <c r="J139"/>
  <c r="N139"/>
  <c r="R139"/>
  <c r="I139"/>
  <c r="M139"/>
  <c r="Q139"/>
  <c r="L139"/>
  <c r="P139"/>
  <c r="J174" i="11"/>
  <c r="H177" i="15"/>
  <c r="HC178" i="9"/>
  <c r="HE178"/>
  <c r="S46" i="12"/>
  <c r="K46"/>
  <c r="O46"/>
  <c r="H46"/>
  <c r="J46"/>
  <c r="N46"/>
  <c r="R46"/>
  <c r="I46"/>
  <c r="M46"/>
  <c r="Q46"/>
  <c r="L46"/>
  <c r="P46"/>
  <c r="S190"/>
  <c r="H190"/>
  <c r="I190"/>
  <c r="M190"/>
  <c r="Q190"/>
  <c r="L190"/>
  <c r="P190"/>
  <c r="K190"/>
  <c r="O190"/>
  <c r="J190"/>
  <c r="N190"/>
  <c r="R190"/>
  <c r="S27"/>
  <c r="H27"/>
  <c r="I27"/>
  <c r="M27"/>
  <c r="Q27"/>
  <c r="L27"/>
  <c r="P27"/>
  <c r="K27"/>
  <c r="O27"/>
  <c r="J27"/>
  <c r="N27"/>
  <c r="R27"/>
  <c r="S39"/>
  <c r="H39"/>
  <c r="I39"/>
  <c r="M39"/>
  <c r="Q39"/>
  <c r="L39"/>
  <c r="P39"/>
  <c r="K39"/>
  <c r="O39"/>
  <c r="J39"/>
  <c r="N39"/>
  <c r="R39"/>
  <c r="S47"/>
  <c r="H47"/>
  <c r="I47"/>
  <c r="M47"/>
  <c r="Q47"/>
  <c r="L47"/>
  <c r="P47"/>
  <c r="K47"/>
  <c r="O47"/>
  <c r="J47"/>
  <c r="N47"/>
  <c r="R47"/>
  <c r="S55"/>
  <c r="H55"/>
  <c r="I55"/>
  <c r="M55"/>
  <c r="Q55"/>
  <c r="L55"/>
  <c r="P55"/>
  <c r="K55"/>
  <c r="O55"/>
  <c r="J55"/>
  <c r="N55"/>
  <c r="R55"/>
  <c r="S63"/>
  <c r="H63"/>
  <c r="I63"/>
  <c r="M63"/>
  <c r="Q63"/>
  <c r="L63"/>
  <c r="P63"/>
  <c r="K63"/>
  <c r="O63"/>
  <c r="J63"/>
  <c r="N63"/>
  <c r="R63"/>
  <c r="S75"/>
  <c r="H75"/>
  <c r="I75"/>
  <c r="M75"/>
  <c r="Q75"/>
  <c r="L75"/>
  <c r="P75"/>
  <c r="K75"/>
  <c r="O75"/>
  <c r="J75"/>
  <c r="N75"/>
  <c r="R75"/>
  <c r="J86" i="11"/>
  <c r="H89" i="15"/>
  <c r="HC90" i="9"/>
  <c r="HE90"/>
  <c r="J94" i="11"/>
  <c r="H97" i="15"/>
  <c r="HE98" i="9"/>
  <c r="HC98"/>
  <c r="J102" i="11"/>
  <c r="H105" i="15"/>
  <c r="HC106" i="9"/>
  <c r="HE106"/>
  <c r="J110" i="11"/>
  <c r="H113" i="15"/>
  <c r="HC114" i="9"/>
  <c r="HE114"/>
  <c r="S119" i="12"/>
  <c r="H119"/>
  <c r="K119"/>
  <c r="O119"/>
  <c r="J119"/>
  <c r="N119"/>
  <c r="R119"/>
  <c r="I119"/>
  <c r="M119"/>
  <c r="Q119"/>
  <c r="L119"/>
  <c r="P119"/>
  <c r="S131"/>
  <c r="H131"/>
  <c r="K131"/>
  <c r="O131"/>
  <c r="J131"/>
  <c r="N131"/>
  <c r="R131"/>
  <c r="I131"/>
  <c r="M131"/>
  <c r="Q131"/>
  <c r="L131"/>
  <c r="P131"/>
  <c r="J142" i="11"/>
  <c r="H145" i="15"/>
  <c r="HC146" i="9"/>
  <c r="HE146"/>
  <c r="S151" i="12"/>
  <c r="H151"/>
  <c r="K151"/>
  <c r="O151"/>
  <c r="J151"/>
  <c r="N151"/>
  <c r="R151"/>
  <c r="I151"/>
  <c r="M151"/>
  <c r="Q151"/>
  <c r="L151"/>
  <c r="P151"/>
  <c r="S159"/>
  <c r="H159"/>
  <c r="K159"/>
  <c r="O159"/>
  <c r="J159"/>
  <c r="N159"/>
  <c r="R159"/>
  <c r="I159"/>
  <c r="M159"/>
  <c r="Q159"/>
  <c r="L159"/>
  <c r="P159"/>
  <c r="S167"/>
  <c r="H167"/>
  <c r="K167"/>
  <c r="O167"/>
  <c r="J167"/>
  <c r="N167"/>
  <c r="R167"/>
  <c r="I167"/>
  <c r="M167"/>
  <c r="Q167"/>
  <c r="L167"/>
  <c r="P167"/>
  <c r="S175"/>
  <c r="H175"/>
  <c r="K175"/>
  <c r="O175"/>
  <c r="J175"/>
  <c r="N175"/>
  <c r="R175"/>
  <c r="I175"/>
  <c r="M175"/>
  <c r="Q175"/>
  <c r="L175"/>
  <c r="P175"/>
  <c r="J186" i="11"/>
  <c r="H189" i="15"/>
  <c r="HC190" i="9"/>
  <c r="HE190"/>
  <c r="J194" i="11"/>
  <c r="H197" i="15"/>
  <c r="HC198" i="9"/>
  <c r="HE198"/>
  <c r="J202" i="11"/>
  <c r="H205" i="15"/>
  <c r="HC206" i="9"/>
  <c r="HE206"/>
  <c r="S18" i="12"/>
  <c r="H18"/>
  <c r="K18"/>
  <c r="O18"/>
  <c r="J18"/>
  <c r="N18"/>
  <c r="R18"/>
  <c r="I18"/>
  <c r="M18"/>
  <c r="Q18"/>
  <c r="L18"/>
  <c r="P18"/>
  <c r="S34"/>
  <c r="K34"/>
  <c r="O34"/>
  <c r="H34"/>
  <c r="J34"/>
  <c r="N34"/>
  <c r="R34"/>
  <c r="I34"/>
  <c r="M34"/>
  <c r="Q34"/>
  <c r="L34"/>
  <c r="P34"/>
  <c r="S50"/>
  <c r="K50"/>
  <c r="O50"/>
  <c r="H50"/>
  <c r="J50"/>
  <c r="N50"/>
  <c r="R50"/>
  <c r="I50"/>
  <c r="M50"/>
  <c r="Q50"/>
  <c r="L50"/>
  <c r="P50"/>
  <c r="S66"/>
  <c r="K66"/>
  <c r="O66"/>
  <c r="H66"/>
  <c r="J66"/>
  <c r="N66"/>
  <c r="R66"/>
  <c r="I66"/>
  <c r="M66"/>
  <c r="Q66"/>
  <c r="L66"/>
  <c r="P66"/>
  <c r="S82"/>
  <c r="K82"/>
  <c r="O82"/>
  <c r="H82"/>
  <c r="J82"/>
  <c r="N82"/>
  <c r="R82"/>
  <c r="I82"/>
  <c r="M82"/>
  <c r="Q82"/>
  <c r="L82"/>
  <c r="P82"/>
  <c r="S98"/>
  <c r="K98"/>
  <c r="O98"/>
  <c r="H98"/>
  <c r="J98"/>
  <c r="N98"/>
  <c r="R98"/>
  <c r="I98"/>
  <c r="M98"/>
  <c r="Q98"/>
  <c r="L98"/>
  <c r="P98"/>
  <c r="S114"/>
  <c r="H114"/>
  <c r="I114"/>
  <c r="M114"/>
  <c r="Q114"/>
  <c r="L114"/>
  <c r="P114"/>
  <c r="K114"/>
  <c r="O114"/>
  <c r="J114"/>
  <c r="N114"/>
  <c r="R114"/>
  <c r="S130"/>
  <c r="H130"/>
  <c r="I130"/>
  <c r="M130"/>
  <c r="Q130"/>
  <c r="L130"/>
  <c r="P130"/>
  <c r="K130"/>
  <c r="O130"/>
  <c r="J130"/>
  <c r="N130"/>
  <c r="R130"/>
  <c r="S146"/>
  <c r="H146"/>
  <c r="I146"/>
  <c r="M146"/>
  <c r="Q146"/>
  <c r="L146"/>
  <c r="P146"/>
  <c r="K146"/>
  <c r="O146"/>
  <c r="J146"/>
  <c r="N146"/>
  <c r="R146"/>
  <c r="S162"/>
  <c r="H162"/>
  <c r="I162"/>
  <c r="M162"/>
  <c r="Q162"/>
  <c r="L162"/>
  <c r="P162"/>
  <c r="K162"/>
  <c r="O162"/>
  <c r="J162"/>
  <c r="N162"/>
  <c r="R162"/>
  <c r="S178"/>
  <c r="H178"/>
  <c r="I178"/>
  <c r="M178"/>
  <c r="Q178"/>
  <c r="L178"/>
  <c r="P178"/>
  <c r="K178"/>
  <c r="O178"/>
  <c r="J178"/>
  <c r="N178"/>
  <c r="R178"/>
  <c r="S194"/>
  <c r="H194"/>
  <c r="I194"/>
  <c r="M194"/>
  <c r="Q194"/>
  <c r="L194"/>
  <c r="P194"/>
  <c r="K194"/>
  <c r="O194"/>
  <c r="J194"/>
  <c r="N194"/>
  <c r="R194"/>
  <c r="S25"/>
  <c r="I25"/>
  <c r="M25"/>
  <c r="Q25"/>
  <c r="L25"/>
  <c r="P25"/>
  <c r="H25"/>
  <c r="K25"/>
  <c r="O25"/>
  <c r="J25"/>
  <c r="N25"/>
  <c r="R25"/>
  <c r="S41"/>
  <c r="I41"/>
  <c r="M41"/>
  <c r="Q41"/>
  <c r="L41"/>
  <c r="P41"/>
  <c r="H41"/>
  <c r="K41"/>
  <c r="O41"/>
  <c r="J41"/>
  <c r="N41"/>
  <c r="R41"/>
  <c r="S57"/>
  <c r="I57"/>
  <c r="M57"/>
  <c r="Q57"/>
  <c r="L57"/>
  <c r="P57"/>
  <c r="H57"/>
  <c r="K57"/>
  <c r="O57"/>
  <c r="J57"/>
  <c r="N57"/>
  <c r="R57"/>
  <c r="S73"/>
  <c r="I73"/>
  <c r="M73"/>
  <c r="Q73"/>
  <c r="L73"/>
  <c r="P73"/>
  <c r="H73"/>
  <c r="K73"/>
  <c r="O73"/>
  <c r="J73"/>
  <c r="N73"/>
  <c r="R73"/>
  <c r="S89"/>
  <c r="I89"/>
  <c r="M89"/>
  <c r="Q89"/>
  <c r="L89"/>
  <c r="P89"/>
  <c r="H89"/>
  <c r="K89"/>
  <c r="O89"/>
  <c r="J89"/>
  <c r="N89"/>
  <c r="R89"/>
  <c r="S105"/>
  <c r="H105"/>
  <c r="K105"/>
  <c r="O105"/>
  <c r="J105"/>
  <c r="N105"/>
  <c r="R105"/>
  <c r="I105"/>
  <c r="M105"/>
  <c r="Q105"/>
  <c r="L105"/>
  <c r="P105"/>
  <c r="S121"/>
  <c r="H121"/>
  <c r="K121"/>
  <c r="O121"/>
  <c r="J121"/>
  <c r="N121"/>
  <c r="R121"/>
  <c r="I121"/>
  <c r="M121"/>
  <c r="Q121"/>
  <c r="L121"/>
  <c r="P121"/>
  <c r="S137"/>
  <c r="H137"/>
  <c r="K137"/>
  <c r="O137"/>
  <c r="J137"/>
  <c r="N137"/>
  <c r="R137"/>
  <c r="I137"/>
  <c r="M137"/>
  <c r="Q137"/>
  <c r="L137"/>
  <c r="P137"/>
  <c r="S153"/>
  <c r="H153"/>
  <c r="K153"/>
  <c r="O153"/>
  <c r="J153"/>
  <c r="N153"/>
  <c r="R153"/>
  <c r="I153"/>
  <c r="M153"/>
  <c r="Q153"/>
  <c r="L153"/>
  <c r="P153"/>
  <c r="S169"/>
  <c r="H169"/>
  <c r="K169"/>
  <c r="O169"/>
  <c r="J169"/>
  <c r="N169"/>
  <c r="R169"/>
  <c r="I169"/>
  <c r="M169"/>
  <c r="Q169"/>
  <c r="L169"/>
  <c r="P169"/>
  <c r="S185"/>
  <c r="H185"/>
  <c r="K185"/>
  <c r="O185"/>
  <c r="J185"/>
  <c r="N185"/>
  <c r="R185"/>
  <c r="I185"/>
  <c r="M185"/>
  <c r="Q185"/>
  <c r="L185"/>
  <c r="P185"/>
  <c r="S201"/>
  <c r="H201"/>
  <c r="K201"/>
  <c r="J201"/>
  <c r="N201"/>
  <c r="I201"/>
  <c r="M201"/>
  <c r="L201"/>
  <c r="P201"/>
  <c r="O201"/>
  <c r="R201"/>
  <c r="Q201"/>
  <c r="S28"/>
  <c r="K28"/>
  <c r="O28"/>
  <c r="J28"/>
  <c r="N28"/>
  <c r="R28"/>
  <c r="I28"/>
  <c r="M28"/>
  <c r="Q28"/>
  <c r="H28"/>
  <c r="L28"/>
  <c r="P28"/>
  <c r="S44"/>
  <c r="K44"/>
  <c r="O44"/>
  <c r="J44"/>
  <c r="N44"/>
  <c r="R44"/>
  <c r="I44"/>
  <c r="M44"/>
  <c r="Q44"/>
  <c r="H44"/>
  <c r="L44"/>
  <c r="P44"/>
  <c r="S60"/>
  <c r="K60"/>
  <c r="O60"/>
  <c r="J60"/>
  <c r="N60"/>
  <c r="R60"/>
  <c r="I60"/>
  <c r="M60"/>
  <c r="Q60"/>
  <c r="H60"/>
  <c r="L60"/>
  <c r="P60"/>
  <c r="S76"/>
  <c r="K76"/>
  <c r="O76"/>
  <c r="J76"/>
  <c r="N76"/>
  <c r="R76"/>
  <c r="I76"/>
  <c r="M76"/>
  <c r="Q76"/>
  <c r="H76"/>
  <c r="L76"/>
  <c r="P76"/>
  <c r="S92"/>
  <c r="K92"/>
  <c r="O92"/>
  <c r="J92"/>
  <c r="N92"/>
  <c r="R92"/>
  <c r="I92"/>
  <c r="M92"/>
  <c r="Q92"/>
  <c r="H92"/>
  <c r="L92"/>
  <c r="P92"/>
  <c r="S108"/>
  <c r="H108"/>
  <c r="I108"/>
  <c r="M108"/>
  <c r="Q108"/>
  <c r="L108"/>
  <c r="P108"/>
  <c r="K108"/>
  <c r="O108"/>
  <c r="J108"/>
  <c r="N108"/>
  <c r="R108"/>
  <c r="S124"/>
  <c r="H124"/>
  <c r="I124"/>
  <c r="M124"/>
  <c r="Q124"/>
  <c r="L124"/>
  <c r="P124"/>
  <c r="K124"/>
  <c r="O124"/>
  <c r="J124"/>
  <c r="N124"/>
  <c r="R124"/>
  <c r="S140"/>
  <c r="H140"/>
  <c r="I140"/>
  <c r="M140"/>
  <c r="Q140"/>
  <c r="L140"/>
  <c r="P140"/>
  <c r="K140"/>
  <c r="O140"/>
  <c r="J140"/>
  <c r="N140"/>
  <c r="R140"/>
  <c r="S156"/>
  <c r="H156"/>
  <c r="I156"/>
  <c r="M156"/>
  <c r="Q156"/>
  <c r="L156"/>
  <c r="P156"/>
  <c r="K156"/>
  <c r="O156"/>
  <c r="J156"/>
  <c r="N156"/>
  <c r="R156"/>
  <c r="S172"/>
  <c r="H172"/>
  <c r="I172"/>
  <c r="M172"/>
  <c r="Q172"/>
  <c r="L172"/>
  <c r="P172"/>
  <c r="K172"/>
  <c r="O172"/>
  <c r="J172"/>
  <c r="N172"/>
  <c r="R172"/>
  <c r="S188"/>
  <c r="H188"/>
  <c r="I188"/>
  <c r="M188"/>
  <c r="Q188"/>
  <c r="L188"/>
  <c r="P188"/>
  <c r="K188"/>
  <c r="O188"/>
  <c r="J188"/>
  <c r="N188"/>
  <c r="R188"/>
  <c r="J74" i="11"/>
  <c r="H77" i="15"/>
  <c r="HE78" i="9"/>
  <c r="HC78"/>
  <c r="J130" i="11"/>
  <c r="H133" i="15"/>
  <c r="HC134" i="9"/>
  <c r="HE134"/>
  <c r="S23" i="12"/>
  <c r="H23"/>
  <c r="I23"/>
  <c r="M23"/>
  <c r="Q23"/>
  <c r="L23"/>
  <c r="P23"/>
  <c r="K23"/>
  <c r="O23"/>
  <c r="J23"/>
  <c r="N23"/>
  <c r="R23"/>
  <c r="J54" i="11"/>
  <c r="H57" i="15"/>
  <c r="HC58" i="9"/>
  <c r="HE58"/>
  <c r="S71" i="12"/>
  <c r="H71"/>
  <c r="I71"/>
  <c r="M71"/>
  <c r="Q71"/>
  <c r="L71"/>
  <c r="P71"/>
  <c r="K71"/>
  <c r="O71"/>
  <c r="J71"/>
  <c r="N71"/>
  <c r="R71"/>
  <c r="S91"/>
  <c r="H91"/>
  <c r="I91"/>
  <c r="M91"/>
  <c r="Q91"/>
  <c r="L91"/>
  <c r="P91"/>
  <c r="K91"/>
  <c r="O91"/>
  <c r="J91"/>
  <c r="N91"/>
  <c r="R91"/>
  <c r="J150" i="11"/>
  <c r="H153" i="15"/>
  <c r="HC154" i="9"/>
  <c r="HE154"/>
  <c r="J166" i="11"/>
  <c r="H169" i="15"/>
  <c r="HE170" i="9"/>
  <c r="HC170"/>
  <c r="S183" i="12"/>
  <c r="H183"/>
  <c r="K183"/>
  <c r="O183"/>
  <c r="J183"/>
  <c r="N183"/>
  <c r="R183"/>
  <c r="I183"/>
  <c r="M183"/>
  <c r="Q183"/>
  <c r="L183"/>
  <c r="P183"/>
  <c r="S191"/>
  <c r="H191"/>
  <c r="K191"/>
  <c r="O191"/>
  <c r="J191"/>
  <c r="N191"/>
  <c r="R191"/>
  <c r="I191"/>
  <c r="M191"/>
  <c r="Q191"/>
  <c r="L191"/>
  <c r="P191"/>
  <c r="S30"/>
  <c r="K30"/>
  <c r="O30"/>
  <c r="H30"/>
  <c r="J30"/>
  <c r="N30"/>
  <c r="R30"/>
  <c r="I30"/>
  <c r="M30"/>
  <c r="Q30"/>
  <c r="L30"/>
  <c r="P30"/>
  <c r="S78"/>
  <c r="K78"/>
  <c r="O78"/>
  <c r="H78"/>
  <c r="J78"/>
  <c r="N78"/>
  <c r="R78"/>
  <c r="I78"/>
  <c r="M78"/>
  <c r="Q78"/>
  <c r="L78"/>
  <c r="P78"/>
  <c r="S94"/>
  <c r="K94"/>
  <c r="O94"/>
  <c r="H94"/>
  <c r="J94"/>
  <c r="N94"/>
  <c r="R94"/>
  <c r="I94"/>
  <c r="M94"/>
  <c r="Q94"/>
  <c r="L94"/>
  <c r="P94"/>
  <c r="S142"/>
  <c r="H142"/>
  <c r="I142"/>
  <c r="M142"/>
  <c r="Q142"/>
  <c r="L142"/>
  <c r="P142"/>
  <c r="K142"/>
  <c r="O142"/>
  <c r="J142"/>
  <c r="N142"/>
  <c r="R142"/>
  <c r="S174"/>
  <c r="H174"/>
  <c r="I174"/>
  <c r="M174"/>
  <c r="Q174"/>
  <c r="L174"/>
  <c r="P174"/>
  <c r="K174"/>
  <c r="O174"/>
  <c r="J174"/>
  <c r="N174"/>
  <c r="R174"/>
  <c r="S37"/>
  <c r="I37"/>
  <c r="M37"/>
  <c r="Q37"/>
  <c r="L37"/>
  <c r="P37"/>
  <c r="H37"/>
  <c r="K37"/>
  <c r="O37"/>
  <c r="J37"/>
  <c r="N37"/>
  <c r="R37"/>
  <c r="S53"/>
  <c r="I53"/>
  <c r="M53"/>
  <c r="Q53"/>
  <c r="L53"/>
  <c r="P53"/>
  <c r="H53"/>
  <c r="K53"/>
  <c r="O53"/>
  <c r="J53"/>
  <c r="N53"/>
  <c r="R53"/>
  <c r="S85"/>
  <c r="I85"/>
  <c r="M85"/>
  <c r="Q85"/>
  <c r="L85"/>
  <c r="P85"/>
  <c r="H85"/>
  <c r="K85"/>
  <c r="O85"/>
  <c r="J85"/>
  <c r="N85"/>
  <c r="R85"/>
  <c r="S133"/>
  <c r="H133"/>
  <c r="K133"/>
  <c r="O133"/>
  <c r="J133"/>
  <c r="N133"/>
  <c r="R133"/>
  <c r="I133"/>
  <c r="M133"/>
  <c r="Q133"/>
  <c r="L133"/>
  <c r="P133"/>
  <c r="S149"/>
  <c r="H149"/>
  <c r="K149"/>
  <c r="O149"/>
  <c r="J149"/>
  <c r="N149"/>
  <c r="R149"/>
  <c r="I149"/>
  <c r="M149"/>
  <c r="Q149"/>
  <c r="L149"/>
  <c r="P149"/>
  <c r="S181"/>
  <c r="H181"/>
  <c r="K181"/>
  <c r="O181"/>
  <c r="J181"/>
  <c r="N181"/>
  <c r="R181"/>
  <c r="I181"/>
  <c r="M181"/>
  <c r="Q181"/>
  <c r="L181"/>
  <c r="P181"/>
  <c r="S40"/>
  <c r="K40"/>
  <c r="O40"/>
  <c r="J40"/>
  <c r="N40"/>
  <c r="R40"/>
  <c r="I40"/>
  <c r="M40"/>
  <c r="Q40"/>
  <c r="H40"/>
  <c r="L40"/>
  <c r="P40"/>
  <c r="S72"/>
  <c r="K72"/>
  <c r="O72"/>
  <c r="J72"/>
  <c r="N72"/>
  <c r="R72"/>
  <c r="I72"/>
  <c r="M72"/>
  <c r="Q72"/>
  <c r="H72"/>
  <c r="L72"/>
  <c r="P72"/>
  <c r="S104"/>
  <c r="H104"/>
  <c r="I104"/>
  <c r="M104"/>
  <c r="Q104"/>
  <c r="L104"/>
  <c r="P104"/>
  <c r="K104"/>
  <c r="O104"/>
  <c r="J104"/>
  <c r="N104"/>
  <c r="R104"/>
  <c r="S136"/>
  <c r="H136"/>
  <c r="I136"/>
  <c r="M136"/>
  <c r="Q136"/>
  <c r="L136"/>
  <c r="P136"/>
  <c r="K136"/>
  <c r="O136"/>
  <c r="J136"/>
  <c r="N136"/>
  <c r="R136"/>
  <c r="S184"/>
  <c r="H184"/>
  <c r="I184"/>
  <c r="M184"/>
  <c r="Q184"/>
  <c r="L184"/>
  <c r="P184"/>
  <c r="K184"/>
  <c r="O184"/>
  <c r="J184"/>
  <c r="N184"/>
  <c r="R184"/>
  <c r="J66" i="11"/>
  <c r="H69" i="15"/>
  <c r="HC70" i="9"/>
  <c r="HE70"/>
  <c r="J178" i="11"/>
  <c r="H181" i="15"/>
  <c r="HE182" i="9"/>
  <c r="HC182"/>
  <c r="S19" i="12"/>
  <c r="I19"/>
  <c r="M19"/>
  <c r="Q19"/>
  <c r="L19"/>
  <c r="P19"/>
  <c r="K19"/>
  <c r="O19"/>
  <c r="H19"/>
  <c r="J19"/>
  <c r="N19"/>
  <c r="R19"/>
  <c r="S35"/>
  <c r="H35"/>
  <c r="I35"/>
  <c r="M35"/>
  <c r="Q35"/>
  <c r="L35"/>
  <c r="P35"/>
  <c r="K35"/>
  <c r="O35"/>
  <c r="J35"/>
  <c r="N35"/>
  <c r="R35"/>
  <c r="S43"/>
  <c r="H43"/>
  <c r="I43"/>
  <c r="M43"/>
  <c r="Q43"/>
  <c r="L43"/>
  <c r="P43"/>
  <c r="K43"/>
  <c r="O43"/>
  <c r="J43"/>
  <c r="N43"/>
  <c r="R43"/>
  <c r="S51"/>
  <c r="H51"/>
  <c r="I51"/>
  <c r="M51"/>
  <c r="Q51"/>
  <c r="L51"/>
  <c r="P51"/>
  <c r="K51"/>
  <c r="O51"/>
  <c r="J51"/>
  <c r="N51"/>
  <c r="R51"/>
  <c r="J58" i="11"/>
  <c r="H61" i="15"/>
  <c r="HE62" i="9"/>
  <c r="HC62"/>
  <c r="J70" i="11"/>
  <c r="H73" i="15"/>
  <c r="HE74" i="9"/>
  <c r="HC74"/>
  <c r="S79" i="12"/>
  <c r="H79"/>
  <c r="I79"/>
  <c r="M79"/>
  <c r="Q79"/>
  <c r="L79"/>
  <c r="P79"/>
  <c r="K79"/>
  <c r="O79"/>
  <c r="J79"/>
  <c r="N79"/>
  <c r="R79"/>
  <c r="J90" i="11"/>
  <c r="H93" i="15"/>
  <c r="HC94" i="9"/>
  <c r="HE94"/>
  <c r="J98" i="11"/>
  <c r="H101" i="15"/>
  <c r="HC102" i="9"/>
  <c r="HE102"/>
  <c r="J106" i="11"/>
  <c r="H109" i="15"/>
  <c r="HC110" i="9"/>
  <c r="HE110"/>
  <c r="S115" i="12"/>
  <c r="H115"/>
  <c r="K115"/>
  <c r="O115"/>
  <c r="J115"/>
  <c r="N115"/>
  <c r="R115"/>
  <c r="I115"/>
  <c r="M115"/>
  <c r="Q115"/>
  <c r="L115"/>
  <c r="P115"/>
  <c r="J126" i="11"/>
  <c r="H129" i="15"/>
  <c r="HC130" i="9"/>
  <c r="HE130"/>
  <c r="S135" i="12"/>
  <c r="H135"/>
  <c r="K135"/>
  <c r="O135"/>
  <c r="J135"/>
  <c r="N135"/>
  <c r="R135"/>
  <c r="I135"/>
  <c r="M135"/>
  <c r="Q135"/>
  <c r="L135"/>
  <c r="P135"/>
  <c r="S147"/>
  <c r="H147"/>
  <c r="K147"/>
  <c r="O147"/>
  <c r="J147"/>
  <c r="N147"/>
  <c r="R147"/>
  <c r="I147"/>
  <c r="M147"/>
  <c r="Q147"/>
  <c r="L147"/>
  <c r="P147"/>
  <c r="S155"/>
  <c r="H155"/>
  <c r="K155"/>
  <c r="O155"/>
  <c r="J155"/>
  <c r="N155"/>
  <c r="R155"/>
  <c r="I155"/>
  <c r="M155"/>
  <c r="Q155"/>
  <c r="L155"/>
  <c r="P155"/>
  <c r="S163"/>
  <c r="H163"/>
  <c r="K163"/>
  <c r="O163"/>
  <c r="J163"/>
  <c r="N163"/>
  <c r="R163"/>
  <c r="I163"/>
  <c r="M163"/>
  <c r="Q163"/>
  <c r="L163"/>
  <c r="P163"/>
  <c r="S171"/>
  <c r="H171"/>
  <c r="K171"/>
  <c r="O171"/>
  <c r="J171"/>
  <c r="N171"/>
  <c r="R171"/>
  <c r="I171"/>
  <c r="M171"/>
  <c r="Q171"/>
  <c r="L171"/>
  <c r="P171"/>
  <c r="J182" i="11"/>
  <c r="H185" i="15"/>
  <c r="HC186" i="9"/>
  <c r="HE186"/>
  <c r="J190" i="11"/>
  <c r="H193" i="15"/>
  <c r="HC194" i="9"/>
  <c r="HE194"/>
  <c r="S199" i="12"/>
  <c r="H199"/>
  <c r="K199"/>
  <c r="O199"/>
  <c r="J199"/>
  <c r="N199"/>
  <c r="R199"/>
  <c r="I199"/>
  <c r="M199"/>
  <c r="Q199"/>
  <c r="L199"/>
  <c r="P199"/>
  <c r="S26"/>
  <c r="K26"/>
  <c r="O26"/>
  <c r="H26"/>
  <c r="J26"/>
  <c r="N26"/>
  <c r="R26"/>
  <c r="I26"/>
  <c r="M26"/>
  <c r="Q26"/>
  <c r="L26"/>
  <c r="P26"/>
  <c r="S42"/>
  <c r="K42"/>
  <c r="O42"/>
  <c r="H42"/>
  <c r="J42"/>
  <c r="N42"/>
  <c r="R42"/>
  <c r="I42"/>
  <c r="M42"/>
  <c r="Q42"/>
  <c r="L42"/>
  <c r="P42"/>
  <c r="S58"/>
  <c r="K58"/>
  <c r="O58"/>
  <c r="H58"/>
  <c r="J58"/>
  <c r="N58"/>
  <c r="R58"/>
  <c r="I58"/>
  <c r="M58"/>
  <c r="Q58"/>
  <c r="L58"/>
  <c r="P58"/>
  <c r="S74"/>
  <c r="K74"/>
  <c r="O74"/>
  <c r="H74"/>
  <c r="J74"/>
  <c r="N74"/>
  <c r="R74"/>
  <c r="I74"/>
  <c r="M74"/>
  <c r="Q74"/>
  <c r="L74"/>
  <c r="P74"/>
  <c r="S90"/>
  <c r="K90"/>
  <c r="O90"/>
  <c r="H90"/>
  <c r="J90"/>
  <c r="N90"/>
  <c r="R90"/>
  <c r="I90"/>
  <c r="M90"/>
  <c r="Q90"/>
  <c r="L90"/>
  <c r="P90"/>
  <c r="S106"/>
  <c r="H106"/>
  <c r="I106"/>
  <c r="M106"/>
  <c r="Q106"/>
  <c r="L106"/>
  <c r="P106"/>
  <c r="K106"/>
  <c r="O106"/>
  <c r="J106"/>
  <c r="N106"/>
  <c r="R106"/>
  <c r="S122"/>
  <c r="H122"/>
  <c r="I122"/>
  <c r="M122"/>
  <c r="Q122"/>
  <c r="L122"/>
  <c r="P122"/>
  <c r="K122"/>
  <c r="O122"/>
  <c r="J122"/>
  <c r="N122"/>
  <c r="R122"/>
  <c r="S138"/>
  <c r="H138"/>
  <c r="I138"/>
  <c r="M138"/>
  <c r="Q138"/>
  <c r="L138"/>
  <c r="P138"/>
  <c r="K138"/>
  <c r="O138"/>
  <c r="J138"/>
  <c r="N138"/>
  <c r="R138"/>
  <c r="S154"/>
  <c r="H154"/>
  <c r="I154"/>
  <c r="M154"/>
  <c r="Q154"/>
  <c r="L154"/>
  <c r="P154"/>
  <c r="K154"/>
  <c r="O154"/>
  <c r="J154"/>
  <c r="N154"/>
  <c r="R154"/>
  <c r="S170"/>
  <c r="H170"/>
  <c r="I170"/>
  <c r="M170"/>
  <c r="Q170"/>
  <c r="L170"/>
  <c r="P170"/>
  <c r="K170"/>
  <c r="O170"/>
  <c r="J170"/>
  <c r="N170"/>
  <c r="R170"/>
  <c r="S186"/>
  <c r="H186"/>
  <c r="I186"/>
  <c r="M186"/>
  <c r="Q186"/>
  <c r="L186"/>
  <c r="P186"/>
  <c r="K186"/>
  <c r="O186"/>
  <c r="J186"/>
  <c r="N186"/>
  <c r="R186"/>
  <c r="S202"/>
  <c r="H202"/>
  <c r="J202"/>
  <c r="N202"/>
  <c r="R202"/>
  <c r="K202"/>
  <c r="O202"/>
  <c r="I202"/>
  <c r="M202"/>
  <c r="Q202"/>
  <c r="L202"/>
  <c r="P202"/>
  <c r="S17"/>
  <c r="I17"/>
  <c r="M17"/>
  <c r="Q17"/>
  <c r="H17"/>
  <c r="L17"/>
  <c r="P17"/>
  <c r="K17"/>
  <c r="O17"/>
  <c r="J17"/>
  <c r="N17"/>
  <c r="R17"/>
  <c r="S33"/>
  <c r="I33"/>
  <c r="M33"/>
  <c r="Q33"/>
  <c r="L33"/>
  <c r="P33"/>
  <c r="H33"/>
  <c r="K33"/>
  <c r="O33"/>
  <c r="J33"/>
  <c r="N33"/>
  <c r="R33"/>
  <c r="S49"/>
  <c r="I49"/>
  <c r="M49"/>
  <c r="Q49"/>
  <c r="L49"/>
  <c r="P49"/>
  <c r="H49"/>
  <c r="K49"/>
  <c r="O49"/>
  <c r="J49"/>
  <c r="N49"/>
  <c r="R49"/>
  <c r="S65"/>
  <c r="I65"/>
  <c r="M65"/>
  <c r="Q65"/>
  <c r="L65"/>
  <c r="P65"/>
  <c r="H65"/>
  <c r="K65"/>
  <c r="O65"/>
  <c r="J65"/>
  <c r="N65"/>
  <c r="R65"/>
  <c r="S81"/>
  <c r="I81"/>
  <c r="M81"/>
  <c r="Q81"/>
  <c r="L81"/>
  <c r="P81"/>
  <c r="H81"/>
  <c r="K81"/>
  <c r="O81"/>
  <c r="J81"/>
  <c r="N81"/>
  <c r="R81"/>
  <c r="S97"/>
  <c r="I97"/>
  <c r="M97"/>
  <c r="Q97"/>
  <c r="L97"/>
  <c r="P97"/>
  <c r="H97"/>
  <c r="K97"/>
  <c r="O97"/>
  <c r="J97"/>
  <c r="N97"/>
  <c r="R97"/>
  <c r="S113"/>
  <c r="H113"/>
  <c r="K113"/>
  <c r="O113"/>
  <c r="J113"/>
  <c r="N113"/>
  <c r="R113"/>
  <c r="I113"/>
  <c r="M113"/>
  <c r="Q113"/>
  <c r="L113"/>
  <c r="P113"/>
  <c r="S129"/>
  <c r="H129"/>
  <c r="K129"/>
  <c r="O129"/>
  <c r="J129"/>
  <c r="N129"/>
  <c r="R129"/>
  <c r="I129"/>
  <c r="M129"/>
  <c r="Q129"/>
  <c r="L129"/>
  <c r="P129"/>
  <c r="S145"/>
  <c r="H145"/>
  <c r="K145"/>
  <c r="O145"/>
  <c r="J145"/>
  <c r="N145"/>
  <c r="R145"/>
  <c r="I145"/>
  <c r="M145"/>
  <c r="Q145"/>
  <c r="L145"/>
  <c r="P145"/>
  <c r="S161"/>
  <c r="H161"/>
  <c r="K161"/>
  <c r="O161"/>
  <c r="J161"/>
  <c r="N161"/>
  <c r="R161"/>
  <c r="I161"/>
  <c r="M161"/>
  <c r="Q161"/>
  <c r="L161"/>
  <c r="P161"/>
  <c r="S177"/>
  <c r="H177"/>
  <c r="K177"/>
  <c r="O177"/>
  <c r="J177"/>
  <c r="N177"/>
  <c r="R177"/>
  <c r="I177"/>
  <c r="M177"/>
  <c r="Q177"/>
  <c r="L177"/>
  <c r="P177"/>
  <c r="S193"/>
  <c r="H193"/>
  <c r="K193"/>
  <c r="O193"/>
  <c r="J193"/>
  <c r="N193"/>
  <c r="R193"/>
  <c r="I193"/>
  <c r="M193"/>
  <c r="Q193"/>
  <c r="L193"/>
  <c r="P193"/>
  <c r="S20"/>
  <c r="K20"/>
  <c r="O20"/>
  <c r="J20"/>
  <c r="N20"/>
  <c r="R20"/>
  <c r="H20"/>
  <c r="I20"/>
  <c r="M20"/>
  <c r="Q20"/>
  <c r="L20"/>
  <c r="P20"/>
  <c r="S36"/>
  <c r="K36"/>
  <c r="O36"/>
  <c r="J36"/>
  <c r="N36"/>
  <c r="R36"/>
  <c r="I36"/>
  <c r="M36"/>
  <c r="Q36"/>
  <c r="H36"/>
  <c r="L36"/>
  <c r="P36"/>
  <c r="S52"/>
  <c r="K52"/>
  <c r="O52"/>
  <c r="J52"/>
  <c r="N52"/>
  <c r="R52"/>
  <c r="I52"/>
  <c r="M52"/>
  <c r="Q52"/>
  <c r="H52"/>
  <c r="L52"/>
  <c r="P52"/>
  <c r="S68"/>
  <c r="K68"/>
  <c r="O68"/>
  <c r="J68"/>
  <c r="N68"/>
  <c r="R68"/>
  <c r="I68"/>
  <c r="M68"/>
  <c r="Q68"/>
  <c r="H68"/>
  <c r="L68"/>
  <c r="P68"/>
  <c r="S84"/>
  <c r="K84"/>
  <c r="O84"/>
  <c r="J84"/>
  <c r="N84"/>
  <c r="R84"/>
  <c r="I84"/>
  <c r="M84"/>
  <c r="Q84"/>
  <c r="H84"/>
  <c r="L84"/>
  <c r="P84"/>
  <c r="S100"/>
  <c r="H100"/>
  <c r="I100"/>
  <c r="M100"/>
  <c r="Q100"/>
  <c r="L100"/>
  <c r="P100"/>
  <c r="K100"/>
  <c r="O100"/>
  <c r="J100"/>
  <c r="N100"/>
  <c r="R100"/>
  <c r="S116"/>
  <c r="H116"/>
  <c r="I116"/>
  <c r="M116"/>
  <c r="Q116"/>
  <c r="L116"/>
  <c r="P116"/>
  <c r="K116"/>
  <c r="O116"/>
  <c r="J116"/>
  <c r="N116"/>
  <c r="R116"/>
  <c r="S132"/>
  <c r="H132"/>
  <c r="I132"/>
  <c r="M132"/>
  <c r="Q132"/>
  <c r="L132"/>
  <c r="P132"/>
  <c r="K132"/>
  <c r="O132"/>
  <c r="J132"/>
  <c r="N132"/>
  <c r="R132"/>
  <c r="S148"/>
  <c r="H148"/>
  <c r="I148"/>
  <c r="M148"/>
  <c r="Q148"/>
  <c r="L148"/>
  <c r="P148"/>
  <c r="K148"/>
  <c r="O148"/>
  <c r="J148"/>
  <c r="N148"/>
  <c r="R148"/>
  <c r="S164"/>
  <c r="H164"/>
  <c r="I164"/>
  <c r="M164"/>
  <c r="Q164"/>
  <c r="L164"/>
  <c r="P164"/>
  <c r="K164"/>
  <c r="O164"/>
  <c r="J164"/>
  <c r="N164"/>
  <c r="R164"/>
  <c r="S180"/>
  <c r="H180"/>
  <c r="I180"/>
  <c r="M180"/>
  <c r="Q180"/>
  <c r="L180"/>
  <c r="P180"/>
  <c r="K180"/>
  <c r="O180"/>
  <c r="J180"/>
  <c r="N180"/>
  <c r="R180"/>
  <c r="S196"/>
  <c r="H196"/>
  <c r="I196"/>
  <c r="M196"/>
  <c r="Q196"/>
  <c r="L196"/>
  <c r="P196"/>
  <c r="K196"/>
  <c r="O196"/>
  <c r="J196"/>
  <c r="N196"/>
  <c r="R196"/>
  <c r="J34" i="11"/>
  <c r="H37" i="15"/>
  <c r="HE38" i="9"/>
  <c r="HC38"/>
  <c r="J114" i="11"/>
  <c r="H117" i="15"/>
  <c r="HC118" i="9"/>
  <c r="HE118"/>
  <c r="J146" i="11"/>
  <c r="H149" i="15"/>
  <c r="HE150" i="9"/>
  <c r="HC150"/>
  <c r="J38" i="11"/>
  <c r="H41" i="15"/>
  <c r="HE42" i="9"/>
  <c r="HC42"/>
  <c r="J62" i="11"/>
  <c r="H65" i="15"/>
  <c r="HE66" i="9"/>
  <c r="HC66"/>
  <c r="S83" i="12"/>
  <c r="H83"/>
  <c r="I83"/>
  <c r="M83"/>
  <c r="Q83"/>
  <c r="L83"/>
  <c r="P83"/>
  <c r="K83"/>
  <c r="O83"/>
  <c r="J83"/>
  <c r="N83"/>
  <c r="R83"/>
  <c r="S99"/>
  <c r="H99"/>
  <c r="K99"/>
  <c r="O99"/>
  <c r="J99"/>
  <c r="N99"/>
  <c r="R99"/>
  <c r="I99"/>
  <c r="M99"/>
  <c r="Q99"/>
  <c r="L99"/>
  <c r="P99"/>
  <c r="S107"/>
  <c r="H107"/>
  <c r="K107"/>
  <c r="O107"/>
  <c r="J107"/>
  <c r="N107"/>
  <c r="R107"/>
  <c r="I107"/>
  <c r="M107"/>
  <c r="Q107"/>
  <c r="L107"/>
  <c r="P107"/>
  <c r="S127"/>
  <c r="H127"/>
  <c r="K127"/>
  <c r="O127"/>
  <c r="J127"/>
  <c r="N127"/>
  <c r="R127"/>
  <c r="I127"/>
  <c r="M127"/>
  <c r="Q127"/>
  <c r="L127"/>
  <c r="P127"/>
  <c r="J158" i="11"/>
  <c r="H161" i="15"/>
  <c r="HE162" i="9"/>
  <c r="HC162"/>
  <c r="J198" i="11"/>
  <c r="H201" i="15"/>
  <c r="HE202" i="9"/>
  <c r="HC202"/>
  <c r="S62" i="12"/>
  <c r="K62"/>
  <c r="O62"/>
  <c r="H62"/>
  <c r="J62"/>
  <c r="N62"/>
  <c r="R62"/>
  <c r="I62"/>
  <c r="M62"/>
  <c r="Q62"/>
  <c r="L62"/>
  <c r="P62"/>
  <c r="S110"/>
  <c r="H110"/>
  <c r="I110"/>
  <c r="M110"/>
  <c r="Q110"/>
  <c r="L110"/>
  <c r="P110"/>
  <c r="K110"/>
  <c r="O110"/>
  <c r="J110"/>
  <c r="N110"/>
  <c r="R110"/>
  <c r="S126"/>
  <c r="H126"/>
  <c r="I126"/>
  <c r="M126"/>
  <c r="Q126"/>
  <c r="L126"/>
  <c r="P126"/>
  <c r="K126"/>
  <c r="O126"/>
  <c r="J126"/>
  <c r="N126"/>
  <c r="R126"/>
  <c r="S158"/>
  <c r="H158"/>
  <c r="I158"/>
  <c r="M158"/>
  <c r="Q158"/>
  <c r="L158"/>
  <c r="P158"/>
  <c r="K158"/>
  <c r="O158"/>
  <c r="J158"/>
  <c r="N158"/>
  <c r="R158"/>
  <c r="S204"/>
  <c r="H204"/>
  <c r="J204"/>
  <c r="N204"/>
  <c r="R204"/>
  <c r="O204"/>
  <c r="I204"/>
  <c r="M204"/>
  <c r="Q204"/>
  <c r="L204"/>
  <c r="P204"/>
  <c r="K204"/>
  <c r="S21"/>
  <c r="I21"/>
  <c r="M21"/>
  <c r="Q21"/>
  <c r="H21"/>
  <c r="L21"/>
  <c r="P21"/>
  <c r="K21"/>
  <c r="O21"/>
  <c r="J21"/>
  <c r="N21"/>
  <c r="R21"/>
  <c r="S69"/>
  <c r="I69"/>
  <c r="M69"/>
  <c r="Q69"/>
  <c r="L69"/>
  <c r="P69"/>
  <c r="H69"/>
  <c r="K69"/>
  <c r="O69"/>
  <c r="J69"/>
  <c r="N69"/>
  <c r="R69"/>
  <c r="S101"/>
  <c r="H101"/>
  <c r="K101"/>
  <c r="O101"/>
  <c r="J101"/>
  <c r="N101"/>
  <c r="R101"/>
  <c r="I101"/>
  <c r="M101"/>
  <c r="Q101"/>
  <c r="L101"/>
  <c r="P101"/>
  <c r="S117"/>
  <c r="H117"/>
  <c r="K117"/>
  <c r="O117"/>
  <c r="J117"/>
  <c r="N117"/>
  <c r="R117"/>
  <c r="I117"/>
  <c r="M117"/>
  <c r="Q117"/>
  <c r="L117"/>
  <c r="P117"/>
  <c r="S165"/>
  <c r="H165"/>
  <c r="K165"/>
  <c r="O165"/>
  <c r="J165"/>
  <c r="N165"/>
  <c r="R165"/>
  <c r="I165"/>
  <c r="M165"/>
  <c r="Q165"/>
  <c r="L165"/>
  <c r="P165"/>
  <c r="S197"/>
  <c r="H197"/>
  <c r="K197"/>
  <c r="O197"/>
  <c r="J197"/>
  <c r="N197"/>
  <c r="R197"/>
  <c r="I197"/>
  <c r="M197"/>
  <c r="Q197"/>
  <c r="L197"/>
  <c r="P197"/>
  <c r="S24"/>
  <c r="K24"/>
  <c r="O24"/>
  <c r="J24"/>
  <c r="N24"/>
  <c r="R24"/>
  <c r="I24"/>
  <c r="M24"/>
  <c r="Q24"/>
  <c r="H24"/>
  <c r="L24"/>
  <c r="P24"/>
  <c r="S56"/>
  <c r="K56"/>
  <c r="O56"/>
  <c r="J56"/>
  <c r="N56"/>
  <c r="R56"/>
  <c r="I56"/>
  <c r="M56"/>
  <c r="Q56"/>
  <c r="H56"/>
  <c r="L56"/>
  <c r="P56"/>
  <c r="S88"/>
  <c r="K88"/>
  <c r="O88"/>
  <c r="J88"/>
  <c r="N88"/>
  <c r="R88"/>
  <c r="I88"/>
  <c r="M88"/>
  <c r="Q88"/>
  <c r="H88"/>
  <c r="L88"/>
  <c r="P88"/>
  <c r="S120"/>
  <c r="H120"/>
  <c r="I120"/>
  <c r="M120"/>
  <c r="Q120"/>
  <c r="L120"/>
  <c r="P120"/>
  <c r="K120"/>
  <c r="O120"/>
  <c r="J120"/>
  <c r="N120"/>
  <c r="R120"/>
  <c r="S152"/>
  <c r="H152"/>
  <c r="I152"/>
  <c r="M152"/>
  <c r="Q152"/>
  <c r="L152"/>
  <c r="P152"/>
  <c r="K152"/>
  <c r="O152"/>
  <c r="J152"/>
  <c r="N152"/>
  <c r="R152"/>
  <c r="S168"/>
  <c r="H168"/>
  <c r="I168"/>
  <c r="M168"/>
  <c r="Q168"/>
  <c r="L168"/>
  <c r="P168"/>
  <c r="K168"/>
  <c r="O168"/>
  <c r="J168"/>
  <c r="N168"/>
  <c r="R168"/>
  <c r="S200"/>
  <c r="H200"/>
  <c r="I200"/>
  <c r="M200"/>
  <c r="Q200"/>
  <c r="L200"/>
  <c r="P200"/>
  <c r="K200"/>
  <c r="O200"/>
  <c r="J200"/>
  <c r="N200"/>
  <c r="R200"/>
  <c r="J122" i="11"/>
  <c r="H125" i="15"/>
  <c r="HE126" i="9"/>
  <c r="HC126"/>
  <c r="S31" i="12"/>
  <c r="H31"/>
  <c r="I31"/>
  <c r="M31"/>
  <c r="Q31"/>
  <c r="L31"/>
  <c r="P31"/>
  <c r="K31"/>
  <c r="O31"/>
  <c r="J31"/>
  <c r="N31"/>
  <c r="R31"/>
  <c r="J42" i="11"/>
  <c r="H45" i="15"/>
  <c r="HC46" i="9"/>
  <c r="HE46"/>
  <c r="J50" i="11"/>
  <c r="H53" i="15"/>
  <c r="HE54" i="9"/>
  <c r="HC54"/>
  <c r="S59" i="12"/>
  <c r="H59"/>
  <c r="I59"/>
  <c r="M59"/>
  <c r="Q59"/>
  <c r="L59"/>
  <c r="P59"/>
  <c r="K59"/>
  <c r="O59"/>
  <c r="J59"/>
  <c r="N59"/>
  <c r="R59"/>
  <c r="S67"/>
  <c r="H67"/>
  <c r="I67"/>
  <c r="M67"/>
  <c r="Q67"/>
  <c r="L67"/>
  <c r="P67"/>
  <c r="K67"/>
  <c r="O67"/>
  <c r="J67"/>
  <c r="N67"/>
  <c r="R67"/>
  <c r="J78" i="11"/>
  <c r="H81" i="15"/>
  <c r="HC82" i="9"/>
  <c r="HE82"/>
  <c r="S87" i="12"/>
  <c r="H87"/>
  <c r="I87"/>
  <c r="M87"/>
  <c r="Q87"/>
  <c r="L87"/>
  <c r="P87"/>
  <c r="K87"/>
  <c r="O87"/>
  <c r="J87"/>
  <c r="N87"/>
  <c r="R87"/>
  <c r="S95"/>
  <c r="H95"/>
  <c r="I95"/>
  <c r="M95"/>
  <c r="Q95"/>
  <c r="L95"/>
  <c r="P95"/>
  <c r="K95"/>
  <c r="O95"/>
  <c r="J95"/>
  <c r="N95"/>
  <c r="R95"/>
  <c r="S103"/>
  <c r="H103"/>
  <c r="K103"/>
  <c r="O103"/>
  <c r="J103"/>
  <c r="N103"/>
  <c r="R103"/>
  <c r="I103"/>
  <c r="M103"/>
  <c r="Q103"/>
  <c r="L103"/>
  <c r="P103"/>
  <c r="S111"/>
  <c r="H111"/>
  <c r="K111"/>
  <c r="O111"/>
  <c r="J111"/>
  <c r="N111"/>
  <c r="R111"/>
  <c r="I111"/>
  <c r="M111"/>
  <c r="Q111"/>
  <c r="L111"/>
  <c r="P111"/>
  <c r="S123"/>
  <c r="H123"/>
  <c r="K123"/>
  <c r="O123"/>
  <c r="J123"/>
  <c r="N123"/>
  <c r="R123"/>
  <c r="I123"/>
  <c r="M123"/>
  <c r="Q123"/>
  <c r="L123"/>
  <c r="P123"/>
  <c r="J134" i="11"/>
  <c r="H137" i="15"/>
  <c r="HE138" i="9"/>
  <c r="HC138"/>
  <c r="S143" i="12"/>
  <c r="H143"/>
  <c r="K143"/>
  <c r="O143"/>
  <c r="J143"/>
  <c r="N143"/>
  <c r="R143"/>
  <c r="I143"/>
  <c r="M143"/>
  <c r="Q143"/>
  <c r="L143"/>
  <c r="P143"/>
  <c r="J154" i="11"/>
  <c r="H157" i="15"/>
  <c r="HC158" i="9"/>
  <c r="HE158"/>
  <c r="J162" i="11"/>
  <c r="H165" i="15"/>
  <c r="HC166" i="9"/>
  <c r="HE166"/>
  <c r="J170" i="11"/>
  <c r="H173" i="15"/>
  <c r="HC174" i="9"/>
  <c r="HE174"/>
  <c r="S179" i="12"/>
  <c r="H179"/>
  <c r="K179"/>
  <c r="O179"/>
  <c r="J179"/>
  <c r="N179"/>
  <c r="R179"/>
  <c r="I179"/>
  <c r="M179"/>
  <c r="Q179"/>
  <c r="L179"/>
  <c r="P179"/>
  <c r="S187"/>
  <c r="H187"/>
  <c r="K187"/>
  <c r="O187"/>
  <c r="J187"/>
  <c r="N187"/>
  <c r="R187"/>
  <c r="I187"/>
  <c r="M187"/>
  <c r="Q187"/>
  <c r="L187"/>
  <c r="P187"/>
  <c r="S195"/>
  <c r="H195"/>
  <c r="K195"/>
  <c r="O195"/>
  <c r="J195"/>
  <c r="N195"/>
  <c r="R195"/>
  <c r="I195"/>
  <c r="M195"/>
  <c r="Q195"/>
  <c r="L195"/>
  <c r="P195"/>
  <c r="S203"/>
  <c r="H203"/>
  <c r="L203"/>
  <c r="P203"/>
  <c r="M203"/>
  <c r="Q203"/>
  <c r="K203"/>
  <c r="O203"/>
  <c r="J203"/>
  <c r="N203"/>
  <c r="R203"/>
  <c r="I203"/>
  <c r="S22"/>
  <c r="K22"/>
  <c r="O22"/>
  <c r="J22"/>
  <c r="N22"/>
  <c r="R22"/>
  <c r="I22"/>
  <c r="M22"/>
  <c r="Q22"/>
  <c r="H22"/>
  <c r="L22"/>
  <c r="P22"/>
  <c r="S38"/>
  <c r="K38"/>
  <c r="O38"/>
  <c r="H38"/>
  <c r="J38"/>
  <c r="N38"/>
  <c r="R38"/>
  <c r="I38"/>
  <c r="M38"/>
  <c r="Q38"/>
  <c r="L38"/>
  <c r="P38"/>
  <c r="S54"/>
  <c r="K54"/>
  <c r="O54"/>
  <c r="H54"/>
  <c r="J54"/>
  <c r="N54"/>
  <c r="R54"/>
  <c r="I54"/>
  <c r="M54"/>
  <c r="Q54"/>
  <c r="L54"/>
  <c r="P54"/>
  <c r="S70"/>
  <c r="K70"/>
  <c r="O70"/>
  <c r="H70"/>
  <c r="J70"/>
  <c r="N70"/>
  <c r="R70"/>
  <c r="I70"/>
  <c r="M70"/>
  <c r="Q70"/>
  <c r="L70"/>
  <c r="P70"/>
  <c r="S86"/>
  <c r="K86"/>
  <c r="O86"/>
  <c r="H86"/>
  <c r="J86"/>
  <c r="N86"/>
  <c r="R86"/>
  <c r="I86"/>
  <c r="M86"/>
  <c r="Q86"/>
  <c r="L86"/>
  <c r="P86"/>
  <c r="S102"/>
  <c r="H102"/>
  <c r="I102"/>
  <c r="M102"/>
  <c r="Q102"/>
  <c r="L102"/>
  <c r="P102"/>
  <c r="K102"/>
  <c r="O102"/>
  <c r="J102"/>
  <c r="N102"/>
  <c r="R102"/>
  <c r="S118"/>
  <c r="H118"/>
  <c r="I118"/>
  <c r="M118"/>
  <c r="Q118"/>
  <c r="L118"/>
  <c r="P118"/>
  <c r="K118"/>
  <c r="O118"/>
  <c r="J118"/>
  <c r="N118"/>
  <c r="R118"/>
  <c r="S134"/>
  <c r="H134"/>
  <c r="I134"/>
  <c r="M134"/>
  <c r="Q134"/>
  <c r="L134"/>
  <c r="P134"/>
  <c r="K134"/>
  <c r="O134"/>
  <c r="J134"/>
  <c r="N134"/>
  <c r="R134"/>
  <c r="S150"/>
  <c r="H150"/>
  <c r="I150"/>
  <c r="M150"/>
  <c r="Q150"/>
  <c r="L150"/>
  <c r="P150"/>
  <c r="K150"/>
  <c r="O150"/>
  <c r="J150"/>
  <c r="N150"/>
  <c r="R150"/>
  <c r="S166"/>
  <c r="H166"/>
  <c r="I166"/>
  <c r="M166"/>
  <c r="Q166"/>
  <c r="L166"/>
  <c r="P166"/>
  <c r="K166"/>
  <c r="O166"/>
  <c r="J166"/>
  <c r="N166"/>
  <c r="R166"/>
  <c r="S182"/>
  <c r="H182"/>
  <c r="I182"/>
  <c r="M182"/>
  <c r="Q182"/>
  <c r="L182"/>
  <c r="P182"/>
  <c r="K182"/>
  <c r="O182"/>
  <c r="J182"/>
  <c r="N182"/>
  <c r="R182"/>
  <c r="S198"/>
  <c r="H198"/>
  <c r="I198"/>
  <c r="M198"/>
  <c r="Q198"/>
  <c r="L198"/>
  <c r="P198"/>
  <c r="K198"/>
  <c r="O198"/>
  <c r="J198"/>
  <c r="N198"/>
  <c r="R198"/>
  <c r="S29"/>
  <c r="I29"/>
  <c r="M29"/>
  <c r="Q29"/>
  <c r="L29"/>
  <c r="P29"/>
  <c r="H29"/>
  <c r="K29"/>
  <c r="O29"/>
  <c r="J29"/>
  <c r="N29"/>
  <c r="R29"/>
  <c r="S45"/>
  <c r="I45"/>
  <c r="M45"/>
  <c r="Q45"/>
  <c r="L45"/>
  <c r="P45"/>
  <c r="H45"/>
  <c r="K45"/>
  <c r="O45"/>
  <c r="J45"/>
  <c r="N45"/>
  <c r="R45"/>
  <c r="S61"/>
  <c r="I61"/>
  <c r="M61"/>
  <c r="Q61"/>
  <c r="L61"/>
  <c r="P61"/>
  <c r="H61"/>
  <c r="K61"/>
  <c r="O61"/>
  <c r="J61"/>
  <c r="N61"/>
  <c r="R61"/>
  <c r="S77"/>
  <c r="I77"/>
  <c r="M77"/>
  <c r="Q77"/>
  <c r="L77"/>
  <c r="P77"/>
  <c r="H77"/>
  <c r="K77"/>
  <c r="O77"/>
  <c r="J77"/>
  <c r="N77"/>
  <c r="R77"/>
  <c r="S93"/>
  <c r="I93"/>
  <c r="M93"/>
  <c r="Q93"/>
  <c r="L93"/>
  <c r="P93"/>
  <c r="H93"/>
  <c r="K93"/>
  <c r="O93"/>
  <c r="J93"/>
  <c r="N93"/>
  <c r="R93"/>
  <c r="S109"/>
  <c r="H109"/>
  <c r="K109"/>
  <c r="O109"/>
  <c r="J109"/>
  <c r="N109"/>
  <c r="R109"/>
  <c r="I109"/>
  <c r="M109"/>
  <c r="Q109"/>
  <c r="L109"/>
  <c r="P109"/>
  <c r="S125"/>
  <c r="H125"/>
  <c r="K125"/>
  <c r="O125"/>
  <c r="J125"/>
  <c r="N125"/>
  <c r="R125"/>
  <c r="I125"/>
  <c r="M125"/>
  <c r="Q125"/>
  <c r="L125"/>
  <c r="P125"/>
  <c r="S141"/>
  <c r="H141"/>
  <c r="K141"/>
  <c r="O141"/>
  <c r="J141"/>
  <c r="N141"/>
  <c r="R141"/>
  <c r="I141"/>
  <c r="M141"/>
  <c r="Q141"/>
  <c r="L141"/>
  <c r="P141"/>
  <c r="S157"/>
  <c r="H157"/>
  <c r="K157"/>
  <c r="O157"/>
  <c r="J157"/>
  <c r="N157"/>
  <c r="R157"/>
  <c r="I157"/>
  <c r="M157"/>
  <c r="Q157"/>
  <c r="L157"/>
  <c r="P157"/>
  <c r="S173"/>
  <c r="H173"/>
  <c r="K173"/>
  <c r="O173"/>
  <c r="J173"/>
  <c r="N173"/>
  <c r="R173"/>
  <c r="I173"/>
  <c r="M173"/>
  <c r="Q173"/>
  <c r="L173"/>
  <c r="P173"/>
  <c r="S189"/>
  <c r="H189"/>
  <c r="K189"/>
  <c r="O189"/>
  <c r="J189"/>
  <c r="N189"/>
  <c r="R189"/>
  <c r="I189"/>
  <c r="M189"/>
  <c r="Q189"/>
  <c r="L189"/>
  <c r="P189"/>
  <c r="S16"/>
  <c r="K16"/>
  <c r="O16"/>
  <c r="J16"/>
  <c r="N16"/>
  <c r="R16"/>
  <c r="H16"/>
  <c r="I16"/>
  <c r="M16"/>
  <c r="Q16"/>
  <c r="F207"/>
  <c r="L16"/>
  <c r="P16"/>
  <c r="S32"/>
  <c r="K32"/>
  <c r="O32"/>
  <c r="J32"/>
  <c r="N32"/>
  <c r="R32"/>
  <c r="I32"/>
  <c r="M32"/>
  <c r="Q32"/>
  <c r="H32"/>
  <c r="L32"/>
  <c r="P32"/>
  <c r="S48"/>
  <c r="K48"/>
  <c r="O48"/>
  <c r="J48"/>
  <c r="N48"/>
  <c r="R48"/>
  <c r="I48"/>
  <c r="M48"/>
  <c r="Q48"/>
  <c r="H48"/>
  <c r="L48"/>
  <c r="P48"/>
  <c r="S64"/>
  <c r="K64"/>
  <c r="O64"/>
  <c r="J64"/>
  <c r="N64"/>
  <c r="R64"/>
  <c r="I64"/>
  <c r="M64"/>
  <c r="Q64"/>
  <c r="H64"/>
  <c r="L64"/>
  <c r="P64"/>
  <c r="S80"/>
  <c r="K80"/>
  <c r="O80"/>
  <c r="J80"/>
  <c r="N80"/>
  <c r="R80"/>
  <c r="I80"/>
  <c r="M80"/>
  <c r="Q80"/>
  <c r="H80"/>
  <c r="L80"/>
  <c r="P80"/>
  <c r="S96"/>
  <c r="K96"/>
  <c r="O96"/>
  <c r="J96"/>
  <c r="N96"/>
  <c r="R96"/>
  <c r="I96"/>
  <c r="M96"/>
  <c r="Q96"/>
  <c r="H96"/>
  <c r="L96"/>
  <c r="P96"/>
  <c r="S112"/>
  <c r="H112"/>
  <c r="I112"/>
  <c r="M112"/>
  <c r="Q112"/>
  <c r="L112"/>
  <c r="P112"/>
  <c r="K112"/>
  <c r="O112"/>
  <c r="J112"/>
  <c r="N112"/>
  <c r="R112"/>
  <c r="S128"/>
  <c r="H128"/>
  <c r="I128"/>
  <c r="M128"/>
  <c r="Q128"/>
  <c r="L128"/>
  <c r="P128"/>
  <c r="K128"/>
  <c r="O128"/>
  <c r="J128"/>
  <c r="N128"/>
  <c r="R128"/>
  <c r="S144"/>
  <c r="H144"/>
  <c r="I144"/>
  <c r="M144"/>
  <c r="Q144"/>
  <c r="L144"/>
  <c r="P144"/>
  <c r="K144"/>
  <c r="O144"/>
  <c r="J144"/>
  <c r="N144"/>
  <c r="R144"/>
  <c r="S160"/>
  <c r="H160"/>
  <c r="I160"/>
  <c r="M160"/>
  <c r="Q160"/>
  <c r="L160"/>
  <c r="P160"/>
  <c r="K160"/>
  <c r="O160"/>
  <c r="J160"/>
  <c r="N160"/>
  <c r="R160"/>
  <c r="S176"/>
  <c r="H176"/>
  <c r="I176"/>
  <c r="M176"/>
  <c r="Q176"/>
  <c r="L176"/>
  <c r="P176"/>
  <c r="K176"/>
  <c r="O176"/>
  <c r="J176"/>
  <c r="N176"/>
  <c r="R176"/>
  <c r="S192"/>
  <c r="H192"/>
  <c r="I192"/>
  <c r="M192"/>
  <c r="Q192"/>
  <c r="L192"/>
  <c r="P192"/>
  <c r="K192"/>
  <c r="O192"/>
  <c r="J192"/>
  <c r="N192"/>
  <c r="R192"/>
  <c r="J82" i="11"/>
  <c r="H85" i="15"/>
  <c r="HC86" i="9"/>
  <c r="HE86"/>
  <c r="J138" i="11"/>
  <c r="H141" i="15"/>
  <c r="HC142" i="9"/>
  <c r="HE142"/>
  <c r="M106" i="11"/>
  <c r="I109" i="15"/>
  <c r="M191" i="11"/>
  <c r="I194" i="15"/>
  <c r="M53" i="11"/>
  <c r="I56" i="15"/>
  <c r="M91" i="11"/>
  <c r="I94" i="15"/>
  <c r="M74" i="11"/>
  <c r="I77" i="15"/>
  <c r="M157" i="11"/>
  <c r="I160" i="15"/>
  <c r="M118" i="11"/>
  <c r="I121" i="15"/>
  <c r="M72" i="11"/>
  <c r="I75" i="15"/>
  <c r="M37" i="11"/>
  <c r="I40" i="15"/>
  <c r="M39" i="11"/>
  <c r="I42" i="15"/>
  <c r="M87" i="11"/>
  <c r="I90" i="15"/>
  <c r="M167" i="11"/>
  <c r="I170" i="15"/>
  <c r="M196" i="11"/>
  <c r="I199" i="15"/>
  <c r="M190" i="11"/>
  <c r="I193" i="15"/>
  <c r="M104" i="11"/>
  <c r="I107" i="15"/>
  <c r="M140" i="11"/>
  <c r="I143" i="15"/>
  <c r="M40" i="11"/>
  <c r="I43" i="15"/>
  <c r="M51" i="11"/>
  <c r="I54" i="15"/>
  <c r="M97" i="11"/>
  <c r="I100" i="15"/>
  <c r="M59" i="11"/>
  <c r="I62" i="15"/>
  <c r="GR38" i="9"/>
  <c r="GR150"/>
  <c r="GR134"/>
  <c r="GR120"/>
  <c r="GR86"/>
  <c r="GR198"/>
  <c r="GR201"/>
  <c r="GR200"/>
  <c r="GR184"/>
  <c r="GR56"/>
  <c r="GR88"/>
  <c r="GR152"/>
  <c r="GR168"/>
  <c r="GR54"/>
  <c r="GR102"/>
  <c r="GR118"/>
  <c r="GR166"/>
  <c r="GR62"/>
  <c r="GR174"/>
  <c r="GR91"/>
  <c r="GR123"/>
  <c r="GR146"/>
  <c r="GR46"/>
  <c r="GR78"/>
  <c r="GR94"/>
  <c r="GR110"/>
  <c r="GR126"/>
  <c r="GR142"/>
  <c r="GR158"/>
  <c r="GR190"/>
  <c r="GR59"/>
  <c r="GR187"/>
  <c r="GR82"/>
  <c r="GR155"/>
  <c r="GR207"/>
  <c r="GR43"/>
  <c r="GR75"/>
  <c r="GR107"/>
  <c r="GR139"/>
  <c r="GR171"/>
  <c r="GR203"/>
  <c r="GR50"/>
  <c r="GR66"/>
  <c r="GR98"/>
  <c r="GR114"/>
  <c r="GR130"/>
  <c r="GR162"/>
  <c r="GR178"/>
  <c r="GR194"/>
  <c r="GR51"/>
  <c r="GR83"/>
  <c r="GR115"/>
  <c r="GR147"/>
  <c r="GR179"/>
  <c r="GR67"/>
  <c r="GR99"/>
  <c r="GR131"/>
  <c r="GR163"/>
  <c r="GR195"/>
  <c r="GR41"/>
  <c r="GY41"/>
  <c r="GR49"/>
  <c r="GR57"/>
  <c r="GY57"/>
  <c r="GR65"/>
  <c r="GR73"/>
  <c r="GR81"/>
  <c r="GR89"/>
  <c r="GY89"/>
  <c r="GR97"/>
  <c r="GR105"/>
  <c r="GY105"/>
  <c r="GR113"/>
  <c r="GR121"/>
  <c r="GY121"/>
  <c r="GR129"/>
  <c r="GR137"/>
  <c r="GY137"/>
  <c r="GR145"/>
  <c r="GR153"/>
  <c r="GR161"/>
  <c r="GR169"/>
  <c r="GY169"/>
  <c r="GR177"/>
  <c r="GR185"/>
  <c r="GY185"/>
  <c r="GR193"/>
  <c r="GR40"/>
  <c r="GY40"/>
  <c r="GR48"/>
  <c r="GR64"/>
  <c r="GY64"/>
  <c r="GR72"/>
  <c r="GR80"/>
  <c r="GY80"/>
  <c r="GR96"/>
  <c r="GR104"/>
  <c r="GY104"/>
  <c r="GR112"/>
  <c r="GR128"/>
  <c r="GY128"/>
  <c r="GR144"/>
  <c r="GR160"/>
  <c r="GY160"/>
  <c r="GR176"/>
  <c r="GR192"/>
  <c r="GY192"/>
  <c r="GR47"/>
  <c r="GR55"/>
  <c r="GY55"/>
  <c r="GR63"/>
  <c r="GR71"/>
  <c r="GY71"/>
  <c r="GR79"/>
  <c r="GR87"/>
  <c r="GY87"/>
  <c r="GR95"/>
  <c r="GR103"/>
  <c r="GR111"/>
  <c r="GR119"/>
  <c r="GY119"/>
  <c r="GR127"/>
  <c r="GR135"/>
  <c r="GY135"/>
  <c r="GR143"/>
  <c r="GR151"/>
  <c r="GY151"/>
  <c r="GR159"/>
  <c r="GR167"/>
  <c r="GY167"/>
  <c r="GR175"/>
  <c r="GR183"/>
  <c r="GY183"/>
  <c r="GR191"/>
  <c r="GR199"/>
  <c r="GR45"/>
  <c r="GR53"/>
  <c r="GY53"/>
  <c r="GR61"/>
  <c r="GR69"/>
  <c r="GY69"/>
  <c r="GR77"/>
  <c r="GR85"/>
  <c r="GY85"/>
  <c r="GR93"/>
  <c r="GR101"/>
  <c r="GY101"/>
  <c r="GR109"/>
  <c r="GR117"/>
  <c r="GR125"/>
  <c r="GR133"/>
  <c r="GY133"/>
  <c r="GR141"/>
  <c r="GR149"/>
  <c r="GY149"/>
  <c r="GR157"/>
  <c r="GR165"/>
  <c r="GY165"/>
  <c r="GR173"/>
  <c r="GR181"/>
  <c r="GY181"/>
  <c r="GR189"/>
  <c r="GR197"/>
  <c r="GR205"/>
  <c r="GR148"/>
  <c r="GY148"/>
  <c r="GR164"/>
  <c r="GR180"/>
  <c r="GY180"/>
  <c r="GR196"/>
  <c r="GR52"/>
  <c r="GR68"/>
  <c r="GR84"/>
  <c r="GR100"/>
  <c r="GR116"/>
  <c r="GR132"/>
  <c r="GR44"/>
  <c r="GR60"/>
  <c r="GR76"/>
  <c r="GR92"/>
  <c r="GR108"/>
  <c r="GR124"/>
  <c r="GR140"/>
  <c r="GR156"/>
  <c r="GR172"/>
  <c r="GR188"/>
  <c r="GR204"/>
  <c r="GR42"/>
  <c r="GR58"/>
  <c r="GR74"/>
  <c r="GR90"/>
  <c r="GR106"/>
  <c r="GR122"/>
  <c r="GR138"/>
  <c r="GR154"/>
  <c r="GR170"/>
  <c r="GR186"/>
  <c r="GR202"/>
  <c r="GR206"/>
  <c r="AV213"/>
  <c r="AZ213" s="1"/>
  <c r="D9" i="6" s="1"/>
  <c r="GR39" i="9"/>
  <c r="GK42"/>
  <c r="GD54"/>
  <c r="GK118"/>
  <c r="FJ118"/>
  <c r="GD122"/>
  <c r="GK130"/>
  <c r="FW134"/>
  <c r="GK138"/>
  <c r="FP142"/>
  <c r="FP158"/>
  <c r="FW158"/>
  <c r="GD162"/>
  <c r="GK166"/>
  <c r="GK170"/>
  <c r="FM170"/>
  <c r="FJ170"/>
  <c r="FP178"/>
  <c r="FW178"/>
  <c r="GK186"/>
  <c r="GP186" s="1"/>
  <c r="GD190"/>
  <c r="FP194"/>
  <c r="FJ194"/>
  <c r="GD194"/>
  <c r="FP198"/>
  <c r="FW198"/>
  <c r="GK202"/>
  <c r="GD206"/>
  <c r="GK41"/>
  <c r="GK49"/>
  <c r="GP49" s="1"/>
  <c r="FM49"/>
  <c r="GD49"/>
  <c r="FJ53"/>
  <c r="FP57"/>
  <c r="GK69"/>
  <c r="FJ73"/>
  <c r="GK77"/>
  <c r="GK50"/>
  <c r="GK38"/>
  <c r="FJ38"/>
  <c r="FJ50"/>
  <c r="GK62"/>
  <c r="GK66"/>
  <c r="FJ66"/>
  <c r="FP74"/>
  <c r="GK74"/>
  <c r="FM78"/>
  <c r="GD82"/>
  <c r="FP94"/>
  <c r="FM98"/>
  <c r="GD102"/>
  <c r="FP110"/>
  <c r="GD114"/>
  <c r="GD118"/>
  <c r="FP122"/>
  <c r="FJ126"/>
  <c r="GD134"/>
  <c r="FJ134"/>
  <c r="FJ138"/>
  <c r="FP146"/>
  <c r="GK150"/>
  <c r="FW150"/>
  <c r="FP166"/>
  <c r="FJ42"/>
  <c r="FM42"/>
  <c r="FJ46"/>
  <c r="FM54"/>
  <c r="FJ58"/>
  <c r="FM62"/>
  <c r="FJ62"/>
  <c r="FM74"/>
  <c r="FJ78"/>
  <c r="FM86"/>
  <c r="FM90"/>
  <c r="GK94"/>
  <c r="GK98"/>
  <c r="FJ98"/>
  <c r="GK102"/>
  <c r="FM106"/>
  <c r="FW110"/>
  <c r="FJ114"/>
  <c r="GK54"/>
  <c r="FW62"/>
  <c r="FM70"/>
  <c r="GK70"/>
  <c r="FW82"/>
  <c r="FJ90"/>
  <c r="FW102"/>
  <c r="GD110"/>
  <c r="FJ110"/>
  <c r="FW114"/>
  <c r="FP118"/>
  <c r="FP130"/>
  <c r="FJ142"/>
  <c r="FP150"/>
  <c r="GK154"/>
  <c r="GK198"/>
  <c r="FP206"/>
  <c r="FM206"/>
  <c r="FJ206"/>
  <c r="FJ41"/>
  <c r="GK45"/>
  <c r="FP45"/>
  <c r="FJ45"/>
  <c r="FP49"/>
  <c r="FJ49"/>
  <c r="FP53"/>
  <c r="GD53"/>
  <c r="FW61"/>
  <c r="FP61"/>
  <c r="FP65"/>
  <c r="GD65"/>
  <c r="GJ65" s="1"/>
  <c r="FJ65"/>
  <c r="GD69"/>
  <c r="FW73"/>
  <c r="FJ77"/>
  <c r="GD81"/>
  <c r="GD85"/>
  <c r="FJ85"/>
  <c r="FM89"/>
  <c r="FJ89"/>
  <c r="GD93"/>
  <c r="FW93"/>
  <c r="FJ97"/>
  <c r="FP101"/>
  <c r="FW105"/>
  <c r="GD105"/>
  <c r="GD113"/>
  <c r="GK117"/>
  <c r="GD117"/>
  <c r="FJ121"/>
  <c r="GD121"/>
  <c r="FP125"/>
  <c r="FW125"/>
  <c r="FM125"/>
  <c r="FJ125"/>
  <c r="FP129"/>
  <c r="GD129"/>
  <c r="FW133"/>
  <c r="FJ133"/>
  <c r="FP149"/>
  <c r="GK149"/>
  <c r="FW153"/>
  <c r="FM157"/>
  <c r="FJ157"/>
  <c r="FW161"/>
  <c r="GK161"/>
  <c r="FW165"/>
  <c r="FJ165"/>
  <c r="FM46"/>
  <c r="GK58"/>
  <c r="FJ82"/>
  <c r="GK86"/>
  <c r="GK90"/>
  <c r="FW94"/>
  <c r="FJ94"/>
  <c r="FP102"/>
  <c r="FM102"/>
  <c r="FJ102"/>
  <c r="GK114"/>
  <c r="GK122"/>
  <c r="GK134"/>
  <c r="FJ150"/>
  <c r="GK158"/>
  <c r="GK162"/>
  <c r="FP174"/>
  <c r="FV174" s="1"/>
  <c r="FJ178"/>
  <c r="GK182"/>
  <c r="FJ182"/>
  <c r="GD182"/>
  <c r="FW186"/>
  <c r="FP190"/>
  <c r="GD198"/>
  <c r="GD202"/>
  <c r="B8" i="6"/>
  <c r="FM38" i="9"/>
  <c r="FW42"/>
  <c r="GK46"/>
  <c r="FM50"/>
  <c r="FJ54"/>
  <c r="FM58"/>
  <c r="FJ70"/>
  <c r="FJ74"/>
  <c r="GD74"/>
  <c r="FW74"/>
  <c r="GK78"/>
  <c r="FP82"/>
  <c r="GK82"/>
  <c r="FJ86"/>
  <c r="GD94"/>
  <c r="GK106"/>
  <c r="FJ106"/>
  <c r="GK110"/>
  <c r="FP114"/>
  <c r="FJ169"/>
  <c r="FP177"/>
  <c r="GD181"/>
  <c r="FJ197"/>
  <c r="FW205"/>
  <c r="FW207"/>
  <c r="FP40"/>
  <c r="FW44"/>
  <c r="FJ48"/>
  <c r="GD52"/>
  <c r="FJ52"/>
  <c r="GK56"/>
  <c r="FJ56"/>
  <c r="GK60"/>
  <c r="FM60"/>
  <c r="FJ68"/>
  <c r="FM68"/>
  <c r="GD68"/>
  <c r="FJ72"/>
  <c r="GK72"/>
  <c r="FJ76"/>
  <c r="GK80"/>
  <c r="FJ80"/>
  <c r="FP92"/>
  <c r="GK96"/>
  <c r="FP108"/>
  <c r="FW112"/>
  <c r="GK120"/>
  <c r="FP120"/>
  <c r="FM120"/>
  <c r="FJ124"/>
  <c r="FP128"/>
  <c r="FM128"/>
  <c r="FW132"/>
  <c r="GK144"/>
  <c r="FJ144"/>
  <c r="GK148"/>
  <c r="FJ148"/>
  <c r="FM160"/>
  <c r="GK164"/>
  <c r="GP164" s="1"/>
  <c r="GD164"/>
  <c r="FM172"/>
  <c r="FJ176"/>
  <c r="FP188"/>
  <c r="GK188"/>
  <c r="FJ188"/>
  <c r="FW192"/>
  <c r="FM192"/>
  <c r="FJ196"/>
  <c r="FW204"/>
  <c r="GK39"/>
  <c r="FJ39"/>
  <c r="FM43"/>
  <c r="FM47"/>
  <c r="GK51"/>
  <c r="FJ51"/>
  <c r="FJ59"/>
  <c r="GK63"/>
  <c r="GK67"/>
  <c r="GD67"/>
  <c r="GD71"/>
  <c r="FJ83"/>
  <c r="GK87"/>
  <c r="FJ87"/>
  <c r="FM95"/>
  <c r="FP99"/>
  <c r="GK99"/>
  <c r="GK103"/>
  <c r="FJ103"/>
  <c r="FM103"/>
  <c r="GK107"/>
  <c r="FW115"/>
  <c r="FP119"/>
  <c r="FP123"/>
  <c r="GD127"/>
  <c r="GJ127" s="1"/>
  <c r="FJ131"/>
  <c r="FW135"/>
  <c r="GD135"/>
  <c r="GD139"/>
  <c r="GK139"/>
  <c r="GK143"/>
  <c r="FW147"/>
  <c r="GD147"/>
  <c r="GD151"/>
  <c r="GK151"/>
  <c r="FP155"/>
  <c r="FJ155"/>
  <c r="GK163"/>
  <c r="GK167"/>
  <c r="FP175"/>
  <c r="FW175"/>
  <c r="GD179"/>
  <c r="FJ179"/>
  <c r="FW183"/>
  <c r="FM187"/>
  <c r="GK195"/>
  <c r="FJ195"/>
  <c r="FP199"/>
  <c r="GK203"/>
  <c r="FM118"/>
  <c r="FW126"/>
  <c r="FM130"/>
  <c r="FP134"/>
  <c r="GD138"/>
  <c r="GK142"/>
  <c r="GD146"/>
  <c r="GK146"/>
  <c r="FM146"/>
  <c r="FM150"/>
  <c r="FJ158"/>
  <c r="FJ162"/>
  <c r="FJ166"/>
  <c r="GK174"/>
  <c r="FJ174"/>
  <c r="FM174"/>
  <c r="GK178"/>
  <c r="FP186"/>
  <c r="FJ186"/>
  <c r="GK190"/>
  <c r="FM190"/>
  <c r="FJ190"/>
  <c r="FW194"/>
  <c r="FJ198"/>
  <c r="FJ202"/>
  <c r="GK206"/>
  <c r="FP41"/>
  <c r="FW45"/>
  <c r="FM57"/>
  <c r="GK61"/>
  <c r="FW69"/>
  <c r="FP77"/>
  <c r="FP85"/>
  <c r="FP89"/>
  <c r="GK97"/>
  <c r="GK101"/>
  <c r="FM101"/>
  <c r="GD109"/>
  <c r="FJ109"/>
  <c r="FP113"/>
  <c r="FM113"/>
  <c r="FJ117"/>
  <c r="GK121"/>
  <c r="GD125"/>
  <c r="FW129"/>
  <c r="GK129"/>
  <c r="GD133"/>
  <c r="FJ145"/>
  <c r="FW149"/>
  <c r="FJ149"/>
  <c r="GD153"/>
  <c r="GK157"/>
  <c r="FP157"/>
  <c r="GK169"/>
  <c r="FM169"/>
  <c r="FM173"/>
  <c r="FW177"/>
  <c r="FW185"/>
  <c r="GK193"/>
  <c r="FP193"/>
  <c r="GK201"/>
  <c r="GK207"/>
  <c r="FJ44"/>
  <c r="GK52"/>
  <c r="FP52"/>
  <c r="FM52"/>
  <c r="FJ64"/>
  <c r="FM64"/>
  <c r="FP72"/>
  <c r="GD72"/>
  <c r="FP76"/>
  <c r="GK84"/>
  <c r="FP84"/>
  <c r="FW88"/>
  <c r="GK88"/>
  <c r="GD92"/>
  <c r="FW96"/>
  <c r="GK100"/>
  <c r="FW100"/>
  <c r="FM104"/>
  <c r="FJ108"/>
  <c r="GK112"/>
  <c r="GD112"/>
  <c r="FJ116"/>
  <c r="GD120"/>
  <c r="GD124"/>
  <c r="GK124"/>
  <c r="FW124"/>
  <c r="FW128"/>
  <c r="GK128"/>
  <c r="FJ128"/>
  <c r="FP132"/>
  <c r="FM136"/>
  <c r="GK140"/>
  <c r="FP144"/>
  <c r="FM144"/>
  <c r="FW148"/>
  <c r="FP152"/>
  <c r="FJ156"/>
  <c r="GK160"/>
  <c r="FP168"/>
  <c r="FW168"/>
  <c r="FJ168"/>
  <c r="GD172"/>
  <c r="FW176"/>
  <c r="GK180"/>
  <c r="FW184"/>
  <c r="GK184"/>
  <c r="FJ192"/>
  <c r="FP200"/>
  <c r="GD204"/>
  <c r="FP204"/>
  <c r="GK204"/>
  <c r="FM39"/>
  <c r="FJ43"/>
  <c r="FJ47"/>
  <c r="FP63"/>
  <c r="FJ67"/>
  <c r="FP67"/>
  <c r="GK75"/>
  <c r="FJ75"/>
  <c r="GD79"/>
  <c r="FM79"/>
  <c r="FJ79"/>
  <c r="FP87"/>
  <c r="GD87"/>
  <c r="FJ95"/>
  <c r="FW99"/>
  <c r="FJ99"/>
  <c r="GD111"/>
  <c r="FP111"/>
  <c r="FJ111"/>
  <c r="FJ115"/>
  <c r="FJ123"/>
  <c r="FW127"/>
  <c r="FM131"/>
  <c r="GK131"/>
  <c r="FJ135"/>
  <c r="FW139"/>
  <c r="FJ143"/>
  <c r="GK147"/>
  <c r="FP151"/>
  <c r="FW151"/>
  <c r="FW155"/>
  <c r="FM155"/>
  <c r="GD159"/>
  <c r="GK159"/>
  <c r="FP159"/>
  <c r="FW163"/>
  <c r="FJ163"/>
  <c r="FM167"/>
  <c r="FW171"/>
  <c r="FJ171"/>
  <c r="GK175"/>
  <c r="FM175"/>
  <c r="FP183"/>
  <c r="GD195"/>
  <c r="GK199"/>
  <c r="GQ199" s="1"/>
  <c r="GD199"/>
  <c r="FJ203"/>
  <c r="FW81"/>
  <c r="FM81"/>
  <c r="FJ81"/>
  <c r="FW85"/>
  <c r="GK89"/>
  <c r="FJ93"/>
  <c r="GK93"/>
  <c r="FP93"/>
  <c r="FP97"/>
  <c r="GD97"/>
  <c r="GD101"/>
  <c r="GK105"/>
  <c r="GK113"/>
  <c r="FJ113"/>
  <c r="FW121"/>
  <c r="GK125"/>
  <c r="GP125" s="1"/>
  <c r="FJ129"/>
  <c r="FP133"/>
  <c r="FJ137"/>
  <c r="FP141"/>
  <c r="FJ141"/>
  <c r="GD145"/>
  <c r="FP153"/>
  <c r="FJ153"/>
  <c r="GD161"/>
  <c r="FJ161"/>
  <c r="FW169"/>
  <c r="GB169" s="1"/>
  <c r="GK173"/>
  <c r="FW173"/>
  <c r="GD177"/>
  <c r="FJ177"/>
  <c r="FP181"/>
  <c r="GK181"/>
  <c r="FJ181"/>
  <c r="GK185"/>
  <c r="GD189"/>
  <c r="FJ189"/>
  <c r="FM189"/>
  <c r="FJ193"/>
  <c r="FP197"/>
  <c r="FW201"/>
  <c r="GD205"/>
  <c r="FJ205"/>
  <c r="GD207"/>
  <c r="FP207"/>
  <c r="FJ207"/>
  <c r="FM40"/>
  <c r="GD44"/>
  <c r="GD48"/>
  <c r="FW48"/>
  <c r="FP60"/>
  <c r="GK68"/>
  <c r="GK76"/>
  <c r="FW84"/>
  <c r="FJ84"/>
  <c r="FM84"/>
  <c r="GD88"/>
  <c r="FJ88"/>
  <c r="FW92"/>
  <c r="GC92" s="1"/>
  <c r="FJ92"/>
  <c r="GD96"/>
  <c r="FM100"/>
  <c r="GD108"/>
  <c r="FP112"/>
  <c r="FM112"/>
  <c r="FP116"/>
  <c r="GK116"/>
  <c r="FW120"/>
  <c r="FJ120"/>
  <c r="GD128"/>
  <c r="FP140"/>
  <c r="FM140"/>
  <c r="GD148"/>
  <c r="FM148"/>
  <c r="FJ152"/>
  <c r="FW152"/>
  <c r="FM156"/>
  <c r="FW160"/>
  <c r="FJ164"/>
  <c r="GK168"/>
  <c r="FW172"/>
  <c r="GK172"/>
  <c r="FP176"/>
  <c r="GK176"/>
  <c r="FW180"/>
  <c r="FM180"/>
  <c r="GD184"/>
  <c r="FP184"/>
  <c r="FW188"/>
  <c r="GK192"/>
  <c r="GK200"/>
  <c r="GP200" s="1"/>
  <c r="FM204"/>
  <c r="GD39"/>
  <c r="FP43"/>
  <c r="FP51"/>
  <c r="GD51"/>
  <c r="FJ55"/>
  <c r="GK59"/>
  <c r="FM59"/>
  <c r="GD63"/>
  <c r="FJ63"/>
  <c r="FP71"/>
  <c r="FJ71"/>
  <c r="GD75"/>
  <c r="FW75"/>
  <c r="GK79"/>
  <c r="GP79" s="1"/>
  <c r="FW79"/>
  <c r="GK83"/>
  <c r="FW83"/>
  <c r="FW87"/>
  <c r="FP91"/>
  <c r="GK91"/>
  <c r="GK95"/>
  <c r="FW103"/>
  <c r="FP107"/>
  <c r="GK111"/>
  <c r="FP115"/>
  <c r="FM115"/>
  <c r="GK119"/>
  <c r="FJ119"/>
  <c r="GD123"/>
  <c r="GK123"/>
  <c r="GK127"/>
  <c r="FP127"/>
  <c r="FJ127"/>
  <c r="FP131"/>
  <c r="GK135"/>
  <c r="FP147"/>
  <c r="GD155"/>
  <c r="FJ159"/>
  <c r="FM163"/>
  <c r="FJ167"/>
  <c r="GK171"/>
  <c r="GK179"/>
  <c r="GK183"/>
  <c r="GK187"/>
  <c r="FP187"/>
  <c r="FJ187"/>
  <c r="GK191"/>
  <c r="FP191"/>
  <c r="FM191"/>
  <c r="GD191"/>
  <c r="FP195"/>
  <c r="FW199"/>
  <c r="FM203"/>
  <c r="FJ122"/>
  <c r="GK126"/>
  <c r="FP126"/>
  <c r="FJ130"/>
  <c r="FM138"/>
  <c r="FJ146"/>
  <c r="FW146"/>
  <c r="GD150"/>
  <c r="FM154"/>
  <c r="FJ154"/>
  <c r="GD158"/>
  <c r="FM158"/>
  <c r="FM162"/>
  <c r="GD174"/>
  <c r="FW174"/>
  <c r="GD178"/>
  <c r="FM178"/>
  <c r="FM182"/>
  <c r="GD186"/>
  <c r="FW190"/>
  <c r="GK194"/>
  <c r="FM198"/>
  <c r="FW202"/>
  <c r="FW41"/>
  <c r="FM41"/>
  <c r="FM45"/>
  <c r="FW49"/>
  <c r="GK53"/>
  <c r="FW57"/>
  <c r="GK57"/>
  <c r="FJ57"/>
  <c r="FJ61"/>
  <c r="FW65"/>
  <c r="GK65"/>
  <c r="FJ69"/>
  <c r="FM69"/>
  <c r="GK73"/>
  <c r="FM73"/>
  <c r="FW77"/>
  <c r="GD77"/>
  <c r="FP81"/>
  <c r="GK81"/>
  <c r="GK85"/>
  <c r="FW101"/>
  <c r="FJ101"/>
  <c r="FP105"/>
  <c r="FJ105"/>
  <c r="GK109"/>
  <c r="FM109"/>
  <c r="FW113"/>
  <c r="FW117"/>
  <c r="FP117"/>
  <c r="FM117"/>
  <c r="FP121"/>
  <c r="GK133"/>
  <c r="FW137"/>
  <c r="GK137"/>
  <c r="GD137"/>
  <c r="GK141"/>
  <c r="GK145"/>
  <c r="GK153"/>
  <c r="FP161"/>
  <c r="GK165"/>
  <c r="FP165"/>
  <c r="GD165"/>
  <c r="FJ173"/>
  <c r="FM177"/>
  <c r="GK177"/>
  <c r="FJ185"/>
  <c r="FM185"/>
  <c r="GK189"/>
  <c r="FP189"/>
  <c r="FM193"/>
  <c r="GK197"/>
  <c r="FJ201"/>
  <c r="FP205"/>
  <c r="FM205"/>
  <c r="GK205"/>
  <c r="FM207"/>
  <c r="FJ40"/>
  <c r="GK40"/>
  <c r="FP44"/>
  <c r="FM44"/>
  <c r="FP48"/>
  <c r="GK48"/>
  <c r="FW52"/>
  <c r="FM56"/>
  <c r="FJ60"/>
  <c r="GK64"/>
  <c r="FW68"/>
  <c r="FW72"/>
  <c r="FW76"/>
  <c r="GK92"/>
  <c r="FJ96"/>
  <c r="FJ100"/>
  <c r="GK104"/>
  <c r="GQ104" s="1"/>
  <c r="FJ104"/>
  <c r="GK108"/>
  <c r="FM108"/>
  <c r="FJ112"/>
  <c r="FP124"/>
  <c r="FJ132"/>
  <c r="GK136"/>
  <c r="FJ136"/>
  <c r="GD140"/>
  <c r="GI140" s="1"/>
  <c r="FJ140"/>
  <c r="GD144"/>
  <c r="FP148"/>
  <c r="GK152"/>
  <c r="GK156"/>
  <c r="GQ156" s="1"/>
  <c r="FJ160"/>
  <c r="FM164"/>
  <c r="FW164"/>
  <c r="GD168"/>
  <c r="FM168"/>
  <c r="FJ172"/>
  <c r="GD176"/>
  <c r="FJ180"/>
  <c r="FJ184"/>
  <c r="GD188"/>
  <c r="GK196"/>
  <c r="FW200"/>
  <c r="FJ200"/>
  <c r="FJ204"/>
  <c r="FW39"/>
  <c r="GK43"/>
  <c r="GD47"/>
  <c r="FW47"/>
  <c r="GK47"/>
  <c r="FP47"/>
  <c r="GK55"/>
  <c r="GP55" s="1"/>
  <c r="GD55"/>
  <c r="FM67"/>
  <c r="FW67"/>
  <c r="GK71"/>
  <c r="FW71"/>
  <c r="FM75"/>
  <c r="FP79"/>
  <c r="FP83"/>
  <c r="GD83"/>
  <c r="FM87"/>
  <c r="FM91"/>
  <c r="FJ91"/>
  <c r="GD99"/>
  <c r="GD107"/>
  <c r="FJ107"/>
  <c r="FW107"/>
  <c r="FM111"/>
  <c r="GD115"/>
  <c r="GK115"/>
  <c r="FW119"/>
  <c r="FM123"/>
  <c r="FW131"/>
  <c r="FP135"/>
  <c r="FP139"/>
  <c r="FJ139"/>
  <c r="FM139"/>
  <c r="FM143"/>
  <c r="FJ147"/>
  <c r="FJ151"/>
  <c r="GK155"/>
  <c r="FW159"/>
  <c r="FM159"/>
  <c r="GD163"/>
  <c r="FP171"/>
  <c r="FJ175"/>
  <c r="GD175"/>
  <c r="FP179"/>
  <c r="FM179"/>
  <c r="GD183"/>
  <c r="FM183"/>
  <c r="FJ183"/>
  <c r="FJ191"/>
  <c r="FJ199"/>
  <c r="AV216"/>
  <c r="K9" i="6" s="1"/>
  <c r="B9"/>
  <c r="GY48" i="9"/>
  <c r="GY96"/>
  <c r="GY112"/>
  <c r="GY144"/>
  <c r="GY176"/>
  <c r="GY47"/>
  <c r="GY63"/>
  <c r="GY79"/>
  <c r="GY95"/>
  <c r="GY111"/>
  <c r="GY127"/>
  <c r="GY143"/>
  <c r="GY159"/>
  <c r="GY175"/>
  <c r="GY191"/>
  <c r="GY45"/>
  <c r="GY61"/>
  <c r="GY77"/>
  <c r="GY93"/>
  <c r="GY109"/>
  <c r="GY125"/>
  <c r="GY141"/>
  <c r="GY157"/>
  <c r="GY173"/>
  <c r="GY189"/>
  <c r="GY205"/>
  <c r="GY44"/>
  <c r="GY60"/>
  <c r="GY76"/>
  <c r="GY92"/>
  <c r="GY108"/>
  <c r="GY124"/>
  <c r="GY140"/>
  <c r="GY156"/>
  <c r="GY172"/>
  <c r="GY188"/>
  <c r="GY204"/>
  <c r="GY43"/>
  <c r="GY59"/>
  <c r="GY75"/>
  <c r="GY91"/>
  <c r="GY107"/>
  <c r="GY123"/>
  <c r="GY139"/>
  <c r="GY155"/>
  <c r="GY171"/>
  <c r="GY187"/>
  <c r="GY203"/>
  <c r="GY73"/>
  <c r="GY153"/>
  <c r="GY201"/>
  <c r="GY207"/>
  <c r="GY56"/>
  <c r="GY72"/>
  <c r="GY88"/>
  <c r="GY120"/>
  <c r="GY136"/>
  <c r="GY152"/>
  <c r="GY168"/>
  <c r="GY184"/>
  <c r="GY200"/>
  <c r="GY39"/>
  <c r="GY103"/>
  <c r="GY199"/>
  <c r="GY117"/>
  <c r="GY197"/>
  <c r="GY52"/>
  <c r="GY68"/>
  <c r="GY84"/>
  <c r="GY100"/>
  <c r="GY116"/>
  <c r="GY132"/>
  <c r="GY164"/>
  <c r="GY196"/>
  <c r="GY51"/>
  <c r="GY67"/>
  <c r="GY83"/>
  <c r="GY99"/>
  <c r="GY115"/>
  <c r="GY131"/>
  <c r="GY147"/>
  <c r="GY163"/>
  <c r="GY179"/>
  <c r="GY195"/>
  <c r="GY49"/>
  <c r="GY65"/>
  <c r="GY81"/>
  <c r="GY97"/>
  <c r="GY113"/>
  <c r="GY129"/>
  <c r="GY145"/>
  <c r="GY161"/>
  <c r="GY177"/>
  <c r="GY193"/>
  <c r="FM66"/>
  <c r="GB81"/>
  <c r="GJ177"/>
  <c r="FM80"/>
  <c r="FM196"/>
  <c r="FM142"/>
  <c r="FM166"/>
  <c r="FM96"/>
  <c r="FM116"/>
  <c r="FM171"/>
  <c r="GP199"/>
  <c r="FM82"/>
  <c r="FM94"/>
  <c r="FM110"/>
  <c r="FM122"/>
  <c r="FM134"/>
  <c r="FM186"/>
  <c r="FM202"/>
  <c r="FM85"/>
  <c r="FM121"/>
  <c r="FM153"/>
  <c r="FM181"/>
  <c r="FM48"/>
  <c r="FM124"/>
  <c r="FM152"/>
  <c r="FM184"/>
  <c r="FM188"/>
  <c r="FM200"/>
  <c r="FM51"/>
  <c r="FM99"/>
  <c r="FM119"/>
  <c r="FM151"/>
  <c r="GQ195"/>
  <c r="FM114"/>
  <c r="FM126"/>
  <c r="GQ49"/>
  <c r="FM61"/>
  <c r="FM77"/>
  <c r="FM105"/>
  <c r="FM133"/>
  <c r="FM165"/>
  <c r="FM72"/>
  <c r="FM92"/>
  <c r="FM132"/>
  <c r="FM176"/>
  <c r="FM71"/>
  <c r="FM135"/>
  <c r="FM147"/>
  <c r="FM195"/>
  <c r="GR4"/>
  <c r="EC8"/>
  <c r="ED6"/>
  <c r="EC6"/>
  <c r="GP104" l="1"/>
  <c r="J125" i="11"/>
  <c r="H128" i="15"/>
  <c r="HE129" i="9"/>
  <c r="HC129"/>
  <c r="J95" i="11"/>
  <c r="O95" s="1"/>
  <c r="H98" i="15"/>
  <c r="HC99" i="9"/>
  <c r="HE99"/>
  <c r="J193" i="11"/>
  <c r="H196" i="15"/>
  <c r="HE197" i="9"/>
  <c r="HC197"/>
  <c r="J68" i="11"/>
  <c r="H71" i="15"/>
  <c r="HC72" i="9"/>
  <c r="HE72"/>
  <c r="J103" i="11"/>
  <c r="H106" i="15"/>
  <c r="HC107" i="9"/>
  <c r="HE107"/>
  <c r="J152" i="11"/>
  <c r="O152" s="1"/>
  <c r="H155" i="15"/>
  <c r="HC156" i="9"/>
  <c r="HE156"/>
  <c r="J137" i="11"/>
  <c r="H140" i="15"/>
  <c r="HE141" i="9"/>
  <c r="HC141"/>
  <c r="J107" i="11"/>
  <c r="O107" s="1"/>
  <c r="H110" i="15"/>
  <c r="HC111" i="9"/>
  <c r="HE111"/>
  <c r="J92" i="11"/>
  <c r="H95" i="15"/>
  <c r="HC96" i="9"/>
  <c r="HE96"/>
  <c r="GW175"/>
  <c r="T172" i="12" s="1"/>
  <c r="GU175" i="9"/>
  <c r="GV175"/>
  <c r="GT175"/>
  <c r="GX175"/>
  <c r="GW71"/>
  <c r="GV71"/>
  <c r="GU71"/>
  <c r="GT71"/>
  <c r="GX71"/>
  <c r="GU152"/>
  <c r="GW152"/>
  <c r="GV152"/>
  <c r="GX152"/>
  <c r="GT152"/>
  <c r="GU95"/>
  <c r="GW95"/>
  <c r="T92" i="12" s="1"/>
  <c r="GV95" i="9"/>
  <c r="GT95"/>
  <c r="GX95"/>
  <c r="GU168"/>
  <c r="S167" i="15" s="1"/>
  <c r="GW168" i="9"/>
  <c r="GV168"/>
  <c r="GT168"/>
  <c r="GX168"/>
  <c r="GU64"/>
  <c r="GV64"/>
  <c r="GW64"/>
  <c r="GT64"/>
  <c r="GX64"/>
  <c r="GV186"/>
  <c r="GU186"/>
  <c r="GW186"/>
  <c r="T183" i="12" s="1"/>
  <c r="GT186" i="9"/>
  <c r="GX186"/>
  <c r="GU188"/>
  <c r="S187" i="15" s="1"/>
  <c r="GV188" i="9"/>
  <c r="GW188"/>
  <c r="GX188"/>
  <c r="GT188"/>
  <c r="GW125"/>
  <c r="T122" i="12" s="1"/>
  <c r="GV125" i="9"/>
  <c r="GU125"/>
  <c r="GX125"/>
  <c r="GT125"/>
  <c r="GV206"/>
  <c r="GU206"/>
  <c r="GW206"/>
  <c r="T203" i="12" s="1"/>
  <c r="GX206" i="9"/>
  <c r="GT206"/>
  <c r="GW78"/>
  <c r="GV78"/>
  <c r="GU78"/>
  <c r="GX78"/>
  <c r="GT78"/>
  <c r="GU73"/>
  <c r="S72" i="15" s="1"/>
  <c r="GW73" i="9"/>
  <c r="GV73"/>
  <c r="GT73"/>
  <c r="GX73"/>
  <c r="J81" i="11"/>
  <c r="H84" i="15"/>
  <c r="HE85" i="9"/>
  <c r="HC85"/>
  <c r="J156" i="11"/>
  <c r="H159" i="15"/>
  <c r="HC160" i="9"/>
  <c r="HE160"/>
  <c r="GU176"/>
  <c r="GV176"/>
  <c r="GW176"/>
  <c r="GT176"/>
  <c r="GX176"/>
  <c r="GU124"/>
  <c r="GW124"/>
  <c r="GV124"/>
  <c r="GT124"/>
  <c r="GX124"/>
  <c r="GU80"/>
  <c r="GW80"/>
  <c r="T77" i="12" s="1"/>
  <c r="GV80" i="9"/>
  <c r="GT80"/>
  <c r="GX80"/>
  <c r="GU72"/>
  <c r="S71" i="15" s="1"/>
  <c r="GV72" i="9"/>
  <c r="GW72"/>
  <c r="GX72"/>
  <c r="GT72"/>
  <c r="GU52"/>
  <c r="GW52"/>
  <c r="GV52"/>
  <c r="GT52"/>
  <c r="GX52"/>
  <c r="GW86"/>
  <c r="GV86"/>
  <c r="GU86"/>
  <c r="S85" i="15" s="1"/>
  <c r="GT86" i="9"/>
  <c r="GX86"/>
  <c r="GV182"/>
  <c r="GW182"/>
  <c r="T179" i="12" s="1"/>
  <c r="GU182" i="9"/>
  <c r="GX182"/>
  <c r="GT182"/>
  <c r="GW165"/>
  <c r="T162" i="12" s="1"/>
  <c r="GV165" i="9"/>
  <c r="GU165"/>
  <c r="GX165"/>
  <c r="GT165"/>
  <c r="GW157"/>
  <c r="GV157"/>
  <c r="GU157"/>
  <c r="S156" i="15" s="1"/>
  <c r="GT157" i="9"/>
  <c r="GX157"/>
  <c r="GW89"/>
  <c r="GV89"/>
  <c r="GU89"/>
  <c r="S88" i="15" s="1"/>
  <c r="GX89" i="9"/>
  <c r="GT89"/>
  <c r="GU41"/>
  <c r="S40" i="15" s="1"/>
  <c r="GW41" i="9"/>
  <c r="GV41"/>
  <c r="GX41"/>
  <c r="GT41"/>
  <c r="GW114"/>
  <c r="GV114"/>
  <c r="GU114"/>
  <c r="S113" i="15" s="1"/>
  <c r="GT114" i="9"/>
  <c r="GX114"/>
  <c r="GW98"/>
  <c r="GV98"/>
  <c r="GU98"/>
  <c r="S97" i="15" s="1"/>
  <c r="GT98" i="9"/>
  <c r="GX98"/>
  <c r="GW50"/>
  <c r="GV50"/>
  <c r="GU50"/>
  <c r="GT50"/>
  <c r="GX50"/>
  <c r="GU53"/>
  <c r="GW170"/>
  <c r="GV170"/>
  <c r="GU170"/>
  <c r="S169" i="15" s="1"/>
  <c r="GT170" i="9"/>
  <c r="GX170"/>
  <c r="GW118"/>
  <c r="GV118"/>
  <c r="GU118"/>
  <c r="S117" i="15" s="1"/>
  <c r="GT118" i="9"/>
  <c r="GX118"/>
  <c r="J176" i="11"/>
  <c r="H179" i="15"/>
  <c r="HC180" i="9"/>
  <c r="HE180"/>
  <c r="J177" i="11"/>
  <c r="H180" i="15"/>
  <c r="HE181" i="9"/>
  <c r="HC181"/>
  <c r="J65" i="11"/>
  <c r="H68" i="15"/>
  <c r="HE69" i="9"/>
  <c r="HC69"/>
  <c r="J179" i="11"/>
  <c r="H182" i="15"/>
  <c r="HC183" i="9"/>
  <c r="HE183"/>
  <c r="J115" i="11"/>
  <c r="H118" i="15"/>
  <c r="HC119" i="9"/>
  <c r="HE119"/>
  <c r="J67" i="11"/>
  <c r="O67" s="1"/>
  <c r="H70" i="15"/>
  <c r="HC71" i="9"/>
  <c r="HE71"/>
  <c r="J124" i="11"/>
  <c r="H127" i="15"/>
  <c r="HC128" i="9"/>
  <c r="HE128"/>
  <c r="J36" i="11"/>
  <c r="H39" i="15"/>
  <c r="HC40" i="9"/>
  <c r="HE40"/>
  <c r="J85" i="11"/>
  <c r="H88" i="15"/>
  <c r="HE89" i="9"/>
  <c r="HC89"/>
  <c r="J37" i="11"/>
  <c r="H40" i="15"/>
  <c r="HE41" i="9"/>
  <c r="HC41"/>
  <c r="O50" i="11"/>
  <c r="O182"/>
  <c r="O178"/>
  <c r="O150"/>
  <c r="O202"/>
  <c r="T68" i="12"/>
  <c r="J61" i="11"/>
  <c r="H64" i="15"/>
  <c r="HE65" i="9"/>
  <c r="HC65"/>
  <c r="J192" i="11"/>
  <c r="H195" i="15"/>
  <c r="HC196" i="9"/>
  <c r="HE196"/>
  <c r="J35" i="11"/>
  <c r="H38" i="15"/>
  <c r="HC39" i="9"/>
  <c r="HE39"/>
  <c r="J149" i="11"/>
  <c r="H152" i="15"/>
  <c r="HE153" i="9"/>
  <c r="HC153"/>
  <c r="J39" i="11"/>
  <c r="H42" i="15"/>
  <c r="HC43" i="9"/>
  <c r="HE43"/>
  <c r="J201" i="11"/>
  <c r="H204" i="15"/>
  <c r="HE205" i="9"/>
  <c r="HC205"/>
  <c r="J171" i="11"/>
  <c r="O171" s="1"/>
  <c r="H174" i="15"/>
  <c r="HC175" i="9"/>
  <c r="HE175"/>
  <c r="GU132"/>
  <c r="GW132"/>
  <c r="GV132"/>
  <c r="GX132"/>
  <c r="GT132"/>
  <c r="GU173"/>
  <c r="GV173"/>
  <c r="GW173"/>
  <c r="GT173"/>
  <c r="GX173"/>
  <c r="GW146"/>
  <c r="T143" i="12" s="1"/>
  <c r="GV146" i="9"/>
  <c r="GU146"/>
  <c r="GT146"/>
  <c r="GX146"/>
  <c r="GU164"/>
  <c r="GV164"/>
  <c r="GW164"/>
  <c r="GT164"/>
  <c r="GX164"/>
  <c r="GU84"/>
  <c r="GW84"/>
  <c r="GV84"/>
  <c r="GX84"/>
  <c r="GT84"/>
  <c r="GU205"/>
  <c r="S204" i="15" s="1"/>
  <c r="GV205" i="9"/>
  <c r="GW205"/>
  <c r="GX205"/>
  <c r="GT205"/>
  <c r="GW193"/>
  <c r="T190" i="12" s="1"/>
  <c r="GU193" i="9"/>
  <c r="GV193"/>
  <c r="GT193"/>
  <c r="GX193"/>
  <c r="GW177"/>
  <c r="GV177"/>
  <c r="GU177"/>
  <c r="S176" i="15" s="1"/>
  <c r="GX177" i="9"/>
  <c r="GT177"/>
  <c r="GU81"/>
  <c r="GW81"/>
  <c r="T78" i="12" s="1"/>
  <c r="GV81" i="9"/>
  <c r="GX81"/>
  <c r="GT81"/>
  <c r="GW43"/>
  <c r="GU43"/>
  <c r="GV43"/>
  <c r="GX43"/>
  <c r="GT43"/>
  <c r="GU156"/>
  <c r="GV156"/>
  <c r="GW156"/>
  <c r="GT156"/>
  <c r="GX156"/>
  <c r="GU128"/>
  <c r="GV128"/>
  <c r="GW128"/>
  <c r="T125" i="12" s="1"/>
  <c r="GT128" i="9"/>
  <c r="GX128"/>
  <c r="GU44"/>
  <c r="GW44"/>
  <c r="T41" i="12" s="1"/>
  <c r="GV44" i="9"/>
  <c r="GT44"/>
  <c r="GX44"/>
  <c r="GW109"/>
  <c r="T106" i="12" s="1"/>
  <c r="GV109" i="9"/>
  <c r="GU109"/>
  <c r="GX109"/>
  <c r="GT109"/>
  <c r="GV174"/>
  <c r="GW174"/>
  <c r="GU174"/>
  <c r="S173" i="15" s="1"/>
  <c r="GT174" i="9"/>
  <c r="GX174"/>
  <c r="GW158"/>
  <c r="GV158"/>
  <c r="GU158"/>
  <c r="S157" i="15" s="1"/>
  <c r="GT158" i="9"/>
  <c r="GX158"/>
  <c r="GW82"/>
  <c r="GV82"/>
  <c r="GU82"/>
  <c r="GT82"/>
  <c r="GX82"/>
  <c r="GU133"/>
  <c r="S132" i="15" s="1"/>
  <c r="GW133" i="9"/>
  <c r="GV133"/>
  <c r="GX133"/>
  <c r="GT133"/>
  <c r="GW77"/>
  <c r="GV77"/>
  <c r="GU77"/>
  <c r="S76" i="15" s="1"/>
  <c r="GX77" i="9"/>
  <c r="GT77"/>
  <c r="GW45"/>
  <c r="GV45"/>
  <c r="GU45"/>
  <c r="S44" i="15" s="1"/>
  <c r="GT45" i="9"/>
  <c r="GX45"/>
  <c r="GW58"/>
  <c r="GV58"/>
  <c r="GU58"/>
  <c r="GX58"/>
  <c r="GT58"/>
  <c r="GW126"/>
  <c r="T123" i="12" s="1"/>
  <c r="GV126" i="9"/>
  <c r="GU126"/>
  <c r="O122" i="11" s="1"/>
  <c r="GX126" i="9"/>
  <c r="GT126"/>
  <c r="GW66"/>
  <c r="GV66"/>
  <c r="GU66"/>
  <c r="S65" i="15" s="1"/>
  <c r="GX66" i="9"/>
  <c r="GT66"/>
  <c r="J129" i="11"/>
  <c r="H132" i="15"/>
  <c r="HE133" i="9"/>
  <c r="HC133"/>
  <c r="J83" i="11"/>
  <c r="H86" i="15"/>
  <c r="HC87" i="9"/>
  <c r="HE87"/>
  <c r="J53" i="11"/>
  <c r="H56" i="15"/>
  <c r="HE57" i="9"/>
  <c r="HC57"/>
  <c r="J77" i="11"/>
  <c r="O77" s="1"/>
  <c r="H80" i="15"/>
  <c r="HE81" i="9"/>
  <c r="HC81"/>
  <c r="J111" i="11"/>
  <c r="H114" i="15"/>
  <c r="HC115" i="9"/>
  <c r="HE115"/>
  <c r="J112" i="11"/>
  <c r="H115" i="15"/>
  <c r="HC116" i="9"/>
  <c r="HE116"/>
  <c r="J99" i="11"/>
  <c r="H102" i="15"/>
  <c r="HC103" i="9"/>
  <c r="HE103"/>
  <c r="J84" i="11"/>
  <c r="H87" i="15"/>
  <c r="HC88" i="9"/>
  <c r="HE88"/>
  <c r="J183" i="11"/>
  <c r="H186" i="15"/>
  <c r="HC187" i="9"/>
  <c r="HE187"/>
  <c r="J55" i="11"/>
  <c r="H58" i="15"/>
  <c r="HC59" i="9"/>
  <c r="HE59"/>
  <c r="J104" i="11"/>
  <c r="H107" i="15"/>
  <c r="HC108" i="9"/>
  <c r="HE108"/>
  <c r="J153" i="11"/>
  <c r="O153" s="1"/>
  <c r="H156" i="15"/>
  <c r="HE157" i="9"/>
  <c r="HC157"/>
  <c r="J187" i="11"/>
  <c r="H190" i="15"/>
  <c r="HC191" i="9"/>
  <c r="HE191"/>
  <c r="J59" i="11"/>
  <c r="H62" i="15"/>
  <c r="HC63" i="9"/>
  <c r="HE63"/>
  <c r="GV91"/>
  <c r="GU91"/>
  <c r="GW91"/>
  <c r="GT91"/>
  <c r="GX91"/>
  <c r="GU200"/>
  <c r="GV200"/>
  <c r="GW200"/>
  <c r="GT200"/>
  <c r="GX200"/>
  <c r="GU184"/>
  <c r="S183" i="15" s="1"/>
  <c r="GW184" i="9"/>
  <c r="GV184"/>
  <c r="GT184"/>
  <c r="GX184"/>
  <c r="GU160"/>
  <c r="S159" i="15" s="1"/>
  <c r="GW160" i="9"/>
  <c r="GV160"/>
  <c r="GT160"/>
  <c r="GX160"/>
  <c r="GU100"/>
  <c r="GW100"/>
  <c r="GV100"/>
  <c r="GT100"/>
  <c r="GX100"/>
  <c r="GW105"/>
  <c r="T102" i="12" s="1"/>
  <c r="GV105" i="9"/>
  <c r="GU105"/>
  <c r="GT105"/>
  <c r="GX105"/>
  <c r="GW69"/>
  <c r="GV69"/>
  <c r="GU69"/>
  <c r="GT69"/>
  <c r="GX69"/>
  <c r="GW57"/>
  <c r="GV57"/>
  <c r="GU57"/>
  <c r="S56" i="15" s="1"/>
  <c r="GX57" i="9"/>
  <c r="GT57"/>
  <c r="GU167"/>
  <c r="GW167"/>
  <c r="T164" i="12" s="1"/>
  <c r="GV167" i="9"/>
  <c r="GX167"/>
  <c r="GT167"/>
  <c r="GW119"/>
  <c r="T116" i="12" s="1"/>
  <c r="GU119" i="9"/>
  <c r="GV119"/>
  <c r="GX119"/>
  <c r="GT119"/>
  <c r="GU92"/>
  <c r="GW92"/>
  <c r="GV92"/>
  <c r="GX92"/>
  <c r="GT92"/>
  <c r="GU153"/>
  <c r="GW153"/>
  <c r="GV153"/>
  <c r="GX153"/>
  <c r="GT153"/>
  <c r="GW203"/>
  <c r="GV203"/>
  <c r="GU203"/>
  <c r="GT203"/>
  <c r="GX203"/>
  <c r="GV143"/>
  <c r="GU143"/>
  <c r="GW143"/>
  <c r="GT143"/>
  <c r="GX143"/>
  <c r="GV111"/>
  <c r="GU111"/>
  <c r="GW111"/>
  <c r="GT111"/>
  <c r="GX111"/>
  <c r="GU79"/>
  <c r="GW79"/>
  <c r="GV79"/>
  <c r="GT79"/>
  <c r="GX79"/>
  <c r="GU47"/>
  <c r="S46" i="15" s="1"/>
  <c r="GV47" i="9"/>
  <c r="GW47"/>
  <c r="GT47"/>
  <c r="GX47"/>
  <c r="GU116"/>
  <c r="S115" i="15" s="1"/>
  <c r="GW116" i="9"/>
  <c r="GV116"/>
  <c r="GT116"/>
  <c r="GX116"/>
  <c r="GV198"/>
  <c r="GW198"/>
  <c r="GU198"/>
  <c r="S197" i="15" s="1"/>
  <c r="GT198" i="9"/>
  <c r="GX198"/>
  <c r="GW162"/>
  <c r="GV162"/>
  <c r="GU162"/>
  <c r="T159" i="12" s="1"/>
  <c r="GT162" i="9"/>
  <c r="GX162"/>
  <c r="GU155"/>
  <c r="GW155"/>
  <c r="GV155"/>
  <c r="GT155"/>
  <c r="GX155"/>
  <c r="J157" i="11"/>
  <c r="H160" i="15"/>
  <c r="HE161" i="9"/>
  <c r="HC161"/>
  <c r="J93" i="11"/>
  <c r="H96" i="15"/>
  <c r="HE97" i="9"/>
  <c r="HC97"/>
  <c r="J191" i="11"/>
  <c r="H194" i="15"/>
  <c r="HC195" i="9"/>
  <c r="HE195"/>
  <c r="J127" i="11"/>
  <c r="H130" i="15"/>
  <c r="HC131" i="9"/>
  <c r="HE131"/>
  <c r="J63" i="11"/>
  <c r="H66" i="15"/>
  <c r="HC67" i="9"/>
  <c r="HE67"/>
  <c r="J128" i="11"/>
  <c r="O128" s="1"/>
  <c r="H131" i="15"/>
  <c r="HC132" i="9"/>
  <c r="HE132"/>
  <c r="J64" i="11"/>
  <c r="H67" i="15"/>
  <c r="HC68" i="9"/>
  <c r="HE68"/>
  <c r="J195" i="11"/>
  <c r="H198" i="15"/>
  <c r="HC199" i="9"/>
  <c r="HE199"/>
  <c r="J180" i="11"/>
  <c r="H183" i="15"/>
  <c r="HC184" i="9"/>
  <c r="HE184"/>
  <c r="J116" i="11"/>
  <c r="H119" i="15"/>
  <c r="HC120" i="9"/>
  <c r="HE120"/>
  <c r="J203" i="11"/>
  <c r="H206" i="15"/>
  <c r="HC207" i="9"/>
  <c r="HE207"/>
  <c r="J199" i="11"/>
  <c r="O199" s="1"/>
  <c r="H202" i="15"/>
  <c r="HC203" i="9"/>
  <c r="HE203"/>
  <c r="J135" i="11"/>
  <c r="H138" i="15"/>
  <c r="HC139" i="9"/>
  <c r="HE139"/>
  <c r="J71" i="11"/>
  <c r="H74" i="15"/>
  <c r="HC75" i="9"/>
  <c r="HE75"/>
  <c r="J184" i="11"/>
  <c r="O184" s="1"/>
  <c r="H187" i="15"/>
  <c r="HC188" i="9"/>
  <c r="HE188"/>
  <c r="J120" i="11"/>
  <c r="O120" s="1"/>
  <c r="H123" i="15"/>
  <c r="HC124" i="9"/>
  <c r="HE124"/>
  <c r="J56" i="11"/>
  <c r="H59" i="15"/>
  <c r="HC60" i="9"/>
  <c r="HE60"/>
  <c r="J169" i="11"/>
  <c r="O169" s="1"/>
  <c r="H172" i="15"/>
  <c r="HE173" i="9"/>
  <c r="HC173"/>
  <c r="J105" i="11"/>
  <c r="O105" s="1"/>
  <c r="H108" i="15"/>
  <c r="HE109" i="9"/>
  <c r="HC109"/>
  <c r="J41" i="11"/>
  <c r="H44" i="15"/>
  <c r="HE45" i="9"/>
  <c r="HC45"/>
  <c r="J139" i="11"/>
  <c r="O139" s="1"/>
  <c r="H142" i="15"/>
  <c r="HC143" i="9"/>
  <c r="HE143"/>
  <c r="J75" i="11"/>
  <c r="O75" s="1"/>
  <c r="H78" i="15"/>
  <c r="HC79" i="9"/>
  <c r="HE79"/>
  <c r="J140" i="11"/>
  <c r="H143" i="15"/>
  <c r="HC144" i="9"/>
  <c r="HE144"/>
  <c r="GW183"/>
  <c r="GV183"/>
  <c r="GU183"/>
  <c r="GT183"/>
  <c r="GX183"/>
  <c r="GW151"/>
  <c r="GV151"/>
  <c r="GU151"/>
  <c r="S150" i="15" s="1"/>
  <c r="GX151" i="9"/>
  <c r="GT151"/>
  <c r="GU139"/>
  <c r="GW139"/>
  <c r="T136" i="12" s="1"/>
  <c r="GV139" i="9"/>
  <c r="GT139"/>
  <c r="GX139"/>
  <c r="GU204"/>
  <c r="GW204"/>
  <c r="GV204"/>
  <c r="GT204"/>
  <c r="GX204"/>
  <c r="GU172"/>
  <c r="T169" i="12" s="1"/>
  <c r="GV172" i="9"/>
  <c r="GW172"/>
  <c r="GX172"/>
  <c r="GT172"/>
  <c r="GU136"/>
  <c r="GW136"/>
  <c r="GV136"/>
  <c r="GX136"/>
  <c r="GT136"/>
  <c r="GU112"/>
  <c r="GW112"/>
  <c r="GV112"/>
  <c r="GX112"/>
  <c r="GT112"/>
  <c r="GU60"/>
  <c r="GW60"/>
  <c r="T57" i="12" s="1"/>
  <c r="GV60" i="9"/>
  <c r="GX60"/>
  <c r="GT60"/>
  <c r="GU40"/>
  <c r="T37" i="12" s="1"/>
  <c r="GV40" i="9"/>
  <c r="GW40"/>
  <c r="GT40"/>
  <c r="GX40"/>
  <c r="GU61"/>
  <c r="GW61"/>
  <c r="GV61"/>
  <c r="GT61"/>
  <c r="GX61"/>
  <c r="GW130"/>
  <c r="GV130"/>
  <c r="GU130"/>
  <c r="T127" i="12" s="1"/>
  <c r="GT130" i="9"/>
  <c r="GX130"/>
  <c r="GT127"/>
  <c r="GU120"/>
  <c r="S119" i="15" s="1"/>
  <c r="GV120" i="9"/>
  <c r="GW120"/>
  <c r="GX120"/>
  <c r="GT120"/>
  <c r="GV189"/>
  <c r="GW189"/>
  <c r="GU189"/>
  <c r="GX189"/>
  <c r="GT189"/>
  <c r="GW171"/>
  <c r="GV171"/>
  <c r="GU171"/>
  <c r="T168" i="12" s="1"/>
  <c r="GX171" i="9"/>
  <c r="GT171"/>
  <c r="GU115"/>
  <c r="GW115"/>
  <c r="GV115"/>
  <c r="GX115"/>
  <c r="GT115"/>
  <c r="GW99"/>
  <c r="T96" i="12" s="1"/>
  <c r="GU99" i="9"/>
  <c r="GV99"/>
  <c r="GT99"/>
  <c r="GX99"/>
  <c r="GU75"/>
  <c r="GW75"/>
  <c r="GV75"/>
  <c r="GT75"/>
  <c r="GX75"/>
  <c r="GU192"/>
  <c r="GV192"/>
  <c r="GW192"/>
  <c r="T189" i="12" s="1"/>
  <c r="GT192" i="9"/>
  <c r="GX192"/>
  <c r="GU108"/>
  <c r="T105" i="12" s="1"/>
  <c r="GW108" i="9"/>
  <c r="GV108"/>
  <c r="GT108"/>
  <c r="GX108"/>
  <c r="GV202"/>
  <c r="GW202"/>
  <c r="GU202"/>
  <c r="S201" i="15" s="1"/>
  <c r="GT202" i="9"/>
  <c r="GX202"/>
  <c r="GW166"/>
  <c r="GV166"/>
  <c r="GU166"/>
  <c r="S165" i="15" s="1"/>
  <c r="GT166" i="9"/>
  <c r="GX166"/>
  <c r="GV131"/>
  <c r="GU131"/>
  <c r="GW131"/>
  <c r="GX131"/>
  <c r="GT131"/>
  <c r="GU87"/>
  <c r="GW87"/>
  <c r="GV87"/>
  <c r="GX87"/>
  <c r="GT87"/>
  <c r="GW51"/>
  <c r="GV51"/>
  <c r="GU51"/>
  <c r="GX51"/>
  <c r="GT51"/>
  <c r="GV39"/>
  <c r="GU39"/>
  <c r="GW39"/>
  <c r="GX39"/>
  <c r="GT39"/>
  <c r="GU144"/>
  <c r="GW144"/>
  <c r="T141" i="12" s="1"/>
  <c r="GV144" i="9"/>
  <c r="GX144"/>
  <c r="GT144"/>
  <c r="GU68"/>
  <c r="GW68"/>
  <c r="GV68"/>
  <c r="GX68"/>
  <c r="GT68"/>
  <c r="GT197"/>
  <c r="GW70"/>
  <c r="GV70"/>
  <c r="GU70"/>
  <c r="S69" i="15" s="1"/>
  <c r="GT70" i="9"/>
  <c r="GX70"/>
  <c r="GW49"/>
  <c r="GV49"/>
  <c r="GU49"/>
  <c r="S48" i="15" s="1"/>
  <c r="GX49" i="9"/>
  <c r="GT49"/>
  <c r="GW142"/>
  <c r="T139" i="12" s="1"/>
  <c r="GV142" i="9"/>
  <c r="GU142"/>
  <c r="O138" i="11" s="1"/>
  <c r="GX142" i="9"/>
  <c r="GT142"/>
  <c r="GW110"/>
  <c r="T107" i="12" s="1"/>
  <c r="GV110" i="9"/>
  <c r="GU110"/>
  <c r="GX110"/>
  <c r="GT110"/>
  <c r="GW62"/>
  <c r="GV62"/>
  <c r="GU62"/>
  <c r="S61" i="15" s="1"/>
  <c r="GT62" i="9"/>
  <c r="GX62"/>
  <c r="GW46"/>
  <c r="GV46"/>
  <c r="GU46"/>
  <c r="S45" i="15" s="1"/>
  <c r="GX46" i="9"/>
  <c r="GT46"/>
  <c r="GW134"/>
  <c r="T131" i="12" s="1"/>
  <c r="GV134" i="9"/>
  <c r="GU134"/>
  <c r="O130" i="11" s="1"/>
  <c r="GT134" i="9"/>
  <c r="GX134"/>
  <c r="J144" i="11"/>
  <c r="O144" s="1"/>
  <c r="H147" i="15"/>
  <c r="HC148" i="9"/>
  <c r="HE148"/>
  <c r="J161" i="11"/>
  <c r="O161" s="1"/>
  <c r="H164" i="15"/>
  <c r="HE165" i="9"/>
  <c r="HC165"/>
  <c r="J49" i="11"/>
  <c r="H52" i="15"/>
  <c r="HE53" i="9"/>
  <c r="HC53"/>
  <c r="J163" i="11"/>
  <c r="O163" s="1"/>
  <c r="H166" i="15"/>
  <c r="HC167" i="9"/>
  <c r="HE167"/>
  <c r="J51" i="11"/>
  <c r="H54" i="15"/>
  <c r="HC55" i="9"/>
  <c r="HE55"/>
  <c r="J100" i="11"/>
  <c r="H103" i="15"/>
  <c r="HC104" i="9"/>
  <c r="HE104"/>
  <c r="J181" i="11"/>
  <c r="H184" i="15"/>
  <c r="HE185" i="9"/>
  <c r="HC185"/>
  <c r="J133" i="11"/>
  <c r="H136" i="15"/>
  <c r="HE137" i="9"/>
  <c r="HC137"/>
  <c r="J173" i="15"/>
  <c r="L170" i="11"/>
  <c r="HD174" i="9"/>
  <c r="N170" i="11" s="1"/>
  <c r="J165" i="15"/>
  <c r="HD166" i="9"/>
  <c r="N162" i="11" s="1"/>
  <c r="L162"/>
  <c r="J157" i="15"/>
  <c r="L154" i="11"/>
  <c r="HD158" i="9"/>
  <c r="N154" i="11" s="1"/>
  <c r="J81" i="15"/>
  <c r="HD82" i="9"/>
  <c r="N78" i="11" s="1"/>
  <c r="L78"/>
  <c r="J45" i="15"/>
  <c r="L42" i="11"/>
  <c r="HD46" i="9"/>
  <c r="N42" i="11" s="1"/>
  <c r="J117" i="15"/>
  <c r="HD118" i="9"/>
  <c r="N114" i="11" s="1"/>
  <c r="L114"/>
  <c r="L190"/>
  <c r="J193" i="15"/>
  <c r="HD194" i="9"/>
  <c r="N190" i="11" s="1"/>
  <c r="HD186" i="9"/>
  <c r="N182" i="11" s="1"/>
  <c r="L182"/>
  <c r="J185" i="15"/>
  <c r="J129"/>
  <c r="HD130" i="9"/>
  <c r="N126" i="11" s="1"/>
  <c r="L126"/>
  <c r="J109" i="15"/>
  <c r="L106" i="11"/>
  <c r="HD110" i="9"/>
  <c r="N106" i="11" s="1"/>
  <c r="J101" i="15"/>
  <c r="L98" i="11"/>
  <c r="HD102" i="9"/>
  <c r="N98" i="11" s="1"/>
  <c r="J93" i="15"/>
  <c r="L90" i="11"/>
  <c r="HD94" i="9"/>
  <c r="N90" i="11" s="1"/>
  <c r="J69" i="15"/>
  <c r="L66" i="11"/>
  <c r="HD70" i="9"/>
  <c r="N66" i="11" s="1"/>
  <c r="HD154" i="9"/>
  <c r="N150" i="11" s="1"/>
  <c r="L150"/>
  <c r="J153" i="15"/>
  <c r="HD58" i="9"/>
  <c r="N54" i="11" s="1"/>
  <c r="L54"/>
  <c r="J57" i="15"/>
  <c r="J133"/>
  <c r="L130" i="11"/>
  <c r="HD134" i="9"/>
  <c r="N130" i="11" s="1"/>
  <c r="J205" i="15"/>
  <c r="L202" i="11"/>
  <c r="HD206" i="9"/>
  <c r="N202" i="11" s="1"/>
  <c r="J197" i="15"/>
  <c r="HD198" i="9"/>
  <c r="N194" i="11" s="1"/>
  <c r="L194"/>
  <c r="J189" i="15"/>
  <c r="L186" i="11"/>
  <c r="HD190" i="9"/>
  <c r="N186" i="11" s="1"/>
  <c r="J145" i="15"/>
  <c r="HD146" i="9"/>
  <c r="N142" i="11" s="1"/>
  <c r="L142"/>
  <c r="J113" i="15"/>
  <c r="HD114" i="9"/>
  <c r="N110" i="11" s="1"/>
  <c r="L110"/>
  <c r="HD106" i="9"/>
  <c r="N102" i="11" s="1"/>
  <c r="L102"/>
  <c r="J105" i="15"/>
  <c r="HD90" i="9"/>
  <c r="N86" i="11" s="1"/>
  <c r="L86"/>
  <c r="J89" i="15"/>
  <c r="J177"/>
  <c r="HD178" i="9"/>
  <c r="N174" i="11" s="1"/>
  <c r="L174"/>
  <c r="HD122" i="9"/>
  <c r="N118" i="11" s="1"/>
  <c r="L118"/>
  <c r="J121" i="15"/>
  <c r="T192" i="12"/>
  <c r="O158" i="11"/>
  <c r="O62"/>
  <c r="O98"/>
  <c r="O166"/>
  <c r="O54"/>
  <c r="O74"/>
  <c r="O110"/>
  <c r="O86"/>
  <c r="O46"/>
  <c r="T48" i="12"/>
  <c r="T173"/>
  <c r="T157"/>
  <c r="T109"/>
  <c r="T111"/>
  <c r="T197"/>
  <c r="T193"/>
  <c r="T161"/>
  <c r="T129"/>
  <c r="T199"/>
  <c r="T171"/>
  <c r="T115"/>
  <c r="T149"/>
  <c r="T133"/>
  <c r="T185"/>
  <c r="T153"/>
  <c r="T121"/>
  <c r="J189" i="11"/>
  <c r="O189" s="1"/>
  <c r="H192" i="15"/>
  <c r="HE193" i="9"/>
  <c r="HC193"/>
  <c r="J159" i="11"/>
  <c r="H162" i="15"/>
  <c r="HC163" i="9"/>
  <c r="HE163"/>
  <c r="J96" i="11"/>
  <c r="O96" s="1"/>
  <c r="H99" i="15"/>
  <c r="HC100" i="9"/>
  <c r="HE100"/>
  <c r="J148" i="11"/>
  <c r="O148" s="1"/>
  <c r="H151" i="15"/>
  <c r="HC152" i="9"/>
  <c r="HE152"/>
  <c r="J167" i="11"/>
  <c r="O167" s="1"/>
  <c r="H170" i="15"/>
  <c r="HC171" i="9"/>
  <c r="HE171"/>
  <c r="J88" i="11"/>
  <c r="O88" s="1"/>
  <c r="H91" i="15"/>
  <c r="HC92" i="9"/>
  <c r="HE92"/>
  <c r="J73" i="11"/>
  <c r="O73" s="1"/>
  <c r="H76" i="15"/>
  <c r="HE77" i="9"/>
  <c r="HC77"/>
  <c r="J43" i="11"/>
  <c r="O43" s="1"/>
  <c r="H46" i="15"/>
  <c r="HC47" i="9"/>
  <c r="HE47"/>
  <c r="GW107"/>
  <c r="GU180"/>
  <c r="GV180"/>
  <c r="GW180"/>
  <c r="GX180"/>
  <c r="GT180"/>
  <c r="GU140"/>
  <c r="GV140"/>
  <c r="GW140"/>
  <c r="GX140"/>
  <c r="GT140"/>
  <c r="GU96"/>
  <c r="T93" i="12" s="1"/>
  <c r="GW96" i="9"/>
  <c r="GV96"/>
  <c r="GT96"/>
  <c r="GX96"/>
  <c r="GW154"/>
  <c r="GV154"/>
  <c r="GU154"/>
  <c r="GX154"/>
  <c r="GT154"/>
  <c r="GU148"/>
  <c r="GV148"/>
  <c r="GW148"/>
  <c r="GX148"/>
  <c r="GT148"/>
  <c r="GW106"/>
  <c r="T103" i="12" s="1"/>
  <c r="GV106" i="9"/>
  <c r="GU106"/>
  <c r="GX106"/>
  <c r="GT106"/>
  <c r="GW54"/>
  <c r="GV54"/>
  <c r="GU54"/>
  <c r="GX54"/>
  <c r="GT54"/>
  <c r="GW94"/>
  <c r="GV94"/>
  <c r="GU94"/>
  <c r="O90" i="11" s="1"/>
  <c r="GT94" i="9"/>
  <c r="GX94"/>
  <c r="GW42"/>
  <c r="GV42"/>
  <c r="GU42"/>
  <c r="GX42"/>
  <c r="GT42"/>
  <c r="GW38"/>
  <c r="GV38"/>
  <c r="GU38"/>
  <c r="O34" i="11" s="1"/>
  <c r="GT38" i="9"/>
  <c r="GX38"/>
  <c r="J131" i="11"/>
  <c r="H134" i="15"/>
  <c r="HC135" i="9"/>
  <c r="HE135"/>
  <c r="J60" i="11"/>
  <c r="O60" s="1"/>
  <c r="H63" i="15"/>
  <c r="HC64" i="9"/>
  <c r="HE64"/>
  <c r="J101" i="11"/>
  <c r="O101" s="1"/>
  <c r="H104" i="15"/>
  <c r="HE105" i="9"/>
  <c r="HC105"/>
  <c r="J141" i="11"/>
  <c r="H144" i="15"/>
  <c r="HE145" i="9"/>
  <c r="HC145"/>
  <c r="J175" i="11"/>
  <c r="H178" i="15"/>
  <c r="HC179" i="9"/>
  <c r="HE179"/>
  <c r="J47" i="11"/>
  <c r="O47" s="1"/>
  <c r="H50" i="15"/>
  <c r="HC51" i="9"/>
  <c r="HE51"/>
  <c r="J48" i="11"/>
  <c r="O48" s="1"/>
  <c r="H51" i="15"/>
  <c r="HC52" i="9"/>
  <c r="HE52"/>
  <c r="J164" i="11"/>
  <c r="H167" i="15"/>
  <c r="HC168" i="9"/>
  <c r="HE168"/>
  <c r="J197" i="11"/>
  <c r="H200" i="15"/>
  <c r="HE201" i="9"/>
  <c r="HC201"/>
  <c r="J119" i="11"/>
  <c r="H122" i="15"/>
  <c r="HC123" i="9"/>
  <c r="HE123"/>
  <c r="J168" i="11"/>
  <c r="H171" i="15"/>
  <c r="HC172" i="9"/>
  <c r="HE172"/>
  <c r="J40" i="11"/>
  <c r="O40" s="1"/>
  <c r="H43" i="15"/>
  <c r="HC44" i="9"/>
  <c r="HE44"/>
  <c r="J89" i="11"/>
  <c r="H92" i="15"/>
  <c r="HE93" i="9"/>
  <c r="HC93"/>
  <c r="J123" i="11"/>
  <c r="H126" i="15"/>
  <c r="HC127" i="9"/>
  <c r="HE127"/>
  <c r="J108" i="11"/>
  <c r="O108" s="1"/>
  <c r="H111" i="15"/>
  <c r="HC112" i="9"/>
  <c r="HE112"/>
  <c r="GU147"/>
  <c r="S146" i="15" s="1"/>
  <c r="GW147" i="9"/>
  <c r="GV147"/>
  <c r="GX147"/>
  <c r="GT147"/>
  <c r="J173" i="11"/>
  <c r="O173" s="1"/>
  <c r="H176" i="15"/>
  <c r="HE177" i="9"/>
  <c r="HC177"/>
  <c r="J109" i="11"/>
  <c r="H112" i="15"/>
  <c r="HE113" i="9"/>
  <c r="HC113"/>
  <c r="J45" i="11"/>
  <c r="H48" i="15"/>
  <c r="HE49" i="9"/>
  <c r="HC49"/>
  <c r="J143" i="11"/>
  <c r="H146" i="15"/>
  <c r="HC147" i="9"/>
  <c r="HE147"/>
  <c r="J79" i="11"/>
  <c r="H82" i="15"/>
  <c r="HC83" i="9"/>
  <c r="HE83"/>
  <c r="J160" i="11"/>
  <c r="O160" s="1"/>
  <c r="H163" i="15"/>
  <c r="HC164" i="9"/>
  <c r="HE164"/>
  <c r="J80" i="11"/>
  <c r="O80" s="1"/>
  <c r="H83" i="15"/>
  <c r="HC84" i="9"/>
  <c r="HE84"/>
  <c r="J113" i="11"/>
  <c r="H116" i="15"/>
  <c r="HE117" i="9"/>
  <c r="HC117"/>
  <c r="J196" i="11"/>
  <c r="O196" s="1"/>
  <c r="H199" i="15"/>
  <c r="HC200" i="9"/>
  <c r="HE200"/>
  <c r="J132" i="11"/>
  <c r="O132" s="1"/>
  <c r="H135" i="15"/>
  <c r="HC136" i="9"/>
  <c r="HE136"/>
  <c r="J52" i="11"/>
  <c r="H55" i="15"/>
  <c r="HC56" i="9"/>
  <c r="HE56"/>
  <c r="J69" i="11"/>
  <c r="H72" i="15"/>
  <c r="HE73" i="9"/>
  <c r="HC73"/>
  <c r="J151" i="11"/>
  <c r="H154" i="15"/>
  <c r="HC155" i="9"/>
  <c r="HE155"/>
  <c r="J87" i="11"/>
  <c r="O87" s="1"/>
  <c r="H90" i="15"/>
  <c r="HC91" i="9"/>
  <c r="HE91"/>
  <c r="J200" i="11"/>
  <c r="H203" i="15"/>
  <c r="HC204" i="9"/>
  <c r="HE204"/>
  <c r="J136" i="11"/>
  <c r="H139" i="15"/>
  <c r="HC140" i="9"/>
  <c r="HE140"/>
  <c r="J72" i="11"/>
  <c r="H75" i="15"/>
  <c r="HC76" i="9"/>
  <c r="HE76"/>
  <c r="J185" i="11"/>
  <c r="O185" s="1"/>
  <c r="H188" i="15"/>
  <c r="HE189" i="9"/>
  <c r="HC189"/>
  <c r="J121" i="11"/>
  <c r="O121" s="1"/>
  <c r="H124" i="15"/>
  <c r="HE125" i="9"/>
  <c r="HC125"/>
  <c r="J57" i="11"/>
  <c r="O57" s="1"/>
  <c r="H60" i="15"/>
  <c r="HE61" i="9"/>
  <c r="HC61"/>
  <c r="J155" i="11"/>
  <c r="H158" i="15"/>
  <c r="HC159" i="9"/>
  <c r="HE159"/>
  <c r="J91" i="11"/>
  <c r="O91" s="1"/>
  <c r="H94" i="15"/>
  <c r="HC95" i="9"/>
  <c r="HE95"/>
  <c r="J172" i="11"/>
  <c r="O172" s="1"/>
  <c r="H175" i="15"/>
  <c r="HC176" i="9"/>
  <c r="HE176"/>
  <c r="J44" i="11"/>
  <c r="H47" i="15"/>
  <c r="HC48" i="9"/>
  <c r="HE48"/>
  <c r="GW191"/>
  <c r="GV191"/>
  <c r="GU191"/>
  <c r="T188" i="12" s="1"/>
  <c r="GT191" i="9"/>
  <c r="GX191"/>
  <c r="GU104"/>
  <c r="T101" i="12" s="1"/>
  <c r="GW104" i="9"/>
  <c r="GV104"/>
  <c r="GX104"/>
  <c r="GT104"/>
  <c r="GW185"/>
  <c r="GU185"/>
  <c r="GV185"/>
  <c r="GT185"/>
  <c r="GX185"/>
  <c r="GU101"/>
  <c r="S100" i="15" s="1"/>
  <c r="GW101" i="9"/>
  <c r="GV101"/>
  <c r="GT101"/>
  <c r="GX101"/>
  <c r="GW122"/>
  <c r="GV122"/>
  <c r="GU122"/>
  <c r="T119" i="12" s="1"/>
  <c r="GT122" i="9"/>
  <c r="GX122"/>
  <c r="GW187"/>
  <c r="GU187"/>
  <c r="S186" i="15" s="1"/>
  <c r="GV187" i="9"/>
  <c r="GX187"/>
  <c r="GT187"/>
  <c r="GU159"/>
  <c r="GW159"/>
  <c r="GV159"/>
  <c r="GX159"/>
  <c r="GT159"/>
  <c r="GW207"/>
  <c r="GU207"/>
  <c r="T204" i="12" s="1"/>
  <c r="GV207" i="9"/>
  <c r="GX207"/>
  <c r="GT207"/>
  <c r="GV181"/>
  <c r="GW181"/>
  <c r="GU181"/>
  <c r="GT181"/>
  <c r="GX181"/>
  <c r="GU113"/>
  <c r="GW113"/>
  <c r="GV113"/>
  <c r="GX113"/>
  <c r="GT113"/>
  <c r="GW163"/>
  <c r="GV163"/>
  <c r="GU163"/>
  <c r="GT163"/>
  <c r="GX163"/>
  <c r="GW135"/>
  <c r="GU135"/>
  <c r="GV135"/>
  <c r="GT135"/>
  <c r="GX135"/>
  <c r="GV123"/>
  <c r="GU123"/>
  <c r="GW123"/>
  <c r="T120" i="12" s="1"/>
  <c r="GX123" i="9"/>
  <c r="GT123"/>
  <c r="GU67"/>
  <c r="GW67"/>
  <c r="T64" i="12" s="1"/>
  <c r="GV67" i="9"/>
  <c r="GX67"/>
  <c r="GT67"/>
  <c r="GW117"/>
  <c r="GV117"/>
  <c r="GU117"/>
  <c r="GX117"/>
  <c r="GT117"/>
  <c r="GV190"/>
  <c r="GW190"/>
  <c r="GU190"/>
  <c r="GX190"/>
  <c r="GT190"/>
  <c r="GW195"/>
  <c r="GU195"/>
  <c r="GV195"/>
  <c r="GT195"/>
  <c r="GX195"/>
  <c r="GW179"/>
  <c r="GU179"/>
  <c r="GV179"/>
  <c r="GX179"/>
  <c r="GT179"/>
  <c r="GV103"/>
  <c r="GU103"/>
  <c r="S102" i="15" s="1"/>
  <c r="GW103" i="9"/>
  <c r="GT103"/>
  <c r="GX103"/>
  <c r="GW59"/>
  <c r="T56" i="12" s="1"/>
  <c r="GU59" i="9"/>
  <c r="GV59"/>
  <c r="GX59"/>
  <c r="GT59"/>
  <c r="GU196"/>
  <c r="S195" i="15" s="1"/>
  <c r="GW196" i="9"/>
  <c r="GV196"/>
  <c r="GX196"/>
  <c r="GT196"/>
  <c r="GU56"/>
  <c r="GW56"/>
  <c r="T53" i="12" s="1"/>
  <c r="GV56" i="9"/>
  <c r="GT56"/>
  <c r="GX56"/>
  <c r="GU48"/>
  <c r="GW48"/>
  <c r="GV48"/>
  <c r="GX48"/>
  <c r="GT48"/>
  <c r="GW169"/>
  <c r="T166" i="12" s="1"/>
  <c r="GV169" i="9"/>
  <c r="GU169"/>
  <c r="GX169"/>
  <c r="GT169"/>
  <c r="GW74"/>
  <c r="GV74"/>
  <c r="GU74"/>
  <c r="S73" i="15" s="1"/>
  <c r="GX74" i="9"/>
  <c r="GT74"/>
  <c r="GV178"/>
  <c r="GU178"/>
  <c r="GW178"/>
  <c r="GX178"/>
  <c r="GT178"/>
  <c r="GW150"/>
  <c r="GV150"/>
  <c r="GU150"/>
  <c r="GX150"/>
  <c r="GT150"/>
  <c r="GW102"/>
  <c r="GV102"/>
  <c r="GU102"/>
  <c r="GT102"/>
  <c r="GX102"/>
  <c r="GU121"/>
  <c r="S120" i="15" s="1"/>
  <c r="GW121" i="9"/>
  <c r="GV121"/>
  <c r="GT121"/>
  <c r="GX121"/>
  <c r="GW85"/>
  <c r="GV85"/>
  <c r="GU85"/>
  <c r="S84" i="15" s="1"/>
  <c r="GT85" i="9"/>
  <c r="GX85"/>
  <c r="GW90"/>
  <c r="T87" i="12" s="1"/>
  <c r="GV90" i="9"/>
  <c r="GU90"/>
  <c r="GT90"/>
  <c r="GX90"/>
  <c r="GW138"/>
  <c r="GV138"/>
  <c r="GU138"/>
  <c r="O134" i="11" s="1"/>
  <c r="GX138" i="9"/>
  <c r="GT138"/>
  <c r="J145" i="11"/>
  <c r="H148" i="15"/>
  <c r="HE149" i="9"/>
  <c r="HC149"/>
  <c r="J97" i="11"/>
  <c r="H100" i="15"/>
  <c r="HE101" i="9"/>
  <c r="HC101"/>
  <c r="J147" i="11"/>
  <c r="H150" i="15"/>
  <c r="HE151" i="9"/>
  <c r="HC151"/>
  <c r="J188" i="11"/>
  <c r="O188" s="1"/>
  <c r="H191" i="15"/>
  <c r="HC192" i="9"/>
  <c r="HE192"/>
  <c r="J76" i="11"/>
  <c r="O76" s="1"/>
  <c r="H79" i="15"/>
  <c r="HC80" i="9"/>
  <c r="HE80"/>
  <c r="J165" i="11"/>
  <c r="O165" s="1"/>
  <c r="H168" i="15"/>
  <c r="HE169" i="9"/>
  <c r="HC169"/>
  <c r="J117" i="11"/>
  <c r="H120" i="15"/>
  <c r="HE121" i="9"/>
  <c r="HC121"/>
  <c r="J141" i="15"/>
  <c r="L138" i="11"/>
  <c r="HD142" i="9"/>
  <c r="N138" i="11" s="1"/>
  <c r="J85" i="15"/>
  <c r="L82" i="11"/>
  <c r="HD86" i="9"/>
  <c r="N82" i="11" s="1"/>
  <c r="HD138" i="9"/>
  <c r="N134" i="11" s="1"/>
  <c r="L134"/>
  <c r="J137" i="15"/>
  <c r="J53"/>
  <c r="HD54" i="9"/>
  <c r="N50" i="11" s="1"/>
  <c r="L50"/>
  <c r="J125" i="15"/>
  <c r="L122" i="11"/>
  <c r="HD126" i="9"/>
  <c r="N122" i="11" s="1"/>
  <c r="HD202" i="9"/>
  <c r="N198" i="11" s="1"/>
  <c r="J201" i="15"/>
  <c r="L198" i="11"/>
  <c r="J161" i="15"/>
  <c r="HD162" i="9"/>
  <c r="N158" i="11" s="1"/>
  <c r="L158"/>
  <c r="J65" i="15"/>
  <c r="HD66" i="9"/>
  <c r="N62" i="11" s="1"/>
  <c r="L62"/>
  <c r="HD42" i="9"/>
  <c r="N38" i="11" s="1"/>
  <c r="L38"/>
  <c r="J41" i="15"/>
  <c r="J149"/>
  <c r="HD150" i="9"/>
  <c r="N146" i="11" s="1"/>
  <c r="L146"/>
  <c r="J37" i="15"/>
  <c r="L34" i="11"/>
  <c r="HD38" i="9"/>
  <c r="N34" i="11" s="1"/>
  <c r="HD74" i="9"/>
  <c r="N70" i="11" s="1"/>
  <c r="L70"/>
  <c r="J73" i="15"/>
  <c r="J61"/>
  <c r="L58" i="11"/>
  <c r="HD62" i="9"/>
  <c r="N58" i="11" s="1"/>
  <c r="J181" i="15"/>
  <c r="L178" i="11"/>
  <c r="HD182" i="9"/>
  <c r="N178" i="11" s="1"/>
  <c r="HD170" i="9"/>
  <c r="N166" i="11" s="1"/>
  <c r="L166"/>
  <c r="J169" i="15"/>
  <c r="J77"/>
  <c r="L74" i="11"/>
  <c r="HD78" i="9"/>
  <c r="N74" i="11" s="1"/>
  <c r="J97" i="15"/>
  <c r="HD98" i="9"/>
  <c r="N94" i="11" s="1"/>
  <c r="L94"/>
  <c r="J49" i="15"/>
  <c r="HD50" i="9"/>
  <c r="N46" i="11" s="1"/>
  <c r="L46"/>
  <c r="O42"/>
  <c r="O146"/>
  <c r="O106"/>
  <c r="O194"/>
  <c r="O142"/>
  <c r="O102"/>
  <c r="T61" i="12"/>
  <c r="T150"/>
  <c r="T200"/>
  <c r="T180"/>
  <c r="T97"/>
  <c r="T81"/>
  <c r="T65"/>
  <c r="T49"/>
  <c r="T186"/>
  <c r="T170"/>
  <c r="T154"/>
  <c r="T79"/>
  <c r="T35"/>
  <c r="T174"/>
  <c r="T91"/>
  <c r="T140"/>
  <c r="T108"/>
  <c r="T89"/>
  <c r="T178"/>
  <c r="T114"/>
  <c r="T75"/>
  <c r="T63"/>
  <c r="T55"/>
  <c r="T47"/>
  <c r="GQ55" i="9"/>
  <c r="EG10"/>
  <c r="EH11"/>
  <c r="EH12"/>
  <c r="EG17"/>
  <c r="EH18"/>
  <c r="EH19"/>
  <c r="EH20"/>
  <c r="EG25"/>
  <c r="EH26"/>
  <c r="EH27"/>
  <c r="EH28"/>
  <c r="EG31"/>
  <c r="EG32"/>
  <c r="EH33"/>
  <c r="EH34"/>
  <c r="EH40"/>
  <c r="EG41"/>
  <c r="EH44"/>
  <c r="EG45"/>
  <c r="EH48"/>
  <c r="EG49"/>
  <c r="EH52"/>
  <c r="EG53"/>
  <c r="EH56"/>
  <c r="EG57"/>
  <c r="EH60"/>
  <c r="EG61"/>
  <c r="EH64"/>
  <c r="EG65"/>
  <c r="EH68"/>
  <c r="EG69"/>
  <c r="EH72"/>
  <c r="EG73"/>
  <c r="EH76"/>
  <c r="EG77"/>
  <c r="EH80"/>
  <c r="EG81"/>
  <c r="EH84"/>
  <c r="EG85"/>
  <c r="EH88"/>
  <c r="EG89"/>
  <c r="EH92"/>
  <c r="EG93"/>
  <c r="EH96"/>
  <c r="EG97"/>
  <c r="EH100"/>
  <c r="EG101"/>
  <c r="EH104"/>
  <c r="EG105"/>
  <c r="EH108"/>
  <c r="EG109"/>
  <c r="EH112"/>
  <c r="EG113"/>
  <c r="EH116"/>
  <c r="EG117"/>
  <c r="EH120"/>
  <c r="EG121"/>
  <c r="EH124"/>
  <c r="EG125"/>
  <c r="EH128"/>
  <c r="EG129"/>
  <c r="EH132"/>
  <c r="EG133"/>
  <c r="EH136"/>
  <c r="EG137"/>
  <c r="EH140"/>
  <c r="EG141"/>
  <c r="EH144"/>
  <c r="EG145"/>
  <c r="EH148"/>
  <c r="EG149"/>
  <c r="EH152"/>
  <c r="EG153"/>
  <c r="EH156"/>
  <c r="EG157"/>
  <c r="EH160"/>
  <c r="EG161"/>
  <c r="EH164"/>
  <c r="EG165"/>
  <c r="EH168"/>
  <c r="EG169"/>
  <c r="EH172"/>
  <c r="EG173"/>
  <c r="EH176"/>
  <c r="EG177"/>
  <c r="EH180"/>
  <c r="EG181"/>
  <c r="EH184"/>
  <c r="EG185"/>
  <c r="EH188"/>
  <c r="EG189"/>
  <c r="EH192"/>
  <c r="EG193"/>
  <c r="EH196"/>
  <c r="EG197"/>
  <c r="EH200"/>
  <c r="EG201"/>
  <c r="EH204"/>
  <c r="EG205"/>
  <c r="EH8"/>
  <c r="EG11"/>
  <c r="EI11" s="1"/>
  <c r="EG12"/>
  <c r="EH13"/>
  <c r="EG18"/>
  <c r="EI18" s="1"/>
  <c r="EG19"/>
  <c r="EI19" s="1"/>
  <c r="EG20"/>
  <c r="EH21"/>
  <c r="EG26"/>
  <c r="EI26" s="1"/>
  <c r="EG27"/>
  <c r="EI27" s="1"/>
  <c r="EG28"/>
  <c r="EH29"/>
  <c r="EG33"/>
  <c r="EI33" s="1"/>
  <c r="EG34"/>
  <c r="EH35"/>
  <c r="EH36"/>
  <c r="EH39"/>
  <c r="EG40"/>
  <c r="EH43"/>
  <c r="EG44"/>
  <c r="EH47"/>
  <c r="EG48"/>
  <c r="EH51"/>
  <c r="EG52"/>
  <c r="EH55"/>
  <c r="EG56"/>
  <c r="EH59"/>
  <c r="EG60"/>
  <c r="EH63"/>
  <c r="EG64"/>
  <c r="EH67"/>
  <c r="EG68"/>
  <c r="EH71"/>
  <c r="EG72"/>
  <c r="EH75"/>
  <c r="EG76"/>
  <c r="EH79"/>
  <c r="EG80"/>
  <c r="EH83"/>
  <c r="EG84"/>
  <c r="EH87"/>
  <c r="EG88"/>
  <c r="EH91"/>
  <c r="EG92"/>
  <c r="EH95"/>
  <c r="EG96"/>
  <c r="EH99"/>
  <c r="EG100"/>
  <c r="EH103"/>
  <c r="EG104"/>
  <c r="EH107"/>
  <c r="EG108"/>
  <c r="EH111"/>
  <c r="EG112"/>
  <c r="EH115"/>
  <c r="EG116"/>
  <c r="EH119"/>
  <c r="EG120"/>
  <c r="EH123"/>
  <c r="EG124"/>
  <c r="EH127"/>
  <c r="EG128"/>
  <c r="EH131"/>
  <c r="EG132"/>
  <c r="EH135"/>
  <c r="EG136"/>
  <c r="EH139"/>
  <c r="EG140"/>
  <c r="EH143"/>
  <c r="EG144"/>
  <c r="EH147"/>
  <c r="EG148"/>
  <c r="EH151"/>
  <c r="EG152"/>
  <c r="EH155"/>
  <c r="EG156"/>
  <c r="EH159"/>
  <c r="EG160"/>
  <c r="EH163"/>
  <c r="EG164"/>
  <c r="EH167"/>
  <c r="EG168"/>
  <c r="EH171"/>
  <c r="EG172"/>
  <c r="EH175"/>
  <c r="EG176"/>
  <c r="EH179"/>
  <c r="EG180"/>
  <c r="EH183"/>
  <c r="EG184"/>
  <c r="EH187"/>
  <c r="EG188"/>
  <c r="EH191"/>
  <c r="EG192"/>
  <c r="EH195"/>
  <c r="EG196"/>
  <c r="EH199"/>
  <c r="EG200"/>
  <c r="EH203"/>
  <c r="EG204"/>
  <c r="EH207"/>
  <c r="EH9"/>
  <c r="EG13"/>
  <c r="EI13" s="1"/>
  <c r="EH14"/>
  <c r="EH15"/>
  <c r="EH16"/>
  <c r="EG21"/>
  <c r="EH22"/>
  <c r="EH23"/>
  <c r="EH24"/>
  <c r="EG29"/>
  <c r="EH30"/>
  <c r="EG35"/>
  <c r="EI35" s="1"/>
  <c r="EG36"/>
  <c r="EH37"/>
  <c r="EH38"/>
  <c r="EG39"/>
  <c r="EH42"/>
  <c r="EG43"/>
  <c r="EH46"/>
  <c r="EG47"/>
  <c r="EH50"/>
  <c r="EG51"/>
  <c r="EH54"/>
  <c r="EG55"/>
  <c r="EH58"/>
  <c r="EG59"/>
  <c r="EH62"/>
  <c r="EG63"/>
  <c r="EH66"/>
  <c r="EG67"/>
  <c r="EH70"/>
  <c r="EG71"/>
  <c r="EH74"/>
  <c r="EG75"/>
  <c r="EH78"/>
  <c r="EG79"/>
  <c r="EH82"/>
  <c r="EG83"/>
  <c r="EH86"/>
  <c r="EG87"/>
  <c r="EH90"/>
  <c r="EG91"/>
  <c r="EH94"/>
  <c r="EG95"/>
  <c r="EH98"/>
  <c r="EG99"/>
  <c r="EH102"/>
  <c r="EG103"/>
  <c r="EH106"/>
  <c r="EG107"/>
  <c r="EH110"/>
  <c r="EG111"/>
  <c r="EH114"/>
  <c r="EG115"/>
  <c r="EH118"/>
  <c r="EG119"/>
  <c r="EH122"/>
  <c r="EG123"/>
  <c r="EH126"/>
  <c r="EG127"/>
  <c r="EH130"/>
  <c r="EG131"/>
  <c r="EH134"/>
  <c r="EG135"/>
  <c r="EH138"/>
  <c r="EG139"/>
  <c r="EH142"/>
  <c r="EG143"/>
  <c r="EH146"/>
  <c r="EG147"/>
  <c r="EH150"/>
  <c r="EG151"/>
  <c r="EH154"/>
  <c r="EG155"/>
  <c r="EH158"/>
  <c r="EG159"/>
  <c r="EH162"/>
  <c r="EG163"/>
  <c r="EH166"/>
  <c r="EG167"/>
  <c r="EH170"/>
  <c r="EG171"/>
  <c r="EH174"/>
  <c r="EG175"/>
  <c r="EH178"/>
  <c r="EG179"/>
  <c r="EH182"/>
  <c r="EG183"/>
  <c r="EH186"/>
  <c r="EG187"/>
  <c r="EH190"/>
  <c r="EG191"/>
  <c r="EH194"/>
  <c r="EG195"/>
  <c r="EH198"/>
  <c r="EG199"/>
  <c r="EH202"/>
  <c r="EG203"/>
  <c r="EH206"/>
  <c r="EG207"/>
  <c r="EG9"/>
  <c r="EI9" s="1"/>
  <c r="EH10"/>
  <c r="EG14"/>
  <c r="EI14" s="1"/>
  <c r="EG15"/>
  <c r="EI15" s="1"/>
  <c r="EG16"/>
  <c r="EI16" s="1"/>
  <c r="EH17"/>
  <c r="EG22"/>
  <c r="EI22" s="1"/>
  <c r="EG23"/>
  <c r="EI23" s="1"/>
  <c r="EG24"/>
  <c r="EI24" s="1"/>
  <c r="EH25"/>
  <c r="EG30"/>
  <c r="EH31"/>
  <c r="EH32"/>
  <c r="EI32" s="1"/>
  <c r="EG37"/>
  <c r="EI37" s="1"/>
  <c r="EG38"/>
  <c r="EH41"/>
  <c r="EG42"/>
  <c r="EH45"/>
  <c r="EG46"/>
  <c r="EH49"/>
  <c r="EG50"/>
  <c r="EH53"/>
  <c r="EG54"/>
  <c r="EH57"/>
  <c r="EG58"/>
  <c r="EH61"/>
  <c r="EG62"/>
  <c r="EH65"/>
  <c r="EG66"/>
  <c r="EH69"/>
  <c r="EG70"/>
  <c r="EH73"/>
  <c r="EG74"/>
  <c r="EH77"/>
  <c r="EG78"/>
  <c r="EH81"/>
  <c r="EG82"/>
  <c r="EH85"/>
  <c r="EG86"/>
  <c r="EH89"/>
  <c r="EG90"/>
  <c r="EH93"/>
  <c r="EG94"/>
  <c r="EH97"/>
  <c r="EG98"/>
  <c r="EH101"/>
  <c r="EG102"/>
  <c r="EH105"/>
  <c r="EG106"/>
  <c r="EH109"/>
  <c r="EG110"/>
  <c r="EH113"/>
  <c r="EG114"/>
  <c r="EH117"/>
  <c r="EG118"/>
  <c r="EH121"/>
  <c r="EG122"/>
  <c r="EH125"/>
  <c r="EG126"/>
  <c r="EH129"/>
  <c r="EG130"/>
  <c r="EH133"/>
  <c r="EG134"/>
  <c r="EH137"/>
  <c r="EG138"/>
  <c r="EH141"/>
  <c r="EG142"/>
  <c r="EH145"/>
  <c r="EG146"/>
  <c r="EH149"/>
  <c r="EG150"/>
  <c r="EH153"/>
  <c r="EG154"/>
  <c r="EH157"/>
  <c r="EG158"/>
  <c r="EH161"/>
  <c r="EG162"/>
  <c r="EH165"/>
  <c r="EG166"/>
  <c r="EH169"/>
  <c r="EG170"/>
  <c r="EH173"/>
  <c r="EG174"/>
  <c r="EH177"/>
  <c r="EG178"/>
  <c r="EH181"/>
  <c r="EG182"/>
  <c r="EH185"/>
  <c r="EG186"/>
  <c r="EH189"/>
  <c r="EG190"/>
  <c r="EH193"/>
  <c r="EG194"/>
  <c r="EH197"/>
  <c r="EG198"/>
  <c r="EH201"/>
  <c r="EG202"/>
  <c r="EH205"/>
  <c r="EG206"/>
  <c r="EG8"/>
  <c r="EI8" s="1"/>
  <c r="EF8"/>
  <c r="EF6"/>
  <c r="GQ125"/>
  <c r="FM76"/>
  <c r="GV76" s="1"/>
  <c r="GB176"/>
  <c r="GQ164"/>
  <c r="FM127"/>
  <c r="GX127" s="1"/>
  <c r="GQ200"/>
  <c r="FM83"/>
  <c r="GU83" s="1"/>
  <c r="GQ186"/>
  <c r="FM63"/>
  <c r="GW63" s="1"/>
  <c r="GQ79"/>
  <c r="FM107"/>
  <c r="GX107" s="1"/>
  <c r="GK44"/>
  <c r="GQ44" s="1"/>
  <c r="GK132"/>
  <c r="GQ132" s="1"/>
  <c r="GD95"/>
  <c r="GI95" s="1"/>
  <c r="GD100"/>
  <c r="GD169"/>
  <c r="GD64"/>
  <c r="GJ64" s="1"/>
  <c r="GD103"/>
  <c r="GI103" s="1"/>
  <c r="GD180"/>
  <c r="GD41"/>
  <c r="GD152"/>
  <c r="GI152" s="1"/>
  <c r="GD78"/>
  <c r="GJ78" s="1"/>
  <c r="GD62"/>
  <c r="GD170"/>
  <c r="GD106"/>
  <c r="GD98"/>
  <c r="GJ98" s="1"/>
  <c r="GD58"/>
  <c r="GD131"/>
  <c r="GD60"/>
  <c r="GJ60" s="1"/>
  <c r="GD142"/>
  <c r="GJ142" s="1"/>
  <c r="GD171"/>
  <c r="GD80"/>
  <c r="GD154"/>
  <c r="GD130"/>
  <c r="GJ130" s="1"/>
  <c r="GD196"/>
  <c r="GD132"/>
  <c r="GD86"/>
  <c r="GD66"/>
  <c r="GJ66" s="1"/>
  <c r="GD73"/>
  <c r="GD45"/>
  <c r="GD46"/>
  <c r="GI46" s="1"/>
  <c r="GD192"/>
  <c r="GD56"/>
  <c r="GD57"/>
  <c r="GD166"/>
  <c r="GD143"/>
  <c r="GD160"/>
  <c r="GD76"/>
  <c r="GD201"/>
  <c r="GJ201" s="1"/>
  <c r="GD203"/>
  <c r="GJ203" s="1"/>
  <c r="GD59"/>
  <c r="GD43"/>
  <c r="GD116"/>
  <c r="GD185"/>
  <c r="GD156"/>
  <c r="GD84"/>
  <c r="GD193"/>
  <c r="GJ193" s="1"/>
  <c r="GD173"/>
  <c r="GD141"/>
  <c r="GD90"/>
  <c r="GD50"/>
  <c r="GI50" s="1"/>
  <c r="GD187"/>
  <c r="GJ187" s="1"/>
  <c r="GD157"/>
  <c r="GD126"/>
  <c r="GD119"/>
  <c r="GD200"/>
  <c r="GD91"/>
  <c r="GD136"/>
  <c r="GD167"/>
  <c r="GI167" s="1"/>
  <c r="GD104"/>
  <c r="GD40"/>
  <c r="GD197"/>
  <c r="GD42"/>
  <c r="GD149"/>
  <c r="GD89"/>
  <c r="GD70"/>
  <c r="GD61"/>
  <c r="GD38"/>
  <c r="FW203"/>
  <c r="FW167"/>
  <c r="FW145"/>
  <c r="FW170"/>
  <c r="FW179"/>
  <c r="FW55"/>
  <c r="FW197"/>
  <c r="FW157"/>
  <c r="FW191"/>
  <c r="FW59"/>
  <c r="FW53"/>
  <c r="FW130"/>
  <c r="GC130" s="1"/>
  <c r="FW195"/>
  <c r="FW156"/>
  <c r="FW144"/>
  <c r="FW106"/>
  <c r="GB106" s="1"/>
  <c r="FW206"/>
  <c r="FW90"/>
  <c r="FW46"/>
  <c r="GB46" s="1"/>
  <c r="FW43"/>
  <c r="GC43" s="1"/>
  <c r="FW116"/>
  <c r="FW138"/>
  <c r="FW56"/>
  <c r="FW193"/>
  <c r="FW108"/>
  <c r="FW80"/>
  <c r="FW141"/>
  <c r="FW182"/>
  <c r="FW142"/>
  <c r="FW143"/>
  <c r="FW64"/>
  <c r="GB64" s="1"/>
  <c r="FW118"/>
  <c r="GC118" s="1"/>
  <c r="FW54"/>
  <c r="FW98"/>
  <c r="FW51"/>
  <c r="FW60"/>
  <c r="FW122"/>
  <c r="FW123"/>
  <c r="FW196"/>
  <c r="GB196" s="1"/>
  <c r="FW89"/>
  <c r="GC89" s="1"/>
  <c r="FW111"/>
  <c r="FW91"/>
  <c r="FW189"/>
  <c r="GC189" s="1"/>
  <c r="FW166"/>
  <c r="GB166" s="1"/>
  <c r="FW66"/>
  <c r="FW154"/>
  <c r="FW140"/>
  <c r="GC140" s="1"/>
  <c r="FW136"/>
  <c r="FW109"/>
  <c r="FW97"/>
  <c r="FW187"/>
  <c r="FW95"/>
  <c r="GB95" s="1"/>
  <c r="FW63"/>
  <c r="FW104"/>
  <c r="FW40"/>
  <c r="FW181"/>
  <c r="FW162"/>
  <c r="FW70"/>
  <c r="FW50"/>
  <c r="GB50" s="1"/>
  <c r="FW86"/>
  <c r="FW38"/>
  <c r="FW78"/>
  <c r="FW58"/>
  <c r="GC58" s="1"/>
  <c r="FP103"/>
  <c r="FU103" s="1"/>
  <c r="FP69"/>
  <c r="FP160"/>
  <c r="FP145"/>
  <c r="FV145" s="1"/>
  <c r="FP137"/>
  <c r="FV137" s="1"/>
  <c r="FP192"/>
  <c r="FP180"/>
  <c r="FP136"/>
  <c r="FP68"/>
  <c r="FV68" s="1"/>
  <c r="FP203"/>
  <c r="FP172"/>
  <c r="FP80"/>
  <c r="FP78"/>
  <c r="FU78" s="1"/>
  <c r="FP70"/>
  <c r="FP202"/>
  <c r="FP95"/>
  <c r="FP64"/>
  <c r="FU64" s="1"/>
  <c r="FP170"/>
  <c r="FP185"/>
  <c r="FP143"/>
  <c r="FP56"/>
  <c r="FV56" s="1"/>
  <c r="FP59"/>
  <c r="FP46"/>
  <c r="FP138"/>
  <c r="FU138" s="1"/>
  <c r="FP106"/>
  <c r="FU106" s="1"/>
  <c r="FP73"/>
  <c r="FP42"/>
  <c r="FP104"/>
  <c r="FU104" s="1"/>
  <c r="FP169"/>
  <c r="FU169" s="1"/>
  <c r="FP162"/>
  <c r="FP156"/>
  <c r="FP201"/>
  <c r="FP98"/>
  <c r="FU98" s="1"/>
  <c r="FP62"/>
  <c r="FP66"/>
  <c r="FP50"/>
  <c r="FU50" s="1"/>
  <c r="FP88"/>
  <c r="FU88" s="1"/>
  <c r="FP173"/>
  <c r="FP109"/>
  <c r="FP182"/>
  <c r="FP167"/>
  <c r="FU167" s="1"/>
  <c r="FP164"/>
  <c r="FP100"/>
  <c r="FP75"/>
  <c r="FP196"/>
  <c r="FV196" s="1"/>
  <c r="FP163"/>
  <c r="FP55"/>
  <c r="FP96"/>
  <c r="FU96" s="1"/>
  <c r="FP86"/>
  <c r="FV86" s="1"/>
  <c r="FP58"/>
  <c r="FP154"/>
  <c r="FP90"/>
  <c r="FP54"/>
  <c r="FU54" s="1"/>
  <c r="GQ194"/>
  <c r="GP194"/>
  <c r="FM97"/>
  <c r="GU97" s="1"/>
  <c r="FM93"/>
  <c r="GV93" s="1"/>
  <c r="GP61"/>
  <c r="GQ61"/>
  <c r="GB137"/>
  <c r="GC137"/>
  <c r="FM53"/>
  <c r="GX53" s="1"/>
  <c r="FM197"/>
  <c r="GU197" s="1"/>
  <c r="GB149"/>
  <c r="GC149"/>
  <c r="FM137"/>
  <c r="GV137" s="1"/>
  <c r="FM65"/>
  <c r="GW65" s="1"/>
  <c r="FM161"/>
  <c r="GU161" s="1"/>
  <c r="FM129"/>
  <c r="GV129" s="1"/>
  <c r="FM194"/>
  <c r="GU194" s="1"/>
  <c r="GP178"/>
  <c r="GQ178"/>
  <c r="FM199"/>
  <c r="GV199" s="1"/>
  <c r="FM201"/>
  <c r="GW201" s="1"/>
  <c r="FM141"/>
  <c r="GV141" s="1"/>
  <c r="GB65"/>
  <c r="GC65"/>
  <c r="GC125"/>
  <c r="GB125"/>
  <c r="GC81"/>
  <c r="FM149"/>
  <c r="GV149" s="1"/>
  <c r="GB92"/>
  <c r="GI177"/>
  <c r="FU174"/>
  <c r="GC169"/>
  <c r="GI65"/>
  <c r="IQ151"/>
  <c r="GJ140"/>
  <c r="FV187"/>
  <c r="FU187"/>
  <c r="GB100"/>
  <c r="GC100"/>
  <c r="GQ203"/>
  <c r="GP195"/>
  <c r="GI102"/>
  <c r="GJ102"/>
  <c r="IQ204"/>
  <c r="IQ146"/>
  <c r="GC176"/>
  <c r="GP52"/>
  <c r="GQ52"/>
  <c r="GI127"/>
  <c r="FK169"/>
  <c r="GQ94"/>
  <c r="GP94"/>
  <c r="GJ190"/>
  <c r="GI190"/>
  <c r="FV178"/>
  <c r="FU178"/>
  <c r="GP118"/>
  <c r="GQ118"/>
  <c r="GP156"/>
  <c r="GJ77"/>
  <c r="GI77"/>
  <c r="GP65"/>
  <c r="GQ65"/>
  <c r="GP112"/>
  <c r="GQ112"/>
  <c r="GQ77"/>
  <c r="GP77"/>
  <c r="GQ170"/>
  <c r="GP170"/>
  <c r="FV139"/>
  <c r="FU139"/>
  <c r="FM145"/>
  <c r="GU145" s="1"/>
  <c r="GP100"/>
  <c r="GQ100"/>
  <c r="FM55"/>
  <c r="GW55" s="1"/>
  <c r="GB192"/>
  <c r="GC192"/>
  <c r="FM88"/>
  <c r="GT88" s="1"/>
  <c r="GC207"/>
  <c r="GB207"/>
  <c r="GJ118"/>
  <c r="GI118"/>
  <c r="GI54"/>
  <c r="GJ54"/>
  <c r="GQ168"/>
  <c r="GQ192"/>
  <c r="GP161"/>
  <c r="GP157"/>
  <c r="GP203"/>
  <c r="GQ161"/>
  <c r="GQ157"/>
  <c r="GP192"/>
  <c r="GP168"/>
  <c r="GP124"/>
  <c r="GQ124"/>
  <c r="GP108"/>
  <c r="GQ108"/>
  <c r="GP150"/>
  <c r="GQ150"/>
  <c r="GP54"/>
  <c r="GQ54"/>
  <c r="FU195"/>
  <c r="FV195"/>
  <c r="FN195"/>
  <c r="FO195"/>
  <c r="GC179"/>
  <c r="GB179"/>
  <c r="FL179"/>
  <c r="FK179"/>
  <c r="GI155"/>
  <c r="GJ155"/>
  <c r="FU147"/>
  <c r="FV147"/>
  <c r="GC147"/>
  <c r="GB147"/>
  <c r="FO139"/>
  <c r="FN139"/>
  <c r="FO135"/>
  <c r="FN135"/>
  <c r="FL87"/>
  <c r="FK87"/>
  <c r="GJ83"/>
  <c r="GI83"/>
  <c r="GC83"/>
  <c r="GB83"/>
  <c r="FK71"/>
  <c r="FL71"/>
  <c r="FN71"/>
  <c r="FO71"/>
  <c r="FO67"/>
  <c r="FN67"/>
  <c r="GI67"/>
  <c r="GJ67"/>
  <c r="GI107"/>
  <c r="GJ107"/>
  <c r="GQ152"/>
  <c r="GP152"/>
  <c r="GP136"/>
  <c r="GQ136"/>
  <c r="GP116"/>
  <c r="GQ116"/>
  <c r="GI110"/>
  <c r="GJ110"/>
  <c r="GI199"/>
  <c r="GJ199"/>
  <c r="GB199"/>
  <c r="GC199"/>
  <c r="GJ195"/>
  <c r="GI195"/>
  <c r="GP179"/>
  <c r="GQ179"/>
  <c r="FO155"/>
  <c r="FN155"/>
  <c r="GQ147"/>
  <c r="GP147"/>
  <c r="GI147"/>
  <c r="GJ147"/>
  <c r="GJ139"/>
  <c r="GI139"/>
  <c r="FL139"/>
  <c r="FK139"/>
  <c r="GB135"/>
  <c r="GC135"/>
  <c r="FL135"/>
  <c r="FK135"/>
  <c r="GP87"/>
  <c r="GQ87"/>
  <c r="FN83"/>
  <c r="FO83"/>
  <c r="GP71"/>
  <c r="GQ71"/>
  <c r="FL67"/>
  <c r="FK67"/>
  <c r="GI111"/>
  <c r="GJ111"/>
  <c r="GP63"/>
  <c r="GQ63"/>
  <c r="GC117"/>
  <c r="GB117"/>
  <c r="FV118"/>
  <c r="FU118"/>
  <c r="GC42"/>
  <c r="GB42"/>
  <c r="FV199"/>
  <c r="FU199"/>
  <c r="FL195"/>
  <c r="FK195"/>
  <c r="FN179"/>
  <c r="FO179"/>
  <c r="GJ179"/>
  <c r="GI179"/>
  <c r="FK155"/>
  <c r="FL155"/>
  <c r="FU155"/>
  <c r="FV155"/>
  <c r="GB139"/>
  <c r="GC139"/>
  <c r="GI135"/>
  <c r="GJ135"/>
  <c r="FU135"/>
  <c r="FV135"/>
  <c r="GC87"/>
  <c r="GB87"/>
  <c r="FU87"/>
  <c r="FV87"/>
  <c r="FL83"/>
  <c r="FK83"/>
  <c r="FV71"/>
  <c r="FU71"/>
  <c r="GP67"/>
  <c r="GQ67"/>
  <c r="GP140"/>
  <c r="GQ140"/>
  <c r="GJ124"/>
  <c r="GI124"/>
  <c r="GQ169"/>
  <c r="GP169"/>
  <c r="FV117"/>
  <c r="FU117"/>
  <c r="GI198"/>
  <c r="GJ198"/>
  <c r="FK199"/>
  <c r="FL199"/>
  <c r="FU179"/>
  <c r="FV179"/>
  <c r="GC155"/>
  <c r="GB155"/>
  <c r="GQ155"/>
  <c r="GP155"/>
  <c r="FL147"/>
  <c r="FK147"/>
  <c r="FO147"/>
  <c r="FN147"/>
  <c r="GP139"/>
  <c r="GQ139"/>
  <c r="GQ135"/>
  <c r="GP135"/>
  <c r="FO87"/>
  <c r="FN87"/>
  <c r="GJ87"/>
  <c r="GI87"/>
  <c r="FU83"/>
  <c r="FV83"/>
  <c r="GP83"/>
  <c r="GQ83"/>
  <c r="GI71"/>
  <c r="GJ71"/>
  <c r="GB71"/>
  <c r="GC71"/>
  <c r="GC67"/>
  <c r="GB67"/>
  <c r="FU67"/>
  <c r="FV67"/>
  <c r="GB47"/>
  <c r="GC47"/>
  <c r="FL47"/>
  <c r="FK47"/>
  <c r="GQ176"/>
  <c r="GP176"/>
  <c r="GC168"/>
  <c r="GB168"/>
  <c r="FL164"/>
  <c r="FK164"/>
  <c r="FU112"/>
  <c r="FV112"/>
  <c r="GB112"/>
  <c r="GC112"/>
  <c r="FL92"/>
  <c r="FK92"/>
  <c r="FU92"/>
  <c r="FV92"/>
  <c r="GQ76"/>
  <c r="GP76"/>
  <c r="FN72"/>
  <c r="FO72"/>
  <c r="FV72"/>
  <c r="FU72"/>
  <c r="GC52"/>
  <c r="GB52"/>
  <c r="GJ52"/>
  <c r="GI52"/>
  <c r="FV207"/>
  <c r="FU207"/>
  <c r="FL207"/>
  <c r="FK207"/>
  <c r="FK205"/>
  <c r="FL205"/>
  <c r="GB205"/>
  <c r="GC205"/>
  <c r="GI165"/>
  <c r="GJ165"/>
  <c r="FV165"/>
  <c r="FU165"/>
  <c r="FK133"/>
  <c r="FL133"/>
  <c r="FV125"/>
  <c r="FU125"/>
  <c r="GJ125"/>
  <c r="GI125"/>
  <c r="FK113"/>
  <c r="FL113"/>
  <c r="GQ105"/>
  <c r="GP105"/>
  <c r="FV101"/>
  <c r="FU101"/>
  <c r="FK101"/>
  <c r="FL101"/>
  <c r="GI81"/>
  <c r="GJ81"/>
  <c r="FN81"/>
  <c r="FO81"/>
  <c r="FK77"/>
  <c r="FL77"/>
  <c r="GB61"/>
  <c r="GC61"/>
  <c r="FV53"/>
  <c r="FU53"/>
  <c r="GP53"/>
  <c r="GQ53"/>
  <c r="FN49"/>
  <c r="FO49"/>
  <c r="FO41"/>
  <c r="FN41"/>
  <c r="FU194"/>
  <c r="FV194"/>
  <c r="GC190"/>
  <c r="GB190"/>
  <c r="GB178"/>
  <c r="GC178"/>
  <c r="FK174"/>
  <c r="FL174"/>
  <c r="GP174"/>
  <c r="GQ174"/>
  <c r="GQ126"/>
  <c r="GP126"/>
  <c r="GB114"/>
  <c r="GC114"/>
  <c r="GI114"/>
  <c r="GJ114"/>
  <c r="GQ175"/>
  <c r="GP175"/>
  <c r="FK159"/>
  <c r="FL159"/>
  <c r="GQ151"/>
  <c r="GP151"/>
  <c r="GJ151"/>
  <c r="GI151"/>
  <c r="FU119"/>
  <c r="FV119"/>
  <c r="GP115"/>
  <c r="GQ115"/>
  <c r="GJ115"/>
  <c r="GI115"/>
  <c r="FO107"/>
  <c r="GQ99"/>
  <c r="GP99"/>
  <c r="FV79"/>
  <c r="FU79"/>
  <c r="GI51"/>
  <c r="GJ51"/>
  <c r="FL39"/>
  <c r="FK39"/>
  <c r="FL204"/>
  <c r="FK204"/>
  <c r="FU200"/>
  <c r="FV200"/>
  <c r="FN188"/>
  <c r="FO188"/>
  <c r="FK188"/>
  <c r="FL188"/>
  <c r="FU184"/>
  <c r="FV184"/>
  <c r="GC160"/>
  <c r="GB160"/>
  <c r="FN152"/>
  <c r="FO152"/>
  <c r="GB148"/>
  <c r="GC148"/>
  <c r="FK148"/>
  <c r="FL148"/>
  <c r="GP128"/>
  <c r="GQ128"/>
  <c r="FU124"/>
  <c r="FV124"/>
  <c r="GC124"/>
  <c r="GB124"/>
  <c r="FL120"/>
  <c r="FK120"/>
  <c r="GP48"/>
  <c r="GQ48"/>
  <c r="GI181"/>
  <c r="GJ181"/>
  <c r="GP181"/>
  <c r="GQ181"/>
  <c r="FV161"/>
  <c r="FU161"/>
  <c r="GI161"/>
  <c r="GJ161"/>
  <c r="GJ153"/>
  <c r="GI153"/>
  <c r="GP153"/>
  <c r="GQ153"/>
  <c r="GI121"/>
  <c r="GJ121"/>
  <c r="FN117"/>
  <c r="FO117"/>
  <c r="GQ93"/>
  <c r="GP93"/>
  <c r="FL85"/>
  <c r="FK85"/>
  <c r="GP57"/>
  <c r="GQ57"/>
  <c r="GB202"/>
  <c r="GC202"/>
  <c r="GQ198"/>
  <c r="GP198"/>
  <c r="FL186"/>
  <c r="FK186"/>
  <c r="FU182"/>
  <c r="FV182"/>
  <c r="GI162"/>
  <c r="GJ162"/>
  <c r="FV158"/>
  <c r="FU158"/>
  <c r="GJ158"/>
  <c r="GI158"/>
  <c r="FK150"/>
  <c r="FL150"/>
  <c r="GP146"/>
  <c r="GQ146"/>
  <c r="GJ134"/>
  <c r="GI134"/>
  <c r="FN134"/>
  <c r="FO134"/>
  <c r="GP130"/>
  <c r="GQ130"/>
  <c r="GI122"/>
  <c r="GJ122"/>
  <c r="FK118"/>
  <c r="FL118"/>
  <c r="GB110"/>
  <c r="GC110"/>
  <c r="FL110"/>
  <c r="FK110"/>
  <c r="FU94"/>
  <c r="FV94"/>
  <c r="FN82"/>
  <c r="FO82"/>
  <c r="FL82"/>
  <c r="FK82"/>
  <c r="FL74"/>
  <c r="FK74"/>
  <c r="FN74"/>
  <c r="FO74"/>
  <c r="FL183"/>
  <c r="FK183"/>
  <c r="FN183"/>
  <c r="FO183"/>
  <c r="FN171"/>
  <c r="FO171"/>
  <c r="GB171"/>
  <c r="GC171"/>
  <c r="FN163"/>
  <c r="FO163"/>
  <c r="GJ163"/>
  <c r="GI163"/>
  <c r="FL131"/>
  <c r="FK131"/>
  <c r="FN131"/>
  <c r="FO131"/>
  <c r="GQ127"/>
  <c r="GP127"/>
  <c r="FK123"/>
  <c r="FL123"/>
  <c r="FK111"/>
  <c r="FL111"/>
  <c r="FU111"/>
  <c r="FV111"/>
  <c r="FL91"/>
  <c r="FK91"/>
  <c r="FN75"/>
  <c r="FO75"/>
  <c r="FV75"/>
  <c r="FU75"/>
  <c r="FK55"/>
  <c r="FL55"/>
  <c r="GQ172"/>
  <c r="GP172"/>
  <c r="FU116"/>
  <c r="FV116"/>
  <c r="GC116"/>
  <c r="GB116"/>
  <c r="GI108"/>
  <c r="GJ108"/>
  <c r="FN96"/>
  <c r="FO96"/>
  <c r="FL96"/>
  <c r="FK96"/>
  <c r="GI88"/>
  <c r="GJ88"/>
  <c r="FK88"/>
  <c r="FL88"/>
  <c r="GB68"/>
  <c r="GC68"/>
  <c r="GI68"/>
  <c r="GJ68"/>
  <c r="GB40"/>
  <c r="GC40"/>
  <c r="GP189"/>
  <c r="GQ189"/>
  <c r="GP185"/>
  <c r="GQ185"/>
  <c r="GC141"/>
  <c r="GB141"/>
  <c r="FV141"/>
  <c r="FU141"/>
  <c r="FK137"/>
  <c r="FL137"/>
  <c r="FV97"/>
  <c r="FU97"/>
  <c r="GQ89"/>
  <c r="GP89"/>
  <c r="FU69"/>
  <c r="FV69"/>
  <c r="FO69"/>
  <c r="FN69"/>
  <c r="FO206"/>
  <c r="FN206"/>
  <c r="FO166"/>
  <c r="FN166"/>
  <c r="FK166"/>
  <c r="FL166"/>
  <c r="GQ142"/>
  <c r="GP142"/>
  <c r="GP138"/>
  <c r="GQ138"/>
  <c r="GC98"/>
  <c r="GB98"/>
  <c r="FU70"/>
  <c r="FV70"/>
  <c r="GC70"/>
  <c r="GB70"/>
  <c r="FK62"/>
  <c r="FL62"/>
  <c r="GP46"/>
  <c r="GQ46"/>
  <c r="FN46"/>
  <c r="FO46"/>
  <c r="GJ42"/>
  <c r="GI42"/>
  <c r="GJ136"/>
  <c r="GI136"/>
  <c r="GP117"/>
  <c r="GQ117"/>
  <c r="FK203"/>
  <c r="FL203"/>
  <c r="FV191"/>
  <c r="FU191"/>
  <c r="GP187"/>
  <c r="GQ187"/>
  <c r="FN187"/>
  <c r="FO187"/>
  <c r="GQ167"/>
  <c r="GP167"/>
  <c r="FK167"/>
  <c r="FL167"/>
  <c r="GP143"/>
  <c r="GQ143"/>
  <c r="FK103"/>
  <c r="FL103"/>
  <c r="GQ103"/>
  <c r="GP103"/>
  <c r="FO95"/>
  <c r="FN95"/>
  <c r="GJ43"/>
  <c r="GI43"/>
  <c r="GC196"/>
  <c r="FV180"/>
  <c r="FK156"/>
  <c r="FL156"/>
  <c r="FV136"/>
  <c r="FU136"/>
  <c r="FL100"/>
  <c r="FK100"/>
  <c r="FV84"/>
  <c r="FU84"/>
  <c r="GI84"/>
  <c r="GJ84"/>
  <c r="FN80"/>
  <c r="FO80"/>
  <c r="GQ80"/>
  <c r="GP80"/>
  <c r="FL60"/>
  <c r="FK60"/>
  <c r="FL56"/>
  <c r="FK56"/>
  <c r="GI201"/>
  <c r="GB201"/>
  <c r="GC201"/>
  <c r="GQ197"/>
  <c r="GP197"/>
  <c r="GI193"/>
  <c r="GQ173"/>
  <c r="GP173"/>
  <c r="FL169"/>
  <c r="GI157"/>
  <c r="GJ157"/>
  <c r="GP149"/>
  <c r="GQ149"/>
  <c r="FL145"/>
  <c r="FK145"/>
  <c r="GJ109"/>
  <c r="GI109"/>
  <c r="GC109"/>
  <c r="GB109"/>
  <c r="FK73"/>
  <c r="FL73"/>
  <c r="FL45"/>
  <c r="FK45"/>
  <c r="GJ45"/>
  <c r="GI45"/>
  <c r="GI170"/>
  <c r="GJ170"/>
  <c r="FV154"/>
  <c r="FK154"/>
  <c r="FL154"/>
  <c r="GQ106"/>
  <c r="GP106"/>
  <c r="GP90"/>
  <c r="GQ90"/>
  <c r="GP86"/>
  <c r="GQ86"/>
  <c r="FN78"/>
  <c r="FO78"/>
  <c r="FL78"/>
  <c r="FK78"/>
  <c r="FK66"/>
  <c r="FL66"/>
  <c r="FK58"/>
  <c r="FN58"/>
  <c r="FO58"/>
  <c r="FL50"/>
  <c r="FK50"/>
  <c r="GB38"/>
  <c r="FO47"/>
  <c r="FN47"/>
  <c r="FN176"/>
  <c r="FO176"/>
  <c r="FK176"/>
  <c r="FL176"/>
  <c r="FN168"/>
  <c r="FO168"/>
  <c r="FO164"/>
  <c r="FN164"/>
  <c r="FV132"/>
  <c r="FU132"/>
  <c r="GC132"/>
  <c r="GB132"/>
  <c r="GP92"/>
  <c r="GQ92"/>
  <c r="FL76"/>
  <c r="FK76"/>
  <c r="GB72"/>
  <c r="GC72"/>
  <c r="GJ72"/>
  <c r="GI72"/>
  <c r="FU52"/>
  <c r="FV52"/>
  <c r="FO44"/>
  <c r="FN44"/>
  <c r="FU44"/>
  <c r="FV44"/>
  <c r="GQ207"/>
  <c r="GP207"/>
  <c r="FV205"/>
  <c r="FU205"/>
  <c r="FV177"/>
  <c r="FU177"/>
  <c r="FL165"/>
  <c r="FK165"/>
  <c r="GQ133"/>
  <c r="GP133"/>
  <c r="GI129"/>
  <c r="GJ129"/>
  <c r="FL125"/>
  <c r="FK125"/>
  <c r="GQ113"/>
  <c r="GP113"/>
  <c r="GC105"/>
  <c r="GB105"/>
  <c r="FV105"/>
  <c r="FU105"/>
  <c r="FN77"/>
  <c r="FO77"/>
  <c r="FU65"/>
  <c r="FV65"/>
  <c r="FU61"/>
  <c r="FV61"/>
  <c r="FL53"/>
  <c r="FK53"/>
  <c r="FV49"/>
  <c r="FU49"/>
  <c r="GJ49"/>
  <c r="GI49"/>
  <c r="FK41"/>
  <c r="FL41"/>
  <c r="GC41"/>
  <c r="GB41"/>
  <c r="GI194"/>
  <c r="GJ194"/>
  <c r="FO190"/>
  <c r="FN190"/>
  <c r="FN174"/>
  <c r="FO174"/>
  <c r="GB126"/>
  <c r="GC126"/>
  <c r="FN114"/>
  <c r="FO114"/>
  <c r="GQ42"/>
  <c r="GP42"/>
  <c r="FN175"/>
  <c r="FO175"/>
  <c r="GJ175"/>
  <c r="GI175"/>
  <c r="FO159"/>
  <c r="FN159"/>
  <c r="GP119"/>
  <c r="GQ119"/>
  <c r="FO119"/>
  <c r="FN119"/>
  <c r="GB107"/>
  <c r="GC107"/>
  <c r="FL99"/>
  <c r="FK99"/>
  <c r="GI79"/>
  <c r="GJ79"/>
  <c r="FL51"/>
  <c r="FK51"/>
  <c r="FN39"/>
  <c r="FO39"/>
  <c r="FU204"/>
  <c r="FV204"/>
  <c r="FO200"/>
  <c r="FN200"/>
  <c r="GI188"/>
  <c r="GJ188"/>
  <c r="FN184"/>
  <c r="FO184"/>
  <c r="GC184"/>
  <c r="GB184"/>
  <c r="FU152"/>
  <c r="FV152"/>
  <c r="FU148"/>
  <c r="FV148"/>
  <c r="GI148"/>
  <c r="GJ148"/>
  <c r="FU144"/>
  <c r="FV144"/>
  <c r="GB128"/>
  <c r="GC128"/>
  <c r="GJ128"/>
  <c r="GI128"/>
  <c r="FL124"/>
  <c r="FK124"/>
  <c r="GC120"/>
  <c r="GB120"/>
  <c r="FN48"/>
  <c r="FO48"/>
  <c r="GI48"/>
  <c r="GJ48"/>
  <c r="FK181"/>
  <c r="FL181"/>
  <c r="GC161"/>
  <c r="GB161"/>
  <c r="GB153"/>
  <c r="GC153"/>
  <c r="GC121"/>
  <c r="GB121"/>
  <c r="FV121"/>
  <c r="FU121"/>
  <c r="GJ93"/>
  <c r="GI93"/>
  <c r="FU85"/>
  <c r="FV85"/>
  <c r="FN85"/>
  <c r="FO85"/>
  <c r="FL57"/>
  <c r="FK57"/>
  <c r="FO202"/>
  <c r="FN202"/>
  <c r="GC198"/>
  <c r="GB198"/>
  <c r="FU198"/>
  <c r="FV198"/>
  <c r="GB186"/>
  <c r="GC186"/>
  <c r="GP182"/>
  <c r="GQ182"/>
  <c r="GJ182"/>
  <c r="GI182"/>
  <c r="GQ162"/>
  <c r="GP162"/>
  <c r="FK158"/>
  <c r="FL158"/>
  <c r="GC150"/>
  <c r="GB150"/>
  <c r="FV150"/>
  <c r="FU150"/>
  <c r="FK146"/>
  <c r="FL146"/>
  <c r="GB134"/>
  <c r="GC134"/>
  <c r="FK130"/>
  <c r="FL130"/>
  <c r="FL122"/>
  <c r="FK122"/>
  <c r="GB94"/>
  <c r="GC94"/>
  <c r="FN94"/>
  <c r="FO94"/>
  <c r="FU82"/>
  <c r="FV82"/>
  <c r="GP74"/>
  <c r="GQ74"/>
  <c r="GB152"/>
  <c r="GC152"/>
  <c r="GQ122"/>
  <c r="GP122"/>
  <c r="GQ183"/>
  <c r="GP183"/>
  <c r="FV171"/>
  <c r="FU171"/>
  <c r="GJ171"/>
  <c r="FU163"/>
  <c r="FV163"/>
  <c r="FU131"/>
  <c r="FV131"/>
  <c r="GB131"/>
  <c r="GC131"/>
  <c r="FO123"/>
  <c r="FN123"/>
  <c r="GQ111"/>
  <c r="GP111"/>
  <c r="FU91"/>
  <c r="FV91"/>
  <c r="GP91"/>
  <c r="GQ91"/>
  <c r="FK75"/>
  <c r="FL75"/>
  <c r="FU63"/>
  <c r="FV63"/>
  <c r="FK63"/>
  <c r="FL63"/>
  <c r="GI172"/>
  <c r="GJ172"/>
  <c r="FN116"/>
  <c r="FO116"/>
  <c r="FL108"/>
  <c r="FK108"/>
  <c r="GB108"/>
  <c r="GC108"/>
  <c r="GC96"/>
  <c r="GB96"/>
  <c r="GB88"/>
  <c r="GC88"/>
  <c r="GP68"/>
  <c r="GQ68"/>
  <c r="GI40"/>
  <c r="GJ40"/>
  <c r="GI189"/>
  <c r="GJ189"/>
  <c r="FL185"/>
  <c r="FK185"/>
  <c r="GI141"/>
  <c r="GJ141"/>
  <c r="GP137"/>
  <c r="GQ137"/>
  <c r="GP97"/>
  <c r="GQ97"/>
  <c r="GJ89"/>
  <c r="GI89"/>
  <c r="GB69"/>
  <c r="GC69"/>
  <c r="FU206"/>
  <c r="FV206"/>
  <c r="GI206"/>
  <c r="GJ206"/>
  <c r="GI166"/>
  <c r="GJ166"/>
  <c r="FV166"/>
  <c r="FU166"/>
  <c r="FU142"/>
  <c r="FV142"/>
  <c r="FL142"/>
  <c r="FK142"/>
  <c r="FL138"/>
  <c r="FK138"/>
  <c r="FL70"/>
  <c r="FK70"/>
  <c r="FN70"/>
  <c r="FO70"/>
  <c r="FU62"/>
  <c r="FV62"/>
  <c r="FN54"/>
  <c r="FO54"/>
  <c r="GC46"/>
  <c r="FV42"/>
  <c r="FU164"/>
  <c r="FV164"/>
  <c r="GB144"/>
  <c r="GC144"/>
  <c r="GB122"/>
  <c r="GC122"/>
  <c r="FK191"/>
  <c r="FL191"/>
  <c r="FN191"/>
  <c r="FO191"/>
  <c r="FK143"/>
  <c r="FL143"/>
  <c r="FN143"/>
  <c r="FO143"/>
  <c r="GB103"/>
  <c r="GC103"/>
  <c r="FL95"/>
  <c r="FK95"/>
  <c r="GB59"/>
  <c r="GC59"/>
  <c r="FN59"/>
  <c r="FO59"/>
  <c r="GQ43"/>
  <c r="GP43"/>
  <c r="FN192"/>
  <c r="FO192"/>
  <c r="GP180"/>
  <c r="GQ180"/>
  <c r="FO180"/>
  <c r="FN180"/>
  <c r="FU140"/>
  <c r="FV140"/>
  <c r="FL140"/>
  <c r="FK140"/>
  <c r="GB104"/>
  <c r="GC104"/>
  <c r="GB84"/>
  <c r="GC84"/>
  <c r="FN84"/>
  <c r="FO84"/>
  <c r="FU80"/>
  <c r="FV80"/>
  <c r="FL80"/>
  <c r="FK80"/>
  <c r="GP64"/>
  <c r="GQ64"/>
  <c r="FU60"/>
  <c r="FV60"/>
  <c r="GP60"/>
  <c r="GQ60"/>
  <c r="GI56"/>
  <c r="GJ56"/>
  <c r="GP56"/>
  <c r="GQ56"/>
  <c r="FN201"/>
  <c r="FL197"/>
  <c r="FK197"/>
  <c r="FV197"/>
  <c r="FU197"/>
  <c r="GP193"/>
  <c r="GQ193"/>
  <c r="FL173"/>
  <c r="FK173"/>
  <c r="FV169"/>
  <c r="FN169"/>
  <c r="FO169"/>
  <c r="FU157"/>
  <c r="FV157"/>
  <c r="FK157"/>
  <c r="FL157"/>
  <c r="GP145"/>
  <c r="GQ145"/>
  <c r="FL109"/>
  <c r="FK109"/>
  <c r="FN109"/>
  <c r="FO109"/>
  <c r="GQ73"/>
  <c r="GP73"/>
  <c r="GP45"/>
  <c r="GQ45"/>
  <c r="FK170"/>
  <c r="FL170"/>
  <c r="FV170"/>
  <c r="FU170"/>
  <c r="FN154"/>
  <c r="FO154"/>
  <c r="GB154"/>
  <c r="GC154"/>
  <c r="FN106"/>
  <c r="FO106"/>
  <c r="FL102"/>
  <c r="FK102"/>
  <c r="GC102"/>
  <c r="GB102"/>
  <c r="FL90"/>
  <c r="FK90"/>
  <c r="FO86"/>
  <c r="FN86"/>
  <c r="FK86"/>
  <c r="FL86"/>
  <c r="GB78"/>
  <c r="GC78"/>
  <c r="FN66"/>
  <c r="FO66"/>
  <c r="FU58"/>
  <c r="FV58"/>
  <c r="GB58"/>
  <c r="GJ50"/>
  <c r="FV50"/>
  <c r="FV47"/>
  <c r="FU47"/>
  <c r="GJ176"/>
  <c r="GI176"/>
  <c r="GJ168"/>
  <c r="GI168"/>
  <c r="FU168"/>
  <c r="FV168"/>
  <c r="GJ164"/>
  <c r="GI164"/>
  <c r="FO132"/>
  <c r="FN132"/>
  <c r="FN112"/>
  <c r="FO112"/>
  <c r="GI92"/>
  <c r="GJ92"/>
  <c r="GB76"/>
  <c r="GC76"/>
  <c r="GQ72"/>
  <c r="GP72"/>
  <c r="FL52"/>
  <c r="FK52"/>
  <c r="GB44"/>
  <c r="GC44"/>
  <c r="GI44"/>
  <c r="GJ44"/>
  <c r="FN207"/>
  <c r="FO207"/>
  <c r="GJ205"/>
  <c r="GI205"/>
  <c r="GP205"/>
  <c r="GQ205"/>
  <c r="GP177"/>
  <c r="GQ177"/>
  <c r="FN177"/>
  <c r="FO177"/>
  <c r="GQ165"/>
  <c r="GP165"/>
  <c r="GC133"/>
  <c r="GB133"/>
  <c r="FU133"/>
  <c r="FV133"/>
  <c r="FV129"/>
  <c r="FU129"/>
  <c r="FL129"/>
  <c r="FK129"/>
  <c r="FN125"/>
  <c r="FO125"/>
  <c r="GC113"/>
  <c r="GB113"/>
  <c r="FU113"/>
  <c r="FV113"/>
  <c r="FN105"/>
  <c r="FO105"/>
  <c r="GI105"/>
  <c r="GJ105"/>
  <c r="GJ101"/>
  <c r="GI101"/>
  <c r="GQ101"/>
  <c r="GP101"/>
  <c r="FK81"/>
  <c r="FL81"/>
  <c r="FV77"/>
  <c r="FU77"/>
  <c r="GC77"/>
  <c r="GB77"/>
  <c r="FK65"/>
  <c r="FL65"/>
  <c r="FO61"/>
  <c r="FN61"/>
  <c r="FO53"/>
  <c r="FL49"/>
  <c r="FK49"/>
  <c r="GI41"/>
  <c r="GJ41"/>
  <c r="FL194"/>
  <c r="FK194"/>
  <c r="FV190"/>
  <c r="FU190"/>
  <c r="GQ190"/>
  <c r="GP190"/>
  <c r="FO178"/>
  <c r="FN178"/>
  <c r="GJ178"/>
  <c r="GI178"/>
  <c r="GJ174"/>
  <c r="GI174"/>
  <c r="FO126"/>
  <c r="FN126"/>
  <c r="FV126"/>
  <c r="FU126"/>
  <c r="FK114"/>
  <c r="FL114"/>
  <c r="FV114"/>
  <c r="FU114"/>
  <c r="GJ144"/>
  <c r="GI144"/>
  <c r="GB175"/>
  <c r="GC175"/>
  <c r="FU175"/>
  <c r="FV175"/>
  <c r="GP159"/>
  <c r="GQ159"/>
  <c r="GB159"/>
  <c r="GC159"/>
  <c r="FK151"/>
  <c r="FL151"/>
  <c r="FO151"/>
  <c r="FN151"/>
  <c r="GB119"/>
  <c r="GC119"/>
  <c r="FL119"/>
  <c r="FK119"/>
  <c r="FK115"/>
  <c r="FL115"/>
  <c r="FO115"/>
  <c r="FN115"/>
  <c r="FL107"/>
  <c r="FK107"/>
  <c r="FU107"/>
  <c r="FV107"/>
  <c r="FO99"/>
  <c r="FN99"/>
  <c r="FV99"/>
  <c r="FU99"/>
  <c r="FL79"/>
  <c r="FK79"/>
  <c r="GB79"/>
  <c r="GC79"/>
  <c r="FV51"/>
  <c r="FU51"/>
  <c r="GP51"/>
  <c r="GQ51"/>
  <c r="GB39"/>
  <c r="GC39"/>
  <c r="GP204"/>
  <c r="GQ204"/>
  <c r="FO204"/>
  <c r="FN204"/>
  <c r="FK200"/>
  <c r="FL200"/>
  <c r="GP188"/>
  <c r="GQ188"/>
  <c r="FK184"/>
  <c r="FL184"/>
  <c r="FL160"/>
  <c r="FK160"/>
  <c r="FL152"/>
  <c r="FK152"/>
  <c r="FN128"/>
  <c r="FO128"/>
  <c r="FN124"/>
  <c r="FO124"/>
  <c r="GP120"/>
  <c r="GQ120"/>
  <c r="FN120"/>
  <c r="FO120"/>
  <c r="GB48"/>
  <c r="GC48"/>
  <c r="FV48"/>
  <c r="FU48"/>
  <c r="FN181"/>
  <c r="FO181"/>
  <c r="FK161"/>
  <c r="FL161"/>
  <c r="FN153"/>
  <c r="FO153"/>
  <c r="FK121"/>
  <c r="FL121"/>
  <c r="GQ121"/>
  <c r="GP121"/>
  <c r="GI117"/>
  <c r="GJ117"/>
  <c r="GB93"/>
  <c r="GC93"/>
  <c r="FU93"/>
  <c r="FV93"/>
  <c r="GQ85"/>
  <c r="GP85"/>
  <c r="GB85"/>
  <c r="GC85"/>
  <c r="FN57"/>
  <c r="FO57"/>
  <c r="FO198"/>
  <c r="FN198"/>
  <c r="FO186"/>
  <c r="FN186"/>
  <c r="FO182"/>
  <c r="FN182"/>
  <c r="FK162"/>
  <c r="FL162"/>
  <c r="GC162"/>
  <c r="GB162"/>
  <c r="GB158"/>
  <c r="GC158"/>
  <c r="GP158"/>
  <c r="GQ158"/>
  <c r="GI150"/>
  <c r="GJ150"/>
  <c r="FN146"/>
  <c r="FO146"/>
  <c r="FV146"/>
  <c r="FU146"/>
  <c r="GP134"/>
  <c r="GQ134"/>
  <c r="FN130"/>
  <c r="FO130"/>
  <c r="FV122"/>
  <c r="FU122"/>
  <c r="FV110"/>
  <c r="FU110"/>
  <c r="GJ94"/>
  <c r="GI94"/>
  <c r="GB82"/>
  <c r="GC82"/>
  <c r="GI82"/>
  <c r="GJ82"/>
  <c r="GJ74"/>
  <c r="GI74"/>
  <c r="GP160"/>
  <c r="GQ160"/>
  <c r="FV186"/>
  <c r="FU186"/>
  <c r="GJ183"/>
  <c r="GI183"/>
  <c r="GC163"/>
  <c r="GB163"/>
  <c r="FK163"/>
  <c r="FL163"/>
  <c r="GI131"/>
  <c r="GJ131"/>
  <c r="FK127"/>
  <c r="FL127"/>
  <c r="FU123"/>
  <c r="FV123"/>
  <c r="GJ123"/>
  <c r="GI123"/>
  <c r="FN111"/>
  <c r="FO111"/>
  <c r="GI91"/>
  <c r="GJ91"/>
  <c r="GC91"/>
  <c r="GB91"/>
  <c r="GP75"/>
  <c r="GQ75"/>
  <c r="GI63"/>
  <c r="GJ63"/>
  <c r="GC63"/>
  <c r="GB63"/>
  <c r="FK172"/>
  <c r="FL172"/>
  <c r="FU108"/>
  <c r="FV108"/>
  <c r="GQ96"/>
  <c r="GP96"/>
  <c r="FK68"/>
  <c r="FL68"/>
  <c r="FU40"/>
  <c r="FV40"/>
  <c r="FO40"/>
  <c r="FN40"/>
  <c r="FN189"/>
  <c r="FO189"/>
  <c r="FN185"/>
  <c r="FO185"/>
  <c r="FL141"/>
  <c r="FK141"/>
  <c r="FN97"/>
  <c r="GJ97"/>
  <c r="GI97"/>
  <c r="FU89"/>
  <c r="FV89"/>
  <c r="FO89"/>
  <c r="FN89"/>
  <c r="FL69"/>
  <c r="FK69"/>
  <c r="GQ206"/>
  <c r="GP206"/>
  <c r="GP166"/>
  <c r="GQ166"/>
  <c r="FN142"/>
  <c r="FO142"/>
  <c r="FN138"/>
  <c r="FO138"/>
  <c r="GQ98"/>
  <c r="GP98"/>
  <c r="GQ70"/>
  <c r="GP70"/>
  <c r="GB62"/>
  <c r="GC62"/>
  <c r="GQ62"/>
  <c r="GP62"/>
  <c r="FK54"/>
  <c r="FL54"/>
  <c r="FL42"/>
  <c r="FK42"/>
  <c r="FO42"/>
  <c r="FN42"/>
  <c r="GB127"/>
  <c r="GC127"/>
  <c r="GC188"/>
  <c r="GB188"/>
  <c r="GP144"/>
  <c r="GQ144"/>
  <c r="FU202"/>
  <c r="GB54"/>
  <c r="GC54"/>
  <c r="FN203"/>
  <c r="FO203"/>
  <c r="GP191"/>
  <c r="GQ191"/>
  <c r="FU143"/>
  <c r="FV143"/>
  <c r="GB143"/>
  <c r="GC143"/>
  <c r="FN103"/>
  <c r="FO103"/>
  <c r="GP95"/>
  <c r="GQ95"/>
  <c r="GP59"/>
  <c r="GQ59"/>
  <c r="GJ59"/>
  <c r="GI59"/>
  <c r="FK43"/>
  <c r="FL43"/>
  <c r="FV43"/>
  <c r="FU43"/>
  <c r="GP196"/>
  <c r="GQ196"/>
  <c r="FV192"/>
  <c r="FU192"/>
  <c r="GI180"/>
  <c r="GJ180"/>
  <c r="FK180"/>
  <c r="FL180"/>
  <c r="FN156"/>
  <c r="FO156"/>
  <c r="FN140"/>
  <c r="FO140"/>
  <c r="FK136"/>
  <c r="FL136"/>
  <c r="FO100"/>
  <c r="FN100"/>
  <c r="FK84"/>
  <c r="FL84"/>
  <c r="GC80"/>
  <c r="GB80"/>
  <c r="FL64"/>
  <c r="FK64"/>
  <c r="GB56"/>
  <c r="GC56"/>
  <c r="FK201"/>
  <c r="FL201"/>
  <c r="FV201"/>
  <c r="FU201"/>
  <c r="FN197"/>
  <c r="FO197"/>
  <c r="FK193"/>
  <c r="FL193"/>
  <c r="FV193"/>
  <c r="FU193"/>
  <c r="FN173"/>
  <c r="FO173"/>
  <c r="GP109"/>
  <c r="GQ109"/>
  <c r="FU73"/>
  <c r="FV73"/>
  <c r="FO73"/>
  <c r="FN73"/>
  <c r="GB45"/>
  <c r="GC45"/>
  <c r="FU45"/>
  <c r="FV45"/>
  <c r="FN170"/>
  <c r="FO170"/>
  <c r="GI154"/>
  <c r="GJ154"/>
  <c r="FL106"/>
  <c r="FK106"/>
  <c r="FU102"/>
  <c r="FV102"/>
  <c r="FO102"/>
  <c r="FN102"/>
  <c r="FU90"/>
  <c r="FV90"/>
  <c r="FN90"/>
  <c r="FO90"/>
  <c r="GP78"/>
  <c r="GQ78"/>
  <c r="GQ66"/>
  <c r="GP66"/>
  <c r="GQ58"/>
  <c r="GP58"/>
  <c r="GJ58"/>
  <c r="GI58"/>
  <c r="GQ50"/>
  <c r="GP50"/>
  <c r="FL38"/>
  <c r="FK38"/>
  <c r="GI47"/>
  <c r="GJ47"/>
  <c r="GP47"/>
  <c r="GQ47"/>
  <c r="FU176"/>
  <c r="FV176"/>
  <c r="FK168"/>
  <c r="FL168"/>
  <c r="GC164"/>
  <c r="GB164"/>
  <c r="FK132"/>
  <c r="FL132"/>
  <c r="GJ112"/>
  <c r="GI112"/>
  <c r="FL112"/>
  <c r="FK112"/>
  <c r="FO92"/>
  <c r="FN92"/>
  <c r="FU76"/>
  <c r="FV76"/>
  <c r="FL72"/>
  <c r="FK72"/>
  <c r="FO52"/>
  <c r="FN52"/>
  <c r="FL44"/>
  <c r="FK44"/>
  <c r="GJ207"/>
  <c r="GI207"/>
  <c r="FO205"/>
  <c r="FN205"/>
  <c r="FL177"/>
  <c r="FK177"/>
  <c r="GC177"/>
  <c r="GB177"/>
  <c r="FN165"/>
  <c r="FO165"/>
  <c r="GC165"/>
  <c r="GB165"/>
  <c r="FN133"/>
  <c r="FO133"/>
  <c r="GJ133"/>
  <c r="GI133"/>
  <c r="GC129"/>
  <c r="GB129"/>
  <c r="GP129"/>
  <c r="GQ129"/>
  <c r="FN113"/>
  <c r="FO113"/>
  <c r="GJ113"/>
  <c r="GI113"/>
  <c r="FK105"/>
  <c r="FL105"/>
  <c r="GB101"/>
  <c r="GC101"/>
  <c r="FN101"/>
  <c r="FO101"/>
  <c r="FU81"/>
  <c r="FV81"/>
  <c r="GP81"/>
  <c r="GQ81"/>
  <c r="FN65"/>
  <c r="FK61"/>
  <c r="FL61"/>
  <c r="GB53"/>
  <c r="GC53"/>
  <c r="GI53"/>
  <c r="GJ53"/>
  <c r="GB49"/>
  <c r="GC49"/>
  <c r="GP41"/>
  <c r="GQ41"/>
  <c r="FU41"/>
  <c r="FV41"/>
  <c r="GB194"/>
  <c r="GC194"/>
  <c r="FL190"/>
  <c r="FK190"/>
  <c r="FL178"/>
  <c r="FK178"/>
  <c r="GB174"/>
  <c r="GC174"/>
  <c r="FK126"/>
  <c r="FL126"/>
  <c r="GP114"/>
  <c r="GQ114"/>
  <c r="FL175"/>
  <c r="FK175"/>
  <c r="GJ159"/>
  <c r="GI159"/>
  <c r="FU159"/>
  <c r="FV159"/>
  <c r="FV151"/>
  <c r="FU151"/>
  <c r="GC151"/>
  <c r="GB151"/>
  <c r="FV115"/>
  <c r="FU115"/>
  <c r="GB115"/>
  <c r="GC115"/>
  <c r="GQ107"/>
  <c r="GP107"/>
  <c r="GB99"/>
  <c r="GC99"/>
  <c r="GI99"/>
  <c r="GJ99"/>
  <c r="FO79"/>
  <c r="FN79"/>
  <c r="FO51"/>
  <c r="FN51"/>
  <c r="GP39"/>
  <c r="GQ39"/>
  <c r="GB204"/>
  <c r="GC204"/>
  <c r="GI204"/>
  <c r="GJ204"/>
  <c r="GB200"/>
  <c r="GC200"/>
  <c r="FU188"/>
  <c r="FV188"/>
  <c r="GI184"/>
  <c r="GJ184"/>
  <c r="GP184"/>
  <c r="GQ184"/>
  <c r="FN160"/>
  <c r="FO160"/>
  <c r="GP148"/>
  <c r="GQ148"/>
  <c r="FN148"/>
  <c r="FO148"/>
  <c r="FL144"/>
  <c r="FK144"/>
  <c r="FU128"/>
  <c r="FV128"/>
  <c r="FK128"/>
  <c r="FL128"/>
  <c r="FU120"/>
  <c r="FV120"/>
  <c r="FK48"/>
  <c r="FL48"/>
  <c r="FV181"/>
  <c r="FU181"/>
  <c r="FU153"/>
  <c r="FV153"/>
  <c r="FL153"/>
  <c r="FK153"/>
  <c r="FN121"/>
  <c r="FO121"/>
  <c r="FL117"/>
  <c r="FK117"/>
  <c r="FL93"/>
  <c r="FK93"/>
  <c r="GI85"/>
  <c r="GJ85"/>
  <c r="GB57"/>
  <c r="GC57"/>
  <c r="FU57"/>
  <c r="FV57"/>
  <c r="GJ202"/>
  <c r="GI202"/>
  <c r="FL202"/>
  <c r="FK202"/>
  <c r="FL198"/>
  <c r="FK198"/>
  <c r="GI186"/>
  <c r="GJ186"/>
  <c r="FL182"/>
  <c r="FK182"/>
  <c r="FV162"/>
  <c r="FU162"/>
  <c r="FO162"/>
  <c r="FN162"/>
  <c r="FN158"/>
  <c r="FO158"/>
  <c r="FN150"/>
  <c r="FO150"/>
  <c r="GC146"/>
  <c r="GB146"/>
  <c r="GI146"/>
  <c r="GJ146"/>
  <c r="FV134"/>
  <c r="FU134"/>
  <c r="FK134"/>
  <c r="FL134"/>
  <c r="FV130"/>
  <c r="FU130"/>
  <c r="FO122"/>
  <c r="FN122"/>
  <c r="FO118"/>
  <c r="FN118"/>
  <c r="GP110"/>
  <c r="GQ110"/>
  <c r="FN110"/>
  <c r="FO110"/>
  <c r="FL94"/>
  <c r="FK94"/>
  <c r="GQ82"/>
  <c r="GP82"/>
  <c r="FU74"/>
  <c r="FV74"/>
  <c r="GC74"/>
  <c r="GB74"/>
  <c r="GI39"/>
  <c r="GJ39"/>
  <c r="GJ120"/>
  <c r="GI120"/>
  <c r="FV183"/>
  <c r="FU183"/>
  <c r="GB183"/>
  <c r="GC183"/>
  <c r="FK171"/>
  <c r="FL171"/>
  <c r="GP171"/>
  <c r="GQ171"/>
  <c r="GQ163"/>
  <c r="GP163"/>
  <c r="GP131"/>
  <c r="GQ131"/>
  <c r="FU127"/>
  <c r="FV127"/>
  <c r="GB123"/>
  <c r="GC123"/>
  <c r="GQ123"/>
  <c r="GP123"/>
  <c r="GB111"/>
  <c r="GC111"/>
  <c r="FO91"/>
  <c r="FN91"/>
  <c r="GB75"/>
  <c r="GC75"/>
  <c r="GJ75"/>
  <c r="GI75"/>
  <c r="GI55"/>
  <c r="GJ55"/>
  <c r="GC172"/>
  <c r="GB172"/>
  <c r="FN172"/>
  <c r="FO172"/>
  <c r="FK116"/>
  <c r="FL116"/>
  <c r="FN108"/>
  <c r="FO108"/>
  <c r="GI96"/>
  <c r="GJ96"/>
  <c r="GP88"/>
  <c r="GQ88"/>
  <c r="FN88"/>
  <c r="FO68"/>
  <c r="FN68"/>
  <c r="GQ40"/>
  <c r="GP40"/>
  <c r="FL40"/>
  <c r="FK40"/>
  <c r="FK189"/>
  <c r="FL189"/>
  <c r="FU189"/>
  <c r="FV189"/>
  <c r="GB185"/>
  <c r="GC185"/>
  <c r="GP141"/>
  <c r="GQ141"/>
  <c r="FO141"/>
  <c r="GJ137"/>
  <c r="GI137"/>
  <c r="FK97"/>
  <c r="FL97"/>
  <c r="GC97"/>
  <c r="GB97"/>
  <c r="FL89"/>
  <c r="FK89"/>
  <c r="GI69"/>
  <c r="GJ69"/>
  <c r="GQ69"/>
  <c r="GP69"/>
  <c r="FL206"/>
  <c r="FK206"/>
  <c r="GC206"/>
  <c r="GB206"/>
  <c r="GC142"/>
  <c r="GB142"/>
  <c r="GB138"/>
  <c r="GC138"/>
  <c r="GI138"/>
  <c r="GJ138"/>
  <c r="FK98"/>
  <c r="FL98"/>
  <c r="FO98"/>
  <c r="FN98"/>
  <c r="GJ70"/>
  <c r="GI70"/>
  <c r="FN62"/>
  <c r="FO62"/>
  <c r="FL46"/>
  <c r="FK46"/>
  <c r="FN144"/>
  <c r="FO144"/>
  <c r="GI57"/>
  <c r="GJ57"/>
  <c r="GQ202"/>
  <c r="GP202"/>
  <c r="FV203"/>
  <c r="FU203"/>
  <c r="GJ191"/>
  <c r="GI191"/>
  <c r="FL187"/>
  <c r="FK187"/>
  <c r="GB167"/>
  <c r="GC167"/>
  <c r="FN167"/>
  <c r="FO167"/>
  <c r="FU95"/>
  <c r="FV95"/>
  <c r="FV59"/>
  <c r="FU59"/>
  <c r="FL59"/>
  <c r="FK59"/>
  <c r="FN43"/>
  <c r="FO43"/>
  <c r="FN196"/>
  <c r="FO196"/>
  <c r="FL196"/>
  <c r="FK196"/>
  <c r="FK192"/>
  <c r="FL192"/>
  <c r="GC180"/>
  <c r="GB180"/>
  <c r="GC156"/>
  <c r="GB156"/>
  <c r="FN136"/>
  <c r="FO136"/>
  <c r="FN104"/>
  <c r="FO104"/>
  <c r="GJ100"/>
  <c r="GI100"/>
  <c r="GP84"/>
  <c r="GQ84"/>
  <c r="GI80"/>
  <c r="GJ80"/>
  <c r="FN64"/>
  <c r="FO64"/>
  <c r="FN60"/>
  <c r="FO60"/>
  <c r="FN56"/>
  <c r="FO56"/>
  <c r="GP201"/>
  <c r="GQ201"/>
  <c r="GB197"/>
  <c r="GC197"/>
  <c r="GI197"/>
  <c r="GJ197"/>
  <c r="FN193"/>
  <c r="FO193"/>
  <c r="GB173"/>
  <c r="GC173"/>
  <c r="FV173"/>
  <c r="FU173"/>
  <c r="GI169"/>
  <c r="GJ169"/>
  <c r="FN157"/>
  <c r="FO157"/>
  <c r="FU149"/>
  <c r="FV149"/>
  <c r="FK149"/>
  <c r="FL149"/>
  <c r="GI145"/>
  <c r="GJ145"/>
  <c r="GC145"/>
  <c r="GB145"/>
  <c r="FV109"/>
  <c r="GB73"/>
  <c r="GC73"/>
  <c r="FN45"/>
  <c r="FO45"/>
  <c r="GQ154"/>
  <c r="GP154"/>
  <c r="FV106"/>
  <c r="GQ102"/>
  <c r="GP102"/>
  <c r="GC90"/>
  <c r="GB90"/>
  <c r="GJ90"/>
  <c r="GI90"/>
  <c r="GJ86"/>
  <c r="GI86"/>
  <c r="GB66"/>
  <c r="GC66"/>
  <c r="FO50"/>
  <c r="FN50"/>
  <c r="GP38"/>
  <c r="GQ38"/>
  <c r="FO38"/>
  <c r="FN38"/>
  <c r="O92" i="11" l="1"/>
  <c r="FN63" i="9"/>
  <c r="FN161"/>
  <c r="FU145"/>
  <c r="GI60"/>
  <c r="GJ167"/>
  <c r="GJ46"/>
  <c r="FV138"/>
  <c r="FV96"/>
  <c r="GC64"/>
  <c r="FV98"/>
  <c r="FN127"/>
  <c r="GC50"/>
  <c r="FV104"/>
  <c r="GB140"/>
  <c r="GB189"/>
  <c r="EI36"/>
  <c r="T184" i="12"/>
  <c r="GW194" i="9"/>
  <c r="S116" i="15"/>
  <c r="S134"/>
  <c r="S162"/>
  <c r="GW161" i="9"/>
  <c r="GU88"/>
  <c r="T156" i="12"/>
  <c r="S184" i="15"/>
  <c r="O168" i="11"/>
  <c r="O119"/>
  <c r="O164"/>
  <c r="O175"/>
  <c r="S41" i="15"/>
  <c r="T51" i="12"/>
  <c r="T151"/>
  <c r="GT107" i="9"/>
  <c r="T163" i="12"/>
  <c r="T117"/>
  <c r="T72"/>
  <c r="GT141" i="9"/>
  <c r="GT63"/>
  <c r="S202" i="15"/>
  <c r="T46" i="12"/>
  <c r="GT53" i="9"/>
  <c r="GX97"/>
  <c r="T82" i="12"/>
  <c r="GJ103" i="9"/>
  <c r="FO63"/>
  <c r="FO161"/>
  <c r="GI130"/>
  <c r="FU196"/>
  <c r="FO127"/>
  <c r="EI29"/>
  <c r="EI21"/>
  <c r="EI28"/>
  <c r="EK28" s="1"/>
  <c r="EW28" s="1"/>
  <c r="EI20"/>
  <c r="T118" i="12"/>
  <c r="O118" i="11"/>
  <c r="O117"/>
  <c r="S66" i="15"/>
  <c r="S122"/>
  <c r="S112"/>
  <c r="S180"/>
  <c r="GX88" i="9"/>
  <c r="O155" i="11"/>
  <c r="O136"/>
  <c r="O45"/>
  <c r="S37" i="15"/>
  <c r="S105"/>
  <c r="GX83" i="9"/>
  <c r="S179" i="15"/>
  <c r="T167" i="12"/>
  <c r="O126" i="11"/>
  <c r="T36" i="12"/>
  <c r="S50" i="15"/>
  <c r="S191"/>
  <c r="GV55" i="9"/>
  <c r="S78" i="15"/>
  <c r="S110"/>
  <c r="S152"/>
  <c r="GU137" i="9"/>
  <c r="T70" i="12"/>
  <c r="FU86" i="9"/>
  <c r="FV88"/>
  <c r="GI66"/>
  <c r="FV167"/>
  <c r="T43" i="12"/>
  <c r="T95"/>
  <c r="S177" i="15"/>
  <c r="S47"/>
  <c r="S67"/>
  <c r="S86"/>
  <c r="S130"/>
  <c r="S107"/>
  <c r="S114"/>
  <c r="GW127" i="9"/>
  <c r="S59" i="15"/>
  <c r="S203"/>
  <c r="S154"/>
  <c r="T66" i="12"/>
  <c r="GV201" i="9"/>
  <c r="GV65"/>
  <c r="S193" i="15"/>
  <c r="O190" i="11"/>
  <c r="T191" i="12"/>
  <c r="S160" i="15"/>
  <c r="T158" i="12"/>
  <c r="L57" i="11"/>
  <c r="J60" i="15"/>
  <c r="HD61" i="9"/>
  <c r="N57" i="11" s="1"/>
  <c r="L113"/>
  <c r="HD117" i="9"/>
  <c r="N113" i="11" s="1"/>
  <c r="J116" i="15"/>
  <c r="L105" i="11"/>
  <c r="J108" i="15"/>
  <c r="HD109" i="9"/>
  <c r="N105" i="11" s="1"/>
  <c r="J96" i="15"/>
  <c r="L93" i="11"/>
  <c r="HD97" i="9"/>
  <c r="N93" i="11" s="1"/>
  <c r="HD191" i="9"/>
  <c r="N187" i="11" s="1"/>
  <c r="J190" i="15"/>
  <c r="L187" i="11"/>
  <c r="J58" i="15"/>
  <c r="L55" i="11"/>
  <c r="HD59" i="9"/>
  <c r="N55" i="11" s="1"/>
  <c r="HD103" i="9"/>
  <c r="N99" i="11" s="1"/>
  <c r="L99"/>
  <c r="J102" i="15"/>
  <c r="HD87" i="9"/>
  <c r="N83" i="11" s="1"/>
  <c r="J86" i="15"/>
  <c r="L83" i="11"/>
  <c r="HD65" i="9"/>
  <c r="N61" i="11" s="1"/>
  <c r="J64" i="15"/>
  <c r="L61" i="11"/>
  <c r="J79" i="15"/>
  <c r="L76" i="11"/>
  <c r="HD80" i="9"/>
  <c r="N76" i="11" s="1"/>
  <c r="J191" i="15"/>
  <c r="L188" i="11"/>
  <c r="HD192" i="9"/>
  <c r="N188" i="11" s="1"/>
  <c r="L153"/>
  <c r="HD157" i="9"/>
  <c r="N153" i="11" s="1"/>
  <c r="J156" i="15"/>
  <c r="J80"/>
  <c r="L77" i="11"/>
  <c r="HD81" i="9"/>
  <c r="N77" i="11" s="1"/>
  <c r="J56" i="15"/>
  <c r="HD57" i="9"/>
  <c r="N53" i="11" s="1"/>
  <c r="L53"/>
  <c r="L129"/>
  <c r="HD133" i="9"/>
  <c r="N129" i="11" s="1"/>
  <c r="J132" i="15"/>
  <c r="J39"/>
  <c r="HD40" i="9"/>
  <c r="N36" i="11" s="1"/>
  <c r="L36"/>
  <c r="J127" i="15"/>
  <c r="L124" i="11"/>
  <c r="HD128" i="9"/>
  <c r="N124" i="11" s="1"/>
  <c r="HD71" i="9"/>
  <c r="N67" i="11" s="1"/>
  <c r="L67"/>
  <c r="J70" i="15"/>
  <c r="L115" i="11"/>
  <c r="HD119" i="9"/>
  <c r="N115" i="11" s="1"/>
  <c r="J118" i="15"/>
  <c r="L179" i="11"/>
  <c r="HD183" i="9"/>
  <c r="N179" i="11" s="1"/>
  <c r="J182" i="15"/>
  <c r="HD180" i="9"/>
  <c r="N176" i="11" s="1"/>
  <c r="J179" i="15"/>
  <c r="L176" i="11"/>
  <c r="GU149" i="9"/>
  <c r="O145" i="11" s="1"/>
  <c r="GX199" i="9"/>
  <c r="T112" i="12"/>
  <c r="O68" i="11"/>
  <c r="GI78" i="9"/>
  <c r="GI142"/>
  <c r="IR142" s="1"/>
  <c r="GI98"/>
  <c r="FN93"/>
  <c r="IR93" s="1"/>
  <c r="FV54"/>
  <c r="T39" i="12"/>
  <c r="T100"/>
  <c r="T110"/>
  <c r="T69"/>
  <c r="T160"/>
  <c r="GX194" i="9"/>
  <c r="GX76"/>
  <c r="S58" i="15"/>
  <c r="GT149" i="9"/>
  <c r="GT93"/>
  <c r="GU93"/>
  <c r="O89" i="11" s="1"/>
  <c r="GV161" i="9"/>
  <c r="GW88"/>
  <c r="T85" i="12" s="1"/>
  <c r="O44" i="11"/>
  <c r="O200"/>
  <c r="O151"/>
  <c r="O69"/>
  <c r="O52"/>
  <c r="O113"/>
  <c r="O79"/>
  <c r="O143"/>
  <c r="O109"/>
  <c r="GT83" i="9"/>
  <c r="GW83"/>
  <c r="S82" i="15" s="1"/>
  <c r="GU107" i="9"/>
  <c r="T175" i="12"/>
  <c r="T181"/>
  <c r="T155"/>
  <c r="T113"/>
  <c r="T177"/>
  <c r="O58" i="11"/>
  <c r="O114"/>
  <c r="T144" i="12"/>
  <c r="O133" i="11"/>
  <c r="O181"/>
  <c r="O100"/>
  <c r="O49"/>
  <c r="GX197" i="9"/>
  <c r="GV197"/>
  <c r="S170" i="15"/>
  <c r="GX129" i="9"/>
  <c r="GX141"/>
  <c r="GU141"/>
  <c r="GX55"/>
  <c r="GX63"/>
  <c r="GV63"/>
  <c r="GU127"/>
  <c r="S129" i="15"/>
  <c r="S39"/>
  <c r="S171"/>
  <c r="O140" i="11"/>
  <c r="O41"/>
  <c r="O56"/>
  <c r="O71"/>
  <c r="O135"/>
  <c r="O203"/>
  <c r="O116"/>
  <c r="O180"/>
  <c r="O195"/>
  <c r="O64"/>
  <c r="O63"/>
  <c r="O127"/>
  <c r="O191"/>
  <c r="O93"/>
  <c r="O157"/>
  <c r="S161" i="15"/>
  <c r="GT145" i="9"/>
  <c r="GW145"/>
  <c r="T142" i="12" s="1"/>
  <c r="S142" i="15"/>
  <c r="S91"/>
  <c r="S118"/>
  <c r="GU201" i="9"/>
  <c r="S57" i="15"/>
  <c r="S81"/>
  <c r="S155"/>
  <c r="S42"/>
  <c r="GT137" i="9"/>
  <c r="S192" i="15"/>
  <c r="S163"/>
  <c r="GT199" i="9"/>
  <c r="GW199"/>
  <c r="O201" i="11"/>
  <c r="O39"/>
  <c r="O149"/>
  <c r="O35"/>
  <c r="O192"/>
  <c r="O61"/>
  <c r="T44" i="12"/>
  <c r="T74"/>
  <c r="T54"/>
  <c r="O170" i="11"/>
  <c r="GW53" i="9"/>
  <c r="T50" i="12" s="1"/>
  <c r="S49" i="15"/>
  <c r="GU65" i="9"/>
  <c r="S181" i="15"/>
  <c r="S51"/>
  <c r="S175"/>
  <c r="O156" i="11"/>
  <c r="O81"/>
  <c r="S77" i="15"/>
  <c r="GT97" i="9"/>
  <c r="GW97"/>
  <c r="T94" i="12" s="1"/>
  <c r="S63" i="15"/>
  <c r="S174"/>
  <c r="L185" i="11"/>
  <c r="HD189" i="9"/>
  <c r="N185" i="11" s="1"/>
  <c r="J188" i="15"/>
  <c r="J184"/>
  <c r="HD185" i="9"/>
  <c r="N181" i="11" s="1"/>
  <c r="L181"/>
  <c r="L41"/>
  <c r="J44" i="15"/>
  <c r="HD45" i="9"/>
  <c r="N41" i="11" s="1"/>
  <c r="J62" i="15"/>
  <c r="L59" i="11"/>
  <c r="HD63" i="9"/>
  <c r="N59" i="11" s="1"/>
  <c r="L104"/>
  <c r="HD108" i="9"/>
  <c r="N104" i="11" s="1"/>
  <c r="J107" i="15"/>
  <c r="J87"/>
  <c r="HD88" i="9"/>
  <c r="N84" i="11" s="1"/>
  <c r="L84"/>
  <c r="J114" i="15"/>
  <c r="HD115" i="9"/>
  <c r="N111" i="11" s="1"/>
  <c r="L111"/>
  <c r="L201"/>
  <c r="HD205" i="9"/>
  <c r="N201" i="11" s="1"/>
  <c r="J204" i="15"/>
  <c r="J120"/>
  <c r="HD121" i="9"/>
  <c r="N117" i="11" s="1"/>
  <c r="L117"/>
  <c r="J168" i="15"/>
  <c r="HD169" i="9"/>
  <c r="N165" i="11" s="1"/>
  <c r="L165"/>
  <c r="HD151" i="9"/>
  <c r="N147" i="11" s="1"/>
  <c r="J150" i="15"/>
  <c r="L147" i="11"/>
  <c r="L97"/>
  <c r="HD101" i="9"/>
  <c r="N97" i="11" s="1"/>
  <c r="J100" i="15"/>
  <c r="L145" i="11"/>
  <c r="HD149" i="9"/>
  <c r="N145" i="11" s="1"/>
  <c r="J148" i="15"/>
  <c r="J111"/>
  <c r="L108" i="11"/>
  <c r="HD112" i="9"/>
  <c r="N108" i="11" s="1"/>
  <c r="HD127" i="9"/>
  <c r="N123" i="11" s="1"/>
  <c r="J126" i="15"/>
  <c r="L123" i="11"/>
  <c r="L40"/>
  <c r="HD44" i="9"/>
  <c r="N40" i="11" s="1"/>
  <c r="J43" i="15"/>
  <c r="L168" i="11"/>
  <c r="HD172" i="9"/>
  <c r="N168" i="11" s="1"/>
  <c r="J171" i="15"/>
  <c r="J122"/>
  <c r="L119" i="11"/>
  <c r="HD123" i="9"/>
  <c r="N119" i="11" s="1"/>
  <c r="J167" i="15"/>
  <c r="HD168" i="9"/>
  <c r="N164" i="11" s="1"/>
  <c r="L164"/>
  <c r="J51" i="15"/>
  <c r="L48" i="11"/>
  <c r="HD52" i="9"/>
  <c r="N48" i="11" s="1"/>
  <c r="J50" i="15"/>
  <c r="HD51" i="9"/>
  <c r="N47" i="11" s="1"/>
  <c r="L47"/>
  <c r="J178" i="15"/>
  <c r="HD179" i="9"/>
  <c r="N175" i="11" s="1"/>
  <c r="L175"/>
  <c r="J63" i="15"/>
  <c r="L60" i="11"/>
  <c r="HD64" i="9"/>
  <c r="N60" i="11" s="1"/>
  <c r="HD135" i="9"/>
  <c r="N131" i="11" s="1"/>
  <c r="L131"/>
  <c r="J134" i="15"/>
  <c r="HD47" i="9"/>
  <c r="N43" i="11" s="1"/>
  <c r="L43"/>
  <c r="J46" i="15"/>
  <c r="L88" i="11"/>
  <c r="HD92" i="9"/>
  <c r="N88" i="11" s="1"/>
  <c r="J91" i="15"/>
  <c r="J170"/>
  <c r="L167" i="11"/>
  <c r="HD171" i="9"/>
  <c r="N167" i="11" s="1"/>
  <c r="J151" i="15"/>
  <c r="HD152" i="9"/>
  <c r="N148" i="11" s="1"/>
  <c r="L148"/>
  <c r="J99" i="15"/>
  <c r="L96" i="11"/>
  <c r="HD100" i="9"/>
  <c r="N96" i="11" s="1"/>
  <c r="J162" i="15"/>
  <c r="HD163" i="9"/>
  <c r="N159" i="11" s="1"/>
  <c r="L159"/>
  <c r="J40" i="15"/>
  <c r="HD41" i="9"/>
  <c r="N37" i="11" s="1"/>
  <c r="L37"/>
  <c r="J88" i="15"/>
  <c r="HD89" i="9"/>
  <c r="N85" i="11" s="1"/>
  <c r="L85"/>
  <c r="L65"/>
  <c r="HD69" i="9"/>
  <c r="N65" i="11" s="1"/>
  <c r="J68" i="15"/>
  <c r="L177" i="11"/>
  <c r="HD181" i="9"/>
  <c r="N177" i="11" s="1"/>
  <c r="J180" i="15"/>
  <c r="J95"/>
  <c r="L92" i="11"/>
  <c r="HD96" i="9"/>
  <c r="N92" i="11" s="1"/>
  <c r="J110" i="15"/>
  <c r="L107" i="11"/>
  <c r="HD111" i="9"/>
  <c r="N107" i="11" s="1"/>
  <c r="L152"/>
  <c r="HD156" i="9"/>
  <c r="N152" i="11" s="1"/>
  <c r="J155" i="15"/>
  <c r="J106"/>
  <c r="L103" i="11"/>
  <c r="HD107" i="9"/>
  <c r="N103" i="11" s="1"/>
  <c r="J71" i="15"/>
  <c r="HD72" i="9"/>
  <c r="N68" i="11" s="1"/>
  <c r="L68"/>
  <c r="J98" i="15"/>
  <c r="HD99" i="9"/>
  <c r="N95" i="11" s="1"/>
  <c r="L95"/>
  <c r="GW76" i="9"/>
  <c r="GX93"/>
  <c r="O123" i="11"/>
  <c r="O197"/>
  <c r="O159"/>
  <c r="GU129" i="9"/>
  <c r="O174" i="11"/>
  <c r="O125"/>
  <c r="FU68" i="9"/>
  <c r="FV78"/>
  <c r="FU56"/>
  <c r="IR56" s="1"/>
  <c r="GJ95"/>
  <c r="FV103"/>
  <c r="FU137"/>
  <c r="FN129"/>
  <c r="FN76"/>
  <c r="FV64"/>
  <c r="FO199"/>
  <c r="T71" i="12"/>
  <c r="T148"/>
  <c r="T83"/>
  <c r="T67"/>
  <c r="T182"/>
  <c r="T128"/>
  <c r="GT194" i="9"/>
  <c r="GV194"/>
  <c r="S89" i="15"/>
  <c r="S149"/>
  <c r="GT76" i="9"/>
  <c r="GU76"/>
  <c r="O72" i="11" s="1"/>
  <c r="S194" i="15"/>
  <c r="S189"/>
  <c r="GX149" i="9"/>
  <c r="GW149"/>
  <c r="GW93"/>
  <c r="GX161"/>
  <c r="S206" i="15"/>
  <c r="GV88" i="9"/>
  <c r="S103" i="15"/>
  <c r="S53"/>
  <c r="S147"/>
  <c r="GV83" i="9"/>
  <c r="S153" i="15"/>
  <c r="S139"/>
  <c r="GV107" i="9"/>
  <c r="T137" i="12"/>
  <c r="T201"/>
  <c r="T147"/>
  <c r="T165"/>
  <c r="T195"/>
  <c r="O186" i="11"/>
  <c r="O66"/>
  <c r="O162"/>
  <c r="S133" i="15"/>
  <c r="S141"/>
  <c r="GW197" i="9"/>
  <c r="T194" i="12" s="1"/>
  <c r="S74" i="15"/>
  <c r="S98"/>
  <c r="GT129" i="9"/>
  <c r="GW129"/>
  <c r="GW141"/>
  <c r="S188" i="15"/>
  <c r="GT55" i="9"/>
  <c r="GU55"/>
  <c r="O51" i="11" s="1"/>
  <c r="GU63" i="9"/>
  <c r="GV127"/>
  <c r="S60" i="15"/>
  <c r="S135"/>
  <c r="GV145" i="9"/>
  <c r="S104" i="15"/>
  <c r="GX201" i="9"/>
  <c r="S99" i="15"/>
  <c r="O59" i="11"/>
  <c r="O187"/>
  <c r="O104"/>
  <c r="O55"/>
  <c r="O183"/>
  <c r="O84"/>
  <c r="O99"/>
  <c r="O112"/>
  <c r="O111"/>
  <c r="O53"/>
  <c r="O83"/>
  <c r="O129"/>
  <c r="S125" i="15"/>
  <c r="S108"/>
  <c r="S127"/>
  <c r="GX137" i="9"/>
  <c r="GW137"/>
  <c r="T134" i="12" s="1"/>
  <c r="S83" i="15"/>
  <c r="S145"/>
  <c r="S131"/>
  <c r="GU199" i="9"/>
  <c r="T40" i="12"/>
  <c r="T58"/>
  <c r="T38"/>
  <c r="O82" i="11"/>
  <c r="O198"/>
  <c r="GV53" i="9"/>
  <c r="GX65"/>
  <c r="S164" i="15"/>
  <c r="S123"/>
  <c r="GV97" i="9"/>
  <c r="S124" i="15"/>
  <c r="S151"/>
  <c r="L121" i="11"/>
  <c r="J124" i="15"/>
  <c r="HD125" i="9"/>
  <c r="N121" i="11" s="1"/>
  <c r="J72" i="15"/>
  <c r="HD73" i="9"/>
  <c r="N69" i="11" s="1"/>
  <c r="L69"/>
  <c r="J48" i="15"/>
  <c r="L45" i="11"/>
  <c r="HD49" i="9"/>
  <c r="N45" i="11" s="1"/>
  <c r="HD113" i="9"/>
  <c r="N109" i="11" s="1"/>
  <c r="J112" i="15"/>
  <c r="L109" i="11"/>
  <c r="HD177" i="9"/>
  <c r="N173" i="11" s="1"/>
  <c r="J176" i="15"/>
  <c r="L173" i="11"/>
  <c r="J136" i="15"/>
  <c r="HD137" i="9"/>
  <c r="N133" i="11" s="1"/>
  <c r="L133"/>
  <c r="L49"/>
  <c r="HD53" i="9"/>
  <c r="N49" i="11" s="1"/>
  <c r="J52" i="15"/>
  <c r="L161" i="11"/>
  <c r="HD165" i="9"/>
  <c r="N161" i="11" s="1"/>
  <c r="J164" i="15"/>
  <c r="L169" i="11"/>
  <c r="HD173" i="9"/>
  <c r="N169" i="11" s="1"/>
  <c r="J172" i="15"/>
  <c r="J160"/>
  <c r="L157" i="11"/>
  <c r="HD161" i="9"/>
  <c r="N157" i="11" s="1"/>
  <c r="J186" i="15"/>
  <c r="L183" i="11"/>
  <c r="HD187" i="9"/>
  <c r="N183" i="11" s="1"/>
  <c r="HD116" i="9"/>
  <c r="N112" i="11" s="1"/>
  <c r="J115" i="15"/>
  <c r="L112" i="11"/>
  <c r="J152" i="15"/>
  <c r="HD153" i="9"/>
  <c r="N149" i="11" s="1"/>
  <c r="L149"/>
  <c r="L81"/>
  <c r="HD85" i="9"/>
  <c r="N81" i="11" s="1"/>
  <c r="J84" i="15"/>
  <c r="J47"/>
  <c r="L44" i="11"/>
  <c r="HD48" i="9"/>
  <c r="N44" i="11" s="1"/>
  <c r="J175" i="15"/>
  <c r="L172" i="11"/>
  <c r="HD176" i="9"/>
  <c r="N172" i="11" s="1"/>
  <c r="L91"/>
  <c r="HD95" i="9"/>
  <c r="N91" i="11" s="1"/>
  <c r="J94" i="15"/>
  <c r="L155" i="11"/>
  <c r="HD159" i="9"/>
  <c r="N155" i="11" s="1"/>
  <c r="J158" i="15"/>
  <c r="L72" i="11"/>
  <c r="HD76" i="9"/>
  <c r="N72" i="11" s="1"/>
  <c r="J75" i="15"/>
  <c r="L136" i="11"/>
  <c r="HD140" i="9"/>
  <c r="N136" i="11" s="1"/>
  <c r="J139" i="15"/>
  <c r="HD204" i="9"/>
  <c r="N200" i="11" s="1"/>
  <c r="J203" i="15"/>
  <c r="L200" i="11"/>
  <c r="J90" i="15"/>
  <c r="L87" i="11"/>
  <c r="HD91" i="9"/>
  <c r="N87" i="11" s="1"/>
  <c r="J154" i="15"/>
  <c r="L151" i="11"/>
  <c r="HD155" i="9"/>
  <c r="N151" i="11" s="1"/>
  <c r="J55" i="15"/>
  <c r="HD56" i="9"/>
  <c r="N52" i="11" s="1"/>
  <c r="L52"/>
  <c r="J135" i="15"/>
  <c r="HD136" i="9"/>
  <c r="N132" i="11" s="1"/>
  <c r="L132"/>
  <c r="J199" i="15"/>
  <c r="HD200" i="9"/>
  <c r="N196" i="11" s="1"/>
  <c r="L196"/>
  <c r="J83" i="15"/>
  <c r="L80" i="11"/>
  <c r="HD84" i="9"/>
  <c r="N80" i="11" s="1"/>
  <c r="J163" i="15"/>
  <c r="L160" i="11"/>
  <c r="HD164" i="9"/>
  <c r="N160" i="11" s="1"/>
  <c r="J82" i="15"/>
  <c r="HD83" i="9"/>
  <c r="N79" i="11" s="1"/>
  <c r="L79"/>
  <c r="J146" i="15"/>
  <c r="HD147" i="9"/>
  <c r="N143" i="11" s="1"/>
  <c r="L143"/>
  <c r="L89"/>
  <c r="J92" i="15"/>
  <c r="HD93" i="9"/>
  <c r="N89" i="11" s="1"/>
  <c r="J200" i="15"/>
  <c r="HD201" i="9"/>
  <c r="N197" i="11" s="1"/>
  <c r="L197"/>
  <c r="HD145" i="9"/>
  <c r="N141" i="11" s="1"/>
  <c r="J144" i="15"/>
  <c r="L141" i="11"/>
  <c r="J104" i="15"/>
  <c r="HD105" i="9"/>
  <c r="N101" i="11" s="1"/>
  <c r="L101"/>
  <c r="L73"/>
  <c r="J76" i="15"/>
  <c r="HD77" i="9"/>
  <c r="N73" i="11" s="1"/>
  <c r="J192" i="15"/>
  <c r="L189" i="11"/>
  <c r="HD193" i="9"/>
  <c r="N189" i="11" s="1"/>
  <c r="J103" i="15"/>
  <c r="HD104" i="9"/>
  <c r="N100" i="11" s="1"/>
  <c r="L100"/>
  <c r="L51"/>
  <c r="HD55" i="9"/>
  <c r="N51" i="11" s="1"/>
  <c r="J54" i="15"/>
  <c r="HD167" i="9"/>
  <c r="N163" i="11" s="1"/>
  <c r="L163"/>
  <c r="J166" i="15"/>
  <c r="HD148" i="9"/>
  <c r="N144" i="11" s="1"/>
  <c r="J147" i="15"/>
  <c r="L144" i="11"/>
  <c r="J143" i="15"/>
  <c r="L140" i="11"/>
  <c r="HD144" i="9"/>
  <c r="N140" i="11" s="1"/>
  <c r="L75"/>
  <c r="HD79" i="9"/>
  <c r="N75" i="11" s="1"/>
  <c r="J78" i="15"/>
  <c r="L139" i="11"/>
  <c r="J142" i="15"/>
  <c r="HD143" i="9"/>
  <c r="N139" i="11" s="1"/>
  <c r="L56"/>
  <c r="HD60" i="9"/>
  <c r="N56" i="11" s="1"/>
  <c r="J59" i="15"/>
  <c r="L120" i="11"/>
  <c r="HD124" i="9"/>
  <c r="N120" i="11" s="1"/>
  <c r="J123" i="15"/>
  <c r="L184" i="11"/>
  <c r="HD188" i="9"/>
  <c r="N184" i="11" s="1"/>
  <c r="J187" i="15"/>
  <c r="J74"/>
  <c r="L71" i="11"/>
  <c r="HD75" i="9"/>
  <c r="N71" i="11" s="1"/>
  <c r="J138" i="15"/>
  <c r="L135" i="11"/>
  <c r="HD139" i="9"/>
  <c r="N135" i="11" s="1"/>
  <c r="J202" i="15"/>
  <c r="L199" i="11"/>
  <c r="HD203" i="9"/>
  <c r="N199" i="11" s="1"/>
  <c r="L203"/>
  <c r="HD207" i="9"/>
  <c r="N203" i="11" s="1"/>
  <c r="J206" i="15"/>
  <c r="J119"/>
  <c r="HD120" i="9"/>
  <c r="N116" i="11" s="1"/>
  <c r="L116"/>
  <c r="J183" i="15"/>
  <c r="HD184" i="9"/>
  <c r="N180" i="11" s="1"/>
  <c r="L180"/>
  <c r="HD199" i="9"/>
  <c r="N195" i="11" s="1"/>
  <c r="L195"/>
  <c r="J198" i="15"/>
  <c r="HD68" i="9"/>
  <c r="N64" i="11" s="1"/>
  <c r="J67" i="15"/>
  <c r="L64" i="11"/>
  <c r="J131" i="15"/>
  <c r="L128" i="11"/>
  <c r="HD132" i="9"/>
  <c r="N128" i="11" s="1"/>
  <c r="J66" i="15"/>
  <c r="HD67" i="9"/>
  <c r="N63" i="11" s="1"/>
  <c r="L63"/>
  <c r="J130" i="15"/>
  <c r="HD131" i="9"/>
  <c r="N127" i="11" s="1"/>
  <c r="L127"/>
  <c r="J194" i="15"/>
  <c r="HD195" i="9"/>
  <c r="N191" i="11" s="1"/>
  <c r="L191"/>
  <c r="J174" i="15"/>
  <c r="L171" i="11"/>
  <c r="HD175" i="9"/>
  <c r="N171" i="11" s="1"/>
  <c r="J42" i="15"/>
  <c r="L39" i="11"/>
  <c r="HD43" i="9"/>
  <c r="N39" i="11" s="1"/>
  <c r="HD39" i="9"/>
  <c r="N35" i="11" s="1"/>
  <c r="J38" i="15"/>
  <c r="L35" i="11"/>
  <c r="L192"/>
  <c r="J195" i="15"/>
  <c r="HD196" i="9"/>
  <c r="N192" i="11" s="1"/>
  <c r="J159" i="15"/>
  <c r="L156" i="11"/>
  <c r="HD160" i="9"/>
  <c r="N156" i="11" s="1"/>
  <c r="L137"/>
  <c r="J140" i="15"/>
  <c r="HD141" i="9"/>
  <c r="N137" i="11" s="1"/>
  <c r="L193"/>
  <c r="HD197" i="9"/>
  <c r="N193" i="11" s="1"/>
  <c r="J196" i="15"/>
  <c r="J128"/>
  <c r="L125" i="11"/>
  <c r="HD129" i="9"/>
  <c r="N125" i="11" s="1"/>
  <c r="O141"/>
  <c r="O131"/>
  <c r="GX145" i="9"/>
  <c r="S136" i="15"/>
  <c r="O193" i="11"/>
  <c r="FO76" i="9"/>
  <c r="FN199"/>
  <c r="T130" i="12"/>
  <c r="T132"/>
  <c r="T152"/>
  <c r="T59"/>
  <c r="T45"/>
  <c r="O70" i="11"/>
  <c r="O154"/>
  <c r="O147"/>
  <c r="O97"/>
  <c r="S137" i="15"/>
  <c r="S101"/>
  <c r="S168"/>
  <c r="S55"/>
  <c r="S178"/>
  <c r="GT161" i="9"/>
  <c r="S158" i="15"/>
  <c r="S121"/>
  <c r="S190"/>
  <c r="S93"/>
  <c r="S95"/>
  <c r="T135" i="12"/>
  <c r="T145"/>
  <c r="T99"/>
  <c r="T187"/>
  <c r="S109" i="15"/>
  <c r="S143"/>
  <c r="S38"/>
  <c r="S111"/>
  <c r="S138"/>
  <c r="S182"/>
  <c r="S166"/>
  <c r="S68"/>
  <c r="GT201" i="9"/>
  <c r="S199" i="15"/>
  <c r="S90"/>
  <c r="S43"/>
  <c r="S80"/>
  <c r="S172"/>
  <c r="T98" i="12"/>
  <c r="T76"/>
  <c r="T42"/>
  <c r="T202"/>
  <c r="T84"/>
  <c r="T88"/>
  <c r="T86"/>
  <c r="O94" i="11"/>
  <c r="O38"/>
  <c r="O78"/>
  <c r="T176" i="12"/>
  <c r="O37" i="11"/>
  <c r="O85"/>
  <c r="O36"/>
  <c r="O124"/>
  <c r="O115"/>
  <c r="O179"/>
  <c r="O65"/>
  <c r="O177"/>
  <c r="O176"/>
  <c r="GT65" i="9"/>
  <c r="S79" i="15"/>
  <c r="S205"/>
  <c r="S185"/>
  <c r="S94"/>
  <c r="S70"/>
  <c r="EI10" i="9"/>
  <c r="EK20"/>
  <c r="EW20" s="1"/>
  <c r="EI30"/>
  <c r="EI34"/>
  <c r="EK34" s="1"/>
  <c r="EW34" s="1"/>
  <c r="EI12"/>
  <c r="EK21"/>
  <c r="EW21" s="1"/>
  <c r="EK19"/>
  <c r="EW19" s="1"/>
  <c r="EK32"/>
  <c r="EW32" s="1"/>
  <c r="EK29"/>
  <c r="EW29" s="1"/>
  <c r="EK27"/>
  <c r="EW27" s="1"/>
  <c r="EK37"/>
  <c r="EW37" s="1"/>
  <c r="EK24"/>
  <c r="EW24" s="1"/>
  <c r="EK36"/>
  <c r="EW36" s="1"/>
  <c r="EK22"/>
  <c r="EW22" s="1"/>
  <c r="EK26"/>
  <c r="EW26" s="1"/>
  <c r="EK33"/>
  <c r="EW33" s="1"/>
  <c r="EK30"/>
  <c r="EW30" s="1"/>
  <c r="EK35"/>
  <c r="EW35" s="1"/>
  <c r="EK23"/>
  <c r="EW23" s="1"/>
  <c r="EI31"/>
  <c r="EK31" s="1"/>
  <c r="EW31" s="1"/>
  <c r="EI25"/>
  <c r="EK25" s="1"/>
  <c r="EW25" s="1"/>
  <c r="EI17"/>
  <c r="GC86"/>
  <c r="GC95"/>
  <c r="GI143"/>
  <c r="GI203"/>
  <c r="GC166"/>
  <c r="GB89"/>
  <c r="GC182"/>
  <c r="FU66"/>
  <c r="GB170"/>
  <c r="FN149"/>
  <c r="FV202"/>
  <c r="IR202" s="1"/>
  <c r="FO97"/>
  <c r="IR97" s="1"/>
  <c r="GJ73"/>
  <c r="GI173"/>
  <c r="FO201"/>
  <c r="IR201" s="1"/>
  <c r="GB43"/>
  <c r="IR43" s="1"/>
  <c r="GI187"/>
  <c r="FU42"/>
  <c r="FU46"/>
  <c r="GI185"/>
  <c r="FO129"/>
  <c r="GC106"/>
  <c r="FU154"/>
  <c r="IR154" s="1"/>
  <c r="GB193"/>
  <c r="GI64"/>
  <c r="FU180"/>
  <c r="FU172"/>
  <c r="IR172" s="1"/>
  <c r="FU55"/>
  <c r="FN107"/>
  <c r="IR107" s="1"/>
  <c r="GB86"/>
  <c r="GJ104"/>
  <c r="FV156"/>
  <c r="GJ143"/>
  <c r="FV185"/>
  <c r="GB182"/>
  <c r="GC181"/>
  <c r="FV66"/>
  <c r="GC170"/>
  <c r="FO149"/>
  <c r="IR149" s="1"/>
  <c r="GB60"/>
  <c r="GI73"/>
  <c r="GJ173"/>
  <c r="FV46"/>
  <c r="FO137"/>
  <c r="GJ185"/>
  <c r="GI149"/>
  <c r="GC193"/>
  <c r="FV172"/>
  <c r="FV55"/>
  <c r="FU109"/>
  <c r="GI104"/>
  <c r="FU156"/>
  <c r="FU185"/>
  <c r="FO88"/>
  <c r="GB130"/>
  <c r="IR130" s="1"/>
  <c r="GB181"/>
  <c r="IR181" s="1"/>
  <c r="GC60"/>
  <c r="FN137"/>
  <c r="GI171"/>
  <c r="IR171" s="1"/>
  <c r="FO93"/>
  <c r="GJ149"/>
  <c r="GB118"/>
  <c r="GJ152"/>
  <c r="IR152" s="1"/>
  <c r="FN141"/>
  <c r="FO65"/>
  <c r="IR65" s="1"/>
  <c r="FN55"/>
  <c r="AQ85" i="15"/>
  <c r="AR85"/>
  <c r="AR63"/>
  <c r="AQ63"/>
  <c r="AR83"/>
  <c r="AQ83"/>
  <c r="AQ81"/>
  <c r="AR81"/>
  <c r="AR183"/>
  <c r="AQ183"/>
  <c r="AQ174"/>
  <c r="AR174"/>
  <c r="AR51"/>
  <c r="AQ51"/>
  <c r="AR167"/>
  <c r="AQ167"/>
  <c r="AQ72"/>
  <c r="AR72"/>
  <c r="AQ136"/>
  <c r="AR136"/>
  <c r="AQ62"/>
  <c r="AR62"/>
  <c r="AQ93"/>
  <c r="AR93"/>
  <c r="AR47"/>
  <c r="AQ47"/>
  <c r="AQ150"/>
  <c r="AR150"/>
  <c r="AQ104"/>
  <c r="AR104"/>
  <c r="AR43"/>
  <c r="AQ43"/>
  <c r="AQ88"/>
  <c r="AR88"/>
  <c r="AQ202"/>
  <c r="AR202"/>
  <c r="AQ170"/>
  <c r="AR170"/>
  <c r="AQ145"/>
  <c r="AR145"/>
  <c r="AR119"/>
  <c r="AQ119"/>
  <c r="AQ125"/>
  <c r="AR125"/>
  <c r="AQ64"/>
  <c r="AR64"/>
  <c r="AR175"/>
  <c r="AQ175"/>
  <c r="AQ178"/>
  <c r="AR178"/>
  <c r="AQ102"/>
  <c r="AR102"/>
  <c r="AQ144"/>
  <c r="AR144"/>
  <c r="AR135"/>
  <c r="AQ135"/>
  <c r="AQ188"/>
  <c r="AR188"/>
  <c r="AQ181"/>
  <c r="AR181"/>
  <c r="AQ158"/>
  <c r="AR158"/>
  <c r="AR163"/>
  <c r="AQ163"/>
  <c r="AQ154"/>
  <c r="AR154"/>
  <c r="AQ108"/>
  <c r="AR108"/>
  <c r="AQ101"/>
  <c r="AR101"/>
  <c r="AQ173"/>
  <c r="AR173"/>
  <c r="AQ90"/>
  <c r="AR90"/>
  <c r="AQ73"/>
  <c r="AR73"/>
  <c r="AR147"/>
  <c r="AQ147"/>
  <c r="AQ118"/>
  <c r="AR118"/>
  <c r="AQ176"/>
  <c r="AR176"/>
  <c r="AR131"/>
  <c r="AQ131"/>
  <c r="AR191"/>
  <c r="AQ191"/>
  <c r="AR115"/>
  <c r="AQ115"/>
  <c r="AQ182"/>
  <c r="AR182"/>
  <c r="AQ152"/>
  <c r="AR152"/>
  <c r="AQ98"/>
  <c r="AR98"/>
  <c r="AQ76"/>
  <c r="AR76"/>
  <c r="AQ206"/>
  <c r="AR206"/>
  <c r="AQ44"/>
  <c r="AR44"/>
  <c r="AQ94"/>
  <c r="AR94"/>
  <c r="AR87"/>
  <c r="AQ87"/>
  <c r="AQ121"/>
  <c r="AR121"/>
  <c r="AQ180"/>
  <c r="AR180"/>
  <c r="AQ113"/>
  <c r="AR113"/>
  <c r="AQ52"/>
  <c r="AR52"/>
  <c r="AR75"/>
  <c r="AQ75"/>
  <c r="AQ146"/>
  <c r="AR146"/>
  <c r="AQ141"/>
  <c r="AR141"/>
  <c r="AQ116"/>
  <c r="AR116"/>
  <c r="AR95"/>
  <c r="AQ95"/>
  <c r="AQ205"/>
  <c r="AR205"/>
  <c r="AQ149"/>
  <c r="AR149"/>
  <c r="AQ114"/>
  <c r="AR114"/>
  <c r="AR91"/>
  <c r="AQ91"/>
  <c r="AQ134"/>
  <c r="AR134"/>
  <c r="AQ185"/>
  <c r="AR185"/>
  <c r="AQ58"/>
  <c r="AR58"/>
  <c r="AR139"/>
  <c r="AQ139"/>
  <c r="AQ162"/>
  <c r="AR162"/>
  <c r="AQ133"/>
  <c r="AR133"/>
  <c r="AR203"/>
  <c r="AQ203"/>
  <c r="AQ164"/>
  <c r="AR164"/>
  <c r="AR111"/>
  <c r="AQ111"/>
  <c r="AQ194"/>
  <c r="AR194"/>
  <c r="AQ105"/>
  <c r="AR105"/>
  <c r="AQ140"/>
  <c r="AR140"/>
  <c r="AQ126"/>
  <c r="AR126"/>
  <c r="AQ92"/>
  <c r="AR92"/>
  <c r="AR143"/>
  <c r="AQ143"/>
  <c r="AQ60"/>
  <c r="AR60"/>
  <c r="AQ204"/>
  <c r="AR204"/>
  <c r="AQ201"/>
  <c r="AR201"/>
  <c r="AQ190"/>
  <c r="AR190"/>
  <c r="AQ117"/>
  <c r="AR117"/>
  <c r="AQ160"/>
  <c r="AR160"/>
  <c r="AR159"/>
  <c r="AQ159"/>
  <c r="AQ106"/>
  <c r="AR106"/>
  <c r="AQ40"/>
  <c r="AR40"/>
  <c r="AQ124"/>
  <c r="AR124"/>
  <c r="AQ66"/>
  <c r="AR66"/>
  <c r="AQ89"/>
  <c r="AR89"/>
  <c r="AQ165"/>
  <c r="AR165"/>
  <c r="AQ200"/>
  <c r="AR200"/>
  <c r="AQ192"/>
  <c r="AR192"/>
  <c r="AQ122"/>
  <c r="AR122"/>
  <c r="AQ50"/>
  <c r="AR50"/>
  <c r="AQ132"/>
  <c r="AR132"/>
  <c r="AQ86"/>
  <c r="AR86"/>
  <c r="AQ157"/>
  <c r="AR157"/>
  <c r="AQ197"/>
  <c r="AR197"/>
  <c r="AR67"/>
  <c r="AQ67"/>
  <c r="AQ42"/>
  <c r="AR42"/>
  <c r="AQ54"/>
  <c r="AR54"/>
  <c r="AQ129"/>
  <c r="AR129"/>
  <c r="AR187"/>
  <c r="AQ187"/>
  <c r="AQ193"/>
  <c r="AR193"/>
  <c r="AR71"/>
  <c r="AQ71"/>
  <c r="AQ138"/>
  <c r="AR138"/>
  <c r="AQ49"/>
  <c r="AR49"/>
  <c r="AR99"/>
  <c r="AQ99"/>
  <c r="AQ110"/>
  <c r="AR110"/>
  <c r="AQ84"/>
  <c r="AR84"/>
  <c r="AR123"/>
  <c r="AQ123"/>
  <c r="AQ48"/>
  <c r="AR48"/>
  <c r="AQ128"/>
  <c r="AR128"/>
  <c r="AQ82"/>
  <c r="AR82"/>
  <c r="AQ156"/>
  <c r="AR156"/>
  <c r="AR171"/>
  <c r="AQ171"/>
  <c r="AQ109"/>
  <c r="AR109"/>
  <c r="AQ120"/>
  <c r="AR120"/>
  <c r="AR151"/>
  <c r="AQ151"/>
  <c r="AQ78"/>
  <c r="AR78"/>
  <c r="AQ177"/>
  <c r="AR177"/>
  <c r="AQ112"/>
  <c r="AR112"/>
  <c r="AQ46"/>
  <c r="AR46"/>
  <c r="AQ198"/>
  <c r="AR198"/>
  <c r="AQ130"/>
  <c r="AR130"/>
  <c r="AQ68"/>
  <c r="AR68"/>
  <c r="AR179"/>
  <c r="AQ179"/>
  <c r="AQ74"/>
  <c r="AR74"/>
  <c r="AR127"/>
  <c r="AQ127"/>
  <c r="AQ80"/>
  <c r="AR80"/>
  <c r="AQ70"/>
  <c r="AR70"/>
  <c r="AQ56"/>
  <c r="AR56"/>
  <c r="IQ175" i="9"/>
  <c r="IU175" s="1"/>
  <c r="IQ94"/>
  <c r="JA94" s="1"/>
  <c r="IQ72"/>
  <c r="JA72" s="1"/>
  <c r="GI38"/>
  <c r="GJ38"/>
  <c r="GC38"/>
  <c r="FO55"/>
  <c r="FN53"/>
  <c r="IR53" s="1"/>
  <c r="FO145"/>
  <c r="FO194"/>
  <c r="IQ57"/>
  <c r="IW57" s="1"/>
  <c r="IQ76"/>
  <c r="IT76" s="1"/>
  <c r="GP44"/>
  <c r="IR44" s="1"/>
  <c r="GP132"/>
  <c r="GJ200"/>
  <c r="GI200"/>
  <c r="GI126"/>
  <c r="GJ126"/>
  <c r="GJ156"/>
  <c r="GI156"/>
  <c r="GI116"/>
  <c r="GJ116"/>
  <c r="GI160"/>
  <c r="GJ160"/>
  <c r="GJ192"/>
  <c r="GI192"/>
  <c r="GI196"/>
  <c r="GJ196"/>
  <c r="GJ61"/>
  <c r="GI61"/>
  <c r="GJ119"/>
  <c r="GI119"/>
  <c r="GJ76"/>
  <c r="GI76"/>
  <c r="GI132"/>
  <c r="GJ132"/>
  <c r="GJ106"/>
  <c r="GI106"/>
  <c r="GI62"/>
  <c r="GJ62"/>
  <c r="AR199" i="15"/>
  <c r="IQ119" i="9"/>
  <c r="IY119" s="1"/>
  <c r="GC136"/>
  <c r="GB136"/>
  <c r="GC51"/>
  <c r="GB51"/>
  <c r="GB157"/>
  <c r="GC157"/>
  <c r="GB55"/>
  <c r="GC55"/>
  <c r="GC203"/>
  <c r="GB203"/>
  <c r="IQ189"/>
  <c r="IW189" s="1"/>
  <c r="IQ63"/>
  <c r="JA63" s="1"/>
  <c r="IQ140"/>
  <c r="IT140" s="1"/>
  <c r="FN194"/>
  <c r="IQ148"/>
  <c r="JA148" s="1"/>
  <c r="IQ124"/>
  <c r="IZ124" s="1"/>
  <c r="JB124" s="1"/>
  <c r="HG124" s="1"/>
  <c r="R120" i="11" s="1"/>
  <c r="GC187" i="9"/>
  <c r="GB187"/>
  <c r="GC195"/>
  <c r="GB195"/>
  <c r="GB191"/>
  <c r="GC191"/>
  <c r="IQ91"/>
  <c r="IU91" s="1"/>
  <c r="IQ116"/>
  <c r="IT116" s="1"/>
  <c r="IQ55"/>
  <c r="IU55" s="1"/>
  <c r="IQ121"/>
  <c r="JA121" s="1"/>
  <c r="IQ136"/>
  <c r="IZ136" s="1"/>
  <c r="JB136" s="1"/>
  <c r="HG136" s="1"/>
  <c r="R132" i="11" s="1"/>
  <c r="IQ163" i="9"/>
  <c r="IY163" s="1"/>
  <c r="IQ182"/>
  <c r="IV182" s="1"/>
  <c r="IQ188"/>
  <c r="IT188" s="1"/>
  <c r="FV100"/>
  <c r="FU100"/>
  <c r="FU160"/>
  <c r="FV160"/>
  <c r="IQ52"/>
  <c r="IT52" s="1"/>
  <c r="IQ110"/>
  <c r="JA110" s="1"/>
  <c r="IQ99"/>
  <c r="IY99" s="1"/>
  <c r="IQ103"/>
  <c r="JA103" s="1"/>
  <c r="IQ203"/>
  <c r="IY203" s="1"/>
  <c r="FN145"/>
  <c r="IQ139"/>
  <c r="IZ139" s="1"/>
  <c r="JB139" s="1"/>
  <c r="HG139" s="1"/>
  <c r="R135" i="11" s="1"/>
  <c r="IQ49" i="9"/>
  <c r="JA49" s="1"/>
  <c r="IQ152"/>
  <c r="IT152" s="1"/>
  <c r="IQ112"/>
  <c r="IT112" s="1"/>
  <c r="IQ96"/>
  <c r="IT96" s="1"/>
  <c r="IR112"/>
  <c r="IQ180"/>
  <c r="IT180" s="1"/>
  <c r="IQ64"/>
  <c r="IY64" s="1"/>
  <c r="IQ84"/>
  <c r="IZ84" s="1"/>
  <c r="JB84" s="1"/>
  <c r="HG84" s="1"/>
  <c r="R80" i="11" s="1"/>
  <c r="IQ195" i="9"/>
  <c r="IU195" s="1"/>
  <c r="IQ47"/>
  <c r="IZ47" s="1"/>
  <c r="JB47" s="1"/>
  <c r="HG47" s="1"/>
  <c r="R43" i="11" s="1"/>
  <c r="IR206" i="9"/>
  <c r="IR139"/>
  <c r="IR117"/>
  <c r="IR177"/>
  <c r="IR72"/>
  <c r="IR109"/>
  <c r="IR95"/>
  <c r="IR63"/>
  <c r="IR57"/>
  <c r="IR99"/>
  <c r="IR73"/>
  <c r="IR88"/>
  <c r="IR111"/>
  <c r="IR131"/>
  <c r="IR74"/>
  <c r="IR82"/>
  <c r="IR174"/>
  <c r="IR133"/>
  <c r="IR92"/>
  <c r="IR71"/>
  <c r="IR87"/>
  <c r="IR179"/>
  <c r="IR84"/>
  <c r="IR79"/>
  <c r="IR114"/>
  <c r="IR89"/>
  <c r="IR153"/>
  <c r="IR48"/>
  <c r="IR175"/>
  <c r="IR105"/>
  <c r="IR168"/>
  <c r="IR69"/>
  <c r="IR141"/>
  <c r="IR184"/>
  <c r="IR115"/>
  <c r="IR102"/>
  <c r="IR140"/>
  <c r="IR146"/>
  <c r="IR158"/>
  <c r="IR41"/>
  <c r="IR176"/>
  <c r="FL58"/>
  <c r="IR58" s="1"/>
  <c r="IR45"/>
  <c r="FL104"/>
  <c r="IR110"/>
  <c r="IR148"/>
  <c r="IR188"/>
  <c r="IR204"/>
  <c r="IR77"/>
  <c r="IR47"/>
  <c r="IR155"/>
  <c r="IR135"/>
  <c r="IQ90"/>
  <c r="JA90" s="1"/>
  <c r="IQ166"/>
  <c r="IY166" s="1"/>
  <c r="IR59"/>
  <c r="IR144"/>
  <c r="IR178"/>
  <c r="IR68"/>
  <c r="IR127"/>
  <c r="IR121"/>
  <c r="IR81"/>
  <c r="IR90"/>
  <c r="IR50"/>
  <c r="FK104"/>
  <c r="IR166"/>
  <c r="IR123"/>
  <c r="IR118"/>
  <c r="IR186"/>
  <c r="IR120"/>
  <c r="IR113"/>
  <c r="IR164"/>
  <c r="IR83"/>
  <c r="IQ144"/>
  <c r="IZ144" s="1"/>
  <c r="JB144" s="1"/>
  <c r="HG144" s="1"/>
  <c r="R140" i="11" s="1"/>
  <c r="IQ184" i="9"/>
  <c r="JA184" s="1"/>
  <c r="IR193"/>
  <c r="IR189"/>
  <c r="IR94"/>
  <c r="IR134"/>
  <c r="IR182"/>
  <c r="IR198"/>
  <c r="IR128"/>
  <c r="IR180"/>
  <c r="IR163"/>
  <c r="IR161"/>
  <c r="IR151"/>
  <c r="IR49"/>
  <c r="IR52"/>
  <c r="IR75"/>
  <c r="IR122"/>
  <c r="IR124"/>
  <c r="IR125"/>
  <c r="IR165"/>
  <c r="IR103"/>
  <c r="IR96"/>
  <c r="IR91"/>
  <c r="IR183"/>
  <c r="IR150"/>
  <c r="IR85"/>
  <c r="IR159"/>
  <c r="IR205"/>
  <c r="IR207"/>
  <c r="IR147"/>
  <c r="IR67"/>
  <c r="IQ127"/>
  <c r="JA127" s="1"/>
  <c r="IQ70"/>
  <c r="IR70"/>
  <c r="IQ66"/>
  <c r="IQ196"/>
  <c r="IQ173"/>
  <c r="IR173"/>
  <c r="IQ56"/>
  <c r="IQ78"/>
  <c r="IR78"/>
  <c r="IQ97"/>
  <c r="IQ149"/>
  <c r="IQ167"/>
  <c r="IR167"/>
  <c r="IQ156"/>
  <c r="IR40"/>
  <c r="IQ187"/>
  <c r="IQ143"/>
  <c r="IQ154"/>
  <c r="IQ60"/>
  <c r="IQ42"/>
  <c r="IR42"/>
  <c r="IQ62"/>
  <c r="IQ54"/>
  <c r="IR54"/>
  <c r="IQ169"/>
  <c r="IR169"/>
  <c r="IR162"/>
  <c r="IQ104"/>
  <c r="IQ138"/>
  <c r="IR138"/>
  <c r="IR80"/>
  <c r="IQ108"/>
  <c r="IR108"/>
  <c r="IQ170"/>
  <c r="IR170"/>
  <c r="IQ46"/>
  <c r="IR46"/>
  <c r="IQ98"/>
  <c r="IR98"/>
  <c r="IR197"/>
  <c r="IQ190"/>
  <c r="IR190"/>
  <c r="IR101"/>
  <c r="IQ192"/>
  <c r="IY192" s="1"/>
  <c r="IQ145"/>
  <c r="IY145" s="1"/>
  <c r="IQ142"/>
  <c r="JA142" s="1"/>
  <c r="IQ178"/>
  <c r="IZ178" s="1"/>
  <c r="JB178" s="1"/>
  <c r="HG178" s="1"/>
  <c r="R174" i="11" s="1"/>
  <c r="IQ102" i="9"/>
  <c r="IV102" s="1"/>
  <c r="IQ100"/>
  <c r="IT100" s="1"/>
  <c r="IQ141"/>
  <c r="IY141" s="1"/>
  <c r="IQ177"/>
  <c r="IY177" s="1"/>
  <c r="IQ65"/>
  <c r="IY65" s="1"/>
  <c r="IQ201"/>
  <c r="JA201" s="1"/>
  <c r="IQ109"/>
  <c r="IY109" s="1"/>
  <c r="IQ129"/>
  <c r="IW129" s="1"/>
  <c r="IQ161"/>
  <c r="IY161" s="1"/>
  <c r="IQ45"/>
  <c r="IY45" s="1"/>
  <c r="IQ88"/>
  <c r="IY88" s="1"/>
  <c r="IQ77"/>
  <c r="IW77" s="1"/>
  <c r="IQ206"/>
  <c r="IZ206" s="1"/>
  <c r="JB206" s="1"/>
  <c r="HG206" s="1"/>
  <c r="R202" i="11" s="1"/>
  <c r="IQ92" i="9"/>
  <c r="IT92" s="1"/>
  <c r="IQ153"/>
  <c r="JA153" s="1"/>
  <c r="IQ81"/>
  <c r="IY81" s="1"/>
  <c r="IQ194"/>
  <c r="IZ194" s="1"/>
  <c r="JB194" s="1"/>
  <c r="HG194" s="1"/>
  <c r="R190" i="11" s="1"/>
  <c r="IQ85" i="9"/>
  <c r="JA85" s="1"/>
  <c r="IQ137"/>
  <c r="JA137" s="1"/>
  <c r="IQ157"/>
  <c r="IZ157" s="1"/>
  <c r="JB157" s="1"/>
  <c r="HG157" s="1"/>
  <c r="R153" i="11" s="1"/>
  <c r="IQ53" i="9"/>
  <c r="IY53" s="1"/>
  <c r="IQ193"/>
  <c r="IZ193" s="1"/>
  <c r="JB193" s="1"/>
  <c r="HG193" s="1"/>
  <c r="R189" i="11" s="1"/>
  <c r="IQ174" i="9"/>
  <c r="IY174" s="1"/>
  <c r="IQ125"/>
  <c r="JA125" s="1"/>
  <c r="IQ69"/>
  <c r="JA69" s="1"/>
  <c r="IQ199"/>
  <c r="IZ199" s="1"/>
  <c r="JB199" s="1"/>
  <c r="HG199" s="1"/>
  <c r="R195" i="11" s="1"/>
  <c r="IQ41" i="9"/>
  <c r="JA41" s="1"/>
  <c r="IQ186"/>
  <c r="IV186" s="1"/>
  <c r="IQ89"/>
  <c r="JA89" s="1"/>
  <c r="IQ113"/>
  <c r="IZ113" s="1"/>
  <c r="JB113" s="1"/>
  <c r="HG113" s="1"/>
  <c r="R109" i="11" s="1"/>
  <c r="IQ133" i="9"/>
  <c r="JA133" s="1"/>
  <c r="IY146"/>
  <c r="JA146"/>
  <c r="IZ146"/>
  <c r="JB146" s="1"/>
  <c r="HG146" s="1"/>
  <c r="R142" i="11" s="1"/>
  <c r="IV146" i="9"/>
  <c r="IU146"/>
  <c r="IT146"/>
  <c r="IX146"/>
  <c r="IW146"/>
  <c r="IU182"/>
  <c r="IZ90"/>
  <c r="JB90" s="1"/>
  <c r="HG90" s="1"/>
  <c r="R86" i="11" s="1"/>
  <c r="IZ94" i="9"/>
  <c r="JB94" s="1"/>
  <c r="HG94" s="1"/>
  <c r="R90" i="11" s="1"/>
  <c r="JA204" i="9"/>
  <c r="IZ204"/>
  <c r="JB204" s="1"/>
  <c r="HG204" s="1"/>
  <c r="R200" i="11" s="1"/>
  <c r="IY204" i="9"/>
  <c r="IT204"/>
  <c r="IX204"/>
  <c r="IW204"/>
  <c r="IV204"/>
  <c r="IU204"/>
  <c r="JA140"/>
  <c r="IX140"/>
  <c r="IT184"/>
  <c r="IZ151"/>
  <c r="JB151" s="1"/>
  <c r="HG151" s="1"/>
  <c r="R147" i="11" s="1"/>
  <c r="IY151" i="9"/>
  <c r="JA151"/>
  <c r="IU151"/>
  <c r="IT151"/>
  <c r="IX151"/>
  <c r="IW151"/>
  <c r="IV151"/>
  <c r="IQ68"/>
  <c r="IQ43"/>
  <c r="IQ130"/>
  <c r="IQ111"/>
  <c r="IQ48"/>
  <c r="IQ105"/>
  <c r="IQ44"/>
  <c r="IQ171"/>
  <c r="IQ122"/>
  <c r="IQ160"/>
  <c r="IQ107"/>
  <c r="IQ147"/>
  <c r="IQ150"/>
  <c r="IQ51"/>
  <c r="IQ71"/>
  <c r="IQ86"/>
  <c r="IQ82"/>
  <c r="IQ168"/>
  <c r="IQ50"/>
  <c r="IQ207"/>
  <c r="IQ95"/>
  <c r="IQ118"/>
  <c r="IQ79"/>
  <c r="IQ176"/>
  <c r="IQ67"/>
  <c r="IQ117"/>
  <c r="IQ123"/>
  <c r="IQ128"/>
  <c r="IQ164"/>
  <c r="IQ155"/>
  <c r="IQ74"/>
  <c r="IQ158"/>
  <c r="IQ132"/>
  <c r="IQ73"/>
  <c r="IQ106"/>
  <c r="IQ183"/>
  <c r="IQ93"/>
  <c r="IQ61"/>
  <c r="IQ205"/>
  <c r="IQ83"/>
  <c r="IQ202"/>
  <c r="IQ191"/>
  <c r="IQ198"/>
  <c r="IQ120"/>
  <c r="IQ126"/>
  <c r="IQ75"/>
  <c r="IQ159"/>
  <c r="IQ135"/>
  <c r="IQ58"/>
  <c r="IQ59"/>
  <c r="IQ134"/>
  <c r="IQ165"/>
  <c r="IQ172"/>
  <c r="IQ181"/>
  <c r="IQ114"/>
  <c r="IQ179"/>
  <c r="IQ131"/>
  <c r="IQ115"/>
  <c r="IQ87"/>
  <c r="P3" i="8"/>
  <c r="IU103" i="9" l="1"/>
  <c r="IV47"/>
  <c r="IU184"/>
  <c r="JA152"/>
  <c r="IW140"/>
  <c r="IZ140"/>
  <c r="JB140" s="1"/>
  <c r="HG140" s="1"/>
  <c r="R136" i="11" s="1"/>
  <c r="IZ55" i="9"/>
  <c r="JB55" s="1"/>
  <c r="HG55" s="1"/>
  <c r="R51" i="11" s="1"/>
  <c r="BX51" s="1"/>
  <c r="IV140" i="9"/>
  <c r="IY140"/>
  <c r="IT55"/>
  <c r="IZ72"/>
  <c r="JB72" s="1"/>
  <c r="HG72" s="1"/>
  <c r="R68" i="11" s="1"/>
  <c r="BP68" s="1"/>
  <c r="IR60" i="9"/>
  <c r="IR185"/>
  <c r="IR66"/>
  <c r="IR143"/>
  <c r="IR64"/>
  <c r="IR129"/>
  <c r="IR86"/>
  <c r="S52" i="15"/>
  <c r="IU140" i="9"/>
  <c r="IW72"/>
  <c r="IY182"/>
  <c r="IR199"/>
  <c r="IR137"/>
  <c r="S196" i="15"/>
  <c r="S140"/>
  <c r="T138" i="12"/>
  <c r="S200" i="15"/>
  <c r="T198" i="12"/>
  <c r="S106" i="15"/>
  <c r="T104" i="12"/>
  <c r="IW148" i="9"/>
  <c r="IY152"/>
  <c r="O137" i="11"/>
  <c r="O103"/>
  <c r="S96" i="15"/>
  <c r="S54"/>
  <c r="T52" i="12"/>
  <c r="S92" i="15"/>
  <c r="T90" i="12"/>
  <c r="S148" i="15"/>
  <c r="T146" i="12"/>
  <c r="IU148" i="9"/>
  <c r="IZ203"/>
  <c r="JB203" s="1"/>
  <c r="HG203" s="1"/>
  <c r="R199" i="11" s="1"/>
  <c r="IX152" i="9"/>
  <c r="IR203"/>
  <c r="S87" i="15"/>
  <c r="S144"/>
  <c r="S75"/>
  <c r="T73" i="12"/>
  <c r="S126" i="15"/>
  <c r="T124" i="12"/>
  <c r="S198" i="15"/>
  <c r="T196" i="12"/>
  <c r="S62" i="15"/>
  <c r="T60" i="12"/>
  <c r="S128" i="15"/>
  <c r="T126" i="12"/>
  <c r="S64" i="15"/>
  <c r="T62" i="12"/>
  <c r="T80"/>
  <c r="IU47" i="9"/>
  <c r="IT203"/>
  <c r="IV152"/>
  <c r="IX94"/>
  <c r="IV144"/>
  <c r="IV116"/>
  <c r="IZ163"/>
  <c r="JB163" s="1"/>
  <c r="HG163" s="1"/>
  <c r="R159" i="11" s="1"/>
  <c r="BT159" s="1"/>
  <c r="IY94" i="9"/>
  <c r="IY63"/>
  <c r="IW163"/>
  <c r="IU63"/>
  <c r="IY124"/>
  <c r="IY110"/>
  <c r="IU94"/>
  <c r="IV124"/>
  <c r="JA116"/>
  <c r="IX121"/>
  <c r="IW49"/>
  <c r="IZ76"/>
  <c r="JB76" s="1"/>
  <c r="HG76" s="1"/>
  <c r="R72" i="11" s="1"/>
  <c r="BO72" s="1"/>
  <c r="IZ195" i="9"/>
  <c r="JB195" s="1"/>
  <c r="HG195" s="1"/>
  <c r="R191" i="11" s="1"/>
  <c r="BQ191" s="1"/>
  <c r="IW195" i="9"/>
  <c r="IX49"/>
  <c r="IY103"/>
  <c r="IW76"/>
  <c r="JA188"/>
  <c r="BT147" i="11"/>
  <c r="BS147"/>
  <c r="BR147"/>
  <c r="BP147"/>
  <c r="BO147"/>
  <c r="BN147"/>
  <c r="BU147"/>
  <c r="BY147"/>
  <c r="BQ147"/>
  <c r="BX147"/>
  <c r="BW147"/>
  <c r="BV147"/>
  <c r="BO190"/>
  <c r="BR190"/>
  <c r="BY190"/>
  <c r="BX190"/>
  <c r="BN190"/>
  <c r="BQ190"/>
  <c r="BT190"/>
  <c r="BW190"/>
  <c r="BU190"/>
  <c r="BP190"/>
  <c r="BS190"/>
  <c r="BV190"/>
  <c r="BT202"/>
  <c r="BW202"/>
  <c r="BU202"/>
  <c r="BP202"/>
  <c r="BS202"/>
  <c r="BV202"/>
  <c r="BO202"/>
  <c r="BR202"/>
  <c r="BY202"/>
  <c r="BX202"/>
  <c r="BN202"/>
  <c r="BQ202"/>
  <c r="BY140"/>
  <c r="BU140"/>
  <c r="BQ140"/>
  <c r="BX140"/>
  <c r="BW140"/>
  <c r="BV140"/>
  <c r="BT140"/>
  <c r="BS140"/>
  <c r="BR140"/>
  <c r="BP140"/>
  <c r="BO140"/>
  <c r="BN140"/>
  <c r="BT120"/>
  <c r="BS120"/>
  <c r="BR120"/>
  <c r="BP120"/>
  <c r="BO120"/>
  <c r="BN120"/>
  <c r="BU120"/>
  <c r="BQ120"/>
  <c r="BY120"/>
  <c r="BX120"/>
  <c r="BW120"/>
  <c r="BV120"/>
  <c r="BO51"/>
  <c r="BN51"/>
  <c r="BQ51"/>
  <c r="BT68"/>
  <c r="BS68"/>
  <c r="BY68"/>
  <c r="BT142"/>
  <c r="BS142"/>
  <c r="BR142"/>
  <c r="BP142"/>
  <c r="BO142"/>
  <c r="BN142"/>
  <c r="BU142"/>
  <c r="BY142"/>
  <c r="BQ142"/>
  <c r="BX142"/>
  <c r="BW142"/>
  <c r="BV142"/>
  <c r="BT109"/>
  <c r="BS109"/>
  <c r="BR109"/>
  <c r="BP109"/>
  <c r="BO109"/>
  <c r="BN109"/>
  <c r="BQ109"/>
  <c r="BY109"/>
  <c r="BU109"/>
  <c r="BX109"/>
  <c r="BW109"/>
  <c r="BV109"/>
  <c r="BT195"/>
  <c r="BW195"/>
  <c r="BY195"/>
  <c r="BP195"/>
  <c r="BS195"/>
  <c r="BV195"/>
  <c r="BO195"/>
  <c r="BR195"/>
  <c r="BQ195"/>
  <c r="BX195"/>
  <c r="BN195"/>
  <c r="BU195"/>
  <c r="BT189"/>
  <c r="BW189"/>
  <c r="BQ189"/>
  <c r="BP189"/>
  <c r="BS189"/>
  <c r="BV189"/>
  <c r="BO189"/>
  <c r="BR189"/>
  <c r="BY189"/>
  <c r="BX189"/>
  <c r="BN189"/>
  <c r="BU189"/>
  <c r="BT80"/>
  <c r="BW80"/>
  <c r="BQ80"/>
  <c r="BP80"/>
  <c r="BS80"/>
  <c r="BV80"/>
  <c r="BO80"/>
  <c r="BR80"/>
  <c r="BY80"/>
  <c r="BX80"/>
  <c r="BN80"/>
  <c r="BU80"/>
  <c r="BT135"/>
  <c r="BS135"/>
  <c r="BR135"/>
  <c r="BP135"/>
  <c r="BO135"/>
  <c r="BN135"/>
  <c r="BU135"/>
  <c r="BY135"/>
  <c r="BQ135"/>
  <c r="BX135"/>
  <c r="BW135"/>
  <c r="BV135"/>
  <c r="BT200"/>
  <c r="BW200"/>
  <c r="BY200"/>
  <c r="BP200"/>
  <c r="BS200"/>
  <c r="BV200"/>
  <c r="BO200"/>
  <c r="BR200"/>
  <c r="BU200"/>
  <c r="BX200"/>
  <c r="BN200"/>
  <c r="BQ200"/>
  <c r="BP159"/>
  <c r="BR159"/>
  <c r="BQ159"/>
  <c r="BT86"/>
  <c r="BW86"/>
  <c r="BY86"/>
  <c r="BP86"/>
  <c r="BS86"/>
  <c r="BV86"/>
  <c r="BO86"/>
  <c r="BR86"/>
  <c r="BQ86"/>
  <c r="BX86"/>
  <c r="BN86"/>
  <c r="BU86"/>
  <c r="BT199"/>
  <c r="BW199"/>
  <c r="BY199"/>
  <c r="BP199"/>
  <c r="BS199"/>
  <c r="BV199"/>
  <c r="BO199"/>
  <c r="BR199"/>
  <c r="BQ199"/>
  <c r="BX199"/>
  <c r="BN199"/>
  <c r="BU199"/>
  <c r="BT136"/>
  <c r="BS136"/>
  <c r="BR136"/>
  <c r="BP136"/>
  <c r="BO136"/>
  <c r="BN136"/>
  <c r="BY136"/>
  <c r="BU136"/>
  <c r="BQ136"/>
  <c r="BX136"/>
  <c r="BW136"/>
  <c r="BV136"/>
  <c r="BT90"/>
  <c r="BW90"/>
  <c r="BY90"/>
  <c r="BP90"/>
  <c r="BS90"/>
  <c r="BV90"/>
  <c r="BO90"/>
  <c r="BR90"/>
  <c r="BQ90"/>
  <c r="BX90"/>
  <c r="BN90"/>
  <c r="BU90"/>
  <c r="BN191"/>
  <c r="BT153"/>
  <c r="BS153"/>
  <c r="BR153"/>
  <c r="BP153"/>
  <c r="BO153"/>
  <c r="BN153"/>
  <c r="BU153"/>
  <c r="BY153"/>
  <c r="BQ153"/>
  <c r="BX153"/>
  <c r="BW153"/>
  <c r="BV153"/>
  <c r="BT174"/>
  <c r="BW174"/>
  <c r="BU174"/>
  <c r="BP174"/>
  <c r="BS174"/>
  <c r="BV174"/>
  <c r="BO174"/>
  <c r="BR174"/>
  <c r="BY174"/>
  <c r="BX174"/>
  <c r="BN174"/>
  <c r="BQ174"/>
  <c r="BT43"/>
  <c r="BW43"/>
  <c r="BQ43"/>
  <c r="BP43"/>
  <c r="BS43"/>
  <c r="BV43"/>
  <c r="BO43"/>
  <c r="BR43"/>
  <c r="BU43"/>
  <c r="BX43"/>
  <c r="BN43"/>
  <c r="BY43"/>
  <c r="BT132"/>
  <c r="BS132"/>
  <c r="BR132"/>
  <c r="BP132"/>
  <c r="BO132"/>
  <c r="BN132"/>
  <c r="BY132"/>
  <c r="BQ132"/>
  <c r="BU132"/>
  <c r="BX132"/>
  <c r="BW132"/>
  <c r="BV132"/>
  <c r="IZ110" i="9"/>
  <c r="JB110" s="1"/>
  <c r="HG110" s="1"/>
  <c r="R106" i="11" s="1"/>
  <c r="IZ121" i="9"/>
  <c r="JB121" s="1"/>
  <c r="HG121" s="1"/>
  <c r="R117" i="11" s="1"/>
  <c r="IZ64" i="9"/>
  <c r="JB64" s="1"/>
  <c r="HG64" s="1"/>
  <c r="R60" i="11" s="1"/>
  <c r="IV72" i="9"/>
  <c r="IY188"/>
  <c r="IU110"/>
  <c r="IY112"/>
  <c r="IW121"/>
  <c r="IT64"/>
  <c r="IU72"/>
  <c r="IT72"/>
  <c r="IX188"/>
  <c r="IV166"/>
  <c r="IY72"/>
  <c r="IX110"/>
  <c r="IX112"/>
  <c r="IU121"/>
  <c r="IX72"/>
  <c r="IV188"/>
  <c r="HF204"/>
  <c r="HF139"/>
  <c r="HF140"/>
  <c r="HF90"/>
  <c r="HF203"/>
  <c r="HF146"/>
  <c r="HF157"/>
  <c r="HF178"/>
  <c r="HF144"/>
  <c r="IY96"/>
  <c r="HF136"/>
  <c r="HF151"/>
  <c r="HF94"/>
  <c r="HF194"/>
  <c r="HF206"/>
  <c r="HF47"/>
  <c r="HF124"/>
  <c r="IX139"/>
  <c r="IV96"/>
  <c r="HF84"/>
  <c r="HF113"/>
  <c r="HH113" s="1"/>
  <c r="HF199"/>
  <c r="HF193"/>
  <c r="HH193" s="1"/>
  <c r="IV139"/>
  <c r="IX90"/>
  <c r="IU127"/>
  <c r="IT163"/>
  <c r="JA112"/>
  <c r="IU64"/>
  <c r="IV63"/>
  <c r="IV103"/>
  <c r="IT148"/>
  <c r="IU139"/>
  <c r="IX116"/>
  <c r="IT195"/>
  <c r="JA163"/>
  <c r="IV112"/>
  <c r="IW64"/>
  <c r="IX63"/>
  <c r="IX103"/>
  <c r="IZ148"/>
  <c r="JB148" s="1"/>
  <c r="HG148" s="1"/>
  <c r="R144" i="11" s="1"/>
  <c r="IY139" i="9"/>
  <c r="IY116"/>
  <c r="JA195"/>
  <c r="IV84"/>
  <c r="IZ175"/>
  <c r="JB175" s="1"/>
  <c r="HG175" s="1"/>
  <c r="R171" i="11" s="1"/>
  <c r="IY144" i="9"/>
  <c r="IW166"/>
  <c r="IX144"/>
  <c r="JA144"/>
  <c r="IR106"/>
  <c r="IR100"/>
  <c r="IR136"/>
  <c r="IR126"/>
  <c r="IU144"/>
  <c r="IT144"/>
  <c r="IW110"/>
  <c r="IV110"/>
  <c r="IV163"/>
  <c r="IU163"/>
  <c r="IW94"/>
  <c r="IV94"/>
  <c r="IW112"/>
  <c r="IZ112"/>
  <c r="JB112" s="1"/>
  <c r="HG112" s="1"/>
  <c r="R108" i="11" s="1"/>
  <c r="IT166" i="9"/>
  <c r="IT121"/>
  <c r="IY121"/>
  <c r="IX64"/>
  <c r="JA64"/>
  <c r="IT63"/>
  <c r="IZ63"/>
  <c r="JB63" s="1"/>
  <c r="HG63" s="1"/>
  <c r="R59" i="11" s="1"/>
  <c r="IT103" i="9"/>
  <c r="IZ103"/>
  <c r="JB103" s="1"/>
  <c r="HG103" s="1"/>
  <c r="R99" i="11" s="1"/>
  <c r="IV148" i="9"/>
  <c r="IY148"/>
  <c r="IW139"/>
  <c r="JA139"/>
  <c r="IW188"/>
  <c r="IZ188"/>
  <c r="JB188" s="1"/>
  <c r="HG188" s="1"/>
  <c r="R184" i="11" s="1"/>
  <c r="IV127" i="9"/>
  <c r="IW116"/>
  <c r="IZ116"/>
  <c r="JB116" s="1"/>
  <c r="HG116" s="1"/>
  <c r="R112" i="11" s="1"/>
  <c r="IX195" i="9"/>
  <c r="IY195"/>
  <c r="IW152"/>
  <c r="IZ152"/>
  <c r="JB152" s="1"/>
  <c r="HG152" s="1"/>
  <c r="R148" i="11" s="1"/>
  <c r="IR187" i="9"/>
  <c r="IR196"/>
  <c r="IR156"/>
  <c r="IQ200"/>
  <c r="IZ200" s="1"/>
  <c r="JB200" s="1"/>
  <c r="HG200" s="1"/>
  <c r="R196" i="11" s="1"/>
  <c r="IW144" i="9"/>
  <c r="IT110"/>
  <c r="IX163"/>
  <c r="IT94"/>
  <c r="IU112"/>
  <c r="JA166"/>
  <c r="IV121"/>
  <c r="IV64"/>
  <c r="IW63"/>
  <c r="IW103"/>
  <c r="IX148"/>
  <c r="IT139"/>
  <c r="IU188"/>
  <c r="IU116"/>
  <c r="IV195"/>
  <c r="IU152"/>
  <c r="IX47"/>
  <c r="IW184"/>
  <c r="IU49"/>
  <c r="IW55"/>
  <c r="JA180"/>
  <c r="JA124"/>
  <c r="IY90"/>
  <c r="IW203"/>
  <c r="IX182"/>
  <c r="IZ52"/>
  <c r="JB52" s="1"/>
  <c r="HG52" s="1"/>
  <c r="R48" i="11" s="1"/>
  <c r="IX96" i="9"/>
  <c r="IY47"/>
  <c r="IZ184"/>
  <c r="JB184" s="1"/>
  <c r="HG184" s="1"/>
  <c r="R180" i="11" s="1"/>
  <c r="IZ49" i="9"/>
  <c r="JB49" s="1"/>
  <c r="HG49" s="1"/>
  <c r="R45" i="11" s="1"/>
  <c r="JA55" i="9"/>
  <c r="IX124"/>
  <c r="IU90"/>
  <c r="JA203"/>
  <c r="IZ182"/>
  <c r="JB182" s="1"/>
  <c r="HG182" s="1"/>
  <c r="R178" i="11" s="1"/>
  <c r="JA96" i="9"/>
  <c r="IT136"/>
  <c r="JA57"/>
  <c r="IW47"/>
  <c r="JA47"/>
  <c r="IV184"/>
  <c r="IY184"/>
  <c r="IT49"/>
  <c r="IY49"/>
  <c r="IY84"/>
  <c r="IX55"/>
  <c r="IY55"/>
  <c r="IU124"/>
  <c r="IT124"/>
  <c r="IW90"/>
  <c r="IV90"/>
  <c r="IV203"/>
  <c r="IU203"/>
  <c r="IV57"/>
  <c r="IT182"/>
  <c r="JA182"/>
  <c r="IW96"/>
  <c r="IZ96"/>
  <c r="JB96" s="1"/>
  <c r="HG96" s="1"/>
  <c r="R92" i="11" s="1"/>
  <c r="IT47" i="9"/>
  <c r="IX184"/>
  <c r="IV49"/>
  <c r="IV55"/>
  <c r="IX180"/>
  <c r="IW124"/>
  <c r="IT90"/>
  <c r="IT175"/>
  <c r="IX203"/>
  <c r="IW182"/>
  <c r="IW52"/>
  <c r="IU96"/>
  <c r="IU119"/>
  <c r="IR191"/>
  <c r="IW89"/>
  <c r="IU84"/>
  <c r="IT84"/>
  <c r="IU136"/>
  <c r="IW180"/>
  <c r="IZ180"/>
  <c r="JB180" s="1"/>
  <c r="HG180" s="1"/>
  <c r="R176" i="11" s="1"/>
  <c r="IX175" i="9"/>
  <c r="IY175"/>
  <c r="IU57"/>
  <c r="IZ57"/>
  <c r="JB57" s="1"/>
  <c r="HG57" s="1"/>
  <c r="R53" i="11" s="1"/>
  <c r="IV119" i="9"/>
  <c r="IU99"/>
  <c r="JA84"/>
  <c r="IY91"/>
  <c r="IX84"/>
  <c r="IV180"/>
  <c r="IY180"/>
  <c r="IZ189"/>
  <c r="JB189" s="1"/>
  <c r="HG189" s="1"/>
  <c r="R185" i="11" s="1"/>
  <c r="IW175" i="9"/>
  <c r="JA175"/>
  <c r="IT57"/>
  <c r="IY57"/>
  <c r="IV99"/>
  <c r="IW84"/>
  <c r="IU180"/>
  <c r="IU189"/>
  <c r="IV175"/>
  <c r="IX57"/>
  <c r="IX91"/>
  <c r="IR104"/>
  <c r="IW174"/>
  <c r="IX166"/>
  <c r="IZ166"/>
  <c r="JB166" s="1"/>
  <c r="HG166" s="1"/>
  <c r="R162" i="11" s="1"/>
  <c r="IU166" i="9"/>
  <c r="IR132"/>
  <c r="IR61"/>
  <c r="IR195"/>
  <c r="IR76"/>
  <c r="IR192"/>
  <c r="IR116"/>
  <c r="IX137"/>
  <c r="IR157"/>
  <c r="IR51"/>
  <c r="JA145"/>
  <c r="IR160"/>
  <c r="IR194"/>
  <c r="IR55"/>
  <c r="IR62"/>
  <c r="IR200"/>
  <c r="IX133"/>
  <c r="IW153"/>
  <c r="IR119"/>
  <c r="IR145"/>
  <c r="IW99"/>
  <c r="JA99"/>
  <c r="IV136"/>
  <c r="IY136"/>
  <c r="IV189"/>
  <c r="JA189"/>
  <c r="IX76"/>
  <c r="JA76"/>
  <c r="IT91"/>
  <c r="IZ91"/>
  <c r="JB91" s="1"/>
  <c r="HG91" s="1"/>
  <c r="R87" i="11" s="1"/>
  <c r="IX52" i="9"/>
  <c r="JA52"/>
  <c r="IW119"/>
  <c r="JA119"/>
  <c r="IT99"/>
  <c r="IZ99"/>
  <c r="JB99" s="1"/>
  <c r="HG99" s="1"/>
  <c r="R95" i="11" s="1"/>
  <c r="IX136" i="9"/>
  <c r="JA136"/>
  <c r="IT189"/>
  <c r="IY189"/>
  <c r="IV76"/>
  <c r="IY76"/>
  <c r="IW91"/>
  <c r="JA91"/>
  <c r="IV52"/>
  <c r="IY52"/>
  <c r="IT119"/>
  <c r="IZ119"/>
  <c r="JB119" s="1"/>
  <c r="HG119" s="1"/>
  <c r="R115" i="11" s="1"/>
  <c r="IU125" i="9"/>
  <c r="IX99"/>
  <c r="IW136"/>
  <c r="IX189"/>
  <c r="IU76"/>
  <c r="IV91"/>
  <c r="IU52"/>
  <c r="IX119"/>
  <c r="AQ100" i="15"/>
  <c r="AR100"/>
  <c r="AQ196"/>
  <c r="AR196"/>
  <c r="AQ45"/>
  <c r="AR45"/>
  <c r="AQ184"/>
  <c r="AR184"/>
  <c r="AR79"/>
  <c r="AQ79"/>
  <c r="AR103"/>
  <c r="AQ103"/>
  <c r="AQ161"/>
  <c r="AR161"/>
  <c r="AQ53"/>
  <c r="AR53"/>
  <c r="AQ41"/>
  <c r="AR41"/>
  <c r="AQ153"/>
  <c r="AR153"/>
  <c r="AQ186"/>
  <c r="AR186"/>
  <c r="IQ40" i="9"/>
  <c r="IX40" s="1"/>
  <c r="AR39" i="15"/>
  <c r="AQ39"/>
  <c r="AQ166"/>
  <c r="AR166"/>
  <c r="AQ96"/>
  <c r="AR96"/>
  <c r="AR55"/>
  <c r="AQ55"/>
  <c r="AR195"/>
  <c r="AQ195"/>
  <c r="AQ69"/>
  <c r="AR69"/>
  <c r="IT127" i="9"/>
  <c r="IZ127"/>
  <c r="JB127" s="1"/>
  <c r="HG127" s="1"/>
  <c r="R123" i="11" s="1"/>
  <c r="AQ199" i="15"/>
  <c r="AQ189"/>
  <c r="AR189"/>
  <c r="AQ97"/>
  <c r="AR97"/>
  <c r="AQ169"/>
  <c r="AR169"/>
  <c r="AR107"/>
  <c r="AQ107"/>
  <c r="AQ137"/>
  <c r="AR137"/>
  <c r="AQ57"/>
  <c r="AR57"/>
  <c r="AQ168"/>
  <c r="AR168"/>
  <c r="AQ61"/>
  <c r="AR61"/>
  <c r="AR59"/>
  <c r="AQ59"/>
  <c r="AQ142"/>
  <c r="AR142"/>
  <c r="IQ197" i="9"/>
  <c r="JA197" s="1"/>
  <c r="IQ185"/>
  <c r="IY185" s="1"/>
  <c r="IQ101"/>
  <c r="IZ101" s="1"/>
  <c r="JB101" s="1"/>
  <c r="HG101" s="1"/>
  <c r="R97" i="11" s="1"/>
  <c r="IQ162" i="9"/>
  <c r="IZ162" s="1"/>
  <c r="JB162" s="1"/>
  <c r="HG162" s="1"/>
  <c r="R158" i="11" s="1"/>
  <c r="IX127" i="9"/>
  <c r="IY127"/>
  <c r="AR155" i="15"/>
  <c r="AQ155"/>
  <c r="AQ148"/>
  <c r="AR148"/>
  <c r="AQ77"/>
  <c r="AR77"/>
  <c r="AQ172"/>
  <c r="AR172"/>
  <c r="AQ65"/>
  <c r="AR65"/>
  <c r="IQ80" i="9"/>
  <c r="JA80" s="1"/>
  <c r="IW127"/>
  <c r="X210"/>
  <c r="A6" i="6" s="1"/>
  <c r="JA186" i="9"/>
  <c r="IW113"/>
  <c r="JA199"/>
  <c r="IX186"/>
  <c r="IV199"/>
  <c r="IY125"/>
  <c r="IV81"/>
  <c r="IU186"/>
  <c r="IX125"/>
  <c r="IW157"/>
  <c r="IY77"/>
  <c r="IT113"/>
  <c r="IX199"/>
  <c r="JA157"/>
  <c r="IZ81"/>
  <c r="JB81" s="1"/>
  <c r="HG81" s="1"/>
  <c r="R77" i="11" s="1"/>
  <c r="IU129" i="9"/>
  <c r="JA113"/>
  <c r="IX157"/>
  <c r="IX85"/>
  <c r="JA92"/>
  <c r="IV113"/>
  <c r="IZ186"/>
  <c r="JB186" s="1"/>
  <c r="HG186" s="1"/>
  <c r="R182" i="11" s="1"/>
  <c r="IW199" i="9"/>
  <c r="IY199"/>
  <c r="IW125"/>
  <c r="JA193"/>
  <c r="IY157"/>
  <c r="IX81"/>
  <c r="JA77"/>
  <c r="IX113"/>
  <c r="IY113"/>
  <c r="IT186"/>
  <c r="IY186"/>
  <c r="IU199"/>
  <c r="IT125"/>
  <c r="IZ125"/>
  <c r="JB125" s="1"/>
  <c r="HG125" s="1"/>
  <c r="R121" i="11" s="1"/>
  <c r="IT157" i="9"/>
  <c r="IW81"/>
  <c r="IU77"/>
  <c r="JA129"/>
  <c r="IV141"/>
  <c r="IW85"/>
  <c r="IX92"/>
  <c r="IV77"/>
  <c r="IZ45"/>
  <c r="JB45" s="1"/>
  <c r="HG45" s="1"/>
  <c r="R41" i="11" s="1"/>
  <c r="IU201" i="9"/>
  <c r="IY100"/>
  <c r="IU113"/>
  <c r="IT199"/>
  <c r="IV193"/>
  <c r="IV157"/>
  <c r="IU81"/>
  <c r="JA81"/>
  <c r="IT77"/>
  <c r="IZ77"/>
  <c r="JB77" s="1"/>
  <c r="HG77" s="1"/>
  <c r="R73" i="11" s="1"/>
  <c r="IY129" i="9"/>
  <c r="IU142"/>
  <c r="IU65"/>
  <c r="IT193"/>
  <c r="IU85"/>
  <c r="IY92"/>
  <c r="IU45"/>
  <c r="IV100"/>
  <c r="IY142"/>
  <c r="IY193"/>
  <c r="IZ85"/>
  <c r="JB85" s="1"/>
  <c r="HG85" s="1"/>
  <c r="R81" i="11" s="1"/>
  <c r="IV92" i="9"/>
  <c r="IZ201"/>
  <c r="JB201" s="1"/>
  <c r="HG201" s="1"/>
  <c r="R197" i="11" s="1"/>
  <c r="IZ65" i="9"/>
  <c r="JB65" s="1"/>
  <c r="HG65" s="1"/>
  <c r="R61" i="11" s="1"/>
  <c r="IX193" i="9"/>
  <c r="IW193"/>
  <c r="IT85"/>
  <c r="IY85"/>
  <c r="IW92"/>
  <c r="IZ92"/>
  <c r="JB92" s="1"/>
  <c r="HG92" s="1"/>
  <c r="R88" i="11" s="1"/>
  <c r="IX45" i="9"/>
  <c r="IT129"/>
  <c r="IZ129"/>
  <c r="JB129" s="1"/>
  <c r="HG129" s="1"/>
  <c r="R125" i="11" s="1"/>
  <c r="IW201" i="9"/>
  <c r="IX65"/>
  <c r="IX141"/>
  <c r="IX100"/>
  <c r="IX142"/>
  <c r="IU145"/>
  <c r="IU193"/>
  <c r="IV85"/>
  <c r="IU92"/>
  <c r="IW45"/>
  <c r="IV129"/>
  <c r="IX201"/>
  <c r="IW65"/>
  <c r="JA141"/>
  <c r="JA100"/>
  <c r="IZ142"/>
  <c r="JB142" s="1"/>
  <c r="HG142" s="1"/>
  <c r="R138" i="11" s="1"/>
  <c r="IV45" i="9"/>
  <c r="JA45"/>
  <c r="IT201"/>
  <c r="IY201"/>
  <c r="IV65"/>
  <c r="JA65"/>
  <c r="IZ141"/>
  <c r="JB141" s="1"/>
  <c r="HG141" s="1"/>
  <c r="R137" i="11" s="1"/>
  <c r="IW100" i="9"/>
  <c r="IZ100"/>
  <c r="JB100" s="1"/>
  <c r="HG100" s="1"/>
  <c r="R96" i="11" s="1"/>
  <c r="IW142" i="9"/>
  <c r="IV142"/>
  <c r="IX145"/>
  <c r="IT45"/>
  <c r="IV201"/>
  <c r="IT65"/>
  <c r="IU141"/>
  <c r="IU100"/>
  <c r="IT142"/>
  <c r="IZ145"/>
  <c r="JB145" s="1"/>
  <c r="HG145" s="1"/>
  <c r="R141" i="11" s="1"/>
  <c r="IW186" i="9"/>
  <c r="IT41"/>
  <c r="IV125"/>
  <c r="IU157"/>
  <c r="IT81"/>
  <c r="IX77"/>
  <c r="IX129"/>
  <c r="IW109"/>
  <c r="IW141"/>
  <c r="IW145"/>
  <c r="IV145"/>
  <c r="IT141"/>
  <c r="IT145"/>
  <c r="IX41"/>
  <c r="IV174"/>
  <c r="IU88"/>
  <c r="IW133"/>
  <c r="IW69"/>
  <c r="IW194"/>
  <c r="IW177"/>
  <c r="IX89"/>
  <c r="IX69"/>
  <c r="IX53"/>
  <c r="IX153"/>
  <c r="IX161"/>
  <c r="IW178"/>
  <c r="IW137"/>
  <c r="IW206"/>
  <c r="IU133"/>
  <c r="IU89"/>
  <c r="IV41"/>
  <c r="IU69"/>
  <c r="IT174"/>
  <c r="IW53"/>
  <c r="IZ137"/>
  <c r="JB137" s="1"/>
  <c r="HG137" s="1"/>
  <c r="R133" i="11" s="1"/>
  <c r="IU153" i="9"/>
  <c r="IV206"/>
  <c r="IX109"/>
  <c r="IU192"/>
  <c r="IZ133"/>
  <c r="JB133" s="1"/>
  <c r="HG133" s="1"/>
  <c r="R129" i="11" s="1"/>
  <c r="IZ89" i="9"/>
  <c r="JB89" s="1"/>
  <c r="HG89" s="1"/>
  <c r="R85" i="11" s="1"/>
  <c r="IZ41" i="9"/>
  <c r="JB41" s="1"/>
  <c r="HG41" s="1"/>
  <c r="R37" i="11" s="1"/>
  <c r="IZ69" i="9"/>
  <c r="JB69" s="1"/>
  <c r="HG69" s="1"/>
  <c r="R65" i="11" s="1"/>
  <c r="JA174" i="9"/>
  <c r="IU137"/>
  <c r="IV194"/>
  <c r="IZ153"/>
  <c r="JB153" s="1"/>
  <c r="HG153" s="1"/>
  <c r="R149" i="11" s="1"/>
  <c r="IT88" i="9"/>
  <c r="IT133"/>
  <c r="IY133"/>
  <c r="IT89"/>
  <c r="IY89"/>
  <c r="IU41"/>
  <c r="IY41"/>
  <c r="IT69"/>
  <c r="IY69"/>
  <c r="IX174"/>
  <c r="IZ174"/>
  <c r="JB174" s="1"/>
  <c r="HG174" s="1"/>
  <c r="R170" i="11" s="1"/>
  <c r="IU53" i="9"/>
  <c r="IT137"/>
  <c r="IY137"/>
  <c r="IT194"/>
  <c r="IT153"/>
  <c r="IY153"/>
  <c r="IT206"/>
  <c r="IW88"/>
  <c r="IW161"/>
  <c r="IZ109"/>
  <c r="JB109" s="1"/>
  <c r="HG109" s="1"/>
  <c r="R105" i="11" s="1"/>
  <c r="IV178" i="9"/>
  <c r="IV133"/>
  <c r="IV89"/>
  <c r="IW41"/>
  <c r="IV69"/>
  <c r="IU174"/>
  <c r="IZ53"/>
  <c r="JB53" s="1"/>
  <c r="HG53" s="1"/>
  <c r="R49" i="11" s="1"/>
  <c r="IV137" i="9"/>
  <c r="JA194"/>
  <c r="IV153"/>
  <c r="JA206"/>
  <c r="IZ88"/>
  <c r="JB88" s="1"/>
  <c r="HG88" s="1"/>
  <c r="R84" i="11" s="1"/>
  <c r="IU109" i="9"/>
  <c r="IX177"/>
  <c r="IT102"/>
  <c r="IT192"/>
  <c r="IV53"/>
  <c r="JA53"/>
  <c r="IU194"/>
  <c r="IY194"/>
  <c r="IU206"/>
  <c r="IY206"/>
  <c r="IX88"/>
  <c r="JA88"/>
  <c r="IZ161"/>
  <c r="JB161" s="1"/>
  <c r="HG161" s="1"/>
  <c r="R157" i="11" s="1"/>
  <c r="IV109" i="9"/>
  <c r="JA109"/>
  <c r="IU177"/>
  <c r="JA102"/>
  <c r="JA178"/>
  <c r="IZ192"/>
  <c r="JB192" s="1"/>
  <c r="HG192" s="1"/>
  <c r="R188" i="11" s="1"/>
  <c r="IT53" i="9"/>
  <c r="IX194"/>
  <c r="IX206"/>
  <c r="IV88"/>
  <c r="IU161"/>
  <c r="IT109"/>
  <c r="IZ177"/>
  <c r="JB177" s="1"/>
  <c r="HG177" s="1"/>
  <c r="R173" i="11" s="1"/>
  <c r="IT178" i="9"/>
  <c r="IW192"/>
  <c r="IV161"/>
  <c r="JA161"/>
  <c r="IV177"/>
  <c r="JA177"/>
  <c r="IU102"/>
  <c r="IY102"/>
  <c r="IU178"/>
  <c r="IY178"/>
  <c r="IX192"/>
  <c r="JA192"/>
  <c r="IT161"/>
  <c r="IT177"/>
  <c r="IX102"/>
  <c r="IZ102"/>
  <c r="JB102" s="1"/>
  <c r="HG102" s="1"/>
  <c r="R98" i="11" s="1"/>
  <c r="IX178" i="9"/>
  <c r="IV192"/>
  <c r="IW102"/>
  <c r="IZ87"/>
  <c r="JB87" s="1"/>
  <c r="HG87" s="1"/>
  <c r="R83" i="11" s="1"/>
  <c r="IY87" i="9"/>
  <c r="JA87"/>
  <c r="IU87"/>
  <c r="IT87"/>
  <c r="IX87"/>
  <c r="IW87"/>
  <c r="IV87"/>
  <c r="IZ179"/>
  <c r="JB179" s="1"/>
  <c r="HG179" s="1"/>
  <c r="R175" i="11" s="1"/>
  <c r="IY179" i="9"/>
  <c r="JA179"/>
  <c r="IU179"/>
  <c r="IT179"/>
  <c r="IX179"/>
  <c r="IW179"/>
  <c r="IV179"/>
  <c r="JA181"/>
  <c r="IZ181"/>
  <c r="JB181" s="1"/>
  <c r="HG181" s="1"/>
  <c r="R177" i="11" s="1"/>
  <c r="IY181" i="9"/>
  <c r="IW181"/>
  <c r="IV181"/>
  <c r="IU181"/>
  <c r="IT181"/>
  <c r="IX181"/>
  <c r="IY134"/>
  <c r="JA134"/>
  <c r="IZ134"/>
  <c r="JB134" s="1"/>
  <c r="HG134" s="1"/>
  <c r="R130" i="11" s="1"/>
  <c r="IV134" i="9"/>
  <c r="IU134"/>
  <c r="IT134"/>
  <c r="IX134"/>
  <c r="IW134"/>
  <c r="IY66"/>
  <c r="JA66"/>
  <c r="IZ66"/>
  <c r="JB66" s="1"/>
  <c r="HG66" s="1"/>
  <c r="R62" i="11" s="1"/>
  <c r="IV66" i="9"/>
  <c r="IU66"/>
  <c r="IT66"/>
  <c r="IX66"/>
  <c r="IW66"/>
  <c r="IZ135"/>
  <c r="JB135" s="1"/>
  <c r="HG135" s="1"/>
  <c r="R131" i="11" s="1"/>
  <c r="IY135" i="9"/>
  <c r="JA135"/>
  <c r="IU135"/>
  <c r="IT135"/>
  <c r="IX135"/>
  <c r="IW135"/>
  <c r="IV135"/>
  <c r="JA120"/>
  <c r="IZ120"/>
  <c r="JB120" s="1"/>
  <c r="HG120" s="1"/>
  <c r="R116" i="11" s="1"/>
  <c r="IY120" i="9"/>
  <c r="IT120"/>
  <c r="IX120"/>
  <c r="IW120"/>
  <c r="IV120"/>
  <c r="IU120"/>
  <c r="IZ83"/>
  <c r="JB83" s="1"/>
  <c r="HG83" s="1"/>
  <c r="R79" i="11" s="1"/>
  <c r="IY83" i="9"/>
  <c r="JA83"/>
  <c r="IU83"/>
  <c r="IT83"/>
  <c r="IX83"/>
  <c r="IW83"/>
  <c r="IV83"/>
  <c r="IZ183"/>
  <c r="JB183" s="1"/>
  <c r="HG183" s="1"/>
  <c r="R179" i="11" s="1"/>
  <c r="IY183" i="9"/>
  <c r="JA183"/>
  <c r="IU183"/>
  <c r="IT183"/>
  <c r="IX183"/>
  <c r="IW183"/>
  <c r="IV183"/>
  <c r="JA149"/>
  <c r="IZ149"/>
  <c r="JB149" s="1"/>
  <c r="HG149" s="1"/>
  <c r="R145" i="11" s="1"/>
  <c r="IY149" i="9"/>
  <c r="IW149"/>
  <c r="IV149"/>
  <c r="IU149"/>
  <c r="IT149"/>
  <c r="IX149"/>
  <c r="IZ123"/>
  <c r="JB123" s="1"/>
  <c r="HG123" s="1"/>
  <c r="R119" i="11" s="1"/>
  <c r="IY123" i="9"/>
  <c r="JA123"/>
  <c r="IU123"/>
  <c r="IT123"/>
  <c r="IX123"/>
  <c r="IW123"/>
  <c r="IV123"/>
  <c r="IZ79"/>
  <c r="JB79" s="1"/>
  <c r="HG79" s="1"/>
  <c r="R75" i="11" s="1"/>
  <c r="IY79" i="9"/>
  <c r="JA79"/>
  <c r="IU79"/>
  <c r="IT79"/>
  <c r="IX79"/>
  <c r="IW79"/>
  <c r="IV79"/>
  <c r="IY86"/>
  <c r="JA86"/>
  <c r="IZ86"/>
  <c r="JB86" s="1"/>
  <c r="HG86" s="1"/>
  <c r="R82" i="11" s="1"/>
  <c r="IV86" i="9"/>
  <c r="IU86"/>
  <c r="IT86"/>
  <c r="IX86"/>
  <c r="IW86"/>
  <c r="IY46"/>
  <c r="JA46"/>
  <c r="IZ46"/>
  <c r="JB46" s="1"/>
  <c r="HG46" s="1"/>
  <c r="R42" i="11" s="1"/>
  <c r="IV46" i="9"/>
  <c r="IU46"/>
  <c r="IT46"/>
  <c r="IX46"/>
  <c r="IW46"/>
  <c r="JA60"/>
  <c r="IZ60"/>
  <c r="JB60" s="1"/>
  <c r="HG60" s="1"/>
  <c r="R56" i="11" s="1"/>
  <c r="IY60" i="9"/>
  <c r="IT60"/>
  <c r="IX60"/>
  <c r="IW60"/>
  <c r="IV60"/>
  <c r="IU60"/>
  <c r="IZ147"/>
  <c r="JB147" s="1"/>
  <c r="HG147" s="1"/>
  <c r="R143" i="11" s="1"/>
  <c r="IY147" i="9"/>
  <c r="JA147"/>
  <c r="IU147"/>
  <c r="IT147"/>
  <c r="IX147"/>
  <c r="IW147"/>
  <c r="IV147"/>
  <c r="IZ171"/>
  <c r="JB171" s="1"/>
  <c r="HG171" s="1"/>
  <c r="R167" i="11" s="1"/>
  <c r="IY171" i="9"/>
  <c r="JA171"/>
  <c r="IU171"/>
  <c r="IT171"/>
  <c r="IX171"/>
  <c r="IW171"/>
  <c r="IV171"/>
  <c r="IZ111"/>
  <c r="JB111" s="1"/>
  <c r="HG111" s="1"/>
  <c r="R107" i="11" s="1"/>
  <c r="IY111" i="9"/>
  <c r="JA111"/>
  <c r="IU111"/>
  <c r="IT111"/>
  <c r="IX111"/>
  <c r="IW111"/>
  <c r="IV111"/>
  <c r="JA68"/>
  <c r="IZ68"/>
  <c r="JB68" s="1"/>
  <c r="HG68" s="1"/>
  <c r="R64" i="11" s="1"/>
  <c r="IY68" i="9"/>
  <c r="IT68"/>
  <c r="IX68"/>
  <c r="IW68"/>
  <c r="IV68"/>
  <c r="IU68"/>
  <c r="IY70"/>
  <c r="JA70"/>
  <c r="IZ70"/>
  <c r="JB70" s="1"/>
  <c r="HG70" s="1"/>
  <c r="R66" i="11" s="1"/>
  <c r="IV70" i="9"/>
  <c r="IU70"/>
  <c r="IT70"/>
  <c r="IX70"/>
  <c r="IW70"/>
  <c r="IZ131"/>
  <c r="JB131" s="1"/>
  <c r="HG131" s="1"/>
  <c r="R127" i="11" s="1"/>
  <c r="IY131" i="9"/>
  <c r="JA131"/>
  <c r="IU131"/>
  <c r="IT131"/>
  <c r="IX131"/>
  <c r="IW131"/>
  <c r="IV131"/>
  <c r="IT200"/>
  <c r="IU200"/>
  <c r="JA165"/>
  <c r="IZ165"/>
  <c r="JB165" s="1"/>
  <c r="HG165" s="1"/>
  <c r="R161" i="11" s="1"/>
  <c r="IY165" i="9"/>
  <c r="IW165"/>
  <c r="IV165"/>
  <c r="IU165"/>
  <c r="IT165"/>
  <c r="IX165"/>
  <c r="IY58"/>
  <c r="JA58"/>
  <c r="IZ58"/>
  <c r="JB58" s="1"/>
  <c r="HG58" s="1"/>
  <c r="R54" i="11" s="1"/>
  <c r="IV58" i="9"/>
  <c r="IU58"/>
  <c r="IT58"/>
  <c r="IX58"/>
  <c r="IW58"/>
  <c r="IY126"/>
  <c r="JA126"/>
  <c r="IZ126"/>
  <c r="JB126" s="1"/>
  <c r="HG126" s="1"/>
  <c r="R122" i="11" s="1"/>
  <c r="IV126" i="9"/>
  <c r="IU126"/>
  <c r="IT126"/>
  <c r="IX126"/>
  <c r="IW126"/>
  <c r="IY202"/>
  <c r="JA202"/>
  <c r="IZ202"/>
  <c r="JB202" s="1"/>
  <c r="HG202" s="1"/>
  <c r="R198" i="11" s="1"/>
  <c r="IV202" i="9"/>
  <c r="IU202"/>
  <c r="IT202"/>
  <c r="IX202"/>
  <c r="IW202"/>
  <c r="JA93"/>
  <c r="IZ93"/>
  <c r="JB93" s="1"/>
  <c r="HG93" s="1"/>
  <c r="R89" i="11" s="1"/>
  <c r="IY93" i="9"/>
  <c r="IW93"/>
  <c r="IV93"/>
  <c r="IU93"/>
  <c r="IT93"/>
  <c r="IX93"/>
  <c r="JA132"/>
  <c r="IZ132"/>
  <c r="JB132" s="1"/>
  <c r="HG132" s="1"/>
  <c r="R128" i="11" s="1"/>
  <c r="IY132" i="9"/>
  <c r="IT132"/>
  <c r="IX132"/>
  <c r="IW132"/>
  <c r="IV132"/>
  <c r="IU132"/>
  <c r="IZ167"/>
  <c r="JB167" s="1"/>
  <c r="HG167" s="1"/>
  <c r="R163" i="11" s="1"/>
  <c r="IY167" i="9"/>
  <c r="JA167"/>
  <c r="IU167"/>
  <c r="IT167"/>
  <c r="IX167"/>
  <c r="IW167"/>
  <c r="IV167"/>
  <c r="IY154"/>
  <c r="JA154"/>
  <c r="IZ154"/>
  <c r="JB154" s="1"/>
  <c r="HG154" s="1"/>
  <c r="R150" i="11" s="1"/>
  <c r="IV154" i="9"/>
  <c r="IU154"/>
  <c r="IT154"/>
  <c r="IX154"/>
  <c r="IW154"/>
  <c r="IZ143"/>
  <c r="JB143" s="1"/>
  <c r="HG143" s="1"/>
  <c r="R139" i="11" s="1"/>
  <c r="IY143" i="9"/>
  <c r="JA143"/>
  <c r="IU143"/>
  <c r="IT143"/>
  <c r="IX143"/>
  <c r="IW143"/>
  <c r="IV143"/>
  <c r="JA128"/>
  <c r="IZ128"/>
  <c r="JB128" s="1"/>
  <c r="HG128" s="1"/>
  <c r="R124" i="11" s="1"/>
  <c r="IY128" i="9"/>
  <c r="IT128"/>
  <c r="IX128"/>
  <c r="IW128"/>
  <c r="IV128"/>
  <c r="IU128"/>
  <c r="JA176"/>
  <c r="IZ176"/>
  <c r="JB176" s="1"/>
  <c r="HG176" s="1"/>
  <c r="R172" i="11" s="1"/>
  <c r="IY176" i="9"/>
  <c r="IT176"/>
  <c r="IX176"/>
  <c r="IW176"/>
  <c r="IV176"/>
  <c r="IU176"/>
  <c r="IZ207"/>
  <c r="JB207" s="1"/>
  <c r="HG207" s="1"/>
  <c r="R203" i="11" s="1"/>
  <c r="IY207" i="9"/>
  <c r="JA207"/>
  <c r="IU207"/>
  <c r="IT207"/>
  <c r="IX207"/>
  <c r="IW207"/>
  <c r="IV207"/>
  <c r="IY82"/>
  <c r="JA82"/>
  <c r="IZ82"/>
  <c r="JB82" s="1"/>
  <c r="HG82" s="1"/>
  <c r="R78" i="11" s="1"/>
  <c r="IV82" i="9"/>
  <c r="IU82"/>
  <c r="IT82"/>
  <c r="IX82"/>
  <c r="IW82"/>
  <c r="IY98"/>
  <c r="JA98"/>
  <c r="IZ98"/>
  <c r="JB98" s="1"/>
  <c r="HG98" s="1"/>
  <c r="R94" i="11" s="1"/>
  <c r="IV98" i="9"/>
  <c r="IU98"/>
  <c r="IT98"/>
  <c r="IX98"/>
  <c r="IW98"/>
  <c r="JA108"/>
  <c r="IZ108"/>
  <c r="JB108" s="1"/>
  <c r="HG108" s="1"/>
  <c r="R104" i="11" s="1"/>
  <c r="IY108" i="9"/>
  <c r="IT108"/>
  <c r="IX108"/>
  <c r="IW108"/>
  <c r="IV108"/>
  <c r="IU108"/>
  <c r="IY138"/>
  <c r="JA138"/>
  <c r="IZ138"/>
  <c r="JB138" s="1"/>
  <c r="HG138" s="1"/>
  <c r="R134" i="11" s="1"/>
  <c r="IV138" i="9"/>
  <c r="IU138"/>
  <c r="IT138"/>
  <c r="IX138"/>
  <c r="IW138"/>
  <c r="JA156"/>
  <c r="IZ156"/>
  <c r="JB156" s="1"/>
  <c r="HG156" s="1"/>
  <c r="R152" i="11" s="1"/>
  <c r="IY156" i="9"/>
  <c r="IT156"/>
  <c r="IX156"/>
  <c r="IW156"/>
  <c r="IV156"/>
  <c r="IU156"/>
  <c r="IY150"/>
  <c r="JA150"/>
  <c r="IZ150"/>
  <c r="JB150" s="1"/>
  <c r="HG150" s="1"/>
  <c r="R146" i="11" s="1"/>
  <c r="IV150" i="9"/>
  <c r="IU150"/>
  <c r="IT150"/>
  <c r="IX150"/>
  <c r="IW150"/>
  <c r="IY122"/>
  <c r="JA122"/>
  <c r="IZ122"/>
  <c r="JB122" s="1"/>
  <c r="HG122" s="1"/>
  <c r="R118" i="11" s="1"/>
  <c r="IV122" i="9"/>
  <c r="IU122"/>
  <c r="IT122"/>
  <c r="IX122"/>
  <c r="IW122"/>
  <c r="JA48"/>
  <c r="IZ48"/>
  <c r="JB48" s="1"/>
  <c r="HG48" s="1"/>
  <c r="R44" i="11" s="1"/>
  <c r="IY48" i="9"/>
  <c r="IT48"/>
  <c r="IX48"/>
  <c r="IW48"/>
  <c r="IV48"/>
  <c r="IU48"/>
  <c r="IZ43"/>
  <c r="JB43" s="1"/>
  <c r="HG43" s="1"/>
  <c r="R39" i="11" s="1"/>
  <c r="IY43" i="9"/>
  <c r="JA43"/>
  <c r="IU43"/>
  <c r="IT43"/>
  <c r="IX43"/>
  <c r="IW43"/>
  <c r="IV43"/>
  <c r="IY62"/>
  <c r="JA62"/>
  <c r="IZ62"/>
  <c r="JB62" s="1"/>
  <c r="HG62" s="1"/>
  <c r="R58" i="11" s="1"/>
  <c r="IV62" i="9"/>
  <c r="IU62"/>
  <c r="IT62"/>
  <c r="IX62"/>
  <c r="IW62"/>
  <c r="IY42"/>
  <c r="JA42"/>
  <c r="IZ42"/>
  <c r="JB42" s="1"/>
  <c r="HG42" s="1"/>
  <c r="R38" i="11" s="1"/>
  <c r="IV42" i="9"/>
  <c r="IU42"/>
  <c r="IT42"/>
  <c r="IX42"/>
  <c r="IW42"/>
  <c r="IZ115"/>
  <c r="JB115" s="1"/>
  <c r="HG115" s="1"/>
  <c r="R111" i="11" s="1"/>
  <c r="IY115" i="9"/>
  <c r="JA115"/>
  <c r="IU115"/>
  <c r="IT115"/>
  <c r="IX115"/>
  <c r="IW115"/>
  <c r="IV115"/>
  <c r="IY114"/>
  <c r="JA114"/>
  <c r="IZ114"/>
  <c r="JB114" s="1"/>
  <c r="HG114" s="1"/>
  <c r="R110" i="11" s="1"/>
  <c r="IV114" i="9"/>
  <c r="IU114"/>
  <c r="IT114"/>
  <c r="IX114"/>
  <c r="IW114"/>
  <c r="JA172"/>
  <c r="IZ172"/>
  <c r="JB172" s="1"/>
  <c r="HG172" s="1"/>
  <c r="R168" i="11" s="1"/>
  <c r="IY172" i="9"/>
  <c r="IT172"/>
  <c r="IX172"/>
  <c r="IW172"/>
  <c r="IV172"/>
  <c r="IU172"/>
  <c r="IZ187"/>
  <c r="JB187" s="1"/>
  <c r="HG187" s="1"/>
  <c r="R183" i="11" s="1"/>
  <c r="IY187" i="9"/>
  <c r="JA187"/>
  <c r="IU187"/>
  <c r="IT187"/>
  <c r="IX187"/>
  <c r="IW187"/>
  <c r="IV187"/>
  <c r="JA196"/>
  <c r="IZ196"/>
  <c r="JB196" s="1"/>
  <c r="HG196" s="1"/>
  <c r="R192" i="11" s="1"/>
  <c r="IY196" i="9"/>
  <c r="IT196"/>
  <c r="IX196"/>
  <c r="IW196"/>
  <c r="IV196"/>
  <c r="IU196"/>
  <c r="JA104"/>
  <c r="IZ104"/>
  <c r="JB104" s="1"/>
  <c r="HG104" s="1"/>
  <c r="R100" i="11" s="1"/>
  <c r="IY104" i="9"/>
  <c r="IT104"/>
  <c r="IX104"/>
  <c r="IW104"/>
  <c r="IV104"/>
  <c r="IU104"/>
  <c r="IZ75"/>
  <c r="JB75" s="1"/>
  <c r="HG75" s="1"/>
  <c r="R71" i="11" s="1"/>
  <c r="IY75" i="9"/>
  <c r="JA75"/>
  <c r="IU75"/>
  <c r="IT75"/>
  <c r="IX75"/>
  <c r="IW75"/>
  <c r="IV75"/>
  <c r="IZ191"/>
  <c r="JB191" s="1"/>
  <c r="HG191" s="1"/>
  <c r="R187" i="11" s="1"/>
  <c r="IY191" i="9"/>
  <c r="JA191"/>
  <c r="IU191"/>
  <c r="IT191"/>
  <c r="IX191"/>
  <c r="IW191"/>
  <c r="IV191"/>
  <c r="JA61"/>
  <c r="IZ61"/>
  <c r="JB61" s="1"/>
  <c r="HG61" s="1"/>
  <c r="R57" i="11" s="1"/>
  <c r="IY61" i="9"/>
  <c r="IW61"/>
  <c r="IV61"/>
  <c r="IU61"/>
  <c r="IT61"/>
  <c r="IX61"/>
  <c r="JA73"/>
  <c r="IZ73"/>
  <c r="JB73" s="1"/>
  <c r="HG73" s="1"/>
  <c r="R69" i="11" s="1"/>
  <c r="IY73" i="9"/>
  <c r="IW73"/>
  <c r="IV73"/>
  <c r="IU73"/>
  <c r="IT73"/>
  <c r="IX73"/>
  <c r="IY74"/>
  <c r="JA74"/>
  <c r="IZ74"/>
  <c r="JB74" s="1"/>
  <c r="HG74" s="1"/>
  <c r="R70" i="11" s="1"/>
  <c r="IV74" i="9"/>
  <c r="IU74"/>
  <c r="IT74"/>
  <c r="IX74"/>
  <c r="IW74"/>
  <c r="IY78"/>
  <c r="JA78"/>
  <c r="IZ78"/>
  <c r="JB78" s="1"/>
  <c r="HG78" s="1"/>
  <c r="R74" i="11" s="1"/>
  <c r="IV78" i="9"/>
  <c r="IU78"/>
  <c r="IT78"/>
  <c r="IX78"/>
  <c r="IW78"/>
  <c r="JA164"/>
  <c r="IZ164"/>
  <c r="JB164" s="1"/>
  <c r="HG164" s="1"/>
  <c r="R160" i="11" s="1"/>
  <c r="IY164" i="9"/>
  <c r="IT164"/>
  <c r="IX164"/>
  <c r="IW164"/>
  <c r="IV164"/>
  <c r="IU164"/>
  <c r="IZ67"/>
  <c r="JB67" s="1"/>
  <c r="HG67" s="1"/>
  <c r="R63" i="11" s="1"/>
  <c r="IY67" i="9"/>
  <c r="JA67"/>
  <c r="IU67"/>
  <c r="IT67"/>
  <c r="IX67"/>
  <c r="IW67"/>
  <c r="IV67"/>
  <c r="IZ95"/>
  <c r="JB95" s="1"/>
  <c r="HG95" s="1"/>
  <c r="R91" i="11" s="1"/>
  <c r="IY95" i="9"/>
  <c r="JA95"/>
  <c r="IU95"/>
  <c r="IT95"/>
  <c r="IX95"/>
  <c r="IW95"/>
  <c r="IV95"/>
  <c r="JA168"/>
  <c r="IZ168"/>
  <c r="JB168" s="1"/>
  <c r="HG168" s="1"/>
  <c r="R164" i="11" s="1"/>
  <c r="IY168" i="9"/>
  <c r="IT168"/>
  <c r="IX168"/>
  <c r="IW168"/>
  <c r="IV168"/>
  <c r="IU168"/>
  <c r="IZ51"/>
  <c r="JB51" s="1"/>
  <c r="HG51" s="1"/>
  <c r="R47" i="11" s="1"/>
  <c r="IY51" i="9"/>
  <c r="JA51"/>
  <c r="IU51"/>
  <c r="IT51"/>
  <c r="IX51"/>
  <c r="IW51"/>
  <c r="IV51"/>
  <c r="JA160"/>
  <c r="IZ160"/>
  <c r="JB160" s="1"/>
  <c r="HG160" s="1"/>
  <c r="R156" i="11" s="1"/>
  <c r="IY160" i="9"/>
  <c r="IT160"/>
  <c r="IX160"/>
  <c r="IW160"/>
  <c r="IV160"/>
  <c r="IU160"/>
  <c r="JA105"/>
  <c r="IZ105"/>
  <c r="JB105" s="1"/>
  <c r="HG105" s="1"/>
  <c r="R101" i="11" s="1"/>
  <c r="IY105" i="9"/>
  <c r="IW105"/>
  <c r="IV105"/>
  <c r="IU105"/>
  <c r="IT105"/>
  <c r="IX105"/>
  <c r="IY130"/>
  <c r="JA130"/>
  <c r="IZ130"/>
  <c r="JB130" s="1"/>
  <c r="HG130" s="1"/>
  <c r="R126" i="11" s="1"/>
  <c r="IV130" i="9"/>
  <c r="IU130"/>
  <c r="IT130"/>
  <c r="IX130"/>
  <c r="IW130"/>
  <c r="IY54"/>
  <c r="JA54"/>
  <c r="IZ54"/>
  <c r="JB54" s="1"/>
  <c r="HG54" s="1"/>
  <c r="R50" i="11" s="1"/>
  <c r="IV54" i="9"/>
  <c r="IU54"/>
  <c r="IT54"/>
  <c r="IX54"/>
  <c r="IW54"/>
  <c r="IZ59"/>
  <c r="JB59" s="1"/>
  <c r="HG59" s="1"/>
  <c r="R55" i="11" s="1"/>
  <c r="IY59" i="9"/>
  <c r="JA59"/>
  <c r="IU59"/>
  <c r="IT59"/>
  <c r="IX59"/>
  <c r="IW59"/>
  <c r="IV59"/>
  <c r="JA173"/>
  <c r="IZ173"/>
  <c r="JB173" s="1"/>
  <c r="HG173" s="1"/>
  <c r="R169" i="11" s="1"/>
  <c r="IY173" i="9"/>
  <c r="IW173"/>
  <c r="IV173"/>
  <c r="IU173"/>
  <c r="IT173"/>
  <c r="IX173"/>
  <c r="IZ159"/>
  <c r="JB159" s="1"/>
  <c r="HG159" s="1"/>
  <c r="R155" i="11" s="1"/>
  <c r="IY159" i="9"/>
  <c r="JA159"/>
  <c r="IU159"/>
  <c r="IT159"/>
  <c r="IX159"/>
  <c r="IW159"/>
  <c r="IV159"/>
  <c r="IY198"/>
  <c r="JA198"/>
  <c r="IZ198"/>
  <c r="JB198" s="1"/>
  <c r="HG198" s="1"/>
  <c r="R194" i="11" s="1"/>
  <c r="IV198" i="9"/>
  <c r="IU198"/>
  <c r="IT198"/>
  <c r="IX198"/>
  <c r="IW198"/>
  <c r="JA205"/>
  <c r="IZ205"/>
  <c r="JB205" s="1"/>
  <c r="HG205" s="1"/>
  <c r="R201" i="11" s="1"/>
  <c r="IY205" i="9"/>
  <c r="IW205"/>
  <c r="IV205"/>
  <c r="IU205"/>
  <c r="IT205"/>
  <c r="IX205"/>
  <c r="IY106"/>
  <c r="JA106"/>
  <c r="IZ106"/>
  <c r="JB106" s="1"/>
  <c r="HG106" s="1"/>
  <c r="R102" i="11" s="1"/>
  <c r="IV106" i="9"/>
  <c r="IU106"/>
  <c r="IT106"/>
  <c r="IX106"/>
  <c r="IW106"/>
  <c r="IY158"/>
  <c r="JA158"/>
  <c r="IZ158"/>
  <c r="JB158" s="1"/>
  <c r="HG158" s="1"/>
  <c r="R154" i="11" s="1"/>
  <c r="IV158" i="9"/>
  <c r="IU158"/>
  <c r="IT158"/>
  <c r="IX158"/>
  <c r="IW158"/>
  <c r="JA97"/>
  <c r="IZ97"/>
  <c r="JB97" s="1"/>
  <c r="HG97" s="1"/>
  <c r="R93" i="11" s="1"/>
  <c r="IY97" i="9"/>
  <c r="IW97"/>
  <c r="IV97"/>
  <c r="IU97"/>
  <c r="IT97"/>
  <c r="IX97"/>
  <c r="JA56"/>
  <c r="IZ56"/>
  <c r="JB56" s="1"/>
  <c r="HG56" s="1"/>
  <c r="R52" i="11" s="1"/>
  <c r="IY56" i="9"/>
  <c r="IT56"/>
  <c r="IX56"/>
  <c r="IW56"/>
  <c r="IV56"/>
  <c r="IU56"/>
  <c r="IZ155"/>
  <c r="JB155" s="1"/>
  <c r="HG155" s="1"/>
  <c r="R151" i="11" s="1"/>
  <c r="IY155" i="9"/>
  <c r="JA155"/>
  <c r="IU155"/>
  <c r="IT155"/>
  <c r="IX155"/>
  <c r="IW155"/>
  <c r="IV155"/>
  <c r="JA117"/>
  <c r="IZ117"/>
  <c r="JB117" s="1"/>
  <c r="HG117" s="1"/>
  <c r="R113" i="11" s="1"/>
  <c r="IY117" i="9"/>
  <c r="IW117"/>
  <c r="IV117"/>
  <c r="IU117"/>
  <c r="IT117"/>
  <c r="IX117"/>
  <c r="IY118"/>
  <c r="JA118"/>
  <c r="IZ118"/>
  <c r="JB118" s="1"/>
  <c r="HG118" s="1"/>
  <c r="R114" i="11" s="1"/>
  <c r="IV118" i="9"/>
  <c r="IU118"/>
  <c r="IT118"/>
  <c r="IX118"/>
  <c r="IW118"/>
  <c r="IY50"/>
  <c r="JA50"/>
  <c r="IZ50"/>
  <c r="JB50" s="1"/>
  <c r="HG50" s="1"/>
  <c r="R46" i="11" s="1"/>
  <c r="IV50" i="9"/>
  <c r="IU50"/>
  <c r="IT50"/>
  <c r="IX50"/>
  <c r="IW50"/>
  <c r="IY190"/>
  <c r="JA190"/>
  <c r="IZ190"/>
  <c r="JB190" s="1"/>
  <c r="HG190" s="1"/>
  <c r="R186" i="11" s="1"/>
  <c r="IV190" i="9"/>
  <c r="IU190"/>
  <c r="IT190"/>
  <c r="IX190"/>
  <c r="IW190"/>
  <c r="IY170"/>
  <c r="JA170"/>
  <c r="IZ170"/>
  <c r="JB170" s="1"/>
  <c r="HG170" s="1"/>
  <c r="R166" i="11" s="1"/>
  <c r="IV170" i="9"/>
  <c r="IU170"/>
  <c r="IT170"/>
  <c r="IX170"/>
  <c r="IW170"/>
  <c r="IY80"/>
  <c r="IV80"/>
  <c r="IY40"/>
  <c r="IZ71"/>
  <c r="JB71" s="1"/>
  <c r="HG71" s="1"/>
  <c r="R67" i="11" s="1"/>
  <c r="IY71" i="9"/>
  <c r="JA71"/>
  <c r="IU71"/>
  <c r="IT71"/>
  <c r="IX71"/>
  <c r="IW71"/>
  <c r="IV71"/>
  <c r="IZ107"/>
  <c r="JB107" s="1"/>
  <c r="HG107" s="1"/>
  <c r="R103" i="11" s="1"/>
  <c r="IY107" i="9"/>
  <c r="JA107"/>
  <c r="IU107"/>
  <c r="IT107"/>
  <c r="IX107"/>
  <c r="IW107"/>
  <c r="IV107"/>
  <c r="JA44"/>
  <c r="IZ44"/>
  <c r="JB44" s="1"/>
  <c r="HG44" s="1"/>
  <c r="R40" i="11" s="1"/>
  <c r="IY44" i="9"/>
  <c r="IT44"/>
  <c r="IX44"/>
  <c r="IW44"/>
  <c r="IV44"/>
  <c r="IU44"/>
  <c r="JA101"/>
  <c r="JA169"/>
  <c r="IZ169"/>
  <c r="JB169" s="1"/>
  <c r="HG169" s="1"/>
  <c r="R165" i="11" s="1"/>
  <c r="IY169" i="9"/>
  <c r="IW169"/>
  <c r="IV169"/>
  <c r="IU169"/>
  <c r="IT169"/>
  <c r="IX169"/>
  <c r="IL6"/>
  <c r="IK6"/>
  <c r="IV101" l="1"/>
  <c r="BY191" i="11"/>
  <c r="BO191"/>
  <c r="BX68"/>
  <c r="BV68"/>
  <c r="BW68"/>
  <c r="BP51"/>
  <c r="BY51"/>
  <c r="BR51"/>
  <c r="HF72" i="9"/>
  <c r="HF55"/>
  <c r="BN68" i="11"/>
  <c r="BO68"/>
  <c r="BQ68"/>
  <c r="BS51"/>
  <c r="BT51"/>
  <c r="BU51"/>
  <c r="HF64" i="9"/>
  <c r="BU68" i="11"/>
  <c r="BR68"/>
  <c r="BV51"/>
  <c r="BW51"/>
  <c r="BP72"/>
  <c r="IT101" i="9"/>
  <c r="IY101"/>
  <c r="IX101"/>
  <c r="IW101"/>
  <c r="IU101"/>
  <c r="BU72" i="11"/>
  <c r="BR72"/>
  <c r="IZ40" i="9"/>
  <c r="JB40" s="1"/>
  <c r="HG40" s="1"/>
  <c r="R36" i="11" s="1"/>
  <c r="IW80" i="9"/>
  <c r="IZ80"/>
  <c r="JB80" s="1"/>
  <c r="HG80" s="1"/>
  <c r="R76" i="11" s="1"/>
  <c r="BW76" s="1"/>
  <c r="IV200" i="9"/>
  <c r="IY200"/>
  <c r="BV191" i="11"/>
  <c r="BW191"/>
  <c r="BX191"/>
  <c r="IU40" i="9"/>
  <c r="IU80"/>
  <c r="IT80"/>
  <c r="IU197"/>
  <c r="IX200"/>
  <c r="JA200"/>
  <c r="HF195"/>
  <c r="BP191" i="11"/>
  <c r="BU191"/>
  <c r="BR191"/>
  <c r="IT40" i="9"/>
  <c r="IX80"/>
  <c r="IW200"/>
  <c r="BS191" i="11"/>
  <c r="BT191"/>
  <c r="HF76" i="9"/>
  <c r="HF163"/>
  <c r="BW159" i="11"/>
  <c r="BO159"/>
  <c r="BU159"/>
  <c r="BS72"/>
  <c r="BT72"/>
  <c r="BY72"/>
  <c r="BV159"/>
  <c r="BN159"/>
  <c r="BX159"/>
  <c r="BV72"/>
  <c r="BW72"/>
  <c r="BX72"/>
  <c r="BY159"/>
  <c r="BS159"/>
  <c r="BQ72"/>
  <c r="BN72"/>
  <c r="IT162" i="9"/>
  <c r="IZ185"/>
  <c r="JB185" s="1"/>
  <c r="HG185" s="1"/>
  <c r="R181" i="11" s="1"/>
  <c r="BW181" s="1"/>
  <c r="IU185" i="9"/>
  <c r="BO40" i="11"/>
  <c r="BR40"/>
  <c r="BY40"/>
  <c r="BX40"/>
  <c r="BN40"/>
  <c r="BU40"/>
  <c r="BT40"/>
  <c r="BW40"/>
  <c r="BQ40"/>
  <c r="BP40"/>
  <c r="BS40"/>
  <c r="BV40"/>
  <c r="BT52"/>
  <c r="BW52"/>
  <c r="BQ52"/>
  <c r="BP52"/>
  <c r="BS52"/>
  <c r="BV52"/>
  <c r="BO52"/>
  <c r="BR52"/>
  <c r="BY52"/>
  <c r="BX52"/>
  <c r="BN52"/>
  <c r="BU52"/>
  <c r="BT166"/>
  <c r="BW166"/>
  <c r="BU166"/>
  <c r="BP166"/>
  <c r="BS166"/>
  <c r="BV166"/>
  <c r="BO166"/>
  <c r="BR166"/>
  <c r="BY166"/>
  <c r="BX166"/>
  <c r="BN166"/>
  <c r="BQ166"/>
  <c r="BT186"/>
  <c r="BW186"/>
  <c r="BU186"/>
  <c r="BP186"/>
  <c r="BS186"/>
  <c r="BV186"/>
  <c r="BO186"/>
  <c r="BR186"/>
  <c r="BY186"/>
  <c r="BX186"/>
  <c r="BN186"/>
  <c r="BQ186"/>
  <c r="BT46"/>
  <c r="BW46"/>
  <c r="BY46"/>
  <c r="BP46"/>
  <c r="BS46"/>
  <c r="BV46"/>
  <c r="BO46"/>
  <c r="BR46"/>
  <c r="BQ46"/>
  <c r="BX46"/>
  <c r="BN46"/>
  <c r="BU46"/>
  <c r="BT114"/>
  <c r="BS114"/>
  <c r="BR114"/>
  <c r="BP114"/>
  <c r="BO114"/>
  <c r="BN114"/>
  <c r="BU114"/>
  <c r="BQ114"/>
  <c r="BY114"/>
  <c r="BX114"/>
  <c r="BW114"/>
  <c r="BV114"/>
  <c r="BT154"/>
  <c r="BS154"/>
  <c r="BR154"/>
  <c r="BP154"/>
  <c r="BO154"/>
  <c r="BN154"/>
  <c r="BU154"/>
  <c r="BY154"/>
  <c r="BQ154"/>
  <c r="BX154"/>
  <c r="BW154"/>
  <c r="BV154"/>
  <c r="BT102"/>
  <c r="BS102"/>
  <c r="BR102"/>
  <c r="BP102"/>
  <c r="BO102"/>
  <c r="BN102"/>
  <c r="BU102"/>
  <c r="BQ102"/>
  <c r="BY102"/>
  <c r="BX102"/>
  <c r="BW102"/>
  <c r="BV102"/>
  <c r="BT194"/>
  <c r="BW194"/>
  <c r="BU194"/>
  <c r="BP194"/>
  <c r="BS194"/>
  <c r="BV194"/>
  <c r="BO194"/>
  <c r="BR194"/>
  <c r="BY194"/>
  <c r="BX194"/>
  <c r="BN194"/>
  <c r="BQ194"/>
  <c r="BT50"/>
  <c r="BW50"/>
  <c r="BY50"/>
  <c r="BP50"/>
  <c r="BS50"/>
  <c r="BV50"/>
  <c r="BO50"/>
  <c r="BR50"/>
  <c r="BQ50"/>
  <c r="BX50"/>
  <c r="BN50"/>
  <c r="BU50"/>
  <c r="BT126"/>
  <c r="BS126"/>
  <c r="BR126"/>
  <c r="BP126"/>
  <c r="BO126"/>
  <c r="BN126"/>
  <c r="BQ126"/>
  <c r="BU126"/>
  <c r="BY126"/>
  <c r="BX126"/>
  <c r="BW126"/>
  <c r="BV126"/>
  <c r="BN181"/>
  <c r="BT164"/>
  <c r="BW164"/>
  <c r="BQ164"/>
  <c r="BP164"/>
  <c r="BS164"/>
  <c r="BV164"/>
  <c r="BO164"/>
  <c r="BR164"/>
  <c r="BU164"/>
  <c r="BX164"/>
  <c r="BN164"/>
  <c r="BY164"/>
  <c r="BT160"/>
  <c r="BS160"/>
  <c r="BR160"/>
  <c r="BP160"/>
  <c r="BO160"/>
  <c r="BN160"/>
  <c r="BY160"/>
  <c r="BU160"/>
  <c r="BQ160"/>
  <c r="BX160"/>
  <c r="BW160"/>
  <c r="BV160"/>
  <c r="BT69"/>
  <c r="BW69"/>
  <c r="BU69"/>
  <c r="BP69"/>
  <c r="BS69"/>
  <c r="BV69"/>
  <c r="BO69"/>
  <c r="BR69"/>
  <c r="BQ69"/>
  <c r="BX69"/>
  <c r="BN69"/>
  <c r="BY69"/>
  <c r="BT57"/>
  <c r="BW57"/>
  <c r="BU57"/>
  <c r="BP57"/>
  <c r="BS57"/>
  <c r="BV57"/>
  <c r="BO57"/>
  <c r="BR57"/>
  <c r="BY57"/>
  <c r="BX57"/>
  <c r="BN57"/>
  <c r="BQ57"/>
  <c r="BT100"/>
  <c r="BS100"/>
  <c r="BN100"/>
  <c r="BP100"/>
  <c r="BO100"/>
  <c r="BY100"/>
  <c r="BU100"/>
  <c r="BQ100"/>
  <c r="BV100"/>
  <c r="BX100"/>
  <c r="BW100"/>
  <c r="BR100"/>
  <c r="BT192"/>
  <c r="BW192"/>
  <c r="BY192"/>
  <c r="BP192"/>
  <c r="BS192"/>
  <c r="BV192"/>
  <c r="BO192"/>
  <c r="BR192"/>
  <c r="BU192"/>
  <c r="BX192"/>
  <c r="BN192"/>
  <c r="BQ192"/>
  <c r="BT168"/>
  <c r="BW168"/>
  <c r="BY168"/>
  <c r="BP168"/>
  <c r="BS168"/>
  <c r="BV168"/>
  <c r="BO168"/>
  <c r="BR168"/>
  <c r="BU168"/>
  <c r="BX168"/>
  <c r="BN168"/>
  <c r="BQ168"/>
  <c r="BT44"/>
  <c r="BW44"/>
  <c r="BQ44"/>
  <c r="BP44"/>
  <c r="BS44"/>
  <c r="BV44"/>
  <c r="BO44"/>
  <c r="BR44"/>
  <c r="BY44"/>
  <c r="BX44"/>
  <c r="BN44"/>
  <c r="BU44"/>
  <c r="BT152"/>
  <c r="BS152"/>
  <c r="BR152"/>
  <c r="BP152"/>
  <c r="BO152"/>
  <c r="BN152"/>
  <c r="BU152"/>
  <c r="BY152"/>
  <c r="BQ152"/>
  <c r="BX152"/>
  <c r="BW152"/>
  <c r="BV152"/>
  <c r="BQ104"/>
  <c r="BY104"/>
  <c r="BU104"/>
  <c r="BX104"/>
  <c r="BW104"/>
  <c r="BV104"/>
  <c r="BT104"/>
  <c r="BS104"/>
  <c r="BR104"/>
  <c r="BP104"/>
  <c r="BO104"/>
  <c r="BN104"/>
  <c r="BT172"/>
  <c r="BW172"/>
  <c r="BY172"/>
  <c r="BP172"/>
  <c r="BS172"/>
  <c r="BV172"/>
  <c r="BO172"/>
  <c r="BR172"/>
  <c r="BQ172"/>
  <c r="BX172"/>
  <c r="BN172"/>
  <c r="BU172"/>
  <c r="BT124"/>
  <c r="BS124"/>
  <c r="BR124"/>
  <c r="BP124"/>
  <c r="BO124"/>
  <c r="BN124"/>
  <c r="BU124"/>
  <c r="BQ124"/>
  <c r="BY124"/>
  <c r="BX124"/>
  <c r="BW124"/>
  <c r="BV124"/>
  <c r="BT128"/>
  <c r="BS128"/>
  <c r="BR128"/>
  <c r="BP128"/>
  <c r="BO128"/>
  <c r="BN128"/>
  <c r="BU128"/>
  <c r="BQ128"/>
  <c r="BY128"/>
  <c r="BX128"/>
  <c r="BW128"/>
  <c r="BV128"/>
  <c r="BT89"/>
  <c r="BW89"/>
  <c r="BU89"/>
  <c r="BP89"/>
  <c r="BS89"/>
  <c r="BV89"/>
  <c r="BO89"/>
  <c r="BR89"/>
  <c r="BY89"/>
  <c r="BX89"/>
  <c r="BN89"/>
  <c r="BQ89"/>
  <c r="BT161"/>
  <c r="BS161"/>
  <c r="BR161"/>
  <c r="BP161"/>
  <c r="BO161"/>
  <c r="BN161"/>
  <c r="BU161"/>
  <c r="BY161"/>
  <c r="BQ161"/>
  <c r="BX161"/>
  <c r="BW161"/>
  <c r="BV161"/>
  <c r="BO196"/>
  <c r="BR196"/>
  <c r="BQ196"/>
  <c r="BX196"/>
  <c r="BN196"/>
  <c r="BU196"/>
  <c r="BT196"/>
  <c r="BW196"/>
  <c r="BY196"/>
  <c r="BP196"/>
  <c r="BS196"/>
  <c r="BV196"/>
  <c r="BO64"/>
  <c r="BR64"/>
  <c r="BY64"/>
  <c r="BX64"/>
  <c r="BN64"/>
  <c r="BU64"/>
  <c r="BT64"/>
  <c r="BW64"/>
  <c r="BQ64"/>
  <c r="BP64"/>
  <c r="BS64"/>
  <c r="BV64"/>
  <c r="BT56"/>
  <c r="BW56"/>
  <c r="BQ56"/>
  <c r="BP56"/>
  <c r="BS56"/>
  <c r="BV56"/>
  <c r="BO56"/>
  <c r="BR56"/>
  <c r="BY56"/>
  <c r="BX56"/>
  <c r="BN56"/>
  <c r="BU56"/>
  <c r="BT145"/>
  <c r="BS145"/>
  <c r="BR145"/>
  <c r="BP145"/>
  <c r="BO145"/>
  <c r="BN145"/>
  <c r="BY145"/>
  <c r="BU145"/>
  <c r="BQ145"/>
  <c r="BX145"/>
  <c r="BW145"/>
  <c r="BV145"/>
  <c r="BT116"/>
  <c r="BS116"/>
  <c r="BR116"/>
  <c r="BP116"/>
  <c r="BO116"/>
  <c r="BN116"/>
  <c r="BU116"/>
  <c r="BQ116"/>
  <c r="BY116"/>
  <c r="BX116"/>
  <c r="BW116"/>
  <c r="BV116"/>
  <c r="BT177"/>
  <c r="BW177"/>
  <c r="BQ177"/>
  <c r="BP177"/>
  <c r="BS177"/>
  <c r="BV177"/>
  <c r="BO177"/>
  <c r="BR177"/>
  <c r="BU177"/>
  <c r="BX177"/>
  <c r="BN177"/>
  <c r="BY177"/>
  <c r="BT188"/>
  <c r="BW188"/>
  <c r="BY188"/>
  <c r="BP188"/>
  <c r="BS188"/>
  <c r="BV188"/>
  <c r="BO188"/>
  <c r="BR188"/>
  <c r="BQ188"/>
  <c r="BX188"/>
  <c r="BN188"/>
  <c r="BU188"/>
  <c r="BT49"/>
  <c r="BW49"/>
  <c r="BU49"/>
  <c r="BP49"/>
  <c r="BS49"/>
  <c r="BV49"/>
  <c r="BO49"/>
  <c r="BR49"/>
  <c r="BY49"/>
  <c r="BX49"/>
  <c r="BN49"/>
  <c r="BQ49"/>
  <c r="BT149"/>
  <c r="BS149"/>
  <c r="BR149"/>
  <c r="BP149"/>
  <c r="BO149"/>
  <c r="BN149"/>
  <c r="BY149"/>
  <c r="BU149"/>
  <c r="BQ149"/>
  <c r="BX149"/>
  <c r="BW149"/>
  <c r="BV149"/>
  <c r="BT65"/>
  <c r="BW65"/>
  <c r="BU65"/>
  <c r="BP65"/>
  <c r="BS65"/>
  <c r="BV65"/>
  <c r="BO65"/>
  <c r="BR65"/>
  <c r="BY65"/>
  <c r="BX65"/>
  <c r="BN65"/>
  <c r="BQ65"/>
  <c r="BT133"/>
  <c r="BS133"/>
  <c r="BR133"/>
  <c r="BP133"/>
  <c r="BO133"/>
  <c r="BN133"/>
  <c r="BY133"/>
  <c r="BU133"/>
  <c r="BQ133"/>
  <c r="BX133"/>
  <c r="BW133"/>
  <c r="BV133"/>
  <c r="BT197"/>
  <c r="BW197"/>
  <c r="BQ197"/>
  <c r="BP197"/>
  <c r="BS197"/>
  <c r="BV197"/>
  <c r="BO197"/>
  <c r="BR197"/>
  <c r="BY197"/>
  <c r="BX197"/>
  <c r="BN197"/>
  <c r="BU197"/>
  <c r="BT121"/>
  <c r="BS121"/>
  <c r="BR121"/>
  <c r="BP121"/>
  <c r="BO121"/>
  <c r="BN121"/>
  <c r="BU121"/>
  <c r="BQ121"/>
  <c r="BY121"/>
  <c r="BX121"/>
  <c r="BW121"/>
  <c r="BV121"/>
  <c r="BT123"/>
  <c r="BS123"/>
  <c r="BR123"/>
  <c r="BP123"/>
  <c r="BO123"/>
  <c r="BN123"/>
  <c r="BU123"/>
  <c r="BQ123"/>
  <c r="BY123"/>
  <c r="BX123"/>
  <c r="BW123"/>
  <c r="BV123"/>
  <c r="BT185"/>
  <c r="BW185"/>
  <c r="BQ185"/>
  <c r="BP185"/>
  <c r="BS185"/>
  <c r="BV185"/>
  <c r="BO185"/>
  <c r="BR185"/>
  <c r="BU185"/>
  <c r="BX185"/>
  <c r="BN185"/>
  <c r="BY185"/>
  <c r="BO53"/>
  <c r="BR53"/>
  <c r="BQ53"/>
  <c r="BX53"/>
  <c r="BN53"/>
  <c r="BY53"/>
  <c r="BT53"/>
  <c r="BW53"/>
  <c r="BU53"/>
  <c r="BP53"/>
  <c r="BS53"/>
  <c r="BV53"/>
  <c r="BT176"/>
  <c r="BW176"/>
  <c r="BY176"/>
  <c r="BP176"/>
  <c r="BS176"/>
  <c r="BV176"/>
  <c r="BO176"/>
  <c r="BR176"/>
  <c r="BU176"/>
  <c r="BX176"/>
  <c r="BN176"/>
  <c r="BQ176"/>
  <c r="BT92"/>
  <c r="BS92"/>
  <c r="BR92"/>
  <c r="BP92"/>
  <c r="BO92"/>
  <c r="BN92"/>
  <c r="BY92"/>
  <c r="BU92"/>
  <c r="BQ92"/>
  <c r="BX92"/>
  <c r="BW92"/>
  <c r="BV92"/>
  <c r="BT45"/>
  <c r="BW45"/>
  <c r="BU45"/>
  <c r="BP45"/>
  <c r="BS45"/>
  <c r="BV45"/>
  <c r="BO45"/>
  <c r="BR45"/>
  <c r="BQ45"/>
  <c r="BX45"/>
  <c r="BN45"/>
  <c r="BY45"/>
  <c r="BT48"/>
  <c r="BW48"/>
  <c r="BQ48"/>
  <c r="BP48"/>
  <c r="BS48"/>
  <c r="BV48"/>
  <c r="BO48"/>
  <c r="BR48"/>
  <c r="BY48"/>
  <c r="BX48"/>
  <c r="BN48"/>
  <c r="BU48"/>
  <c r="BT108"/>
  <c r="BS108"/>
  <c r="BR108"/>
  <c r="BP108"/>
  <c r="BO108"/>
  <c r="BN108"/>
  <c r="BQ108"/>
  <c r="BY108"/>
  <c r="BU108"/>
  <c r="BX108"/>
  <c r="BW108"/>
  <c r="BV108"/>
  <c r="BY106"/>
  <c r="BU106"/>
  <c r="BQ106"/>
  <c r="BX106"/>
  <c r="BW106"/>
  <c r="BV106"/>
  <c r="BT106"/>
  <c r="BS106"/>
  <c r="BR106"/>
  <c r="BP106"/>
  <c r="BO106"/>
  <c r="BN106"/>
  <c r="BO74"/>
  <c r="BR74"/>
  <c r="BQ74"/>
  <c r="BX74"/>
  <c r="BN74"/>
  <c r="BU74"/>
  <c r="BT74"/>
  <c r="BW74"/>
  <c r="BY74"/>
  <c r="BP74"/>
  <c r="BS74"/>
  <c r="BV74"/>
  <c r="BO70"/>
  <c r="BR70"/>
  <c r="BQ70"/>
  <c r="BX70"/>
  <c r="BN70"/>
  <c r="BU70"/>
  <c r="BT70"/>
  <c r="BW70"/>
  <c r="BY70"/>
  <c r="BP70"/>
  <c r="BS70"/>
  <c r="BV70"/>
  <c r="BT110"/>
  <c r="BS110"/>
  <c r="BR110"/>
  <c r="BP110"/>
  <c r="BO110"/>
  <c r="BN110"/>
  <c r="BQ110"/>
  <c r="BY110"/>
  <c r="BU110"/>
  <c r="BX110"/>
  <c r="BW110"/>
  <c r="BV110"/>
  <c r="BT38"/>
  <c r="BW38"/>
  <c r="BY38"/>
  <c r="BP38"/>
  <c r="BS38"/>
  <c r="BV38"/>
  <c r="BO38"/>
  <c r="BR38"/>
  <c r="BQ38"/>
  <c r="BX38"/>
  <c r="BN38"/>
  <c r="BU38"/>
  <c r="BT58"/>
  <c r="BW58"/>
  <c r="BY58"/>
  <c r="BP58"/>
  <c r="BS58"/>
  <c r="BV58"/>
  <c r="BO58"/>
  <c r="BR58"/>
  <c r="BQ58"/>
  <c r="BX58"/>
  <c r="BN58"/>
  <c r="BU58"/>
  <c r="BQ118"/>
  <c r="BU118"/>
  <c r="BY118"/>
  <c r="BX118"/>
  <c r="BW118"/>
  <c r="BV118"/>
  <c r="BT118"/>
  <c r="BS118"/>
  <c r="BR118"/>
  <c r="BP118"/>
  <c r="BO118"/>
  <c r="BN118"/>
  <c r="BT146"/>
  <c r="BS146"/>
  <c r="BR146"/>
  <c r="BP146"/>
  <c r="BO146"/>
  <c r="BN146"/>
  <c r="BY146"/>
  <c r="BU146"/>
  <c r="BQ146"/>
  <c r="BX146"/>
  <c r="BW146"/>
  <c r="BV146"/>
  <c r="BT134"/>
  <c r="BS134"/>
  <c r="BR134"/>
  <c r="BP134"/>
  <c r="BO134"/>
  <c r="BN134"/>
  <c r="BU134"/>
  <c r="BY134"/>
  <c r="BQ134"/>
  <c r="BX134"/>
  <c r="BW134"/>
  <c r="BV134"/>
  <c r="BT94"/>
  <c r="BS94"/>
  <c r="BN94"/>
  <c r="BP94"/>
  <c r="BO94"/>
  <c r="BY94"/>
  <c r="BU94"/>
  <c r="BQ94"/>
  <c r="BV94"/>
  <c r="BX94"/>
  <c r="BW94"/>
  <c r="BR94"/>
  <c r="BO78"/>
  <c r="BR78"/>
  <c r="BQ78"/>
  <c r="BX78"/>
  <c r="BN78"/>
  <c r="BU78"/>
  <c r="BT78"/>
  <c r="BW78"/>
  <c r="BY78"/>
  <c r="BP78"/>
  <c r="BS78"/>
  <c r="BV78"/>
  <c r="BT150"/>
  <c r="BS150"/>
  <c r="BR150"/>
  <c r="BP150"/>
  <c r="BO150"/>
  <c r="BN150"/>
  <c r="BY150"/>
  <c r="BU150"/>
  <c r="BQ150"/>
  <c r="BX150"/>
  <c r="BW150"/>
  <c r="BV150"/>
  <c r="BT198"/>
  <c r="BW198"/>
  <c r="BU198"/>
  <c r="BP198"/>
  <c r="BS198"/>
  <c r="BV198"/>
  <c r="BO198"/>
  <c r="BR198"/>
  <c r="BY198"/>
  <c r="BX198"/>
  <c r="BN198"/>
  <c r="BQ198"/>
  <c r="BT122"/>
  <c r="BS122"/>
  <c r="BR122"/>
  <c r="BP122"/>
  <c r="BO122"/>
  <c r="BN122"/>
  <c r="BQ122"/>
  <c r="BU122"/>
  <c r="BY122"/>
  <c r="BX122"/>
  <c r="BW122"/>
  <c r="BV122"/>
  <c r="BT54"/>
  <c r="BW54"/>
  <c r="BY54"/>
  <c r="BP54"/>
  <c r="BS54"/>
  <c r="BV54"/>
  <c r="BO54"/>
  <c r="BR54"/>
  <c r="BQ54"/>
  <c r="BX54"/>
  <c r="BN54"/>
  <c r="BU54"/>
  <c r="BT66"/>
  <c r="BW66"/>
  <c r="BY66"/>
  <c r="BP66"/>
  <c r="BS66"/>
  <c r="BV66"/>
  <c r="BO66"/>
  <c r="BR66"/>
  <c r="BQ66"/>
  <c r="BX66"/>
  <c r="BN66"/>
  <c r="BU66"/>
  <c r="BT42"/>
  <c r="BW42"/>
  <c r="BY42"/>
  <c r="BP42"/>
  <c r="BS42"/>
  <c r="BV42"/>
  <c r="BO42"/>
  <c r="BR42"/>
  <c r="BQ42"/>
  <c r="BX42"/>
  <c r="BN42"/>
  <c r="BU42"/>
  <c r="BT82"/>
  <c r="BW82"/>
  <c r="BY82"/>
  <c r="BP82"/>
  <c r="BS82"/>
  <c r="BV82"/>
  <c r="BO82"/>
  <c r="BR82"/>
  <c r="BQ82"/>
  <c r="BX82"/>
  <c r="BN82"/>
  <c r="BU82"/>
  <c r="BT62"/>
  <c r="BW62"/>
  <c r="BY62"/>
  <c r="BP62"/>
  <c r="BS62"/>
  <c r="BV62"/>
  <c r="BO62"/>
  <c r="BR62"/>
  <c r="BQ62"/>
  <c r="BX62"/>
  <c r="BN62"/>
  <c r="BU62"/>
  <c r="BT130"/>
  <c r="BS130"/>
  <c r="BR130"/>
  <c r="BP130"/>
  <c r="BO130"/>
  <c r="BN130"/>
  <c r="BQ130"/>
  <c r="BU130"/>
  <c r="BY130"/>
  <c r="BX130"/>
  <c r="BW130"/>
  <c r="BV130"/>
  <c r="BT84"/>
  <c r="BW84"/>
  <c r="BQ84"/>
  <c r="BP84"/>
  <c r="BS84"/>
  <c r="BV84"/>
  <c r="BO84"/>
  <c r="BR84"/>
  <c r="BY84"/>
  <c r="BX84"/>
  <c r="BN84"/>
  <c r="BU84"/>
  <c r="BT105"/>
  <c r="BO105"/>
  <c r="BN105"/>
  <c r="BP105"/>
  <c r="BY105"/>
  <c r="BU105"/>
  <c r="BQ105"/>
  <c r="BW105"/>
  <c r="BV105"/>
  <c r="BX105"/>
  <c r="BS105"/>
  <c r="BR105"/>
  <c r="BT129"/>
  <c r="BS129"/>
  <c r="BR129"/>
  <c r="BP129"/>
  <c r="BO129"/>
  <c r="BN129"/>
  <c r="BQ129"/>
  <c r="BU129"/>
  <c r="BY129"/>
  <c r="BX129"/>
  <c r="BW129"/>
  <c r="BV129"/>
  <c r="BT141"/>
  <c r="BS141"/>
  <c r="BR141"/>
  <c r="BP141"/>
  <c r="BO141"/>
  <c r="BN141"/>
  <c r="BU141"/>
  <c r="BY141"/>
  <c r="BQ141"/>
  <c r="BX141"/>
  <c r="BW141"/>
  <c r="BV141"/>
  <c r="BT137"/>
  <c r="BS137"/>
  <c r="BR137"/>
  <c r="BP137"/>
  <c r="BO137"/>
  <c r="BN137"/>
  <c r="BY137"/>
  <c r="BU137"/>
  <c r="BQ137"/>
  <c r="BX137"/>
  <c r="BW137"/>
  <c r="BV137"/>
  <c r="BT61"/>
  <c r="BW61"/>
  <c r="BU61"/>
  <c r="BP61"/>
  <c r="BS61"/>
  <c r="BV61"/>
  <c r="BO61"/>
  <c r="BR61"/>
  <c r="BQ61"/>
  <c r="BX61"/>
  <c r="BN61"/>
  <c r="BY61"/>
  <c r="BT41"/>
  <c r="BW41"/>
  <c r="BU41"/>
  <c r="BP41"/>
  <c r="BS41"/>
  <c r="BV41"/>
  <c r="BO41"/>
  <c r="BR41"/>
  <c r="BY41"/>
  <c r="BX41"/>
  <c r="BN41"/>
  <c r="BQ41"/>
  <c r="BT158"/>
  <c r="BS158"/>
  <c r="BR158"/>
  <c r="BP158"/>
  <c r="BO158"/>
  <c r="BN158"/>
  <c r="BY158"/>
  <c r="BU158"/>
  <c r="BQ158"/>
  <c r="BX158"/>
  <c r="BW158"/>
  <c r="BV158"/>
  <c r="BO87"/>
  <c r="BR87"/>
  <c r="BU87"/>
  <c r="BX87"/>
  <c r="BN87"/>
  <c r="BQ87"/>
  <c r="BT87"/>
  <c r="BW87"/>
  <c r="BY87"/>
  <c r="BP87"/>
  <c r="BS87"/>
  <c r="BV87"/>
  <c r="BT178"/>
  <c r="BW178"/>
  <c r="BU178"/>
  <c r="BP178"/>
  <c r="BS178"/>
  <c r="BV178"/>
  <c r="BO178"/>
  <c r="BR178"/>
  <c r="BY178"/>
  <c r="BX178"/>
  <c r="BN178"/>
  <c r="BQ178"/>
  <c r="BT99"/>
  <c r="BS99"/>
  <c r="BR99"/>
  <c r="BP99"/>
  <c r="BO99"/>
  <c r="BN99"/>
  <c r="BQ99"/>
  <c r="BU99"/>
  <c r="BY99"/>
  <c r="BX99"/>
  <c r="BW99"/>
  <c r="BV99"/>
  <c r="BT144"/>
  <c r="BS144"/>
  <c r="BR144"/>
  <c r="BP144"/>
  <c r="BO144"/>
  <c r="BN144"/>
  <c r="BY144"/>
  <c r="BU144"/>
  <c r="BQ144"/>
  <c r="BX144"/>
  <c r="BW144"/>
  <c r="BV144"/>
  <c r="BT117"/>
  <c r="BS117"/>
  <c r="BR117"/>
  <c r="BP117"/>
  <c r="BO117"/>
  <c r="BN117"/>
  <c r="BU117"/>
  <c r="BQ117"/>
  <c r="BY117"/>
  <c r="BX117"/>
  <c r="BW117"/>
  <c r="BV117"/>
  <c r="BQ97"/>
  <c r="BW97"/>
  <c r="BV97"/>
  <c r="BX97"/>
  <c r="BS97"/>
  <c r="BR97"/>
  <c r="BT97"/>
  <c r="BO97"/>
  <c r="BN97"/>
  <c r="BP97"/>
  <c r="BY97"/>
  <c r="BU97"/>
  <c r="BT113"/>
  <c r="BS113"/>
  <c r="BR113"/>
  <c r="BP113"/>
  <c r="BO113"/>
  <c r="BN113"/>
  <c r="BQ113"/>
  <c r="BU113"/>
  <c r="BY113"/>
  <c r="BX113"/>
  <c r="BW113"/>
  <c r="BV113"/>
  <c r="BT165"/>
  <c r="BW165"/>
  <c r="BQ165"/>
  <c r="BP165"/>
  <c r="BS165"/>
  <c r="BV165"/>
  <c r="BO165"/>
  <c r="BR165"/>
  <c r="BY165"/>
  <c r="BX165"/>
  <c r="BN165"/>
  <c r="BU165"/>
  <c r="BT103"/>
  <c r="BS103"/>
  <c r="BN103"/>
  <c r="BP103"/>
  <c r="BO103"/>
  <c r="BY103"/>
  <c r="BU103"/>
  <c r="BQ103"/>
  <c r="BV103"/>
  <c r="BX103"/>
  <c r="BW103"/>
  <c r="BR103"/>
  <c r="BT67"/>
  <c r="BW67"/>
  <c r="BQ67"/>
  <c r="BP67"/>
  <c r="BS67"/>
  <c r="BV67"/>
  <c r="BO67"/>
  <c r="BR67"/>
  <c r="BU67"/>
  <c r="BX67"/>
  <c r="BN67"/>
  <c r="BY67"/>
  <c r="BT151"/>
  <c r="BS151"/>
  <c r="BR151"/>
  <c r="BP151"/>
  <c r="BO151"/>
  <c r="BN151"/>
  <c r="BY151"/>
  <c r="BU151"/>
  <c r="BQ151"/>
  <c r="BX151"/>
  <c r="BW151"/>
  <c r="BV151"/>
  <c r="BT155"/>
  <c r="BS155"/>
  <c r="BR155"/>
  <c r="BP155"/>
  <c r="BO155"/>
  <c r="BN155"/>
  <c r="BY155"/>
  <c r="BU155"/>
  <c r="BQ155"/>
  <c r="BX155"/>
  <c r="BW155"/>
  <c r="BV155"/>
  <c r="BT55"/>
  <c r="BW55"/>
  <c r="BY55"/>
  <c r="BP55"/>
  <c r="BS55"/>
  <c r="BV55"/>
  <c r="BO55"/>
  <c r="BR55"/>
  <c r="BU55"/>
  <c r="BX55"/>
  <c r="BN55"/>
  <c r="BQ55"/>
  <c r="BT47"/>
  <c r="BW47"/>
  <c r="BY47"/>
  <c r="BP47"/>
  <c r="BS47"/>
  <c r="BV47"/>
  <c r="BO47"/>
  <c r="BR47"/>
  <c r="BU47"/>
  <c r="BX47"/>
  <c r="BN47"/>
  <c r="BQ47"/>
  <c r="BY157"/>
  <c r="BU157"/>
  <c r="BQ157"/>
  <c r="BX157"/>
  <c r="BW157"/>
  <c r="BV157"/>
  <c r="BT157"/>
  <c r="BS157"/>
  <c r="BR157"/>
  <c r="BP157"/>
  <c r="BO157"/>
  <c r="BN157"/>
  <c r="BT85"/>
  <c r="BW85"/>
  <c r="BU85"/>
  <c r="BP85"/>
  <c r="BS85"/>
  <c r="BV85"/>
  <c r="BO85"/>
  <c r="BR85"/>
  <c r="BQ85"/>
  <c r="BX85"/>
  <c r="BN85"/>
  <c r="BY85"/>
  <c r="BT138"/>
  <c r="BS138"/>
  <c r="BR138"/>
  <c r="BP138"/>
  <c r="BO138"/>
  <c r="BN138"/>
  <c r="BY138"/>
  <c r="BU138"/>
  <c r="BQ138"/>
  <c r="BX138"/>
  <c r="BW138"/>
  <c r="BV138"/>
  <c r="BT125"/>
  <c r="BS125"/>
  <c r="BR125"/>
  <c r="BP125"/>
  <c r="BO125"/>
  <c r="BN125"/>
  <c r="BQ125"/>
  <c r="BU125"/>
  <c r="BY125"/>
  <c r="BX125"/>
  <c r="BW125"/>
  <c r="BV125"/>
  <c r="BT81"/>
  <c r="BW81"/>
  <c r="BU81"/>
  <c r="BP81"/>
  <c r="BS81"/>
  <c r="BV81"/>
  <c r="BO81"/>
  <c r="BR81"/>
  <c r="BY81"/>
  <c r="BX81"/>
  <c r="BN81"/>
  <c r="BQ81"/>
  <c r="BT182"/>
  <c r="BW182"/>
  <c r="BU182"/>
  <c r="BP182"/>
  <c r="BS182"/>
  <c r="BV182"/>
  <c r="BO182"/>
  <c r="BR182"/>
  <c r="BY182"/>
  <c r="BX182"/>
  <c r="BN182"/>
  <c r="BQ182"/>
  <c r="BT148"/>
  <c r="BS148"/>
  <c r="BR148"/>
  <c r="BP148"/>
  <c r="BO148"/>
  <c r="BN148"/>
  <c r="BY148"/>
  <c r="BU148"/>
  <c r="BQ148"/>
  <c r="BX148"/>
  <c r="BW148"/>
  <c r="BV148"/>
  <c r="BT112"/>
  <c r="BS112"/>
  <c r="BR112"/>
  <c r="BP112"/>
  <c r="BO112"/>
  <c r="BN112"/>
  <c r="BQ112"/>
  <c r="BU112"/>
  <c r="BY112"/>
  <c r="BX112"/>
  <c r="BW112"/>
  <c r="BV112"/>
  <c r="BT171"/>
  <c r="BW171"/>
  <c r="BY171"/>
  <c r="BP171"/>
  <c r="BS171"/>
  <c r="BV171"/>
  <c r="BO171"/>
  <c r="BR171"/>
  <c r="BQ171"/>
  <c r="BX171"/>
  <c r="BN171"/>
  <c r="BU171"/>
  <c r="BT60"/>
  <c r="BW60"/>
  <c r="BQ60"/>
  <c r="BP60"/>
  <c r="BS60"/>
  <c r="BV60"/>
  <c r="BO60"/>
  <c r="BR60"/>
  <c r="BY60"/>
  <c r="BX60"/>
  <c r="BN60"/>
  <c r="BU60"/>
  <c r="BT93"/>
  <c r="BO93"/>
  <c r="BN93"/>
  <c r="BP93"/>
  <c r="BY93"/>
  <c r="BU93"/>
  <c r="BQ93"/>
  <c r="BW93"/>
  <c r="BV93"/>
  <c r="BX93"/>
  <c r="BS93"/>
  <c r="BR93"/>
  <c r="BT201"/>
  <c r="BW201"/>
  <c r="BQ201"/>
  <c r="BP201"/>
  <c r="BS201"/>
  <c r="BV201"/>
  <c r="BO201"/>
  <c r="BR201"/>
  <c r="BU201"/>
  <c r="BX201"/>
  <c r="BN201"/>
  <c r="BY201"/>
  <c r="BT101"/>
  <c r="BO101"/>
  <c r="BN101"/>
  <c r="BP101"/>
  <c r="BY101"/>
  <c r="BU101"/>
  <c r="BQ101"/>
  <c r="BW101"/>
  <c r="BV101"/>
  <c r="BX101"/>
  <c r="BS101"/>
  <c r="BR101"/>
  <c r="BT156"/>
  <c r="BS156"/>
  <c r="BR156"/>
  <c r="BP156"/>
  <c r="BO156"/>
  <c r="BN156"/>
  <c r="BY156"/>
  <c r="BU156"/>
  <c r="BQ156"/>
  <c r="BX156"/>
  <c r="BW156"/>
  <c r="BV156"/>
  <c r="BT91"/>
  <c r="BS91"/>
  <c r="BV91"/>
  <c r="BN91"/>
  <c r="BY91"/>
  <c r="BR91"/>
  <c r="BO91"/>
  <c r="BQ91"/>
  <c r="BU91"/>
  <c r="BP91"/>
  <c r="BX91"/>
  <c r="BW91"/>
  <c r="BO63"/>
  <c r="BR63"/>
  <c r="BU63"/>
  <c r="BX63"/>
  <c r="BN63"/>
  <c r="BQ63"/>
  <c r="BT63"/>
  <c r="BW63"/>
  <c r="BY63"/>
  <c r="BP63"/>
  <c r="BS63"/>
  <c r="BV63"/>
  <c r="BT187"/>
  <c r="BW187"/>
  <c r="BY187"/>
  <c r="BP187"/>
  <c r="BS187"/>
  <c r="BV187"/>
  <c r="BO187"/>
  <c r="BR187"/>
  <c r="BQ187"/>
  <c r="BX187"/>
  <c r="BN187"/>
  <c r="BU187"/>
  <c r="BT71"/>
  <c r="BW71"/>
  <c r="BY71"/>
  <c r="BP71"/>
  <c r="BS71"/>
  <c r="BV71"/>
  <c r="BO71"/>
  <c r="BR71"/>
  <c r="BU71"/>
  <c r="BX71"/>
  <c r="BN71"/>
  <c r="BQ71"/>
  <c r="BT183"/>
  <c r="BW183"/>
  <c r="BY183"/>
  <c r="BP183"/>
  <c r="BS183"/>
  <c r="BV183"/>
  <c r="BO183"/>
  <c r="BR183"/>
  <c r="BQ183"/>
  <c r="BX183"/>
  <c r="BN183"/>
  <c r="BU183"/>
  <c r="BT111"/>
  <c r="BS111"/>
  <c r="BR111"/>
  <c r="BP111"/>
  <c r="BO111"/>
  <c r="BN111"/>
  <c r="BQ111"/>
  <c r="BU111"/>
  <c r="BY111"/>
  <c r="BX111"/>
  <c r="BW111"/>
  <c r="BV111"/>
  <c r="BO39"/>
  <c r="BR39"/>
  <c r="BU39"/>
  <c r="BX39"/>
  <c r="BN39"/>
  <c r="BQ39"/>
  <c r="BT39"/>
  <c r="BW39"/>
  <c r="BY39"/>
  <c r="BP39"/>
  <c r="BS39"/>
  <c r="BV39"/>
  <c r="BT203"/>
  <c r="BW203"/>
  <c r="BY203"/>
  <c r="BP203"/>
  <c r="BS203"/>
  <c r="BV203"/>
  <c r="BO203"/>
  <c r="BR203"/>
  <c r="BQ203"/>
  <c r="BX203"/>
  <c r="BN203"/>
  <c r="BU203"/>
  <c r="BY139"/>
  <c r="BU139"/>
  <c r="BQ139"/>
  <c r="BX139"/>
  <c r="BW139"/>
  <c r="BV139"/>
  <c r="BT139"/>
  <c r="BS139"/>
  <c r="BR139"/>
  <c r="BP139"/>
  <c r="BO139"/>
  <c r="BN139"/>
  <c r="BT163"/>
  <c r="BS163"/>
  <c r="BR163"/>
  <c r="BP163"/>
  <c r="BO163"/>
  <c r="BN163"/>
  <c r="BU163"/>
  <c r="BY163"/>
  <c r="BQ163"/>
  <c r="BX163"/>
  <c r="BW163"/>
  <c r="BV163"/>
  <c r="BT127"/>
  <c r="BS127"/>
  <c r="BR127"/>
  <c r="BP127"/>
  <c r="BO127"/>
  <c r="BN127"/>
  <c r="BU127"/>
  <c r="BQ127"/>
  <c r="BY127"/>
  <c r="BX127"/>
  <c r="BW127"/>
  <c r="BV127"/>
  <c r="BT107"/>
  <c r="BS107"/>
  <c r="BR107"/>
  <c r="BP107"/>
  <c r="BO107"/>
  <c r="BN107"/>
  <c r="BQ107"/>
  <c r="BY107"/>
  <c r="BU107"/>
  <c r="BX107"/>
  <c r="BW107"/>
  <c r="BV107"/>
  <c r="BO167"/>
  <c r="BR167"/>
  <c r="BQ167"/>
  <c r="BX167"/>
  <c r="BN167"/>
  <c r="BU167"/>
  <c r="BT167"/>
  <c r="BW167"/>
  <c r="BY167"/>
  <c r="BP167"/>
  <c r="BS167"/>
  <c r="BV167"/>
  <c r="BT143"/>
  <c r="BS143"/>
  <c r="BR143"/>
  <c r="BP143"/>
  <c r="BO143"/>
  <c r="BN143"/>
  <c r="BU143"/>
  <c r="BY143"/>
  <c r="BQ143"/>
  <c r="BX143"/>
  <c r="BW143"/>
  <c r="BV143"/>
  <c r="BT75"/>
  <c r="BW75"/>
  <c r="BQ75"/>
  <c r="BP75"/>
  <c r="BS75"/>
  <c r="BV75"/>
  <c r="BO75"/>
  <c r="BR75"/>
  <c r="BU75"/>
  <c r="BX75"/>
  <c r="BN75"/>
  <c r="BY75"/>
  <c r="BT119"/>
  <c r="BS119"/>
  <c r="BR119"/>
  <c r="BP119"/>
  <c r="BO119"/>
  <c r="BN119"/>
  <c r="BQ119"/>
  <c r="BU119"/>
  <c r="BY119"/>
  <c r="BX119"/>
  <c r="BW119"/>
  <c r="BV119"/>
  <c r="BT179"/>
  <c r="BW179"/>
  <c r="BY179"/>
  <c r="BP179"/>
  <c r="BS179"/>
  <c r="BV179"/>
  <c r="BO179"/>
  <c r="BR179"/>
  <c r="BQ179"/>
  <c r="BX179"/>
  <c r="BN179"/>
  <c r="BU179"/>
  <c r="BT79"/>
  <c r="BW79"/>
  <c r="BY79"/>
  <c r="BP79"/>
  <c r="BS79"/>
  <c r="BV79"/>
  <c r="BO79"/>
  <c r="BR79"/>
  <c r="BU79"/>
  <c r="BX79"/>
  <c r="BN79"/>
  <c r="BQ79"/>
  <c r="BT131"/>
  <c r="BS131"/>
  <c r="BR131"/>
  <c r="BP131"/>
  <c r="BO131"/>
  <c r="BN131"/>
  <c r="BQ131"/>
  <c r="BU131"/>
  <c r="BY131"/>
  <c r="BX131"/>
  <c r="BW131"/>
  <c r="BV131"/>
  <c r="BT175"/>
  <c r="BW175"/>
  <c r="BY175"/>
  <c r="BP175"/>
  <c r="BS175"/>
  <c r="BV175"/>
  <c r="BO175"/>
  <c r="BR175"/>
  <c r="BQ175"/>
  <c r="BX175"/>
  <c r="BN175"/>
  <c r="BU175"/>
  <c r="BT83"/>
  <c r="BW83"/>
  <c r="BQ83"/>
  <c r="BP83"/>
  <c r="BS83"/>
  <c r="BV83"/>
  <c r="BO83"/>
  <c r="BR83"/>
  <c r="BU83"/>
  <c r="BX83"/>
  <c r="BN83"/>
  <c r="BY83"/>
  <c r="BT98"/>
  <c r="BS98"/>
  <c r="BN98"/>
  <c r="BP98"/>
  <c r="BO98"/>
  <c r="BY98"/>
  <c r="BU98"/>
  <c r="BQ98"/>
  <c r="BV98"/>
  <c r="BX98"/>
  <c r="BW98"/>
  <c r="BR98"/>
  <c r="BT173"/>
  <c r="BW173"/>
  <c r="BQ173"/>
  <c r="BP173"/>
  <c r="BS173"/>
  <c r="BV173"/>
  <c r="BO173"/>
  <c r="BR173"/>
  <c r="BY173"/>
  <c r="BX173"/>
  <c r="BN173"/>
  <c r="BU173"/>
  <c r="BT170"/>
  <c r="BW170"/>
  <c r="BU170"/>
  <c r="BP170"/>
  <c r="BS170"/>
  <c r="BV170"/>
  <c r="BO170"/>
  <c r="BR170"/>
  <c r="BY170"/>
  <c r="BX170"/>
  <c r="BN170"/>
  <c r="BQ170"/>
  <c r="BO37"/>
  <c r="BR37"/>
  <c r="BQ37"/>
  <c r="BX37"/>
  <c r="BN37"/>
  <c r="BY37"/>
  <c r="BT37"/>
  <c r="BW37"/>
  <c r="BU37"/>
  <c r="BP37"/>
  <c r="BS37"/>
  <c r="BV37"/>
  <c r="BT96"/>
  <c r="BS96"/>
  <c r="BN96"/>
  <c r="BP96"/>
  <c r="BO96"/>
  <c r="BY96"/>
  <c r="BU96"/>
  <c r="BQ96"/>
  <c r="BV96"/>
  <c r="BX96"/>
  <c r="BW96"/>
  <c r="BR96"/>
  <c r="BT88"/>
  <c r="BW88"/>
  <c r="BQ88"/>
  <c r="BP88"/>
  <c r="BS88"/>
  <c r="BV88"/>
  <c r="BO88"/>
  <c r="BR88"/>
  <c r="BY88"/>
  <c r="BX88"/>
  <c r="BN88"/>
  <c r="BU88"/>
  <c r="BT73"/>
  <c r="BW73"/>
  <c r="BU73"/>
  <c r="BP73"/>
  <c r="BS73"/>
  <c r="BV73"/>
  <c r="BO73"/>
  <c r="BR73"/>
  <c r="BY73"/>
  <c r="BX73"/>
  <c r="BN73"/>
  <c r="BQ73"/>
  <c r="BT77"/>
  <c r="BW77"/>
  <c r="BU77"/>
  <c r="BP77"/>
  <c r="BS77"/>
  <c r="BV77"/>
  <c r="BO77"/>
  <c r="BR77"/>
  <c r="BQ77"/>
  <c r="BX77"/>
  <c r="BN77"/>
  <c r="BY77"/>
  <c r="BT115"/>
  <c r="BS115"/>
  <c r="BR115"/>
  <c r="BP115"/>
  <c r="BO115"/>
  <c r="BN115"/>
  <c r="BU115"/>
  <c r="BQ115"/>
  <c r="BY115"/>
  <c r="BX115"/>
  <c r="BW115"/>
  <c r="BV115"/>
  <c r="BT95"/>
  <c r="BO95"/>
  <c r="BN95"/>
  <c r="BP95"/>
  <c r="BY95"/>
  <c r="BU95"/>
  <c r="BQ95"/>
  <c r="BW95"/>
  <c r="BV95"/>
  <c r="BX95"/>
  <c r="BS95"/>
  <c r="BR95"/>
  <c r="BT162"/>
  <c r="BS162"/>
  <c r="BR162"/>
  <c r="BP162"/>
  <c r="BO162"/>
  <c r="BN162"/>
  <c r="BU162"/>
  <c r="BY162"/>
  <c r="BQ162"/>
  <c r="BX162"/>
  <c r="BW162"/>
  <c r="BV162"/>
  <c r="BT180"/>
  <c r="BW180"/>
  <c r="BY180"/>
  <c r="BP180"/>
  <c r="BS180"/>
  <c r="BV180"/>
  <c r="BO180"/>
  <c r="BR180"/>
  <c r="BQ180"/>
  <c r="BX180"/>
  <c r="BN180"/>
  <c r="BU180"/>
  <c r="BT184"/>
  <c r="BW184"/>
  <c r="BY184"/>
  <c r="BP184"/>
  <c r="BS184"/>
  <c r="BV184"/>
  <c r="BO184"/>
  <c r="BR184"/>
  <c r="BU184"/>
  <c r="BX184"/>
  <c r="BN184"/>
  <c r="BQ184"/>
  <c r="BO59"/>
  <c r="BR59"/>
  <c r="BU59"/>
  <c r="BX59"/>
  <c r="BN59"/>
  <c r="BY59"/>
  <c r="BT59"/>
  <c r="BW59"/>
  <c r="BQ59"/>
  <c r="BP59"/>
  <c r="BS59"/>
  <c r="BV59"/>
  <c r="BO169"/>
  <c r="BR169"/>
  <c r="BU169"/>
  <c r="BX169"/>
  <c r="BN169"/>
  <c r="BY169"/>
  <c r="BT169"/>
  <c r="BW169"/>
  <c r="BQ169"/>
  <c r="BP169"/>
  <c r="BS169"/>
  <c r="BV169"/>
  <c r="HF110" i="9"/>
  <c r="HH110" s="1"/>
  <c r="HF121"/>
  <c r="HH121" s="1"/>
  <c r="HH178"/>
  <c r="HH146"/>
  <c r="HH90"/>
  <c r="HH140"/>
  <c r="HH144"/>
  <c r="HH203"/>
  <c r="HH163"/>
  <c r="HH204"/>
  <c r="HF44"/>
  <c r="HF40"/>
  <c r="HF80"/>
  <c r="HF117"/>
  <c r="HF56"/>
  <c r="HF97"/>
  <c r="HF205"/>
  <c r="HF173"/>
  <c r="HF105"/>
  <c r="HF160"/>
  <c r="HF95"/>
  <c r="HF67"/>
  <c r="HF191"/>
  <c r="HF75"/>
  <c r="HF187"/>
  <c r="HF115"/>
  <c r="HF43"/>
  <c r="HF207"/>
  <c r="HF143"/>
  <c r="HF167"/>
  <c r="HF131"/>
  <c r="HF111"/>
  <c r="HF171"/>
  <c r="HF147"/>
  <c r="HF79"/>
  <c r="HF123"/>
  <c r="HF183"/>
  <c r="HF83"/>
  <c r="HF135"/>
  <c r="HF179"/>
  <c r="HF87"/>
  <c r="HF102"/>
  <c r="HF177"/>
  <c r="HF153"/>
  <c r="HF69"/>
  <c r="HF137"/>
  <c r="HF201"/>
  <c r="HF186"/>
  <c r="HF119"/>
  <c r="HF99"/>
  <c r="HF166"/>
  <c r="HF184"/>
  <c r="HF188"/>
  <c r="HF63"/>
  <c r="HF148"/>
  <c r="HH199"/>
  <c r="HH195"/>
  <c r="HH72"/>
  <c r="HH47"/>
  <c r="HH194"/>
  <c r="HH94"/>
  <c r="HH136"/>
  <c r="HF169"/>
  <c r="HF170"/>
  <c r="HF190"/>
  <c r="HF50"/>
  <c r="HF118"/>
  <c r="HF158"/>
  <c r="HF106"/>
  <c r="HF198"/>
  <c r="HF54"/>
  <c r="HF130"/>
  <c r="HF185"/>
  <c r="HF168"/>
  <c r="HF164"/>
  <c r="HF73"/>
  <c r="HF61"/>
  <c r="HF104"/>
  <c r="HF196"/>
  <c r="HF172"/>
  <c r="HF48"/>
  <c r="HF156"/>
  <c r="HF108"/>
  <c r="HF176"/>
  <c r="HF128"/>
  <c r="HF132"/>
  <c r="HF93"/>
  <c r="HF165"/>
  <c r="HF200"/>
  <c r="HF68"/>
  <c r="HF60"/>
  <c r="HF149"/>
  <c r="HF120"/>
  <c r="HF181"/>
  <c r="HF192"/>
  <c r="HF53"/>
  <c r="HF109"/>
  <c r="HF133"/>
  <c r="HF145"/>
  <c r="HF141"/>
  <c r="HF65"/>
  <c r="HF45"/>
  <c r="HF81"/>
  <c r="HF162"/>
  <c r="HF127"/>
  <c r="HF189"/>
  <c r="HF57"/>
  <c r="HF180"/>
  <c r="HF96"/>
  <c r="HF49"/>
  <c r="HF52"/>
  <c r="HF112"/>
  <c r="HF101"/>
  <c r="HF78"/>
  <c r="HF74"/>
  <c r="HF114"/>
  <c r="HF42"/>
  <c r="HF62"/>
  <c r="HF122"/>
  <c r="HF150"/>
  <c r="HF138"/>
  <c r="HF98"/>
  <c r="HF82"/>
  <c r="HF154"/>
  <c r="HF202"/>
  <c r="HF126"/>
  <c r="HF58"/>
  <c r="HF70"/>
  <c r="HF46"/>
  <c r="HF86"/>
  <c r="HF66"/>
  <c r="HF134"/>
  <c r="HF88"/>
  <c r="HF89"/>
  <c r="HF142"/>
  <c r="HF129"/>
  <c r="HF85"/>
  <c r="HF125"/>
  <c r="HF91"/>
  <c r="HF182"/>
  <c r="HF103"/>
  <c r="HH76"/>
  <c r="HH84"/>
  <c r="HH124"/>
  <c r="HH206"/>
  <c r="HH55"/>
  <c r="HH151"/>
  <c r="HH157"/>
  <c r="HF107"/>
  <c r="HF71"/>
  <c r="HF155"/>
  <c r="HF159"/>
  <c r="HF59"/>
  <c r="HF51"/>
  <c r="HF161"/>
  <c r="HF174"/>
  <c r="HF41"/>
  <c r="HF100"/>
  <c r="HF92"/>
  <c r="HF77"/>
  <c r="HF152"/>
  <c r="HF116"/>
  <c r="HF175"/>
  <c r="HH64"/>
  <c r="HH139"/>
  <c r="IW162"/>
  <c r="JA162"/>
  <c r="IV162"/>
  <c r="IX185"/>
  <c r="IW185"/>
  <c r="IU162"/>
  <c r="IY162"/>
  <c r="IW40"/>
  <c r="JA40"/>
  <c r="IV185"/>
  <c r="JA185"/>
  <c r="IX162"/>
  <c r="IV40"/>
  <c r="IT185"/>
  <c r="IZ197"/>
  <c r="JB197" s="1"/>
  <c r="HG197" s="1"/>
  <c r="R193" i="11" s="1"/>
  <c r="IT197" i="9"/>
  <c r="IY197"/>
  <c r="IX197"/>
  <c r="IW197"/>
  <c r="IV197"/>
  <c r="IF6"/>
  <c r="IE6"/>
  <c r="BY206" i="11"/>
  <c r="BX206"/>
  <c r="BW206"/>
  <c r="BV206"/>
  <c r="BU206"/>
  <c r="BT206"/>
  <c r="BS206"/>
  <c r="BR206"/>
  <c r="BQ206"/>
  <c r="BP206"/>
  <c r="BO206"/>
  <c r="BN206"/>
  <c r="BN205"/>
  <c r="BM3"/>
  <c r="BQ76" l="1"/>
  <c r="BO76"/>
  <c r="BQ181"/>
  <c r="BN76"/>
  <c r="BO181"/>
  <c r="BU76"/>
  <c r="BR76"/>
  <c r="BP76"/>
  <c r="BU181"/>
  <c r="BR181"/>
  <c r="BP181"/>
  <c r="BY76"/>
  <c r="BS76"/>
  <c r="BT76"/>
  <c r="BY181"/>
  <c r="BS181"/>
  <c r="BT181"/>
  <c r="BX76"/>
  <c r="BV76"/>
  <c r="BX181"/>
  <c r="BV181"/>
  <c r="BT193"/>
  <c r="BW193"/>
  <c r="BQ193"/>
  <c r="BP193"/>
  <c r="BS193"/>
  <c r="BV193"/>
  <c r="BO193"/>
  <c r="BR193"/>
  <c r="BU193"/>
  <c r="BX193"/>
  <c r="BN193"/>
  <c r="BY193"/>
  <c r="HH116" i="9"/>
  <c r="HH100"/>
  <c r="HH174"/>
  <c r="HH51"/>
  <c r="HH159"/>
  <c r="HH71"/>
  <c r="HH85"/>
  <c r="HH101"/>
  <c r="HH57"/>
  <c r="HH81"/>
  <c r="HH65"/>
  <c r="HH145"/>
  <c r="HH109"/>
  <c r="HH93"/>
  <c r="HH61"/>
  <c r="HH185"/>
  <c r="HH169"/>
  <c r="HH148"/>
  <c r="HH188"/>
  <c r="HH166"/>
  <c r="HH119"/>
  <c r="HH87"/>
  <c r="HH135"/>
  <c r="HH183"/>
  <c r="HH79"/>
  <c r="HH171"/>
  <c r="HH175"/>
  <c r="HH152"/>
  <c r="HH92"/>
  <c r="HH59"/>
  <c r="HH155"/>
  <c r="HH107"/>
  <c r="HH63"/>
  <c r="HH184"/>
  <c r="HH125"/>
  <c r="HH129"/>
  <c r="HH89"/>
  <c r="HH49"/>
  <c r="HH189"/>
  <c r="HH45"/>
  <c r="HH141"/>
  <c r="HH133"/>
  <c r="HH53"/>
  <c r="HH181"/>
  <c r="HH149"/>
  <c r="HH165"/>
  <c r="HH73"/>
  <c r="HH99"/>
  <c r="HH186"/>
  <c r="HH102"/>
  <c r="HH179"/>
  <c r="HH131"/>
  <c r="HH143"/>
  <c r="HH43"/>
  <c r="HH187"/>
  <c r="HH191"/>
  <c r="HH95"/>
  <c r="HH56"/>
  <c r="HH80"/>
  <c r="HH44"/>
  <c r="HH173"/>
  <c r="HH97"/>
  <c r="HH83"/>
  <c r="HH123"/>
  <c r="HH147"/>
  <c r="HH111"/>
  <c r="HH167"/>
  <c r="HH207"/>
  <c r="HH115"/>
  <c r="HH75"/>
  <c r="HH40"/>
  <c r="HF197"/>
  <c r="HH77"/>
  <c r="HH182"/>
  <c r="HH134"/>
  <c r="HH86"/>
  <c r="HH70"/>
  <c r="HH126"/>
  <c r="HH154"/>
  <c r="HH98"/>
  <c r="HH150"/>
  <c r="HH62"/>
  <c r="HH114"/>
  <c r="HH78"/>
  <c r="HH112"/>
  <c r="HH180"/>
  <c r="HH162"/>
  <c r="HH68"/>
  <c r="HH132"/>
  <c r="HH176"/>
  <c r="HH156"/>
  <c r="HH172"/>
  <c r="HH104"/>
  <c r="HH168"/>
  <c r="HH130"/>
  <c r="HH198"/>
  <c r="HH158"/>
  <c r="HH50"/>
  <c r="HH170"/>
  <c r="HH201"/>
  <c r="HH69"/>
  <c r="HH177"/>
  <c r="HH105"/>
  <c r="HH205"/>
  <c r="HH41"/>
  <c r="HH161"/>
  <c r="HH103"/>
  <c r="HH91"/>
  <c r="HH142"/>
  <c r="HH88"/>
  <c r="HH66"/>
  <c r="HH46"/>
  <c r="HH58"/>
  <c r="HH202"/>
  <c r="HH82"/>
  <c r="HH138"/>
  <c r="HH122"/>
  <c r="HH42"/>
  <c r="HH74"/>
  <c r="HH52"/>
  <c r="HH96"/>
  <c r="HH127"/>
  <c r="HH192"/>
  <c r="HH120"/>
  <c r="HH60"/>
  <c r="HH200"/>
  <c r="HH128"/>
  <c r="HH108"/>
  <c r="HH48"/>
  <c r="HH196"/>
  <c r="HH164"/>
  <c r="HH54"/>
  <c r="HH106"/>
  <c r="HH118"/>
  <c r="HH190"/>
  <c r="HH137"/>
  <c r="HH153"/>
  <c r="HH117"/>
  <c r="HH67"/>
  <c r="HH160"/>
  <c r="HH197" l="1"/>
  <c r="K3" i="8" l="1"/>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
  <c r="E8"/>
  <c r="BJ8" i="9"/>
  <c r="AR8"/>
  <c r="AY8" s="1"/>
  <c r="BD8" s="1"/>
  <c r="AQ8"/>
  <c r="AL8"/>
  <c r="X8"/>
  <c r="CW3"/>
  <c r="CF3"/>
  <c r="BI3"/>
  <c r="X3"/>
  <c r="J3"/>
  <c r="BC3"/>
  <c r="AY7"/>
  <c r="AQ7"/>
  <c r="BB7" s="1"/>
  <c r="AQ6"/>
  <c r="AU6"/>
  <c r="B131" i="19" l="1"/>
  <c r="B102"/>
  <c r="B73"/>
  <c r="R131"/>
  <c r="R102"/>
  <c r="R73"/>
  <c r="B130"/>
  <c r="B101"/>
  <c r="B72"/>
  <c r="R130"/>
  <c r="R101"/>
  <c r="R72"/>
  <c r="B44"/>
  <c r="A15" i="4"/>
  <c r="R15" i="19"/>
  <c r="B15"/>
  <c r="R44"/>
  <c r="B43"/>
  <c r="R43"/>
  <c r="A14" i="4"/>
  <c r="R14" i="19"/>
  <c r="B14"/>
  <c r="CC8" i="9"/>
  <c r="BX8"/>
  <c r="BM8"/>
  <c r="F17" i="4" s="1"/>
  <c r="J17" s="1"/>
  <c r="BB8" i="9"/>
  <c r="AS8"/>
  <c r="AT8" s="1"/>
  <c r="AZ8" s="1"/>
  <c r="BF8"/>
  <c r="AX8"/>
  <c r="BC8" s="1"/>
  <c r="BB6"/>
  <c r="AS6"/>
  <c r="BB202"/>
  <c r="DC202" s="1"/>
  <c r="BB163"/>
  <c r="DC163" s="1"/>
  <c r="BB194"/>
  <c r="DC194" s="1"/>
  <c r="BB195"/>
  <c r="DC195" s="1"/>
  <c r="BB183"/>
  <c r="DC183" s="1"/>
  <c r="BB167"/>
  <c r="DC167" s="1"/>
  <c r="BB200"/>
  <c r="DC200" s="1"/>
  <c r="BB198"/>
  <c r="DC198" s="1"/>
  <c r="BB190"/>
  <c r="DC190" s="1"/>
  <c r="BB122"/>
  <c r="DC122" s="1"/>
  <c r="BB90"/>
  <c r="DC90" s="1"/>
  <c r="BB58"/>
  <c r="DC58" s="1"/>
  <c r="BB33"/>
  <c r="DC33" s="1"/>
  <c r="BB133"/>
  <c r="DC133" s="1"/>
  <c r="BB83"/>
  <c r="DC83" s="1"/>
  <c r="BB67"/>
  <c r="DC67" s="1"/>
  <c r="BB53"/>
  <c r="DC53" s="1"/>
  <c r="BB51"/>
  <c r="DC51" s="1"/>
  <c r="BB31"/>
  <c r="DC31" s="1"/>
  <c r="BB19"/>
  <c r="DC19" s="1"/>
  <c r="BB148"/>
  <c r="DC148" s="1"/>
  <c r="BB141"/>
  <c r="DC141" s="1"/>
  <c r="BB117"/>
  <c r="DC117" s="1"/>
  <c r="BB93"/>
  <c r="DC93" s="1"/>
  <c r="BB84"/>
  <c r="DC84" s="1"/>
  <c r="BB76"/>
  <c r="DC76" s="1"/>
  <c r="BB68"/>
  <c r="DC68" s="1"/>
  <c r="BB36"/>
  <c r="DC36" s="1"/>
  <c r="BB24"/>
  <c r="DC24" s="1"/>
  <c r="BB134"/>
  <c r="DC134" s="1"/>
  <c r="BB102"/>
  <c r="DC102" s="1"/>
  <c r="BB70"/>
  <c r="DC70" s="1"/>
  <c r="BB38"/>
  <c r="DC38" s="1"/>
  <c r="BB152"/>
  <c r="DC152" s="1"/>
  <c r="BB143"/>
  <c r="DC143" s="1"/>
  <c r="BB87"/>
  <c r="DC87" s="1"/>
  <c r="BB151"/>
  <c r="DC151" s="1"/>
  <c r="BB135"/>
  <c r="DC135" s="1"/>
  <c r="BB128"/>
  <c r="DC128" s="1"/>
  <c r="BB120"/>
  <c r="DC120" s="1"/>
  <c r="BB103"/>
  <c r="DC103" s="1"/>
  <c r="BB97"/>
  <c r="DC97" s="1"/>
  <c r="BB56"/>
  <c r="DC56" s="1"/>
  <c r="BB47"/>
  <c r="DC47" s="1"/>
  <c r="BB13"/>
  <c r="DC13" s="1"/>
  <c r="BB168"/>
  <c r="DC168" s="1"/>
  <c r="BB187"/>
  <c r="DC187" s="1"/>
  <c r="BB157"/>
  <c r="DC157" s="1"/>
  <c r="BB203"/>
  <c r="DC203" s="1"/>
  <c r="BB205"/>
  <c r="DC205" s="1"/>
  <c r="BB165"/>
  <c r="DC165" s="1"/>
  <c r="BB196"/>
  <c r="DC196" s="1"/>
  <c r="BB170"/>
  <c r="DC170" s="1"/>
  <c r="BB197"/>
  <c r="DC197" s="1"/>
  <c r="BB206"/>
  <c r="DC206" s="1"/>
  <c r="BB192"/>
  <c r="DC192" s="1"/>
  <c r="BB180"/>
  <c r="DC180" s="1"/>
  <c r="BB199"/>
  <c r="DC199" s="1"/>
  <c r="BB191"/>
  <c r="DC191" s="1"/>
  <c r="BB174"/>
  <c r="DC174" s="1"/>
  <c r="BB114"/>
  <c r="DC114" s="1"/>
  <c r="BB82"/>
  <c r="DC82" s="1"/>
  <c r="BB50"/>
  <c r="DC50" s="1"/>
  <c r="BB30"/>
  <c r="DC30" s="1"/>
  <c r="BB25"/>
  <c r="DC25" s="1"/>
  <c r="BB18"/>
  <c r="DC18" s="1"/>
  <c r="BB14"/>
  <c r="DC14" s="1"/>
  <c r="BB154"/>
  <c r="DC154" s="1"/>
  <c r="BB153"/>
  <c r="DC153" s="1"/>
  <c r="BB139"/>
  <c r="DC139" s="1"/>
  <c r="BB108"/>
  <c r="DC108" s="1"/>
  <c r="BB99"/>
  <c r="DC99" s="1"/>
  <c r="BB85"/>
  <c r="DC85" s="1"/>
  <c r="BB69"/>
  <c r="DC69" s="1"/>
  <c r="BB52"/>
  <c r="DC52" s="1"/>
  <c r="BB44"/>
  <c r="DC44" s="1"/>
  <c r="BB27"/>
  <c r="DC27" s="1"/>
  <c r="BB15"/>
  <c r="DC15" s="1"/>
  <c r="BB126"/>
  <c r="DC126" s="1"/>
  <c r="BB94"/>
  <c r="DC94" s="1"/>
  <c r="BB62"/>
  <c r="DC62" s="1"/>
  <c r="BB9"/>
  <c r="DC9" s="1"/>
  <c r="BB127"/>
  <c r="DC127" s="1"/>
  <c r="BB63"/>
  <c r="DC63" s="1"/>
  <c r="BB144"/>
  <c r="DC144" s="1"/>
  <c r="BB136"/>
  <c r="DC136" s="1"/>
  <c r="BB129"/>
  <c r="DC129" s="1"/>
  <c r="BB121"/>
  <c r="DC121" s="1"/>
  <c r="BB111"/>
  <c r="DC111" s="1"/>
  <c r="BB104"/>
  <c r="DC104" s="1"/>
  <c r="BB71"/>
  <c r="DC71" s="1"/>
  <c r="BB64"/>
  <c r="DC64" s="1"/>
  <c r="BB57"/>
  <c r="DC57" s="1"/>
  <c r="BB48"/>
  <c r="DC48" s="1"/>
  <c r="BB40"/>
  <c r="DC40" s="1"/>
  <c r="BB169"/>
  <c r="DC169" s="1"/>
  <c r="BB164"/>
  <c r="DC164" s="1"/>
  <c r="BB193"/>
  <c r="DC193" s="1"/>
  <c r="BB181"/>
  <c r="DC181" s="1"/>
  <c r="BB204"/>
  <c r="DC204" s="1"/>
  <c r="BB186"/>
  <c r="DC186" s="1"/>
  <c r="BB171"/>
  <c r="DC171" s="1"/>
  <c r="BB158"/>
  <c r="DC158" s="1"/>
  <c r="BB189"/>
  <c r="DC189" s="1"/>
  <c r="BB179"/>
  <c r="DC179" s="1"/>
  <c r="BB207"/>
  <c r="DC207" s="1"/>
  <c r="BB178"/>
  <c r="DC178" s="1"/>
  <c r="BB201"/>
  <c r="DC201" s="1"/>
  <c r="BB175"/>
  <c r="DC175" s="1"/>
  <c r="BB146"/>
  <c r="DC146" s="1"/>
  <c r="BB138"/>
  <c r="DC138" s="1"/>
  <c r="BB106"/>
  <c r="DC106" s="1"/>
  <c r="BB74"/>
  <c r="DC74" s="1"/>
  <c r="BB42"/>
  <c r="DC42" s="1"/>
  <c r="BB149"/>
  <c r="DC149" s="1"/>
  <c r="BB21"/>
  <c r="DC21" s="1"/>
  <c r="BB101"/>
  <c r="DC101" s="1"/>
  <c r="BB37"/>
  <c r="DC37" s="1"/>
  <c r="BB35"/>
  <c r="DC35" s="1"/>
  <c r="BB23"/>
  <c r="DC23" s="1"/>
  <c r="BB155"/>
  <c r="DC155" s="1"/>
  <c r="BB140"/>
  <c r="DC140" s="1"/>
  <c r="BB131"/>
  <c r="DC131" s="1"/>
  <c r="BB124"/>
  <c r="DC124" s="1"/>
  <c r="BB115"/>
  <c r="DC115" s="1"/>
  <c r="BB109"/>
  <c r="DC109" s="1"/>
  <c r="BB100"/>
  <c r="DC100" s="1"/>
  <c r="BB91"/>
  <c r="DC91" s="1"/>
  <c r="BB59"/>
  <c r="DC59" s="1"/>
  <c r="BB28"/>
  <c r="DC28" s="1"/>
  <c r="BB16"/>
  <c r="BB118"/>
  <c r="DC118" s="1"/>
  <c r="BB86"/>
  <c r="DC86" s="1"/>
  <c r="BB54"/>
  <c r="DC54" s="1"/>
  <c r="BB145"/>
  <c r="DC145" s="1"/>
  <c r="BB41"/>
  <c r="DC41" s="1"/>
  <c r="BB39"/>
  <c r="DC39" s="1"/>
  <c r="BB137"/>
  <c r="DC137" s="1"/>
  <c r="BB112"/>
  <c r="DC112" s="1"/>
  <c r="BB105"/>
  <c r="DC105" s="1"/>
  <c r="BB95"/>
  <c r="DC95" s="1"/>
  <c r="BB88"/>
  <c r="DC88" s="1"/>
  <c r="BB79"/>
  <c r="DC79" s="1"/>
  <c r="BB72"/>
  <c r="DC72" s="1"/>
  <c r="BB65"/>
  <c r="DC65" s="1"/>
  <c r="BB49"/>
  <c r="DC49" s="1"/>
  <c r="BB184"/>
  <c r="DC184" s="1"/>
  <c r="BB176"/>
  <c r="DC176" s="1"/>
  <c r="BB160"/>
  <c r="DC160" s="1"/>
  <c r="BB162"/>
  <c r="DC162" s="1"/>
  <c r="BB188"/>
  <c r="DC188" s="1"/>
  <c r="BB182"/>
  <c r="DC182" s="1"/>
  <c r="BB159"/>
  <c r="DC159" s="1"/>
  <c r="BB173"/>
  <c r="DC173" s="1"/>
  <c r="BB166"/>
  <c r="DC166" s="1"/>
  <c r="BB130"/>
  <c r="DC130" s="1"/>
  <c r="BB98"/>
  <c r="DC98" s="1"/>
  <c r="BB66"/>
  <c r="DC66" s="1"/>
  <c r="BB34"/>
  <c r="DC34" s="1"/>
  <c r="BB26"/>
  <c r="DC26" s="1"/>
  <c r="BB22"/>
  <c r="DC22" s="1"/>
  <c r="BB17"/>
  <c r="DC17" s="1"/>
  <c r="BB11"/>
  <c r="DC11" s="1"/>
  <c r="BB150"/>
  <c r="DC150" s="1"/>
  <c r="BB29"/>
  <c r="DC29" s="1"/>
  <c r="BB12"/>
  <c r="DC12" s="1"/>
  <c r="BB147"/>
  <c r="DC147" s="1"/>
  <c r="BB123"/>
  <c r="DC123" s="1"/>
  <c r="BB107"/>
  <c r="DC107" s="1"/>
  <c r="BB77"/>
  <c r="DC77" s="1"/>
  <c r="BB75"/>
  <c r="DC75" s="1"/>
  <c r="BB61"/>
  <c r="DC61" s="1"/>
  <c r="BB45"/>
  <c r="DC45" s="1"/>
  <c r="BB43"/>
  <c r="DC43" s="1"/>
  <c r="BB132"/>
  <c r="DC132" s="1"/>
  <c r="BB125"/>
  <c r="DC125" s="1"/>
  <c r="BB116"/>
  <c r="DC116" s="1"/>
  <c r="BB92"/>
  <c r="DC92" s="1"/>
  <c r="BB60"/>
  <c r="DC60" s="1"/>
  <c r="BB32"/>
  <c r="DC32" s="1"/>
  <c r="BB20"/>
  <c r="DC20" s="1"/>
  <c r="BB142"/>
  <c r="DC142" s="1"/>
  <c r="BB110"/>
  <c r="DC110" s="1"/>
  <c r="BB78"/>
  <c r="DC78" s="1"/>
  <c r="BB46"/>
  <c r="DC46" s="1"/>
  <c r="BB113"/>
  <c r="DC113" s="1"/>
  <c r="BB81"/>
  <c r="DC81" s="1"/>
  <c r="BB10"/>
  <c r="DC10" s="1"/>
  <c r="BB119"/>
  <c r="DC119" s="1"/>
  <c r="BB96"/>
  <c r="DC96" s="1"/>
  <c r="BB89"/>
  <c r="DC89" s="1"/>
  <c r="BB80"/>
  <c r="DC80" s="1"/>
  <c r="BB73"/>
  <c r="DC73" s="1"/>
  <c r="BB55"/>
  <c r="DC55" s="1"/>
  <c r="BB185"/>
  <c r="DC185" s="1"/>
  <c r="BB177"/>
  <c r="DC177" s="1"/>
  <c r="BB172"/>
  <c r="DC172" s="1"/>
  <c r="BB161"/>
  <c r="DC161" s="1"/>
  <c r="BB156"/>
  <c r="DC156" s="1"/>
  <c r="AW6"/>
  <c r="BC36"/>
  <c r="BC24"/>
  <c r="BC12"/>
  <c r="BC26"/>
  <c r="BC37"/>
  <c r="BC35"/>
  <c r="BC25"/>
  <c r="BC23"/>
  <c r="BC11"/>
  <c r="BC9"/>
  <c r="AS7"/>
  <c r="AX7"/>
  <c r="AX6"/>
  <c r="AG8"/>
  <c r="AF8"/>
  <c r="AA8"/>
  <c r="AC8" s="1"/>
  <c r="AE8" s="1"/>
  <c r="A15" i="18"/>
  <c r="A14"/>
  <c r="D6"/>
  <c r="Q20"/>
  <c r="D7"/>
  <c r="O8"/>
  <c r="AF5" s="1"/>
  <c r="D8"/>
  <c r="BJ205" i="12"/>
  <c r="BI205"/>
  <c r="BH205"/>
  <c r="BG205"/>
  <c r="BI15"/>
  <c r="BI35"/>
  <c r="BI39"/>
  <c r="BI43"/>
  <c r="BI51"/>
  <c r="BI55"/>
  <c r="BI63"/>
  <c r="BI67"/>
  <c r="BI71"/>
  <c r="BI75"/>
  <c r="BI79"/>
  <c r="BI83"/>
  <c r="BI87"/>
  <c r="BI91"/>
  <c r="BI95"/>
  <c r="BI99"/>
  <c r="BI103"/>
  <c r="BI111"/>
  <c r="BI119"/>
  <c r="BI151"/>
  <c r="BI159"/>
  <c r="BI191"/>
  <c r="BI6"/>
  <c r="BI10"/>
  <c r="BI30"/>
  <c r="BI106"/>
  <c r="BI114"/>
  <c r="BI130"/>
  <c r="BI17"/>
  <c r="BI25"/>
  <c r="BI33"/>
  <c r="BI37"/>
  <c r="BI41"/>
  <c r="BI45"/>
  <c r="BI49"/>
  <c r="BI53"/>
  <c r="BI57"/>
  <c r="BI61"/>
  <c r="BI65"/>
  <c r="BI69"/>
  <c r="BI81"/>
  <c r="BI85"/>
  <c r="BI89"/>
  <c r="BI93"/>
  <c r="BI101"/>
  <c r="BI109"/>
  <c r="BI117"/>
  <c r="BI145"/>
  <c r="BI173"/>
  <c r="BI189"/>
  <c r="BI12"/>
  <c r="BI20"/>
  <c r="BI120"/>
  <c r="BI128"/>
  <c r="BI136"/>
  <c r="BI152"/>
  <c r="BI160"/>
  <c r="BI11"/>
  <c r="BI31"/>
  <c r="BI47"/>
  <c r="BI59"/>
  <c r="BI127"/>
  <c r="BI135"/>
  <c r="BI143"/>
  <c r="BI167"/>
  <c r="BI175"/>
  <c r="BI183"/>
  <c r="BI199"/>
  <c r="BI18"/>
  <c r="BI26"/>
  <c r="BI34"/>
  <c r="BI38"/>
  <c r="BI42"/>
  <c r="BI46"/>
  <c r="BI50"/>
  <c r="BI54"/>
  <c r="BI58"/>
  <c r="BI62"/>
  <c r="BI66"/>
  <c r="BI74"/>
  <c r="BI82"/>
  <c r="BI86"/>
  <c r="BI90"/>
  <c r="BI94"/>
  <c r="BI98"/>
  <c r="BI102"/>
  <c r="BI118"/>
  <c r="BI138"/>
  <c r="BI154"/>
  <c r="BI158"/>
  <c r="BI166"/>
  <c r="BI174"/>
  <c r="BI182"/>
  <c r="BI190"/>
  <c r="BI198"/>
  <c r="BI21"/>
  <c r="BI73"/>
  <c r="BI77"/>
  <c r="BI97"/>
  <c r="BI129"/>
  <c r="BI141"/>
  <c r="BI153"/>
  <c r="BI161"/>
  <c r="BI185"/>
  <c r="BI193"/>
  <c r="BI8"/>
  <c r="BI104"/>
  <c r="BI112"/>
  <c r="BI144"/>
  <c r="BI168"/>
  <c r="BI172"/>
  <c r="BI184"/>
  <c r="BI7"/>
  <c r="BI19"/>
  <c r="BI27"/>
  <c r="BI131"/>
  <c r="BI139"/>
  <c r="BI147"/>
  <c r="BI155"/>
  <c r="BI163"/>
  <c r="BI171"/>
  <c r="BI179"/>
  <c r="BI195"/>
  <c r="BI203"/>
  <c r="BI22"/>
  <c r="BI70"/>
  <c r="BI78"/>
  <c r="BI110"/>
  <c r="BI126"/>
  <c r="BI146"/>
  <c r="BI162"/>
  <c r="BI13"/>
  <c r="BI125"/>
  <c r="BI137"/>
  <c r="BI157"/>
  <c r="BI169"/>
  <c r="BI177"/>
  <c r="BI201"/>
  <c r="BI28"/>
  <c r="BI36"/>
  <c r="BI40"/>
  <c r="BI48"/>
  <c r="BI52"/>
  <c r="BI56"/>
  <c r="BI60"/>
  <c r="BI64"/>
  <c r="BI68"/>
  <c r="BI72"/>
  <c r="BI76"/>
  <c r="BI80"/>
  <c r="BI84"/>
  <c r="BI88"/>
  <c r="BI92"/>
  <c r="BI96"/>
  <c r="BI100"/>
  <c r="BI108"/>
  <c r="BI116"/>
  <c r="BI124"/>
  <c r="BI132"/>
  <c r="BI140"/>
  <c r="BI148"/>
  <c r="BI156"/>
  <c r="BI176"/>
  <c r="BI180"/>
  <c r="BI192"/>
  <c r="BI200"/>
  <c r="BI23"/>
  <c r="BI107"/>
  <c r="BI115"/>
  <c r="BI123"/>
  <c r="BI187"/>
  <c r="BI14"/>
  <c r="BI122"/>
  <c r="BI134"/>
  <c r="BI142"/>
  <c r="BI150"/>
  <c r="BI170"/>
  <c r="BI178"/>
  <c r="BI186"/>
  <c r="BI194"/>
  <c r="BI202"/>
  <c r="BI204"/>
  <c r="BI9"/>
  <c r="BI29"/>
  <c r="BI105"/>
  <c r="BI113"/>
  <c r="BI121"/>
  <c r="BI133"/>
  <c r="BI149"/>
  <c r="BI165"/>
  <c r="BI181"/>
  <c r="BI197"/>
  <c r="BI16"/>
  <c r="BI24"/>
  <c r="BI32"/>
  <c r="BI44"/>
  <c r="BI164"/>
  <c r="BI188"/>
  <c r="BI196"/>
  <c r="A10" i="6"/>
  <c r="AD2" i="15"/>
  <c r="FM4" i="9"/>
  <c r="FJ4"/>
  <c r="A13" i="6"/>
  <c r="AG2" i="15"/>
  <c r="J210" i="9"/>
  <c r="A5" i="6" s="1"/>
  <c r="HI218" i="9"/>
  <c r="X2" i="15"/>
  <c r="L5"/>
  <c r="U2"/>
  <c r="K5"/>
  <c r="B7"/>
  <c r="N7" i="6"/>
  <c r="N6"/>
  <c r="N5"/>
  <c r="CF209" i="9"/>
  <c r="C14" i="4"/>
  <c r="C21" s="1"/>
  <c r="D6"/>
  <c r="BI209" i="9"/>
  <c r="B10" i="6" s="1"/>
  <c r="C6" i="12"/>
  <c r="C102"/>
  <c r="C100"/>
  <c r="C98"/>
  <c r="C96"/>
  <c r="C94"/>
  <c r="C92"/>
  <c r="C90"/>
  <c r="C88"/>
  <c r="C86"/>
  <c r="C84"/>
  <c r="C82"/>
  <c r="C80"/>
  <c r="C78"/>
  <c r="C76"/>
  <c r="C74"/>
  <c r="C72"/>
  <c r="C70"/>
  <c r="C68"/>
  <c r="C66"/>
  <c r="C64"/>
  <c r="C62"/>
  <c r="C60"/>
  <c r="C58"/>
  <c r="C56"/>
  <c r="C54"/>
  <c r="C52"/>
  <c r="C50"/>
  <c r="C48"/>
  <c r="C46"/>
  <c r="C44"/>
  <c r="C42"/>
  <c r="C40"/>
  <c r="C38"/>
  <c r="C36"/>
  <c r="C34"/>
  <c r="C32"/>
  <c r="C30"/>
  <c r="C28"/>
  <c r="C26"/>
  <c r="C24"/>
  <c r="C22"/>
  <c r="C20"/>
  <c r="C18"/>
  <c r="C16"/>
  <c r="C14"/>
  <c r="C12"/>
  <c r="C10"/>
  <c r="C8"/>
  <c r="D6"/>
  <c r="D102"/>
  <c r="D100"/>
  <c r="D98"/>
  <c r="D96"/>
  <c r="D94"/>
  <c r="D92"/>
  <c r="D90"/>
  <c r="D88"/>
  <c r="D86"/>
  <c r="D84"/>
  <c r="D82"/>
  <c r="D80"/>
  <c r="D78"/>
  <c r="D76"/>
  <c r="D74"/>
  <c r="D72"/>
  <c r="D70"/>
  <c r="D68"/>
  <c r="D66"/>
  <c r="D64"/>
  <c r="D62"/>
  <c r="D60"/>
  <c r="D58"/>
  <c r="D56"/>
  <c r="D54"/>
  <c r="D52"/>
  <c r="D50"/>
  <c r="D48"/>
  <c r="D46"/>
  <c r="D44"/>
  <c r="D42"/>
  <c r="D40"/>
  <c r="D38"/>
  <c r="D36"/>
  <c r="D34"/>
  <c r="D32"/>
  <c r="D30"/>
  <c r="D28"/>
  <c r="D26"/>
  <c r="D24"/>
  <c r="D22"/>
  <c r="D20"/>
  <c r="D18"/>
  <c r="D16"/>
  <c r="D14"/>
  <c r="D12"/>
  <c r="D10"/>
  <c r="D8"/>
  <c r="C103"/>
  <c r="C101"/>
  <c r="C99"/>
  <c r="C97"/>
  <c r="C95"/>
  <c r="C93"/>
  <c r="C91"/>
  <c r="C89"/>
  <c r="C87"/>
  <c r="C85"/>
  <c r="C83"/>
  <c r="C81"/>
  <c r="C79"/>
  <c r="C77"/>
  <c r="C75"/>
  <c r="C73"/>
  <c r="C71"/>
  <c r="C69"/>
  <c r="C67"/>
  <c r="C65"/>
  <c r="C63"/>
  <c r="C61"/>
  <c r="C59"/>
  <c r="C57"/>
  <c r="C55"/>
  <c r="C53"/>
  <c r="C51"/>
  <c r="C49"/>
  <c r="C47"/>
  <c r="C45"/>
  <c r="C43"/>
  <c r="C41"/>
  <c r="C39"/>
  <c r="C37"/>
  <c r="C35"/>
  <c r="C33"/>
  <c r="C31"/>
  <c r="C29"/>
  <c r="C27"/>
  <c r="C25"/>
  <c r="C23"/>
  <c r="C21"/>
  <c r="C19"/>
  <c r="C17"/>
  <c r="C15"/>
  <c r="C13"/>
  <c r="C11"/>
  <c r="C9"/>
  <c r="C7"/>
  <c r="K14" i="4"/>
  <c r="K21" s="1"/>
  <c r="B4" i="11"/>
  <c r="F206" s="1"/>
  <c r="H206" s="1"/>
  <c r="B5" i="12"/>
  <c r="F14" i="4"/>
  <c r="D103" i="12"/>
  <c r="D101"/>
  <c r="D99"/>
  <c r="D97"/>
  <c r="D95"/>
  <c r="D93"/>
  <c r="D91"/>
  <c r="D89"/>
  <c r="D87"/>
  <c r="D85"/>
  <c r="D83"/>
  <c r="D81"/>
  <c r="D79"/>
  <c r="D77"/>
  <c r="D75"/>
  <c r="D73"/>
  <c r="D71"/>
  <c r="D69"/>
  <c r="D67"/>
  <c r="D65"/>
  <c r="D63"/>
  <c r="D61"/>
  <c r="D59"/>
  <c r="D57"/>
  <c r="D55"/>
  <c r="D53"/>
  <c r="D51"/>
  <c r="D49"/>
  <c r="D47"/>
  <c r="D45"/>
  <c r="D43"/>
  <c r="D41"/>
  <c r="D39"/>
  <c r="D37"/>
  <c r="D35"/>
  <c r="D33"/>
  <c r="D31"/>
  <c r="D29"/>
  <c r="D27"/>
  <c r="D25"/>
  <c r="D23"/>
  <c r="D21"/>
  <c r="D19"/>
  <c r="D17"/>
  <c r="D15"/>
  <c r="D13"/>
  <c r="D11"/>
  <c r="D9"/>
  <c r="D7"/>
  <c r="BJ10"/>
  <c r="BJ7"/>
  <c r="BJ51"/>
  <c r="BJ6"/>
  <c r="BJ15"/>
  <c r="AY6" i="9"/>
  <c r="FY5"/>
  <c r="GF5"/>
  <c r="FX5"/>
  <c r="B13" i="6"/>
  <c r="GE5" i="9"/>
  <c r="GF8"/>
  <c r="GH8"/>
  <c r="FS8"/>
  <c r="FT8"/>
  <c r="FR8"/>
  <c r="GA8"/>
  <c r="FY8"/>
  <c r="FZ8"/>
  <c r="K4" i="12"/>
  <c r="L4"/>
  <c r="J14" i="4" l="1"/>
  <c r="J21" i="18"/>
  <c r="AE6"/>
  <c r="AE7" s="1"/>
  <c r="AF6"/>
  <c r="AG6"/>
  <c r="AG7" s="1"/>
  <c r="F21" i="4"/>
  <c r="Q17"/>
  <c r="Q14"/>
  <c r="DC8" i="9"/>
  <c r="E209" i="15"/>
  <c r="G209" s="1"/>
  <c r="BJ13" i="12"/>
  <c r="DC16" i="9"/>
  <c r="BE8"/>
  <c r="BU8"/>
  <c r="BZ8" s="1"/>
  <c r="BQ8"/>
  <c r="BE12"/>
  <c r="BE17"/>
  <c r="BG17" s="1"/>
  <c r="BE28"/>
  <c r="BG28" s="1"/>
  <c r="BE37"/>
  <c r="BE15"/>
  <c r="BG15" s="1"/>
  <c r="BH15" s="1"/>
  <c r="EN15" s="1"/>
  <c r="BE18"/>
  <c r="BG18" s="1"/>
  <c r="BE11"/>
  <c r="BE34"/>
  <c r="BG34" s="1"/>
  <c r="BE16"/>
  <c r="BG16" s="1"/>
  <c r="BH16" s="1"/>
  <c r="EN16" s="1"/>
  <c r="BE35"/>
  <c r="BE14"/>
  <c r="BG14" s="1"/>
  <c r="BH14" s="1"/>
  <c r="EN14" s="1"/>
  <c r="BE31"/>
  <c r="BG31" s="1"/>
  <c r="BE10"/>
  <c r="BG10" s="1"/>
  <c r="BE32"/>
  <c r="BG32" s="1"/>
  <c r="BE26"/>
  <c r="BE23"/>
  <c r="BE21"/>
  <c r="BG21" s="1"/>
  <c r="BE30"/>
  <c r="BG30" s="1"/>
  <c r="BE36"/>
  <c r="BE19"/>
  <c r="BG19" s="1"/>
  <c r="BD26"/>
  <c r="BD9"/>
  <c r="BD36"/>
  <c r="BD24"/>
  <c r="BD12"/>
  <c r="BD37"/>
  <c r="BD35"/>
  <c r="BD25"/>
  <c r="BD23"/>
  <c r="BD11"/>
  <c r="AZ6"/>
  <c r="BE9"/>
  <c r="BE20"/>
  <c r="BG20" s="1"/>
  <c r="BH20" s="1"/>
  <c r="EN20" s="1"/>
  <c r="BE29"/>
  <c r="BG29" s="1"/>
  <c r="BH29" s="1"/>
  <c r="EN29" s="1"/>
  <c r="BE22"/>
  <c r="BG22" s="1"/>
  <c r="BH22" s="1"/>
  <c r="EN22" s="1"/>
  <c r="BE27"/>
  <c r="BG27" s="1"/>
  <c r="BH27" s="1"/>
  <c r="EN27" s="1"/>
  <c r="BE25"/>
  <c r="BG25" s="1"/>
  <c r="BH25" s="1"/>
  <c r="EN25" s="1"/>
  <c r="BE13"/>
  <c r="BG13" s="1"/>
  <c r="BH13" s="1"/>
  <c r="EN13" s="1"/>
  <c r="BE24"/>
  <c r="BG24" s="1"/>
  <c r="BH24" s="1"/>
  <c r="EN24" s="1"/>
  <c r="BE33"/>
  <c r="BG33" s="1"/>
  <c r="BH33" s="1"/>
  <c r="EN33" s="1"/>
  <c r="AH8"/>
  <c r="BJ188" i="12"/>
  <c r="BJ24"/>
  <c r="BJ165"/>
  <c r="BJ113"/>
  <c r="BJ204"/>
  <c r="BJ178"/>
  <c r="BJ134"/>
  <c r="BJ123"/>
  <c r="BJ200"/>
  <c r="BJ156"/>
  <c r="BJ124"/>
  <c r="BJ96"/>
  <c r="BJ80"/>
  <c r="BJ64"/>
  <c r="BJ48"/>
  <c r="BJ201"/>
  <c r="BJ137"/>
  <c r="BJ146"/>
  <c r="BJ70"/>
  <c r="BJ179"/>
  <c r="BJ147"/>
  <c r="BJ19"/>
  <c r="BJ168"/>
  <c r="BJ8"/>
  <c r="BJ153"/>
  <c r="BJ77"/>
  <c r="BJ190"/>
  <c r="BJ158"/>
  <c r="BJ102"/>
  <c r="BJ86"/>
  <c r="BJ62"/>
  <c r="BJ46"/>
  <c r="BJ26"/>
  <c r="BJ175"/>
  <c r="BJ127"/>
  <c r="BJ11"/>
  <c r="BJ128"/>
  <c r="BJ189"/>
  <c r="BJ109"/>
  <c r="BJ85"/>
  <c r="BJ61"/>
  <c r="BJ45"/>
  <c r="BJ25"/>
  <c r="BJ106"/>
  <c r="BJ191"/>
  <c r="BJ111"/>
  <c r="BJ91"/>
  <c r="BJ75"/>
  <c r="BJ55"/>
  <c r="BJ35"/>
  <c r="BJ196"/>
  <c r="BJ32"/>
  <c r="BJ181"/>
  <c r="BJ121"/>
  <c r="BJ9"/>
  <c r="BJ186"/>
  <c r="BJ142"/>
  <c r="BJ187"/>
  <c r="BJ23"/>
  <c r="BJ176"/>
  <c r="BJ132"/>
  <c r="BJ100"/>
  <c r="BJ84"/>
  <c r="BJ68"/>
  <c r="BJ52"/>
  <c r="BJ28"/>
  <c r="BJ157"/>
  <c r="BJ162"/>
  <c r="BJ78"/>
  <c r="BJ195"/>
  <c r="BJ155"/>
  <c r="BJ27"/>
  <c r="BJ172"/>
  <c r="BJ104"/>
  <c r="BJ161"/>
  <c r="BJ97"/>
  <c r="BJ198"/>
  <c r="BJ166"/>
  <c r="BJ118"/>
  <c r="BJ90"/>
  <c r="BJ66"/>
  <c r="BJ50"/>
  <c r="BJ34"/>
  <c r="BJ183"/>
  <c r="BJ135"/>
  <c r="BJ31"/>
  <c r="BJ136"/>
  <c r="BJ12"/>
  <c r="BJ117"/>
  <c r="BJ89"/>
  <c r="BJ65"/>
  <c r="BJ49"/>
  <c r="BJ33"/>
  <c r="BJ114"/>
  <c r="BJ119"/>
  <c r="BJ95"/>
  <c r="BJ79"/>
  <c r="BJ63"/>
  <c r="BJ39"/>
  <c r="BJ44"/>
  <c r="BJ197"/>
  <c r="BJ133"/>
  <c r="BJ29"/>
  <c r="BJ194"/>
  <c r="BJ150"/>
  <c r="BJ14"/>
  <c r="BJ107"/>
  <c r="BJ180"/>
  <c r="BJ140"/>
  <c r="BJ108"/>
  <c r="BJ88"/>
  <c r="BJ72"/>
  <c r="BJ56"/>
  <c r="BJ36"/>
  <c r="BJ169"/>
  <c r="BJ110"/>
  <c r="BJ203"/>
  <c r="BJ163"/>
  <c r="BJ131"/>
  <c r="BJ184"/>
  <c r="BJ112"/>
  <c r="BJ185"/>
  <c r="BJ129"/>
  <c r="BJ21"/>
  <c r="BJ174"/>
  <c r="BJ138"/>
  <c r="BJ94"/>
  <c r="BJ74"/>
  <c r="BJ54"/>
  <c r="BJ38"/>
  <c r="BJ199"/>
  <c r="BJ143"/>
  <c r="BJ47"/>
  <c r="BJ152"/>
  <c r="BJ20"/>
  <c r="BJ145"/>
  <c r="BJ93"/>
  <c r="BJ69"/>
  <c r="BJ53"/>
  <c r="BJ37"/>
  <c r="BJ130"/>
  <c r="BJ151"/>
  <c r="BJ99"/>
  <c r="BJ83"/>
  <c r="BJ67"/>
  <c r="BJ43"/>
  <c r="BJ164"/>
  <c r="BJ16"/>
  <c r="BJ149"/>
  <c r="BJ105"/>
  <c r="BJ202"/>
  <c r="BJ170"/>
  <c r="BJ122"/>
  <c r="BJ115"/>
  <c r="BJ192"/>
  <c r="BJ148"/>
  <c r="BJ116"/>
  <c r="BJ92"/>
  <c r="BJ76"/>
  <c r="BJ60"/>
  <c r="BJ40"/>
  <c r="BJ177"/>
  <c r="BJ125"/>
  <c r="BJ126"/>
  <c r="BJ22"/>
  <c r="BJ171"/>
  <c r="BJ139"/>
  <c r="BJ144"/>
  <c r="BJ193"/>
  <c r="BJ141"/>
  <c r="BJ73"/>
  <c r="BJ182"/>
  <c r="BJ154"/>
  <c r="BJ98"/>
  <c r="BJ82"/>
  <c r="BJ58"/>
  <c r="BJ42"/>
  <c r="BJ18"/>
  <c r="BJ167"/>
  <c r="BJ59"/>
  <c r="BJ160"/>
  <c r="BJ120"/>
  <c r="BJ173"/>
  <c r="BJ101"/>
  <c r="BJ81"/>
  <c r="BJ57"/>
  <c r="BJ41"/>
  <c r="BJ17"/>
  <c r="BJ30"/>
  <c r="BJ159"/>
  <c r="BJ103"/>
  <c r="BJ87"/>
  <c r="BJ71"/>
  <c r="S20" i="18"/>
  <c r="T20"/>
  <c r="HB39" i="9"/>
  <c r="HB38"/>
  <c r="HB40"/>
  <c r="B12" i="6"/>
  <c r="AV219" i="9"/>
  <c r="M9" i="6" s="1"/>
  <c r="AV218" i="9"/>
  <c r="L9" i="6" s="1"/>
  <c r="J9"/>
  <c r="AV217" i="9"/>
  <c r="EB8"/>
  <c r="AT6"/>
  <c r="AE9" i="18" l="1"/>
  <c r="AF7"/>
  <c r="AF9"/>
  <c r="AG9"/>
  <c r="M36" i="11"/>
  <c r="I39" i="15"/>
  <c r="M35" i="11"/>
  <c r="I38" i="15"/>
  <c r="M34" i="11"/>
  <c r="I37" i="15"/>
  <c r="ET24" i="9"/>
  <c r="ES24"/>
  <c r="EU24"/>
  <c r="ER24"/>
  <c r="EV24"/>
  <c r="ET22"/>
  <c r="EV22"/>
  <c r="ES22"/>
  <c r="EU22"/>
  <c r="ER22"/>
  <c r="ET33"/>
  <c r="ER33"/>
  <c r="EV33"/>
  <c r="ES33"/>
  <c r="EU33"/>
  <c r="ET27"/>
  <c r="EV27"/>
  <c r="ES27"/>
  <c r="EU27"/>
  <c r="ER27"/>
  <c r="ET16"/>
  <c r="EU16"/>
  <c r="ER16"/>
  <c r="EV16"/>
  <c r="ES16"/>
  <c r="ET15"/>
  <c r="EU15"/>
  <c r="ER15"/>
  <c r="EV15"/>
  <c r="ES15"/>
  <c r="ET25"/>
  <c r="EU25"/>
  <c r="ER25"/>
  <c r="EV25"/>
  <c r="ES25"/>
  <c r="ET20"/>
  <c r="EV20"/>
  <c r="ES20"/>
  <c r="EU20"/>
  <c r="ER20"/>
  <c r="EU13"/>
  <c r="ER13"/>
  <c r="EV13"/>
  <c r="ES13"/>
  <c r="ET13"/>
  <c r="ET29"/>
  <c r="EV29"/>
  <c r="ES29"/>
  <c r="EU29"/>
  <c r="ER29"/>
  <c r="ET14"/>
  <c r="EU14"/>
  <c r="ER14"/>
  <c r="EV14"/>
  <c r="ES14"/>
  <c r="BG9"/>
  <c r="BH9" s="1"/>
  <c r="EN9" s="1"/>
  <c r="BH19"/>
  <c r="EN19" s="1"/>
  <c r="BG23"/>
  <c r="BH23" s="1"/>
  <c r="EN23" s="1"/>
  <c r="BH8"/>
  <c r="BG12"/>
  <c r="BH12" s="1"/>
  <c r="EN12" s="1"/>
  <c r="BH21"/>
  <c r="EN21" s="1"/>
  <c r="BH10"/>
  <c r="EN10" s="1"/>
  <c r="BG35"/>
  <c r="BH35" s="1"/>
  <c r="EN35" s="1"/>
  <c r="BH18"/>
  <c r="EN18" s="1"/>
  <c r="BH17"/>
  <c r="EN17" s="1"/>
  <c r="BH30"/>
  <c r="EN30" s="1"/>
  <c r="BH32"/>
  <c r="EN32" s="1"/>
  <c r="BG11"/>
  <c r="BH11" s="1"/>
  <c r="EN11" s="1"/>
  <c r="BH28"/>
  <c r="EN28" s="1"/>
  <c r="BG36"/>
  <c r="BH36" s="1"/>
  <c r="EN36" s="1"/>
  <c r="BG26"/>
  <c r="BH26" s="1"/>
  <c r="EN26" s="1"/>
  <c r="BH31"/>
  <c r="EN31" s="1"/>
  <c r="BH34"/>
  <c r="EN34" s="1"/>
  <c r="BG37"/>
  <c r="BH37" s="1"/>
  <c r="EN37" s="1"/>
  <c r="BG13" i="12"/>
  <c r="BG12"/>
  <c r="BG10"/>
  <c r="BG11"/>
  <c r="BG15"/>
  <c r="BG6"/>
  <c r="BG7"/>
  <c r="BG8"/>
  <c r="BW8" i="9"/>
  <c r="BG9" i="12"/>
  <c r="BG39"/>
  <c r="BG63"/>
  <c r="BG79"/>
  <c r="BG95"/>
  <c r="BG119"/>
  <c r="BG114"/>
  <c r="BG33"/>
  <c r="BG49"/>
  <c r="BG65"/>
  <c r="BG89"/>
  <c r="BG117"/>
  <c r="BG136"/>
  <c r="BG31"/>
  <c r="BG135"/>
  <c r="BG183"/>
  <c r="BG34"/>
  <c r="BG50"/>
  <c r="BG66"/>
  <c r="BG90"/>
  <c r="BG118"/>
  <c r="BG166"/>
  <c r="BG198"/>
  <c r="BG97"/>
  <c r="BG161"/>
  <c r="BG104"/>
  <c r="BG172"/>
  <c r="BG27"/>
  <c r="BG155"/>
  <c r="BG195"/>
  <c r="BG78"/>
  <c r="BG162"/>
  <c r="BG157"/>
  <c r="BG28"/>
  <c r="BG52"/>
  <c r="BG68"/>
  <c r="BG84"/>
  <c r="BG100"/>
  <c r="BG132"/>
  <c r="BG176"/>
  <c r="BG23"/>
  <c r="BG187"/>
  <c r="BG142"/>
  <c r="BG186"/>
  <c r="BG121"/>
  <c r="BG181"/>
  <c r="BG32"/>
  <c r="BG196"/>
  <c r="BG35"/>
  <c r="BG55"/>
  <c r="BG75"/>
  <c r="BG91"/>
  <c r="BG111"/>
  <c r="BG191"/>
  <c r="BG106"/>
  <c r="BG25"/>
  <c r="BG45"/>
  <c r="BG61"/>
  <c r="BG85"/>
  <c r="BG109"/>
  <c r="BG189"/>
  <c r="BG128"/>
  <c r="BG127"/>
  <c r="BG175"/>
  <c r="BG26"/>
  <c r="BG46"/>
  <c r="BG62"/>
  <c r="BG86"/>
  <c r="BG102"/>
  <c r="BG158"/>
  <c r="BG190"/>
  <c r="BG77"/>
  <c r="BG153"/>
  <c r="BG168"/>
  <c r="BG19"/>
  <c r="BG147"/>
  <c r="BG179"/>
  <c r="BG70"/>
  <c r="BG146"/>
  <c r="BG137"/>
  <c r="BG201"/>
  <c r="BG48"/>
  <c r="BG64"/>
  <c r="BG80"/>
  <c r="BG96"/>
  <c r="BG124"/>
  <c r="BG156"/>
  <c r="BG200"/>
  <c r="BG123"/>
  <c r="BG134"/>
  <c r="BG178"/>
  <c r="BG204"/>
  <c r="BG113"/>
  <c r="BG165"/>
  <c r="BG24"/>
  <c r="BG188"/>
  <c r="BG51"/>
  <c r="BG71"/>
  <c r="BG87"/>
  <c r="BG103"/>
  <c r="BG159"/>
  <c r="BG30"/>
  <c r="BG17"/>
  <c r="BG41"/>
  <c r="BG57"/>
  <c r="BG81"/>
  <c r="BG101"/>
  <c r="BG173"/>
  <c r="BG120"/>
  <c r="BG160"/>
  <c r="BG59"/>
  <c r="BG167"/>
  <c r="BG18"/>
  <c r="BG42"/>
  <c r="BG58"/>
  <c r="BG82"/>
  <c r="BG98"/>
  <c r="BG154"/>
  <c r="BG182"/>
  <c r="BG73"/>
  <c r="BG141"/>
  <c r="BG193"/>
  <c r="BG144"/>
  <c r="BG139"/>
  <c r="BG171"/>
  <c r="BG22"/>
  <c r="BG126"/>
  <c r="BG125"/>
  <c r="BG177"/>
  <c r="BG40"/>
  <c r="BG60"/>
  <c r="BG76"/>
  <c r="BG92"/>
  <c r="BG116"/>
  <c r="BG148"/>
  <c r="BG192"/>
  <c r="BG115"/>
  <c r="BG122"/>
  <c r="BG170"/>
  <c r="BG202"/>
  <c r="BG105"/>
  <c r="BG149"/>
  <c r="BG16"/>
  <c r="BG164"/>
  <c r="BG43"/>
  <c r="BG67"/>
  <c r="BG83"/>
  <c r="BG99"/>
  <c r="BG151"/>
  <c r="BG130"/>
  <c r="BG37"/>
  <c r="BG53"/>
  <c r="BG69"/>
  <c r="BG93"/>
  <c r="BG145"/>
  <c r="BG20"/>
  <c r="BG152"/>
  <c r="BG47"/>
  <c r="BG143"/>
  <c r="BG199"/>
  <c r="BG38"/>
  <c r="BG54"/>
  <c r="BG74"/>
  <c r="BG94"/>
  <c r="BG138"/>
  <c r="BG174"/>
  <c r="BG21"/>
  <c r="BG129"/>
  <c r="BG185"/>
  <c r="BG112"/>
  <c r="BG184"/>
  <c r="BG131"/>
  <c r="BG163"/>
  <c r="BG203"/>
  <c r="BG110"/>
  <c r="BG169"/>
  <c r="BG36"/>
  <c r="BG56"/>
  <c r="BG72"/>
  <c r="BG88"/>
  <c r="BG108"/>
  <c r="BG140"/>
  <c r="BG180"/>
  <c r="BG107"/>
  <c r="BG150"/>
  <c r="BG194"/>
  <c r="BG29"/>
  <c r="BG133"/>
  <c r="BG197"/>
  <c r="BG44"/>
  <c r="BG14"/>
  <c r="FP39" i="9"/>
  <c r="FP38"/>
  <c r="EQ8"/>
  <c r="C9" i="6"/>
  <c r="E9" s="1"/>
  <c r="F9"/>
  <c r="DB8" i="9"/>
  <c r="BP36" i="11" l="1"/>
  <c r="BT36"/>
  <c r="BX36"/>
  <c r="BO36"/>
  <c r="BS36"/>
  <c r="BW36"/>
  <c r="BN36"/>
  <c r="BR36"/>
  <c r="BV36"/>
  <c r="BQ36"/>
  <c r="BU36"/>
  <c r="BY36"/>
  <c r="AF8" i="18"/>
  <c r="AF10"/>
  <c r="EX13" i="9"/>
  <c r="CE8"/>
  <c r="ET34"/>
  <c r="EU34"/>
  <c r="ER34"/>
  <c r="EV34"/>
  <c r="ES34"/>
  <c r="ET28"/>
  <c r="EU28"/>
  <c r="ER28"/>
  <c r="EV28"/>
  <c r="ES28"/>
  <c r="ET17"/>
  <c r="ER17"/>
  <c r="EV17"/>
  <c r="ES17"/>
  <c r="EU17"/>
  <c r="ET21"/>
  <c r="EU21"/>
  <c r="ER21"/>
  <c r="EV21"/>
  <c r="ES21"/>
  <c r="ET19"/>
  <c r="EU19"/>
  <c r="ER19"/>
  <c r="EV19"/>
  <c r="ES19"/>
  <c r="EK13"/>
  <c r="EW13" s="1"/>
  <c r="ET37"/>
  <c r="EV37"/>
  <c r="ES37"/>
  <c r="EU37"/>
  <c r="ER37"/>
  <c r="ET36"/>
  <c r="EU36"/>
  <c r="ER36"/>
  <c r="EV36"/>
  <c r="ES36"/>
  <c r="ET30"/>
  <c r="EV30"/>
  <c r="ES30"/>
  <c r="EU30"/>
  <c r="ER30"/>
  <c r="ES10"/>
  <c r="ET10"/>
  <c r="EU10"/>
  <c r="ER10"/>
  <c r="EV10"/>
  <c r="ET23"/>
  <c r="ES23"/>
  <c r="EU23"/>
  <c r="ER23"/>
  <c r="EV23"/>
  <c r="ET9"/>
  <c r="EU9"/>
  <c r="EV9"/>
  <c r="ER9"/>
  <c r="ES9"/>
  <c r="EX16"/>
  <c r="ET26"/>
  <c r="ES26"/>
  <c r="EU26"/>
  <c r="ER26"/>
  <c r="EV26"/>
  <c r="ET32"/>
  <c r="EV32"/>
  <c r="ES32"/>
  <c r="EU32"/>
  <c r="ER32"/>
  <c r="ET35"/>
  <c r="ER35"/>
  <c r="EV35"/>
  <c r="ES35"/>
  <c r="EU35"/>
  <c r="EX15"/>
  <c r="ET31"/>
  <c r="ER31"/>
  <c r="EV31"/>
  <c r="ES31"/>
  <c r="EU31"/>
  <c r="EU11"/>
  <c r="ET11"/>
  <c r="ER11"/>
  <c r="EV11"/>
  <c r="ES11"/>
  <c r="ET18"/>
  <c r="EU18"/>
  <c r="ER18"/>
  <c r="EV18"/>
  <c r="ES18"/>
  <c r="EU12"/>
  <c r="ET12"/>
  <c r="ER12"/>
  <c r="EV12"/>
  <c r="ES12"/>
  <c r="EX14"/>
  <c r="BI5" i="12"/>
  <c r="BH6"/>
  <c r="BH14"/>
  <c r="BH7"/>
  <c r="BH39"/>
  <c r="BH63"/>
  <c r="BH79"/>
  <c r="BH95"/>
  <c r="BH119"/>
  <c r="BH114"/>
  <c r="BH33"/>
  <c r="BH49"/>
  <c r="BH65"/>
  <c r="BH89"/>
  <c r="BH117"/>
  <c r="BH136"/>
  <c r="BH31"/>
  <c r="BH135"/>
  <c r="BH183"/>
  <c r="BH34"/>
  <c r="BH50"/>
  <c r="BH66"/>
  <c r="BH90"/>
  <c r="BH118"/>
  <c r="BH166"/>
  <c r="BH198"/>
  <c r="BH97"/>
  <c r="BH161"/>
  <c r="BH104"/>
  <c r="BH172"/>
  <c r="BH27"/>
  <c r="BH155"/>
  <c r="BH195"/>
  <c r="BH78"/>
  <c r="BH162"/>
  <c r="BH157"/>
  <c r="BH28"/>
  <c r="BH52"/>
  <c r="BH68"/>
  <c r="BH84"/>
  <c r="BH100"/>
  <c r="BH132"/>
  <c r="BH176"/>
  <c r="BH23"/>
  <c r="BH187"/>
  <c r="BH142"/>
  <c r="BH186"/>
  <c r="BH121"/>
  <c r="BH181"/>
  <c r="BH32"/>
  <c r="BH196"/>
  <c r="BH35"/>
  <c r="BH55"/>
  <c r="BH75"/>
  <c r="BH91"/>
  <c r="BH111"/>
  <c r="BH191"/>
  <c r="BH106"/>
  <c r="BH25"/>
  <c r="BH45"/>
  <c r="BH61"/>
  <c r="BH85"/>
  <c r="BH109"/>
  <c r="BH189"/>
  <c r="BH128"/>
  <c r="BH127"/>
  <c r="BH175"/>
  <c r="BH26"/>
  <c r="BH46"/>
  <c r="BH62"/>
  <c r="BH86"/>
  <c r="BH102"/>
  <c r="BH158"/>
  <c r="BH190"/>
  <c r="BH77"/>
  <c r="BH153"/>
  <c r="BH168"/>
  <c r="BH19"/>
  <c r="BH147"/>
  <c r="BH179"/>
  <c r="BH70"/>
  <c r="BH146"/>
  <c r="BH137"/>
  <c r="BH201"/>
  <c r="BH48"/>
  <c r="BH64"/>
  <c r="BH80"/>
  <c r="BH96"/>
  <c r="BH124"/>
  <c r="BH156"/>
  <c r="BH200"/>
  <c r="BH123"/>
  <c r="BH134"/>
  <c r="BH178"/>
  <c r="BH204"/>
  <c r="BH113"/>
  <c r="BH165"/>
  <c r="BH24"/>
  <c r="BH188"/>
  <c r="BH51"/>
  <c r="BH71"/>
  <c r="BH87"/>
  <c r="BH103"/>
  <c r="BH159"/>
  <c r="BH30"/>
  <c r="BH17"/>
  <c r="BH41"/>
  <c r="BH57"/>
  <c r="BH81"/>
  <c r="BH101"/>
  <c r="BH173"/>
  <c r="BH120"/>
  <c r="BH160"/>
  <c r="BH59"/>
  <c r="BH167"/>
  <c r="BH18"/>
  <c r="BH42"/>
  <c r="BH58"/>
  <c r="BH82"/>
  <c r="BH98"/>
  <c r="BH154"/>
  <c r="BH182"/>
  <c r="BH73"/>
  <c r="BH141"/>
  <c r="BH193"/>
  <c r="BH144"/>
  <c r="BH139"/>
  <c r="BH171"/>
  <c r="BH22"/>
  <c r="BH126"/>
  <c r="BH125"/>
  <c r="BH177"/>
  <c r="BH40"/>
  <c r="BH60"/>
  <c r="BH76"/>
  <c r="BH92"/>
  <c r="BH116"/>
  <c r="BH148"/>
  <c r="BH192"/>
  <c r="BH115"/>
  <c r="BH122"/>
  <c r="BH170"/>
  <c r="BH202"/>
  <c r="BH105"/>
  <c r="BH149"/>
  <c r="BH16"/>
  <c r="BH164"/>
  <c r="BH43"/>
  <c r="BH67"/>
  <c r="BH83"/>
  <c r="BH99"/>
  <c r="BH151"/>
  <c r="BH130"/>
  <c r="BH37"/>
  <c r="BH53"/>
  <c r="BH69"/>
  <c r="BH93"/>
  <c r="BH145"/>
  <c r="BH20"/>
  <c r="BH152"/>
  <c r="BH47"/>
  <c r="BH143"/>
  <c r="BH199"/>
  <c r="BH38"/>
  <c r="BH54"/>
  <c r="BH74"/>
  <c r="BH94"/>
  <c r="BH138"/>
  <c r="BH174"/>
  <c r="BH21"/>
  <c r="BH129"/>
  <c r="BH185"/>
  <c r="BH112"/>
  <c r="BH184"/>
  <c r="BH131"/>
  <c r="BH163"/>
  <c r="BH203"/>
  <c r="BH110"/>
  <c r="BH169"/>
  <c r="BH36"/>
  <c r="BH56"/>
  <c r="BH72"/>
  <c r="BH88"/>
  <c r="BH108"/>
  <c r="BH140"/>
  <c r="BH180"/>
  <c r="BH107"/>
  <c r="BH150"/>
  <c r="BH194"/>
  <c r="BH29"/>
  <c r="BH133"/>
  <c r="BH197"/>
  <c r="BH44"/>
  <c r="BH5"/>
  <c r="BH13"/>
  <c r="BH12"/>
  <c r="BH15"/>
  <c r="BH11"/>
  <c r="BH9"/>
  <c r="BH8"/>
  <c r="BH10"/>
  <c r="GR28" i="9"/>
  <c r="FM24"/>
  <c r="FW30"/>
  <c r="FW28"/>
  <c r="FV39"/>
  <c r="FU39"/>
  <c r="FV38"/>
  <c r="FU38"/>
  <c r="EP8"/>
  <c r="O9" i="6"/>
  <c r="AL6" i="9"/>
  <c r="BD6"/>
  <c r="J8"/>
  <c r="D8"/>
  <c r="E8"/>
  <c r="F8"/>
  <c r="G8"/>
  <c r="H8"/>
  <c r="H4" i="11" s="1"/>
  <c r="I8" i="9"/>
  <c r="I4" i="11" s="1"/>
  <c r="DA7" i="9"/>
  <c r="DB7" s="1"/>
  <c r="CY7"/>
  <c r="CE7"/>
  <c r="CB7"/>
  <c r="BE7"/>
  <c r="CY6"/>
  <c r="CB6"/>
  <c r="AL209"/>
  <c r="X209"/>
  <c r="J209"/>
  <c r="O4" i="12"/>
  <c r="M4"/>
  <c r="EX17" i="9" l="1"/>
  <c r="FF17" s="1"/>
  <c r="R14" i="12" s="1"/>
  <c r="O9" i="18"/>
  <c r="EX12" i="9"/>
  <c r="FF12" s="1"/>
  <c r="FF13"/>
  <c r="R10" i="12" s="1"/>
  <c r="K4" i="11"/>
  <c r="EX11" i="9"/>
  <c r="EK15"/>
  <c r="FF15"/>
  <c r="S23" i="18" s="1"/>
  <c r="EK16" i="9"/>
  <c r="EW16" s="1"/>
  <c r="FF16"/>
  <c r="R13" i="12" s="1"/>
  <c r="EX18" i="9"/>
  <c r="FJ18" s="1"/>
  <c r="EX10"/>
  <c r="EK14"/>
  <c r="EW14" s="1"/>
  <c r="FF14"/>
  <c r="EX9"/>
  <c r="FJ28"/>
  <c r="FP28"/>
  <c r="FU28" s="1"/>
  <c r="GK24"/>
  <c r="GQ24" s="1"/>
  <c r="FW24"/>
  <c r="GC24" s="1"/>
  <c r="FJ24"/>
  <c r="GD28"/>
  <c r="GI28" s="1"/>
  <c r="GK28"/>
  <c r="GQ28" s="1"/>
  <c r="FM28"/>
  <c r="FO28" s="1"/>
  <c r="FP24"/>
  <c r="FV24" s="1"/>
  <c r="R8"/>
  <c r="S8"/>
  <c r="U8"/>
  <c r="AI8"/>
  <c r="AJ8" s="1"/>
  <c r="M8"/>
  <c r="O8" s="1"/>
  <c r="Q8" s="1"/>
  <c r="FP30"/>
  <c r="FM30"/>
  <c r="FO30" s="1"/>
  <c r="GD24"/>
  <c r="GE24" s="1"/>
  <c r="AQ37" i="15"/>
  <c r="AR37"/>
  <c r="AR38"/>
  <c r="AQ38"/>
  <c r="GY28" i="9"/>
  <c r="HB28" s="1"/>
  <c r="FM32"/>
  <c r="GY36"/>
  <c r="FP35"/>
  <c r="FV35" s="1"/>
  <c r="GK30"/>
  <c r="GY26"/>
  <c r="FJ35"/>
  <c r="GY25"/>
  <c r="GY30"/>
  <c r="GY33"/>
  <c r="GD30"/>
  <c r="FW35"/>
  <c r="GC35" s="1"/>
  <c r="FM35"/>
  <c r="FJ30"/>
  <c r="GD35"/>
  <c r="FR35"/>
  <c r="GK35"/>
  <c r="E7" i="15"/>
  <c r="F7"/>
  <c r="GK32" i="9"/>
  <c r="GQ32" s="1"/>
  <c r="G7" i="15"/>
  <c r="FM37" i="9"/>
  <c r="GR37"/>
  <c r="GY37"/>
  <c r="GK37"/>
  <c r="FJ37"/>
  <c r="FW37"/>
  <c r="GD37"/>
  <c r="FP37"/>
  <c r="FM36"/>
  <c r="FJ36"/>
  <c r="FW36"/>
  <c r="GD36"/>
  <c r="GK36"/>
  <c r="FP36"/>
  <c r="FL35"/>
  <c r="GR34"/>
  <c r="GY34"/>
  <c r="FM34"/>
  <c r="FJ34"/>
  <c r="FW34"/>
  <c r="GK34"/>
  <c r="GD34"/>
  <c r="FP34"/>
  <c r="FW33"/>
  <c r="FJ33"/>
  <c r="GD33"/>
  <c r="GK33"/>
  <c r="FM33"/>
  <c r="FP33"/>
  <c r="FP32"/>
  <c r="FQ32" s="1"/>
  <c r="GD32"/>
  <c r="GI32" s="1"/>
  <c r="FJ32"/>
  <c r="FW32"/>
  <c r="FY32" s="1"/>
  <c r="FN32"/>
  <c r="FM31"/>
  <c r="GR31"/>
  <c r="GY31"/>
  <c r="GK31"/>
  <c r="FJ31"/>
  <c r="GD31"/>
  <c r="FW31"/>
  <c r="FP31"/>
  <c r="FU30"/>
  <c r="FY30"/>
  <c r="GB30"/>
  <c r="GC30"/>
  <c r="FN30"/>
  <c r="FV30"/>
  <c r="FM29"/>
  <c r="GR29"/>
  <c r="FJ29"/>
  <c r="GD29"/>
  <c r="FW29"/>
  <c r="GK29"/>
  <c r="FP29"/>
  <c r="FY28"/>
  <c r="GC28"/>
  <c r="GB28"/>
  <c r="GP28"/>
  <c r="FN28"/>
  <c r="FL28"/>
  <c r="FK28"/>
  <c r="GY27"/>
  <c r="FM27"/>
  <c r="FW27"/>
  <c r="FJ27"/>
  <c r="GK27"/>
  <c r="GD27"/>
  <c r="FP27"/>
  <c r="FM26"/>
  <c r="FW26"/>
  <c r="FJ26"/>
  <c r="GK26"/>
  <c r="GD26"/>
  <c r="FP26"/>
  <c r="FM25"/>
  <c r="GD25"/>
  <c r="FW25"/>
  <c r="FJ25"/>
  <c r="GK25"/>
  <c r="FP25"/>
  <c r="FL24"/>
  <c r="FK24"/>
  <c r="FN24"/>
  <c r="FO24"/>
  <c r="GB24"/>
  <c r="GR23"/>
  <c r="GY23"/>
  <c r="FM23"/>
  <c r="GD23"/>
  <c r="FJ23"/>
  <c r="GK23"/>
  <c r="FW23"/>
  <c r="FP23"/>
  <c r="IR39"/>
  <c r="IR38"/>
  <c r="IQ39"/>
  <c r="IQ38"/>
  <c r="FJ14"/>
  <c r="FW15"/>
  <c r="GD19"/>
  <c r="GD20"/>
  <c r="FP18"/>
  <c r="FW19"/>
  <c r="FX19" s="1"/>
  <c r="FP19"/>
  <c r="FM19"/>
  <c r="FJ19"/>
  <c r="GK19"/>
  <c r="GP19" s="1"/>
  <c r="FP20"/>
  <c r="FW20"/>
  <c r="FM20"/>
  <c r="FN20" s="1"/>
  <c r="FJ20"/>
  <c r="GK20"/>
  <c r="GK15"/>
  <c r="B7" i="6"/>
  <c r="D7" i="15"/>
  <c r="B6" i="6"/>
  <c r="B5"/>
  <c r="C7" i="15"/>
  <c r="FG8" i="9"/>
  <c r="FI8" s="1"/>
  <c r="FH8"/>
  <c r="F5" i="12"/>
  <c r="G5"/>
  <c r="D4" i="11"/>
  <c r="D5" i="12"/>
  <c r="E4" i="11"/>
  <c r="E5" i="12"/>
  <c r="BM4" i="11"/>
  <c r="C4"/>
  <c r="C5" i="12"/>
  <c r="D8" i="4"/>
  <c r="D7"/>
  <c r="II6" i="9"/>
  <c r="IO6" s="1"/>
  <c r="IG6"/>
  <c r="IM6" s="1"/>
  <c r="N4" i="12"/>
  <c r="F4" i="11"/>
  <c r="G4"/>
  <c r="DA6" i="9"/>
  <c r="DB6" s="1"/>
  <c r="FX4"/>
  <c r="FQ5"/>
  <c r="FW5"/>
  <c r="CD6"/>
  <c r="CE6" s="1"/>
  <c r="FQ4"/>
  <c r="GE4"/>
  <c r="FP5"/>
  <c r="GD5"/>
  <c r="BD7"/>
  <c r="FQ28" l="1"/>
  <c r="FV28"/>
  <c r="J32" i="11"/>
  <c r="H35" i="15"/>
  <c r="HC36" i="9"/>
  <c r="HE36"/>
  <c r="J27" i="11"/>
  <c r="H30" i="15"/>
  <c r="HC31" i="9"/>
  <c r="HE31"/>
  <c r="J30" i="11"/>
  <c r="H33" i="15"/>
  <c r="HC34" i="9"/>
  <c r="HE34"/>
  <c r="J26" i="11"/>
  <c r="H29" i="15"/>
  <c r="HE30" i="9"/>
  <c r="HC30"/>
  <c r="J24" i="11"/>
  <c r="H27" i="15"/>
  <c r="HC28" i="9"/>
  <c r="HE28"/>
  <c r="FX24"/>
  <c r="EK17"/>
  <c r="EW17" s="1"/>
  <c r="FK30"/>
  <c r="J23" i="11"/>
  <c r="H26" i="15"/>
  <c r="HC27" i="9"/>
  <c r="HE27"/>
  <c r="J33" i="11"/>
  <c r="H36" i="15"/>
  <c r="HE37" i="9"/>
  <c r="HC37"/>
  <c r="J29" i="11"/>
  <c r="H32" i="15"/>
  <c r="HE33" i="9"/>
  <c r="HC33"/>
  <c r="J22" i="11"/>
  <c r="H25" i="15"/>
  <c r="HE26" i="9"/>
  <c r="HC26"/>
  <c r="FK35"/>
  <c r="J21" i="11"/>
  <c r="H24" i="15"/>
  <c r="HC25" i="9"/>
  <c r="HE25"/>
  <c r="J19" i="11"/>
  <c r="H22" i="15"/>
  <c r="HC23" i="9"/>
  <c r="HE23"/>
  <c r="K15" i="12"/>
  <c r="K17" i="15"/>
  <c r="M15" i="12"/>
  <c r="M17" i="15"/>
  <c r="GS17" i="9"/>
  <c r="R16" i="15" s="1"/>
  <c r="GS16" i="9"/>
  <c r="R15" i="15" s="1"/>
  <c r="EW15" i="9"/>
  <c r="I23" i="18"/>
  <c r="P17"/>
  <c r="Q17" s="1"/>
  <c r="R9" i="12"/>
  <c r="P81" i="19"/>
  <c r="EK12" i="9"/>
  <c r="GP24"/>
  <c r="M24" i="11"/>
  <c r="I27" i="15"/>
  <c r="GS15" i="9"/>
  <c r="R14" i="15" s="1"/>
  <c r="R12" i="12"/>
  <c r="P12"/>
  <c r="P14" i="15"/>
  <c r="N12" i="12"/>
  <c r="N14" i="15"/>
  <c r="K11" i="12"/>
  <c r="K13" i="15"/>
  <c r="GS14" i="9"/>
  <c r="R13" i="15" s="1"/>
  <c r="R11" i="12"/>
  <c r="GS13" i="9"/>
  <c r="R12" i="15" s="1"/>
  <c r="GS12" i="9"/>
  <c r="R11" i="15" s="1"/>
  <c r="EK11" i="9"/>
  <c r="FF11"/>
  <c r="FF9"/>
  <c r="EK9"/>
  <c r="EK18"/>
  <c r="EW18" s="1"/>
  <c r="FF18"/>
  <c r="R15" i="12" s="1"/>
  <c r="EK10" i="9"/>
  <c r="FF10"/>
  <c r="GR36"/>
  <c r="GJ24"/>
  <c r="GJ28"/>
  <c r="GE28"/>
  <c r="GX28" s="1"/>
  <c r="FR24"/>
  <c r="GT24" s="1"/>
  <c r="GI24"/>
  <c r="GJ30"/>
  <c r="FU24"/>
  <c r="FO32"/>
  <c r="FU35"/>
  <c r="GR25"/>
  <c r="FK19"/>
  <c r="FO20"/>
  <c r="GR27"/>
  <c r="T8"/>
  <c r="V8" s="1"/>
  <c r="W8" s="1"/>
  <c r="GB19"/>
  <c r="GI30"/>
  <c r="GC19"/>
  <c r="GR26"/>
  <c r="GE30"/>
  <c r="GU30" s="1"/>
  <c r="GR33"/>
  <c r="GJ20"/>
  <c r="GQ30"/>
  <c r="GP30"/>
  <c r="FO35"/>
  <c r="GI20"/>
  <c r="GL19"/>
  <c r="GE35"/>
  <c r="GR32"/>
  <c r="GB35"/>
  <c r="GI35"/>
  <c r="FY35"/>
  <c r="GJ35"/>
  <c r="GE20"/>
  <c r="GQ19"/>
  <c r="GQ35"/>
  <c r="FO19"/>
  <c r="FN35"/>
  <c r="FQ30"/>
  <c r="GV30" s="1"/>
  <c r="GP32"/>
  <c r="GP35"/>
  <c r="GK14"/>
  <c r="GD14"/>
  <c r="GR30"/>
  <c r="FW14"/>
  <c r="FL30"/>
  <c r="GP20"/>
  <c r="GC20"/>
  <c r="FL19"/>
  <c r="FP14"/>
  <c r="FJ15"/>
  <c r="FX20"/>
  <c r="GD15"/>
  <c r="FP15"/>
  <c r="FL32"/>
  <c r="HB30"/>
  <c r="GY29"/>
  <c r="FP16"/>
  <c r="AR27" i="15"/>
  <c r="AQ27"/>
  <c r="FW16" i="9"/>
  <c r="FJ22"/>
  <c r="GY19"/>
  <c r="GY35"/>
  <c r="GR24"/>
  <c r="GY24"/>
  <c r="GR19"/>
  <c r="GY32"/>
  <c r="GR20"/>
  <c r="GR35"/>
  <c r="GK13"/>
  <c r="FJ16"/>
  <c r="GB32"/>
  <c r="GE32"/>
  <c r="GW32" s="1"/>
  <c r="IQ28"/>
  <c r="IW28" s="1"/>
  <c r="GC32"/>
  <c r="FU32"/>
  <c r="GJ32"/>
  <c r="FK37"/>
  <c r="FL37"/>
  <c r="FO37"/>
  <c r="FN37"/>
  <c r="GB37"/>
  <c r="GC37"/>
  <c r="FY37"/>
  <c r="GF37"/>
  <c r="GI37"/>
  <c r="GJ37"/>
  <c r="HB37"/>
  <c r="FU37"/>
  <c r="FV37"/>
  <c r="FR37"/>
  <c r="GW37" s="1"/>
  <c r="GQ37"/>
  <c r="GP37"/>
  <c r="GC36"/>
  <c r="GB36"/>
  <c r="FY36"/>
  <c r="GJ36"/>
  <c r="GF36"/>
  <c r="GI36"/>
  <c r="HB36"/>
  <c r="GP36"/>
  <c r="GQ36"/>
  <c r="FN36"/>
  <c r="FO36"/>
  <c r="FU36"/>
  <c r="FV36"/>
  <c r="FR36"/>
  <c r="GT36" s="1"/>
  <c r="FL36"/>
  <c r="FK36"/>
  <c r="GC34"/>
  <c r="GB34"/>
  <c r="FY34"/>
  <c r="GQ34"/>
  <c r="GP34"/>
  <c r="HB34"/>
  <c r="GJ34"/>
  <c r="GI34"/>
  <c r="GF34"/>
  <c r="FN34"/>
  <c r="FO34"/>
  <c r="FQ34"/>
  <c r="GU34" s="1"/>
  <c r="FU34"/>
  <c r="FV34"/>
  <c r="FK34"/>
  <c r="FL34"/>
  <c r="GI33"/>
  <c r="GJ33"/>
  <c r="GF33"/>
  <c r="HB33"/>
  <c r="GQ33"/>
  <c r="GP33"/>
  <c r="FN33"/>
  <c r="FO33"/>
  <c r="GC33"/>
  <c r="GB33"/>
  <c r="FY33"/>
  <c r="FU33"/>
  <c r="FQ33"/>
  <c r="FV33"/>
  <c r="FL33"/>
  <c r="FK33"/>
  <c r="FV32"/>
  <c r="FK32"/>
  <c r="FK31"/>
  <c r="FL31"/>
  <c r="FN31"/>
  <c r="FO31"/>
  <c r="GE31"/>
  <c r="GJ31"/>
  <c r="GI31"/>
  <c r="FY31"/>
  <c r="GC31"/>
  <c r="GB31"/>
  <c r="HB31"/>
  <c r="FV31"/>
  <c r="FQ31"/>
  <c r="FU31"/>
  <c r="GP31"/>
  <c r="GQ31"/>
  <c r="GE29"/>
  <c r="GJ29"/>
  <c r="GI29"/>
  <c r="HB29"/>
  <c r="GC29"/>
  <c r="GB29"/>
  <c r="FY29"/>
  <c r="FN29"/>
  <c r="FO29"/>
  <c r="GQ29"/>
  <c r="GP29"/>
  <c r="FQ29"/>
  <c r="GX29" s="1"/>
  <c r="FU29"/>
  <c r="FV29"/>
  <c r="FK29"/>
  <c r="FL29"/>
  <c r="IR28"/>
  <c r="FK27"/>
  <c r="FL27"/>
  <c r="GP27"/>
  <c r="GQ27"/>
  <c r="HB27"/>
  <c r="GE27"/>
  <c r="GJ27"/>
  <c r="GI27"/>
  <c r="FO27"/>
  <c r="FN27"/>
  <c r="FU27"/>
  <c r="FQ27"/>
  <c r="GW27" s="1"/>
  <c r="FV27"/>
  <c r="FY27"/>
  <c r="GB27"/>
  <c r="GC27"/>
  <c r="FL26"/>
  <c r="FK26"/>
  <c r="GQ26"/>
  <c r="GP26"/>
  <c r="FN26"/>
  <c r="FO26"/>
  <c r="GE26"/>
  <c r="GJ26"/>
  <c r="GI26"/>
  <c r="HB26"/>
  <c r="FU26"/>
  <c r="FV26"/>
  <c r="FR26"/>
  <c r="FX26"/>
  <c r="GC26"/>
  <c r="GB26"/>
  <c r="FK25"/>
  <c r="FL25"/>
  <c r="HB25"/>
  <c r="GQ25"/>
  <c r="GP25"/>
  <c r="FO25"/>
  <c r="FN25"/>
  <c r="GC25"/>
  <c r="GB25"/>
  <c r="FX25"/>
  <c r="FV25"/>
  <c r="FR25"/>
  <c r="FU25"/>
  <c r="GI25"/>
  <c r="GE25"/>
  <c r="GJ25"/>
  <c r="IR24"/>
  <c r="FL23"/>
  <c r="FK23"/>
  <c r="GP23"/>
  <c r="GQ23"/>
  <c r="HB23"/>
  <c r="FX23"/>
  <c r="GB23"/>
  <c r="GC23"/>
  <c r="FO23"/>
  <c r="FN23"/>
  <c r="FU23"/>
  <c r="FV23"/>
  <c r="FR23"/>
  <c r="GE23"/>
  <c r="GJ23"/>
  <c r="GI23"/>
  <c r="FM22"/>
  <c r="IZ39"/>
  <c r="JB39" s="1"/>
  <c r="HG39" s="1"/>
  <c r="R35" i="11" s="1"/>
  <c r="IX39" i="9"/>
  <c r="IT39"/>
  <c r="IV39"/>
  <c r="IY39"/>
  <c r="JA39"/>
  <c r="IU39"/>
  <c r="IW39"/>
  <c r="IV38"/>
  <c r="IX38"/>
  <c r="IW38"/>
  <c r="IU38"/>
  <c r="IY38"/>
  <c r="IT38"/>
  <c r="JA38"/>
  <c r="IZ38"/>
  <c r="JB38" s="1"/>
  <c r="HG38" s="1"/>
  <c r="R34" i="11" s="1"/>
  <c r="GY22" i="9"/>
  <c r="FN19"/>
  <c r="FV19"/>
  <c r="GB20"/>
  <c r="FK20"/>
  <c r="GQ20"/>
  <c r="GK22"/>
  <c r="GK16"/>
  <c r="GD16"/>
  <c r="GD13"/>
  <c r="AF76" i="19" s="1"/>
  <c r="FV20" i="9"/>
  <c r="FU19"/>
  <c r="GI19"/>
  <c r="FP11"/>
  <c r="AF45" i="19" s="1"/>
  <c r="GK18" i="9"/>
  <c r="FQ20"/>
  <c r="GT20" s="1"/>
  <c r="FQ19"/>
  <c r="GU19" s="1"/>
  <c r="GJ19"/>
  <c r="GE19"/>
  <c r="GD18"/>
  <c r="FP13"/>
  <c r="AF74" i="19" s="1"/>
  <c r="FW22" i="9"/>
  <c r="FM18"/>
  <c r="FU20"/>
  <c r="FL20"/>
  <c r="FW18"/>
  <c r="FP22"/>
  <c r="GD22"/>
  <c r="GY20"/>
  <c r="FW13"/>
  <c r="AF75" i="19" s="1"/>
  <c r="FJ13" i="9"/>
  <c r="AF72" i="19" s="1"/>
  <c r="FJ10" i="9"/>
  <c r="P43" i="19" s="1"/>
  <c r="GK10" i="9"/>
  <c r="GD10"/>
  <c r="P47" i="19" s="1"/>
  <c r="FW10" i="9"/>
  <c r="P46" i="19" s="1"/>
  <c r="FP10" i="9"/>
  <c r="P45" i="19" s="1"/>
  <c r="FW21" i="9"/>
  <c r="FP21"/>
  <c r="FJ21"/>
  <c r="GK21"/>
  <c r="GD21"/>
  <c r="FW17"/>
  <c r="FP17"/>
  <c r="FJ17"/>
  <c r="GK17"/>
  <c r="GD17"/>
  <c r="FM17"/>
  <c r="FM21"/>
  <c r="FL22"/>
  <c r="FK22"/>
  <c r="FM16"/>
  <c r="FQ18"/>
  <c r="FU18"/>
  <c r="FV18"/>
  <c r="FL18"/>
  <c r="FK18"/>
  <c r="FK16"/>
  <c r="FM15"/>
  <c r="FM14"/>
  <c r="FM13"/>
  <c r="AF73" i="19" s="1"/>
  <c r="GL9" i="9"/>
  <c r="GE9"/>
  <c r="FM10"/>
  <c r="P44" i="19" s="1"/>
  <c r="AK8" i="9"/>
  <c r="S4" i="11"/>
  <c r="IH6" i="9"/>
  <c r="IN6" s="1"/>
  <c r="CV213"/>
  <c r="CU213"/>
  <c r="CW213"/>
  <c r="BY213"/>
  <c r="BX213"/>
  <c r="BZ213"/>
  <c r="BB213"/>
  <c r="BA213"/>
  <c r="BC213"/>
  <c r="GW35" l="1"/>
  <c r="GT31"/>
  <c r="GW26"/>
  <c r="GW33"/>
  <c r="HB32"/>
  <c r="I31" i="15" s="1"/>
  <c r="J28" i="11"/>
  <c r="H31" i="15"/>
  <c r="HC32" i="9"/>
  <c r="HE32"/>
  <c r="J31" i="11"/>
  <c r="H34" i="15"/>
  <c r="HC35" i="9"/>
  <c r="HE35"/>
  <c r="R7" i="12"/>
  <c r="P52" i="19"/>
  <c r="J29" i="15"/>
  <c r="L26" i="11"/>
  <c r="HD30" i="9"/>
  <c r="N26" i="11" s="1"/>
  <c r="HD36" i="9"/>
  <c r="N32" i="11" s="1"/>
  <c r="J35" i="15"/>
  <c r="L32" i="11"/>
  <c r="S23" i="4"/>
  <c r="GT29" i="9"/>
  <c r="GU29"/>
  <c r="GV26"/>
  <c r="GX36"/>
  <c r="GU36"/>
  <c r="O30" i="11"/>
  <c r="GV33" i="9"/>
  <c r="GV27"/>
  <c r="GT34"/>
  <c r="GT28"/>
  <c r="GU28"/>
  <c r="GV37"/>
  <c r="GV32"/>
  <c r="GX35"/>
  <c r="GX31"/>
  <c r="GW31"/>
  <c r="J25" i="11"/>
  <c r="O25" s="1"/>
  <c r="H28" i="15"/>
  <c r="HE29" i="9"/>
  <c r="HC29"/>
  <c r="J26" i="15"/>
  <c r="L23" i="11"/>
  <c r="HD27" i="9"/>
  <c r="N23" i="11" s="1"/>
  <c r="L27"/>
  <c r="J30" i="15"/>
  <c r="HD31" i="9"/>
  <c r="N27" i="11" s="1"/>
  <c r="GT25" i="9"/>
  <c r="GX30"/>
  <c r="GW29"/>
  <c r="GU26"/>
  <c r="O24" i="11"/>
  <c r="O26"/>
  <c r="GV36" i="9"/>
  <c r="GU33"/>
  <c r="GX27"/>
  <c r="GX34"/>
  <c r="GW34"/>
  <c r="S33" i="15" s="1"/>
  <c r="GV28" i="9"/>
  <c r="GU37"/>
  <c r="GX32"/>
  <c r="GT35"/>
  <c r="GU35"/>
  <c r="GV31"/>
  <c r="HD26"/>
  <c r="N22" i="11" s="1"/>
  <c r="J25" i="15"/>
  <c r="L22" i="11"/>
  <c r="HD33" i="9"/>
  <c r="N29" i="11" s="1"/>
  <c r="J32" i="15"/>
  <c r="L29" i="11"/>
  <c r="L33"/>
  <c r="HD37" i="9"/>
  <c r="N33" i="11" s="1"/>
  <c r="J36" i="15"/>
  <c r="L30" i="11"/>
  <c r="J33" i="15"/>
  <c r="HD34" i="9"/>
  <c r="N30" i="11" s="1"/>
  <c r="GT30" i="9"/>
  <c r="GW30"/>
  <c r="T27" i="12" s="1"/>
  <c r="GV29" i="9"/>
  <c r="GT26"/>
  <c r="GW36"/>
  <c r="GX33"/>
  <c r="GT27"/>
  <c r="GU27"/>
  <c r="O32" i="11"/>
  <c r="GV34" i="9"/>
  <c r="GW28"/>
  <c r="GT37"/>
  <c r="GT32"/>
  <c r="GU32"/>
  <c r="GV35"/>
  <c r="GU31"/>
  <c r="EW10"/>
  <c r="G52" i="19"/>
  <c r="L24" i="11"/>
  <c r="HD28" i="9"/>
  <c r="N24" i="11" s="1"/>
  <c r="J27" i="15"/>
  <c r="GT23" i="9"/>
  <c r="O22" i="11"/>
  <c r="O29"/>
  <c r="O33"/>
  <c r="O23"/>
  <c r="GX26" i="9"/>
  <c r="GT33"/>
  <c r="O27" i="11"/>
  <c r="GX37" i="9"/>
  <c r="GX25"/>
  <c r="GV25"/>
  <c r="GW25"/>
  <c r="J24" i="15"/>
  <c r="L21" i="11"/>
  <c r="HD25" i="9"/>
  <c r="N21" i="11" s="1"/>
  <c r="GU25" i="9"/>
  <c r="O21" i="11" s="1"/>
  <c r="GX24" i="9"/>
  <c r="GW24"/>
  <c r="GV24"/>
  <c r="GU24"/>
  <c r="J20" i="11"/>
  <c r="H23" i="15"/>
  <c r="HE24" i="9"/>
  <c r="HC24"/>
  <c r="GX23"/>
  <c r="GV23"/>
  <c r="GW23"/>
  <c r="GU23"/>
  <c r="J22" i="15"/>
  <c r="L19" i="11"/>
  <c r="HD23" i="9"/>
  <c r="N19" i="11" s="1"/>
  <c r="J18"/>
  <c r="H21" i="15"/>
  <c r="HC22" i="9"/>
  <c r="HE22"/>
  <c r="GX20"/>
  <c r="GW20"/>
  <c r="J16" i="11"/>
  <c r="H19" i="15"/>
  <c r="HE20" i="9"/>
  <c r="HC20"/>
  <c r="GV20"/>
  <c r="GU20"/>
  <c r="GV19"/>
  <c r="GW19"/>
  <c r="T16" i="12" s="1"/>
  <c r="J15" i="11"/>
  <c r="O15" s="1"/>
  <c r="H18" i="15"/>
  <c r="HC19" i="9"/>
  <c r="HE19"/>
  <c r="N15" i="12"/>
  <c r="N17" i="15"/>
  <c r="GS18" i="9"/>
  <c r="R17" i="15" s="1"/>
  <c r="L15" i="12"/>
  <c r="L17" i="15"/>
  <c r="O15" i="12"/>
  <c r="O17" i="15"/>
  <c r="O14" i="12"/>
  <c r="O16" i="15"/>
  <c r="N14" i="12"/>
  <c r="N16" i="15"/>
  <c r="L14" i="12"/>
  <c r="L16" i="15"/>
  <c r="M14" i="12"/>
  <c r="M16" i="15"/>
  <c r="K14" i="12"/>
  <c r="K16" i="15"/>
  <c r="N13" i="12"/>
  <c r="N15" i="15"/>
  <c r="L13" i="12"/>
  <c r="L15" i="15"/>
  <c r="M13" i="12"/>
  <c r="M15" i="15"/>
  <c r="O13" i="12"/>
  <c r="O15" i="15"/>
  <c r="K13" i="12"/>
  <c r="K15" i="15"/>
  <c r="P16" i="18"/>
  <c r="Q16" s="1"/>
  <c r="S16" s="1"/>
  <c r="P14"/>
  <c r="Q14" s="1"/>
  <c r="P15"/>
  <c r="Q15" s="1"/>
  <c r="P18"/>
  <c r="Q18" s="1"/>
  <c r="S18" s="1"/>
  <c r="T17"/>
  <c r="S17"/>
  <c r="EW12" i="9"/>
  <c r="G81" i="19"/>
  <c r="I23" i="4"/>
  <c r="R8" i="12"/>
  <c r="AF52" i="19"/>
  <c r="EW11" i="9"/>
  <c r="W52" i="19"/>
  <c r="IR35" i="9"/>
  <c r="GL18"/>
  <c r="P15" i="12"/>
  <c r="P17" i="15"/>
  <c r="BO34" i="11"/>
  <c r="BR34"/>
  <c r="BQ34"/>
  <c r="BX34"/>
  <c r="BN34"/>
  <c r="BU34"/>
  <c r="BT34"/>
  <c r="BW34"/>
  <c r="BY34"/>
  <c r="BP34"/>
  <c r="BS34"/>
  <c r="BV34"/>
  <c r="GX19" i="9"/>
  <c r="GT19"/>
  <c r="GP16"/>
  <c r="P13" i="12"/>
  <c r="P15" i="15"/>
  <c r="BO35" i="11"/>
  <c r="BR35"/>
  <c r="BU35"/>
  <c r="BX35"/>
  <c r="BN35"/>
  <c r="BY35"/>
  <c r="BT35"/>
  <c r="BW35"/>
  <c r="BQ35"/>
  <c r="BP35"/>
  <c r="BS35"/>
  <c r="BV35"/>
  <c r="P14" i="12"/>
  <c r="P16" i="15"/>
  <c r="EW9" i="9"/>
  <c r="W23" i="19"/>
  <c r="R6" i="12"/>
  <c r="AF23" i="19"/>
  <c r="I21" i="4"/>
  <c r="J21"/>
  <c r="M32" i="11"/>
  <c r="I35" i="15"/>
  <c r="M23" i="11"/>
  <c r="I26" i="15"/>
  <c r="M29" i="11"/>
  <c r="I32" i="15"/>
  <c r="M26" i="11"/>
  <c r="I29" i="15"/>
  <c r="M22" i="11"/>
  <c r="I25" i="15"/>
  <c r="M19" i="11"/>
  <c r="I22" i="15"/>
  <c r="M27" i="11"/>
  <c r="I30" i="15"/>
  <c r="M21" i="11"/>
  <c r="I24" i="15"/>
  <c r="M25" i="11"/>
  <c r="I28" i="15"/>
  <c r="M30" i="11"/>
  <c r="I33" i="15"/>
  <c r="M33" i="11"/>
  <c r="I36" i="15"/>
  <c r="M12" i="12"/>
  <c r="M14" i="15"/>
  <c r="AB14" s="1"/>
  <c r="IG15" i="9" s="1"/>
  <c r="L12" i="12"/>
  <c r="L14" i="15"/>
  <c r="K12" i="12"/>
  <c r="K14" i="15"/>
  <c r="O12" i="12"/>
  <c r="O14" i="15"/>
  <c r="AH14" s="1"/>
  <c r="II15" i="9" s="1"/>
  <c r="L11" i="12"/>
  <c r="L13" i="15"/>
  <c r="N11" i="12"/>
  <c r="N13" i="15"/>
  <c r="FV14" i="9"/>
  <c r="M11" i="12"/>
  <c r="M13" i="15"/>
  <c r="P11" i="12"/>
  <c r="P13" i="15"/>
  <c r="O11" i="12"/>
  <c r="O13" i="15"/>
  <c r="N10" i="12"/>
  <c r="N12" i="15"/>
  <c r="GN13" i="9"/>
  <c r="P10" i="12"/>
  <c r="P12" i="15"/>
  <c r="K10" i="12"/>
  <c r="K12" i="15"/>
  <c r="L10" i="12"/>
  <c r="L12" i="15"/>
  <c r="M10" i="12"/>
  <c r="M12" i="15"/>
  <c r="O10" i="12"/>
  <c r="O12" i="15"/>
  <c r="GS11" i="9"/>
  <c r="R10" i="15" s="1"/>
  <c r="M8" i="12"/>
  <c r="M10" i="15"/>
  <c r="L7" i="12"/>
  <c r="L9" i="15"/>
  <c r="N7" i="12"/>
  <c r="N9" i="15"/>
  <c r="GS10" i="9"/>
  <c r="R9" i="15" s="1"/>
  <c r="M7" i="12"/>
  <c r="M9" i="15"/>
  <c r="K7" i="12"/>
  <c r="K9" i="15"/>
  <c r="P7" i="12"/>
  <c r="P9" i="15"/>
  <c r="O7" i="12"/>
  <c r="O9" i="15"/>
  <c r="GS9" i="9"/>
  <c r="R8" i="15" s="1"/>
  <c r="JA28" i="9"/>
  <c r="HF39"/>
  <c r="HF38"/>
  <c r="FM11"/>
  <c r="AF44" i="19" s="1"/>
  <c r="BG5" i="12"/>
  <c r="BJ5"/>
  <c r="FO18" i="9"/>
  <c r="GB22"/>
  <c r="GP22"/>
  <c r="IX28"/>
  <c r="IR30"/>
  <c r="GP18"/>
  <c r="GR17"/>
  <c r="FL16"/>
  <c r="FJ11"/>
  <c r="AF43" i="19" s="1"/>
  <c r="FX22" i="9"/>
  <c r="GD11"/>
  <c r="AF47" i="19" s="1"/>
  <c r="GE18" i="9"/>
  <c r="GI22"/>
  <c r="GJ18"/>
  <c r="GE22"/>
  <c r="GC22"/>
  <c r="GK11"/>
  <c r="AF49" i="19" s="1"/>
  <c r="GI18" i="9"/>
  <c r="FX18"/>
  <c r="GQ22"/>
  <c r="FW11"/>
  <c r="AF46" i="19" s="1"/>
  <c r="GQ18" i="9"/>
  <c r="IR20"/>
  <c r="AQ28" i="15"/>
  <c r="AR28"/>
  <c r="AQ33"/>
  <c r="AR33"/>
  <c r="IR32" i="9"/>
  <c r="AR19" i="15"/>
  <c r="AQ24"/>
  <c r="AR24"/>
  <c r="AQ26"/>
  <c r="AR26"/>
  <c r="AR35"/>
  <c r="AQ35"/>
  <c r="AQ25"/>
  <c r="AR25"/>
  <c r="AQ19"/>
  <c r="AQ22"/>
  <c r="AR22"/>
  <c r="AQ30"/>
  <c r="AR30"/>
  <c r="AR31"/>
  <c r="AQ31"/>
  <c r="AQ32"/>
  <c r="AR32"/>
  <c r="AQ36"/>
  <c r="AR36"/>
  <c r="HB35" i="9"/>
  <c r="HB19"/>
  <c r="HB24"/>
  <c r="IT28"/>
  <c r="IZ28"/>
  <c r="JB28" s="1"/>
  <c r="HG28" s="1"/>
  <c r="R24" i="11" s="1"/>
  <c r="BT24" s="1"/>
  <c r="GR13" i="9"/>
  <c r="GR22"/>
  <c r="GR10"/>
  <c r="GR14"/>
  <c r="GR15"/>
  <c r="GR16"/>
  <c r="GY21"/>
  <c r="GY17"/>
  <c r="IU28"/>
  <c r="IY28"/>
  <c r="IV28"/>
  <c r="IQ20"/>
  <c r="JA20" s="1"/>
  <c r="IQ37"/>
  <c r="IR37"/>
  <c r="IR36"/>
  <c r="IQ36"/>
  <c r="IR34"/>
  <c r="IQ34"/>
  <c r="IR33"/>
  <c r="IQ33"/>
  <c r="IQ32"/>
  <c r="IR31"/>
  <c r="IQ31"/>
  <c r="IQ29"/>
  <c r="IR29"/>
  <c r="IR27"/>
  <c r="IQ27"/>
  <c r="IR26"/>
  <c r="IQ26"/>
  <c r="IR25"/>
  <c r="IQ25"/>
  <c r="IR23"/>
  <c r="IQ23"/>
  <c r="FO22"/>
  <c r="FN22"/>
  <c r="GY15"/>
  <c r="HB22"/>
  <c r="FM9"/>
  <c r="AF15" i="19" s="1"/>
  <c r="HB20" i="9"/>
  <c r="GJ22"/>
  <c r="GR18"/>
  <c r="GY18"/>
  <c r="FN18"/>
  <c r="FV22"/>
  <c r="IR19"/>
  <c r="GB18"/>
  <c r="FU22"/>
  <c r="FM12"/>
  <c r="GY13"/>
  <c r="GC18"/>
  <c r="FQ22"/>
  <c r="GT22" s="1"/>
  <c r="GD12"/>
  <c r="FW12"/>
  <c r="FP12"/>
  <c r="FJ12"/>
  <c r="GK12"/>
  <c r="FO16"/>
  <c r="FW9"/>
  <c r="AF17" i="19" s="1"/>
  <c r="FP9" i="9"/>
  <c r="AF16" i="19" s="1"/>
  <c r="FJ9" i="9"/>
  <c r="AF14" i="19" s="1"/>
  <c r="GK9" i="9"/>
  <c r="GD9"/>
  <c r="AF18" i="19" s="1"/>
  <c r="GP17" i="9"/>
  <c r="GN17"/>
  <c r="GQ17"/>
  <c r="FO17"/>
  <c r="FN17"/>
  <c r="FV17"/>
  <c r="FU17"/>
  <c r="FQ17"/>
  <c r="GR21"/>
  <c r="FX17"/>
  <c r="GC17"/>
  <c r="GB17"/>
  <c r="GG17"/>
  <c r="GJ17"/>
  <c r="GI17"/>
  <c r="FK17"/>
  <c r="FL17"/>
  <c r="GP14"/>
  <c r="GF16"/>
  <c r="AB15" i="15"/>
  <c r="FQ16" i="9"/>
  <c r="FU16"/>
  <c r="FV16"/>
  <c r="FK21"/>
  <c r="FL21"/>
  <c r="FN21"/>
  <c r="FO21"/>
  <c r="FU21"/>
  <c r="FV21"/>
  <c r="FQ21"/>
  <c r="GT21" s="1"/>
  <c r="EM8"/>
  <c r="AB13" i="15"/>
  <c r="FL14" i="9"/>
  <c r="GB14"/>
  <c r="GQ16"/>
  <c r="GP21"/>
  <c r="GQ21"/>
  <c r="GF14"/>
  <c r="FN16"/>
  <c r="GE21"/>
  <c r="GJ21"/>
  <c r="GI21"/>
  <c r="FX21"/>
  <c r="GC21"/>
  <c r="GB21"/>
  <c r="GB16"/>
  <c r="FX16"/>
  <c r="FO14"/>
  <c r="FN14"/>
  <c r="GC16"/>
  <c r="FQ14"/>
  <c r="GC14"/>
  <c r="GJ16"/>
  <c r="FK14"/>
  <c r="FX14"/>
  <c r="GI16"/>
  <c r="FU15"/>
  <c r="FQ15"/>
  <c r="FV15"/>
  <c r="FL15"/>
  <c r="FK15"/>
  <c r="GP15"/>
  <c r="GQ15"/>
  <c r="GJ15"/>
  <c r="GI15"/>
  <c r="GF15"/>
  <c r="FN15"/>
  <c r="FO15"/>
  <c r="GC15"/>
  <c r="GB15"/>
  <c r="FX15"/>
  <c r="GQ14"/>
  <c r="FU14"/>
  <c r="GJ14"/>
  <c r="GI14"/>
  <c r="GC13"/>
  <c r="FZ13"/>
  <c r="GB13"/>
  <c r="GJ13"/>
  <c r="GI13"/>
  <c r="GE13"/>
  <c r="FN13"/>
  <c r="FO13"/>
  <c r="GQ13"/>
  <c r="GM13"/>
  <c r="GP13"/>
  <c r="FV13"/>
  <c r="FQ13"/>
  <c r="FU13"/>
  <c r="FL13"/>
  <c r="FK13"/>
  <c r="GI11"/>
  <c r="GP10"/>
  <c r="GQ10"/>
  <c r="GM10"/>
  <c r="FO11"/>
  <c r="FR11"/>
  <c r="FU11"/>
  <c r="FV11"/>
  <c r="FK10"/>
  <c r="FL10"/>
  <c r="FN10"/>
  <c r="FO10"/>
  <c r="FV10"/>
  <c r="FU10"/>
  <c r="FQ10"/>
  <c r="GB10"/>
  <c r="GC10"/>
  <c r="FY10"/>
  <c r="GE10"/>
  <c r="GJ10"/>
  <c r="GI10"/>
  <c r="BD213"/>
  <c r="BC6"/>
  <c r="BZ7"/>
  <c r="BC7"/>
  <c r="BZ6"/>
  <c r="M28" i="11" l="1"/>
  <c r="T31" i="12"/>
  <c r="GT15" i="9"/>
  <c r="GU18"/>
  <c r="O31" i="11"/>
  <c r="O28"/>
  <c r="L25"/>
  <c r="J28" i="15"/>
  <c r="HD29" i="9"/>
  <c r="N25" i="11" s="1"/>
  <c r="S30" i="15"/>
  <c r="T28" i="12"/>
  <c r="S26" i="15"/>
  <c r="T24" i="12"/>
  <c r="S36" i="15"/>
  <c r="T34" i="12"/>
  <c r="S27" i="15"/>
  <c r="T25" i="12"/>
  <c r="GV16" i="9"/>
  <c r="S31" i="15"/>
  <c r="T29" i="12"/>
  <c r="S35" i="15"/>
  <c r="T33" i="12"/>
  <c r="S29" i="15"/>
  <c r="S34"/>
  <c r="T32" i="12"/>
  <c r="S32" i="15"/>
  <c r="T30" i="12"/>
  <c r="S25" i="15"/>
  <c r="T23" i="12"/>
  <c r="S28" i="15"/>
  <c r="T26" i="12"/>
  <c r="J34" i="15"/>
  <c r="HD35" i="9"/>
  <c r="N31" i="11" s="1"/>
  <c r="L31"/>
  <c r="J31" i="15"/>
  <c r="L28" i="11"/>
  <c r="HD32" i="9"/>
  <c r="N28" i="11" s="1"/>
  <c r="GV17" i="9"/>
  <c r="S24" i="15"/>
  <c r="T22" i="12"/>
  <c r="O20" i="11"/>
  <c r="J23" i="15"/>
  <c r="L20" i="11"/>
  <c r="HD24" i="9"/>
  <c r="N20" i="11" s="1"/>
  <c r="T21" i="12"/>
  <c r="S23" i="15"/>
  <c r="T20" i="12"/>
  <c r="S22" i="15"/>
  <c r="O19" i="11"/>
  <c r="GX22" i="9"/>
  <c r="GW22"/>
  <c r="GV22"/>
  <c r="J21" i="15"/>
  <c r="L18" i="11"/>
  <c r="HD22" i="9"/>
  <c r="N18" i="11" s="1"/>
  <c r="GU22" i="9"/>
  <c r="O18" i="11" s="1"/>
  <c r="HB21" i="9"/>
  <c r="M17" i="11" s="1"/>
  <c r="J17"/>
  <c r="H20" i="15"/>
  <c r="HC21" i="9"/>
  <c r="HE21"/>
  <c r="GX21"/>
  <c r="GV21"/>
  <c r="GW21"/>
  <c r="GU21"/>
  <c r="J19" i="15"/>
  <c r="L16" i="11"/>
  <c r="HD20" i="9"/>
  <c r="N16" i="11" s="1"/>
  <c r="O16"/>
  <c r="S19" i="15"/>
  <c r="T17" i="12"/>
  <c r="S18" i="15"/>
  <c r="J18"/>
  <c r="HD19" i="9"/>
  <c r="N15" i="11" s="1"/>
  <c r="L15"/>
  <c r="GV18" i="9"/>
  <c r="GW18"/>
  <c r="Q15" i="12"/>
  <c r="Q17" i="15"/>
  <c r="AT17" s="1"/>
  <c r="Q14" i="11" s="1"/>
  <c r="H15" i="12"/>
  <c r="J14" i="11"/>
  <c r="O14" s="1"/>
  <c r="H17" i="15"/>
  <c r="HE18" i="9"/>
  <c r="HC18"/>
  <c r="T15" i="12"/>
  <c r="Q14"/>
  <c r="Q16" i="15"/>
  <c r="AT16" s="1"/>
  <c r="Q13" i="11" s="1"/>
  <c r="GW17" i="9"/>
  <c r="CP213"/>
  <c r="CP211"/>
  <c r="CQ213"/>
  <c r="G15" i="6" s="1"/>
  <c r="CR213" i="9"/>
  <c r="H15" i="6" s="1"/>
  <c r="CS213" i="9"/>
  <c r="I15" i="6" s="1"/>
  <c r="CP215" i="9"/>
  <c r="GU17"/>
  <c r="T14" i="12" s="1"/>
  <c r="H14"/>
  <c r="J13" i="11"/>
  <c r="H16" i="15"/>
  <c r="HE17" i="9"/>
  <c r="HC17"/>
  <c r="Q13" i="12"/>
  <c r="T13" s="1"/>
  <c r="Q15" i="15"/>
  <c r="AR15" s="1"/>
  <c r="GU16" i="9"/>
  <c r="GW16"/>
  <c r="GT16"/>
  <c r="GX16"/>
  <c r="T15" i="18"/>
  <c r="S15"/>
  <c r="T14"/>
  <c r="S14"/>
  <c r="P76" i="19"/>
  <c r="GE12" i="9"/>
  <c r="P18" i="4"/>
  <c r="P75" i="19"/>
  <c r="P17" i="4"/>
  <c r="P74" i="19"/>
  <c r="P16" i="4"/>
  <c r="P72" i="19"/>
  <c r="P14" i="4"/>
  <c r="P73" i="19"/>
  <c r="P15" i="4"/>
  <c r="FX11" i="9"/>
  <c r="GW13"/>
  <c r="P78" i="19"/>
  <c r="GX18" i="9"/>
  <c r="GT18"/>
  <c r="BU24" i="11"/>
  <c r="BN24"/>
  <c r="BX24"/>
  <c r="S16" i="15"/>
  <c r="BY24" i="11"/>
  <c r="BR24"/>
  <c r="BO24"/>
  <c r="GX17" i="9"/>
  <c r="GT17"/>
  <c r="S17" i="15"/>
  <c r="BV24" i="11"/>
  <c r="BS24"/>
  <c r="BP24"/>
  <c r="S15" i="15"/>
  <c r="BQ24" i="11"/>
  <c r="BW24"/>
  <c r="IG14" i="9"/>
  <c r="M18" i="11"/>
  <c r="I21" i="15"/>
  <c r="M16" i="11"/>
  <c r="I19" i="15"/>
  <c r="I20"/>
  <c r="M31" i="11"/>
  <c r="I34" i="15"/>
  <c r="M20" i="11"/>
  <c r="I23" i="15"/>
  <c r="M15" i="11"/>
  <c r="I18" i="15"/>
  <c r="GV10" i="9"/>
  <c r="Q12" i="12"/>
  <c r="Q14" i="15"/>
  <c r="AQ14" s="1"/>
  <c r="J11" i="11"/>
  <c r="H12" i="12"/>
  <c r="H14" i="15"/>
  <c r="Q11" i="12"/>
  <c r="Q13" i="15"/>
  <c r="T13" s="1"/>
  <c r="BS213" i="9"/>
  <c r="BS211"/>
  <c r="BU213"/>
  <c r="H12" i="6" s="1"/>
  <c r="BV213" i="9"/>
  <c r="I12" i="6" s="1"/>
  <c r="BT213" i="9"/>
  <c r="G12" i="6" s="1"/>
  <c r="BS215" i="9"/>
  <c r="J12" i="6" s="1"/>
  <c r="GV13" i="9"/>
  <c r="Q10" i="12"/>
  <c r="Q12" i="15"/>
  <c r="T12" s="1"/>
  <c r="GX13" i="9"/>
  <c r="H10" i="12"/>
  <c r="J9" i="11"/>
  <c r="H12" i="15"/>
  <c r="HC13" i="9"/>
  <c r="HE13"/>
  <c r="DN216"/>
  <c r="K18" i="6" s="1"/>
  <c r="DQ213" i="9"/>
  <c r="I18" i="6" s="1"/>
  <c r="DN219" i="9"/>
  <c r="M18" i="6" s="1"/>
  <c r="DN213" i="9"/>
  <c r="F18" i="6" s="1"/>
  <c r="DN218" i="9"/>
  <c r="L18" i="6" s="1"/>
  <c r="DP213" i="9"/>
  <c r="H18" i="6" s="1"/>
  <c r="DO213" i="9"/>
  <c r="G18" i="6" s="1"/>
  <c r="DN211" i="9"/>
  <c r="DN215"/>
  <c r="J18" i="6" s="1"/>
  <c r="DN217" i="9"/>
  <c r="GT13"/>
  <c r="GU13"/>
  <c r="M9" i="12"/>
  <c r="M11" i="15"/>
  <c r="P9" i="12"/>
  <c r="P11" i="15"/>
  <c r="N9" i="12"/>
  <c r="N11" i="15"/>
  <c r="FL12" i="9"/>
  <c r="K9" i="12"/>
  <c r="K11" i="15"/>
  <c r="O9" i="12"/>
  <c r="O11" i="15"/>
  <c r="L9" i="12"/>
  <c r="L11" i="15"/>
  <c r="L8" i="12"/>
  <c r="L10" i="15"/>
  <c r="GJ11" i="9"/>
  <c r="O8" i="12"/>
  <c r="O10" i="15"/>
  <c r="GB11" i="9"/>
  <c r="N8" i="12"/>
  <c r="N10" i="15"/>
  <c r="P8" i="12"/>
  <c r="P10" i="15"/>
  <c r="K8" i="12"/>
  <c r="K10" i="15"/>
  <c r="GU10" i="9"/>
  <c r="L55" i="19" s="1"/>
  <c r="GT10" i="9"/>
  <c r="GW10"/>
  <c r="GX10"/>
  <c r="F55" i="19" s="1"/>
  <c r="Q7" i="12"/>
  <c r="Q9" i="15"/>
  <c r="IQ10" i="9" s="1"/>
  <c r="P6" i="12"/>
  <c r="P8" i="15"/>
  <c r="L6" i="12"/>
  <c r="L8" i="15"/>
  <c r="N6" i="12"/>
  <c r="N8" i="15"/>
  <c r="M6" i="12"/>
  <c r="M8" i="15"/>
  <c r="O6" i="12"/>
  <c r="O8" i="15"/>
  <c r="K6" i="12"/>
  <c r="K8" i="15"/>
  <c r="HH39" i="9"/>
  <c r="HH38"/>
  <c r="HF28"/>
  <c r="GW14"/>
  <c r="HC15"/>
  <c r="GW15"/>
  <c r="GU15"/>
  <c r="GX15"/>
  <c r="GV15"/>
  <c r="GT14"/>
  <c r="GU14"/>
  <c r="GV14"/>
  <c r="GX14"/>
  <c r="FN11"/>
  <c r="FK11"/>
  <c r="FL11"/>
  <c r="GM11"/>
  <c r="GY16"/>
  <c r="GY10"/>
  <c r="GY14"/>
  <c r="GQ11"/>
  <c r="GE11"/>
  <c r="GP11"/>
  <c r="GR11"/>
  <c r="GC11"/>
  <c r="IQ30"/>
  <c r="AR29" i="15"/>
  <c r="AQ29"/>
  <c r="FU12" i="9"/>
  <c r="IW20"/>
  <c r="IY20"/>
  <c r="FY9"/>
  <c r="BO219" s="1"/>
  <c r="M11" i="6" s="1"/>
  <c r="IZ20" i="9"/>
  <c r="JB20" s="1"/>
  <c r="HG20" s="1"/>
  <c r="R16" i="11" s="1"/>
  <c r="IV20" i="9"/>
  <c r="IX20"/>
  <c r="FN9"/>
  <c r="AR23" i="15"/>
  <c r="AQ23"/>
  <c r="FN12" i="9"/>
  <c r="AQ9" i="15"/>
  <c r="AR14"/>
  <c r="AR34"/>
  <c r="AQ34"/>
  <c r="AQ18"/>
  <c r="AR18"/>
  <c r="AQ13"/>
  <c r="AR13"/>
  <c r="AQ16"/>
  <c r="IQ24" i="9"/>
  <c r="IT20"/>
  <c r="IU20"/>
  <c r="HB15"/>
  <c r="HB13"/>
  <c r="IQ19"/>
  <c r="GR12"/>
  <c r="HB17"/>
  <c r="IQ35"/>
  <c r="GP9"/>
  <c r="IR22"/>
  <c r="FK12"/>
  <c r="GI12"/>
  <c r="GM12"/>
  <c r="FK9"/>
  <c r="GF12"/>
  <c r="GQ12"/>
  <c r="GJ12"/>
  <c r="GP12"/>
  <c r="FL9"/>
  <c r="IR18"/>
  <c r="FY12"/>
  <c r="GB12"/>
  <c r="FV12"/>
  <c r="GC9"/>
  <c r="FO9"/>
  <c r="GC12"/>
  <c r="FO12"/>
  <c r="FR12"/>
  <c r="GQ9"/>
  <c r="GR9"/>
  <c r="IW37"/>
  <c r="IU37"/>
  <c r="JA37"/>
  <c r="IT37"/>
  <c r="IZ37"/>
  <c r="JB37" s="1"/>
  <c r="HG37" s="1"/>
  <c r="R33" i="11" s="1"/>
  <c r="BO33" s="1"/>
  <c r="IY37" i="9"/>
  <c r="IV37"/>
  <c r="IX37"/>
  <c r="IX36"/>
  <c r="JA36"/>
  <c r="IU36"/>
  <c r="IY36"/>
  <c r="IZ36"/>
  <c r="JB36" s="1"/>
  <c r="HG36" s="1"/>
  <c r="R32" i="11" s="1"/>
  <c r="BO32" s="1"/>
  <c r="IT36" i="9"/>
  <c r="IV36"/>
  <c r="IW36"/>
  <c r="IX34"/>
  <c r="IZ34"/>
  <c r="JB34" s="1"/>
  <c r="HG34" s="1"/>
  <c r="R30" i="11" s="1"/>
  <c r="BO30" s="1"/>
  <c r="IU34" i="9"/>
  <c r="IT34"/>
  <c r="IW34"/>
  <c r="IV34"/>
  <c r="IY34"/>
  <c r="JA34"/>
  <c r="IV33"/>
  <c r="JA33"/>
  <c r="IY33"/>
  <c r="IT33"/>
  <c r="IW33"/>
  <c r="IX33"/>
  <c r="IU33"/>
  <c r="IZ33"/>
  <c r="JB33" s="1"/>
  <c r="HG33" s="1"/>
  <c r="R29" i="11" s="1"/>
  <c r="BO29" s="1"/>
  <c r="IV32" i="9"/>
  <c r="IY32"/>
  <c r="IX32"/>
  <c r="IU32"/>
  <c r="IW32"/>
  <c r="IT32"/>
  <c r="JA32"/>
  <c r="IZ32"/>
  <c r="JB32" s="1"/>
  <c r="HG32" s="1"/>
  <c r="R28" i="11" s="1"/>
  <c r="IT31" i="9"/>
  <c r="IX31"/>
  <c r="IY31"/>
  <c r="IV31"/>
  <c r="IW31"/>
  <c r="JA31"/>
  <c r="IZ31"/>
  <c r="JB31" s="1"/>
  <c r="HG31" s="1"/>
  <c r="R27" i="11" s="1"/>
  <c r="BO27" s="1"/>
  <c r="IU31" i="9"/>
  <c r="IZ29"/>
  <c r="JB29" s="1"/>
  <c r="HG29" s="1"/>
  <c r="R25" i="11" s="1"/>
  <c r="BO25" s="1"/>
  <c r="IW29" i="9"/>
  <c r="IU29"/>
  <c r="IT29"/>
  <c r="JA29"/>
  <c r="IV29"/>
  <c r="IX29"/>
  <c r="IY29"/>
  <c r="JA27"/>
  <c r="IX27"/>
  <c r="IW27"/>
  <c r="IV27"/>
  <c r="IY27"/>
  <c r="IZ27"/>
  <c r="JB27" s="1"/>
  <c r="HG27" s="1"/>
  <c r="R23" i="11" s="1"/>
  <c r="BO23" s="1"/>
  <c r="IU27" i="9"/>
  <c r="IT27"/>
  <c r="IT26"/>
  <c r="IU26"/>
  <c r="IX26"/>
  <c r="IW26"/>
  <c r="IV26"/>
  <c r="JA26"/>
  <c r="JA25"/>
  <c r="IZ25"/>
  <c r="JB25" s="1"/>
  <c r="HG25" s="1"/>
  <c r="R21" i="11" s="1"/>
  <c r="BO21" s="1"/>
  <c r="IU25" i="9"/>
  <c r="IT25"/>
  <c r="IW25"/>
  <c r="IV25"/>
  <c r="IY25"/>
  <c r="IX25"/>
  <c r="IX23"/>
  <c r="JA23"/>
  <c r="IZ23"/>
  <c r="JB23" s="1"/>
  <c r="HG23" s="1"/>
  <c r="R19" i="11" s="1"/>
  <c r="BO19" s="1"/>
  <c r="IY23" i="9"/>
  <c r="IV23"/>
  <c r="IW23"/>
  <c r="IT23"/>
  <c r="IU23"/>
  <c r="GB9"/>
  <c r="IQ21"/>
  <c r="HB18"/>
  <c r="GJ9"/>
  <c r="AH8" i="15"/>
  <c r="GF9" i="9"/>
  <c r="GI9"/>
  <c r="FV9"/>
  <c r="FU9"/>
  <c r="FR9"/>
  <c r="GU9" s="1"/>
  <c r="IR17"/>
  <c r="IR16"/>
  <c r="IR10"/>
  <c r="IR14"/>
  <c r="IR15"/>
  <c r="IR21"/>
  <c r="IR13"/>
  <c r="IQ14"/>
  <c r="IQ15"/>
  <c r="IG16"/>
  <c r="J15" i="6"/>
  <c r="CP218" i="9"/>
  <c r="L15" i="6" s="1"/>
  <c r="CP219" i="9"/>
  <c r="M15" i="6" s="1"/>
  <c r="CP217" i="9"/>
  <c r="CP216"/>
  <c r="K15" i="6" s="1"/>
  <c r="BS216" i="9"/>
  <c r="K12" i="6" s="1"/>
  <c r="BS219" i="9"/>
  <c r="M12" i="6" s="1"/>
  <c r="BS218" i="9"/>
  <c r="L12" i="6" s="1"/>
  <c r="BS217" i="9"/>
  <c r="BO218"/>
  <c r="L11" i="6" s="1"/>
  <c r="EO8" i="9"/>
  <c r="EN8"/>
  <c r="BO28" i="11" l="1"/>
  <c r="BO216" i="9"/>
  <c r="K11" i="6" s="1"/>
  <c r="IQ16" i="9"/>
  <c r="T14" i="15"/>
  <c r="AS14" s="1"/>
  <c r="P11" i="11" s="1"/>
  <c r="T15" i="15"/>
  <c r="BO217" i="9"/>
  <c r="IQ17"/>
  <c r="AR16" i="15"/>
  <c r="BO215" i="9"/>
  <c r="J11" i="6" s="1"/>
  <c r="AQ15" i="15"/>
  <c r="AR9"/>
  <c r="AT15"/>
  <c r="Q12" i="11" s="1"/>
  <c r="T17" i="15"/>
  <c r="T16"/>
  <c r="O13" i="11"/>
  <c r="BF45" i="19"/>
  <c r="BF46" s="1"/>
  <c r="BF44"/>
  <c r="B55" s="1"/>
  <c r="AS13" i="15"/>
  <c r="P10" i="11" s="1"/>
  <c r="S21" i="15"/>
  <c r="T19" i="12"/>
  <c r="S20" i="15"/>
  <c r="T18" i="12"/>
  <c r="O17" i="11"/>
  <c r="J20" i="15"/>
  <c r="L17" i="11"/>
  <c r="HD21" i="9"/>
  <c r="N17" i="11" s="1"/>
  <c r="J17" i="15"/>
  <c r="L14" i="11"/>
  <c r="J15" i="12"/>
  <c r="CT213" i="9"/>
  <c r="D15" i="6" s="1"/>
  <c r="J14" i="12"/>
  <c r="L13" i="11"/>
  <c r="J16" i="15"/>
  <c r="H13" i="12"/>
  <c r="J12" i="11"/>
  <c r="O12" s="1"/>
  <c r="H15" i="15"/>
  <c r="HE16" i="9"/>
  <c r="HC16"/>
  <c r="IQ13"/>
  <c r="IW13" s="1"/>
  <c r="AQ12" i="15"/>
  <c r="AR12"/>
  <c r="GW11" i="9"/>
  <c r="AT12" i="15"/>
  <c r="Q9" i="11" s="1"/>
  <c r="O9"/>
  <c r="BV32"/>
  <c r="BS32"/>
  <c r="BP32"/>
  <c r="BV29"/>
  <c r="BS29"/>
  <c r="BP29"/>
  <c r="BV27"/>
  <c r="BS27"/>
  <c r="BP27"/>
  <c r="BV25"/>
  <c r="BS25"/>
  <c r="BP25"/>
  <c r="BV33"/>
  <c r="BS33"/>
  <c r="BP33"/>
  <c r="BV23"/>
  <c r="BS23"/>
  <c r="BP23"/>
  <c r="BV19"/>
  <c r="BS19"/>
  <c r="BP19"/>
  <c r="BV21"/>
  <c r="BS21"/>
  <c r="BP21"/>
  <c r="BV30"/>
  <c r="BS30"/>
  <c r="BP30"/>
  <c r="BV28"/>
  <c r="BS28"/>
  <c r="BP28"/>
  <c r="BQ32"/>
  <c r="BW32"/>
  <c r="BT32"/>
  <c r="BU29"/>
  <c r="BW29"/>
  <c r="BT29"/>
  <c r="BQ27"/>
  <c r="BW27"/>
  <c r="BT27"/>
  <c r="BU25"/>
  <c r="BW25"/>
  <c r="BT25"/>
  <c r="BU33"/>
  <c r="BW33"/>
  <c r="BT33"/>
  <c r="BY23"/>
  <c r="BW23"/>
  <c r="BT23"/>
  <c r="BQ19"/>
  <c r="BW19"/>
  <c r="BT19"/>
  <c r="BU21"/>
  <c r="BW21"/>
  <c r="BT21"/>
  <c r="BY30"/>
  <c r="BW30"/>
  <c r="BT30"/>
  <c r="BQ28"/>
  <c r="BW28"/>
  <c r="BT28"/>
  <c r="BU32"/>
  <c r="BN32"/>
  <c r="BX32"/>
  <c r="BY29"/>
  <c r="BN29"/>
  <c r="BX29"/>
  <c r="BY27"/>
  <c r="BN27"/>
  <c r="BX27"/>
  <c r="BQ25"/>
  <c r="BN25"/>
  <c r="BX25"/>
  <c r="BQ33"/>
  <c r="BN33"/>
  <c r="BX33"/>
  <c r="BQ23"/>
  <c r="BN23"/>
  <c r="BX23"/>
  <c r="BY19"/>
  <c r="BN19"/>
  <c r="BX19"/>
  <c r="BY21"/>
  <c r="BN21"/>
  <c r="BX21"/>
  <c r="BU30"/>
  <c r="BN30"/>
  <c r="BX30"/>
  <c r="BU28"/>
  <c r="BN28"/>
  <c r="BX28"/>
  <c r="BY32"/>
  <c r="BR32"/>
  <c r="BQ29"/>
  <c r="BR29"/>
  <c r="BU27"/>
  <c r="BR27"/>
  <c r="BY25"/>
  <c r="BR25"/>
  <c r="BY33"/>
  <c r="BR33"/>
  <c r="BU23"/>
  <c r="BR23"/>
  <c r="BU19"/>
  <c r="BR19"/>
  <c r="BQ21"/>
  <c r="BR21"/>
  <c r="BQ30"/>
  <c r="BR30"/>
  <c r="BY28"/>
  <c r="BR28"/>
  <c r="T12" i="12"/>
  <c r="T10"/>
  <c r="BP16" i="11"/>
  <c r="BT16"/>
  <c r="BX16"/>
  <c r="BO16"/>
  <c r="BS16"/>
  <c r="BW16"/>
  <c r="BN16"/>
  <c r="BR16"/>
  <c r="BV16"/>
  <c r="BQ16"/>
  <c r="BU16"/>
  <c r="BY16"/>
  <c r="GV12" i="9"/>
  <c r="I15" i="12"/>
  <c r="M14" i="11"/>
  <c r="I17" i="15"/>
  <c r="I14" i="12"/>
  <c r="M13" i="11"/>
  <c r="I16" i="15"/>
  <c r="S13"/>
  <c r="S14"/>
  <c r="T11" i="12"/>
  <c r="T7"/>
  <c r="S9" i="15"/>
  <c r="I12" i="12"/>
  <c r="M11" i="11"/>
  <c r="I14" i="15"/>
  <c r="O11" i="11"/>
  <c r="HD15" i="9"/>
  <c r="N11" i="11" s="1"/>
  <c r="L11"/>
  <c r="J12" i="12"/>
  <c r="J14" i="15"/>
  <c r="HB14" i="9"/>
  <c r="J10" i="11"/>
  <c r="O10" s="1"/>
  <c r="H11" i="12"/>
  <c r="H13" i="15"/>
  <c r="BW213" i="9"/>
  <c r="D12" i="6" s="1"/>
  <c r="S12" i="15"/>
  <c r="I10" i="12"/>
  <c r="M9" i="11"/>
  <c r="I12" i="15"/>
  <c r="DR213" i="9"/>
  <c r="DN214" s="1"/>
  <c r="E18" i="6" s="1"/>
  <c r="C18"/>
  <c r="J10" i="12"/>
  <c r="L9" i="11"/>
  <c r="J12" i="15"/>
  <c r="GT12" i="9"/>
  <c r="Q9" i="12"/>
  <c r="Q11" i="15"/>
  <c r="IQ12" i="9" s="1"/>
  <c r="IV12" s="1"/>
  <c r="DI219"/>
  <c r="M17" i="6" s="1"/>
  <c r="GW12" i="9"/>
  <c r="GU12"/>
  <c r="L84" i="19" s="1"/>
  <c r="GX12" i="9"/>
  <c r="F84" i="19" s="1"/>
  <c r="DI213" i="9"/>
  <c r="F17" i="6" s="1"/>
  <c r="DJ213" i="9"/>
  <c r="G17" i="6" s="1"/>
  <c r="DI211" i="9"/>
  <c r="C17" i="6" s="1"/>
  <c r="GT11" i="9"/>
  <c r="GV11"/>
  <c r="Q8" i="12"/>
  <c r="T8" s="1"/>
  <c r="Q10" i="15"/>
  <c r="T10" s="1"/>
  <c r="DI216" i="9"/>
  <c r="K17" i="6" s="1"/>
  <c r="DL213" i="9"/>
  <c r="I17" i="6" s="1"/>
  <c r="DI215" i="9"/>
  <c r="J17" i="6" s="1"/>
  <c r="GU11" i="9"/>
  <c r="AB55" i="19" s="1"/>
  <c r="DI217" i="9"/>
  <c r="DK213"/>
  <c r="H17" i="6" s="1"/>
  <c r="GX11" i="9"/>
  <c r="V55" i="19" s="1"/>
  <c r="AT10" i="15"/>
  <c r="Q7" i="11" s="1"/>
  <c r="DI218" i="9"/>
  <c r="L17" i="6" s="1"/>
  <c r="J6" i="11"/>
  <c r="O6" s="1"/>
  <c r="H7" i="12"/>
  <c r="H9" i="15"/>
  <c r="HC10" i="9"/>
  <c r="P50" i="19" s="1"/>
  <c r="HE10" i="9"/>
  <c r="T9" i="15"/>
  <c r="AT9"/>
  <c r="Q6" i="11" s="1"/>
  <c r="BO213" i="9"/>
  <c r="G11" i="6" s="1"/>
  <c r="BN218" i="9"/>
  <c r="BN213"/>
  <c r="F11" i="6" s="1"/>
  <c r="BN215" i="9"/>
  <c r="BN211"/>
  <c r="BN216"/>
  <c r="BP213"/>
  <c r="H11" i="6" s="1"/>
  <c r="BN219" i="9"/>
  <c r="BN217"/>
  <c r="BQ213"/>
  <c r="I11" i="6" s="1"/>
  <c r="GT9" i="9"/>
  <c r="AR213"/>
  <c r="G8" i="6" s="1"/>
  <c r="AQ213" i="9"/>
  <c r="F8" i="6" s="1"/>
  <c r="CL217" i="9"/>
  <c r="CK219"/>
  <c r="CK211"/>
  <c r="C14" i="6" s="1"/>
  <c r="CL213" i="9"/>
  <c r="G14" i="6" s="1"/>
  <c r="CK213" i="9"/>
  <c r="F14" i="6" s="1"/>
  <c r="CK218" i="9"/>
  <c r="CK215"/>
  <c r="CK217"/>
  <c r="CK216"/>
  <c r="Q6" i="12"/>
  <c r="Q8" i="15"/>
  <c r="AT8" s="1"/>
  <c r="Q5" i="11" s="1"/>
  <c r="GW9" i="9"/>
  <c r="T6" i="12" s="1"/>
  <c r="GV9" i="9"/>
  <c r="GX9"/>
  <c r="C15" i="6"/>
  <c r="C12"/>
  <c r="CA213" i="9"/>
  <c r="HH28"/>
  <c r="HF27"/>
  <c r="HF29"/>
  <c r="HF32"/>
  <c r="HF34"/>
  <c r="HF36"/>
  <c r="HF33"/>
  <c r="HF37"/>
  <c r="HF20"/>
  <c r="HF31"/>
  <c r="HF23"/>
  <c r="HF25"/>
  <c r="HC14"/>
  <c r="AQ216"/>
  <c r="K8" i="6" s="1"/>
  <c r="GY9" i="9"/>
  <c r="HB9" s="1"/>
  <c r="HB10"/>
  <c r="HB16"/>
  <c r="CM213"/>
  <c r="CL216"/>
  <c r="K14" i="6" s="1"/>
  <c r="GY11" i="9"/>
  <c r="GY12"/>
  <c r="IR11"/>
  <c r="CL219"/>
  <c r="M14" i="6" s="1"/>
  <c r="DJ215" i="9"/>
  <c r="IR12"/>
  <c r="AQ218"/>
  <c r="L8" i="6" s="1"/>
  <c r="DJ217" i="9"/>
  <c r="DJ219"/>
  <c r="CL215"/>
  <c r="J14" i="6" s="1"/>
  <c r="AQ219" i="9"/>
  <c r="M8" i="6" s="1"/>
  <c r="AS213" i="9"/>
  <c r="H8" i="6" s="1"/>
  <c r="AQ211" i="9"/>
  <c r="AQ215"/>
  <c r="J8" i="6" s="1"/>
  <c r="CL218" i="9"/>
  <c r="L14" i="6" s="1"/>
  <c r="DJ218" i="9"/>
  <c r="AQ217"/>
  <c r="DJ216"/>
  <c r="IZ30"/>
  <c r="JB30" s="1"/>
  <c r="HG30" s="1"/>
  <c r="R26" i="11" s="1"/>
  <c r="IT30" i="9"/>
  <c r="IU30"/>
  <c r="IY30"/>
  <c r="IW30"/>
  <c r="IX30"/>
  <c r="JA30"/>
  <c r="IV30"/>
  <c r="AQ17" i="15"/>
  <c r="AR17"/>
  <c r="AR11"/>
  <c r="AQ11"/>
  <c r="AQ20"/>
  <c r="AR21"/>
  <c r="AQ21"/>
  <c r="AR20"/>
  <c r="HB12" i="9"/>
  <c r="IX24"/>
  <c r="JA24"/>
  <c r="IY24"/>
  <c r="IU24"/>
  <c r="IT24"/>
  <c r="IZ24"/>
  <c r="JB24" s="1"/>
  <c r="HG24" s="1"/>
  <c r="R20" i="11" s="1"/>
  <c r="BT20" s="1"/>
  <c r="IV24" i="9"/>
  <c r="IW24"/>
  <c r="IQ22"/>
  <c r="IY19"/>
  <c r="IW19"/>
  <c r="IZ19"/>
  <c r="JB19" s="1"/>
  <c r="HG19" s="1"/>
  <c r="R15" i="11" s="1"/>
  <c r="BT15" s="1"/>
  <c r="IX19" i="9"/>
  <c r="JA19"/>
  <c r="IT19"/>
  <c r="IV19"/>
  <c r="IU19"/>
  <c r="IY26"/>
  <c r="IZ26" s="1"/>
  <c r="JB26" s="1"/>
  <c r="HG26" s="1"/>
  <c r="R22" i="11" s="1"/>
  <c r="IU35" i="9"/>
  <c r="IT35"/>
  <c r="JA35"/>
  <c r="IX35"/>
  <c r="IY35"/>
  <c r="IZ35"/>
  <c r="JB35" s="1"/>
  <c r="HG35" s="1"/>
  <c r="R31" i="11" s="1"/>
  <c r="BT31" s="1"/>
  <c r="IW35" i="9"/>
  <c r="IV35"/>
  <c r="AT213"/>
  <c r="I8" i="6" s="1"/>
  <c r="IQ18" i="9"/>
  <c r="CN213"/>
  <c r="I14" i="6" s="1"/>
  <c r="CX213" i="9"/>
  <c r="IR9"/>
  <c r="II9"/>
  <c r="IW17"/>
  <c r="JA17"/>
  <c r="IV17"/>
  <c r="IZ17"/>
  <c r="JB17" s="1"/>
  <c r="HG17" s="1"/>
  <c r="R13" i="11" s="1"/>
  <c r="IU17" i="9"/>
  <c r="IY17"/>
  <c r="IT17"/>
  <c r="IX17"/>
  <c r="IV10"/>
  <c r="JA10"/>
  <c r="IU10"/>
  <c r="IZ10"/>
  <c r="JB10" s="1"/>
  <c r="HG10" s="1"/>
  <c r="R6" i="11" s="1"/>
  <c r="IT10" i="9"/>
  <c r="IX10"/>
  <c r="IY10"/>
  <c r="IW10"/>
  <c r="IT12"/>
  <c r="IU12"/>
  <c r="IY12" s="1"/>
  <c r="IZ12" s="1"/>
  <c r="JB12" s="1"/>
  <c r="IU15"/>
  <c r="IT15"/>
  <c r="IX15"/>
  <c r="JA15"/>
  <c r="IW15"/>
  <c r="IV15"/>
  <c r="JA16"/>
  <c r="IT16"/>
  <c r="IX16"/>
  <c r="IW16"/>
  <c r="IV16"/>
  <c r="IU16"/>
  <c r="IV13"/>
  <c r="IY13"/>
  <c r="IZ13" s="1"/>
  <c r="JB13" s="1"/>
  <c r="HG13" s="1"/>
  <c r="R9" i="11" s="1"/>
  <c r="IV14" i="9"/>
  <c r="JA14"/>
  <c r="IU14"/>
  <c r="IT14"/>
  <c r="IX14"/>
  <c r="IW14"/>
  <c r="IW21"/>
  <c r="JA21"/>
  <c r="IV21"/>
  <c r="IZ21"/>
  <c r="JB21" s="1"/>
  <c r="HG21" s="1"/>
  <c r="R17" i="11" s="1"/>
  <c r="BT17" s="1"/>
  <c r="IU21" i="9"/>
  <c r="IY21"/>
  <c r="IT21"/>
  <c r="IX21"/>
  <c r="F15" i="6"/>
  <c r="F12"/>
  <c r="EL8" i="9"/>
  <c r="IX12" l="1"/>
  <c r="IW12"/>
  <c r="JA12"/>
  <c r="IU13"/>
  <c r="IX13"/>
  <c r="JA13"/>
  <c r="BE15" i="19"/>
  <c r="BE16"/>
  <c r="T8" i="15"/>
  <c r="IT13" i="9"/>
  <c r="CP214"/>
  <c r="E15" i="6" s="1"/>
  <c r="J13" i="12"/>
  <c r="L12" i="11"/>
  <c r="HD16" i="9"/>
  <c r="N12" i="11" s="1"/>
  <c r="J15" i="15"/>
  <c r="AQ15" i="4"/>
  <c r="BF73" i="19"/>
  <c r="AQ16" i="4"/>
  <c r="AQ17" s="1"/>
  <c r="Q21" s="1"/>
  <c r="BF74" i="19"/>
  <c r="BE44"/>
  <c r="R55" s="1"/>
  <c r="BE45"/>
  <c r="BO22" i="11"/>
  <c r="BR22"/>
  <c r="BQ22"/>
  <c r="BX22"/>
  <c r="BN22"/>
  <c r="BU22"/>
  <c r="BT22"/>
  <c r="BW22"/>
  <c r="BY22"/>
  <c r="BP22"/>
  <c r="BS22"/>
  <c r="BV22"/>
  <c r="BQ31"/>
  <c r="BN31"/>
  <c r="BX31"/>
  <c r="BQ15"/>
  <c r="BN15"/>
  <c r="BX15"/>
  <c r="BQ17"/>
  <c r="BN17"/>
  <c r="BX17"/>
  <c r="BU20"/>
  <c r="BN20"/>
  <c r="BX20"/>
  <c r="BU31"/>
  <c r="BR31"/>
  <c r="BO31"/>
  <c r="BU15"/>
  <c r="BR15"/>
  <c r="BO15"/>
  <c r="BY17"/>
  <c r="BR17"/>
  <c r="BO17"/>
  <c r="BY20"/>
  <c r="BR20"/>
  <c r="BO20"/>
  <c r="BO26"/>
  <c r="BR26"/>
  <c r="BQ26"/>
  <c r="BX26"/>
  <c r="BN26"/>
  <c r="BU26"/>
  <c r="BT26"/>
  <c r="BW26"/>
  <c r="BY26"/>
  <c r="BP26"/>
  <c r="BS26"/>
  <c r="BV26"/>
  <c r="BV31"/>
  <c r="BS31"/>
  <c r="BP31"/>
  <c r="BV15"/>
  <c r="BS15"/>
  <c r="BP15"/>
  <c r="BV17"/>
  <c r="BS17"/>
  <c r="BP17"/>
  <c r="BV20"/>
  <c r="BS20"/>
  <c r="BP20"/>
  <c r="BY31"/>
  <c r="BW31"/>
  <c r="BY15"/>
  <c r="BW15"/>
  <c r="BU17"/>
  <c r="BW17"/>
  <c r="BQ20"/>
  <c r="BW20"/>
  <c r="S10" i="15"/>
  <c r="BP13" i="11"/>
  <c r="BT13"/>
  <c r="BX13"/>
  <c r="BO13"/>
  <c r="BS13"/>
  <c r="BW13"/>
  <c r="BN13"/>
  <c r="BR13"/>
  <c r="BV13"/>
  <c r="BU13"/>
  <c r="BY13"/>
  <c r="BQ13"/>
  <c r="BP9"/>
  <c r="BT9"/>
  <c r="BX9"/>
  <c r="BO9"/>
  <c r="BS9"/>
  <c r="BW9"/>
  <c r="BN9"/>
  <c r="BR9"/>
  <c r="BV9"/>
  <c r="BY9"/>
  <c r="BU9"/>
  <c r="BQ9"/>
  <c r="S8" i="15"/>
  <c r="M12" i="11"/>
  <c r="I13" i="12"/>
  <c r="I15" i="15"/>
  <c r="T9" i="12"/>
  <c r="J11"/>
  <c r="L10" i="11"/>
  <c r="J13" i="15"/>
  <c r="M10" i="11"/>
  <c r="I11" i="12"/>
  <c r="I13" i="15"/>
  <c r="BS214" i="9"/>
  <c r="E12" i="6" s="1"/>
  <c r="D18"/>
  <c r="O18" s="1"/>
  <c r="D17"/>
  <c r="O17" s="1"/>
  <c r="J8" i="11"/>
  <c r="O8" s="1"/>
  <c r="H9" i="12"/>
  <c r="H11" i="15"/>
  <c r="HC12" i="9"/>
  <c r="HE12"/>
  <c r="HG12" s="1"/>
  <c r="R8" i="11" s="1"/>
  <c r="AT11" i="15"/>
  <c r="Q8" i="11" s="1"/>
  <c r="I9" i="12"/>
  <c r="M8" i="11"/>
  <c r="I11" i="15"/>
  <c r="S11"/>
  <c r="DM213" i="9"/>
  <c r="DI214" s="1"/>
  <c r="E17" i="6" s="1"/>
  <c r="T11" i="15"/>
  <c r="HB11" i="9"/>
  <c r="J7" i="11"/>
  <c r="O7" s="1"/>
  <c r="H8" i="12"/>
  <c r="H10" i="15"/>
  <c r="HE11" i="9"/>
  <c r="HC11"/>
  <c r="AF50" i="19" s="1"/>
  <c r="M6" i="11"/>
  <c r="I7" i="12"/>
  <c r="I9" i="15"/>
  <c r="J7" i="12"/>
  <c r="L6" i="11"/>
  <c r="J9" i="15"/>
  <c r="BR213" i="9"/>
  <c r="D11" i="6" s="1"/>
  <c r="O11" s="1"/>
  <c r="C11"/>
  <c r="H6" i="12"/>
  <c r="J5" i="11"/>
  <c r="O5" s="1"/>
  <c r="H8" i="15"/>
  <c r="HE9" i="9"/>
  <c r="HC9"/>
  <c r="I6" i="12"/>
  <c r="M5" i="11"/>
  <c r="I8" i="15"/>
  <c r="H14" i="6"/>
  <c r="CO213" i="9"/>
  <c r="C8" i="6"/>
  <c r="AU213" i="9"/>
  <c r="D8" i="6" s="1"/>
  <c r="HH25" i="9"/>
  <c r="HH31"/>
  <c r="HH36"/>
  <c r="HH32"/>
  <c r="HH27"/>
  <c r="IY15"/>
  <c r="IZ15" s="1"/>
  <c r="JB15" s="1"/>
  <c r="HH20"/>
  <c r="HH34"/>
  <c r="HF13"/>
  <c r="HF10"/>
  <c r="HF17"/>
  <c r="HF26"/>
  <c r="HF19"/>
  <c r="HH23"/>
  <c r="HH37"/>
  <c r="HF12"/>
  <c r="HF35"/>
  <c r="HF30"/>
  <c r="HH30" s="1"/>
  <c r="HF24"/>
  <c r="HE15"/>
  <c r="T18" i="18" s="1"/>
  <c r="HH33" i="9"/>
  <c r="HH29"/>
  <c r="HF21"/>
  <c r="HE14"/>
  <c r="T16" i="18" s="1"/>
  <c r="IY14" i="9"/>
  <c r="IZ14" s="1"/>
  <c r="JB14" s="1"/>
  <c r="HD14"/>
  <c r="N10" i="11" s="1"/>
  <c r="AQ10" i="15"/>
  <c r="AR10"/>
  <c r="IQ11" i="9"/>
  <c r="AR8" i="15"/>
  <c r="AQ8"/>
  <c r="ES8" i="9"/>
  <c r="IV22"/>
  <c r="IX22"/>
  <c r="IY22"/>
  <c r="IT22"/>
  <c r="JA22"/>
  <c r="IW22"/>
  <c r="IU22"/>
  <c r="IZ22"/>
  <c r="JB22" s="1"/>
  <c r="HG22" s="1"/>
  <c r="R18" i="11" s="1"/>
  <c r="IQ9" i="9"/>
  <c r="IX9" s="1"/>
  <c r="EU8"/>
  <c r="IU18"/>
  <c r="IZ18"/>
  <c r="JB18" s="1"/>
  <c r="HG18" s="1"/>
  <c r="R14" i="11" s="1"/>
  <c r="BX14" s="1"/>
  <c r="IV18" i="9"/>
  <c r="IX18"/>
  <c r="IY18"/>
  <c r="IT18"/>
  <c r="JA18"/>
  <c r="IW18"/>
  <c r="ET8"/>
  <c r="ER8"/>
  <c r="IY16"/>
  <c r="IZ16" s="1"/>
  <c r="JB16" s="1"/>
  <c r="HG16" s="1"/>
  <c r="R12" i="11" s="1"/>
  <c r="O15" i="6"/>
  <c r="O12"/>
  <c r="EV8" i="9"/>
  <c r="HG15" l="1"/>
  <c r="AU14" i="15" s="1"/>
  <c r="BE46" i="19"/>
  <c r="P79"/>
  <c r="BT18" i="11"/>
  <c r="BW18"/>
  <c r="BY18"/>
  <c r="BP18"/>
  <c r="BS18"/>
  <c r="BV18"/>
  <c r="BO18"/>
  <c r="BR18"/>
  <c r="BQ18"/>
  <c r="BX18"/>
  <c r="BN18"/>
  <c r="BU18"/>
  <c r="BQ14"/>
  <c r="BR14"/>
  <c r="BO14"/>
  <c r="BV14"/>
  <c r="BS14"/>
  <c r="BP14"/>
  <c r="BY14"/>
  <c r="BW14"/>
  <c r="BT14"/>
  <c r="BU14"/>
  <c r="BN14"/>
  <c r="AF21" i="19"/>
  <c r="BP6" i="11"/>
  <c r="BT6"/>
  <c r="BX6"/>
  <c r="BO6"/>
  <c r="BS6"/>
  <c r="BW6"/>
  <c r="BN6"/>
  <c r="BR6"/>
  <c r="BV6"/>
  <c r="BY6"/>
  <c r="BQ6"/>
  <c r="BU6"/>
  <c r="S24" i="18"/>
  <c r="BP8" i="11"/>
  <c r="BT8"/>
  <c r="BX8"/>
  <c r="BO8"/>
  <c r="BS8"/>
  <c r="BW8"/>
  <c r="BN8"/>
  <c r="BR8"/>
  <c r="BV8"/>
  <c r="BU8"/>
  <c r="BQ8"/>
  <c r="BY8"/>
  <c r="BP12"/>
  <c r="BT12"/>
  <c r="BX12"/>
  <c r="BO12"/>
  <c r="BS12"/>
  <c r="BW12"/>
  <c r="BN12"/>
  <c r="BR12"/>
  <c r="BV12"/>
  <c r="BQ12"/>
  <c r="BU12"/>
  <c r="BY12"/>
  <c r="BE17" i="19"/>
  <c r="R26"/>
  <c r="J9" i="12"/>
  <c r="L8" i="11"/>
  <c r="J11" i="15"/>
  <c r="I8" i="12"/>
  <c r="M7" i="11"/>
  <c r="I10" i="15"/>
  <c r="L7" i="11"/>
  <c r="J8" i="12"/>
  <c r="J10" i="15"/>
  <c r="BN214" i="9"/>
  <c r="E11" i="6" s="1"/>
  <c r="J6" i="12"/>
  <c r="L5" i="11"/>
  <c r="J8" i="15"/>
  <c r="AQ214" i="9"/>
  <c r="E8" i="6" s="1"/>
  <c r="D14"/>
  <c r="O14" s="1"/>
  <c r="CK214" i="9"/>
  <c r="E14" i="6" s="1"/>
  <c r="HG14" i="9"/>
  <c r="HH35"/>
  <c r="HH26"/>
  <c r="HH10"/>
  <c r="HH21"/>
  <c r="HH12"/>
  <c r="HH19"/>
  <c r="HF16"/>
  <c r="HF22"/>
  <c r="HH24"/>
  <c r="HH17"/>
  <c r="HH13"/>
  <c r="HF14"/>
  <c r="HF18"/>
  <c r="HF15"/>
  <c r="AT14" i="15" s="1"/>
  <c r="Q11" i="11" s="1"/>
  <c r="EX8" i="9"/>
  <c r="IV9"/>
  <c r="IU11"/>
  <c r="IY11" s="1"/>
  <c r="IZ11" s="1"/>
  <c r="JB11" s="1"/>
  <c r="HG11" s="1"/>
  <c r="R7" i="11" s="1"/>
  <c r="IT11" i="9"/>
  <c r="IW11"/>
  <c r="IX11"/>
  <c r="IV11"/>
  <c r="JA11"/>
  <c r="IU9"/>
  <c r="JA9"/>
  <c r="IT9"/>
  <c r="IW9"/>
  <c r="O8" i="6"/>
  <c r="R11" i="11" l="1"/>
  <c r="BN11" s="1"/>
  <c r="P21" i="18"/>
  <c r="BP7" i="11"/>
  <c r="BT7"/>
  <c r="BX7"/>
  <c r="BO7"/>
  <c r="BS7"/>
  <c r="BW7"/>
  <c r="BN7"/>
  <c r="BR7"/>
  <c r="BV7"/>
  <c r="BQ7"/>
  <c r="BU7"/>
  <c r="BY7"/>
  <c r="AU13" i="15"/>
  <c r="R10" i="11"/>
  <c r="AT13" i="15"/>
  <c r="Q10" i="11" s="1"/>
  <c r="HH16" i="9"/>
  <c r="HH15"/>
  <c r="HH14"/>
  <c r="HH18"/>
  <c r="HH22"/>
  <c r="HF11"/>
  <c r="EK8"/>
  <c r="FP8"/>
  <c r="P16" i="19" s="1"/>
  <c r="FJ8" i="9"/>
  <c r="P14" i="19" s="1"/>
  <c r="FF8" i="9"/>
  <c r="P23" i="19" s="1"/>
  <c r="IY9" i="9"/>
  <c r="IZ9" s="1"/>
  <c r="JB9" s="1"/>
  <c r="HG9" s="1"/>
  <c r="R5" i="11" s="1"/>
  <c r="GD8" i="9"/>
  <c r="P18" i="19" s="1"/>
  <c r="GK8" i="9"/>
  <c r="FM8"/>
  <c r="P15" i="19" s="1"/>
  <c r="FW8" i="9"/>
  <c r="P17" i="19" s="1"/>
  <c r="FQ8" i="9"/>
  <c r="P20" i="19" l="1"/>
  <c r="P20" i="4"/>
  <c r="BR11" i="11"/>
  <c r="BU11"/>
  <c r="BS11"/>
  <c r="BT11"/>
  <c r="BY11"/>
  <c r="BV11"/>
  <c r="BW11"/>
  <c r="BX11"/>
  <c r="BP11"/>
  <c r="BO11"/>
  <c r="BQ11"/>
  <c r="FL8" i="9"/>
  <c r="GR8"/>
  <c r="DS213" s="1"/>
  <c r="G23" i="19"/>
  <c r="BP5" i="11"/>
  <c r="BS5"/>
  <c r="BV5"/>
  <c r="BO5"/>
  <c r="BR5"/>
  <c r="BQ5"/>
  <c r="BX5"/>
  <c r="BN5"/>
  <c r="BU5"/>
  <c r="BT5"/>
  <c r="BW5"/>
  <c r="BY5"/>
  <c r="AP15" i="18"/>
  <c r="AP16"/>
  <c r="BQ10" i="11"/>
  <c r="BU10"/>
  <c r="BY10"/>
  <c r="BP10"/>
  <c r="BT10"/>
  <c r="BX10"/>
  <c r="BN10"/>
  <c r="BV10"/>
  <c r="BO10"/>
  <c r="BS10"/>
  <c r="BW10"/>
  <c r="BR10"/>
  <c r="Q5" i="12"/>
  <c r="P5"/>
  <c r="P210" s="1"/>
  <c r="P7" i="15"/>
  <c r="R5" i="12"/>
  <c r="EZ213" i="9"/>
  <c r="G20" i="6" s="1"/>
  <c r="FA213" i="9"/>
  <c r="H20" i="6" s="1"/>
  <c r="FB213" i="9"/>
  <c r="I20" i="6" s="1"/>
  <c r="FC213" i="9"/>
  <c r="EY211"/>
  <c r="L5" i="12"/>
  <c r="Z213" i="9"/>
  <c r="AB213"/>
  <c r="H6" i="6" s="1"/>
  <c r="X213" i="9"/>
  <c r="L7" i="15"/>
  <c r="L209" s="1"/>
  <c r="M5" i="12"/>
  <c r="M7" i="15"/>
  <c r="M209" s="1"/>
  <c r="GS8" i="9"/>
  <c r="R7" i="15" s="1"/>
  <c r="O5" i="12"/>
  <c r="O7" i="15"/>
  <c r="O209" s="1"/>
  <c r="K5" i="12"/>
  <c r="K207" s="1"/>
  <c r="K7" i="15"/>
  <c r="N213" i="9"/>
  <c r="H5" i="6" s="1"/>
  <c r="J213" i="9"/>
  <c r="J215"/>
  <c r="J5" i="6" s="1"/>
  <c r="L213" i="9"/>
  <c r="N5" i="12"/>
  <c r="N7" i="15"/>
  <c r="N209" s="1"/>
  <c r="AL213" i="9"/>
  <c r="F7" i="6" s="1"/>
  <c r="AN213" i="9"/>
  <c r="H7" i="6" s="1"/>
  <c r="AO213" i="9"/>
  <c r="I7" i="6" s="1"/>
  <c r="HH11" i="9"/>
  <c r="HF9"/>
  <c r="J216"/>
  <c r="K5" i="6" s="1"/>
  <c r="GB8" i="9"/>
  <c r="L216" i="15"/>
  <c r="GQ8" i="9"/>
  <c r="GP8"/>
  <c r="GL8"/>
  <c r="DE213" s="1"/>
  <c r="G16" i="6" s="1"/>
  <c r="DT213" i="9"/>
  <c r="G19" i="6" s="1"/>
  <c r="GJ8" i="9"/>
  <c r="EW8"/>
  <c r="GY8" s="1"/>
  <c r="EY213"/>
  <c r="EY215"/>
  <c r="J20" i="6" s="1"/>
  <c r="EY216" i="9"/>
  <c r="K20" i="6" s="1"/>
  <c r="EY218" i="9"/>
  <c r="L20" i="6" s="1"/>
  <c r="EY219" i="9"/>
  <c r="M20" i="6" s="1"/>
  <c r="EY217" i="9"/>
  <c r="FK8"/>
  <c r="FO8"/>
  <c r="O213" i="12"/>
  <c r="GE8" i="9"/>
  <c r="L213" i="12"/>
  <c r="GI8" i="9"/>
  <c r="N215" i="12"/>
  <c r="M214"/>
  <c r="X211" i="9"/>
  <c r="X217"/>
  <c r="X218"/>
  <c r="L6" i="6" s="1"/>
  <c r="FN8" i="9"/>
  <c r="FV8"/>
  <c r="X219"/>
  <c r="M6" i="6" s="1"/>
  <c r="X215" i="9"/>
  <c r="J6" i="6" s="1"/>
  <c r="FU8" i="9"/>
  <c r="G6" i="6"/>
  <c r="N216" i="15"/>
  <c r="GC8" i="9"/>
  <c r="FX8"/>
  <c r="AL215"/>
  <c r="J7" i="6" s="1"/>
  <c r="AL218" i="9"/>
  <c r="AL217"/>
  <c r="X216"/>
  <c r="K6" i="6" s="1"/>
  <c r="N218" i="15"/>
  <c r="AL219" i="9"/>
  <c r="AM213"/>
  <c r="G7" i="6" s="1"/>
  <c r="L209" i="12"/>
  <c r="L216"/>
  <c r="L215"/>
  <c r="J218" i="9"/>
  <c r="L5" i="6" s="1"/>
  <c r="F5"/>
  <c r="J217" i="9"/>
  <c r="J219"/>
  <c r="M5" i="6" s="1"/>
  <c r="J211" i="9"/>
  <c r="G5" i="6"/>
  <c r="K210" i="15"/>
  <c r="K217"/>
  <c r="K216"/>
  <c r="K211"/>
  <c r="K215"/>
  <c r="O212"/>
  <c r="O210"/>
  <c r="O217"/>
  <c r="O216"/>
  <c r="O218"/>
  <c r="O211"/>
  <c r="O215"/>
  <c r="L212"/>
  <c r="L210"/>
  <c r="L211"/>
  <c r="L218"/>
  <c r="AL211" i="9"/>
  <c r="AL216"/>
  <c r="M211" i="15"/>
  <c r="M212"/>
  <c r="DS219" i="9"/>
  <c r="M19" i="6" s="1"/>
  <c r="CF219" i="9"/>
  <c r="CF217"/>
  <c r="GU8" l="1"/>
  <c r="BI211"/>
  <c r="AD213"/>
  <c r="D6" i="6" s="1"/>
  <c r="M218" i="15"/>
  <c r="EE213" i="9"/>
  <c r="EC213"/>
  <c r="DS215"/>
  <c r="BF15" i="19"/>
  <c r="BF16"/>
  <c r="Q7" i="15"/>
  <c r="FD213" i="9"/>
  <c r="D20" i="6" s="1"/>
  <c r="P212" i="15"/>
  <c r="P218"/>
  <c r="P211"/>
  <c r="P217"/>
  <c r="P210"/>
  <c r="P216"/>
  <c r="P209"/>
  <c r="P215"/>
  <c r="DD215" i="9"/>
  <c r="J16" i="6" s="1"/>
  <c r="P209" i="12"/>
  <c r="DD217" i="9"/>
  <c r="P216" i="12"/>
  <c r="DD218" i="9"/>
  <c r="L16" i="6" s="1"/>
  <c r="DD219" i="9"/>
  <c r="M16" i="6" s="1"/>
  <c r="DD216" i="9"/>
  <c r="K16" i="6" s="1"/>
  <c r="AP17" i="18"/>
  <c r="Q21" s="1"/>
  <c r="AB26" i="19"/>
  <c r="L26"/>
  <c r="S14" i="4"/>
  <c r="GV8" i="9"/>
  <c r="C5" i="6"/>
  <c r="N212" i="15"/>
  <c r="AR7"/>
  <c r="AQ7"/>
  <c r="K209"/>
  <c r="T7"/>
  <c r="AT7"/>
  <c r="R216"/>
  <c r="R218"/>
  <c r="R211"/>
  <c r="R209"/>
  <c r="R217"/>
  <c r="R215"/>
  <c r="R212"/>
  <c r="R210"/>
  <c r="C7" i="6"/>
  <c r="AP213" i="9"/>
  <c r="D7" i="6" s="1"/>
  <c r="BK213" i="9"/>
  <c r="H10" i="6" s="1"/>
  <c r="BL213" i="9"/>
  <c r="I10" i="6" s="1"/>
  <c r="BI213" i="9"/>
  <c r="BJ213"/>
  <c r="G10" i="6" s="1"/>
  <c r="CF213" i="9"/>
  <c r="F13" i="6" s="1"/>
  <c r="CG213" i="9"/>
  <c r="G13" i="6" s="1"/>
  <c r="CH213" i="9"/>
  <c r="H13" i="6" s="1"/>
  <c r="CI213" i="9"/>
  <c r="I13" i="6" s="1"/>
  <c r="CF211" i="9"/>
  <c r="DD213"/>
  <c r="F16" i="6" s="1"/>
  <c r="DG213" i="9"/>
  <c r="I16" i="6" s="1"/>
  <c r="DF213" i="9"/>
  <c r="H16" i="6" s="1"/>
  <c r="DD211" i="9"/>
  <c r="K218" i="15"/>
  <c r="K212"/>
  <c r="N210"/>
  <c r="F6" i="6"/>
  <c r="GW8" i="9"/>
  <c r="GT8"/>
  <c r="C6" i="6"/>
  <c r="X214" i="9"/>
  <c r="N211" i="15"/>
  <c r="N217"/>
  <c r="N215"/>
  <c r="GX8" i="9"/>
  <c r="P213"/>
  <c r="D5" i="6" s="1"/>
  <c r="L207" i="12"/>
  <c r="M215" i="15"/>
  <c r="M216"/>
  <c r="K213" i="12"/>
  <c r="M217" i="15"/>
  <c r="L208" i="12"/>
  <c r="L214"/>
  <c r="K209"/>
  <c r="M210" i="15"/>
  <c r="L210" i="12"/>
  <c r="HH9" i="9"/>
  <c r="P207" i="12"/>
  <c r="P215"/>
  <c r="P214"/>
  <c r="P208"/>
  <c r="P213"/>
  <c r="Q216" i="15"/>
  <c r="K210" i="12"/>
  <c r="K215"/>
  <c r="CF218" i="9"/>
  <c r="L13" i="6" s="1"/>
  <c r="CF215" i="9"/>
  <c r="J13" i="6" s="1"/>
  <c r="K216" i="12"/>
  <c r="K208"/>
  <c r="CF216" i="9"/>
  <c r="K13" i="6" s="1"/>
  <c r="K214" i="12"/>
  <c r="N216"/>
  <c r="BI215" i="9"/>
  <c r="L215" i="15"/>
  <c r="L217"/>
  <c r="O216" i="12"/>
  <c r="BI218" i="9"/>
  <c r="L10" i="6" s="1"/>
  <c r="O209" i="12"/>
  <c r="IR8" i="9"/>
  <c r="Q211" i="15"/>
  <c r="Q212"/>
  <c r="O207" i="12"/>
  <c r="O215"/>
  <c r="N214"/>
  <c r="J19" i="6"/>
  <c r="DS217" i="9"/>
  <c r="Q218" i="15"/>
  <c r="Q210"/>
  <c r="BI216" i="9"/>
  <c r="K10" i="6" s="1"/>
  <c r="O210" i="12"/>
  <c r="O214"/>
  <c r="N209"/>
  <c r="BI217" i="9"/>
  <c r="BI219"/>
  <c r="M10" i="6" s="1"/>
  <c r="DS218" i="9"/>
  <c r="L19" i="6" s="1"/>
  <c r="Q217" i="15"/>
  <c r="O208" i="12"/>
  <c r="F19" i="6"/>
  <c r="N208" i="12"/>
  <c r="IQ8" i="9"/>
  <c r="JA8" s="1"/>
  <c r="DS216"/>
  <c r="K19" i="6" s="1"/>
  <c r="DS211" i="9"/>
  <c r="M207" i="12"/>
  <c r="ED213" i="9"/>
  <c r="M215" i="12"/>
  <c r="M216"/>
  <c r="M209"/>
  <c r="M208"/>
  <c r="M213"/>
  <c r="M210"/>
  <c r="O20" i="6"/>
  <c r="F20"/>
  <c r="C20"/>
  <c r="R207" i="12"/>
  <c r="R210"/>
  <c r="R215"/>
  <c r="R213"/>
  <c r="R208"/>
  <c r="R209"/>
  <c r="R214"/>
  <c r="R216"/>
  <c r="N213"/>
  <c r="N210"/>
  <c r="N207"/>
  <c r="N213" i="15"/>
  <c r="N208" s="1"/>
  <c r="N214" s="1"/>
  <c r="M213"/>
  <c r="L213"/>
  <c r="IQ212" i="9"/>
  <c r="IQ217"/>
  <c r="K213" i="15"/>
  <c r="K208" s="1"/>
  <c r="O213"/>
  <c r="O208" s="1"/>
  <c r="O214" s="1"/>
  <c r="F10" i="6"/>
  <c r="M13"/>
  <c r="L7"/>
  <c r="O6"/>
  <c r="M7"/>
  <c r="K7"/>
  <c r="T5" i="12" l="1"/>
  <c r="IQ219" i="9"/>
  <c r="IZ219" s="1"/>
  <c r="JB219" s="1"/>
  <c r="EF213"/>
  <c r="D19" i="6" s="1"/>
  <c r="BF17" i="19"/>
  <c r="B26"/>
  <c r="Q209" i="15"/>
  <c r="Q215"/>
  <c r="P213"/>
  <c r="P208" s="1"/>
  <c r="P214" s="1"/>
  <c r="IQ213" i="9"/>
  <c r="JA213" s="1"/>
  <c r="M208" i="15"/>
  <c r="M214" s="1"/>
  <c r="P211" i="12"/>
  <c r="P206" s="1"/>
  <c r="P212" s="1"/>
  <c r="F26" i="19"/>
  <c r="V26"/>
  <c r="AL214" i="9"/>
  <c r="L211" i="12"/>
  <c r="L206" s="1"/>
  <c r="L212" s="1"/>
  <c r="E6" i="6"/>
  <c r="R213" i="15"/>
  <c r="R208" s="1"/>
  <c r="R214" s="1"/>
  <c r="S7"/>
  <c r="C19" i="6"/>
  <c r="DS214" i="9"/>
  <c r="E19" i="6" s="1"/>
  <c r="HB217" i="9"/>
  <c r="H5" i="12"/>
  <c r="HB209" i="9"/>
  <c r="HB215"/>
  <c r="HI215" s="1"/>
  <c r="HE8"/>
  <c r="HC8"/>
  <c r="HB8"/>
  <c r="J214"/>
  <c r="C16" i="6"/>
  <c r="DH213" i="9"/>
  <c r="D16" i="6" s="1"/>
  <c r="O16" s="1"/>
  <c r="CJ213" i="9"/>
  <c r="D13" i="6" s="1"/>
  <c r="O13" s="1"/>
  <c r="BM213" i="9"/>
  <c r="D10" i="6" s="1"/>
  <c r="K211" i="12"/>
  <c r="K206" s="1"/>
  <c r="K212" s="1"/>
  <c r="L208" i="15"/>
  <c r="L214" s="1"/>
  <c r="IQ216" i="9"/>
  <c r="IZ216" s="1"/>
  <c r="JB216" s="1"/>
  <c r="IQ211"/>
  <c r="JA211" s="1"/>
  <c r="IQ210"/>
  <c r="JA210" s="1"/>
  <c r="HB214"/>
  <c r="M211" i="12"/>
  <c r="M206" s="1"/>
  <c r="M212" s="1"/>
  <c r="J4" i="11"/>
  <c r="F212" s="1"/>
  <c r="O19" i="6"/>
  <c r="H7" i="15"/>
  <c r="C13" i="6"/>
  <c r="IQ218" i="9"/>
  <c r="JA218" s="1"/>
  <c r="N211" i="12"/>
  <c r="N206" s="1"/>
  <c r="N212" s="1"/>
  <c r="O211"/>
  <c r="O206" s="1"/>
  <c r="O212" s="1"/>
  <c r="C10" i="6"/>
  <c r="IW8" i="9"/>
  <c r="IU8"/>
  <c r="IX8"/>
  <c r="Q213" i="15"/>
  <c r="Q208" s="1"/>
  <c r="Q214" s="1"/>
  <c r="IT8" i="9"/>
  <c r="J10" i="6"/>
  <c r="IV8" i="9"/>
  <c r="Q207" i="12"/>
  <c r="Q215"/>
  <c r="Q209"/>
  <c r="Q214"/>
  <c r="Q210"/>
  <c r="Q213"/>
  <c r="Q208"/>
  <c r="Q216"/>
  <c r="P4" i="11"/>
  <c r="G210" s="1"/>
  <c r="F216" i="15"/>
  <c r="G216" s="1"/>
  <c r="Q4" i="11"/>
  <c r="F215" i="15"/>
  <c r="F213"/>
  <c r="AU7"/>
  <c r="F210" s="1"/>
  <c r="EY214" i="9"/>
  <c r="E20" i="6" s="1"/>
  <c r="R211" i="12"/>
  <c r="R206" s="1"/>
  <c r="R212" s="1"/>
  <c r="E7" i="6"/>
  <c r="O7"/>
  <c r="E5"/>
  <c r="O5"/>
  <c r="IQ214" i="9"/>
  <c r="IY218"/>
  <c r="IX219"/>
  <c r="IV219"/>
  <c r="IZ213"/>
  <c r="JB213" s="1"/>
  <c r="IU213"/>
  <c r="JA217"/>
  <c r="IZ217"/>
  <c r="JB217" s="1"/>
  <c r="IY217"/>
  <c r="IW217"/>
  <c r="IV217"/>
  <c r="IU217"/>
  <c r="IT217"/>
  <c r="IX217"/>
  <c r="JA212"/>
  <c r="IZ212"/>
  <c r="JB212" s="1"/>
  <c r="IY212"/>
  <c r="IT212"/>
  <c r="IX212"/>
  <c r="IW212"/>
  <c r="IV212"/>
  <c r="IU212"/>
  <c r="IU219" l="1"/>
  <c r="HD13"/>
  <c r="N9" i="11" s="1"/>
  <c r="P21" i="4"/>
  <c r="JA219" i="9"/>
  <c r="IX211"/>
  <c r="IT211"/>
  <c r="IW219"/>
  <c r="IY219"/>
  <c r="IY211"/>
  <c r="IT219"/>
  <c r="IT213"/>
  <c r="IY213"/>
  <c r="IX213"/>
  <c r="IW213"/>
  <c r="IV213"/>
  <c r="IV211"/>
  <c r="IZ211"/>
  <c r="JB211" s="1"/>
  <c r="IV216"/>
  <c r="JA216"/>
  <c r="IU211"/>
  <c r="IT216"/>
  <c r="IX216"/>
  <c r="IU216"/>
  <c r="IY216"/>
  <c r="IW216"/>
  <c r="IV218"/>
  <c r="IU218"/>
  <c r="IX218"/>
  <c r="IW218"/>
  <c r="IZ218"/>
  <c r="JB218" s="1"/>
  <c r="P21" i="19"/>
  <c r="HD9" i="9"/>
  <c r="IT218"/>
  <c r="IY8"/>
  <c r="IZ8" s="1"/>
  <c r="JB8" s="1"/>
  <c r="HG8" s="1"/>
  <c r="HH211" s="1"/>
  <c r="DD214"/>
  <c r="E16" i="6" s="1"/>
  <c r="IW211" i="9"/>
  <c r="CF214"/>
  <c r="E13" i="6" s="1"/>
  <c r="J5" i="12"/>
  <c r="J7" i="15"/>
  <c r="HD12" i="9"/>
  <c r="HD17"/>
  <c r="N13" i="11" s="1"/>
  <c r="HD10" i="9"/>
  <c r="HD11"/>
  <c r="HD8"/>
  <c r="N4" i="11" s="1"/>
  <c r="HD18" i="9"/>
  <c r="N14" i="11" s="1"/>
  <c r="F211" i="12"/>
  <c r="F212" s="1"/>
  <c r="F213"/>
  <c r="F214"/>
  <c r="BI214" i="9"/>
  <c r="E10" i="6" s="1"/>
  <c r="I5" i="12"/>
  <c r="HB210" i="9"/>
  <c r="E213" i="15"/>
  <c r="E214" s="1"/>
  <c r="F209"/>
  <c r="F214" s="1"/>
  <c r="IX210" i="9"/>
  <c r="IZ210"/>
  <c r="JB210" s="1"/>
  <c r="IW210"/>
  <c r="IU210"/>
  <c r="IY210"/>
  <c r="IV210"/>
  <c r="IT210"/>
  <c r="E215" i="15"/>
  <c r="G215" s="1"/>
  <c r="O10" i="6"/>
  <c r="E216" i="15"/>
  <c r="G206" i="11"/>
  <c r="G211" s="1"/>
  <c r="F210"/>
  <c r="F211" s="1"/>
  <c r="O4"/>
  <c r="M4"/>
  <c r="HB212" i="9"/>
  <c r="I7" i="15"/>
  <c r="HB211" i="9"/>
  <c r="L4" i="11"/>
  <c r="Q211" i="12"/>
  <c r="Q206" s="1"/>
  <c r="Q212" s="1"/>
  <c r="K214" i="15"/>
  <c r="IQ215" i="9" s="1"/>
  <c r="IQ209"/>
  <c r="IY214"/>
  <c r="JA214"/>
  <c r="IZ214"/>
  <c r="JB214" s="1"/>
  <c r="IV214"/>
  <c r="IU214"/>
  <c r="IT214"/>
  <c r="IX214"/>
  <c r="IW214"/>
  <c r="G212" i="11"/>
  <c r="H212" s="1"/>
  <c r="P53" i="19" l="1"/>
  <c r="N6" i="11"/>
  <c r="AF53" i="19"/>
  <c r="N7" i="11"/>
  <c r="P82" i="19"/>
  <c r="N8" i="11"/>
  <c r="AF24" i="19"/>
  <c r="N5" i="11"/>
  <c r="HF8" i="9"/>
  <c r="HH8" s="1"/>
  <c r="HH212"/>
  <c r="HI212" s="1"/>
  <c r="P24" i="19"/>
  <c r="S24" i="4"/>
  <c r="F208" i="12"/>
  <c r="F209"/>
  <c r="G213" i="15"/>
  <c r="G214" s="1"/>
  <c r="HB213" i="9"/>
  <c r="R4" i="11"/>
  <c r="BX4" s="1"/>
  <c r="HI211" i="9"/>
  <c r="H210" i="11"/>
  <c r="H211" s="1"/>
  <c r="HH210" i="9"/>
  <c r="E210" i="15"/>
  <c r="E211"/>
  <c r="E212"/>
  <c r="F210" i="12"/>
  <c r="F207" i="11"/>
  <c r="F209"/>
  <c r="F208"/>
  <c r="F211" i="15"/>
  <c r="F212"/>
  <c r="JA209" i="9"/>
  <c r="IZ209"/>
  <c r="JB209" s="1"/>
  <c r="IY209"/>
  <c r="IW209"/>
  <c r="IV209"/>
  <c r="IU209"/>
  <c r="IT209"/>
  <c r="IX209"/>
  <c r="IZ215"/>
  <c r="JB215" s="1"/>
  <c r="IY215"/>
  <c r="JA215"/>
  <c r="IU215"/>
  <c r="IT215"/>
  <c r="IX215"/>
  <c r="IW215"/>
  <c r="IV215"/>
  <c r="BP4" i="11" l="1"/>
  <c r="BQ4"/>
  <c r="BQ208" s="1"/>
  <c r="F33" i="6" s="1"/>
  <c r="BO4" i="11"/>
  <c r="BO209" s="1"/>
  <c r="D34" i="6" s="1"/>
  <c r="G212" i="15"/>
  <c r="BW4" i="11"/>
  <c r="BW207" s="1"/>
  <c r="BR4"/>
  <c r="BR207" s="1"/>
  <c r="BU4"/>
  <c r="BU216" s="1"/>
  <c r="J41" i="6" s="1"/>
  <c r="BT4" i="11"/>
  <c r="BT216" s="1"/>
  <c r="I41" i="6" s="1"/>
  <c r="BS4" i="11"/>
  <c r="BN4"/>
  <c r="BN208" s="1"/>
  <c r="C33" i="6" s="1"/>
  <c r="BV4" i="11"/>
  <c r="BV209" s="1"/>
  <c r="K34" i="6" s="1"/>
  <c r="BY4" i="11"/>
  <c r="BY216" s="1"/>
  <c r="N41" i="6" s="1"/>
  <c r="G211" i="15"/>
  <c r="BR212" i="11"/>
  <c r="G37" i="6" s="1"/>
  <c r="BU208" i="11"/>
  <c r="J33" i="6" s="1"/>
  <c r="BT212" i="11"/>
  <c r="I37" i="6" s="1"/>
  <c r="BT211" i="11"/>
  <c r="I36" i="6" s="1"/>
  <c r="BS209" i="11"/>
  <c r="H34" i="6" s="1"/>
  <c r="BS211" i="11"/>
  <c r="H36" i="6" s="1"/>
  <c r="BS208" i="11"/>
  <c r="H33" i="6" s="1"/>
  <c r="BS212" i="11"/>
  <c r="H37" i="6" s="1"/>
  <c r="BS213" i="11"/>
  <c r="H38" i="6" s="1"/>
  <c r="BS216" i="11"/>
  <c r="H41" i="6" s="1"/>
  <c r="BS207" i="11"/>
  <c r="BP213"/>
  <c r="E38" i="6" s="1"/>
  <c r="BP212" i="11"/>
  <c r="E37" i="6" s="1"/>
  <c r="BP209" i="11"/>
  <c r="E34" i="6" s="1"/>
  <c r="BP207" i="11"/>
  <c r="BP216"/>
  <c r="E41" i="6" s="1"/>
  <c r="BP211" i="11"/>
  <c r="E36" i="6" s="1"/>
  <c r="BP208" i="11"/>
  <c r="E33" i="6" s="1"/>
  <c r="BO208" i="11"/>
  <c r="D33" i="6" s="1"/>
  <c r="BO211" i="11"/>
  <c r="D36" i="6" s="1"/>
  <c r="BV211" i="11"/>
  <c r="K36" i="6" s="1"/>
  <c r="BV216" i="11"/>
  <c r="K41" i="6" s="1"/>
  <c r="BY209" i="11"/>
  <c r="N34" i="6" s="1"/>
  <c r="BY207" i="11"/>
  <c r="BY211"/>
  <c r="N36" i="6" s="1"/>
  <c r="BX207" i="11"/>
  <c r="BX208"/>
  <c r="M33" i="6" s="1"/>
  <c r="BX216" i="11"/>
  <c r="M41" i="6" s="1"/>
  <c r="BX213" i="11"/>
  <c r="M38" i="6" s="1"/>
  <c r="BX212" i="11"/>
  <c r="M37" i="6" s="1"/>
  <c r="BX211" i="11"/>
  <c r="M36" i="6" s="1"/>
  <c r="BX209" i="11"/>
  <c r="M34" i="6" s="1"/>
  <c r="HB219" i="9"/>
  <c r="HI219" s="1"/>
  <c r="HB216"/>
  <c r="HH209"/>
  <c r="HH214"/>
  <c r="HI214" s="1"/>
  <c r="HI210"/>
  <c r="HH213"/>
  <c r="HI213" s="1"/>
  <c r="HI216" s="1"/>
  <c r="G210" i="15"/>
  <c r="HH218" i="9"/>
  <c r="HH217"/>
  <c r="HI217" s="1"/>
  <c r="HH215"/>
  <c r="BU207" i="11" l="1"/>
  <c r="J32" i="6" s="1"/>
  <c r="BV208" i="11"/>
  <c r="K33" i="6" s="1"/>
  <c r="BV207" i="11"/>
  <c r="BO216"/>
  <c r="D41" i="6" s="1"/>
  <c r="BO212" i="11"/>
  <c r="D37" i="6" s="1"/>
  <c r="BU209" i="11"/>
  <c r="J34" i="6" s="1"/>
  <c r="BV213" i="11"/>
  <c r="K38" i="6" s="1"/>
  <c r="BO207" i="11"/>
  <c r="BO213"/>
  <c r="D38" i="6" s="1"/>
  <c r="BU213" i="11"/>
  <c r="J38" i="6" s="1"/>
  <c r="BU212" i="11"/>
  <c r="J37" i="6" s="1"/>
  <c r="BV212" i="11"/>
  <c r="K37" i="6" s="1"/>
  <c r="BU211" i="11"/>
  <c r="J36" i="6" s="1"/>
  <c r="BN213" i="11"/>
  <c r="C38" i="6" s="1"/>
  <c r="BN212" i="11"/>
  <c r="C37" i="6" s="1"/>
  <c r="BQ213" i="11"/>
  <c r="F38" i="6" s="1"/>
  <c r="BQ216" i="11"/>
  <c r="F41" i="6" s="1"/>
  <c r="BQ211" i="11"/>
  <c r="F36" i="6" s="1"/>
  <c r="BN207" i="11"/>
  <c r="BR211"/>
  <c r="G36" i="6" s="1"/>
  <c r="BQ212" i="11"/>
  <c r="F37" i="6" s="1"/>
  <c r="BQ207" i="11"/>
  <c r="F32" i="6" s="1"/>
  <c r="BN211" i="11"/>
  <c r="C36" i="6" s="1"/>
  <c r="BR208" i="11"/>
  <c r="G33" i="6" s="1"/>
  <c r="BQ209" i="11"/>
  <c r="F34" i="6" s="1"/>
  <c r="BN209" i="11"/>
  <c r="C34" i="6" s="1"/>
  <c r="BR216" i="11"/>
  <c r="G41" i="6" s="1"/>
  <c r="BR209" i="11"/>
  <c r="G34" i="6" s="1"/>
  <c r="BR213" i="11"/>
  <c r="G38" i="6" s="1"/>
  <c r="BW209" i="11"/>
  <c r="L34" i="6" s="1"/>
  <c r="BW212" i="11"/>
  <c r="L37" i="6" s="1"/>
  <c r="BW211" i="11"/>
  <c r="L36" i="6" s="1"/>
  <c r="BW216" i="11"/>
  <c r="L41" i="6" s="1"/>
  <c r="BW213" i="11"/>
  <c r="L38" i="6" s="1"/>
  <c r="BW208" i="11"/>
  <c r="L33" i="6" s="1"/>
  <c r="BY208" i="11"/>
  <c r="N33" i="6" s="1"/>
  <c r="BY212" i="11"/>
  <c r="N37" i="6" s="1"/>
  <c r="BT208" i="11"/>
  <c r="I33" i="6" s="1"/>
  <c r="BT207" i="11"/>
  <c r="I32" i="6" s="1"/>
  <c r="BT209" i="11"/>
  <c r="I34" i="6" s="1"/>
  <c r="BY213" i="11"/>
  <c r="N38" i="6" s="1"/>
  <c r="BT213" i="11"/>
  <c r="I38" i="6" s="1"/>
  <c r="M32"/>
  <c r="BX210" i="11"/>
  <c r="N32" i="6"/>
  <c r="G32"/>
  <c r="L32"/>
  <c r="BO210" i="11"/>
  <c r="D32" i="6"/>
  <c r="H32"/>
  <c r="BS210" i="11"/>
  <c r="K32" i="6"/>
  <c r="E32"/>
  <c r="BP210" i="11"/>
  <c r="HH219" i="9"/>
  <c r="HH216"/>
  <c r="BV210" i="11" l="1"/>
  <c r="K35" i="6" s="1"/>
  <c r="BU210" i="11"/>
  <c r="BU214" s="1"/>
  <c r="BN210"/>
  <c r="C35" i="6" s="1"/>
  <c r="BQ210" i="11"/>
  <c r="F35" i="6" s="1"/>
  <c r="BW210" i="11"/>
  <c r="BW214" s="1"/>
  <c r="BY210"/>
  <c r="N35" i="6" s="1"/>
  <c r="BR210" i="11"/>
  <c r="BR214" s="1"/>
  <c r="BT210"/>
  <c r="BT214" s="1"/>
  <c r="D35" i="6"/>
  <c r="BO214" i="11"/>
  <c r="BX214"/>
  <c r="M35" i="6"/>
  <c r="BP214" i="11"/>
  <c r="E35" i="6"/>
  <c r="H35"/>
  <c r="BS214" i="11"/>
  <c r="G209"/>
  <c r="H209" s="1"/>
  <c r="G207"/>
  <c r="H207" s="1"/>
  <c r="G208"/>
  <c r="H208" s="1"/>
  <c r="BV214" l="1"/>
  <c r="BV215" s="1"/>
  <c r="K40" i="6" s="1"/>
  <c r="BQ214" i="11"/>
  <c r="F39" i="6" s="1"/>
  <c r="L35"/>
  <c r="G35"/>
  <c r="J35"/>
  <c r="BY214" i="11"/>
  <c r="BY215" s="1"/>
  <c r="N40" i="6" s="1"/>
  <c r="I35"/>
  <c r="E39"/>
  <c r="BP215" i="11"/>
  <c r="E40" i="6" s="1"/>
  <c r="H39"/>
  <c r="BS215" i="11"/>
  <c r="H40" i="6" s="1"/>
  <c r="D39"/>
  <c r="BO215" i="11"/>
  <c r="D40" i="6" s="1"/>
  <c r="L39"/>
  <c r="BW215" i="11"/>
  <c r="L40" i="6" s="1"/>
  <c r="I39"/>
  <c r="BT215" i="11"/>
  <c r="I40" i="6" s="1"/>
  <c r="BX215" i="11"/>
  <c r="M40" i="6" s="1"/>
  <c r="M39"/>
  <c r="J39"/>
  <c r="BU215" i="11"/>
  <c r="J40" i="6" s="1"/>
  <c r="G39"/>
  <c r="BR215" i="11"/>
  <c r="G40" i="6" s="1"/>
  <c r="BN216" i="11"/>
  <c r="C41" i="6" s="1"/>
  <c r="BQ215" i="11" l="1"/>
  <c r="F40" i="6" s="1"/>
  <c r="K39"/>
  <c r="N39"/>
  <c r="BZ213" i="11"/>
  <c r="O38" i="6" s="1"/>
  <c r="BZ216" i="11"/>
  <c r="O41" i="6" s="1"/>
  <c r="BZ211" i="11"/>
  <c r="O36" i="6" s="1"/>
  <c r="BN214" i="11"/>
  <c r="C32" i="6"/>
  <c r="BZ207" i="11"/>
  <c r="O32" i="6" s="1"/>
  <c r="BN215" i="11" l="1"/>
  <c r="C40" i="6" s="1"/>
  <c r="C39"/>
  <c r="BZ208" i="11"/>
  <c r="O33" i="6" s="1"/>
  <c r="BZ212" i="11"/>
  <c r="O37" i="6" s="1"/>
  <c r="BZ209" i="11"/>
  <c r="O34" i="6" s="1"/>
  <c r="BZ210" i="11" l="1"/>
  <c r="O35" i="6" s="1"/>
  <c r="BZ214" i="11" l="1"/>
  <c r="BZ215" l="1"/>
  <c r="O40" i="6" s="1"/>
  <c r="O39"/>
  <c r="S81" i="19"/>
  <c r="Y78"/>
  <c r="S66"/>
  <c r="U78"/>
  <c r="S62"/>
  <c r="X78"/>
  <c r="AC78"/>
  <c r="AB78"/>
  <c r="AB84"/>
  <c r="AF81"/>
  <c r="V85"/>
  <c r="R85"/>
  <c r="W78"/>
  <c r="S82"/>
  <c r="T78"/>
  <c r="AD81"/>
  <c r="AF79"/>
  <c r="AB81"/>
  <c r="AB64"/>
  <c r="S78"/>
  <c r="S65"/>
  <c r="U81"/>
  <c r="Y82"/>
  <c r="AC82"/>
  <c r="V84"/>
  <c r="AA85"/>
  <c r="W81"/>
  <c r="V78"/>
  <c r="Z78" s="1"/>
  <c r="S64"/>
  <c r="AA78"/>
  <c r="AD78"/>
  <c r="AF82"/>
  <c r="AR64"/>
  <c r="AR67" s="1"/>
  <c r="BF75"/>
  <c r="B74"/>
  <c r="BE74"/>
  <c r="AT64"/>
  <c r="AT67" s="1"/>
  <c r="B78"/>
  <c r="AE78"/>
  <c r="AF78" s="1"/>
  <c r="AV74"/>
  <c r="R75" s="1"/>
  <c r="AV78"/>
  <c r="R78" s="1"/>
  <c r="AS64"/>
  <c r="AS65" s="1"/>
  <c r="AV75"/>
  <c r="R76" s="1"/>
  <c r="AV73"/>
  <c r="R74" s="1"/>
  <c r="AE79"/>
  <c r="B76"/>
  <c r="B75"/>
  <c r="B84"/>
  <c r="BE73"/>
  <c r="R84" s="1"/>
  <c r="AB66"/>
  <c r="AY63" s="1"/>
  <c r="O79"/>
  <c r="L94"/>
  <c r="N105" l="1"/>
  <c r="H105"/>
  <c r="D105"/>
  <c r="L104"/>
  <c r="G104"/>
  <c r="C104"/>
  <c r="K103"/>
  <c r="F103"/>
  <c r="O102"/>
  <c r="P102" s="1"/>
  <c r="G102"/>
  <c r="C102"/>
  <c r="I101"/>
  <c r="D101"/>
  <c r="O105"/>
  <c r="P105" s="1"/>
  <c r="I105"/>
  <c r="E105"/>
  <c r="N104"/>
  <c r="H104"/>
  <c r="D104"/>
  <c r="L103"/>
  <c r="G103"/>
  <c r="C103"/>
  <c r="I102"/>
  <c r="D102"/>
  <c r="K101"/>
  <c r="E101"/>
  <c r="K105"/>
  <c r="F105"/>
  <c r="O104"/>
  <c r="P104" s="1"/>
  <c r="I104"/>
  <c r="E104"/>
  <c r="N103"/>
  <c r="H103"/>
  <c r="D103"/>
  <c r="K102"/>
  <c r="E102"/>
  <c r="N101"/>
  <c r="P101" s="1"/>
  <c r="F101"/>
  <c r="L105"/>
  <c r="G105"/>
  <c r="C105"/>
  <c r="K104"/>
  <c r="F104"/>
  <c r="O103"/>
  <c r="P103" s="1"/>
  <c r="I103"/>
  <c r="E103"/>
  <c r="N102"/>
  <c r="F102"/>
  <c r="O101"/>
  <c r="G101"/>
  <c r="C101"/>
  <c r="BE75"/>
  <c r="AY64"/>
  <c r="AX64"/>
  <c r="AZ64"/>
  <c r="AB94"/>
  <c r="L95"/>
  <c r="AS92" s="1"/>
  <c r="AS67"/>
  <c r="AS68" s="1"/>
  <c r="AU103"/>
  <c r="B104" s="1"/>
  <c r="O107"/>
  <c r="P107" s="1"/>
  <c r="C95"/>
  <c r="M111"/>
  <c r="H107"/>
  <c r="E107"/>
  <c r="G107"/>
  <c r="C107"/>
  <c r="AU107"/>
  <c r="B107" s="1"/>
  <c r="BF103"/>
  <c r="BF104" s="1"/>
  <c r="BF102"/>
  <c r="B113" s="1"/>
  <c r="N107"/>
  <c r="F114"/>
  <c r="C93"/>
  <c r="I111"/>
  <c r="C91"/>
  <c r="D107"/>
  <c r="F107"/>
  <c r="AU104"/>
  <c r="B105" s="1"/>
  <c r="K114"/>
  <c r="F113"/>
  <c r="K107"/>
  <c r="L93"/>
  <c r="I107"/>
  <c r="C94"/>
  <c r="P108"/>
  <c r="L107"/>
  <c r="M107"/>
  <c r="C111"/>
  <c r="P111"/>
  <c r="L110"/>
  <c r="AU102"/>
  <c r="B103" s="1"/>
  <c r="L113"/>
  <c r="N110"/>
  <c r="E110"/>
  <c r="C110"/>
  <c r="B114"/>
  <c r="P110"/>
  <c r="G110"/>
  <c r="J105" l="1"/>
  <c r="J103"/>
  <c r="J102"/>
  <c r="J101"/>
  <c r="J104"/>
  <c r="AB105"/>
  <c r="W105"/>
  <c r="AD104"/>
  <c r="X104"/>
  <c r="T104"/>
  <c r="AB103"/>
  <c r="W103"/>
  <c r="S103"/>
  <c r="Y102"/>
  <c r="T102"/>
  <c r="AA101"/>
  <c r="U101"/>
  <c r="AD105"/>
  <c r="X105"/>
  <c r="AE104"/>
  <c r="AF104" s="1"/>
  <c r="Y104"/>
  <c r="U104"/>
  <c r="AD103"/>
  <c r="X103"/>
  <c r="T103"/>
  <c r="AA102"/>
  <c r="U102"/>
  <c r="AD101"/>
  <c r="AF101" s="1"/>
  <c r="V101"/>
  <c r="Y105"/>
  <c r="S105"/>
  <c r="AA104"/>
  <c r="V104"/>
  <c r="AE103"/>
  <c r="AF103" s="1"/>
  <c r="Y103"/>
  <c r="U103"/>
  <c r="AD102"/>
  <c r="V102"/>
  <c r="AE101"/>
  <c r="W101"/>
  <c r="S101"/>
  <c r="AA105"/>
  <c r="T105"/>
  <c r="AB104"/>
  <c r="W104"/>
  <c r="S104"/>
  <c r="AA103"/>
  <c r="V103"/>
  <c r="AE102"/>
  <c r="AF102" s="1"/>
  <c r="W102"/>
  <c r="S102"/>
  <c r="Y101"/>
  <c r="T101"/>
  <c r="U105"/>
  <c r="AE105"/>
  <c r="AF105" s="1"/>
  <c r="V105"/>
  <c r="AS66"/>
  <c r="L67" s="1"/>
  <c r="J107"/>
  <c r="AY67"/>
  <c r="AY65"/>
  <c r="O108"/>
  <c r="AT93"/>
  <c r="AR93"/>
  <c r="AS93"/>
  <c r="AX67"/>
  <c r="AZ67"/>
  <c r="R114"/>
  <c r="Y111"/>
  <c r="AB113"/>
  <c r="U110"/>
  <c r="X107"/>
  <c r="S91"/>
  <c r="Y107"/>
  <c r="AV104"/>
  <c r="R105" s="1"/>
  <c r="BE102"/>
  <c r="R113" s="1"/>
  <c r="AV102"/>
  <c r="R103" s="1"/>
  <c r="AA114"/>
  <c r="S111"/>
  <c r="AC107"/>
  <c r="U107"/>
  <c r="AC111"/>
  <c r="V114"/>
  <c r="W107"/>
  <c r="AD110"/>
  <c r="S94"/>
  <c r="BE103"/>
  <c r="BE104" s="1"/>
  <c r="S95"/>
  <c r="T107"/>
  <c r="AF108"/>
  <c r="AA107"/>
  <c r="W110"/>
  <c r="V107"/>
  <c r="S107"/>
  <c r="AD107"/>
  <c r="S93"/>
  <c r="AV103"/>
  <c r="R104" s="1"/>
  <c r="AV107"/>
  <c r="R107" s="1"/>
  <c r="AB95"/>
  <c r="AY92" s="1"/>
  <c r="L123"/>
  <c r="AF110"/>
  <c r="AB107"/>
  <c r="S110"/>
  <c r="AB93"/>
  <c r="V113"/>
  <c r="AB110"/>
  <c r="AF111"/>
  <c r="AE107"/>
  <c r="AF107" s="1"/>
  <c r="Z103" l="1"/>
  <c r="Z101"/>
  <c r="Z104"/>
  <c r="Z107"/>
  <c r="Z102"/>
  <c r="Z105"/>
  <c r="L134"/>
  <c r="G134"/>
  <c r="N133"/>
  <c r="H133"/>
  <c r="D133"/>
  <c r="L132"/>
  <c r="G132"/>
  <c r="C132"/>
  <c r="I131"/>
  <c r="D131"/>
  <c r="K130"/>
  <c r="E130"/>
  <c r="N134"/>
  <c r="H134"/>
  <c r="O133"/>
  <c r="P133" s="1"/>
  <c r="I133"/>
  <c r="E133"/>
  <c r="N132"/>
  <c r="H132"/>
  <c r="D132"/>
  <c r="K131"/>
  <c r="E131"/>
  <c r="N130"/>
  <c r="P130" s="1"/>
  <c r="F130"/>
  <c r="I134"/>
  <c r="C134"/>
  <c r="K133"/>
  <c r="F133"/>
  <c r="O132"/>
  <c r="P132" s="1"/>
  <c r="I132"/>
  <c r="E132"/>
  <c r="N131"/>
  <c r="F131"/>
  <c r="O130"/>
  <c r="G130"/>
  <c r="C130"/>
  <c r="K134"/>
  <c r="D134"/>
  <c r="L133"/>
  <c r="G133"/>
  <c r="C133"/>
  <c r="K132"/>
  <c r="F132"/>
  <c r="O131"/>
  <c r="P131" s="1"/>
  <c r="G131"/>
  <c r="C131"/>
  <c r="I130"/>
  <c r="D130"/>
  <c r="E134"/>
  <c r="O134"/>
  <c r="P134" s="1"/>
  <c r="F134"/>
  <c r="AY66"/>
  <c r="C124"/>
  <c r="B143"/>
  <c r="P140"/>
  <c r="C122"/>
  <c r="L142"/>
  <c r="C139"/>
  <c r="P139"/>
  <c r="AU132"/>
  <c r="B133" s="1"/>
  <c r="BF131"/>
  <c r="B142" s="1"/>
  <c r="AU131"/>
  <c r="B132" s="1"/>
  <c r="L124"/>
  <c r="AS121" s="1"/>
  <c r="N139"/>
  <c r="N136"/>
  <c r="F136"/>
  <c r="L139"/>
  <c r="K136"/>
  <c r="K143"/>
  <c r="F143"/>
  <c r="C123"/>
  <c r="M136"/>
  <c r="L122"/>
  <c r="D136"/>
  <c r="I140"/>
  <c r="G139"/>
  <c r="C140"/>
  <c r="O136"/>
  <c r="P136" s="1"/>
  <c r="AU133"/>
  <c r="B134" s="1"/>
  <c r="AU136"/>
  <c r="B136" s="1"/>
  <c r="AB123"/>
  <c r="M140"/>
  <c r="E136"/>
  <c r="G136"/>
  <c r="E139"/>
  <c r="P137"/>
  <c r="L136"/>
  <c r="C120"/>
  <c r="C136"/>
  <c r="I136"/>
  <c r="H136"/>
  <c r="F142"/>
  <c r="BF132"/>
  <c r="BF133" s="1"/>
  <c r="AR96"/>
  <c r="AY68"/>
  <c r="AS94"/>
  <c r="AS96"/>
  <c r="AE108"/>
  <c r="AY93"/>
  <c r="AX93"/>
  <c r="AZ93"/>
  <c r="AT96"/>
  <c r="J131" l="1"/>
  <c r="J133"/>
  <c r="J130"/>
  <c r="J132"/>
  <c r="AB134"/>
  <c r="W134"/>
  <c r="AD133"/>
  <c r="X133"/>
  <c r="T133"/>
  <c r="AB132"/>
  <c r="W132"/>
  <c r="S132"/>
  <c r="Y131"/>
  <c r="T131"/>
  <c r="AA130"/>
  <c r="U130"/>
  <c r="AD134"/>
  <c r="X134"/>
  <c r="AE133"/>
  <c r="AF133" s="1"/>
  <c r="Y133"/>
  <c r="U133"/>
  <c r="AD132"/>
  <c r="X132"/>
  <c r="T132"/>
  <c r="AA131"/>
  <c r="U131"/>
  <c r="AD130"/>
  <c r="AF130" s="1"/>
  <c r="V130"/>
  <c r="Y134"/>
  <c r="S134"/>
  <c r="AA133"/>
  <c r="V133"/>
  <c r="AE132"/>
  <c r="AF132" s="1"/>
  <c r="Y132"/>
  <c r="U132"/>
  <c r="AD131"/>
  <c r="V131"/>
  <c r="AE130"/>
  <c r="W130"/>
  <c r="S130"/>
  <c r="AA134"/>
  <c r="T134"/>
  <c r="AB133"/>
  <c r="W133"/>
  <c r="S133"/>
  <c r="AA132"/>
  <c r="V132"/>
  <c r="AE131"/>
  <c r="AF131" s="1"/>
  <c r="W131"/>
  <c r="S131"/>
  <c r="Y130"/>
  <c r="T130"/>
  <c r="U134"/>
  <c r="V134"/>
  <c r="AE134"/>
  <c r="AF134" s="1"/>
  <c r="J134"/>
  <c r="AB67"/>
  <c r="J136"/>
  <c r="AS95"/>
  <c r="AR122"/>
  <c r="AT122"/>
  <c r="AS122"/>
  <c r="AY96"/>
  <c r="AY94"/>
  <c r="AX96"/>
  <c r="AZ96"/>
  <c r="AS97"/>
  <c r="O137"/>
  <c r="S123"/>
  <c r="Y140"/>
  <c r="AC140"/>
  <c r="AA143"/>
  <c r="AF139"/>
  <c r="S139"/>
  <c r="AC136"/>
  <c r="S122"/>
  <c r="R143"/>
  <c r="S120"/>
  <c r="AF137"/>
  <c r="W136"/>
  <c r="AA136"/>
  <c r="U139"/>
  <c r="AF140"/>
  <c r="AE136"/>
  <c r="AF136" s="1"/>
  <c r="BE131"/>
  <c r="R142" s="1"/>
  <c r="U136"/>
  <c r="T136"/>
  <c r="AB139"/>
  <c r="X136"/>
  <c r="Y136"/>
  <c r="AD139"/>
  <c r="V143"/>
  <c r="S140"/>
  <c r="V142"/>
  <c r="AV136"/>
  <c r="R136" s="1"/>
  <c r="BE132"/>
  <c r="BE133" s="1"/>
  <c r="AV133"/>
  <c r="R134" s="1"/>
  <c r="AB124"/>
  <c r="AY121" s="1"/>
  <c r="AB122"/>
  <c r="V136"/>
  <c r="AB136"/>
  <c r="W139"/>
  <c r="S136"/>
  <c r="S124"/>
  <c r="AD136"/>
  <c r="AB142"/>
  <c r="AV131"/>
  <c r="R132" s="1"/>
  <c r="AV132"/>
  <c r="R133" s="1"/>
  <c r="Z136" l="1"/>
  <c r="Z133"/>
  <c r="Z130"/>
  <c r="Z132"/>
  <c r="Z131"/>
  <c r="Z134"/>
  <c r="L96"/>
  <c r="AR125"/>
  <c r="AY95"/>
  <c r="AT125"/>
  <c r="AE137"/>
  <c r="AS125"/>
  <c r="AS123"/>
  <c r="AX122"/>
  <c r="AY122"/>
  <c r="AZ122"/>
  <c r="AY97"/>
  <c r="AB96" l="1"/>
  <c r="AS124"/>
  <c r="AY123"/>
  <c r="AY125"/>
  <c r="AS126"/>
  <c r="AX125"/>
  <c r="AZ125"/>
  <c r="L125" l="1"/>
  <c r="AY126"/>
  <c r="AY124"/>
  <c r="AB125" l="1"/>
</calcChain>
</file>

<file path=xl/sharedStrings.xml><?xml version="1.0" encoding="utf-8"?>
<sst xmlns="http://schemas.openxmlformats.org/spreadsheetml/2006/main" count="759" uniqueCount="316">
  <si>
    <t>ROLL NO</t>
  </si>
  <si>
    <t>MATHEMATICS</t>
  </si>
  <si>
    <t>Class</t>
  </si>
  <si>
    <t>Section</t>
  </si>
  <si>
    <t>Gender</t>
  </si>
  <si>
    <t>Category</t>
  </si>
  <si>
    <t>A</t>
  </si>
  <si>
    <t>F</t>
  </si>
  <si>
    <t>PHOTO</t>
  </si>
  <si>
    <t>oSdfYid fo"k;ksa dh lwph</t>
  </si>
  <si>
    <t>ACCOUNTANCY</t>
  </si>
  <si>
    <t>AGRICULTURE</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</si>
  <si>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</si>
  <si>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</si>
  <si>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</si>
  <si>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</si>
  <si>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</si>
  <si>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</si>
  <si>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</si>
  <si>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</si>
  <si>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</si>
  <si>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</si>
  <si>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</si>
  <si>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</si>
  <si>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</si>
  <si>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</si>
  <si>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</si>
  <si>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</si>
  <si>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</si>
  <si>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</si>
  <si>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</si>
  <si>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</si>
  <si>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</si>
  <si>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</si>
  <si>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</si>
  <si>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</si>
  <si>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</si>
  <si>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</si>
  <si>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</si>
  <si>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</si>
  <si>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</si>
  <si>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</si>
  <si>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</si>
  <si>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</si>
  <si>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</si>
  <si>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B</t>
  </si>
  <si>
    <t>AB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</si>
  <si>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</si>
  <si>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</si>
  <si>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</si>
  <si>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</si>
  <si>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</si>
  <si>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</si>
  <si>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</si>
  <si>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</si>
  <si>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</si>
  <si>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</si>
  <si>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</si>
  <si>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</si>
  <si>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</si>
  <si>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fo"k; okf"kZd lS-</t>
  </si>
  <si>
    <t>fo"k; iw.kkZad izk-</t>
  </si>
  <si>
    <t>TOTAL EXEMPTION</t>
  </si>
  <si>
    <t>fo"k; xszM</t>
  </si>
  <si>
    <t>mRrh.kZ@    lkuqxzg mRrh.kZ@ vuqRrh.kZ@ iwjd@ vuqifLFkr</t>
  </si>
  <si>
    <t>dqy</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</si>
  <si>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</si>
  <si>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</si>
  <si>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</si>
  <si>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</si>
  <si>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</si>
  <si>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</si>
  <si>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</si>
  <si>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</si>
  <si>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</si>
  <si>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</si>
  <si>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</si>
  <si>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</si>
  <si>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</si>
  <si>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</si>
  <si>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</si>
  <si>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</si>
  <si>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</si>
  <si>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</si>
  <si>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</si>
  <si>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</si>
  <si>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</si>
  <si>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</si>
  <si>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</si>
  <si>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</si>
  <si>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</si>
  <si>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</si>
  <si>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</si>
  <si>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</si>
  <si>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</si>
  <si>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</si>
  <si>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</si>
  <si>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</si>
  <si>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</si>
  <si>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</si>
  <si>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</si>
  <si>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</si>
  <si>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</si>
  <si>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</si>
  <si>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</si>
  <si>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</si>
  <si>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heeralaljatchandawal@gmail.com</t>
  </si>
  <si>
    <t>Programmer  &amp;   Presented By</t>
  </si>
  <si>
    <t>Sr. Teacher at MGGS BAR (PALI)</t>
  </si>
  <si>
    <t>ab</t>
  </si>
  <si>
    <t>ml</t>
  </si>
  <si>
    <t>na</t>
  </si>
  <si>
    <t>G</t>
  </si>
  <si>
    <t>Th.</t>
  </si>
  <si>
    <t>Pract.</t>
  </si>
  <si>
    <t>AGRICULTURE BIOLOGY</t>
  </si>
  <si>
    <t>AGRICULTURE CHEMISTRY</t>
  </si>
  <si>
    <t>ENVIRONMENTAL STUDIES</t>
  </si>
  <si>
    <t>PHYSICAL EDUCATION</t>
  </si>
  <si>
    <t>Non_Practical_Optional_Subject_List</t>
  </si>
  <si>
    <t>Hallf Yearly Marks</t>
  </si>
  <si>
    <t>Yearly  Marks</t>
  </si>
  <si>
    <t>INFORMATION TECHNOLOGY AND PROCESSING 1</t>
  </si>
  <si>
    <t xml:space="preserve">DANCE KATTHAK </t>
  </si>
  <si>
    <t>MUSIC INSTR. DILRUBA</t>
  </si>
  <si>
    <t>MUSIC INSTR. FLUTE</t>
  </si>
  <si>
    <t>MUSIC INSTR. GUITAR</t>
  </si>
  <si>
    <t>MUSIC INSTR. PKHAAVAJ</t>
  </si>
  <si>
    <t>MUSIC INSTR. SAROD</t>
  </si>
  <si>
    <t>MUSIC INSTR. SITARA</t>
  </si>
  <si>
    <t>MUSIC INSTR. TABLA</t>
  </si>
  <si>
    <t xml:space="preserve">MUSIC VOCAL </t>
  </si>
  <si>
    <t>TYPING HINDI</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</si>
  <si>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</si>
  <si>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</si>
  <si>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</si>
  <si>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</si>
  <si>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</si>
  <si>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</si>
  <si>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</si>
  <si>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</si>
  <si>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</si>
  <si>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</si>
  <si>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30/70</t>
  </si>
  <si>
    <t>Total Attendance</t>
  </si>
  <si>
    <t>.-------------Cut here-------------------------Cut here-------------------------Cut here-------------------------Cut here-------------------------Cut here-------------------Cut here-------------</t>
  </si>
  <si>
    <t>TO</t>
  </si>
  <si>
    <t xml:space="preserve"> </t>
  </si>
  <si>
    <t>:: इस एक्सेल शीट पर कार्य करने हेतु विशेष निर्देश ::</t>
  </si>
  <si>
    <t xml:space="preserve">यह एक्सेल शीट 200 विद्यार्थियों को ध्यान में रखकर बनाई गयी है I आप अलग अलग संकाय के लिए अलग अलग वर्कबुक काम में ले सकते है I जिसमे वर्क करने में आपको किसी भी प्रकार की दुविधा न हो I अगर आपकी स्कूल में विद्यार्थी 200 से कम है तो अतिरिक्त कॉलम की हाईड कर लेवे, जिससे प्रिंट निकालने में असुविधा न हो I अगर विद्यार्थी एक संकाय में 200 से भी अधिक है तो फिर सेक्शन वार शीट भी तैयार कर सकते है I  </t>
  </si>
  <si>
    <r>
      <t xml:space="preserve">इस रिजल्ट शीट में आप विद्यार्थी की  </t>
    </r>
    <r>
      <rPr>
        <b/>
        <sz val="13"/>
        <color rgb="FFFF0000"/>
        <rFont val="Calibri"/>
        <family val="2"/>
        <scheme val="minor"/>
      </rPr>
      <t>फोटोयुक्त मार्कशीट</t>
    </r>
    <r>
      <rPr>
        <b/>
        <sz val="13"/>
        <color rgb="FF0000CC"/>
        <rFont val="Calibri"/>
        <family val="2"/>
        <scheme val="minor"/>
      </rPr>
      <t xml:space="preserve"> प्राप्त कर सकेंगे I  इसके लिए </t>
    </r>
    <r>
      <rPr>
        <b/>
        <sz val="13"/>
        <color rgb="FFFF0000"/>
        <rFont val="Calibri"/>
        <family val="2"/>
        <scheme val="minor"/>
      </rPr>
      <t>स्टूडेंट डाटा एंट्री शीट</t>
    </r>
    <r>
      <rPr>
        <b/>
        <sz val="13"/>
        <color rgb="FF0000CC"/>
        <rFont val="Calibri"/>
        <family val="2"/>
        <scheme val="minor"/>
      </rPr>
      <t xml:space="preserve"> पर विद्यार्थी की नियत कॉलम में फोटो जरुर कॉपी पेस्ट करें I अगर समझ में नहीं आवे तो मेरा you tube विडियो जरुर देखें I</t>
    </r>
  </si>
  <si>
    <r>
      <t>इस वर्कबुक की सिक्यूरिटी के लिए C</t>
    </r>
    <r>
      <rPr>
        <b/>
        <sz val="14"/>
        <color rgb="FFFF0000"/>
        <rFont val="Calibri"/>
        <family val="2"/>
        <scheme val="minor"/>
      </rPr>
      <t>lass11</t>
    </r>
    <r>
      <rPr>
        <b/>
        <sz val="13"/>
        <color rgb="FFFF0000"/>
        <rFont val="Calibri"/>
        <family val="2"/>
        <scheme val="minor"/>
      </rPr>
      <t xml:space="preserve">  पासवर्ड है I ( जो इंस्ट्रक्शन शीट , मास्टर शीट व सिंगल मार्कशीट शीट पर काम नहीं करेगी - सिक्यूरिटी के लिए )</t>
    </r>
  </si>
  <si>
    <t>कक्षा 11 के प्रत्येक विद्यार्थी के विभिन्न वैकल्पिक विषय को भरने हेतु प्रत्येक वैकल्पिक विषय में तीन-तीन ऑप्शन दे रखे है , इसके लिए आप A , B , C कोड भर सकते है I इनका सम्बन्ध वैकल्पिक विषय के स्थान के क्रमानुसार है I</t>
  </si>
  <si>
    <t xml:space="preserve">इसके अतिरिक्त रिजल्ट वर्कबुक में एंट्री करते समय आनेवाली सामान्य समस्याएं व समाधान </t>
  </si>
  <si>
    <r>
      <t xml:space="preserve">सबसे पहले शीट को ओपन करने के बाद </t>
    </r>
    <r>
      <rPr>
        <b/>
        <sz val="12"/>
        <color theme="1" tint="4.9989318521683403E-2"/>
        <rFont val="Calibri"/>
        <family val="2"/>
        <scheme val="minor"/>
      </rPr>
      <t>मास्टर शीट</t>
    </r>
    <r>
      <rPr>
        <sz val="12"/>
        <color theme="1" tint="4.9989318521683403E-2"/>
        <rFont val="Calibri"/>
        <family val="2"/>
        <scheme val="minor"/>
      </rPr>
      <t xml:space="preserve"> पर जो विद्यालय से सम्बंधित जो सामान्य जानकारी पूर्ण कर लेवें I</t>
    </r>
  </si>
  <si>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</si>
  <si>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</si>
  <si>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पूरी कक्षा जिसमे 200 विद्यार्थियों की मार्कशीट्स एक साथ निकाल सकते है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</si>
  <si>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</si>
  <si>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</si>
  <si>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</si>
  <si>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</si>
  <si>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t>
    </r>
    <r>
      <rPr>
        <sz val="14"/>
        <color rgb="FF000000"/>
        <rFont val="Kruti Dev 010"/>
      </rPr>
      <t xml:space="preserve"> </t>
    </r>
    <r>
      <rPr>
        <sz val="12"/>
        <color rgb="FF000000"/>
        <rFont val="Calibri"/>
        <family val="2"/>
        <scheme val="minor"/>
      </rPr>
      <t>की आवश्यकता होती है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</si>
  <si>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</si>
  <si>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</si>
  <si>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</si>
  <si>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</si>
  <si>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मार्क्स एंट्री करते समय रखी जाने वाली सावधानियां</t>
  </si>
  <si>
    <t>यह वर्कबुक कक्षा 11 के सभी संकायों कला वर्ग, विज्ञान वर्ग, वाणिज्य वर्ग तथा कृषि वर्ग के लिए समान रूप से उपयोगी है I संकाय व विषय के सम्बन्ध में डिटेल आप मास्टर शीट पर फिल कर सकते है I आवश्यकता होने पर केवल ऐच्छिक विषयों के सैद्धान्तिक व प्रायोगिक के पूर्णाक में बदलाव कर सकते है I</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</si>
  <si>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</si>
  <si>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</si>
  <si>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</si>
  <si>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</si>
  <si>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</si>
  <si>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</si>
  <si>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</si>
  <si>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</si>
  <si>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</si>
  <si>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</si>
  <si>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</si>
  <si>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</si>
  <si>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</si>
  <si>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</si>
  <si>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r>
      <rPr>
        <sz val="12"/>
        <rFont val="Calibri"/>
        <family val="2"/>
        <scheme val="minor"/>
      </rPr>
      <t xml:space="preserve">प्रत्येक वर्कबुक में हिंदी हेतु </t>
    </r>
    <r>
      <rPr>
        <sz val="14"/>
        <color rgb="FF0033CC"/>
        <rFont val="Times New Roman"/>
        <family val="1"/>
      </rPr>
      <t xml:space="preserve">  krutidev10 font </t>
    </r>
    <r>
      <rPr>
        <sz val="14"/>
        <color rgb="FF000000"/>
        <rFont val="Kruti Dev 010"/>
      </rPr>
      <t xml:space="preserve">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यदि उक्त</t>
    </r>
    <r>
      <rPr>
        <sz val="14"/>
        <color rgb="FF000000"/>
        <rFont val="Kruti Dev 010"/>
      </rPr>
      <t xml:space="preserve">  </t>
    </r>
    <r>
      <rPr>
        <sz val="14"/>
        <color rgb="FF0033CC"/>
        <rFont val="Times New Roman"/>
        <family val="1"/>
      </rPr>
      <t xml:space="preserve">font </t>
    </r>
    <r>
      <rPr>
        <sz val="12"/>
        <rFont val="Calibri"/>
        <family val="2"/>
        <scheme val="minor"/>
      </rPr>
      <t>आपके</t>
    </r>
    <r>
      <rPr>
        <sz val="14"/>
        <color rgb="FF0033CC"/>
        <rFont val="Times New Roman"/>
        <family val="1"/>
      </rPr>
      <t xml:space="preserve"> </t>
    </r>
    <r>
      <rPr>
        <sz val="14"/>
        <color rgb="FF000000"/>
        <rFont val="Kruti Dev 010"/>
      </rPr>
      <t xml:space="preserve"> </t>
    </r>
    <r>
      <rPr>
        <sz val="14"/>
        <color rgb="FF0033CC"/>
        <rFont val="Times New Roman"/>
        <family val="1"/>
      </rPr>
      <t xml:space="preserve">computer </t>
    </r>
    <r>
      <rPr>
        <sz val="12"/>
        <rFont val="Calibri"/>
        <family val="2"/>
        <scheme val="minor"/>
      </rPr>
      <t>में</t>
    </r>
    <r>
      <rPr>
        <sz val="14"/>
        <color rgb="FF0033CC"/>
        <rFont val="Times New Roman"/>
        <family val="1"/>
      </rPr>
      <t xml:space="preserve">  installed </t>
    </r>
    <r>
      <rPr>
        <sz val="12"/>
        <rFont val="Calibri"/>
        <family val="2"/>
        <scheme val="minor"/>
      </rPr>
      <t>न हो तो</t>
    </r>
    <r>
      <rPr>
        <sz val="14"/>
        <color rgb="FF0033CC"/>
        <rFont val="Times New Roman"/>
        <family val="1"/>
      </rPr>
      <t xml:space="preserve">  website </t>
    </r>
    <r>
      <rPr>
        <sz val="12"/>
        <rFont val="Calibri"/>
        <family val="2"/>
        <scheme val="minor"/>
      </rPr>
      <t>से</t>
    </r>
    <r>
      <rPr>
        <sz val="14"/>
        <color rgb="FF0033CC"/>
        <rFont val="Times New Roman"/>
        <family val="1"/>
      </rPr>
      <t xml:space="preserve"> download </t>
    </r>
    <r>
      <rPr>
        <sz val="12"/>
        <rFont val="Calibri"/>
        <family val="2"/>
        <scheme val="minor"/>
      </rPr>
      <t>कर</t>
    </r>
    <r>
      <rPr>
        <sz val="14"/>
        <color rgb="FF000000"/>
        <rFont val="Kruti Dev 010"/>
      </rPr>
      <t xml:space="preserve"> </t>
    </r>
    <r>
      <rPr>
        <sz val="14"/>
        <color rgb="FF0033CC"/>
        <rFont val="Times New Roman"/>
        <family val="1"/>
      </rPr>
      <t xml:space="preserve">save </t>
    </r>
    <r>
      <rPr>
        <sz val="12"/>
        <rFont val="Calibri"/>
        <family val="2"/>
        <scheme val="minor"/>
      </rPr>
      <t>करने के पश्चात् नीचे दिए तरीके के अनुसार</t>
    </r>
    <r>
      <rPr>
        <sz val="14"/>
        <color rgb="FF0033CC"/>
        <rFont val="Times New Roman"/>
        <family val="1"/>
      </rPr>
      <t xml:space="preserve">  install </t>
    </r>
    <r>
      <rPr>
        <sz val="14"/>
        <color rgb="FF000000"/>
        <rFont val="Kruti Dev 010"/>
      </rPr>
      <t xml:space="preserve"> </t>
    </r>
    <r>
      <rPr>
        <sz val="12"/>
        <rFont val="Calibri"/>
        <family val="2"/>
        <scheme val="minor"/>
      </rPr>
      <t xml:space="preserve">कर सकते है I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t>
    </r>
  </si>
  <si>
    <t>G.S.S.S. BAR</t>
  </si>
  <si>
    <t>Suresh Kumar</t>
  </si>
  <si>
    <t>Rakesh Kumar</t>
  </si>
  <si>
    <t>Radheshyam</t>
  </si>
  <si>
    <t>Yogendra</t>
  </si>
  <si>
    <t>Pushpendra</t>
  </si>
  <si>
    <t>Lalit Kumar</t>
  </si>
  <si>
    <t>Heeralal Jat</t>
  </si>
  <si>
    <t>Optional Subject List</t>
  </si>
  <si>
    <t>Gurudev Vasudev Ji Maharaj</t>
  </si>
  <si>
    <t xml:space="preserve">कक्षा </t>
  </si>
  <si>
    <t>वर्ग</t>
  </si>
  <si>
    <t>प्रवेशांक</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</si>
  <si>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</si>
  <si>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</si>
  <si>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</si>
  <si>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</si>
  <si>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</si>
  <si>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</si>
  <si>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</si>
  <si>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</si>
  <si>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</si>
  <si>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</si>
  <si>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</si>
  <si>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 xml:space="preserve">क्रमांक </t>
  </si>
  <si>
    <t xml:space="preserve">नामांक
Roll No. </t>
  </si>
  <si>
    <t>जन्मतिथि 
Date of Birth</t>
  </si>
  <si>
    <t>जाति वर्ग  (Category)</t>
  </si>
  <si>
    <t>लिंग  (Gender)</t>
  </si>
  <si>
    <t>Optional Subject - 01</t>
  </si>
  <si>
    <t>Optional Subject - 02</t>
  </si>
  <si>
    <t>Optional Subject - 03</t>
  </si>
  <si>
    <t>H</t>
  </si>
  <si>
    <t>E</t>
  </si>
  <si>
    <t>O.S. - 1</t>
  </si>
  <si>
    <t>O.S. - 2</t>
  </si>
  <si>
    <t>O.S. - 3</t>
  </si>
  <si>
    <t>O.S. - 4</t>
  </si>
  <si>
    <t>Details</t>
  </si>
  <si>
    <t>CATEGORY-WISE RESULT WILL SHOW INCULDE THE DECLARATION OF THE SUPPLEMENTARY EXAM. RESULTS</t>
  </si>
  <si>
    <t>Main Exam</t>
  </si>
  <si>
    <t>Supp. Exam</t>
  </si>
  <si>
    <t>Additional</t>
  </si>
  <si>
    <t>Date of Supplementary result declaration :-</t>
  </si>
  <si>
    <t>Final Result</t>
  </si>
  <si>
    <t>Grace Marks</t>
  </si>
  <si>
    <r>
      <rPr>
        <b/>
        <sz val="10"/>
        <rFont val="Calibri"/>
        <family val="2"/>
        <scheme val="minor"/>
      </rPr>
      <t>Max. Marks</t>
    </r>
    <r>
      <rPr>
        <b/>
        <sz val="10"/>
        <rFont val="Kruti Dev 010"/>
      </rPr>
      <t xml:space="preserve"> </t>
    </r>
    <r>
      <rPr>
        <b/>
        <sz val="12"/>
        <rFont val="Wingdings"/>
        <charset val="2"/>
      </rPr>
      <t>Ü</t>
    </r>
  </si>
  <si>
    <t>No</t>
  </si>
  <si>
    <t xml:space="preserve">क्र स </t>
  </si>
  <si>
    <t>Sheet Password :-</t>
  </si>
  <si>
    <t>Pravin Kumar</t>
  </si>
  <si>
    <t>Class11</t>
  </si>
  <si>
    <t xml:space="preserve">you tube विडियो लिंक </t>
  </si>
  <si>
    <t>You tube Video Link :</t>
  </si>
  <si>
    <t>Updated On</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</si>
  <si>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rPr>
      <t xml:space="preserve"> www.rajgyan.co.in  ,   www.rajteachers.com  , www.rajsevak.com/excel , www.rajguruji.com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</si>
  <si>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</si>
  <si>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</si>
  <si>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</si>
  <si>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</si>
  <si>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Vacational Subject :-</t>
  </si>
  <si>
    <t>शिक्षा/पाली/1995/2001</t>
  </si>
  <si>
    <t>Mahatma Gandhi Government School (English Medium) Bar, Pali</t>
  </si>
  <si>
    <t xml:space="preserve">महात्मा गाँधी राजकीय विद्यालय (अंग्रेजी माध्यम) बर, पाली </t>
  </si>
  <si>
    <t>Yogesh</t>
  </si>
  <si>
    <t>Date of Birth</t>
  </si>
  <si>
    <t>SR. NO.</t>
  </si>
  <si>
    <t>S. N.</t>
  </si>
  <si>
    <t>Practical_1_Optional_Subject_List</t>
  </si>
  <si>
    <t>Practical_2_Optional_Subject_List</t>
  </si>
  <si>
    <t>Typing Subject List</t>
  </si>
  <si>
    <t>Practical_3_Optional_Subject_List</t>
  </si>
  <si>
    <t>Vocational Subject List</t>
  </si>
  <si>
    <t>Practical_4_Optional_Subject_List</t>
  </si>
  <si>
    <t>Only Yearly Marks</t>
  </si>
  <si>
    <t>Portfolio</t>
  </si>
  <si>
    <t>नामांक</t>
  </si>
  <si>
    <t xml:space="preserve">प्रवेशांक
SR. No. </t>
  </si>
  <si>
    <t xml:space="preserve">वर्ग
Section. </t>
  </si>
  <si>
    <t>X</t>
  </si>
  <si>
    <t>Y</t>
  </si>
  <si>
    <t>Z</t>
  </si>
  <si>
    <t>W</t>
  </si>
  <si>
    <t>V</t>
  </si>
  <si>
    <t>U</t>
  </si>
  <si>
    <t>T</t>
  </si>
  <si>
    <t>N</t>
  </si>
  <si>
    <t>O</t>
  </si>
  <si>
    <t>M</t>
  </si>
  <si>
    <t>P</t>
  </si>
  <si>
    <t>Q</t>
  </si>
  <si>
    <t>R</t>
  </si>
  <si>
    <t>OBC</t>
  </si>
  <si>
    <t>GEN</t>
  </si>
  <si>
    <t>SBC</t>
  </si>
  <si>
    <t>ST</t>
  </si>
  <si>
    <t>SC</t>
  </si>
  <si>
    <t>MIN</t>
  </si>
  <si>
    <t>Additional Sub. / Vocational  Subject</t>
  </si>
  <si>
    <t>Arts</t>
  </si>
  <si>
    <t>70/50/20</t>
  </si>
  <si>
    <t>20/50</t>
  </si>
  <si>
    <t>100/70/30</t>
  </si>
  <si>
    <t/>
  </si>
  <si>
    <t>WRITE ROLL NO. FOR PRINT MARKSHEET</t>
  </si>
  <si>
    <t>70/ 50/ 20</t>
  </si>
  <si>
    <t>you can print 10 Marksheets at once. Two columns are given above, in which you can print the 10 marksheets. you want to print by writing their first and tenth Roll Numbers. Example : 1 to 10, 11 to 20, 21 to 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</si>
  <si>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</si>
  <si>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70/50/ 20</t>
  </si>
  <si>
    <r>
      <rPr>
        <b/>
        <sz val="14"/>
        <color rgb="FFFF0000"/>
        <rFont val="Wingdings"/>
        <charset val="2"/>
      </rPr>
      <t>E</t>
    </r>
    <r>
      <rPr>
        <b/>
        <sz val="14"/>
        <color rgb="FFFF0000"/>
        <rFont val="Calibri"/>
        <family val="2"/>
        <scheme val="minor"/>
      </rPr>
      <t>If you want Marksheet of any student 11th Class Student , you must be write Roll No. in Yellow Colour Cell Either Move Form Develover Tab Butten</t>
    </r>
  </si>
  <si>
    <t>https://youtu.be/aJjzQ4EcoqQ</t>
  </si>
  <si>
    <t>Class Teacher 11th :-</t>
  </si>
  <si>
    <t>Hindi</t>
  </si>
  <si>
    <t>Com. Hindi</t>
  </si>
  <si>
    <t>Com. English</t>
  </si>
  <si>
    <t>रिजल्ट शीट  (Green Sheet)</t>
  </si>
  <si>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</si>
  <si>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</si>
  <si>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yearly theory</t>
  </si>
  <si>
    <t>Sub MM Prac.</t>
  </si>
  <si>
    <t>SUBJECT MM Theory</t>
  </si>
  <si>
    <t>TOTAL PRAC.</t>
  </si>
  <si>
    <t>TOTAL THEORY</t>
  </si>
  <si>
    <t>This Sheet Password :-     Class11</t>
  </si>
  <si>
    <t>https://youtu.be/5tJOXnI2VpI</t>
  </si>
  <si>
    <t>#Heeralaljat</t>
  </si>
  <si>
    <t>Session :-</t>
  </si>
  <si>
    <t>-</t>
  </si>
  <si>
    <t>https://youtu.be/MW5_wEb3PS8</t>
  </si>
  <si>
    <t>यह एक्सेल प्रोग्राम परम पूज्य गुरुदेव स्वामी वासुदेवजी महाराज व इष्ट प्रभु जय बजरंग बली, तेजल तपधारी व पाबूजी महाराज के आशीर्वाद का फल है I माता - पिता व गुरुजनों के आशीर्वाद से यह एक्सेल प्रोग्राम शिक्षा विभाग को समर्पित करता हूँ I</t>
  </si>
  <si>
    <t>Dewananad</t>
  </si>
  <si>
    <t>2025-2026</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</si>
</sst>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87">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sz val="10"/>
      <name val="Cambria"/>
      <family val="1"/>
    </font>
    <font>
      <b/>
      <sz val="11"/>
      <color indexed="10"/>
      <name val="Kruti Dev 010"/>
    </font>
    <font>
      <b/>
      <sz val="12"/>
      <name val="Cambria"/>
      <family val="1"/>
    </font>
    <font>
      <b/>
      <sz val="12"/>
      <color indexed="12"/>
      <name val="Cambria"/>
      <family val="1"/>
    </font>
    <font>
      <b/>
      <sz val="12"/>
      <color indexed="10"/>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4"/>
      <color rgb="FFFF66FF"/>
      <name val="Kruti Dev 010"/>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4"/>
      <color rgb="FFFF0000"/>
      <name val="Kruti Dev 010"/>
    </font>
    <font>
      <b/>
      <sz val="16"/>
      <color rgb="FFFF66CC"/>
      <name val="Arial"/>
      <family val="2"/>
    </font>
    <font>
      <b/>
      <sz val="10"/>
      <color rgb="FFFF0000"/>
      <name val="Calibri"/>
      <family val="2"/>
    </font>
    <font>
      <b/>
      <sz val="14"/>
      <color rgb="FF00B050"/>
      <name val="Kruti Dev 010"/>
    </font>
    <font>
      <b/>
      <sz val="20"/>
      <name val="Kruti Dev 010"/>
    </font>
    <font>
      <sz val="10"/>
      <color indexed="10"/>
      <name val="Arial"/>
      <family val="2"/>
    </font>
    <font>
      <sz val="14"/>
      <name val="Kruti Dev 010"/>
    </font>
    <font>
      <sz val="10"/>
      <color indexed="30"/>
      <name val="Arial"/>
      <family val="2"/>
    </font>
    <font>
      <sz val="8"/>
      <name val="Arial"/>
      <family val="2"/>
    </font>
    <font>
      <b/>
      <sz val="10"/>
      <color indexed="30"/>
      <name val="Arial"/>
      <family val="2"/>
    </font>
    <font>
      <b/>
      <sz val="10"/>
      <color indexed="1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Kruti Dev 010"/>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12"/>
      <color rgb="FFFF0000"/>
      <name val="Cambria"/>
      <family val="1"/>
    </font>
    <font>
      <b/>
      <sz val="8"/>
      <name val="Calibri"/>
      <family val="2"/>
      <scheme val="minor"/>
    </font>
    <font>
      <b/>
      <sz val="8"/>
      <name val="Cambria"/>
      <family val="1"/>
    </font>
    <font>
      <b/>
      <sz val="11"/>
      <color rgb="FF0000FF"/>
      <name val="Calibri"/>
      <family val="2"/>
      <scheme val="minor"/>
    </font>
    <font>
      <b/>
      <sz val="8"/>
      <color rgb="FFFF0000"/>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0"/>
      <color rgb="FFFF0000"/>
      <name val="Cambria"/>
      <family val="1"/>
    </font>
    <font>
      <sz val="11"/>
      <color theme="0"/>
      <name val="Calibri"/>
      <family val="2"/>
      <scheme val="minor"/>
    </font>
    <font>
      <b/>
      <sz val="8"/>
      <color theme="1"/>
      <name val="Calibri"/>
      <family val="2"/>
      <scheme val="minor"/>
    </font>
    <font>
      <b/>
      <sz val="24"/>
      <color rgb="FFFF0000"/>
      <name val="Wingdings"/>
      <charset val="2"/>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9900FF"/>
      <name val="Cambria"/>
      <family val="1"/>
    </font>
    <font>
      <sz val="10"/>
      <color rgb="FF9900FF"/>
      <name val="Cambria"/>
      <family val="1"/>
    </font>
    <font>
      <b/>
      <sz val="10"/>
      <color rgb="FF9900FF"/>
      <name val="Calibri"/>
      <family val="2"/>
      <scheme val="minor"/>
    </font>
    <font>
      <b/>
      <sz val="12"/>
      <color rgb="FF0000CC"/>
      <name val="Calibri"/>
      <family val="2"/>
      <scheme val="minor"/>
    </font>
    <font>
      <b/>
      <sz val="12"/>
      <color rgb="FFCC0099"/>
      <name val="Calibri"/>
      <family val="2"/>
      <scheme val="minor"/>
    </font>
    <font>
      <b/>
      <sz val="12"/>
      <color rgb="FFD60093"/>
      <name val="Calibri"/>
      <family val="2"/>
      <scheme val="minor"/>
    </font>
    <font>
      <b/>
      <sz val="9"/>
      <name val="DevLys 010"/>
    </font>
    <font>
      <b/>
      <i/>
      <sz val="11"/>
      <color rgb="FFB41C8C"/>
      <name val="Cambria"/>
      <family val="1"/>
      <scheme val="major"/>
    </font>
    <font>
      <b/>
      <i/>
      <sz val="14"/>
      <name val="Calibri"/>
      <family val="2"/>
      <scheme val="minor"/>
    </font>
    <font>
      <b/>
      <sz val="9"/>
      <color theme="1"/>
      <name val="Calibri"/>
      <family val="2"/>
      <scheme val="minor"/>
    </font>
    <font>
      <b/>
      <sz val="12"/>
      <color rgb="FF0000FF"/>
      <name val="Cambria"/>
      <family val="1"/>
      <scheme val="maj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3"/>
      <color rgb="FFD60093"/>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1"/>
      <color indexed="8"/>
      <name val="Calibri"/>
      <family val="2"/>
    </font>
    <font>
      <b/>
      <sz val="10.5"/>
      <color theme="1"/>
      <name val="Calibri"/>
      <family val="2"/>
      <scheme val="minor"/>
    </font>
    <font>
      <b/>
      <sz val="10"/>
      <color rgb="FF0000CC"/>
      <name val="Calibri"/>
      <family val="2"/>
      <scheme val="minor"/>
    </font>
    <font>
      <b/>
      <sz val="16"/>
      <color rgb="FFCC0099"/>
      <name val="Calibri"/>
      <family val="2"/>
      <scheme val="minor"/>
    </font>
    <font>
      <b/>
      <sz val="13"/>
      <name val="Calibri"/>
      <family val="2"/>
      <scheme val="minor"/>
    </font>
    <font>
      <b/>
      <sz val="14"/>
      <color rgb="FF0000CC"/>
      <name val="Cambria"/>
      <family val="1"/>
      <scheme val="major"/>
    </font>
    <font>
      <b/>
      <sz val="10"/>
      <color indexed="12"/>
      <name val="Calibri"/>
      <family val="2"/>
      <scheme val="minor"/>
    </font>
    <font>
      <b/>
      <sz val="11"/>
      <color rgb="FFC00000"/>
      <name val="Calibri"/>
      <family val="2"/>
      <scheme val="minor"/>
    </font>
    <font>
      <b/>
      <i/>
      <sz val="12"/>
      <name val="Calibri"/>
      <family val="2"/>
      <scheme val="minor"/>
    </font>
    <font>
      <b/>
      <sz val="9"/>
      <color rgb="FFFF0000"/>
      <name val="Calibri"/>
      <family val="2"/>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indexed="60"/>
      <name val="Cambria"/>
      <family val="1"/>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5"/>
      <color rgb="FFD60093"/>
      <name val="Cambria"/>
      <family val="1"/>
    </font>
    <font>
      <b/>
      <sz val="9.5"/>
      <color indexed="10"/>
      <name val="Cambria"/>
      <family val="1"/>
    </font>
    <font>
      <b/>
      <sz val="9"/>
      <color rgb="FF005024"/>
      <name val="Cambria"/>
      <family val="1"/>
    </font>
    <font>
      <sz val="11"/>
      <name val="Calibri"/>
      <family val="2"/>
      <scheme val="minor"/>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20"/>
      <name val="Cambria"/>
      <family val="1"/>
      <scheme val="major"/>
    </font>
    <font>
      <b/>
      <sz val="9"/>
      <color rgb="FF004620"/>
      <name val="Cambria"/>
      <family val="1"/>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sz val="11"/>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i/>
      <sz val="10"/>
      <name val="Calibri"/>
      <family val="2"/>
      <scheme val="minor"/>
    </font>
    <font>
      <b/>
      <sz val="10"/>
      <color indexed="8"/>
      <name val="Calibri"/>
      <family val="2"/>
      <scheme val="minor"/>
    </font>
    <font>
      <b/>
      <i/>
      <u/>
      <sz val="12"/>
      <color rgb="FFD60093"/>
      <name val="Calibri"/>
      <family val="2"/>
      <scheme val="minor"/>
    </font>
    <font>
      <sz val="11"/>
      <color theme="0" tint="-0.34998626667073579"/>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sz val="9.5"/>
      <name val="Calibri"/>
      <family val="2"/>
      <scheme val="minor"/>
    </font>
    <font>
      <b/>
      <sz val="8.5"/>
      <name val="Calibri"/>
      <family val="2"/>
      <scheme val="minor"/>
    </font>
    <font>
      <b/>
      <u/>
      <sz val="12"/>
      <color theme="10"/>
      <name val="Arial"/>
      <family val="2"/>
    </font>
    <font>
      <b/>
      <sz val="18"/>
      <color rgb="FFFF0000"/>
      <name val="Arial"/>
      <family val="2"/>
    </font>
    <font>
      <b/>
      <sz val="18"/>
      <color rgb="FF0000CC"/>
      <name val="Arial"/>
      <family val="2"/>
    </font>
    <font>
      <b/>
      <sz val="11"/>
      <name val="Cambria"/>
      <family val="1"/>
      <scheme val="major"/>
    </font>
    <font>
      <b/>
      <i/>
      <sz val="13"/>
      <color rgb="FF0000CC"/>
      <name val="Cambria"/>
      <family val="1"/>
      <scheme val="major"/>
    </font>
    <font>
      <b/>
      <sz val="14"/>
      <color rgb="FFCC00CC"/>
      <name val="Calibri"/>
      <family val="2"/>
      <scheme val="minor"/>
    </font>
    <font>
      <b/>
      <u/>
      <sz val="14"/>
      <color theme="10"/>
      <name val="Calibri"/>
      <family val="2"/>
    </font>
    <font>
      <sz val="11"/>
      <color theme="8" tint="-0.249977111117893"/>
      <name val="Calibri"/>
      <family val="2"/>
      <scheme val="minor"/>
    </font>
    <font>
      <b/>
      <sz val="16"/>
      <color theme="8" tint="-0.249977111117893"/>
      <name val="Kruti Dev 010"/>
    </font>
    <font>
      <b/>
      <sz val="11"/>
      <color theme="0" tint="-0.14999847407452621"/>
      <name val="Calibri"/>
      <family val="2"/>
      <scheme val="minor"/>
    </font>
    <font>
      <b/>
      <sz val="14"/>
      <color rgb="FFFFFF00"/>
      <name val="Calibri"/>
      <family val="2"/>
      <scheme val="minor"/>
    </font>
    <font>
      <b/>
      <sz val="13"/>
      <color theme="1"/>
      <name val="Cambria"/>
      <family val="1"/>
      <scheme val="major"/>
    </font>
    <font>
      <b/>
      <sz val="14"/>
      <color rgb="FFFFFF00"/>
      <name val="Cambria"/>
      <family val="1"/>
      <scheme val="major"/>
    </font>
    <font>
      <b/>
      <i/>
      <sz val="16"/>
      <color rgb="FF9900FF"/>
      <name val="Calibri"/>
      <family val="2"/>
      <scheme val="minor"/>
    </font>
    <font>
      <b/>
      <i/>
      <u/>
      <sz val="16"/>
      <color rgb="FFD60093"/>
      <name val="Calibri"/>
      <family val="2"/>
      <scheme val="minor"/>
    </font>
    <font>
      <sz val="8"/>
      <name val="Tahoma"/>
      <family val="2"/>
    </font>
    <font>
      <b/>
      <sz val="13"/>
      <color rgb="FF9900FF"/>
      <name val="Calibri"/>
      <family val="2"/>
      <scheme val="minor"/>
    </font>
    <font>
      <b/>
      <sz val="12"/>
      <color rgb="FF008E40"/>
      <name val="Calibri"/>
      <family val="2"/>
      <scheme val="minor"/>
    </font>
    <font>
      <b/>
      <sz val="11"/>
      <color rgb="FFCC0099"/>
      <name val="Calibri"/>
      <family val="2"/>
      <scheme val="minor"/>
    </font>
    <font>
      <b/>
      <sz val="10.5"/>
      <color rgb="FF9900FF"/>
      <name val="Calibri"/>
      <family val="2"/>
      <scheme val="minor"/>
    </font>
    <font>
      <b/>
      <sz val="10.5"/>
      <color rgb="FFD60093"/>
      <name val="Calibri"/>
      <family val="2"/>
      <scheme val="minor"/>
    </font>
    <font>
      <b/>
      <sz val="9"/>
      <color theme="0" tint="-4.9989318521683403E-2"/>
      <name val="Calibri"/>
      <family val="2"/>
      <scheme val="minor"/>
    </font>
    <font>
      <b/>
      <sz val="16"/>
      <color theme="0" tint="-4.9989318521683403E-2"/>
      <name val="Kruti Dev 010"/>
    </font>
    <font>
      <b/>
      <sz val="10.5"/>
      <color rgb="FF0000CC"/>
      <name val="Calibri"/>
      <family val="2"/>
      <scheme val="minor"/>
    </font>
    <font>
      <b/>
      <sz val="12"/>
      <color theme="1"/>
      <name val="Cambria"/>
      <family val="1"/>
    </font>
    <font>
      <sz val="10"/>
      <color theme="1"/>
      <name val="Cambria"/>
      <family val="1"/>
    </font>
    <font>
      <b/>
      <u/>
      <sz val="13"/>
      <color rgb="FF0000CC"/>
      <name val="Calibri"/>
      <family val="2"/>
      <scheme val="minor"/>
    </font>
    <font>
      <b/>
      <sz val="12"/>
      <color theme="1"/>
      <name val="Cambria"/>
      <family val="1"/>
      <scheme val="major"/>
    </font>
    <font>
      <b/>
      <sz val="12"/>
      <name val="Cambria"/>
      <family val="1"/>
      <scheme val="major"/>
    </font>
    <font>
      <b/>
      <sz val="10.5"/>
      <color indexed="12"/>
      <name val="Calibri"/>
      <family val="2"/>
      <scheme val="minor"/>
    </font>
    <font>
      <b/>
      <sz val="11"/>
      <color rgb="FFC00000"/>
      <name val="Cambria"/>
      <family val="1"/>
      <scheme val="major"/>
    </font>
    <font>
      <sz val="10"/>
      <name val="Cambria"/>
      <family val="1"/>
      <scheme val="major"/>
    </font>
    <font>
      <b/>
      <sz val="16"/>
      <color indexed="10"/>
      <name val="Cambria"/>
      <family val="1"/>
      <scheme val="major"/>
    </font>
    <font>
      <b/>
      <sz val="10"/>
      <color rgb="FF006600"/>
      <name val="Cambria"/>
      <family val="1"/>
      <scheme val="major"/>
    </font>
    <font>
      <b/>
      <sz val="11"/>
      <color rgb="FFD60093"/>
      <name val="Cambria"/>
      <family val="1"/>
      <scheme val="major"/>
    </font>
    <font>
      <b/>
      <sz val="11"/>
      <color rgb="FF0000CC"/>
      <name val="Calibri"/>
      <family val="2"/>
    </font>
    <font>
      <b/>
      <i/>
      <sz val="10.5"/>
      <name val="Calibri"/>
      <family val="2"/>
      <scheme val="minor"/>
    </font>
    <font>
      <b/>
      <sz val="10.5"/>
      <color rgb="FFFF0000"/>
      <name val="Calibri"/>
      <family val="2"/>
    </font>
    <font>
      <b/>
      <sz val="10.5"/>
      <color rgb="FFFF0000"/>
      <name val="Calibri"/>
      <family val="2"/>
      <scheme val="minor"/>
    </font>
    <font>
      <b/>
      <sz val="10.5"/>
      <color theme="0"/>
      <name val="Calibri"/>
      <family val="2"/>
      <scheme val="minor"/>
    </font>
    <font>
      <b/>
      <sz val="10.5"/>
      <name val="Cambria"/>
      <family val="1"/>
      <scheme val="major"/>
    </font>
    <font>
      <b/>
      <sz val="10.5"/>
      <color rgb="FFFF0000"/>
      <name val="Cambria"/>
      <family val="1"/>
      <scheme val="major"/>
    </font>
    <font>
      <b/>
      <sz val="10.5"/>
      <name val="Times New Roman"/>
      <family val="1"/>
    </font>
    <font>
      <b/>
      <i/>
      <sz val="10.5"/>
      <color indexed="10"/>
      <name val="Calibri"/>
      <family val="2"/>
      <scheme val="minor"/>
    </font>
    <font>
      <b/>
      <sz val="9.5"/>
      <color theme="1"/>
      <name val="Calibri"/>
      <family val="2"/>
      <scheme val="minor"/>
    </font>
    <font>
      <b/>
      <u val="double"/>
      <sz val="12"/>
      <color rgb="FF0000CC"/>
      <name val="Cambria"/>
      <family val="1"/>
      <scheme val="major"/>
    </font>
    <font>
      <b/>
      <sz val="10.5"/>
      <color rgb="FFC00000"/>
      <name val="Calibri"/>
      <family val="2"/>
      <scheme val="minor"/>
    </font>
    <font>
      <b/>
      <u val="double"/>
      <sz val="13"/>
      <color rgb="FFFF0000"/>
      <name val="Calibri"/>
      <family val="2"/>
      <scheme val="minor"/>
    </font>
    <font>
      <b/>
      <sz val="11.5"/>
      <name val="Calibri"/>
      <family val="2"/>
      <scheme val="minor"/>
    </font>
    <font>
      <b/>
      <sz val="11.5"/>
      <color rgb="FF9900FF"/>
      <name val="Calibri"/>
      <family val="2"/>
      <scheme val="minor"/>
    </font>
    <font>
      <b/>
      <sz val="11.5"/>
      <color rgb="FF0000CC"/>
      <name val="Calibri"/>
      <family val="2"/>
      <scheme val="minor"/>
    </font>
    <font>
      <b/>
      <sz val="9.5"/>
      <color rgb="FFCC0099"/>
      <name val="Calibri"/>
      <family val="2"/>
      <scheme val="min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9900FF"/>
      <name val="Calibri"/>
      <family val="2"/>
    </font>
    <font>
      <b/>
      <sz val="11"/>
      <color rgb="FF005024"/>
      <name val="Calibri"/>
      <family val="2"/>
      <scheme val="minor"/>
    </font>
    <font>
      <b/>
      <u/>
      <sz val="11"/>
      <color rgb="FFD60093"/>
      <name val="Calibri"/>
      <family val="2"/>
      <scheme val="minor"/>
    </font>
    <font>
      <b/>
      <u/>
      <sz val="10"/>
      <color rgb="FF9900FF"/>
      <name val="Calibri"/>
      <family val="2"/>
      <scheme val="minor"/>
    </font>
    <font>
      <b/>
      <sz val="11"/>
      <color rgb="FF0000CC"/>
      <name val="Cambria"/>
      <family val="1"/>
      <scheme val="major"/>
    </font>
    <font>
      <b/>
      <u/>
      <sz val="12"/>
      <color rgb="FFD60093"/>
      <name val="Calibri"/>
      <family val="2"/>
      <scheme val="minor"/>
    </font>
    <font>
      <b/>
      <u/>
      <sz val="11"/>
      <color rgb="FF9900FF"/>
      <name val="Calibri"/>
      <family val="2"/>
      <scheme val="minor"/>
    </font>
    <font>
      <b/>
      <sz val="10"/>
      <color rgb="FF0000FF"/>
      <name val="Calibri"/>
      <family val="2"/>
      <scheme val="minor"/>
    </font>
    <font>
      <b/>
      <sz val="13"/>
      <color rgb="FF004620"/>
      <name val="Calibri"/>
      <family val="2"/>
      <scheme val="minor"/>
    </font>
    <font>
      <b/>
      <sz val="9.5"/>
      <color rgb="FFBF11B3"/>
      <name val="Calibri"/>
      <family val="2"/>
      <scheme val="minor"/>
    </font>
    <font>
      <b/>
      <sz val="11"/>
      <color rgb="FF004620"/>
      <name val="Cambria"/>
      <family val="1"/>
      <scheme val="major"/>
    </font>
    <font>
      <b/>
      <u/>
      <sz val="11.5"/>
      <color rgb="FFD60093"/>
      <name val="Calibri"/>
      <family val="2"/>
      <scheme val="minor"/>
    </font>
    <font>
      <b/>
      <u/>
      <sz val="10.5"/>
      <color rgb="FF9900FF"/>
      <name val="Calibri"/>
      <family val="2"/>
      <scheme val="minor"/>
    </font>
    <font>
      <b/>
      <sz val="9"/>
      <color rgb="FFC00000"/>
      <name val="Calibri"/>
      <family val="2"/>
      <scheme val="minor"/>
    </font>
    <font>
      <b/>
      <sz val="11.5"/>
      <name val="DevLys 010"/>
    </font>
    <font>
      <b/>
      <sz val="10"/>
      <color rgb="FF004620"/>
      <name val="Calibri"/>
      <family val="2"/>
      <scheme val="minor"/>
    </font>
    <font>
      <b/>
      <sz val="11.5"/>
      <color rgb="FF004620"/>
      <name val="Calibri"/>
      <family val="2"/>
      <scheme val="minor"/>
    </font>
    <font>
      <b/>
      <sz val="11.5"/>
      <color rgb="FFD60093"/>
      <name val="Calibri"/>
      <family val="2"/>
      <scheme val="minor"/>
    </font>
    <font>
      <b/>
      <sz val="10.5"/>
      <color rgb="FF0000FF"/>
      <name val="Calibri"/>
      <family val="2"/>
      <scheme val="minor"/>
    </font>
    <font>
      <b/>
      <sz val="10"/>
      <color rgb="FFBF11B3"/>
      <name val="Calibri"/>
      <family val="2"/>
      <scheme val="minor"/>
    </font>
    <font>
      <b/>
      <sz val="14"/>
      <color rgb="FFFF0000"/>
      <name val="Wingdings"/>
      <charset val="2"/>
    </font>
    <font>
      <b/>
      <sz val="18"/>
      <color rgb="FFFFFF00"/>
      <name val="Calibri"/>
      <family val="2"/>
      <scheme val="minor"/>
    </font>
    <font>
      <b/>
      <sz val="18"/>
      <color theme="1"/>
      <name val="Calibri"/>
      <family val="2"/>
      <scheme val="minor"/>
    </font>
    <font>
      <b/>
      <u/>
      <sz val="14"/>
      <color theme="10"/>
      <name val="Arial"/>
      <family val="2"/>
    </font>
    <font>
      <b/>
      <sz val="18"/>
      <color rgb="FF00FF00"/>
      <name val="Cambria"/>
      <family val="1"/>
      <scheme val="major"/>
    </font>
    <font>
      <sz val="11"/>
      <color rgb="FFFF0000"/>
      <name val="Calibri"/>
      <family val="2"/>
      <scheme val="minor"/>
    </font>
    <font>
      <b/>
      <sz val="8"/>
      <color rgb="FFE4ED8F"/>
      <name val="Calibri"/>
      <family val="2"/>
      <scheme val="minor"/>
    </font>
    <font>
      <b/>
      <sz val="16"/>
      <color theme="0"/>
      <name val="Kruti Dev 010"/>
    </font>
    <font>
      <b/>
      <sz val="14"/>
      <color theme="0" tint="-0.14999847407452621"/>
      <name val="Calibri"/>
      <family val="2"/>
      <scheme val="minor"/>
    </font>
    <font>
      <b/>
      <sz val="11.5"/>
      <color rgb="FFFF0000"/>
      <name val="Calibri"/>
      <family val="2"/>
      <scheme val="minor"/>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0000CC"/>
      <name val="Calibri"/>
      <family val="2"/>
      <scheme val="minor"/>
    </font>
    <font>
      <b/>
      <sz val="9.5"/>
      <color rgb="FFD60093"/>
      <name val="Calibri"/>
      <family val="2"/>
      <scheme val="minor"/>
    </font>
    <font>
      <b/>
      <sz val="10"/>
      <color rgb="FFD60093"/>
      <name val="Cambria"/>
      <family val="1"/>
      <scheme val="major"/>
    </font>
    <font>
      <b/>
      <sz val="9.5"/>
      <color rgb="FFFF0000"/>
      <name val="Cambria"/>
      <family val="1"/>
      <scheme val="major"/>
    </font>
    <font>
      <b/>
      <sz val="9.5"/>
      <color rgb="FFCC0099"/>
      <name val="Cambria"/>
      <family val="1"/>
      <scheme val="major"/>
    </font>
    <font>
      <b/>
      <u/>
      <sz val="11"/>
      <color theme="1"/>
      <name val="Calibri"/>
      <family val="2"/>
      <scheme val="minor"/>
    </font>
    <font>
      <b/>
      <u/>
      <sz val="12"/>
      <color theme="1"/>
      <name val="Calibri"/>
      <family val="2"/>
      <scheme val="minor"/>
    </font>
    <font>
      <b/>
      <sz val="11"/>
      <color rgb="FFD60093"/>
      <name val="Cambria"/>
      <family val="1"/>
    </font>
    <font>
      <b/>
      <sz val="11"/>
      <color rgb="FF0000CC"/>
      <name val="Cambria"/>
      <family val="1"/>
    </font>
    <font>
      <b/>
      <sz val="9"/>
      <color rgb="FF9900FF"/>
      <name val="Cambria"/>
      <family val="1"/>
      <scheme val="major"/>
    </font>
    <font>
      <b/>
      <sz val="9.5"/>
      <color rgb="FF9900FF"/>
      <name val="Calibri"/>
      <family val="2"/>
      <scheme val="minor"/>
    </font>
    <font>
      <b/>
      <sz val="11"/>
      <color rgb="FFFF0000"/>
      <name val="Cambria"/>
      <family val="1"/>
    </font>
    <font>
      <b/>
      <sz val="9"/>
      <color rgb="FFD60093"/>
      <name val="Cambria"/>
      <family val="1"/>
    </font>
    <font>
      <b/>
      <sz val="10"/>
      <color rgb="FF004620"/>
      <name val="Cambria"/>
      <family val="1"/>
    </font>
    <font>
      <b/>
      <i/>
      <u/>
      <sz val="14"/>
      <color theme="9" tint="-0.499984740745262"/>
      <name val="Calibri"/>
      <family val="2"/>
    </font>
  </fonts>
  <fills count="4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gradientFill degree="90">
        <stop position="0">
          <color theme="6" tint="-0.25098422193060094"/>
        </stop>
        <stop position="1">
          <color theme="5" tint="0.40000610370189521"/>
        </stop>
      </gradientFill>
    </fill>
    <fill>
      <gradientFill degree="45">
        <stop position="0">
          <color theme="5" tint="0.40000610370189521"/>
        </stop>
        <stop position="1">
          <color theme="9" tint="0.40000610370189521"/>
        </stop>
      </gradientFill>
    </fill>
    <fill>
      <gradientFill type="path" left="0.5" right="0.5" top="0.5" bottom="0.5">
        <stop position="0">
          <color theme="6" tint="0.40000610370189521"/>
        </stop>
        <stop position="1">
          <color theme="7" tint="0.40000610370189521"/>
        </stop>
      </gradientFill>
    </fill>
    <fill>
      <gradientFill degree="90">
        <stop position="0">
          <color theme="0"/>
        </stop>
        <stop position="1">
          <color theme="2"/>
        </stop>
      </gradientFill>
    </fill>
    <fill>
      <gradientFill degree="90">
        <stop position="0">
          <color theme="2" tint="-0.49803155613879818"/>
        </stop>
        <stop position="1">
          <color theme="4"/>
        </stop>
      </gradientFill>
    </fill>
    <fill>
      <gradientFill degree="90">
        <stop position="0">
          <color theme="5" tint="-0.25098422193060094"/>
        </stop>
        <stop position="1">
          <color theme="4"/>
        </stop>
      </gradientFill>
    </fill>
    <fill>
      <gradientFill degree="90">
        <stop position="0">
          <color theme="8" tint="-0.25098422193060094"/>
        </stop>
        <stop position="1">
          <color theme="6"/>
        </stop>
      </gradientFill>
    </fill>
    <fill>
      <gradientFill degree="90">
        <stop position="0">
          <color rgb="FF004620"/>
        </stop>
        <stop position="1">
          <color theme="5"/>
        </stop>
      </gradientFill>
    </fill>
    <fill>
      <gradientFill degree="90">
        <stop position="0">
          <color rgb="FFFFFF00"/>
        </stop>
        <stop position="1">
          <color theme="5"/>
        </stop>
      </gradient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gradientFill type="path">
        <stop position="0">
          <color theme="0"/>
        </stop>
        <stop position="1">
          <color rgb="FF7030A0"/>
        </stop>
      </gradientFill>
    </fill>
  </fills>
  <borders count="3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double">
        <color theme="5" tint="-0.499984740745262"/>
      </left>
      <right style="double">
        <color theme="5" tint="-0.499984740745262"/>
      </right>
      <top style="double">
        <color theme="5" tint="-0.499984740745262"/>
      </top>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hair">
        <color rgb="FF00B0F0"/>
      </left>
      <right style="hair">
        <color rgb="FF00B0F0"/>
      </right>
      <top style="hair">
        <color rgb="FF00B0F0"/>
      </top>
      <bottom/>
      <diagonal/>
    </border>
    <border>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hair">
        <color rgb="FF00B0F0"/>
      </left>
      <right style="medium">
        <color theme="9" tint="-0.499984740745262"/>
      </right>
      <top style="hair">
        <color rgb="FF00B0F0"/>
      </top>
      <bottom style="hair">
        <color rgb="FF00B0F0"/>
      </bottom>
      <diagonal/>
    </border>
    <border>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499984740745262"/>
      </left>
      <right/>
      <top style="double">
        <color theme="5" tint="-0.499984740745262"/>
      </top>
      <bottom style="double">
        <color theme="5" tint="-0.249977111117893"/>
      </bottom>
      <diagonal/>
    </border>
    <border>
      <left/>
      <right style="double">
        <color theme="5" tint="-0.499984740745262"/>
      </right>
      <top style="double">
        <color theme="5" tint="-0.499984740745262"/>
      </top>
      <bottom style="double">
        <color theme="5" tint="-0.249977111117893"/>
      </bottom>
      <diagonal/>
    </border>
    <border>
      <left/>
      <right/>
      <top style="double">
        <color theme="5" tint="-0.499984740745262"/>
      </top>
      <bottom style="double">
        <color theme="5" tint="-0.249977111117893"/>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249977111117893"/>
      </right>
      <top/>
      <bottom/>
      <diagonal/>
    </border>
    <border>
      <left/>
      <right style="double">
        <color theme="5" tint="-0.249977111117893"/>
      </right>
      <top style="double">
        <color theme="5" tint="-0.499984740745262"/>
      </top>
      <bottom/>
      <diagonal/>
    </border>
    <border>
      <left/>
      <right style="double">
        <color theme="5" tint="-0.249977111117893"/>
      </right>
      <top/>
      <bottom style="medium">
        <color theme="9" tint="-0.499984740745262"/>
      </bottom>
      <diagonal/>
    </border>
    <border>
      <left style="double">
        <color rgb="FF00B050"/>
      </left>
      <right style="double">
        <color rgb="FF00B050"/>
      </right>
      <top style="double">
        <color rgb="FF00B050"/>
      </top>
      <bottom style="double">
        <color rgb="FF00B050"/>
      </bottom>
      <diagonal/>
    </border>
    <border>
      <left style="double">
        <color rgb="FF00B050"/>
      </left>
      <right style="double">
        <color rgb="FF00B050"/>
      </right>
      <top/>
      <bottom style="double">
        <color rgb="FF00B050"/>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style="thin">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style="thin">
        <color rgb="FF00B050"/>
      </left>
      <right/>
      <top/>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style="thin">
        <color rgb="FF008E40"/>
      </left>
      <right/>
      <top/>
      <bottom style="thin">
        <color rgb="FF008E40"/>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style="thin">
        <color rgb="FF00B050"/>
      </left>
      <right style="double">
        <color rgb="FF00B050"/>
      </right>
      <top style="thin">
        <color rgb="FF00B050"/>
      </top>
      <bottom style="thin">
        <color rgb="FF00B050"/>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style="thin">
        <color rgb="FF0000CC"/>
      </right>
      <top/>
      <bottom style="thin">
        <color rgb="FF0000CC"/>
      </bottom>
      <diagonal/>
    </border>
    <border>
      <left style="thin">
        <color rgb="FF0000CC"/>
      </left>
      <right/>
      <top style="thin">
        <color rgb="FF0000CC"/>
      </top>
      <bottom style="thin">
        <color rgb="FF0000CC"/>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theme="5" tint="-0.249977111117893"/>
      </left>
      <right style="thin">
        <color theme="5" tint="-0.249977111117893"/>
      </right>
      <top/>
      <bottom style="thin">
        <color theme="5" tint="-0.249977111117893"/>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style="double">
        <color theme="5" tint="-0.249977111117893"/>
      </left>
      <right style="double">
        <color theme="5" tint="-0.249977111117893"/>
      </right>
      <top style="double">
        <color theme="9" tint="-0.499984740745262"/>
      </top>
      <bottom/>
      <diagonal/>
    </border>
    <border>
      <left style="medium">
        <color theme="9" tint="-0.499984740745262"/>
      </left>
      <right style="hair">
        <color rgb="FF00B0F0"/>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top style="medium">
        <color theme="9" tint="-0.499984740745262"/>
      </top>
      <bottom style="hair">
        <color rgb="FF00B0F0"/>
      </bottom>
      <diagonal/>
    </border>
    <border>
      <left style="hair">
        <color rgb="FF00B0F0"/>
      </left>
      <right/>
      <top style="hair">
        <color rgb="FF00B0F0"/>
      </top>
      <bottom style="hair">
        <color rgb="FF00B0F0"/>
      </bottom>
      <diagonal/>
    </border>
    <border>
      <left style="hair">
        <color rgb="FF00B0F0"/>
      </left>
      <right/>
      <top style="hair">
        <color rgb="FF00B0F0"/>
      </top>
      <bottom/>
      <diagonal/>
    </border>
    <border>
      <left style="hair">
        <color rgb="FF00B0F0"/>
      </left>
      <right/>
      <top style="hair">
        <color rgb="FF00B0F0"/>
      </top>
      <bottom style="medium">
        <color theme="9" tint="-0.499984740745262"/>
      </bottom>
      <diagonal/>
    </border>
    <border>
      <left style="medium">
        <color theme="9" tint="-0.499984740745262"/>
      </left>
      <right style="hair">
        <color rgb="FF00B0F0"/>
      </right>
      <top style="hair">
        <color rgb="FF00B0F0"/>
      </top>
      <bottom/>
      <diagonal/>
    </border>
    <border>
      <left style="double">
        <color indexed="64"/>
      </left>
      <right style="thin">
        <color indexed="64"/>
      </right>
      <top style="thin">
        <color indexed="64"/>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style="thin">
        <color rgb="FF9900FF"/>
      </top>
      <bottom/>
      <diagonal/>
    </border>
    <border>
      <left style="thin">
        <color rgb="FF9900FF"/>
      </left>
      <right style="thin">
        <color rgb="FF9900FF"/>
      </right>
      <top/>
      <bottom style="thin">
        <color rgb="FF9900FF"/>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theme="9" tint="-0.499984740745262"/>
      </left>
      <right/>
      <top style="double">
        <color theme="9" tint="-0.499984740745262"/>
      </top>
      <bottom style="double">
        <color theme="9" tint="-0.499984740745262"/>
      </bottom>
      <diagonal/>
    </border>
    <border>
      <left/>
      <right style="double">
        <color theme="9" tint="-0.499984740745262"/>
      </right>
      <top style="double">
        <color theme="9" tint="-0.499984740745262"/>
      </top>
      <bottom/>
      <diagonal/>
    </border>
    <border>
      <left/>
      <right style="double">
        <color theme="9" tint="-0.499984740745262"/>
      </right>
      <top/>
      <bottom/>
      <diagonal/>
    </border>
    <border>
      <left style="double">
        <color theme="9" tint="-0.499984740745262"/>
      </left>
      <right style="double">
        <color theme="9" tint="-0.499984740745262"/>
      </right>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style="medium">
        <color rgb="FF9900FF"/>
      </left>
      <right style="medium">
        <color rgb="FFFF0000"/>
      </right>
      <top style="medium">
        <color rgb="FF9900FF"/>
      </top>
      <bottom/>
      <diagonal/>
    </border>
    <border>
      <left/>
      <right style="medium">
        <color rgb="FF9900FF"/>
      </right>
      <top style="medium">
        <color rgb="FF9900FF"/>
      </top>
      <bottom style="thin">
        <color rgb="FFFF0000"/>
      </bottom>
      <diagonal/>
    </border>
    <border>
      <left style="medium">
        <color rgb="FF9900FF"/>
      </left>
      <right style="medium">
        <color rgb="FFFF0000"/>
      </right>
      <top/>
      <bottom/>
      <diagonal/>
    </border>
    <border>
      <left/>
      <right style="medium">
        <color rgb="FF9900FF"/>
      </right>
      <top style="thin">
        <color rgb="FFFF0000"/>
      </top>
      <bottom style="thin">
        <color rgb="FFFF0000"/>
      </bottom>
      <diagonal/>
    </border>
    <border>
      <left/>
      <right style="medium">
        <color rgb="FF9900FF"/>
      </right>
      <top style="thin">
        <color rgb="FFFF0000"/>
      </top>
      <bottom/>
      <diagonal/>
    </border>
    <border>
      <left style="medium">
        <color rgb="FF9900FF"/>
      </left>
      <right style="medium">
        <color rgb="FFFF0000"/>
      </right>
      <top style="medium">
        <color rgb="FF9900FF"/>
      </top>
      <bottom style="medium">
        <color rgb="FF9900FF"/>
      </bottom>
      <diagonal/>
    </border>
    <border>
      <left/>
      <right style="medium">
        <color rgb="FF9900FF"/>
      </right>
      <top style="medium">
        <color rgb="FF9900FF"/>
      </top>
      <bottom style="medium">
        <color rgb="FF9900FF"/>
      </bottom>
      <diagonal/>
    </border>
    <border>
      <left/>
      <right style="medium">
        <color rgb="FF9900FF"/>
      </right>
      <top style="medium">
        <color rgb="FF9900FF"/>
      </top>
      <bottom style="thin">
        <color indexed="64"/>
      </bottom>
      <diagonal/>
    </border>
    <border>
      <left/>
      <right style="medium">
        <color rgb="FF9900FF"/>
      </right>
      <top style="thin">
        <color indexed="64"/>
      </top>
      <bottom style="thin">
        <color indexed="64"/>
      </bottom>
      <diagonal/>
    </border>
    <border>
      <left/>
      <right style="medium">
        <color rgb="FF9900FF"/>
      </right>
      <top style="thin">
        <color indexed="64"/>
      </top>
      <bottom style="medium">
        <color rgb="FF9900FF"/>
      </bottom>
      <diagonal/>
    </border>
    <border>
      <left style="medium">
        <color rgb="FF9900FF"/>
      </left>
      <right style="medium">
        <color rgb="FF9900FF"/>
      </right>
      <top style="medium">
        <color rgb="FF9900FF"/>
      </top>
      <bottom/>
      <diagonal/>
    </border>
    <border>
      <left style="medium">
        <color rgb="FF9900FF"/>
      </left>
      <right style="medium">
        <color rgb="FF9900FF"/>
      </right>
      <top/>
      <bottom/>
      <diagonal/>
    </border>
    <border>
      <left style="medium">
        <color rgb="FF9900FF"/>
      </left>
      <right style="medium">
        <color rgb="FF9900FF"/>
      </right>
      <top/>
      <bottom style="thin">
        <color indexed="64"/>
      </bottom>
      <diagonal/>
    </border>
    <border>
      <left style="medium">
        <color rgb="FF9900FF"/>
      </left>
      <right style="medium">
        <color rgb="FF9900FF"/>
      </right>
      <top style="thin">
        <color indexed="64"/>
      </top>
      <bottom style="thin">
        <color indexed="64"/>
      </bottom>
      <diagonal/>
    </border>
    <border>
      <left style="medium">
        <color rgb="FF9900FF"/>
      </left>
      <right style="medium">
        <color rgb="FF9900FF"/>
      </right>
      <top style="thin">
        <color indexed="64"/>
      </top>
      <bottom/>
      <diagonal/>
    </border>
    <border>
      <left style="medium">
        <color rgb="FF9900FF"/>
      </left>
      <right style="medium">
        <color rgb="FF9900FF"/>
      </right>
      <top/>
      <bottom style="medium">
        <color rgb="FF9900FF"/>
      </bottom>
      <diagonal/>
    </border>
    <border>
      <left style="medium">
        <color rgb="FFCC00CC"/>
      </left>
      <right style="medium">
        <color rgb="FFCC00CC"/>
      </right>
      <top style="medium">
        <color rgb="FFCC00CC"/>
      </top>
      <bottom style="medium">
        <color rgb="FFCC00CC"/>
      </bottom>
      <diagonal/>
    </border>
    <border>
      <left style="thin">
        <color rgb="FF00B050"/>
      </left>
      <right/>
      <top style="double">
        <color rgb="FF00B050"/>
      </top>
      <bottom style="double">
        <color rgb="FF00B050"/>
      </bottom>
      <diagonal/>
    </border>
    <border>
      <left/>
      <right style="thin">
        <color rgb="FF00B050"/>
      </right>
      <top style="double">
        <color rgb="FF00B050"/>
      </top>
      <bottom style="double">
        <color rgb="FF00B050"/>
      </bottom>
      <diagonal/>
    </border>
    <border>
      <left/>
      <right/>
      <top style="double">
        <color rgb="FF00B050"/>
      </top>
      <bottom style="double">
        <color rgb="FF00B050"/>
      </bottom>
      <diagonal/>
    </border>
    <border>
      <left style="double">
        <color theme="9" tint="-0.499984740745262"/>
      </left>
      <right/>
      <top style="double">
        <color theme="9" tint="-0.499984740745262"/>
      </top>
      <bottom/>
      <diagonal/>
    </border>
    <border>
      <left style="medium">
        <color theme="5" tint="-0.499984740745262"/>
      </left>
      <right style="thin">
        <color theme="5" tint="-0.249977111117893"/>
      </right>
      <top style="medium">
        <color theme="5" tint="-0.499984740745262"/>
      </top>
      <bottom style="thin">
        <color theme="5" tint="-0.249977111117893"/>
      </bottom>
      <diagonal/>
    </border>
    <border>
      <left style="thin">
        <color theme="5" tint="-0.249977111117893"/>
      </left>
      <right style="thin">
        <color theme="5" tint="-0.249977111117893"/>
      </right>
      <top style="medium">
        <color theme="5" tint="-0.499984740745262"/>
      </top>
      <bottom style="thin">
        <color theme="5" tint="-0.249977111117893"/>
      </bottom>
      <diagonal/>
    </border>
    <border>
      <left style="medium">
        <color theme="5" tint="-0.499984740745262"/>
      </left>
      <right style="thin">
        <color theme="5" tint="-0.249977111117893"/>
      </right>
      <top/>
      <bottom style="thin">
        <color theme="5" tint="-0.249977111117893"/>
      </bottom>
      <diagonal/>
    </border>
    <border>
      <left style="medium">
        <color theme="5" tint="-0.499984740745262"/>
      </left>
      <right style="thin">
        <color theme="5" tint="-0.249977111117893"/>
      </right>
      <top/>
      <bottom style="medium">
        <color theme="5" tint="-0.499984740745262"/>
      </bottom>
      <diagonal/>
    </border>
    <border>
      <left style="double">
        <color theme="5" tint="-0.249977111117893"/>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style="double">
        <color theme="5" tint="-0.249977111117893"/>
      </left>
      <right/>
      <top/>
      <bottom style="double">
        <color theme="5" tint="-0.249977111117893"/>
      </bottom>
      <diagonal/>
    </border>
    <border>
      <left/>
      <right style="double">
        <color theme="5" tint="-0.249977111117893"/>
      </right>
      <top/>
      <bottom style="double">
        <color theme="5" tint="-0.249977111117893"/>
      </bottom>
      <diagonal/>
    </border>
    <border>
      <left style="double">
        <color theme="5" tint="-0.499984740745262"/>
      </left>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diagonal/>
    </border>
    <border>
      <left style="double">
        <color theme="5" tint="-0.249977111117893"/>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style="thin">
        <color theme="5" tint="-0.249977111117893"/>
      </left>
      <right/>
      <top style="medium">
        <color theme="5" tint="-0.499984740745262"/>
      </top>
      <bottom style="thin">
        <color theme="5" tint="-0.249977111117893"/>
      </bottom>
      <diagonal/>
    </border>
    <border>
      <left style="thin">
        <color theme="5" tint="-0.249977111117893"/>
      </left>
      <right/>
      <top/>
      <bottom style="thin">
        <color theme="5" tint="-0.249977111117893"/>
      </bottom>
      <diagonal/>
    </border>
    <border>
      <left style="hair">
        <color rgb="FF00B0F0"/>
      </left>
      <right style="medium">
        <color theme="9" tint="-0.499984740745262"/>
      </right>
      <top style="hair">
        <color rgb="FF00B0F0"/>
      </top>
      <bottom/>
      <diagonal/>
    </border>
    <border>
      <left style="medium">
        <color rgb="FFCC0099"/>
      </left>
      <right style="thin">
        <color rgb="FFCC0099"/>
      </right>
      <top/>
      <bottom style="thin">
        <color rgb="FFCC0099"/>
      </bottom>
      <diagonal/>
    </border>
    <border>
      <left style="medium">
        <color rgb="FFCC0099"/>
      </left>
      <right style="thin">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CC0099"/>
      </left>
      <right style="medium">
        <color rgb="FFCC0099"/>
      </right>
      <top style="thin">
        <color rgb="FFCC0099"/>
      </top>
      <bottom style="thin">
        <color rgb="FFCC0099"/>
      </bottom>
      <diagonal/>
    </border>
    <border>
      <left style="thin">
        <color rgb="FFCC0099"/>
      </left>
      <right style="medium">
        <color rgb="FFCC0099"/>
      </right>
      <top style="thin">
        <color rgb="FFCC0099"/>
      </top>
      <bottom style="medium">
        <color rgb="FFCC0099"/>
      </bottom>
      <diagonal/>
    </border>
    <border>
      <left style="thin">
        <color rgb="FFCC0099"/>
      </left>
      <right style="medium">
        <color rgb="FFCC0099"/>
      </right>
      <top style="medium">
        <color rgb="FFCC0099"/>
      </top>
      <bottom style="thin">
        <color rgb="FFCC0099"/>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medium">
        <color rgb="FF00B050"/>
      </right>
      <top style="medium">
        <color rgb="FF00B050"/>
      </top>
      <bottom/>
      <diagonal/>
    </border>
    <border>
      <left style="thin">
        <color rgb="FF00B050"/>
      </left>
      <right style="double">
        <color rgb="FF00B050"/>
      </right>
      <top/>
      <bottom style="thin">
        <color rgb="FF00B050"/>
      </bottom>
      <diagonal/>
    </border>
    <border>
      <left style="double">
        <color rgb="FF00B050"/>
      </left>
      <right/>
      <top style="double">
        <color rgb="FF00B050"/>
      </top>
      <bottom style="double">
        <color rgb="FF00B050"/>
      </bottom>
      <diagonal/>
    </border>
    <border>
      <left style="thin">
        <color rgb="FF0000CC"/>
      </left>
      <right style="thin">
        <color rgb="FF0000CC"/>
      </right>
      <top/>
      <bottom style="thin">
        <color rgb="FF0000CC"/>
      </bottom>
      <diagonal/>
    </border>
    <border>
      <left style="medium">
        <color rgb="FF0000CC"/>
      </left>
      <right/>
      <top style="medium">
        <color rgb="FF0000CC"/>
      </top>
      <bottom/>
      <diagonal/>
    </border>
    <border>
      <left/>
      <right style="thin">
        <color rgb="FF0000CC"/>
      </right>
      <top style="medium">
        <color rgb="FF0000CC"/>
      </top>
      <bottom/>
      <diagonal/>
    </border>
    <border>
      <left style="thin">
        <color rgb="FF0000CC"/>
      </left>
      <right style="thin">
        <color rgb="FF0000CC"/>
      </right>
      <top style="medium">
        <color rgb="FF0000CC"/>
      </top>
      <bottom style="thin">
        <color rgb="FF0000CC"/>
      </bottom>
      <diagonal/>
    </border>
    <border>
      <left style="thin">
        <color rgb="FF0000CC"/>
      </left>
      <right style="medium">
        <color rgb="FF0000CC"/>
      </right>
      <top style="medium">
        <color rgb="FF0000CC"/>
      </top>
      <bottom style="thin">
        <color rgb="FF0000CC"/>
      </bottom>
      <diagonal/>
    </border>
    <border>
      <left style="medium">
        <color rgb="FF0000CC"/>
      </left>
      <right/>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style="thin">
        <color rgb="FF0000CC"/>
      </right>
      <top style="thin">
        <color rgb="FF0000CC"/>
      </top>
      <bottom style="thin">
        <color rgb="FF0000CC"/>
      </bottom>
      <diagonal/>
    </border>
    <border>
      <left/>
      <right style="medium">
        <color rgb="FF0000CC"/>
      </right>
      <top style="thin">
        <color rgb="FF0000CC"/>
      </top>
      <bottom/>
      <diagonal/>
    </border>
    <border>
      <left/>
      <right style="medium">
        <color rgb="FF0000CC"/>
      </right>
      <top/>
      <bottom/>
      <diagonal/>
    </border>
    <border>
      <left/>
      <right style="medium">
        <color rgb="FF0000CC"/>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style="thin">
        <color rgb="FF0000CC"/>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00CC"/>
      </left>
      <right style="thin">
        <color rgb="FF0000CC"/>
      </right>
      <top style="thin">
        <color rgb="FF0000CC"/>
      </top>
      <bottom style="medium">
        <color rgb="FF0000CC"/>
      </bottom>
      <diagonal/>
    </border>
    <border>
      <left style="thin">
        <color rgb="FF0000CC"/>
      </left>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right style="thin">
        <color rgb="FF9900FF"/>
      </right>
      <top style="thin">
        <color rgb="FF9900FF"/>
      </top>
      <bottom/>
      <diagonal/>
    </border>
    <border>
      <left style="medium">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medium">
        <color rgb="FF0000CC"/>
      </bottom>
      <diagonal/>
    </border>
    <border>
      <left style="thin">
        <color rgb="FF0000CC"/>
      </left>
      <right style="medium">
        <color rgb="FF0000CC"/>
      </right>
      <top style="thin">
        <color rgb="FF0000CC"/>
      </top>
      <bottom style="medium">
        <color rgb="FF0000CC"/>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style="thin">
        <color rgb="FF004620"/>
      </right>
      <top style="thin">
        <color rgb="FF006600"/>
      </top>
      <bottom style="thin">
        <color rgb="FF004620"/>
      </bottom>
      <diagonal/>
    </border>
    <border>
      <left style="thin">
        <color rgb="FF005024"/>
      </left>
      <right style="thin">
        <color rgb="FF005024"/>
      </right>
      <top/>
      <bottom/>
      <diagonal/>
    </border>
    <border>
      <left style="thin">
        <color rgb="FF005024"/>
      </left>
      <right style="thin">
        <color rgb="FF005024"/>
      </right>
      <top/>
      <bottom style="thin">
        <color rgb="FF005024"/>
      </bottom>
      <diagonal/>
    </border>
    <border>
      <left style="thin">
        <color rgb="FF005024"/>
      </left>
      <right/>
      <top style="thin">
        <color rgb="FF005024"/>
      </top>
      <bottom style="thin">
        <color rgb="FF005024"/>
      </bottom>
      <diagonal/>
    </border>
    <border>
      <left/>
      <right style="thin">
        <color rgb="FF005024"/>
      </right>
      <top style="thin">
        <color rgb="FF005024"/>
      </top>
      <bottom style="thin">
        <color rgb="FF005024"/>
      </bottom>
      <diagonal/>
    </border>
    <border>
      <left/>
      <right/>
      <top style="thin">
        <color rgb="FF005024"/>
      </top>
      <bottom style="thin">
        <color rgb="FF005024"/>
      </bottom>
      <diagonal/>
    </border>
    <border>
      <left style="thin">
        <color rgb="FF004620"/>
      </left>
      <right/>
      <top style="thin">
        <color rgb="FF004620"/>
      </top>
      <bottom style="thin">
        <color rgb="FF004620"/>
      </bottom>
      <diagonal/>
    </border>
    <border>
      <left style="thin">
        <color rgb="FFD60093"/>
      </left>
      <right/>
      <top style="thin">
        <color rgb="FFD60093"/>
      </top>
      <bottom/>
      <diagonal/>
    </border>
    <border>
      <left/>
      <right/>
      <top style="thin">
        <color rgb="FFD60093"/>
      </top>
      <bottom/>
      <diagonal/>
    </border>
    <border>
      <left/>
      <right style="thin">
        <color rgb="FFD60093"/>
      </right>
      <top style="thin">
        <color rgb="FFD60093"/>
      </top>
      <bottom/>
      <diagonal/>
    </border>
    <border>
      <left style="thin">
        <color rgb="FFD60093"/>
      </left>
      <right/>
      <top/>
      <bottom style="thin">
        <color rgb="FFD60093"/>
      </bottom>
      <diagonal/>
    </border>
    <border>
      <left/>
      <right/>
      <top/>
      <bottom style="thin">
        <color rgb="FFD60093"/>
      </bottom>
      <diagonal/>
    </border>
    <border>
      <left style="thin">
        <color rgb="FFD60093"/>
      </left>
      <right style="thin">
        <color rgb="FFD60093"/>
      </right>
      <top style="thin">
        <color rgb="FFD60093"/>
      </top>
      <bottom/>
      <diagonal/>
    </border>
  </borders>
  <cellStyleXfs count="6">
    <xf numFmtId="0" fontId="0" fillId="0" borderId="0"/>
    <xf numFmtId="0" fontId="2" fillId="0" borderId="0"/>
    <xf numFmtId="0" fontId="4" fillId="0" borderId="0"/>
    <xf numFmtId="0" fontId="5" fillId="0" borderId="0"/>
    <xf numFmtId="0" fontId="34" fillId="0" borderId="0" applyNumberFormat="0" applyFill="0" applyBorder="0" applyAlignment="0" applyProtection="0">
      <alignment vertical="top"/>
      <protection locked="0"/>
    </xf>
    <xf numFmtId="0" fontId="32" fillId="0" borderId="0"/>
  </cellStyleXfs>
  <cellXfs count="1778">
    <xf numFmtId="0" fontId="0" fillId="0" borderId="0" xfId="0"/>
    <xf numFmtId="0" fontId="0" fillId="8" borderId="0" xfId="0" applyFill="1" applyProtection="1">
      <protection hidden="1"/>
    </xf>
    <xf numFmtId="0" fontId="12" fillId="11" borderId="1" xfId="0" applyFont="1" applyFill="1" applyBorder="1" applyAlignment="1" applyProtection="1">
      <alignment vertical="center"/>
    </xf>
    <xf numFmtId="0" fontId="13" fillId="0" borderId="1" xfId="0" applyFont="1" applyBorder="1" applyAlignment="1" applyProtection="1">
      <alignment horizontal="left" vertical="center"/>
    </xf>
    <xf numFmtId="0" fontId="15" fillId="0" borderId="0" xfId="0" applyFont="1" applyFill="1" applyBorder="1" applyAlignment="1" applyProtection="1">
      <alignment horizontal="center" vertical="center" textRotation="90"/>
    </xf>
    <xf numFmtId="0" fontId="14" fillId="0" borderId="0" xfId="0" applyFont="1" applyFill="1" applyBorder="1" applyAlignment="1" applyProtection="1">
      <alignment vertical="center" wrapText="1"/>
    </xf>
    <xf numFmtId="0" fontId="19" fillId="0" borderId="0" xfId="0" applyFont="1" applyFill="1" applyBorder="1" applyAlignment="1" applyProtection="1">
      <alignment horizontal="center" vertical="center" textRotation="90"/>
    </xf>
    <xf numFmtId="0" fontId="16" fillId="0" borderId="0" xfId="0" applyFont="1" applyFill="1" applyBorder="1" applyAlignment="1" applyProtection="1">
      <alignment horizontal="center" vertical="center" wrapText="1"/>
    </xf>
    <xf numFmtId="1" fontId="23" fillId="0" borderId="0" xfId="0" applyNumberFormat="1" applyFont="1" applyFill="1" applyBorder="1" applyAlignment="1" applyProtection="1">
      <alignment horizontal="center" vertical="center"/>
    </xf>
    <xf numFmtId="1" fontId="9" fillId="0" borderId="0" xfId="0" applyNumberFormat="1" applyFont="1" applyFill="1" applyBorder="1" applyAlignment="1" applyProtection="1">
      <alignment horizontal="center" vertical="center" wrapText="1"/>
    </xf>
    <xf numFmtId="0" fontId="14" fillId="0" borderId="0" xfId="0" applyFont="1" applyBorder="1" applyAlignment="1" applyProtection="1">
      <alignment vertical="center"/>
    </xf>
    <xf numFmtId="0" fontId="14" fillId="0" borderId="0" xfId="0" applyFont="1" applyBorder="1" applyAlignment="1" applyProtection="1">
      <alignment horizontal="center" vertical="center"/>
    </xf>
    <xf numFmtId="0" fontId="24" fillId="0" borderId="0" xfId="0" applyFont="1" applyFill="1" applyBorder="1" applyAlignment="1" applyProtection="1">
      <alignment horizontal="center" vertical="center"/>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3" fillId="10" borderId="51"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11" xfId="0" applyFont="1" applyFill="1" applyBorder="1" applyAlignment="1" applyProtection="1">
      <alignment horizontal="center" vertical="center" wrapText="1"/>
      <protection locked="0"/>
    </xf>
    <xf numFmtId="0" fontId="9" fillId="3" borderId="10" xfId="0" applyFont="1" applyFill="1" applyBorder="1" applyAlignment="1" applyProtection="1">
      <alignment horizontal="center" vertical="center" wrapText="1"/>
      <protection locked="0"/>
    </xf>
    <xf numFmtId="0" fontId="26" fillId="3" borderId="10" xfId="0" applyFont="1" applyFill="1" applyBorder="1" applyAlignment="1" applyProtection="1">
      <alignment horizontal="center" vertical="center" wrapText="1"/>
      <protection locked="0"/>
    </xf>
    <xf numFmtId="0" fontId="5" fillId="0" borderId="0" xfId="0" applyFont="1" applyFill="1" applyBorder="1" applyAlignment="1" applyProtection="1">
      <alignment vertical="center"/>
    </xf>
    <xf numFmtId="0" fontId="139" fillId="0" borderId="0" xfId="0" applyNumberFormat="1" applyFont="1" applyFill="1" applyBorder="1" applyAlignment="1" applyProtection="1">
      <alignment horizontal="center" vertical="center" wrapText="1"/>
    </xf>
    <xf numFmtId="0" fontId="140" fillId="0" borderId="0" xfId="0" applyNumberFormat="1" applyFont="1" applyFill="1" applyBorder="1" applyAlignment="1" applyProtection="1">
      <alignment horizontal="center" vertical="center" wrapText="1"/>
    </xf>
    <xf numFmtId="0" fontId="141" fillId="0" borderId="0" xfId="0" applyFont="1" applyFill="1" applyBorder="1" applyAlignment="1" applyProtection="1">
      <alignment vertical="center"/>
    </xf>
    <xf numFmtId="0" fontId="143" fillId="0" borderId="0" xfId="0" applyFont="1" applyFill="1" applyBorder="1" applyAlignment="1" applyProtection="1">
      <alignment horizontal="left" vertical="center"/>
    </xf>
    <xf numFmtId="0" fontId="144" fillId="0" borderId="0" xfId="0" applyFont="1" applyFill="1" applyBorder="1" applyAlignment="1" applyProtection="1">
      <alignment horizontal="center" vertical="center" wrapText="1"/>
    </xf>
    <xf numFmtId="0" fontId="145" fillId="0" borderId="0" xfId="0" applyFont="1" applyFill="1" applyBorder="1" applyAlignment="1">
      <alignment horizontal="left" vertical="center" wrapText="1"/>
    </xf>
    <xf numFmtId="0" fontId="147" fillId="0" borderId="0" xfId="0" applyFont="1" applyFill="1" applyBorder="1" applyAlignment="1">
      <alignment horizontal="left"/>
    </xf>
    <xf numFmtId="0" fontId="149" fillId="0" borderId="0" xfId="0" applyFont="1" applyFill="1" applyBorder="1" applyAlignment="1">
      <alignment wrapText="1"/>
    </xf>
    <xf numFmtId="0" fontId="150" fillId="0" borderId="0" xfId="0" applyFont="1" applyFill="1" applyBorder="1" applyAlignment="1">
      <alignment horizontal="left" vertical="center" wrapText="1"/>
    </xf>
    <xf numFmtId="0" fontId="150"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5" fillId="0" borderId="0" xfId="0" applyFont="1" applyFill="1" applyBorder="1" applyAlignment="1">
      <alignment horizontal="center" vertical="center" wrapText="1"/>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xf>
    <xf numFmtId="0" fontId="147" fillId="0" borderId="0" xfId="0" applyFont="1" applyFill="1" applyBorder="1" applyAlignment="1">
      <alignment horizontal="left" vertical="center"/>
    </xf>
    <xf numFmtId="0" fontId="161" fillId="0" borderId="0" xfId="0" applyFont="1" applyFill="1" applyBorder="1" applyAlignment="1">
      <alignment horizontal="center" vertical="center" wrapText="1"/>
    </xf>
    <xf numFmtId="0" fontId="0" fillId="26" borderId="0" xfId="0" applyFill="1" applyProtection="1">
      <protection hidden="1"/>
    </xf>
    <xf numFmtId="0" fontId="94" fillId="26" borderId="0" xfId="0" applyFont="1" applyFill="1" applyAlignment="1" applyProtection="1">
      <alignment horizontal="center" vertical="center"/>
      <protection hidden="1"/>
    </xf>
    <xf numFmtId="0" fontId="10" fillId="26" borderId="0" xfId="0" applyFont="1" applyFill="1" applyAlignment="1" applyProtection="1">
      <alignment vertical="center" wrapText="1"/>
      <protection hidden="1"/>
    </xf>
    <xf numFmtId="0" fontId="11" fillId="26" borderId="0" xfId="0" applyFont="1" applyFill="1" applyBorder="1" applyAlignment="1" applyProtection="1">
      <alignment horizontal="center" vertical="center"/>
      <protection hidden="1"/>
    </xf>
    <xf numFmtId="0" fontId="11" fillId="26" borderId="0" xfId="0" applyFont="1" applyFill="1" applyBorder="1" applyAlignment="1" applyProtection="1">
      <alignment vertical="center"/>
      <protection hidden="1"/>
    </xf>
    <xf numFmtId="0" fontId="9" fillId="3" borderId="78" xfId="0" applyFont="1" applyFill="1" applyBorder="1" applyAlignment="1" applyProtection="1">
      <alignment horizontal="center" vertical="center" wrapText="1"/>
      <protection locked="0"/>
    </xf>
    <xf numFmtId="0" fontId="9" fillId="3" borderId="79" xfId="0" applyFont="1" applyFill="1" applyBorder="1" applyAlignment="1" applyProtection="1">
      <alignment horizontal="center" vertical="center" wrapText="1"/>
      <protection locked="0"/>
    </xf>
    <xf numFmtId="0" fontId="9" fillId="3" borderId="80" xfId="0" applyFont="1" applyFill="1" applyBorder="1" applyAlignment="1" applyProtection="1">
      <alignment horizontal="center" vertical="center" wrapText="1"/>
      <protection locked="0"/>
    </xf>
    <xf numFmtId="0" fontId="26" fillId="3" borderId="80" xfId="0" applyFont="1" applyFill="1" applyBorder="1" applyAlignment="1" applyProtection="1">
      <alignment horizontal="center" vertical="center" wrapText="1"/>
      <protection locked="0"/>
    </xf>
    <xf numFmtId="0" fontId="9" fillId="3" borderId="83" xfId="0" applyFont="1" applyFill="1" applyBorder="1" applyAlignment="1" applyProtection="1">
      <alignment horizontal="center" vertical="center" wrapText="1"/>
      <protection locked="0"/>
    </xf>
    <xf numFmtId="0" fontId="9" fillId="3" borderId="84" xfId="0" applyFont="1" applyFill="1" applyBorder="1" applyAlignment="1" applyProtection="1">
      <alignment horizontal="center" vertical="center" wrapText="1"/>
      <protection locked="0"/>
    </xf>
    <xf numFmtId="0" fontId="21" fillId="2" borderId="12" xfId="0" applyFont="1" applyFill="1" applyBorder="1" applyAlignment="1" applyProtection="1">
      <alignment horizontal="center" vertical="center" wrapText="1"/>
      <protection locked="0"/>
    </xf>
    <xf numFmtId="0" fontId="21" fillId="2" borderId="15" xfId="0" applyFont="1" applyFill="1" applyBorder="1" applyAlignment="1" applyProtection="1">
      <alignment horizontal="center" vertical="center" wrapText="1"/>
      <protection locked="0"/>
    </xf>
    <xf numFmtId="0" fontId="22" fillId="2" borderId="15" xfId="0" applyFont="1" applyFill="1" applyBorder="1" applyAlignment="1" applyProtection="1">
      <alignment horizontal="center" vertical="center" wrapText="1"/>
      <protection locked="0"/>
    </xf>
    <xf numFmtId="0" fontId="172" fillId="3" borderId="10" xfId="0" applyFont="1" applyFill="1" applyBorder="1" applyAlignment="1" applyProtection="1">
      <alignment horizontal="center" vertical="center" wrapText="1"/>
      <protection locked="0"/>
    </xf>
    <xf numFmtId="0" fontId="172" fillId="3" borderId="78" xfId="0" applyFont="1" applyFill="1" applyBorder="1" applyAlignment="1" applyProtection="1">
      <alignment horizontal="center" vertical="center" wrapText="1"/>
      <protection locked="0"/>
    </xf>
    <xf numFmtId="0" fontId="172" fillId="3" borderId="84" xfId="0" applyFont="1" applyFill="1" applyBorder="1" applyAlignment="1" applyProtection="1">
      <alignment horizontal="center" vertical="center" wrapText="1"/>
      <protection locked="0"/>
    </xf>
    <xf numFmtId="0" fontId="172" fillId="3" borderId="80" xfId="0" applyFont="1" applyFill="1" applyBorder="1" applyAlignment="1" applyProtection="1">
      <alignment horizontal="center" vertical="center" wrapText="1"/>
      <protection locked="0"/>
    </xf>
    <xf numFmtId="0" fontId="174" fillId="3" borderId="80" xfId="0" applyFont="1" applyFill="1" applyBorder="1" applyAlignment="1" applyProtection="1">
      <alignment horizontal="center" vertical="center" wrapText="1"/>
      <protection locked="0"/>
    </xf>
    <xf numFmtId="0" fontId="174" fillId="3" borderId="10" xfId="0" applyFont="1" applyFill="1" applyBorder="1" applyAlignment="1" applyProtection="1">
      <alignment horizontal="center" vertical="center" wrapText="1"/>
      <protection locked="0"/>
    </xf>
    <xf numFmtId="0" fontId="174" fillId="3" borderId="78" xfId="0" applyFont="1" applyFill="1" applyBorder="1" applyAlignment="1" applyProtection="1">
      <alignment horizontal="center" vertical="center" wrapText="1"/>
      <protection locked="0"/>
    </xf>
    <xf numFmtId="0" fontId="174" fillId="3" borderId="84" xfId="0" applyFont="1" applyFill="1" applyBorder="1" applyAlignment="1" applyProtection="1">
      <alignment horizontal="center" vertical="center" wrapText="1"/>
      <protection locked="0"/>
    </xf>
    <xf numFmtId="0" fontId="176" fillId="24" borderId="102" xfId="0" applyFont="1" applyFill="1" applyBorder="1" applyAlignment="1" applyProtection="1">
      <alignment horizontal="center" vertical="center" wrapText="1"/>
      <protection hidden="1"/>
    </xf>
    <xf numFmtId="0" fontId="127" fillId="0" borderId="102" xfId="0" applyFont="1" applyBorder="1" applyAlignment="1" applyProtection="1">
      <alignment horizontal="left" vertical="center"/>
      <protection locked="0"/>
    </xf>
    <xf numFmtId="0" fontId="9" fillId="0" borderId="102" xfId="0" applyFont="1" applyFill="1" applyBorder="1" applyAlignment="1" applyProtection="1">
      <alignment horizontal="center" vertical="center" wrapText="1"/>
      <protection locked="0"/>
    </xf>
    <xf numFmtId="0" fontId="63" fillId="0" borderId="102" xfId="0" applyFont="1" applyBorder="1" applyAlignment="1" applyProtection="1">
      <alignment horizontal="left" vertical="center"/>
      <protection locked="0"/>
    </xf>
    <xf numFmtId="0" fontId="63" fillId="0" borderId="102" xfId="0" applyFont="1" applyFill="1" applyBorder="1" applyAlignment="1" applyProtection="1">
      <alignment vertical="center" wrapText="1"/>
      <protection locked="0"/>
    </xf>
    <xf numFmtId="0" fontId="41" fillId="11" borderId="19" xfId="0" applyFont="1" applyFill="1" applyBorder="1" applyAlignment="1" applyProtection="1">
      <alignment horizontal="center" vertical="center"/>
      <protection hidden="1"/>
    </xf>
    <xf numFmtId="0" fontId="176" fillId="24" borderId="103" xfId="0" applyFont="1" applyFill="1" applyBorder="1" applyAlignment="1" applyProtection="1">
      <alignment horizontal="center" vertical="center" wrapText="1"/>
      <protection hidden="1"/>
    </xf>
    <xf numFmtId="0" fontId="127" fillId="0" borderId="102" xfId="0" applyFont="1" applyBorder="1" applyAlignment="1" applyProtection="1">
      <alignment vertical="center"/>
      <protection locked="0"/>
    </xf>
    <xf numFmtId="0" fontId="8" fillId="0" borderId="102" xfId="0" applyFont="1" applyFill="1" applyBorder="1" applyAlignment="1" applyProtection="1">
      <alignment horizontal="center" vertical="center" wrapText="1"/>
      <protection locked="0"/>
    </xf>
    <xf numFmtId="0" fontId="63" fillId="0" borderId="102" xfId="0" applyFont="1" applyBorder="1" applyAlignment="1" applyProtection="1">
      <alignment vertical="center"/>
      <protection locked="0"/>
    </xf>
    <xf numFmtId="0" fontId="132" fillId="0" borderId="0" xfId="0" applyFont="1" applyProtection="1">
      <protection hidden="1"/>
    </xf>
    <xf numFmtId="0" fontId="132" fillId="0" borderId="0" xfId="0" applyFont="1" applyBorder="1" applyProtection="1">
      <protection hidden="1"/>
    </xf>
    <xf numFmtId="0" fontId="0" fillId="0" borderId="0" xfId="0" applyFont="1" applyProtection="1">
      <protection hidden="1"/>
    </xf>
    <xf numFmtId="0" fontId="181" fillId="0" borderId="0" xfId="0" applyFont="1" applyProtection="1">
      <protection hidden="1"/>
    </xf>
    <xf numFmtId="0" fontId="0" fillId="0" borderId="0" xfId="0" applyBorder="1" applyProtection="1">
      <protection hidden="1"/>
    </xf>
    <xf numFmtId="0" fontId="41" fillId="11" borderId="20" xfId="0" applyFont="1" applyFill="1" applyBorder="1" applyAlignment="1" applyProtection="1">
      <alignment horizontal="center" vertical="center"/>
      <protection hidden="1"/>
    </xf>
    <xf numFmtId="0" fontId="0" fillId="14" borderId="0" xfId="0" applyFill="1" applyProtection="1">
      <protection hidden="1"/>
    </xf>
    <xf numFmtId="0" fontId="8" fillId="14" borderId="0" xfId="0" applyFont="1" applyFill="1" applyAlignment="1" applyProtection="1">
      <alignment horizontal="center" vertical="center"/>
      <protection hidden="1"/>
    </xf>
    <xf numFmtId="0" fontId="8" fillId="3" borderId="104" xfId="0" applyNumberFormat="1" applyFont="1" applyFill="1" applyBorder="1" applyAlignment="1" applyProtection="1">
      <alignment horizontal="center" vertical="center"/>
      <protection locked="0"/>
    </xf>
    <xf numFmtId="0" fontId="5" fillId="9" borderId="0" xfId="0" applyFont="1" applyFill="1" applyBorder="1" applyAlignment="1" applyProtection="1">
      <alignment vertical="center"/>
    </xf>
    <xf numFmtId="0" fontId="142" fillId="9" borderId="0" xfId="0" applyFont="1" applyFill="1" applyBorder="1" applyAlignment="1" applyProtection="1">
      <alignment vertical="center"/>
    </xf>
    <xf numFmtId="0" fontId="227" fillId="9" borderId="0" xfId="0" applyFont="1" applyFill="1" applyBorder="1" applyAlignment="1" applyProtection="1">
      <alignment horizontal="center" vertical="center"/>
    </xf>
    <xf numFmtId="0" fontId="148" fillId="9" borderId="0" xfId="0" applyFont="1" applyFill="1" applyBorder="1"/>
    <xf numFmtId="0" fontId="228" fillId="26" borderId="0" xfId="0" applyFont="1" applyFill="1" applyBorder="1" applyAlignment="1" applyProtection="1">
      <alignment horizontal="right" vertical="center"/>
      <protection hidden="1"/>
    </xf>
    <xf numFmtId="0" fontId="172" fillId="26" borderId="0" xfId="0" applyFont="1" applyFill="1" applyAlignment="1" applyProtection="1">
      <alignment horizontal="center" vertical="center"/>
      <protection hidden="1"/>
    </xf>
    <xf numFmtId="0" fontId="38" fillId="20" borderId="89" xfId="0" applyFont="1" applyFill="1" applyBorder="1" applyAlignment="1" applyProtection="1">
      <alignment horizontal="center" vertical="center" textRotation="90" wrapText="1"/>
    </xf>
    <xf numFmtId="0" fontId="63" fillId="20" borderId="12" xfId="0" applyFont="1" applyFill="1" applyBorder="1" applyAlignment="1" applyProtection="1">
      <alignment horizontal="center" vertical="center" textRotation="90" wrapText="1"/>
    </xf>
    <xf numFmtId="0" fontId="38" fillId="12" borderId="89" xfId="0" applyFont="1" applyFill="1" applyBorder="1" applyAlignment="1" applyProtection="1">
      <alignment horizontal="center" vertical="center" textRotation="90" wrapText="1"/>
    </xf>
    <xf numFmtId="0" fontId="63" fillId="12" borderId="12" xfId="0" applyFont="1" applyFill="1" applyBorder="1" applyAlignment="1" applyProtection="1">
      <alignment horizontal="center" vertical="center" textRotation="90" wrapText="1"/>
    </xf>
    <xf numFmtId="0" fontId="38" fillId="17" borderId="89" xfId="0" applyFont="1" applyFill="1" applyBorder="1" applyAlignment="1" applyProtection="1">
      <alignment horizontal="center" vertical="center" textRotation="90" wrapText="1"/>
    </xf>
    <xf numFmtId="0" fontId="63" fillId="17" borderId="12" xfId="0" applyFont="1" applyFill="1" applyBorder="1" applyAlignment="1" applyProtection="1">
      <alignment horizontal="center" vertical="center" textRotation="90" wrapText="1"/>
    </xf>
    <xf numFmtId="1" fontId="127" fillId="0" borderId="172" xfId="0" applyNumberFormat="1" applyFont="1" applyFill="1" applyBorder="1" applyAlignment="1" applyProtection="1">
      <alignment horizontal="center" vertical="center" wrapText="1"/>
      <protection hidden="1"/>
    </xf>
    <xf numFmtId="1" fontId="63" fillId="0" borderId="172"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0" fontId="233" fillId="3" borderId="6" xfId="0" applyFont="1" applyFill="1" applyBorder="1" applyAlignment="1" applyProtection="1">
      <alignment horizontal="center" vertical="center"/>
      <protection locked="0"/>
    </xf>
    <xf numFmtId="1" fontId="30" fillId="0" borderId="1" xfId="0" applyNumberFormat="1" applyFont="1" applyBorder="1" applyAlignment="1" applyProtection="1">
      <alignment horizontal="center" vertical="center" wrapText="1"/>
      <protection locked="0"/>
    </xf>
    <xf numFmtId="1" fontId="172"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33" fillId="3" borderId="179" xfId="0" applyFont="1" applyFill="1" applyBorder="1" applyAlignment="1" applyProtection="1">
      <alignment horizontal="center" vertical="center"/>
      <protection locked="0"/>
    </xf>
    <xf numFmtId="0" fontId="217" fillId="0" borderId="0" xfId="0" applyFont="1" applyProtection="1">
      <protection hidden="1"/>
    </xf>
    <xf numFmtId="0" fontId="278" fillId="0" borderId="0" xfId="0" applyFont="1" applyProtection="1">
      <protection hidden="1"/>
    </xf>
    <xf numFmtId="0" fontId="9" fillId="3" borderId="184" xfId="0" applyFont="1" applyFill="1" applyBorder="1" applyAlignment="1" applyProtection="1">
      <alignment horizontal="center" vertical="center" wrapText="1"/>
      <protection locked="0"/>
    </xf>
    <xf numFmtId="0" fontId="173" fillId="3" borderId="81" xfId="0" applyFont="1" applyFill="1" applyBorder="1" applyAlignment="1" applyProtection="1">
      <alignment horizontal="center" vertical="center" wrapText="1"/>
      <protection locked="0"/>
    </xf>
    <xf numFmtId="0" fontId="9" fillId="3" borderId="185" xfId="0" applyFont="1" applyFill="1" applyBorder="1" applyAlignment="1" applyProtection="1">
      <alignment horizontal="center" vertical="center" wrapText="1"/>
      <protection locked="0"/>
    </xf>
    <xf numFmtId="0" fontId="173" fillId="3" borderId="82" xfId="0" applyFont="1" applyFill="1" applyBorder="1" applyAlignment="1" applyProtection="1">
      <alignment horizontal="center" vertical="center" wrapText="1"/>
      <protection locked="0"/>
    </xf>
    <xf numFmtId="0" fontId="9" fillId="3" borderId="186" xfId="0" applyFont="1" applyFill="1" applyBorder="1" applyAlignment="1" applyProtection="1">
      <alignment horizontal="center" vertical="center" wrapText="1"/>
      <protection locked="0"/>
    </xf>
    <xf numFmtId="0" fontId="26" fillId="3" borderId="84" xfId="0" applyFont="1" applyFill="1" applyBorder="1" applyAlignment="1" applyProtection="1">
      <alignment horizontal="center" vertical="center" wrapText="1"/>
      <protection locked="0"/>
    </xf>
    <xf numFmtId="0" fontId="173" fillId="3" borderId="85" xfId="0" applyFont="1" applyFill="1" applyBorder="1" applyAlignment="1" applyProtection="1">
      <alignment horizontal="center" vertical="center" wrapText="1"/>
      <protection locked="0"/>
    </xf>
    <xf numFmtId="0" fontId="174" fillId="3" borderId="187" xfId="0" applyFont="1" applyFill="1" applyBorder="1" applyAlignment="1" applyProtection="1">
      <alignment horizontal="center" vertical="center" wrapText="1"/>
      <protection locked="0"/>
    </xf>
    <xf numFmtId="0" fontId="174" fillId="3" borderId="188" xfId="0" applyFont="1" applyFill="1" applyBorder="1" applyAlignment="1" applyProtection="1">
      <alignment horizontal="center" vertical="center" wrapText="1"/>
      <protection locked="0"/>
    </xf>
    <xf numFmtId="0" fontId="174" fillId="3" borderId="189" xfId="0" applyFont="1" applyFill="1" applyBorder="1" applyAlignment="1" applyProtection="1">
      <alignment horizontal="center" vertical="center" wrapText="1"/>
      <protection locked="0"/>
    </xf>
    <xf numFmtId="0" fontId="174" fillId="3" borderId="190" xfId="0" applyFont="1" applyFill="1" applyBorder="1" applyAlignment="1" applyProtection="1">
      <alignment horizontal="center" vertical="center" wrapText="1"/>
      <protection locked="0"/>
    </xf>
    <xf numFmtId="0" fontId="49" fillId="22" borderId="116" xfId="0" applyFont="1" applyFill="1" applyBorder="1" applyAlignment="1" applyProtection="1">
      <alignment horizontal="center" vertical="center" wrapText="1"/>
      <protection hidden="1"/>
    </xf>
    <xf numFmtId="0" fontId="0" fillId="12" borderId="0" xfId="0" applyFill="1" applyAlignment="1" applyProtection="1">
      <alignment wrapText="1"/>
      <protection hidden="1"/>
    </xf>
    <xf numFmtId="0" fontId="204" fillId="12" borderId="2" xfId="0" applyFont="1" applyFill="1" applyBorder="1" applyAlignment="1" applyProtection="1">
      <alignment vertical="center"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30" fillId="28"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31" fillId="10" borderId="1" xfId="0" applyFont="1" applyFill="1" applyBorder="1" applyAlignment="1" applyProtection="1">
      <alignment horizontal="center" vertical="center" wrapText="1"/>
      <protection hidden="1"/>
    </xf>
    <xf numFmtId="0" fontId="106" fillId="9" borderId="1" xfId="0" applyFont="1" applyFill="1" applyBorder="1" applyAlignment="1" applyProtection="1">
      <alignment horizontal="center" vertical="center" wrapText="1"/>
      <protection hidden="1"/>
    </xf>
    <xf numFmtId="0" fontId="232"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28" fillId="12" borderId="180" xfId="0" applyFont="1" applyFill="1" applyBorder="1" applyAlignment="1" applyProtection="1">
      <alignment horizontal="center" vertical="center" wrapText="1"/>
      <protection hidden="1"/>
    </xf>
    <xf numFmtId="0" fontId="276" fillId="12" borderId="180" xfId="0" applyFont="1" applyFill="1" applyBorder="1" applyAlignment="1" applyProtection="1">
      <alignment horizontal="left" vertical="center" wrapText="1"/>
      <protection hidden="1"/>
    </xf>
    <xf numFmtId="0" fontId="38" fillId="13" borderId="89" xfId="0" applyFont="1" applyFill="1" applyBorder="1" applyAlignment="1" applyProtection="1">
      <alignment horizontal="center" vertical="center" textRotation="90" wrapText="1"/>
      <protection hidden="1"/>
    </xf>
    <xf numFmtId="0" fontId="38" fillId="24" borderId="89" xfId="0" applyFont="1" applyFill="1" applyBorder="1" applyAlignment="1" applyProtection="1">
      <alignment horizontal="center" vertical="center" textRotation="90" wrapText="1"/>
      <protection hidden="1"/>
    </xf>
    <xf numFmtId="0" fontId="5" fillId="0" borderId="0" xfId="0" applyFont="1" applyBorder="1" applyAlignment="1" applyProtection="1">
      <alignment horizontal="center" wrapText="1"/>
      <protection hidden="1"/>
    </xf>
    <xf numFmtId="0" fontId="87"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8"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9" fillId="0" borderId="0" xfId="0" applyFont="1" applyBorder="1" applyAlignment="1" applyProtection="1">
      <alignment horizontal="center" wrapText="1"/>
      <protection hidden="1"/>
    </xf>
    <xf numFmtId="0" fontId="87"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9" fillId="0" borderId="0" xfId="0" applyFont="1" applyFill="1" applyBorder="1" applyAlignment="1" applyProtection="1">
      <alignment horizontal="center" wrapText="1"/>
      <protection hidden="1"/>
    </xf>
    <xf numFmtId="0" fontId="35" fillId="0" borderId="0" xfId="0" applyFont="1" applyBorder="1" applyAlignment="1" applyProtection="1">
      <alignment horizontal="center" wrapText="1"/>
      <protection hidden="1"/>
    </xf>
    <xf numFmtId="0" fontId="235" fillId="0" borderId="116" xfId="0" applyFont="1" applyFill="1" applyBorder="1" applyAlignment="1" applyProtection="1">
      <alignment vertical="center" wrapText="1"/>
      <protection hidden="1"/>
    </xf>
    <xf numFmtId="0" fontId="14" fillId="0" borderId="116" xfId="0" applyFont="1" applyFill="1" applyBorder="1" applyAlignment="1" applyProtection="1">
      <alignment wrapText="1"/>
      <protection hidden="1"/>
    </xf>
    <xf numFmtId="0" fontId="35" fillId="0" borderId="0" xfId="0" applyFont="1" applyFill="1" applyBorder="1" applyAlignment="1" applyProtection="1">
      <alignment horizontal="center" wrapText="1"/>
      <protection hidden="1"/>
    </xf>
    <xf numFmtId="0" fontId="38" fillId="0" borderId="116" xfId="0" applyFont="1" applyFill="1" applyBorder="1" applyAlignment="1" applyProtection="1">
      <alignment vertical="center" wrapText="1"/>
      <protection hidden="1"/>
    </xf>
    <xf numFmtId="0" fontId="35" fillId="0" borderId="116" xfId="0" applyFont="1" applyFill="1" applyBorder="1" applyAlignment="1" applyProtection="1">
      <alignment horizontal="center" vertical="center" wrapText="1"/>
      <protection hidden="1"/>
    </xf>
    <xf numFmtId="0" fontId="39" fillId="27" borderId="116" xfId="0" applyFont="1" applyFill="1" applyBorder="1" applyAlignment="1" applyProtection="1">
      <alignment horizontal="center" vertical="center" wrapText="1"/>
      <protection hidden="1"/>
    </xf>
    <xf numFmtId="0" fontId="39" fillId="22" borderId="116" xfId="0" applyFont="1" applyFill="1" applyBorder="1" applyAlignment="1" applyProtection="1">
      <alignment horizontal="center" vertical="center" textRotation="90" wrapText="1"/>
      <protection hidden="1"/>
    </xf>
    <xf numFmtId="0" fontId="40" fillId="0" borderId="0" xfId="0" applyFont="1" applyFill="1" applyBorder="1" applyAlignment="1" applyProtection="1">
      <alignment horizontal="center" wrapText="1"/>
      <protection hidden="1"/>
    </xf>
    <xf numFmtId="0" fontId="33" fillId="0" borderId="116" xfId="0" applyFont="1" applyFill="1" applyBorder="1" applyAlignment="1" applyProtection="1">
      <alignment vertical="center" wrapText="1"/>
      <protection hidden="1"/>
    </xf>
    <xf numFmtId="0" fontId="45" fillId="0" borderId="116" xfId="0" applyFont="1" applyFill="1" applyBorder="1" applyAlignment="1" applyProtection="1">
      <alignment vertical="center" wrapText="1"/>
      <protection hidden="1"/>
    </xf>
    <xf numFmtId="0" fontId="61" fillId="0" borderId="51" xfId="0" applyFont="1" applyFill="1" applyBorder="1" applyAlignment="1" applyProtection="1">
      <alignment horizontal="center" vertical="center" wrapText="1"/>
      <protection hidden="1"/>
    </xf>
    <xf numFmtId="0" fontId="236" fillId="0" borderId="116" xfId="0" applyFont="1" applyFill="1" applyBorder="1" applyAlignment="1" applyProtection="1">
      <alignment horizontal="center" vertical="center" textRotation="90" wrapText="1"/>
      <protection hidden="1"/>
    </xf>
    <xf numFmtId="0" fontId="38" fillId="0" borderId="116" xfId="0" applyFont="1" applyFill="1" applyBorder="1" applyAlignment="1" applyProtection="1">
      <alignment horizontal="center" vertical="center" textRotation="90" wrapText="1"/>
      <protection hidden="1"/>
    </xf>
    <xf numFmtId="0" fontId="248" fillId="22" borderId="116" xfId="0" applyFont="1" applyFill="1" applyBorder="1" applyAlignment="1" applyProtection="1">
      <alignment horizontal="center" vertical="center" wrapText="1"/>
      <protection hidden="1"/>
    </xf>
    <xf numFmtId="0" fontId="251" fillId="22" borderId="116" xfId="0" applyFont="1" applyFill="1" applyBorder="1" applyAlignment="1" applyProtection="1">
      <alignment horizontal="center" vertical="center" wrapText="1"/>
      <protection hidden="1"/>
    </xf>
    <xf numFmtId="0" fontId="248" fillId="0"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252" fillId="0" borderId="116" xfId="0" applyFont="1" applyFill="1" applyBorder="1" applyAlignment="1" applyProtection="1">
      <alignment horizontal="center" vertical="center" wrapText="1"/>
      <protection hidden="1"/>
    </xf>
    <xf numFmtId="0" fontId="46" fillId="22" borderId="116" xfId="0" applyFont="1" applyFill="1" applyBorder="1" applyAlignment="1" applyProtection="1">
      <alignment horizontal="center" vertical="center" wrapText="1"/>
      <protection hidden="1"/>
    </xf>
    <xf numFmtId="0" fontId="48" fillId="22" borderId="116" xfId="0" applyFont="1" applyFill="1" applyBorder="1" applyAlignment="1" applyProtection="1">
      <alignment horizontal="center" vertical="center" wrapText="1"/>
      <protection hidden="1"/>
    </xf>
    <xf numFmtId="0" fontId="175" fillId="27" borderId="116" xfId="0" applyFont="1" applyFill="1" applyBorder="1" applyAlignment="1" applyProtection="1">
      <alignment horizontal="center" vertical="center" wrapText="1"/>
      <protection hidden="1"/>
    </xf>
    <xf numFmtId="0" fontId="175" fillId="27" borderId="116" xfId="0" applyFont="1" applyFill="1" applyBorder="1" applyAlignment="1" applyProtection="1">
      <alignment horizontal="center" vertical="center" textRotation="90" wrapText="1"/>
      <protection hidden="1"/>
    </xf>
    <xf numFmtId="0" fontId="46" fillId="24" borderId="116" xfId="0" applyFont="1" applyFill="1" applyBorder="1" applyAlignment="1" applyProtection="1">
      <alignment horizontal="center" vertical="center" wrapText="1"/>
      <protection hidden="1"/>
    </xf>
    <xf numFmtId="0" fontId="124" fillId="24" borderId="116" xfId="0" applyFont="1" applyFill="1" applyBorder="1" applyAlignment="1" applyProtection="1">
      <alignment horizontal="center" vertical="center" wrapText="1"/>
      <protection hidden="1"/>
    </xf>
    <xf numFmtId="1" fontId="51" fillId="0" borderId="116" xfId="0" applyNumberFormat="1" applyFont="1" applyFill="1" applyBorder="1" applyAlignment="1" applyProtection="1">
      <alignment horizontal="center" vertical="center" wrapText="1"/>
      <protection hidden="1"/>
    </xf>
    <xf numFmtId="0" fontId="53" fillId="0" borderId="0" xfId="0" applyFont="1" applyFill="1" applyBorder="1" applyAlignment="1" applyProtection="1">
      <alignment horizontal="center" wrapText="1"/>
      <protection hidden="1"/>
    </xf>
    <xf numFmtId="0" fontId="93" fillId="0" borderId="51" xfId="0" applyFont="1" applyBorder="1" applyAlignment="1" applyProtection="1">
      <alignment vertical="center" wrapText="1"/>
      <protection hidden="1"/>
    </xf>
    <xf numFmtId="0" fontId="93" fillId="0" borderId="51" xfId="0" applyFont="1" applyBorder="1" applyAlignment="1" applyProtection="1">
      <alignment horizontal="center" vertical="center" wrapText="1"/>
      <protection hidden="1"/>
    </xf>
    <xf numFmtId="2" fontId="8" fillId="0" borderId="51" xfId="0" applyNumberFormat="1" applyFont="1" applyBorder="1" applyAlignment="1" applyProtection="1">
      <alignment horizontal="center" vertical="center" wrapText="1"/>
      <protection hidden="1"/>
    </xf>
    <xf numFmtId="0" fontId="17" fillId="0" borderId="51" xfId="0" applyFont="1" applyFill="1" applyBorder="1" applyAlignment="1" applyProtection="1">
      <alignment vertical="center" wrapText="1"/>
      <protection hidden="1"/>
    </xf>
    <xf numFmtId="0" fontId="63" fillId="0" borderId="51" xfId="0" applyFont="1" applyFill="1" applyBorder="1" applyAlignment="1" applyProtection="1">
      <alignment vertical="center" wrapText="1"/>
      <protection hidden="1"/>
    </xf>
    <xf numFmtId="2" fontId="127" fillId="0" borderId="51" xfId="0" applyNumberFormat="1" applyFont="1" applyBorder="1" applyAlignment="1" applyProtection="1">
      <alignment horizontal="center" vertical="center" wrapText="1"/>
      <protection hidden="1"/>
    </xf>
    <xf numFmtId="0" fontId="61" fillId="0" borderId="51" xfId="0" applyFont="1" applyFill="1" applyBorder="1" applyAlignment="1" applyProtection="1">
      <alignment vertical="center" wrapText="1"/>
      <protection hidden="1"/>
    </xf>
    <xf numFmtId="0" fontId="114" fillId="0" borderId="51" xfId="0" applyFont="1" applyFill="1" applyBorder="1" applyAlignment="1" applyProtection="1">
      <alignment vertical="center" wrapText="1"/>
      <protection hidden="1"/>
    </xf>
    <xf numFmtId="0" fontId="114" fillId="0" borderId="51" xfId="0" applyFont="1" applyFill="1" applyBorder="1" applyAlignment="1" applyProtection="1">
      <alignment horizontal="center" vertical="center" wrapText="1"/>
      <protection hidden="1"/>
    </xf>
    <xf numFmtId="0" fontId="46" fillId="27" borderId="116" xfId="0" applyFont="1" applyFill="1" applyBorder="1" applyAlignment="1" applyProtection="1">
      <alignment horizontal="center" vertical="center" wrapText="1"/>
      <protection hidden="1"/>
    </xf>
    <xf numFmtId="0" fontId="46" fillId="27" borderId="116" xfId="0" applyFont="1" applyFill="1" applyBorder="1" applyAlignment="1" applyProtection="1">
      <alignment horizontal="center" vertical="center" textRotation="90" wrapText="1"/>
      <protection hidden="1"/>
    </xf>
    <xf numFmtId="0" fontId="49" fillId="0" borderId="120" xfId="0" applyFont="1" applyFill="1" applyBorder="1" applyAlignment="1" applyProtection="1">
      <alignment horizontal="center" vertical="center" textRotation="90" wrapText="1"/>
      <protection hidden="1"/>
    </xf>
    <xf numFmtId="0" fontId="49" fillId="0" borderId="116" xfId="0" applyFont="1" applyFill="1" applyBorder="1" applyAlignment="1" applyProtection="1">
      <alignment horizontal="center" vertical="center" textRotation="90" wrapText="1"/>
      <protection hidden="1"/>
    </xf>
    <xf numFmtId="0" fontId="50" fillId="0" borderId="116" xfId="0" applyFont="1" applyFill="1" applyBorder="1" applyAlignment="1" applyProtection="1">
      <alignment horizontal="center" vertical="center" textRotation="90" wrapText="1"/>
      <protection hidden="1"/>
    </xf>
    <xf numFmtId="0" fontId="12" fillId="0" borderId="116" xfId="0" applyFont="1" applyFill="1" applyBorder="1" applyAlignment="1" applyProtection="1">
      <alignment horizontal="center" vertical="center" wrapText="1"/>
      <protection hidden="1"/>
    </xf>
    <xf numFmtId="0" fontId="39" fillId="0" borderId="116" xfId="0" applyFont="1" applyFill="1" applyBorder="1" applyAlignment="1" applyProtection="1">
      <alignment horizontal="center" vertical="center" wrapText="1"/>
      <protection hidden="1"/>
    </xf>
    <xf numFmtId="0" fontId="52" fillId="0" borderId="116" xfId="0" applyFont="1" applyFill="1" applyBorder="1" applyAlignment="1" applyProtection="1">
      <alignment horizontal="center" vertical="center" wrapText="1"/>
      <protection hidden="1"/>
    </xf>
    <xf numFmtId="0" fontId="39" fillId="0" borderId="116" xfId="0" applyFont="1" applyFill="1" applyBorder="1" applyAlignment="1" applyProtection="1">
      <alignment horizontal="center" vertical="center" textRotation="90" wrapText="1"/>
      <protection hidden="1"/>
    </xf>
    <xf numFmtId="0" fontId="54" fillId="7" borderId="116" xfId="0" applyFont="1" applyFill="1" applyBorder="1" applyAlignment="1" applyProtection="1">
      <alignment horizontal="center" vertical="center" wrapText="1"/>
      <protection hidden="1"/>
    </xf>
    <xf numFmtId="0" fontId="55" fillId="0" borderId="116" xfId="0" applyFont="1" applyFill="1" applyBorder="1" applyAlignment="1" applyProtection="1">
      <alignment horizontal="center" vertical="center" wrapText="1"/>
      <protection hidden="1"/>
    </xf>
    <xf numFmtId="0" fontId="254" fillId="0" borderId="116" xfId="0" applyFont="1" applyFill="1" applyBorder="1" applyAlignment="1" applyProtection="1">
      <alignment horizontal="center" vertical="center" wrapText="1"/>
      <protection hidden="1"/>
    </xf>
    <xf numFmtId="166" fontId="55" fillId="0" borderId="116" xfId="0" applyNumberFormat="1" applyFont="1" applyFill="1" applyBorder="1" applyAlignment="1" applyProtection="1">
      <alignment horizontal="center" vertical="center" wrapText="1"/>
      <protection hidden="1"/>
    </xf>
    <xf numFmtId="0" fontId="124" fillId="0" borderId="116" xfId="0" applyFont="1" applyFill="1" applyBorder="1" applyAlignment="1" applyProtection="1">
      <alignment horizontal="left" vertical="center" wrapText="1"/>
      <protection hidden="1"/>
    </xf>
    <xf numFmtId="0" fontId="46" fillId="0" borderId="116" xfId="0" applyFont="1" applyFill="1" applyBorder="1" applyAlignment="1" applyProtection="1">
      <alignment horizontal="center" vertical="center" wrapText="1"/>
      <protection hidden="1"/>
    </xf>
    <xf numFmtId="0" fontId="49" fillId="0" borderId="116" xfId="0" applyFont="1" applyFill="1" applyBorder="1" applyAlignment="1" applyProtection="1">
      <alignment horizontal="center" vertical="center" wrapText="1"/>
      <protection hidden="1"/>
    </xf>
    <xf numFmtId="0" fontId="250" fillId="0" borderId="116" xfId="0" applyFont="1" applyFill="1" applyBorder="1" applyAlignment="1" applyProtection="1">
      <alignment horizontal="center" vertical="center" wrapText="1"/>
      <protection hidden="1"/>
    </xf>
    <xf numFmtId="0" fontId="253" fillId="0" borderId="116" xfId="0" applyFont="1" applyFill="1" applyBorder="1" applyAlignment="1" applyProtection="1">
      <alignment horizontal="center" vertical="center" wrapText="1"/>
      <protection hidden="1"/>
    </xf>
    <xf numFmtId="0" fontId="245" fillId="22" borderId="116" xfId="0" applyFont="1" applyFill="1" applyBorder="1" applyAlignment="1" applyProtection="1">
      <alignment horizontal="center" vertical="center" wrapText="1"/>
      <protection hidden="1"/>
    </xf>
    <xf numFmtId="0" fontId="49" fillId="27" borderId="116" xfId="0" applyFont="1" applyFill="1" applyBorder="1" applyAlignment="1" applyProtection="1">
      <alignment horizontal="center" vertical="center" wrapText="1"/>
      <protection hidden="1"/>
    </xf>
    <xf numFmtId="0" fontId="49" fillId="24" borderId="116" xfId="0" applyFont="1" applyFill="1" applyBorder="1" applyAlignment="1" applyProtection="1">
      <alignment horizontal="center" vertical="center" wrapText="1"/>
      <protection hidden="1"/>
    </xf>
    <xf numFmtId="0" fontId="38" fillId="22" borderId="116" xfId="0" applyFont="1" applyFill="1" applyBorder="1" applyAlignment="1" applyProtection="1">
      <alignment horizontal="center" vertical="center" wrapText="1"/>
      <protection hidden="1"/>
    </xf>
    <xf numFmtId="1" fontId="248" fillId="0" borderId="116" xfId="0" applyNumberFormat="1" applyFont="1" applyFill="1" applyBorder="1" applyAlignment="1" applyProtection="1">
      <alignment horizontal="center" vertical="center" wrapText="1"/>
      <protection hidden="1"/>
    </xf>
    <xf numFmtId="1" fontId="50" fillId="0" borderId="116" xfId="0" applyNumberFormat="1" applyFont="1" applyFill="1" applyBorder="1" applyAlignment="1" applyProtection="1">
      <alignment horizontal="center" vertical="center" wrapText="1"/>
      <protection hidden="1"/>
    </xf>
    <xf numFmtId="1" fontId="246" fillId="0" borderId="116" xfId="0" applyNumberFormat="1" applyFont="1" applyFill="1" applyBorder="1" applyAlignment="1" applyProtection="1">
      <alignment horizontal="center" vertical="center" wrapText="1"/>
      <protection hidden="1"/>
    </xf>
    <xf numFmtId="1" fontId="50" fillId="0" borderId="118" xfId="0" applyNumberFormat="1" applyFont="1" applyFill="1" applyBorder="1" applyAlignment="1" applyProtection="1">
      <alignment horizontal="center" vertical="center" wrapText="1"/>
      <protection hidden="1"/>
    </xf>
    <xf numFmtId="1" fontId="247" fillId="0" borderId="118" xfId="0" applyNumberFormat="1" applyFont="1" applyFill="1" applyBorder="1" applyAlignment="1" applyProtection="1">
      <alignment horizontal="center" vertical="center" wrapText="1"/>
      <protection hidden="1"/>
    </xf>
    <xf numFmtId="165" fontId="49" fillId="0" borderId="118" xfId="0" applyNumberFormat="1" applyFont="1" applyFill="1" applyBorder="1" applyAlignment="1" applyProtection="1">
      <alignment horizontal="center" vertical="center" wrapText="1"/>
      <protection hidden="1"/>
    </xf>
    <xf numFmtId="0" fontId="56" fillId="0" borderId="116" xfId="5" applyFont="1" applyBorder="1" applyAlignment="1" applyProtection="1">
      <alignment horizontal="center"/>
      <protection hidden="1"/>
    </xf>
    <xf numFmtId="0" fontId="57" fillId="0" borderId="116" xfId="0" applyFont="1" applyFill="1" applyBorder="1" applyAlignment="1" applyProtection="1">
      <alignment horizontal="center" vertical="center" wrapText="1"/>
      <protection hidden="1"/>
    </xf>
    <xf numFmtId="0" fontId="58" fillId="0" borderId="116" xfId="0" applyFont="1" applyFill="1" applyBorder="1" applyAlignment="1" applyProtection="1">
      <alignment horizontal="center" vertical="center" wrapText="1"/>
      <protection hidden="1"/>
    </xf>
    <xf numFmtId="0" fontId="56" fillId="0" borderId="116" xfId="5" applyFont="1" applyFill="1" applyBorder="1" applyAlignment="1" applyProtection="1">
      <alignment horizontal="center"/>
      <protection hidden="1"/>
    </xf>
    <xf numFmtId="0" fontId="123" fillId="0" borderId="116" xfId="0" applyFont="1" applyFill="1" applyBorder="1" applyAlignment="1" applyProtection="1">
      <alignment horizontal="center" vertical="center" wrapText="1"/>
      <protection hidden="1"/>
    </xf>
    <xf numFmtId="0" fontId="38" fillId="0" borderId="116" xfId="0" applyFont="1" applyFill="1" applyBorder="1" applyAlignment="1" applyProtection="1">
      <alignment horizontal="center" vertical="center" wrapText="1"/>
      <protection hidden="1"/>
    </xf>
    <xf numFmtId="2" fontId="51" fillId="0" borderId="116" xfId="0" applyNumberFormat="1" applyFont="1" applyFill="1" applyBorder="1" applyAlignment="1" applyProtection="1">
      <alignment horizontal="center" vertical="center" wrapText="1"/>
      <protection hidden="1"/>
    </xf>
    <xf numFmtId="2" fontId="59" fillId="0" borderId="116" xfId="0" applyNumberFormat="1"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wrapText="1"/>
      <protection hidden="1"/>
    </xf>
    <xf numFmtId="0" fontId="53" fillId="0" borderId="51" xfId="0" applyFont="1" applyFill="1" applyBorder="1" applyAlignment="1" applyProtection="1">
      <alignment horizontal="center" wrapText="1"/>
      <protection hidden="1"/>
    </xf>
    <xf numFmtId="0" fontId="60" fillId="0" borderId="51" xfId="0" applyFont="1" applyFill="1" applyBorder="1" applyAlignment="1" applyProtection="1">
      <alignment horizontal="center" wrapText="1"/>
      <protection hidden="1"/>
    </xf>
    <xf numFmtId="0" fontId="60" fillId="0" borderId="0" xfId="0" applyFont="1" applyFill="1" applyBorder="1" applyAlignment="1" applyProtection="1">
      <alignment horizontal="left" wrapText="1"/>
      <protection hidden="1"/>
    </xf>
    <xf numFmtId="0" fontId="102" fillId="18" borderId="120" xfId="0" applyFont="1" applyFill="1" applyBorder="1" applyAlignment="1" applyProtection="1">
      <alignment vertical="center" wrapText="1"/>
      <protection hidden="1"/>
    </xf>
    <xf numFmtId="0" fontId="102" fillId="18" borderId="116" xfId="0" applyFont="1" applyFill="1" applyBorder="1" applyAlignment="1" applyProtection="1">
      <alignment vertical="center" wrapText="1"/>
      <protection hidden="1"/>
    </xf>
    <xf numFmtId="0" fontId="38" fillId="18" borderId="116" xfId="0" applyFont="1" applyFill="1" applyBorder="1" applyAlignment="1" applyProtection="1">
      <alignment horizontal="center" vertical="center" wrapText="1"/>
      <protection hidden="1"/>
    </xf>
    <xf numFmtId="0" fontId="36" fillId="0" borderId="116" xfId="0" applyFont="1" applyFill="1" applyBorder="1" applyAlignment="1" applyProtection="1">
      <alignment vertical="center" wrapText="1"/>
      <protection hidden="1"/>
    </xf>
    <xf numFmtId="0" fontId="39" fillId="0" borderId="116" xfId="0" applyFont="1" applyFill="1" applyBorder="1" applyAlignment="1" applyProtection="1">
      <alignment vertical="center" wrapText="1"/>
      <protection hidden="1"/>
    </xf>
    <xf numFmtId="0" fontId="72" fillId="0" borderId="122" xfId="0" applyFont="1" applyBorder="1" applyAlignment="1" applyProtection="1">
      <alignment wrapText="1"/>
      <protection hidden="1"/>
    </xf>
    <xf numFmtId="0" fontId="72" fillId="0" borderId="123" xfId="0" applyFont="1" applyBorder="1" applyAlignment="1" applyProtection="1">
      <alignment wrapText="1"/>
      <protection hidden="1"/>
    </xf>
    <xf numFmtId="171" fontId="262" fillId="0" borderId="116" xfId="0" applyNumberFormat="1" applyFont="1" applyFill="1" applyBorder="1" applyAlignment="1" applyProtection="1">
      <alignment horizontal="center" vertical="center" wrapText="1"/>
      <protection hidden="1"/>
    </xf>
    <xf numFmtId="0" fontId="72" fillId="0" borderId="0" xfId="0" applyFont="1" applyBorder="1" applyAlignment="1" applyProtection="1">
      <alignment horizontal="center" wrapText="1"/>
      <protection hidden="1"/>
    </xf>
    <xf numFmtId="0" fontId="243" fillId="18" borderId="120" xfId="0" applyFont="1" applyFill="1" applyBorder="1" applyAlignment="1" applyProtection="1">
      <alignment vertical="center" wrapText="1"/>
      <protection hidden="1"/>
    </xf>
    <xf numFmtId="0" fontId="243" fillId="18" borderId="116" xfId="0" applyFont="1" applyFill="1" applyBorder="1" applyAlignment="1" applyProtection="1">
      <alignment vertical="center" wrapText="1"/>
      <protection hidden="1"/>
    </xf>
    <xf numFmtId="0" fontId="63" fillId="18" borderId="116" xfId="0" applyFont="1" applyFill="1" applyBorder="1" applyAlignment="1" applyProtection="1">
      <alignment horizontal="center" vertical="center" wrapText="1"/>
      <protection hidden="1"/>
    </xf>
    <xf numFmtId="0" fontId="63" fillId="18" borderId="116" xfId="0" applyFont="1" applyFill="1" applyBorder="1" applyAlignment="1" applyProtection="1">
      <alignment horizontal="center" wrapText="1"/>
      <protection hidden="1"/>
    </xf>
    <xf numFmtId="0" fontId="72" fillId="0" borderId="0" xfId="0" applyFont="1" applyBorder="1" applyAlignment="1" applyProtection="1">
      <alignment wrapText="1"/>
      <protection hidden="1"/>
    </xf>
    <xf numFmtId="0" fontId="72" fillId="0" borderId="125" xfId="0" applyFont="1" applyBorder="1" applyAlignment="1" applyProtection="1">
      <alignment wrapText="1"/>
      <protection hidden="1"/>
    </xf>
    <xf numFmtId="0" fontId="60" fillId="0" borderId="0" xfId="0" applyFont="1" applyBorder="1" applyAlignment="1" applyProtection="1">
      <alignment horizontal="center" wrapText="1"/>
      <protection hidden="1"/>
    </xf>
    <xf numFmtId="0" fontId="244" fillId="18" borderId="120" xfId="0" applyFont="1" applyFill="1" applyBorder="1" applyAlignment="1" applyProtection="1">
      <alignment vertical="center" wrapText="1"/>
      <protection hidden="1"/>
    </xf>
    <xf numFmtId="0" fontId="244" fillId="18" borderId="116" xfId="0" applyFont="1" applyFill="1" applyBorder="1" applyAlignment="1" applyProtection="1">
      <alignment vertical="center" wrapText="1"/>
      <protection hidden="1"/>
    </xf>
    <xf numFmtId="0" fontId="24" fillId="18" borderId="116" xfId="0" applyFont="1" applyFill="1" applyBorder="1" applyAlignment="1" applyProtection="1">
      <alignment horizontal="center" vertical="center" wrapText="1"/>
      <protection hidden="1"/>
    </xf>
    <xf numFmtId="0" fontId="60" fillId="18" borderId="116" xfId="0" applyFont="1" applyFill="1" applyBorder="1" applyAlignment="1" applyProtection="1">
      <alignment horizontal="center" wrapText="1"/>
      <protection hidden="1"/>
    </xf>
    <xf numFmtId="0" fontId="51" fillId="0" borderId="116" xfId="0" applyFont="1" applyFill="1" applyBorder="1" applyAlignment="1" applyProtection="1">
      <alignment vertical="center" wrapText="1"/>
      <protection hidden="1"/>
    </xf>
    <xf numFmtId="0" fontId="75" fillId="0" borderId="0" xfId="0" applyFont="1" applyBorder="1" applyAlignment="1" applyProtection="1">
      <alignment horizontal="center" wrapText="1"/>
      <protection hidden="1"/>
    </xf>
    <xf numFmtId="0" fontId="45" fillId="18" borderId="116" xfId="0" applyNumberFormat="1" applyFont="1" applyFill="1" applyBorder="1" applyAlignment="1" applyProtection="1">
      <alignment vertical="center" wrapText="1"/>
      <protection hidden="1"/>
    </xf>
    <xf numFmtId="0" fontId="74" fillId="18" borderId="116" xfId="0" applyFont="1" applyFill="1" applyBorder="1" applyAlignment="1" applyProtection="1">
      <alignment horizontal="center" vertical="center" wrapText="1"/>
      <protection hidden="1"/>
    </xf>
    <xf numFmtId="0" fontId="84" fillId="18" borderId="116" xfId="0" applyFont="1" applyFill="1" applyBorder="1" applyAlignment="1" applyProtection="1">
      <alignment horizontal="center" vertical="center" wrapText="1"/>
      <protection hidden="1"/>
    </xf>
    <xf numFmtId="0" fontId="104" fillId="18" borderId="120" xfId="0" applyFont="1" applyFill="1" applyBorder="1" applyAlignment="1" applyProtection="1">
      <alignment horizontal="center" vertical="center" wrapText="1"/>
      <protection hidden="1"/>
    </xf>
    <xf numFmtId="0" fontId="104" fillId="18" borderId="116" xfId="0" applyFont="1" applyFill="1" applyBorder="1" applyAlignment="1" applyProtection="1">
      <alignment horizontal="center" vertical="center" wrapText="1"/>
      <protection hidden="1"/>
    </xf>
    <xf numFmtId="0" fontId="103" fillId="18" borderId="116" xfId="0" applyFont="1" applyFill="1" applyBorder="1" applyAlignment="1" applyProtection="1">
      <alignment horizontal="center" vertical="center" wrapText="1"/>
      <protection hidden="1"/>
    </xf>
    <xf numFmtId="0" fontId="74" fillId="18" borderId="116" xfId="0" applyFont="1" applyFill="1" applyBorder="1" applyAlignment="1" applyProtection="1">
      <alignment horizontal="center" wrapText="1"/>
      <protection hidden="1"/>
    </xf>
    <xf numFmtId="0" fontId="45" fillId="18" borderId="116" xfId="0" applyFont="1" applyFill="1" applyBorder="1" applyAlignment="1" applyProtection="1">
      <alignment horizontal="center" vertical="center" wrapText="1"/>
      <protection hidden="1"/>
    </xf>
    <xf numFmtId="0" fontId="76" fillId="0" borderId="116" xfId="0" applyFont="1" applyBorder="1" applyAlignment="1" applyProtection="1">
      <alignment vertical="center" wrapText="1"/>
      <protection hidden="1"/>
    </xf>
    <xf numFmtId="0" fontId="84" fillId="0" borderId="116" xfId="0" applyFont="1" applyFill="1" applyBorder="1" applyAlignment="1" applyProtection="1">
      <alignment horizontal="center" vertical="center" wrapText="1"/>
      <protection hidden="1"/>
    </xf>
    <xf numFmtId="0" fontId="102" fillId="18" borderId="120" xfId="0" applyFont="1" applyFill="1" applyBorder="1" applyAlignment="1" applyProtection="1">
      <alignment horizontal="center" vertical="center" wrapText="1"/>
      <protection hidden="1"/>
    </xf>
    <xf numFmtId="0" fontId="102" fillId="18" borderId="116" xfId="0" applyFont="1" applyFill="1" applyBorder="1" applyAlignment="1" applyProtection="1">
      <alignment horizontal="center" vertical="center" wrapText="1"/>
      <protection hidden="1"/>
    </xf>
    <xf numFmtId="0" fontId="38" fillId="18" borderId="116" xfId="0" applyFont="1" applyFill="1" applyBorder="1" applyAlignment="1" applyProtection="1">
      <alignment horizontal="center" wrapText="1"/>
      <protection hidden="1"/>
    </xf>
    <xf numFmtId="0" fontId="106" fillId="18" borderId="116" xfId="0" applyFont="1" applyFill="1" applyBorder="1" applyAlignment="1" applyProtection="1">
      <alignment horizontal="center" vertical="center" wrapText="1"/>
      <protection hidden="1"/>
    </xf>
    <xf numFmtId="0" fontId="9" fillId="0" borderId="119" xfId="0" applyFont="1" applyFill="1" applyBorder="1" applyAlignment="1" applyProtection="1">
      <alignment horizontal="center" vertical="center" wrapText="1"/>
      <protection hidden="1"/>
    </xf>
    <xf numFmtId="2" fontId="105" fillId="18" borderId="120" xfId="0" applyNumberFormat="1" applyFont="1" applyFill="1" applyBorder="1" applyAlignment="1" applyProtection="1">
      <alignment vertical="center" wrapText="1"/>
      <protection hidden="1"/>
    </xf>
    <xf numFmtId="2" fontId="105" fillId="18" borderId="116" xfId="0" applyNumberFormat="1" applyFont="1" applyFill="1" applyBorder="1" applyAlignment="1" applyProtection="1">
      <alignment vertical="center" wrapText="1"/>
      <protection hidden="1"/>
    </xf>
    <xf numFmtId="0" fontId="64" fillId="18" borderId="116" xfId="0" applyFont="1" applyFill="1" applyBorder="1" applyAlignment="1" applyProtection="1">
      <alignment horizontal="center" vertical="center" wrapText="1"/>
      <protection hidden="1"/>
    </xf>
    <xf numFmtId="0" fontId="99" fillId="18" borderId="116" xfId="0" applyFont="1" applyFill="1" applyBorder="1" applyAlignment="1" applyProtection="1">
      <alignment horizontal="center" wrapText="1"/>
      <protection hidden="1"/>
    </xf>
    <xf numFmtId="2" fontId="64" fillId="18" borderId="116" xfId="0" applyNumberFormat="1" applyFont="1" applyFill="1" applyBorder="1" applyAlignment="1" applyProtection="1">
      <alignment horizontal="center" vertical="center" wrapText="1"/>
      <protection hidden="1"/>
    </xf>
    <xf numFmtId="2" fontId="64" fillId="0" borderId="116" xfId="0" applyNumberFormat="1"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105" fillId="18" borderId="120" xfId="0" applyFont="1" applyFill="1" applyBorder="1" applyAlignment="1" applyProtection="1">
      <alignment vertical="center" wrapText="1"/>
      <protection hidden="1"/>
    </xf>
    <xf numFmtId="0" fontId="105" fillId="18" borderId="116" xfId="0" applyFont="1" applyFill="1" applyBorder="1" applyAlignment="1" applyProtection="1">
      <alignment vertical="center" wrapText="1"/>
      <protection hidden="1"/>
    </xf>
    <xf numFmtId="0" fontId="100" fillId="18" borderId="116" xfId="0" applyFont="1" applyFill="1" applyBorder="1" applyAlignment="1" applyProtection="1">
      <alignment horizontal="center" wrapText="1"/>
      <protection hidden="1"/>
    </xf>
    <xf numFmtId="0" fontId="63" fillId="0" borderId="116" xfId="0" applyFont="1" applyFill="1" applyBorder="1" applyAlignment="1" applyProtection="1">
      <alignment vertical="center" wrapText="1"/>
      <protection hidden="1"/>
    </xf>
    <xf numFmtId="0" fontId="80" fillId="0" borderId="0" xfId="0" applyFont="1" applyFill="1" applyBorder="1" applyAlignment="1" applyProtection="1">
      <alignment horizontal="center" wrapText="1"/>
      <protection hidden="1"/>
    </xf>
    <xf numFmtId="0" fontId="64" fillId="0" borderId="116" xfId="0" applyFont="1" applyFill="1" applyBorder="1" applyAlignment="1" applyProtection="1">
      <alignment vertical="center" wrapText="1"/>
      <protection hidden="1"/>
    </xf>
    <xf numFmtId="172" fontId="241" fillId="0" borderId="119" xfId="0" applyNumberFormat="1" applyFont="1" applyFill="1" applyBorder="1" applyAlignment="1" applyProtection="1">
      <alignment horizontal="center" vertical="center" wrapText="1"/>
      <protection hidden="1"/>
    </xf>
    <xf numFmtId="0" fontId="81" fillId="0" borderId="0" xfId="0" applyFont="1" applyBorder="1" applyAlignment="1" applyProtection="1">
      <alignment horizontal="center" wrapText="1"/>
      <protection hidden="1"/>
    </xf>
    <xf numFmtId="0" fontId="16" fillId="18" borderId="116" xfId="0" applyFont="1" applyFill="1" applyBorder="1" applyAlignment="1" applyProtection="1">
      <alignment vertical="center" wrapText="1"/>
      <protection hidden="1"/>
    </xf>
    <xf numFmtId="0" fontId="83" fillId="0" borderId="0" xfId="0" applyFont="1" applyBorder="1" applyAlignment="1" applyProtection="1">
      <alignment horizontal="center" wrapText="1"/>
      <protection hidden="1"/>
    </xf>
    <xf numFmtId="0" fontId="29" fillId="0" borderId="0" xfId="0" applyFont="1" applyFill="1" applyBorder="1" applyAlignment="1" applyProtection="1">
      <alignment horizontal="center" vertical="center" wrapText="1"/>
      <protection hidden="1"/>
    </xf>
    <xf numFmtId="0" fontId="72" fillId="0" borderId="127" xfId="0" applyFont="1" applyBorder="1" applyAlignment="1" applyProtection="1">
      <alignment wrapText="1"/>
      <protection hidden="1"/>
    </xf>
    <xf numFmtId="0" fontId="72" fillId="0" borderId="128" xfId="0" applyFont="1" applyBorder="1" applyAlignment="1" applyProtection="1">
      <alignment wrapText="1"/>
      <protection hidden="1"/>
    </xf>
    <xf numFmtId="0" fontId="37" fillId="0" borderId="0" xfId="0" applyFont="1" applyFill="1" applyBorder="1" applyAlignment="1" applyProtection="1">
      <alignment horizontal="right" wrapText="1"/>
      <protection hidden="1"/>
    </xf>
    <xf numFmtId="0" fontId="23"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7" fillId="0" borderId="0" xfId="0" applyFont="1" applyFill="1" applyBorder="1" applyAlignment="1" applyProtection="1">
      <alignment horizontal="center" wrapText="1"/>
      <protection hidden="1"/>
    </xf>
    <xf numFmtId="0" fontId="37" fillId="0" borderId="122" xfId="0" applyFont="1" applyFill="1" applyBorder="1" applyAlignment="1" applyProtection="1">
      <alignment horizontal="center" wrapText="1"/>
      <protection hidden="1"/>
    </xf>
    <xf numFmtId="0" fontId="86" fillId="0" borderId="0" xfId="0" applyFont="1" applyFill="1" applyBorder="1" applyAlignment="1" applyProtection="1">
      <alignment horizontal="center" wrapText="1"/>
      <protection hidden="1"/>
    </xf>
    <xf numFmtId="0" fontId="34" fillId="0" borderId="0" xfId="4" applyFill="1" applyBorder="1" applyAlignment="1" applyProtection="1">
      <alignment vertical="center" wrapText="1"/>
      <protection hidden="1"/>
    </xf>
    <xf numFmtId="0" fontId="23" fillId="0" borderId="0" xfId="0" applyFont="1" applyFill="1" applyBorder="1" applyAlignment="1" applyProtection="1">
      <alignment wrapText="1"/>
      <protection hidden="1"/>
    </xf>
    <xf numFmtId="0" fontId="90" fillId="0" borderId="0" xfId="0" applyFont="1" applyFill="1" applyBorder="1" applyAlignment="1" applyProtection="1">
      <alignment horizontal="center" wrapText="1"/>
      <protection hidden="1"/>
    </xf>
    <xf numFmtId="0" fontId="91" fillId="0" borderId="0" xfId="0" applyFont="1" applyBorder="1" applyAlignment="1" applyProtection="1">
      <alignment horizontal="center" wrapText="1"/>
      <protection hidden="1"/>
    </xf>
    <xf numFmtId="0" fontId="91" fillId="0" borderId="0" xfId="0" applyFont="1" applyBorder="1" applyAlignment="1" applyProtection="1">
      <alignment wrapText="1"/>
      <protection hidden="1"/>
    </xf>
    <xf numFmtId="0" fontId="92" fillId="0" borderId="0" xfId="0" applyFont="1" applyFill="1" applyBorder="1" applyAlignment="1" applyProtection="1">
      <alignment horizontal="center" wrapText="1"/>
      <protection hidden="1"/>
    </xf>
    <xf numFmtId="0" fontId="46" fillId="0" borderId="51" xfId="0" applyFont="1" applyFill="1" applyBorder="1" applyAlignment="1" applyProtection="1">
      <alignment horizontal="center" vertical="center" wrapText="1"/>
      <protection hidden="1"/>
    </xf>
    <xf numFmtId="169" fontId="46" fillId="0" borderId="51" xfId="0" applyNumberFormat="1" applyFont="1" applyFill="1" applyBorder="1" applyAlignment="1" applyProtection="1">
      <alignment horizontal="center" vertical="center" wrapText="1"/>
      <protection hidden="1"/>
    </xf>
    <xf numFmtId="0" fontId="46" fillId="0" borderId="51" xfId="0" applyFont="1" applyFill="1" applyBorder="1" applyAlignment="1" applyProtection="1">
      <alignment horizontal="left" vertical="center" wrapText="1"/>
      <protection hidden="1"/>
    </xf>
    <xf numFmtId="0" fontId="52" fillId="0" borderId="51" xfId="0" applyFont="1" applyFill="1" applyBorder="1" applyAlignment="1" applyProtection="1">
      <alignment horizontal="center" vertical="center" wrapText="1"/>
      <protection hidden="1"/>
    </xf>
    <xf numFmtId="2" fontId="52" fillId="0" borderId="51" xfId="0" applyNumberFormat="1" applyFont="1" applyFill="1" applyBorder="1" applyAlignment="1" applyProtection="1">
      <alignment horizontal="center" vertical="center" wrapText="1"/>
      <protection hidden="1"/>
    </xf>
    <xf numFmtId="1" fontId="63" fillId="0" borderId="51" xfId="0" applyNumberFormat="1" applyFont="1" applyBorder="1" applyAlignment="1" applyProtection="1">
      <alignment horizontal="center" vertical="center" wrapText="1"/>
      <protection hidden="1"/>
    </xf>
    <xf numFmtId="0" fontId="120" fillId="20" borderId="51" xfId="0" applyFont="1" applyFill="1" applyBorder="1" applyAlignment="1" applyProtection="1">
      <alignment horizontal="center" vertical="center" wrapText="1"/>
      <protection locked="0"/>
    </xf>
    <xf numFmtId="0" fontId="120" fillId="2" borderId="51" xfId="0" applyFont="1" applyFill="1" applyBorder="1" applyAlignment="1" applyProtection="1">
      <alignment horizontal="center" vertical="center" wrapText="1"/>
      <protection locked="0"/>
    </xf>
    <xf numFmtId="0" fontId="110" fillId="0" borderId="0" xfId="0" applyFont="1" applyProtection="1">
      <protection hidden="1"/>
    </xf>
    <xf numFmtId="0" fontId="120" fillId="20" borderId="51" xfId="0" applyFont="1" applyFill="1" applyBorder="1" applyAlignment="1" applyProtection="1">
      <alignment horizontal="center" vertical="center" wrapText="1"/>
      <protection hidden="1"/>
    </xf>
    <xf numFmtId="0" fontId="110" fillId="20" borderId="51" xfId="0" applyFont="1" applyFill="1" applyBorder="1" applyProtection="1">
      <protection hidden="1"/>
    </xf>
    <xf numFmtId="0" fontId="12" fillId="20" borderId="51" xfId="0" applyFont="1" applyFill="1" applyBorder="1" applyAlignment="1" applyProtection="1">
      <alignment horizontal="center" vertical="center" wrapText="1"/>
      <protection hidden="1"/>
    </xf>
    <xf numFmtId="2" fontId="46" fillId="0" borderId="51" xfId="0" applyNumberFormat="1" applyFont="1" applyFill="1" applyBorder="1" applyAlignment="1" applyProtection="1">
      <alignment horizontal="center" vertical="center" wrapText="1"/>
      <protection hidden="1"/>
    </xf>
    <xf numFmtId="1" fontId="63" fillId="0" borderId="51" xfId="0" applyNumberFormat="1" applyFont="1" applyFill="1" applyBorder="1" applyAlignment="1" applyProtection="1">
      <alignment horizontal="center" vertical="center" wrapText="1"/>
      <protection hidden="1"/>
    </xf>
    <xf numFmtId="0" fontId="125" fillId="0" borderId="51" xfId="0" applyFont="1" applyFill="1" applyBorder="1" applyAlignment="1" applyProtection="1">
      <alignment horizontal="center" vertical="center"/>
      <protection hidden="1"/>
    </xf>
    <xf numFmtId="0" fontId="63" fillId="0" borderId="51" xfId="0" applyNumberFormat="1" applyFont="1" applyBorder="1" applyAlignment="1" applyProtection="1">
      <alignment horizontal="center" wrapText="1"/>
      <protection hidden="1"/>
    </xf>
    <xf numFmtId="0" fontId="63" fillId="0" borderId="51" xfId="0" applyFont="1" applyBorder="1" applyAlignment="1" applyProtection="1">
      <alignment horizontal="center" vertical="center" wrapText="1"/>
      <protection hidden="1"/>
    </xf>
    <xf numFmtId="2" fontId="63" fillId="0" borderId="51" xfId="0" applyNumberFormat="1" applyFont="1" applyBorder="1" applyAlignment="1" applyProtection="1">
      <alignment horizontal="center" vertical="center" wrapText="1"/>
      <protection hidden="1"/>
    </xf>
    <xf numFmtId="0" fontId="5" fillId="0" borderId="0" xfId="0" applyFont="1" applyProtection="1">
      <protection hidden="1"/>
    </xf>
    <xf numFmtId="0" fontId="111" fillId="0" borderId="154" xfId="0" applyFont="1" applyFill="1" applyBorder="1" applyAlignment="1" applyProtection="1">
      <alignment vertical="center" wrapText="1"/>
      <protection hidden="1"/>
    </xf>
    <xf numFmtId="0" fontId="79" fillId="0" borderId="156" xfId="0" applyFont="1" applyFill="1" applyBorder="1" applyAlignment="1" applyProtection="1">
      <alignment vertical="center" wrapText="1"/>
      <protection hidden="1"/>
    </xf>
    <xf numFmtId="0" fontId="79" fillId="0" borderId="157" xfId="0" applyFont="1" applyFill="1" applyBorder="1" applyAlignment="1" applyProtection="1">
      <alignment vertical="center" wrapText="1"/>
      <protection hidden="1"/>
    </xf>
    <xf numFmtId="0" fontId="111" fillId="0" borderId="158" xfId="0" applyFont="1" applyFill="1" applyBorder="1" applyAlignment="1" applyProtection="1">
      <alignment vertical="center" wrapText="1"/>
      <protection hidden="1"/>
    </xf>
    <xf numFmtId="0" fontId="49" fillId="0" borderId="51" xfId="0" applyFont="1" applyBorder="1" applyAlignment="1" applyProtection="1">
      <alignment horizontal="center" vertical="center" wrapText="1"/>
      <protection hidden="1"/>
    </xf>
    <xf numFmtId="0" fontId="49" fillId="0" borderId="51" xfId="0" applyFont="1" applyFill="1" applyBorder="1" applyAlignment="1" applyProtection="1">
      <alignment horizontal="center" vertical="center" wrapText="1"/>
      <protection hidden="1"/>
    </xf>
    <xf numFmtId="1" fontId="49" fillId="0" borderId="51" xfId="0" applyNumberFormat="1" applyFont="1" applyFill="1" applyBorder="1" applyAlignment="1" applyProtection="1">
      <alignment horizontal="center" vertical="center" wrapText="1"/>
      <protection hidden="1"/>
    </xf>
    <xf numFmtId="0" fontId="79" fillId="0" borderId="0" xfId="0" applyFont="1" applyFill="1" applyBorder="1" applyAlignment="1" applyProtection="1">
      <alignment vertical="center" wrapText="1"/>
      <protection hidden="1"/>
    </xf>
    <xf numFmtId="0" fontId="79" fillId="0" borderId="159" xfId="0" applyFont="1" applyFill="1" applyBorder="1" applyAlignment="1" applyProtection="1">
      <alignment vertical="center" wrapText="1"/>
      <protection hidden="1"/>
    </xf>
    <xf numFmtId="1" fontId="49" fillId="0" borderId="51" xfId="0" applyNumberFormat="1" applyFont="1" applyBorder="1" applyAlignment="1" applyProtection="1">
      <alignment horizontal="center" vertical="center"/>
      <protection hidden="1"/>
    </xf>
    <xf numFmtId="1" fontId="49" fillId="0" borderId="51" xfId="0" applyNumberFormat="1" applyFont="1" applyBorder="1" applyAlignment="1" applyProtection="1">
      <alignment horizontal="center" vertical="center" wrapText="1"/>
      <protection hidden="1"/>
    </xf>
    <xf numFmtId="0" fontId="49" fillId="0" borderId="51" xfId="0" applyFont="1" applyFill="1" applyBorder="1" applyAlignment="1" applyProtection="1">
      <alignment horizontal="center" vertical="center"/>
      <protection hidden="1"/>
    </xf>
    <xf numFmtId="0" fontId="107" fillId="0" borderId="158" xfId="0" applyFont="1" applyBorder="1" applyProtection="1">
      <protection hidden="1"/>
    </xf>
    <xf numFmtId="0" fontId="108" fillId="0" borderId="158" xfId="0" applyFont="1" applyBorder="1" applyProtection="1">
      <protection hidden="1"/>
    </xf>
    <xf numFmtId="0" fontId="49" fillId="0" borderId="148" xfId="0" applyFont="1" applyFill="1" applyBorder="1" applyAlignment="1" applyProtection="1">
      <alignment horizontal="center" vertical="center" wrapText="1"/>
      <protection hidden="1"/>
    </xf>
    <xf numFmtId="1" fontId="49" fillId="0" borderId="51" xfId="0" applyNumberFormat="1" applyFont="1" applyFill="1" applyBorder="1" applyAlignment="1" applyProtection="1">
      <alignment horizontal="center" vertical="center"/>
      <protection hidden="1"/>
    </xf>
    <xf numFmtId="0" fontId="0" fillId="0" borderId="158" xfId="0" applyBorder="1" applyProtection="1">
      <protection hidden="1"/>
    </xf>
    <xf numFmtId="0" fontId="49" fillId="0" borderId="51" xfId="0" applyFont="1" applyBorder="1" applyAlignment="1" applyProtection="1">
      <alignment horizontal="center" vertical="center"/>
      <protection hidden="1"/>
    </xf>
    <xf numFmtId="172" fontId="121" fillId="0" borderId="51" xfId="0" applyNumberFormat="1" applyFont="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textRotation="90"/>
      <protection hidden="1"/>
    </xf>
    <xf numFmtId="0" fontId="121" fillId="0" borderId="148" xfId="0" applyFont="1" applyFill="1" applyBorder="1" applyAlignment="1" applyProtection="1">
      <alignment horizontal="center" vertical="center" wrapText="1"/>
      <protection hidden="1"/>
    </xf>
    <xf numFmtId="0" fontId="20" fillId="0" borderId="148" xfId="0" applyFont="1" applyFill="1" applyBorder="1" applyAlignment="1" applyProtection="1">
      <alignment horizontal="center" vertical="center" wrapText="1"/>
      <protection hidden="1"/>
    </xf>
    <xf numFmtId="1" fontId="20" fillId="0" borderId="51" xfId="0" applyNumberFormat="1" applyFont="1" applyBorder="1" applyAlignment="1" applyProtection="1">
      <alignment horizontal="center" vertical="center" wrapText="1"/>
      <protection hidden="1"/>
    </xf>
    <xf numFmtId="0" fontId="20" fillId="0" borderId="51" xfId="0" applyFont="1" applyFill="1" applyBorder="1" applyAlignment="1" applyProtection="1">
      <alignment horizontal="center" vertical="center"/>
      <protection hidden="1"/>
    </xf>
    <xf numFmtId="0" fontId="121" fillId="0" borderId="153" xfId="0" applyFont="1" applyFill="1" applyBorder="1" applyAlignment="1" applyProtection="1">
      <alignment horizontal="center" vertical="center" wrapText="1"/>
      <protection hidden="1"/>
    </xf>
    <xf numFmtId="0" fontId="20" fillId="0" borderId="153" xfId="0" applyFont="1" applyFill="1" applyBorder="1" applyAlignment="1" applyProtection="1">
      <alignment horizontal="center" vertical="center" wrapText="1"/>
      <protection hidden="1"/>
    </xf>
    <xf numFmtId="0" fontId="0" fillId="0" borderId="159" xfId="0" applyBorder="1" applyProtection="1">
      <protection hidden="1"/>
    </xf>
    <xf numFmtId="0" fontId="0" fillId="0" borderId="160" xfId="0" applyBorder="1" applyProtection="1">
      <protection hidden="1"/>
    </xf>
    <xf numFmtId="0" fontId="0" fillId="0" borderId="161" xfId="0" applyBorder="1" applyProtection="1">
      <protection hidden="1"/>
    </xf>
    <xf numFmtId="0" fontId="0" fillId="0" borderId="162" xfId="0" applyBorder="1" applyProtection="1">
      <protection hidden="1"/>
    </xf>
    <xf numFmtId="0" fontId="111" fillId="0" borderId="49" xfId="0" applyFont="1" applyFill="1" applyBorder="1" applyAlignment="1" applyProtection="1">
      <alignment vertical="center" wrapText="1"/>
      <protection hidden="1"/>
    </xf>
    <xf numFmtId="0" fontId="111" fillId="0" borderId="50" xfId="0" applyFont="1" applyFill="1" applyBorder="1" applyAlignment="1" applyProtection="1">
      <alignment vertical="center" wrapText="1"/>
      <protection hidden="1"/>
    </xf>
    <xf numFmtId="0" fontId="63" fillId="0" borderId="134" xfId="0" applyFont="1" applyFill="1" applyBorder="1" applyAlignment="1" applyProtection="1">
      <alignment horizontal="center" vertical="center" wrapText="1"/>
      <protection hidden="1"/>
    </xf>
    <xf numFmtId="0" fontId="257" fillId="0" borderId="1" xfId="0" applyFont="1" applyBorder="1" applyAlignment="1" applyProtection="1">
      <alignment horizontal="left" vertical="center" wrapText="1"/>
      <protection hidden="1"/>
    </xf>
    <xf numFmtId="0" fontId="63" fillId="0" borderId="1" xfId="0" applyFont="1" applyBorder="1" applyAlignment="1" applyProtection="1">
      <alignment horizontal="center" vertical="center" wrapText="1"/>
      <protection hidden="1"/>
    </xf>
    <xf numFmtId="2" fontId="63" fillId="0" borderId="1" xfId="0" applyNumberFormat="1" applyFont="1" applyBorder="1" applyAlignment="1" applyProtection="1">
      <alignment horizontal="center" vertical="center" wrapText="1"/>
      <protection hidden="1"/>
    </xf>
    <xf numFmtId="0" fontId="63" fillId="0" borderId="1" xfId="0" applyFont="1" applyFill="1" applyBorder="1" applyAlignment="1" applyProtection="1">
      <alignment horizontal="center" vertical="center" wrapText="1"/>
      <protection hidden="1"/>
    </xf>
    <xf numFmtId="0" fontId="63" fillId="0" borderId="130" xfId="0" applyFont="1" applyFill="1" applyBorder="1" applyAlignment="1" applyProtection="1">
      <alignment horizontal="center" vertical="center" wrapText="1"/>
      <protection hidden="1"/>
    </xf>
    <xf numFmtId="0" fontId="183" fillId="0" borderId="24" xfId="0" applyFont="1" applyFill="1" applyBorder="1" applyAlignment="1" applyProtection="1">
      <alignment horizontal="left" vertical="center" wrapText="1"/>
      <protection hidden="1"/>
    </xf>
    <xf numFmtId="0" fontId="257" fillId="0" borderId="1" xfId="0" applyFont="1" applyFill="1" applyBorder="1" applyAlignment="1" applyProtection="1">
      <alignment horizontal="left" vertical="center" wrapText="1"/>
      <protection hidden="1"/>
    </xf>
    <xf numFmtId="1" fontId="63" fillId="0" borderId="1" xfId="0" applyNumberFormat="1" applyFont="1" applyFill="1" applyBorder="1" applyAlignment="1" applyProtection="1">
      <alignment horizontal="center" vertical="center" wrapText="1"/>
      <protection hidden="1"/>
    </xf>
    <xf numFmtId="1" fontId="63" fillId="0" borderId="1" xfId="0" applyNumberFormat="1" applyFont="1" applyBorder="1" applyAlignment="1" applyProtection="1">
      <alignment horizontal="center" vertical="center" wrapText="1"/>
      <protection hidden="1"/>
    </xf>
    <xf numFmtId="0" fontId="183" fillId="0" borderId="192" xfId="0" applyFont="1" applyFill="1" applyBorder="1" applyAlignment="1" applyProtection="1">
      <alignment horizontal="left" vertical="center" wrapText="1"/>
      <protection hidden="1"/>
    </xf>
    <xf numFmtId="0" fontId="257" fillId="0" borderId="130" xfId="0" applyFont="1" applyFill="1" applyBorder="1" applyAlignment="1" applyProtection="1">
      <alignment horizontal="left" vertical="center" wrapText="1"/>
      <protection hidden="1"/>
    </xf>
    <xf numFmtId="0" fontId="63" fillId="0" borderId="130" xfId="0" applyFont="1" applyBorder="1" applyAlignment="1" applyProtection="1">
      <alignment horizontal="center" vertical="center" wrapText="1"/>
      <protection hidden="1"/>
    </xf>
    <xf numFmtId="2" fontId="63" fillId="0" borderId="130" xfId="0" applyNumberFormat="1" applyFont="1" applyBorder="1" applyAlignment="1" applyProtection="1">
      <alignment horizontal="center" vertical="center" wrapText="1"/>
      <protection hidden="1"/>
    </xf>
    <xf numFmtId="1" fontId="63" fillId="0" borderId="130" xfId="0" applyNumberFormat="1" applyFont="1" applyFill="1" applyBorder="1" applyAlignment="1" applyProtection="1">
      <alignment horizontal="center" vertical="center" wrapText="1"/>
      <protection hidden="1"/>
    </xf>
    <xf numFmtId="0" fontId="183" fillId="0" borderId="26" xfId="0" applyFont="1" applyBorder="1" applyAlignment="1" applyProtection="1">
      <alignment horizontal="left" vertical="center" wrapText="1"/>
      <protection hidden="1"/>
    </xf>
    <xf numFmtId="0" fontId="63" fillId="0" borderId="27" xfId="0" applyFont="1" applyBorder="1" applyAlignment="1" applyProtection="1">
      <alignment horizontal="center" vertical="center" wrapText="1"/>
      <protection hidden="1"/>
    </xf>
    <xf numFmtId="1" fontId="63" fillId="0" borderId="27" xfId="0" applyNumberFormat="1" applyFont="1" applyBorder="1" applyAlignment="1" applyProtection="1">
      <alignment horizontal="center" vertical="center" wrapText="1"/>
      <protection hidden="1"/>
    </xf>
    <xf numFmtId="2" fontId="63" fillId="0" borderId="27" xfId="0" applyNumberFormat="1" applyFont="1" applyBorder="1" applyAlignment="1" applyProtection="1">
      <alignment horizontal="center" vertical="center" wrapText="1"/>
      <protection hidden="1"/>
    </xf>
    <xf numFmtId="0" fontId="63" fillId="0" borderId="27" xfId="0" applyFont="1" applyFill="1" applyBorder="1" applyAlignment="1" applyProtection="1">
      <alignment horizontal="center" vertical="center" wrapText="1"/>
      <protection hidden="1"/>
    </xf>
    <xf numFmtId="0" fontId="63" fillId="0" borderId="166"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9" fillId="0" borderId="0" xfId="0" applyFont="1" applyBorder="1" applyAlignment="1" applyProtection="1">
      <alignment horizontal="left" vertical="center" wrapText="1"/>
      <protection hidden="1"/>
    </xf>
    <xf numFmtId="0" fontId="63" fillId="0" borderId="0" xfId="0" applyFont="1" applyBorder="1" applyAlignment="1" applyProtection="1">
      <alignment horizontal="center" vertical="center" wrapText="1"/>
      <protection hidden="1"/>
    </xf>
    <xf numFmtId="1" fontId="63" fillId="0" borderId="0" xfId="0" applyNumberFormat="1" applyFont="1" applyBorder="1" applyAlignment="1" applyProtection="1">
      <alignment horizontal="center" vertical="center" wrapText="1"/>
      <protection hidden="1"/>
    </xf>
    <xf numFmtId="2" fontId="63" fillId="0" borderId="0" xfId="0" applyNumberFormat="1" applyFont="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1" fontId="52" fillId="0" borderId="0" xfId="0" applyNumberFormat="1" applyFont="1" applyBorder="1" applyAlignment="1" applyProtection="1">
      <alignment horizontal="center" vertical="center" wrapText="1"/>
      <protection hidden="1"/>
    </xf>
    <xf numFmtId="2" fontId="52" fillId="0" borderId="0" xfId="0" applyNumberFormat="1" applyFont="1" applyBorder="1" applyAlignment="1" applyProtection="1">
      <alignment horizontal="center" vertical="center" wrapText="1"/>
      <protection hidden="1"/>
    </xf>
    <xf numFmtId="0" fontId="52" fillId="0" borderId="0" xfId="0" applyFont="1" applyFill="1" applyBorder="1" applyAlignment="1" applyProtection="1">
      <alignment horizontal="center" vertical="center" wrapText="1"/>
      <protection hidden="1"/>
    </xf>
    <xf numFmtId="0" fontId="52" fillId="0" borderId="0" xfId="0" applyFont="1" applyBorder="1" applyAlignment="1" applyProtection="1">
      <alignment horizontal="center" vertical="center" wrapText="1"/>
      <protection hidden="1"/>
    </xf>
    <xf numFmtId="0" fontId="44" fillId="0" borderId="0" xfId="0" applyFont="1" applyBorder="1" applyAlignment="1" applyProtection="1">
      <alignment horizontal="left" wrapText="1"/>
      <protection hidden="1"/>
    </xf>
    <xf numFmtId="0" fontId="114" fillId="0" borderId="0" xfId="0" applyFont="1" applyFill="1" applyBorder="1" applyAlignment="1" applyProtection="1">
      <alignment vertical="center" wrapText="1"/>
      <protection hidden="1"/>
    </xf>
    <xf numFmtId="0" fontId="62" fillId="0" borderId="0" xfId="0" applyFont="1" applyAlignment="1" applyProtection="1">
      <alignment vertical="center"/>
      <protection hidden="1"/>
    </xf>
    <xf numFmtId="0" fontId="62" fillId="0" borderId="0" xfId="0" applyFont="1" applyBorder="1" applyAlignment="1" applyProtection="1">
      <alignment vertical="center"/>
      <protection hidden="1"/>
    </xf>
    <xf numFmtId="0" fontId="46" fillId="0" borderId="136" xfId="0" applyFont="1" applyFill="1" applyBorder="1" applyAlignment="1" applyProtection="1">
      <alignment horizontal="center" vertical="center" wrapText="1"/>
      <protection hidden="1"/>
    </xf>
    <xf numFmtId="0" fontId="46" fillId="0" borderId="136" xfId="0" applyFont="1" applyFill="1" applyBorder="1" applyAlignment="1" applyProtection="1">
      <alignment horizontal="center" vertical="center"/>
      <protection hidden="1"/>
    </xf>
    <xf numFmtId="0" fontId="64" fillId="0" borderId="19" xfId="0" applyFont="1" applyFill="1" applyBorder="1" applyAlignment="1" applyProtection="1">
      <alignment horizontal="center" vertical="center"/>
      <protection hidden="1"/>
    </xf>
    <xf numFmtId="0" fontId="64" fillId="0" borderId="134"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wrapText="1"/>
      <protection hidden="1"/>
    </xf>
    <xf numFmtId="0" fontId="67" fillId="0" borderId="0" xfId="0" applyFont="1" applyFill="1" applyBorder="1" applyAlignment="1" applyProtection="1">
      <alignment horizontal="center" vertical="center"/>
      <protection hidden="1"/>
    </xf>
    <xf numFmtId="0" fontId="68" fillId="0" borderId="0" xfId="0" applyFont="1" applyFill="1" applyBorder="1" applyAlignment="1" applyProtection="1">
      <alignment horizontal="center" vertical="center"/>
      <protection hidden="1"/>
    </xf>
    <xf numFmtId="0" fontId="69" fillId="0" borderId="0" xfId="0" applyFont="1" applyFill="1" applyBorder="1" applyAlignment="1" applyProtection="1">
      <alignment horizontal="center" vertical="center"/>
      <protection hidden="1"/>
    </xf>
    <xf numFmtId="0" fontId="70" fillId="0" borderId="0" xfId="0" applyFont="1" applyFill="1" applyBorder="1" applyAlignment="1" applyProtection="1">
      <alignment horizontal="center" vertical="center"/>
      <protection hidden="1"/>
    </xf>
    <xf numFmtId="165" fontId="23"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10" fillId="0" borderId="0" xfId="0" applyFont="1" applyAlignment="1" applyProtection="1">
      <alignment vertical="center"/>
      <protection hidden="1"/>
    </xf>
    <xf numFmtId="0" fontId="39" fillId="0" borderId="35" xfId="0" applyFont="1" applyFill="1" applyBorder="1" applyAlignment="1" applyProtection="1">
      <alignment horizontal="left" vertical="center" wrapText="1"/>
      <protection hidden="1"/>
    </xf>
    <xf numFmtId="0" fontId="55" fillId="0" borderId="36" xfId="0" applyFont="1" applyFill="1" applyBorder="1" applyAlignment="1" applyProtection="1">
      <alignment horizontal="center" vertical="center" wrapText="1"/>
      <protection hidden="1"/>
    </xf>
    <xf numFmtId="0" fontId="55" fillId="0" borderId="37" xfId="0" applyFont="1" applyFill="1" applyBorder="1" applyAlignment="1" applyProtection="1">
      <alignment horizontal="center" vertical="center"/>
      <protection hidden="1"/>
    </xf>
    <xf numFmtId="0" fontId="49" fillId="0" borderId="143" xfId="0" applyFont="1" applyFill="1" applyBorder="1" applyAlignment="1" applyProtection="1">
      <alignment horizontal="center" vertical="center" wrapText="1"/>
      <protection hidden="1"/>
    </xf>
    <xf numFmtId="0" fontId="124" fillId="0" borderId="143" xfId="0" applyFont="1" applyFill="1" applyBorder="1" applyAlignment="1" applyProtection="1">
      <alignment horizontal="left" vertical="center" wrapText="1"/>
      <protection hidden="1"/>
    </xf>
    <xf numFmtId="0" fontId="124" fillId="0" borderId="181" xfId="0" applyFont="1" applyFill="1" applyBorder="1" applyAlignment="1" applyProtection="1">
      <alignment horizontal="center" vertical="center" wrapText="1"/>
      <protection hidden="1"/>
    </xf>
    <xf numFmtId="1" fontId="46" fillId="0" borderId="143" xfId="0" applyNumberFormat="1" applyFont="1" applyFill="1" applyBorder="1" applyAlignment="1" applyProtection="1">
      <alignment horizontal="center" vertical="center" wrapText="1"/>
      <protection hidden="1"/>
    </xf>
    <xf numFmtId="2" fontId="123" fillId="0" borderId="143" xfId="0" applyNumberFormat="1" applyFont="1" applyFill="1" applyBorder="1" applyAlignment="1" applyProtection="1">
      <alignment horizontal="center" vertical="center" wrapText="1"/>
      <protection hidden="1"/>
    </xf>
    <xf numFmtId="0" fontId="123" fillId="0" borderId="143" xfId="0" applyFont="1" applyBorder="1" applyAlignment="1" applyProtection="1">
      <alignment horizontal="center" vertical="center" wrapText="1"/>
      <protection hidden="1"/>
    </xf>
    <xf numFmtId="167" fontId="46" fillId="0" borderId="143" xfId="0" applyNumberFormat="1" applyFont="1" applyBorder="1" applyAlignment="1" applyProtection="1">
      <alignment horizontal="center" vertical="center" wrapText="1"/>
      <protection hidden="1"/>
    </xf>
    <xf numFmtId="0" fontId="76" fillId="0" borderId="143" xfId="0" applyFont="1" applyBorder="1" applyAlignment="1" applyProtection="1">
      <alignment horizontal="center" vertical="center" wrapText="1"/>
      <protection hidden="1"/>
    </xf>
    <xf numFmtId="0" fontId="46" fillId="0" borderId="143" xfId="0" applyFont="1" applyFill="1" applyBorder="1" applyAlignment="1" applyProtection="1">
      <alignment horizontal="center" vertical="center" wrapText="1"/>
      <protection hidden="1"/>
    </xf>
    <xf numFmtId="0" fontId="38" fillId="0" borderId="35" xfId="0" applyFont="1" applyFill="1" applyBorder="1" applyAlignment="1" applyProtection="1">
      <alignment horizontal="left" vertical="center" wrapText="1"/>
      <protection hidden="1"/>
    </xf>
    <xf numFmtId="0" fontId="46" fillId="0" borderId="16" xfId="0" applyFont="1" applyBorder="1" applyAlignment="1" applyProtection="1">
      <alignment horizontal="center" vertical="center" wrapText="1"/>
      <protection hidden="1"/>
    </xf>
    <xf numFmtId="0" fontId="46" fillId="0" borderId="17"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11" fillId="0" borderId="0" xfId="0" applyFont="1" applyFill="1" applyBorder="1" applyAlignment="1" applyProtection="1">
      <alignment horizontal="center" vertical="center" wrapText="1"/>
      <protection hidden="1"/>
    </xf>
    <xf numFmtId="0" fontId="112" fillId="0" borderId="0" xfId="0" applyFont="1" applyFill="1" applyBorder="1" applyAlignment="1" applyProtection="1">
      <alignment horizontal="center" wrapText="1"/>
      <protection hidden="1"/>
    </xf>
    <xf numFmtId="0" fontId="115" fillId="0" borderId="42" xfId="0" applyFont="1" applyBorder="1" applyAlignment="1" applyProtection="1">
      <alignment vertical="center"/>
      <protection hidden="1"/>
    </xf>
    <xf numFmtId="0" fontId="31" fillId="0" borderId="143" xfId="0" applyFont="1" applyFill="1" applyBorder="1" applyAlignment="1" applyProtection="1">
      <alignment horizontal="center" vertical="center" wrapText="1"/>
      <protection hidden="1"/>
    </xf>
    <xf numFmtId="0" fontId="35" fillId="0" borderId="35" xfId="0" applyFont="1" applyBorder="1" applyAlignment="1" applyProtection="1">
      <alignment vertical="center"/>
      <protection hidden="1"/>
    </xf>
    <xf numFmtId="0" fontId="116" fillId="0" borderId="36" xfId="0" applyFont="1" applyFill="1" applyBorder="1" applyAlignment="1" applyProtection="1">
      <alignment horizontal="center" vertical="center" wrapText="1"/>
      <protection hidden="1"/>
    </xf>
    <xf numFmtId="0" fontId="117" fillId="0" borderId="37" xfId="0" applyFont="1" applyBorder="1" applyAlignment="1" applyProtection="1">
      <alignment horizontal="center" vertical="center" wrapText="1"/>
      <protection hidden="1"/>
    </xf>
    <xf numFmtId="1" fontId="31" fillId="0" borderId="143" xfId="0" applyNumberFormat="1" applyFont="1" applyBorder="1" applyAlignment="1" applyProtection="1">
      <alignment horizontal="center" vertical="center"/>
      <protection hidden="1"/>
    </xf>
    <xf numFmtId="0" fontId="49" fillId="0" borderId="36" xfId="0" applyFont="1" applyFill="1" applyBorder="1" applyAlignment="1" applyProtection="1">
      <alignment horizontal="center" vertical="center"/>
      <protection hidden="1"/>
    </xf>
    <xf numFmtId="0" fontId="49" fillId="0" borderId="37" xfId="0" applyFont="1" applyBorder="1" applyAlignment="1" applyProtection="1">
      <alignment horizontal="center" vertical="center"/>
      <protection hidden="1"/>
    </xf>
    <xf numFmtId="1" fontId="31" fillId="0" borderId="143" xfId="0" applyNumberFormat="1" applyFont="1" applyFill="1" applyBorder="1" applyAlignment="1" applyProtection="1">
      <alignment horizontal="center" vertical="center" wrapText="1"/>
      <protection hidden="1"/>
    </xf>
    <xf numFmtId="0" fontId="31" fillId="0" borderId="143" xfId="0" applyFont="1" applyBorder="1" applyAlignment="1" applyProtection="1">
      <alignment horizontal="center" vertical="center"/>
      <protection hidden="1"/>
    </xf>
    <xf numFmtId="0" fontId="113" fillId="0" borderId="0" xfId="0" applyFont="1" applyFill="1" applyBorder="1" applyAlignment="1" applyProtection="1">
      <alignment horizontal="center" vertical="center" wrapText="1"/>
      <protection hidden="1"/>
    </xf>
    <xf numFmtId="0" fontId="118" fillId="0" borderId="0" xfId="0" applyFont="1" applyFill="1" applyBorder="1" applyAlignment="1" applyProtection="1">
      <alignment horizontal="center" wrapText="1"/>
      <protection hidden="1"/>
    </xf>
    <xf numFmtId="167" fontId="31" fillId="0" borderId="143" xfId="0" applyNumberFormat="1" applyFont="1" applyBorder="1" applyAlignment="1" applyProtection="1">
      <alignment horizontal="center" vertical="center" wrapText="1"/>
      <protection hidden="1"/>
    </xf>
    <xf numFmtId="167" fontId="31" fillId="0" borderId="143" xfId="0" applyNumberFormat="1" applyFont="1" applyBorder="1" applyAlignment="1" applyProtection="1">
      <alignment horizontal="center" vertical="center"/>
      <protection hidden="1"/>
    </xf>
    <xf numFmtId="0" fontId="119" fillId="0" borderId="36"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15" fillId="0" borderId="0" xfId="0" applyFont="1" applyAlignment="1" applyProtection="1">
      <alignment vertical="center"/>
      <protection hidden="1"/>
    </xf>
    <xf numFmtId="0" fontId="35" fillId="0" borderId="0" xfId="0" applyFont="1" applyAlignment="1" applyProtection="1">
      <alignment vertical="center"/>
      <protection hidden="1"/>
    </xf>
    <xf numFmtId="2" fontId="46" fillId="0" borderId="36" xfId="0" applyNumberFormat="1" applyFont="1" applyFill="1" applyBorder="1" applyAlignment="1" applyProtection="1">
      <alignment horizontal="center" vertical="center"/>
      <protection hidden="1"/>
    </xf>
    <xf numFmtId="2" fontId="46" fillId="0" borderId="37" xfId="0" applyNumberFormat="1" applyFont="1" applyFill="1" applyBorder="1" applyAlignment="1" applyProtection="1">
      <alignment horizontal="center" vertical="center"/>
      <protection hidden="1"/>
    </xf>
    <xf numFmtId="0" fontId="119" fillId="0" borderId="47" xfId="0" applyFont="1" applyFill="1" applyBorder="1" applyAlignment="1" applyProtection="1">
      <alignment horizontal="center" vertical="center"/>
      <protection hidden="1"/>
    </xf>
    <xf numFmtId="0" fontId="49" fillId="0" borderId="48" xfId="0" applyFont="1" applyBorder="1" applyAlignment="1" applyProtection="1">
      <alignment horizontal="center" vertical="center"/>
      <protection hidden="1"/>
    </xf>
    <xf numFmtId="2" fontId="38" fillId="0" borderId="51" xfId="0" applyNumberFormat="1" applyFont="1" applyFill="1" applyBorder="1" applyAlignment="1" applyProtection="1">
      <alignment horizontal="center" vertical="center" textRotation="90" wrapText="1"/>
      <protection hidden="1"/>
    </xf>
    <xf numFmtId="2" fontId="38" fillId="0" borderId="149" xfId="0" applyNumberFormat="1" applyFont="1" applyFill="1" applyBorder="1" applyAlignment="1" applyProtection="1">
      <alignment horizontal="center" vertical="center" textRotation="90" wrapText="1"/>
      <protection hidden="1"/>
    </xf>
    <xf numFmtId="2" fontId="63" fillId="0" borderId="163" xfId="0" applyNumberFormat="1" applyFont="1" applyFill="1" applyBorder="1" applyAlignment="1" applyProtection="1">
      <alignment horizontal="center" vertical="center" textRotation="90" wrapText="1"/>
      <protection hidden="1"/>
    </xf>
    <xf numFmtId="171" fontId="123" fillId="0" borderId="51" xfId="0" applyNumberFormat="1" applyFont="1" applyFill="1" applyBorder="1" applyAlignment="1" applyProtection="1">
      <alignment horizontal="center" vertical="center" wrapText="1"/>
      <protection hidden="1"/>
    </xf>
    <xf numFmtId="0" fontId="123" fillId="0" borderId="51" xfId="0" applyFont="1" applyFill="1" applyBorder="1" applyAlignment="1" applyProtection="1">
      <alignment horizontal="left" vertical="center" wrapText="1"/>
      <protection hidden="1"/>
    </xf>
    <xf numFmtId="0" fontId="283" fillId="0" borderId="51" xfId="0" applyFont="1" applyFill="1" applyBorder="1" applyAlignment="1" applyProtection="1">
      <alignment horizontal="center" vertical="center" wrapText="1"/>
      <protection hidden="1"/>
    </xf>
    <xf numFmtId="172" fontId="52" fillId="0" borderId="51" xfId="0" applyNumberFormat="1" applyFont="1" applyFill="1" applyBorder="1" applyAlignment="1" applyProtection="1">
      <alignment horizontal="center" vertical="center" wrapText="1"/>
      <protection hidden="1"/>
    </xf>
    <xf numFmtId="2" fontId="283" fillId="0" borderId="51" xfId="0" applyNumberFormat="1" applyFont="1" applyFill="1" applyBorder="1" applyAlignment="1" applyProtection="1">
      <alignment horizontal="left" vertical="center" wrapText="1"/>
      <protection hidden="1"/>
    </xf>
    <xf numFmtId="2" fontId="123" fillId="0" borderId="51" xfId="0" applyNumberFormat="1" applyFont="1" applyFill="1" applyBorder="1" applyAlignment="1" applyProtection="1">
      <alignment horizontal="center" vertical="center" wrapText="1"/>
      <protection hidden="1"/>
    </xf>
    <xf numFmtId="0" fontId="17" fillId="0" borderId="171" xfId="0" applyFont="1" applyBorder="1" applyAlignment="1" applyProtection="1">
      <alignment horizontal="center" vertical="center" wrapText="1"/>
      <protection hidden="1"/>
    </xf>
    <xf numFmtId="0" fontId="111" fillId="0" borderId="59" xfId="0" applyFont="1" applyFill="1" applyBorder="1" applyAlignment="1" applyProtection="1">
      <alignment vertical="center" wrapText="1"/>
      <protection hidden="1"/>
    </xf>
    <xf numFmtId="0" fontId="121" fillId="0" borderId="51" xfId="0" applyFont="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0" fontId="107" fillId="0" borderId="59" xfId="0" applyFont="1" applyBorder="1" applyProtection="1">
      <protection hidden="1"/>
    </xf>
    <xf numFmtId="0" fontId="108" fillId="0" borderId="59" xfId="0" applyFont="1" applyBorder="1" applyProtection="1">
      <protection hidden="1"/>
    </xf>
    <xf numFmtId="0" fontId="0" fillId="0" borderId="59" xfId="0" applyBorder="1" applyProtection="1">
      <protection hidden="1"/>
    </xf>
    <xf numFmtId="167" fontId="20" fillId="0" borderId="0"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68" fontId="20" fillId="0" borderId="0" xfId="0" applyNumberFormat="1" applyFont="1" applyFill="1" applyBorder="1" applyAlignment="1" applyProtection="1">
      <alignment horizontal="center" vertical="center" wrapText="1"/>
      <protection hidden="1"/>
    </xf>
    <xf numFmtId="1" fontId="20" fillId="0" borderId="51" xfId="0" applyNumberFormat="1" applyFont="1" applyFill="1" applyBorder="1" applyAlignment="1" applyProtection="1">
      <alignment horizontal="center" vertical="center"/>
      <protection hidden="1"/>
    </xf>
    <xf numFmtId="0" fontId="111" fillId="0" borderId="0" xfId="0" applyFont="1" applyFill="1" applyBorder="1" applyAlignment="1" applyProtection="1">
      <alignment vertical="center" wrapText="1"/>
      <protection hidden="1"/>
    </xf>
    <xf numFmtId="0" fontId="0" fillId="0" borderId="60" xfId="0" applyBorder="1" applyProtection="1">
      <protection hidden="1"/>
    </xf>
    <xf numFmtId="0" fontId="0" fillId="0" borderId="61" xfId="0" applyBorder="1" applyProtection="1">
      <protection hidden="1"/>
    </xf>
    <xf numFmtId="0" fontId="0" fillId="0" borderId="61" xfId="0" applyBorder="1" applyAlignment="1" applyProtection="1">
      <alignment horizontal="left"/>
      <protection hidden="1"/>
    </xf>
    <xf numFmtId="0" fontId="0" fillId="0" borderId="170" xfId="0" applyBorder="1" applyProtection="1">
      <protection hidden="1"/>
    </xf>
    <xf numFmtId="0" fontId="0" fillId="0" borderId="0" xfId="0" applyAlignment="1" applyProtection="1">
      <alignment horizontal="left"/>
      <protection hidden="1"/>
    </xf>
    <xf numFmtId="0" fontId="128" fillId="0" borderId="0" xfId="0" applyFont="1" applyBorder="1" applyAlignment="1" applyProtection="1">
      <protection hidden="1"/>
    </xf>
    <xf numFmtId="0" fontId="93" fillId="0" borderId="0" xfId="0" applyNumberFormat="1" applyFont="1" applyFill="1" applyBorder="1" applyAlignment="1" applyProtection="1">
      <alignment vertical="top" wrapText="1"/>
      <protection hidden="1"/>
    </xf>
    <xf numFmtId="0" fontId="6" fillId="0" borderId="0" xfId="0" applyFont="1" applyBorder="1" applyAlignment="1" applyProtection="1">
      <alignment vertical="center"/>
      <protection hidden="1"/>
    </xf>
    <xf numFmtId="0" fontId="180" fillId="0" borderId="0" xfId="0" applyFont="1" applyBorder="1" applyAlignment="1" applyProtection="1">
      <protection hidden="1"/>
    </xf>
    <xf numFmtId="0" fontId="93"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93" fillId="0" borderId="0" xfId="0" applyFont="1" applyBorder="1" applyAlignment="1" applyProtection="1">
      <alignment horizontal="right" vertical="center" wrapText="1"/>
      <protection hidden="1"/>
    </xf>
    <xf numFmtId="170" fontId="129" fillId="0" borderId="0" xfId="0" applyNumberFormat="1" applyFont="1" applyBorder="1" applyAlignment="1" applyProtection="1">
      <alignment horizontal="center"/>
      <protection hidden="1"/>
    </xf>
    <xf numFmtId="0" fontId="106" fillId="0" borderId="172" xfId="0" applyFont="1" applyFill="1" applyBorder="1" applyAlignment="1" applyProtection="1">
      <alignment horizontal="center" vertical="center" wrapText="1"/>
      <protection hidden="1"/>
    </xf>
    <xf numFmtId="0" fontId="126" fillId="0" borderId="172" xfId="0" applyNumberFormat="1" applyFont="1" applyFill="1" applyBorder="1" applyAlignment="1" applyProtection="1">
      <alignment horizontal="center" vertical="center" wrapText="1"/>
      <protection hidden="1"/>
    </xf>
    <xf numFmtId="0" fontId="183" fillId="0" borderId="172" xfId="0" applyNumberFormat="1" applyFont="1" applyFill="1" applyBorder="1" applyAlignment="1" applyProtection="1">
      <alignment horizontal="center" vertical="center" wrapText="1"/>
      <protection hidden="1"/>
    </xf>
    <xf numFmtId="1" fontId="183" fillId="0" borderId="172" xfId="0" applyNumberFormat="1" applyFont="1" applyFill="1" applyBorder="1" applyAlignment="1" applyProtection="1">
      <alignment horizontal="center" vertical="center" wrapText="1"/>
      <protection hidden="1"/>
    </xf>
    <xf numFmtId="0" fontId="127" fillId="0" borderId="172" xfId="0" applyNumberFormat="1" applyFont="1" applyFill="1" applyBorder="1" applyAlignment="1" applyProtection="1">
      <alignment horizontal="center" vertical="center" wrapText="1"/>
      <protection hidden="1"/>
    </xf>
    <xf numFmtId="1" fontId="125" fillId="0" borderId="172" xfId="0" applyNumberFormat="1" applyFont="1" applyFill="1" applyBorder="1" applyAlignment="1" applyProtection="1">
      <alignment horizontal="center" vertical="center" wrapText="1"/>
      <protection hidden="1"/>
    </xf>
    <xf numFmtId="0" fontId="272" fillId="0" borderId="0" xfId="0" applyFont="1" applyBorder="1" applyAlignment="1" applyProtection="1">
      <protection hidden="1"/>
    </xf>
    <xf numFmtId="0" fontId="278" fillId="0" borderId="0" xfId="0" applyNumberFormat="1" applyFont="1" applyProtection="1">
      <protection hidden="1"/>
    </xf>
    <xf numFmtId="0" fontId="238" fillId="0" borderId="0" xfId="0" applyNumberFormat="1" applyFont="1" applyBorder="1" applyAlignment="1" applyProtection="1">
      <alignment horizontal="right" vertical="top" wrapText="1"/>
      <protection hidden="1"/>
    </xf>
    <xf numFmtId="0" fontId="0" fillId="0" borderId="0" xfId="0" applyNumberFormat="1" applyFont="1" applyProtection="1">
      <protection hidden="1"/>
    </xf>
    <xf numFmtId="0" fontId="63" fillId="0" borderId="0" xfId="0" applyNumberFormat="1" applyFont="1" applyBorder="1" applyAlignment="1" applyProtection="1">
      <alignment horizontal="left" vertical="center" wrapText="1"/>
      <protection hidden="1"/>
    </xf>
    <xf numFmtId="0" fontId="0" fillId="0" borderId="0" xfId="0" applyNumberFormat="1" applyProtection="1">
      <protection hidden="1"/>
    </xf>
    <xf numFmtId="0" fontId="278"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72" fillId="0" borderId="195" xfId="0" applyNumberFormat="1" applyFont="1" applyFill="1" applyBorder="1" applyAlignment="1" applyProtection="1">
      <alignment horizontal="center" vertical="center" wrapText="1"/>
      <protection hidden="1"/>
    </xf>
    <xf numFmtId="0" fontId="52" fillId="0" borderId="195" xfId="0" applyNumberFormat="1" applyFont="1" applyFill="1" applyBorder="1" applyAlignment="1" applyProtection="1">
      <alignment horizontal="center" vertical="center" wrapText="1"/>
      <protection hidden="1"/>
    </xf>
    <xf numFmtId="0" fontId="255" fillId="0" borderId="195" xfId="0" applyNumberFormat="1" applyFont="1" applyFill="1" applyBorder="1" applyAlignment="1" applyProtection="1">
      <alignment horizontal="center" vertical="center" wrapText="1"/>
      <protection hidden="1"/>
    </xf>
    <xf numFmtId="0" fontId="110" fillId="9"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protection hidden="1"/>
    </xf>
    <xf numFmtId="0" fontId="285" fillId="9" borderId="0" xfId="0" applyFont="1" applyFill="1" applyBorder="1" applyAlignment="1" applyProtection="1">
      <alignment horizontal="center"/>
    </xf>
    <xf numFmtId="171" fontId="286" fillId="9" borderId="0" xfId="0" applyNumberFormat="1" applyFont="1" applyFill="1" applyBorder="1" applyAlignment="1" applyProtection="1">
      <alignment horizontal="center" vertical="top"/>
    </xf>
    <xf numFmtId="0" fontId="10" fillId="29" borderId="0" xfId="0" applyFont="1" applyFill="1" applyBorder="1" applyAlignment="1" applyProtection="1">
      <alignment vertical="center" wrapText="1"/>
      <protection hidden="1"/>
    </xf>
    <xf numFmtId="0" fontId="168" fillId="29" borderId="0" xfId="0" applyFont="1" applyFill="1" applyBorder="1" applyAlignment="1" applyProtection="1">
      <alignment vertical="center" wrapText="1"/>
      <protection hidden="1"/>
    </xf>
    <xf numFmtId="0" fontId="11" fillId="29" borderId="0" xfId="0" applyFont="1" applyFill="1" applyBorder="1" applyAlignment="1" applyProtection="1">
      <alignment vertical="center"/>
      <protection hidden="1"/>
    </xf>
    <xf numFmtId="0" fontId="228" fillId="30" borderId="212" xfId="0" applyFont="1" applyFill="1" applyBorder="1" applyAlignment="1" applyProtection="1">
      <alignment horizontal="right"/>
      <protection hidden="1"/>
    </xf>
    <xf numFmtId="0" fontId="8" fillId="32" borderId="213" xfId="0" applyFont="1" applyFill="1" applyBorder="1" applyAlignment="1" applyProtection="1">
      <alignment vertical="center"/>
      <protection locked="0"/>
    </xf>
    <xf numFmtId="0" fontId="228" fillId="30" borderId="214" xfId="0" applyFont="1" applyFill="1" applyBorder="1" applyAlignment="1" applyProtection="1">
      <alignment horizontal="right" vertical="center"/>
      <protection hidden="1"/>
    </xf>
    <xf numFmtId="0" fontId="229" fillId="32" borderId="215" xfId="0" applyFont="1" applyFill="1" applyBorder="1" applyAlignment="1" applyProtection="1">
      <alignment vertical="center"/>
      <protection locked="0"/>
    </xf>
    <xf numFmtId="0" fontId="8" fillId="32" borderId="215" xfId="0" applyFont="1" applyFill="1" applyBorder="1" applyAlignment="1" applyProtection="1">
      <alignment horizontal="left" vertical="center"/>
      <protection locked="0"/>
    </xf>
    <xf numFmtId="0" fontId="229" fillId="32" borderId="215" xfId="0" applyFont="1" applyFill="1" applyBorder="1" applyAlignment="1" applyProtection="1">
      <alignment horizontal="left" vertical="center"/>
      <protection locked="0"/>
    </xf>
    <xf numFmtId="171" fontId="194" fillId="32" borderId="215" xfId="0" applyNumberFormat="1" applyFont="1" applyFill="1" applyBorder="1" applyAlignment="1" applyProtection="1">
      <alignment horizontal="left" vertical="center"/>
      <protection locked="0"/>
    </xf>
    <xf numFmtId="0" fontId="288" fillId="30" borderId="214" xfId="0" applyFont="1" applyFill="1" applyBorder="1" applyAlignment="1" applyProtection="1">
      <alignment horizontal="right" vertical="center"/>
      <protection hidden="1"/>
    </xf>
    <xf numFmtId="0" fontId="289" fillId="32" borderId="215" xfId="0" applyFont="1" applyFill="1" applyBorder="1" applyAlignment="1" applyProtection="1">
      <alignment horizontal="left" vertical="center"/>
      <protection locked="0"/>
    </xf>
    <xf numFmtId="0" fontId="229" fillId="3" borderId="215" xfId="0" applyFont="1" applyFill="1" applyBorder="1" applyAlignment="1" applyProtection="1">
      <alignment horizontal="left" vertical="center"/>
      <protection locked="0"/>
    </xf>
    <xf numFmtId="171" fontId="194" fillId="32" borderId="216" xfId="0" applyNumberFormat="1" applyFont="1" applyFill="1" applyBorder="1" applyAlignment="1" applyProtection="1">
      <alignment horizontal="left" vertical="center"/>
      <protection locked="0"/>
    </xf>
    <xf numFmtId="0" fontId="228" fillId="31" borderId="217" xfId="0" applyFont="1" applyFill="1" applyBorder="1" applyAlignment="1" applyProtection="1">
      <alignment horizontal="right" vertical="center"/>
      <protection hidden="1"/>
    </xf>
    <xf numFmtId="171" fontId="190" fillId="32" borderId="218" xfId="0" applyNumberFormat="1" applyFont="1" applyFill="1" applyBorder="1" applyAlignment="1" applyProtection="1">
      <alignment horizontal="left" vertical="center"/>
      <protection locked="0"/>
    </xf>
    <xf numFmtId="0" fontId="25" fillId="10" borderId="224" xfId="0" applyFont="1" applyFill="1" applyBorder="1" applyAlignment="1" applyProtection="1">
      <alignment vertical="center"/>
      <protection locked="0"/>
    </xf>
    <xf numFmtId="0" fontId="25" fillId="10" borderId="225" xfId="0" applyFont="1" applyFill="1" applyBorder="1" applyAlignment="1" applyProtection="1">
      <alignment vertical="center"/>
      <protection locked="0"/>
    </xf>
    <xf numFmtId="0" fontId="25" fillId="10" borderId="226" xfId="0" applyFont="1" applyFill="1" applyBorder="1" applyAlignment="1" applyProtection="1">
      <alignment vertical="center"/>
      <protection locked="0"/>
    </xf>
    <xf numFmtId="0" fontId="280" fillId="6" borderId="223" xfId="0" applyFont="1" applyFill="1" applyBorder="1" applyAlignment="1" applyProtection="1">
      <alignment vertical="center"/>
      <protection hidden="1"/>
    </xf>
    <xf numFmtId="0" fontId="290" fillId="15" borderId="228" xfId="4" applyFont="1" applyFill="1" applyBorder="1" applyAlignment="1" applyProtection="1">
      <protection locked="0"/>
    </xf>
    <xf numFmtId="0" fontId="291" fillId="26" borderId="0" xfId="0" applyFont="1" applyFill="1" applyAlignment="1" applyProtection="1">
      <alignment horizontal="center" vertical="center"/>
      <protection hidden="1"/>
    </xf>
    <xf numFmtId="0" fontId="292" fillId="26" borderId="0" xfId="0" applyFont="1" applyFill="1" applyBorder="1" applyAlignment="1" applyProtection="1">
      <alignment horizontal="center" vertical="center"/>
      <protection hidden="1"/>
    </xf>
    <xf numFmtId="0" fontId="293" fillId="6" borderId="227" xfId="0" applyFont="1" applyFill="1" applyBorder="1" applyAlignment="1" applyProtection="1">
      <alignment vertical="center"/>
      <protection hidden="1"/>
    </xf>
    <xf numFmtId="0" fontId="294" fillId="26" borderId="0" xfId="0" applyFont="1" applyFill="1" applyBorder="1" applyAlignment="1" applyProtection="1">
      <alignment horizontal="center" vertical="center"/>
      <protection hidden="1"/>
    </xf>
    <xf numFmtId="0" fontId="295" fillId="7" borderId="219" xfId="0" applyFont="1" applyFill="1" applyBorder="1" applyAlignment="1" applyProtection="1">
      <alignment horizontal="left" vertical="center"/>
      <protection locked="0"/>
    </xf>
    <xf numFmtId="0" fontId="295" fillId="7" borderId="220" xfId="0" applyFont="1" applyFill="1" applyBorder="1" applyAlignment="1" applyProtection="1">
      <alignment horizontal="left" vertical="center"/>
      <protection locked="0"/>
    </xf>
    <xf numFmtId="0" fontId="295" fillId="7" borderId="221" xfId="0" applyFont="1" applyFill="1" applyBorder="1" applyAlignment="1" applyProtection="1">
      <alignment horizontal="left" vertical="center"/>
      <protection locked="0"/>
    </xf>
    <xf numFmtId="0" fontId="235" fillId="35" borderId="51" xfId="0" applyFont="1" applyFill="1" applyBorder="1" applyAlignment="1" applyProtection="1">
      <alignment horizontal="center" vertical="center"/>
      <protection hidden="1"/>
    </xf>
    <xf numFmtId="0" fontId="296" fillId="34" borderId="51" xfId="0" applyFont="1" applyFill="1" applyBorder="1" applyAlignment="1" applyProtection="1">
      <alignment horizontal="center" vertical="center"/>
      <protection hidden="1"/>
    </xf>
    <xf numFmtId="0" fontId="0" fillId="36" borderId="0" xfId="0" applyFill="1" applyProtection="1">
      <protection hidden="1"/>
    </xf>
    <xf numFmtId="0" fontId="0" fillId="37" borderId="0" xfId="0" applyFill="1" applyProtection="1">
      <protection hidden="1"/>
    </xf>
    <xf numFmtId="0" fontId="268" fillId="33" borderId="230" xfId="0" applyFont="1" applyFill="1" applyBorder="1" applyAlignment="1" applyProtection="1">
      <alignment vertical="center"/>
      <protection hidden="1"/>
    </xf>
    <xf numFmtId="0" fontId="8" fillId="3" borderId="19" xfId="0" applyFont="1" applyFill="1" applyBorder="1" applyAlignment="1" applyProtection="1">
      <alignment horizontal="center" vertical="center" wrapText="1"/>
      <protection hidden="1"/>
    </xf>
    <xf numFmtId="0" fontId="28" fillId="12" borderId="233" xfId="0" applyFont="1" applyFill="1" applyBorder="1" applyAlignment="1" applyProtection="1">
      <alignment horizontal="center" vertical="center" wrapText="1"/>
      <protection hidden="1"/>
    </xf>
    <xf numFmtId="0" fontId="28" fillId="12" borderId="234" xfId="0" applyFont="1" applyFill="1" applyBorder="1" applyAlignment="1" applyProtection="1">
      <alignment horizontal="center" vertical="center" wrapText="1"/>
      <protection hidden="1"/>
    </xf>
    <xf numFmtId="0" fontId="276" fillId="12" borderId="234" xfId="0" applyFont="1" applyFill="1" applyBorder="1" applyAlignment="1" applyProtection="1">
      <alignment horizontal="left" vertical="center" wrapText="1"/>
      <protection hidden="1"/>
    </xf>
    <xf numFmtId="0" fontId="28" fillId="12" borderId="235" xfId="0" applyFont="1" applyFill="1" applyBorder="1" applyAlignment="1" applyProtection="1">
      <alignment horizontal="center" vertical="center" wrapText="1"/>
      <protection hidden="1"/>
    </xf>
    <xf numFmtId="0" fontId="28" fillId="12" borderId="236" xfId="0" applyFont="1" applyFill="1" applyBorder="1" applyAlignment="1" applyProtection="1">
      <alignment horizontal="center" vertical="center" wrapText="1"/>
      <protection hidden="1"/>
    </xf>
    <xf numFmtId="0" fontId="38" fillId="13" borderId="239" xfId="0" applyFont="1" applyFill="1" applyBorder="1" applyAlignment="1" applyProtection="1">
      <alignment horizontal="center" vertical="center" textRotation="90" wrapText="1"/>
      <protection hidden="1"/>
    </xf>
    <xf numFmtId="0" fontId="38" fillId="24" borderId="240" xfId="0" applyFont="1" applyFill="1" applyBorder="1" applyAlignment="1" applyProtection="1">
      <alignment horizontal="center" vertical="center" textRotation="90" wrapText="1"/>
      <protection hidden="1"/>
    </xf>
    <xf numFmtId="0" fontId="8" fillId="0" borderId="18" xfId="0" applyFont="1" applyBorder="1" applyAlignment="1" applyProtection="1">
      <alignment horizontal="center" vertical="center" wrapText="1"/>
      <protection hidden="1"/>
    </xf>
    <xf numFmtId="0" fontId="8" fillId="0" borderId="18" xfId="0" applyFont="1" applyBorder="1" applyAlignment="1" applyProtection="1">
      <alignment horizontal="left" vertical="center" wrapText="1"/>
      <protection hidden="1"/>
    </xf>
    <xf numFmtId="1" fontId="30" fillId="0" borderId="4" xfId="0" applyNumberFormat="1" applyFont="1" applyBorder="1" applyAlignment="1" applyProtection="1">
      <alignment horizontal="center" vertical="center" wrapText="1"/>
      <protection locked="0"/>
    </xf>
    <xf numFmtId="0" fontId="63" fillId="0" borderId="1" xfId="0" applyFont="1" applyFill="1" applyBorder="1" applyAlignment="1" applyProtection="1">
      <alignment horizontal="center" vertical="center"/>
      <protection locked="0"/>
    </xf>
    <xf numFmtId="171" fontId="8" fillId="0" borderId="18" xfId="0" applyNumberFormat="1" applyFont="1" applyBorder="1" applyAlignment="1" applyProtection="1">
      <alignment horizontal="center" vertical="center" wrapText="1"/>
      <protection hidden="1"/>
    </xf>
    <xf numFmtId="0" fontId="276" fillId="12" borderId="234" xfId="0" applyFont="1" applyFill="1" applyBorder="1" applyAlignment="1" applyProtection="1">
      <alignment horizontal="center" vertical="center" wrapText="1"/>
      <protection hidden="1"/>
    </xf>
    <xf numFmtId="0" fontId="276" fillId="12" borderId="180" xfId="0" applyFont="1" applyFill="1" applyBorder="1" applyAlignment="1" applyProtection="1">
      <alignment horizontal="center" vertical="center" wrapText="1"/>
      <protection hidden="1"/>
    </xf>
    <xf numFmtId="0" fontId="30" fillId="12" borderId="234" xfId="0" applyFont="1" applyFill="1" applyBorder="1" applyAlignment="1" applyProtection="1">
      <alignment horizontal="center" vertical="center" wrapText="1"/>
      <protection hidden="1"/>
    </xf>
    <xf numFmtId="0" fontId="30" fillId="12" borderId="180" xfId="0" applyFont="1" applyFill="1" applyBorder="1" applyAlignment="1" applyProtection="1">
      <alignment horizontal="center" vertical="center" wrapText="1"/>
      <protection hidden="1"/>
    </xf>
    <xf numFmtId="0" fontId="301" fillId="12" borderId="234" xfId="0" applyFont="1" applyFill="1" applyBorder="1" applyAlignment="1" applyProtection="1">
      <alignment horizontal="center" vertical="center" wrapText="1"/>
      <protection hidden="1"/>
    </xf>
    <xf numFmtId="0" fontId="301" fillId="12" borderId="180" xfId="0" applyFont="1" applyFill="1" applyBorder="1" applyAlignment="1" applyProtection="1">
      <alignment horizontal="center" vertical="center" wrapText="1"/>
      <protection hidden="1"/>
    </xf>
    <xf numFmtId="166" fontId="302" fillId="12" borderId="234" xfId="0" applyNumberFormat="1" applyFont="1" applyFill="1" applyBorder="1" applyAlignment="1" applyProtection="1">
      <alignment horizontal="center" vertical="center" wrapText="1"/>
      <protection hidden="1"/>
    </xf>
    <xf numFmtId="166" fontId="302" fillId="12" borderId="180" xfId="0" applyNumberFormat="1" applyFont="1" applyFill="1" applyBorder="1" applyAlignment="1" applyProtection="1">
      <alignment horizontal="center" vertical="center" wrapText="1"/>
      <protection hidden="1"/>
    </xf>
    <xf numFmtId="0" fontId="258" fillId="0" borderId="1" xfId="0" applyFont="1" applyFill="1" applyBorder="1" applyAlignment="1" applyProtection="1">
      <alignment horizontal="center" vertical="center"/>
      <protection locked="0"/>
    </xf>
    <xf numFmtId="0" fontId="38" fillId="24" borderId="239" xfId="0" applyFont="1" applyFill="1" applyBorder="1" applyAlignment="1" applyProtection="1">
      <alignment horizontal="center" vertical="center" textRotation="90" wrapText="1"/>
      <protection hidden="1"/>
    </xf>
    <xf numFmtId="0" fontId="273" fillId="20" borderId="86" xfId="0" applyFont="1" applyFill="1" applyBorder="1" applyAlignment="1" applyProtection="1">
      <alignment horizontal="center" vertical="center" textRotation="90" wrapText="1"/>
    </xf>
    <xf numFmtId="0" fontId="22" fillId="2" borderId="89" xfId="0" applyFont="1" applyFill="1" applyBorder="1" applyAlignment="1" applyProtection="1">
      <alignment horizontal="center" vertical="center" wrapText="1"/>
      <protection locked="0"/>
    </xf>
    <xf numFmtId="0" fontId="63" fillId="20" borderId="93" xfId="0" applyFont="1" applyFill="1" applyBorder="1" applyAlignment="1" applyProtection="1">
      <alignment horizontal="center" vertical="center" textRotation="90" wrapText="1"/>
    </xf>
    <xf numFmtId="0" fontId="273" fillId="20" borderId="93" xfId="0" applyFont="1" applyFill="1" applyBorder="1" applyAlignment="1" applyProtection="1">
      <alignment horizontal="center" vertical="center" textRotation="90" wrapText="1"/>
    </xf>
    <xf numFmtId="0" fontId="273" fillId="12" borderId="86" xfId="0" applyFont="1" applyFill="1" applyBorder="1" applyAlignment="1" applyProtection="1">
      <alignment horizontal="center" vertical="center" textRotation="90" wrapText="1"/>
    </xf>
    <xf numFmtId="0" fontId="63" fillId="12" borderId="93" xfId="0" applyFont="1" applyFill="1" applyBorder="1" applyAlignment="1" applyProtection="1">
      <alignment horizontal="center" vertical="center" textRotation="90" wrapText="1"/>
    </xf>
    <xf numFmtId="0" fontId="273" fillId="12" borderId="93" xfId="0" applyFont="1" applyFill="1" applyBorder="1" applyAlignment="1" applyProtection="1">
      <alignment horizontal="center" vertical="center" textRotation="90" wrapText="1"/>
    </xf>
    <xf numFmtId="0" fontId="273" fillId="17" borderId="86" xfId="0" applyFont="1" applyFill="1" applyBorder="1" applyAlignment="1" applyProtection="1">
      <alignment horizontal="center" vertical="center" textRotation="90" wrapText="1"/>
    </xf>
    <xf numFmtId="0" fontId="63" fillId="17" borderId="93" xfId="0" applyFont="1" applyFill="1" applyBorder="1" applyAlignment="1" applyProtection="1">
      <alignment horizontal="center" vertical="center" textRotation="90" wrapText="1"/>
    </xf>
    <xf numFmtId="0" fontId="273" fillId="17" borderId="93" xfId="0" applyFont="1" applyFill="1" applyBorder="1" applyAlignment="1" applyProtection="1">
      <alignment horizontal="center" vertical="center" textRotation="90" wrapText="1"/>
    </xf>
    <xf numFmtId="0" fontId="248" fillId="0"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250" fillId="0" borderId="116" xfId="0" applyFont="1" applyFill="1" applyBorder="1" applyAlignment="1" applyProtection="1">
      <alignment horizontal="center" vertical="center" wrapText="1"/>
      <protection hidden="1"/>
    </xf>
    <xf numFmtId="0" fontId="306" fillId="0" borderId="0" xfId="0" applyFont="1" applyFill="1" applyBorder="1" applyAlignment="1" applyProtection="1">
      <alignment vertical="center" wrapText="1"/>
    </xf>
    <xf numFmtId="0" fontId="9" fillId="38" borderId="185" xfId="0" applyFont="1" applyFill="1" applyBorder="1" applyAlignment="1" applyProtection="1">
      <alignment horizontal="center" vertical="center" wrapText="1"/>
      <protection locked="0"/>
    </xf>
    <xf numFmtId="0" fontId="31" fillId="38" borderId="10" xfId="0" applyFont="1" applyFill="1" applyBorder="1" applyAlignment="1" applyProtection="1">
      <alignment horizontal="center" vertical="center" wrapText="1"/>
      <protection locked="0"/>
    </xf>
    <xf numFmtId="0" fontId="9" fillId="38" borderId="191" xfId="0" applyFont="1" applyFill="1" applyBorder="1" applyAlignment="1" applyProtection="1">
      <alignment horizontal="center" vertical="center" wrapText="1"/>
      <protection locked="0"/>
    </xf>
    <xf numFmtId="0" fontId="31" fillId="38" borderId="78" xfId="0" applyFont="1" applyFill="1" applyBorder="1" applyAlignment="1" applyProtection="1">
      <alignment horizontal="center" vertical="center" wrapText="1"/>
      <protection locked="0"/>
    </xf>
    <xf numFmtId="0" fontId="9" fillId="38" borderId="186" xfId="0" applyFont="1" applyFill="1" applyBorder="1" applyAlignment="1" applyProtection="1">
      <alignment horizontal="center" vertical="center" wrapText="1"/>
      <protection locked="0"/>
    </xf>
    <xf numFmtId="0" fontId="31" fillId="38" borderId="84" xfId="0" applyFont="1" applyFill="1" applyBorder="1" applyAlignment="1" applyProtection="1">
      <alignment horizontal="center" vertical="center" wrapText="1"/>
      <protection locked="0"/>
    </xf>
    <xf numFmtId="0" fontId="41" fillId="20" borderId="98" xfId="0" applyFont="1" applyFill="1" applyBorder="1" applyAlignment="1" applyProtection="1">
      <alignment vertical="center"/>
      <protection hidden="1"/>
    </xf>
    <xf numFmtId="0" fontId="305" fillId="0" borderId="0" xfId="0" applyFont="1" applyFill="1" applyBorder="1" applyAlignment="1" applyProtection="1">
      <alignment vertical="center" wrapText="1"/>
      <protection locked="0"/>
    </xf>
    <xf numFmtId="0" fontId="9" fillId="38" borderId="184" xfId="0" applyFont="1" applyFill="1" applyBorder="1" applyAlignment="1" applyProtection="1">
      <alignment horizontal="center" vertical="center" wrapText="1"/>
      <protection locked="0"/>
    </xf>
    <xf numFmtId="0" fontId="31" fillId="38" borderId="80" xfId="0" applyFont="1" applyFill="1" applyBorder="1" applyAlignment="1" applyProtection="1">
      <alignment horizontal="center" vertical="center" wrapText="1"/>
      <protection locked="0"/>
    </xf>
    <xf numFmtId="0" fontId="303" fillId="12" borderId="246" xfId="0" applyFont="1" applyFill="1" applyBorder="1" applyAlignment="1" applyProtection="1">
      <alignment horizontal="center" vertical="center" wrapText="1"/>
      <protection hidden="1"/>
    </xf>
    <xf numFmtId="0" fontId="303" fillId="12" borderId="247" xfId="0" applyFont="1" applyFill="1" applyBorder="1" applyAlignment="1" applyProtection="1">
      <alignment horizontal="center" vertical="center" wrapText="1"/>
      <protection hidden="1"/>
    </xf>
    <xf numFmtId="0" fontId="9" fillId="3" borderId="191" xfId="0" applyFont="1" applyFill="1" applyBorder="1" applyAlignment="1" applyProtection="1">
      <alignment horizontal="center" vertical="center" wrapText="1"/>
      <protection locked="0"/>
    </xf>
    <xf numFmtId="0" fontId="173" fillId="3" borderId="248" xfId="0" applyFont="1" applyFill="1" applyBorder="1" applyAlignment="1" applyProtection="1">
      <alignment horizontal="center" vertical="center" wrapText="1"/>
      <protection locked="0"/>
    </xf>
    <xf numFmtId="0" fontId="174" fillId="3" borderId="81" xfId="0" applyFont="1" applyFill="1" applyBorder="1" applyAlignment="1" applyProtection="1">
      <alignment horizontal="center" vertical="center" wrapText="1"/>
      <protection locked="0"/>
    </xf>
    <xf numFmtId="0" fontId="174" fillId="3" borderId="82" xfId="0" applyFont="1" applyFill="1" applyBorder="1" applyAlignment="1" applyProtection="1">
      <alignment horizontal="center" vertical="center" wrapText="1"/>
      <protection locked="0"/>
    </xf>
    <xf numFmtId="0" fontId="174" fillId="3" borderId="248" xfId="0" applyFont="1" applyFill="1" applyBorder="1" applyAlignment="1" applyProtection="1">
      <alignment horizontal="center" vertical="center" wrapText="1"/>
      <protection locked="0"/>
    </xf>
    <xf numFmtId="0" fontId="174" fillId="3" borderId="85" xfId="0" applyFont="1" applyFill="1" applyBorder="1" applyAlignment="1" applyProtection="1">
      <alignment horizontal="center" vertical="center" wrapText="1"/>
      <protection locked="0"/>
    </xf>
    <xf numFmtId="0" fontId="172" fillId="12" borderId="7" xfId="0" applyFont="1" applyFill="1" applyBorder="1" applyAlignment="1" applyProtection="1">
      <alignment horizontal="center" vertical="center"/>
      <protection hidden="1"/>
    </xf>
    <xf numFmtId="0" fontId="172" fillId="12" borderId="21" xfId="0" applyFont="1" applyFill="1" applyBorder="1" applyAlignment="1" applyProtection="1">
      <alignment horizontal="center" vertical="center"/>
      <protection hidden="1"/>
    </xf>
    <xf numFmtId="0" fontId="183" fillId="12" borderId="179" xfId="0" applyFont="1" applyFill="1" applyBorder="1" applyAlignment="1" applyProtection="1">
      <alignment horizontal="center" wrapText="1"/>
      <protection hidden="1"/>
    </xf>
    <xf numFmtId="0" fontId="183" fillId="12" borderId="204" xfId="0" applyFont="1" applyFill="1" applyBorder="1" applyAlignment="1" applyProtection="1">
      <alignment horizontal="center" wrapText="1"/>
      <protection hidden="1"/>
    </xf>
    <xf numFmtId="0" fontId="38" fillId="0" borderId="116" xfId="0" applyFont="1" applyFill="1" applyBorder="1" applyAlignment="1" applyProtection="1">
      <alignment horizontal="center" vertical="center" textRotation="90" wrapText="1"/>
      <protection hidden="1"/>
    </xf>
    <xf numFmtId="0" fontId="249" fillId="0" borderId="116" xfId="0" applyFont="1" applyFill="1" applyBorder="1" applyAlignment="1" applyProtection="1">
      <alignment horizontal="center" vertical="center" wrapText="1"/>
      <protection hidden="1"/>
    </xf>
    <xf numFmtId="0" fontId="248" fillId="0" borderId="116" xfId="0" applyFont="1" applyFill="1" applyBorder="1" applyAlignment="1" applyProtection="1">
      <alignment horizontal="center" vertical="center" wrapText="1"/>
      <protection hidden="1"/>
    </xf>
    <xf numFmtId="0" fontId="273" fillId="0" borderId="116" xfId="0" applyFont="1" applyFill="1" applyBorder="1" applyAlignment="1" applyProtection="1">
      <alignment horizontal="center" vertical="center" textRotation="90" wrapText="1"/>
      <protection hidden="1"/>
    </xf>
    <xf numFmtId="0" fontId="273" fillId="0" borderId="116" xfId="0" applyFont="1" applyFill="1" applyBorder="1" applyAlignment="1" applyProtection="1">
      <alignment horizontal="center" vertical="center" textRotation="90" wrapText="1"/>
      <protection hidden="1"/>
    </xf>
    <xf numFmtId="0" fontId="313" fillId="0" borderId="119" xfId="0" applyFont="1" applyFill="1" applyBorder="1" applyAlignment="1" applyProtection="1">
      <alignment horizontal="center" vertical="center" textRotation="90" wrapText="1"/>
      <protection hidden="1"/>
    </xf>
    <xf numFmtId="0" fontId="273" fillId="0" borderId="116" xfId="0" applyFont="1" applyFill="1" applyBorder="1" applyAlignment="1" applyProtection="1">
      <alignment horizontal="center" vertical="center" textRotation="90" wrapText="1"/>
      <protection hidden="1"/>
    </xf>
    <xf numFmtId="0" fontId="236" fillId="0" borderId="116" xfId="0" applyFont="1" applyFill="1" applyBorder="1" applyAlignment="1" applyProtection="1">
      <alignment horizontal="center" vertical="center" textRotation="90" wrapText="1"/>
      <protection hidden="1"/>
    </xf>
    <xf numFmtId="0" fontId="38" fillId="0" borderId="116" xfId="0" applyFont="1" applyFill="1" applyBorder="1" applyAlignment="1" applyProtection="1">
      <alignment horizontal="center" vertical="center" textRotation="90" wrapText="1"/>
      <protection hidden="1"/>
    </xf>
    <xf numFmtId="0" fontId="248" fillId="0"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236" fillId="0" borderId="116" xfId="0" applyFont="1" applyFill="1" applyBorder="1" applyAlignment="1" applyProtection="1">
      <alignment horizontal="center" vertical="center" textRotation="90" wrapText="1"/>
      <protection hidden="1"/>
    </xf>
    <xf numFmtId="0" fontId="273" fillId="0" borderId="116" xfId="0" applyFont="1" applyFill="1" applyBorder="1" applyAlignment="1" applyProtection="1">
      <alignment horizontal="center" vertical="center" textRotation="90" wrapText="1"/>
      <protection hidden="1"/>
    </xf>
    <xf numFmtId="0" fontId="248" fillId="0" borderId="116" xfId="0" applyFont="1" applyFill="1" applyBorder="1" applyAlignment="1" applyProtection="1">
      <alignment horizontal="center" vertical="center" wrapText="1"/>
      <protection hidden="1"/>
    </xf>
    <xf numFmtId="0" fontId="273" fillId="0" borderId="116" xfId="0" applyFont="1" applyFill="1" applyBorder="1" applyAlignment="1" applyProtection="1">
      <alignment horizontal="center" vertical="center" textRotation="90" wrapText="1"/>
      <protection hidden="1"/>
    </xf>
    <xf numFmtId="0" fontId="249" fillId="0" borderId="116" xfId="0" applyFont="1" applyFill="1" applyBorder="1" applyAlignment="1" applyProtection="1">
      <alignment horizontal="center" vertical="center" wrapText="1"/>
      <protection hidden="1"/>
    </xf>
    <xf numFmtId="0" fontId="38" fillId="0" borderId="116" xfId="0" applyFont="1" applyFill="1" applyBorder="1" applyAlignment="1" applyProtection="1">
      <alignment horizontal="center" vertical="center" wrapText="1"/>
      <protection hidden="1"/>
    </xf>
    <xf numFmtId="0" fontId="29" fillId="0" borderId="119" xfId="0" applyFont="1" applyBorder="1" applyAlignment="1" applyProtection="1">
      <alignment horizontal="center" wrapText="1"/>
      <protection hidden="1"/>
    </xf>
    <xf numFmtId="0" fontId="38" fillId="18" borderId="116" xfId="0" applyFont="1" applyFill="1" applyBorder="1" applyAlignment="1" applyProtection="1">
      <alignment horizontal="center" vertical="center" wrapText="1"/>
      <protection hidden="1"/>
    </xf>
    <xf numFmtId="0" fontId="250" fillId="0" borderId="116" xfId="0" applyFont="1" applyFill="1" applyBorder="1" applyAlignment="1" applyProtection="1">
      <alignment horizontal="center" vertical="center" wrapText="1"/>
      <protection hidden="1"/>
    </xf>
    <xf numFmtId="0" fontId="38" fillId="0" borderId="116" xfId="0" applyFont="1" applyFill="1" applyBorder="1" applyAlignment="1" applyProtection="1">
      <alignment horizontal="center" vertical="center" textRotation="90" wrapText="1"/>
      <protection hidden="1"/>
    </xf>
    <xf numFmtId="0" fontId="236" fillId="0" borderId="116" xfId="0" applyFont="1" applyFill="1" applyBorder="1" applyAlignment="1" applyProtection="1">
      <alignment horizontal="center" vertical="center" textRotation="90" wrapText="1"/>
      <protection hidden="1"/>
    </xf>
    <xf numFmtId="0" fontId="106" fillId="0" borderId="116" xfId="0" applyFont="1" applyFill="1" applyBorder="1" applyAlignment="1" applyProtection="1">
      <alignment horizontal="center" vertical="center" textRotation="90" wrapText="1"/>
      <protection hidden="1"/>
    </xf>
    <xf numFmtId="0" fontId="84" fillId="0" borderId="119" xfId="0" applyFont="1" applyFill="1" applyBorder="1" applyAlignment="1" applyProtection="1">
      <alignment horizontal="center" vertical="center" wrapText="1"/>
      <protection hidden="1"/>
    </xf>
    <xf numFmtId="0" fontId="49" fillId="22"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41" fillId="0" borderId="116" xfId="0" applyFont="1" applyFill="1" applyBorder="1" applyAlignment="1" applyProtection="1">
      <alignment horizontal="center" vertical="center" wrapText="1"/>
      <protection hidden="1"/>
    </xf>
    <xf numFmtId="0" fontId="52" fillId="0" borderId="116" xfId="0" applyFont="1" applyFill="1" applyBorder="1" applyAlignment="1" applyProtection="1">
      <alignment horizontal="center" vertical="center" wrapText="1"/>
      <protection hidden="1"/>
    </xf>
    <xf numFmtId="0" fontId="39" fillId="0" borderId="116" xfId="0" applyFont="1" applyFill="1" applyBorder="1" applyAlignment="1" applyProtection="1">
      <alignment horizontal="center" vertical="center" textRotation="90" wrapText="1"/>
      <protection hidden="1"/>
    </xf>
    <xf numFmtId="0" fontId="49" fillId="0" borderId="116" xfId="0" applyFont="1" applyFill="1" applyBorder="1" applyAlignment="1" applyProtection="1">
      <alignment horizontal="center" vertical="center" textRotation="90" wrapText="1"/>
      <protection hidden="1"/>
    </xf>
    <xf numFmtId="0" fontId="23" fillId="0" borderId="116" xfId="0" applyFont="1" applyFill="1" applyBorder="1" applyAlignment="1" applyProtection="1">
      <alignment horizontal="center" vertical="center" wrapText="1"/>
      <protection hidden="1"/>
    </xf>
    <xf numFmtId="0" fontId="240" fillId="0" borderId="116" xfId="0" applyFont="1" applyFill="1" applyBorder="1" applyAlignment="1" applyProtection="1">
      <alignment horizontal="center" vertical="center" wrapText="1"/>
      <protection hidden="1"/>
    </xf>
    <xf numFmtId="0" fontId="29" fillId="0" borderId="116" xfId="0" applyFont="1" applyFill="1" applyBorder="1" applyAlignment="1" applyProtection="1">
      <alignment horizontal="center" vertical="center" wrapText="1"/>
      <protection hidden="1"/>
    </xf>
    <xf numFmtId="0" fontId="24" fillId="0" borderId="116" xfId="0" applyFont="1" applyFill="1" applyBorder="1" applyAlignment="1" applyProtection="1">
      <alignment horizontal="center" vertical="center" wrapText="1"/>
      <protection hidden="1"/>
    </xf>
    <xf numFmtId="0" fontId="242" fillId="0" borderId="116" xfId="0" applyFont="1" applyFill="1" applyBorder="1" applyAlignment="1" applyProtection="1">
      <alignment horizontal="center" vertical="center" wrapText="1"/>
      <protection hidden="1"/>
    </xf>
    <xf numFmtId="0" fontId="314" fillId="0" borderId="116" xfId="0" applyFont="1" applyFill="1" applyBorder="1" applyAlignment="1" applyProtection="1">
      <alignment horizontal="center" vertical="center" wrapText="1"/>
      <protection hidden="1"/>
    </xf>
    <xf numFmtId="0" fontId="315" fillId="0" borderId="0" xfId="0" applyFont="1" applyBorder="1" applyAlignment="1" applyProtection="1">
      <alignment horizontal="center" wrapText="1"/>
      <protection hidden="1"/>
    </xf>
    <xf numFmtId="0" fontId="316" fillId="0" borderId="0" xfId="0" applyFont="1" applyBorder="1" applyAlignment="1" applyProtection="1">
      <alignment horizontal="center" wrapText="1"/>
      <protection hidden="1"/>
    </xf>
    <xf numFmtId="172" fontId="317" fillId="3" borderId="119" xfId="0" applyNumberFormat="1" applyFont="1" applyFill="1" applyBorder="1" applyAlignment="1" applyProtection="1">
      <alignment horizontal="center" vertical="center" shrinkToFit="1"/>
      <protection hidden="1"/>
    </xf>
    <xf numFmtId="0" fontId="318" fillId="3" borderId="116" xfId="0" applyFont="1" applyFill="1" applyBorder="1" applyAlignment="1" applyProtection="1">
      <alignment horizontal="center" vertical="center"/>
      <protection hidden="1"/>
    </xf>
    <xf numFmtId="0" fontId="319" fillId="0" borderId="116" xfId="0" applyFont="1" applyFill="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2" fontId="52" fillId="0" borderId="116" xfId="0" applyNumberFormat="1" applyFont="1" applyBorder="1" applyAlignment="1" applyProtection="1">
      <alignment horizontal="center" vertical="center"/>
      <protection hidden="1"/>
    </xf>
    <xf numFmtId="0" fontId="86" fillId="0" borderId="0" xfId="0" applyFont="1" applyFill="1" applyBorder="1" applyAlignment="1" applyProtection="1">
      <alignment horizontal="center" vertical="center" wrapText="1"/>
      <protection hidden="1"/>
    </xf>
    <xf numFmtId="0" fontId="9" fillId="0" borderId="150" xfId="0" applyFont="1" applyFill="1" applyBorder="1" applyAlignment="1" applyProtection="1">
      <alignment horizontal="left" vertical="center" wrapText="1"/>
      <protection hidden="1"/>
    </xf>
    <xf numFmtId="0" fontId="38" fillId="0" borderId="51" xfId="0" applyFont="1" applyFill="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textRotation="90" wrapText="1"/>
      <protection hidden="1"/>
    </xf>
    <xf numFmtId="0" fontId="239" fillId="18" borderId="116" xfId="0" applyFont="1" applyFill="1" applyBorder="1" applyAlignment="1" applyProtection="1">
      <alignment horizontal="center" vertical="center" shrinkToFit="1"/>
      <protection hidden="1"/>
    </xf>
    <xf numFmtId="0" fontId="321" fillId="18" borderId="116" xfId="0" applyFont="1" applyFill="1" applyBorder="1" applyAlignment="1" applyProtection="1">
      <alignment horizontal="center" vertical="center" wrapText="1"/>
      <protection hidden="1"/>
    </xf>
    <xf numFmtId="0" fontId="273" fillId="18" borderId="116" xfId="0" applyFont="1" applyFill="1" applyBorder="1" applyAlignment="1" applyProtection="1">
      <alignment horizontal="center" vertical="center" wrapText="1"/>
      <protection hidden="1"/>
    </xf>
    <xf numFmtId="0" fontId="273" fillId="18" borderId="117" xfId="0" applyFont="1" applyFill="1" applyBorder="1" applyAlignment="1" applyProtection="1">
      <alignment horizontal="center" vertical="center" wrapText="1"/>
      <protection hidden="1"/>
    </xf>
    <xf numFmtId="0" fontId="273" fillId="18" borderId="121" xfId="0" applyFont="1" applyFill="1" applyBorder="1" applyAlignment="1" applyProtection="1">
      <alignment horizontal="center" vertical="center" wrapText="1"/>
      <protection hidden="1"/>
    </xf>
    <xf numFmtId="0" fontId="322" fillId="18" borderId="116" xfId="0" applyFont="1" applyFill="1" applyBorder="1" applyAlignment="1" applyProtection="1">
      <alignment horizontal="center" vertical="center" wrapText="1"/>
      <protection hidden="1"/>
    </xf>
    <xf numFmtId="0" fontId="323" fillId="18" borderId="120" xfId="0" applyFont="1" applyFill="1" applyBorder="1" applyAlignment="1" applyProtection="1">
      <alignment horizontal="center" vertical="center" wrapText="1"/>
      <protection hidden="1"/>
    </xf>
    <xf numFmtId="0" fontId="323" fillId="18" borderId="116" xfId="0" applyFont="1" applyFill="1" applyBorder="1" applyAlignment="1" applyProtection="1">
      <alignment horizontal="center" vertical="center" wrapText="1"/>
      <protection hidden="1"/>
    </xf>
    <xf numFmtId="0" fontId="273" fillId="18" borderId="116" xfId="0" applyFont="1" applyFill="1" applyBorder="1" applyAlignment="1" applyProtection="1">
      <alignment horizontal="center" wrapText="1"/>
      <protection hidden="1"/>
    </xf>
    <xf numFmtId="0" fontId="326" fillId="18" borderId="116" xfId="0" applyFont="1" applyFill="1" applyBorder="1" applyAlignment="1" applyProtection="1">
      <alignment wrapText="1"/>
      <protection hidden="1"/>
    </xf>
    <xf numFmtId="0" fontId="273" fillId="18" borderId="116" xfId="0" applyFont="1" applyFill="1" applyBorder="1" applyAlignment="1" applyProtection="1">
      <alignment vertical="center" wrapText="1"/>
      <protection hidden="1"/>
    </xf>
    <xf numFmtId="0" fontId="321" fillId="18" borderId="116" xfId="0" applyFont="1" applyFill="1" applyBorder="1" applyAlignment="1" applyProtection="1">
      <alignment horizontal="center" vertical="center" shrinkToFit="1"/>
      <protection hidden="1"/>
    </xf>
    <xf numFmtId="0" fontId="263" fillId="19" borderId="150" xfId="0" applyFont="1" applyFill="1" applyBorder="1" applyAlignment="1" applyProtection="1">
      <alignment vertical="center" wrapText="1"/>
      <protection hidden="1"/>
    </xf>
    <xf numFmtId="0" fontId="42" fillId="0" borderId="120" xfId="0" applyFont="1" applyFill="1" applyBorder="1" applyAlignment="1" applyProtection="1">
      <alignment vertical="center" wrapText="1"/>
      <protection hidden="1"/>
    </xf>
    <xf numFmtId="0" fontId="12" fillId="0" borderId="120" xfId="0" applyFont="1" applyFill="1" applyBorder="1" applyAlignment="1" applyProtection="1">
      <alignment vertical="center" wrapText="1"/>
      <protection hidden="1"/>
    </xf>
    <xf numFmtId="0" fontId="77" fillId="0" borderId="120" xfId="0" applyFont="1" applyFill="1" applyBorder="1" applyAlignment="1" applyProtection="1">
      <alignment vertical="center" wrapText="1"/>
      <protection hidden="1"/>
    </xf>
    <xf numFmtId="0" fontId="79" fillId="0" borderId="120" xfId="0" applyFont="1" applyFill="1" applyBorder="1" applyAlignment="1" applyProtection="1">
      <alignment vertical="center" wrapText="1"/>
      <protection hidden="1"/>
    </xf>
    <xf numFmtId="0" fontId="82" fillId="0" borderId="120" xfId="0" applyFont="1" applyFill="1" applyBorder="1" applyAlignment="1" applyProtection="1">
      <alignment vertical="center" wrapText="1"/>
      <protection hidden="1"/>
    </xf>
    <xf numFmtId="0" fontId="85" fillId="0" borderId="120" xfId="0" applyFont="1" applyFill="1" applyBorder="1" applyAlignment="1" applyProtection="1">
      <alignment vertical="center" wrapText="1"/>
      <protection hidden="1"/>
    </xf>
    <xf numFmtId="14" fontId="73" fillId="0" borderId="0" xfId="0" applyNumberFormat="1" applyFont="1" applyFill="1" applyBorder="1" applyAlignment="1" applyProtection="1">
      <alignment vertical="center" wrapText="1"/>
      <protection hidden="1"/>
    </xf>
    <xf numFmtId="0" fontId="23" fillId="0" borderId="258" xfId="0" applyFont="1" applyFill="1" applyBorder="1" applyAlignment="1" applyProtection="1">
      <alignment horizontal="center" vertical="center" wrapText="1"/>
      <protection hidden="1"/>
    </xf>
    <xf numFmtId="0" fontId="9" fillId="0" borderId="258" xfId="0" applyFont="1" applyFill="1" applyBorder="1" applyAlignment="1" applyProtection="1">
      <alignment horizontal="center" vertical="center" wrapText="1"/>
      <protection hidden="1"/>
    </xf>
    <xf numFmtId="0" fontId="242" fillId="0" borderId="258" xfId="0" applyFont="1" applyFill="1" applyBorder="1" applyAlignment="1" applyProtection="1">
      <alignment horizontal="center" vertical="center" wrapText="1"/>
      <protection hidden="1"/>
    </xf>
    <xf numFmtId="172" fontId="241" fillId="0" borderId="258" xfId="0" applyNumberFormat="1" applyFont="1" applyFill="1" applyBorder="1" applyAlignment="1" applyProtection="1">
      <alignment horizontal="center" vertical="center" wrapText="1"/>
      <protection hidden="1"/>
    </xf>
    <xf numFmtId="0" fontId="30" fillId="0" borderId="258" xfId="0" applyFont="1" applyFill="1" applyBorder="1" applyAlignment="1" applyProtection="1">
      <alignment horizontal="center" vertical="center" wrapText="1"/>
      <protection hidden="1"/>
    </xf>
    <xf numFmtId="0" fontId="29" fillId="0" borderId="252" xfId="0" applyFont="1" applyBorder="1" applyAlignment="1" applyProtection="1">
      <alignment horizontal="center" vertical="center" wrapText="1"/>
      <protection hidden="1"/>
    </xf>
    <xf numFmtId="0" fontId="264" fillId="0" borderId="259" xfId="0" applyFont="1" applyFill="1" applyBorder="1" applyAlignment="1" applyProtection="1">
      <alignment horizontal="center" vertical="center" wrapText="1"/>
      <protection hidden="1"/>
    </xf>
    <xf numFmtId="0" fontId="23" fillId="9" borderId="260" xfId="0" applyFont="1" applyFill="1" applyBorder="1" applyAlignment="1" applyProtection="1">
      <alignment horizontal="center" vertical="center" shrinkToFit="1"/>
      <protection hidden="1"/>
    </xf>
    <xf numFmtId="2" fontId="38" fillId="0" borderId="51" xfId="0" applyNumberFormat="1" applyFont="1" applyFill="1" applyBorder="1" applyAlignment="1" applyProtection="1">
      <alignment horizontal="center" vertical="center" textRotation="90" wrapText="1"/>
      <protection hidden="1"/>
    </xf>
    <xf numFmtId="0" fontId="38" fillId="0" borderId="149" xfId="0" applyFont="1" applyFill="1" applyBorder="1" applyAlignment="1" applyProtection="1">
      <alignment horizontal="center" vertical="center" wrapText="1"/>
      <protection hidden="1"/>
    </xf>
    <xf numFmtId="0" fontId="38" fillId="0" borderId="51" xfId="0" applyFont="1" applyFill="1" applyBorder="1" applyAlignment="1" applyProtection="1">
      <alignment horizontal="center" vertical="center" textRotation="90" wrapText="1"/>
      <protection hidden="1"/>
    </xf>
    <xf numFmtId="0" fontId="185" fillId="0" borderId="64" xfId="0" applyFont="1" applyFill="1" applyBorder="1" applyAlignment="1" applyProtection="1">
      <alignment horizontal="center" vertical="center" wrapText="1"/>
      <protection hidden="1"/>
    </xf>
    <xf numFmtId="0" fontId="273" fillId="0" borderId="62" xfId="0" applyFont="1" applyFill="1" applyBorder="1" applyAlignment="1" applyProtection="1">
      <alignment horizontal="right" vertical="center" wrapText="1"/>
      <protection hidden="1"/>
    </xf>
    <xf numFmtId="0" fontId="265" fillId="0" borderId="64" xfId="0" applyFont="1" applyBorder="1" applyAlignment="1" applyProtection="1">
      <alignment vertical="center"/>
      <protection hidden="1"/>
    </xf>
    <xf numFmtId="0" fontId="63" fillId="0" borderId="155" xfId="0" applyFont="1" applyFill="1" applyBorder="1" applyAlignment="1" applyProtection="1">
      <alignment horizontal="center" vertical="center" wrapText="1"/>
      <protection hidden="1"/>
    </xf>
    <xf numFmtId="168" fontId="122" fillId="0" borderId="51" xfId="0" applyNumberFormat="1" applyFont="1" applyFill="1" applyBorder="1" applyAlignment="1" applyProtection="1">
      <alignment horizontal="center" vertical="center" wrapText="1"/>
      <protection hidden="1"/>
    </xf>
    <xf numFmtId="1" fontId="50" fillId="0" borderId="155" xfId="0" applyNumberFormat="1" applyFont="1" applyFill="1" applyBorder="1" applyAlignment="1" applyProtection="1">
      <alignment horizontal="center" vertical="center" wrapText="1"/>
      <protection hidden="1"/>
    </xf>
    <xf numFmtId="0" fontId="41" fillId="0" borderId="53" xfId="0" applyFont="1" applyBorder="1" applyAlignment="1" applyProtection="1">
      <alignment vertical="center"/>
      <protection hidden="1"/>
    </xf>
    <xf numFmtId="0" fontId="41" fillId="0" borderId="54" xfId="0" applyFont="1" applyBorder="1" applyAlignment="1" applyProtection="1">
      <alignment vertical="center"/>
      <protection hidden="1"/>
    </xf>
    <xf numFmtId="0" fontId="41" fillId="0" borderId="0" xfId="0" applyFont="1" applyBorder="1" applyAlignment="1" applyProtection="1">
      <alignment vertical="center"/>
      <protection hidden="1"/>
    </xf>
    <xf numFmtId="0" fontId="41" fillId="0" borderId="152" xfId="0" applyFont="1" applyBorder="1" applyAlignment="1" applyProtection="1">
      <alignment vertical="center"/>
      <protection hidden="1"/>
    </xf>
    <xf numFmtId="0" fontId="41" fillId="0" borderId="56" xfId="0" applyFont="1" applyBorder="1" applyAlignment="1" applyProtection="1">
      <alignment vertical="center"/>
      <protection hidden="1"/>
    </xf>
    <xf numFmtId="0" fontId="41" fillId="0" borderId="57" xfId="0" applyFont="1" applyBorder="1" applyAlignment="1" applyProtection="1">
      <alignment vertical="center"/>
      <protection hidden="1"/>
    </xf>
    <xf numFmtId="0" fontId="8" fillId="0" borderId="0" xfId="0" applyFont="1" applyFill="1" applyBorder="1" applyAlignment="1" applyProtection="1">
      <alignment horizontal="left" vertical="center" wrapText="1"/>
      <protection hidden="1"/>
    </xf>
    <xf numFmtId="0" fontId="268" fillId="0" borderId="0" xfId="0" applyFont="1" applyFill="1" applyBorder="1" applyAlignment="1" applyProtection="1">
      <alignment horizontal="right" vertical="top" wrapText="1"/>
      <protection hidden="1"/>
    </xf>
    <xf numFmtId="0" fontId="258" fillId="0" borderId="136" xfId="0" applyFont="1" applyBorder="1" applyAlignment="1" applyProtection="1">
      <alignment horizontal="center" vertical="center" wrapText="1"/>
      <protection hidden="1"/>
    </xf>
    <xf numFmtId="0" fontId="333" fillId="0" borderId="136" xfId="0" applyFont="1" applyFill="1" applyBorder="1" applyAlignment="1" applyProtection="1">
      <alignment horizontal="center" vertical="center" wrapText="1"/>
      <protection hidden="1"/>
    </xf>
    <xf numFmtId="0" fontId="171" fillId="0" borderId="136" xfId="0" applyFont="1" applyFill="1" applyBorder="1" applyAlignment="1" applyProtection="1">
      <alignment horizontal="center" vertical="center" textRotation="90" wrapText="1"/>
      <protection hidden="1"/>
    </xf>
    <xf numFmtId="0" fontId="258" fillId="0" borderId="136" xfId="0" applyFont="1" applyFill="1" applyBorder="1" applyAlignment="1" applyProtection="1">
      <alignment horizontal="center" vertical="center" textRotation="90" wrapText="1"/>
      <protection hidden="1"/>
    </xf>
    <xf numFmtId="0" fontId="334" fillId="0" borderId="24" xfId="0" applyFont="1" applyBorder="1" applyAlignment="1" applyProtection="1">
      <alignment horizontal="left" vertical="center" wrapText="1"/>
      <protection hidden="1"/>
    </xf>
    <xf numFmtId="0" fontId="334" fillId="0" borderId="24" xfId="0" applyFont="1" applyFill="1" applyBorder="1" applyAlignment="1" applyProtection="1">
      <alignment horizontal="left" vertical="center" wrapText="1"/>
      <protection hidden="1"/>
    </xf>
    <xf numFmtId="0" fontId="335" fillId="0" borderId="130" xfId="0" applyFont="1" applyFill="1" applyBorder="1" applyAlignment="1" applyProtection="1">
      <alignment horizontal="left" vertical="center" wrapText="1"/>
      <protection hidden="1"/>
    </xf>
    <xf numFmtId="0" fontId="335" fillId="0" borderId="27" xfId="0" applyFont="1" applyBorder="1" applyAlignment="1" applyProtection="1">
      <alignment horizontal="left" vertical="center" wrapText="1"/>
      <protection hidden="1"/>
    </xf>
    <xf numFmtId="0" fontId="171" fillId="0" borderId="138" xfId="0" applyFont="1" applyFill="1" applyBorder="1" applyAlignment="1" applyProtection="1">
      <alignment horizontal="center" vertical="center" textRotation="90" wrapText="1"/>
      <protection hidden="1"/>
    </xf>
    <xf numFmtId="0" fontId="171" fillId="0" borderId="140" xfId="0" applyFont="1" applyFill="1" applyBorder="1" applyAlignment="1" applyProtection="1">
      <alignment horizontal="center" vertical="center" textRotation="90" wrapText="1"/>
      <protection hidden="1"/>
    </xf>
    <xf numFmtId="0" fontId="171" fillId="0" borderId="135" xfId="0" applyFont="1" applyFill="1" applyBorder="1" applyAlignment="1" applyProtection="1">
      <alignment horizontal="right" vertical="center" textRotation="90" wrapText="1"/>
      <protection hidden="1"/>
    </xf>
    <xf numFmtId="0" fontId="171" fillId="0" borderId="141" xfId="0" applyFont="1" applyFill="1" applyBorder="1" applyAlignment="1" applyProtection="1">
      <alignment horizontal="left" vertical="center" textRotation="90" wrapText="1"/>
      <protection hidden="1"/>
    </xf>
    <xf numFmtId="0" fontId="63" fillId="0" borderId="3" xfId="0" applyFont="1" applyFill="1" applyBorder="1" applyAlignment="1" applyProtection="1">
      <alignment horizontal="center" vertical="center" wrapText="1"/>
      <protection hidden="1"/>
    </xf>
    <xf numFmtId="0" fontId="63" fillId="0" borderId="4" xfId="0" applyFont="1" applyBorder="1" applyAlignment="1" applyProtection="1">
      <alignment horizontal="center" vertical="center" wrapText="1"/>
      <protection hidden="1"/>
    </xf>
    <xf numFmtId="1" fontId="63" fillId="0" borderId="4" xfId="0" applyNumberFormat="1" applyFont="1" applyFill="1" applyBorder="1" applyAlignment="1" applyProtection="1">
      <alignment horizontal="center" vertical="center" wrapText="1"/>
      <protection hidden="1"/>
    </xf>
    <xf numFmtId="0" fontId="63" fillId="0" borderId="4" xfId="0" applyFont="1" applyFill="1" applyBorder="1" applyAlignment="1" applyProtection="1">
      <alignment horizontal="center" vertical="center" wrapText="1"/>
      <protection hidden="1"/>
    </xf>
    <xf numFmtId="1" fontId="63" fillId="0" borderId="262" xfId="0" applyNumberFormat="1" applyFont="1" applyFill="1" applyBorder="1" applyAlignment="1" applyProtection="1">
      <alignment horizontal="center" vertical="center" wrapText="1"/>
      <protection hidden="1"/>
    </xf>
    <xf numFmtId="0" fontId="63" fillId="0" borderId="263" xfId="0" applyFont="1" applyFill="1" applyBorder="1" applyAlignment="1" applyProtection="1">
      <alignment horizontal="center" vertical="center" wrapText="1"/>
      <protection hidden="1"/>
    </xf>
    <xf numFmtId="0" fontId="334" fillId="0" borderId="264" xfId="0" applyFont="1" applyBorder="1" applyAlignment="1" applyProtection="1">
      <alignment horizontal="left" vertical="center" wrapText="1"/>
      <protection hidden="1"/>
    </xf>
    <xf numFmtId="0" fontId="257" fillId="0" borderId="265" xfId="0" applyFont="1" applyBorder="1" applyAlignment="1" applyProtection="1">
      <alignment horizontal="left" vertical="center" wrapText="1"/>
      <protection hidden="1"/>
    </xf>
    <xf numFmtId="0" fontId="63" fillId="0" borderId="265" xfId="0" applyFont="1" applyBorder="1" applyAlignment="1" applyProtection="1">
      <alignment horizontal="center" vertical="center" wrapText="1"/>
      <protection hidden="1"/>
    </xf>
    <xf numFmtId="2" fontId="63" fillId="0" borderId="265" xfId="0" applyNumberFormat="1" applyFont="1" applyBorder="1" applyAlignment="1" applyProtection="1">
      <alignment horizontal="center" vertical="center" wrapText="1"/>
      <protection hidden="1"/>
    </xf>
    <xf numFmtId="0" fontId="63" fillId="0" borderId="265" xfId="0" applyFont="1" applyFill="1" applyBorder="1" applyAlignment="1" applyProtection="1">
      <alignment horizontal="center" vertical="center" wrapText="1"/>
      <protection hidden="1"/>
    </xf>
    <xf numFmtId="0" fontId="63" fillId="0" borderId="266" xfId="0" applyFont="1" applyFill="1" applyBorder="1" applyAlignment="1" applyProtection="1">
      <alignment horizontal="center" vertical="center" wrapText="1"/>
      <protection hidden="1"/>
    </xf>
    <xf numFmtId="0" fontId="63" fillId="0" borderId="267" xfId="0" applyFont="1" applyFill="1" applyBorder="1" applyAlignment="1" applyProtection="1">
      <alignment horizontal="center" vertical="center" wrapText="1"/>
      <protection hidden="1"/>
    </xf>
    <xf numFmtId="0" fontId="63" fillId="0" borderId="268" xfId="0" applyFont="1" applyBorder="1" applyAlignment="1" applyProtection="1">
      <alignment horizontal="center" vertical="center" wrapText="1"/>
      <protection hidden="1"/>
    </xf>
    <xf numFmtId="0" fontId="63" fillId="0" borderId="269" xfId="0" applyFont="1" applyFill="1" applyBorder="1" applyAlignment="1" applyProtection="1">
      <alignment horizontal="center" vertical="center" wrapText="1"/>
      <protection hidden="1"/>
    </xf>
    <xf numFmtId="0" fontId="63" fillId="0" borderId="270" xfId="0" applyFont="1" applyFill="1" applyBorder="1" applyAlignment="1" applyProtection="1">
      <alignment horizontal="center" vertical="center" wrapText="1"/>
      <protection hidden="1"/>
    </xf>
    <xf numFmtId="0" fontId="38" fillId="0" borderId="164" xfId="0" applyFont="1" applyFill="1" applyBorder="1" applyAlignment="1" applyProtection="1">
      <alignment horizontal="center" vertical="center" wrapText="1"/>
      <protection hidden="1"/>
    </xf>
    <xf numFmtId="0" fontId="282" fillId="0" borderId="149" xfId="0" applyFont="1" applyFill="1" applyBorder="1" applyAlignment="1" applyProtection="1">
      <alignment horizontal="center" vertical="center" textRotation="90" wrapText="1"/>
      <protection hidden="1"/>
    </xf>
    <xf numFmtId="0" fontId="24" fillId="19" borderId="53" xfId="0" applyFont="1" applyFill="1" applyBorder="1" applyAlignment="1" applyProtection="1">
      <alignment vertical="center" wrapText="1"/>
      <protection hidden="1"/>
    </xf>
    <xf numFmtId="0" fontId="64" fillId="19" borderId="274" xfId="0" applyFont="1" applyFill="1" applyBorder="1" applyAlignment="1" applyProtection="1">
      <alignment vertical="center" wrapText="1"/>
      <protection hidden="1"/>
    </xf>
    <xf numFmtId="0" fontId="46" fillId="0" borderId="148" xfId="0" applyFont="1" applyFill="1" applyBorder="1" applyAlignment="1" applyProtection="1">
      <alignment horizontal="center" vertical="center" wrapText="1"/>
      <protection hidden="1"/>
    </xf>
    <xf numFmtId="0" fontId="24" fillId="19" borderId="276" xfId="0" applyFont="1" applyFill="1" applyBorder="1" applyAlignment="1" applyProtection="1">
      <alignment vertical="center" wrapText="1"/>
      <protection hidden="1"/>
    </xf>
    <xf numFmtId="166" fontId="173" fillId="0" borderId="51" xfId="0" applyNumberFormat="1" applyFont="1" applyFill="1" applyBorder="1" applyAlignment="1" applyProtection="1">
      <alignment horizontal="center" vertical="center" wrapText="1"/>
      <protection hidden="1"/>
    </xf>
    <xf numFmtId="1" fontId="50" fillId="0" borderId="149" xfId="0" applyNumberFormat="1" applyFont="1" applyFill="1" applyBorder="1" applyAlignment="1" applyProtection="1">
      <alignment horizontal="center" vertical="center" wrapText="1"/>
      <protection hidden="1"/>
    </xf>
    <xf numFmtId="2" fontId="52" fillId="0" borderId="51" xfId="0" applyNumberFormat="1" applyFont="1" applyFill="1" applyBorder="1" applyAlignment="1" applyProtection="1">
      <alignment horizontal="center" vertical="center" textRotation="90" shrinkToFit="1"/>
      <protection hidden="1"/>
    </xf>
    <xf numFmtId="0" fontId="129" fillId="0" borderId="172" xfId="0" applyNumberFormat="1" applyFont="1" applyFill="1" applyBorder="1" applyAlignment="1" applyProtection="1">
      <alignment horizontal="center" vertical="center" wrapText="1"/>
      <protection hidden="1"/>
    </xf>
    <xf numFmtId="1" fontId="30" fillId="7" borderId="172" xfId="0" applyNumberFormat="1" applyFont="1" applyFill="1" applyBorder="1" applyAlignment="1" applyProtection="1">
      <alignment horizontal="center" vertical="center" wrapText="1"/>
      <protection hidden="1"/>
    </xf>
    <xf numFmtId="0" fontId="270" fillId="0" borderId="172" xfId="0" applyNumberFormat="1" applyFont="1" applyFill="1" applyBorder="1" applyAlignment="1" applyProtection="1">
      <alignment horizontal="center" vertical="center" wrapText="1"/>
      <protection hidden="1"/>
    </xf>
    <xf numFmtId="0" fontId="187" fillId="0" borderId="0" xfId="0" applyNumberFormat="1" applyFont="1" applyFill="1" applyBorder="1" applyAlignment="1" applyProtection="1">
      <alignment horizontal="center" vertical="top" wrapText="1"/>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341" fillId="0" borderId="0" xfId="0" applyFont="1" applyBorder="1" applyAlignment="1" applyProtection="1">
      <alignment horizontal="center" vertical="center"/>
      <protection hidden="1"/>
    </xf>
    <xf numFmtId="0" fontId="313" fillId="0" borderId="172" xfId="0" applyFont="1" applyFill="1" applyBorder="1" applyAlignment="1" applyProtection="1">
      <alignment horizontal="center" vertical="center" textRotation="90" wrapText="1"/>
      <protection hidden="1"/>
    </xf>
    <xf numFmtId="0" fontId="275" fillId="0" borderId="0" xfId="0" applyNumberFormat="1" applyFont="1" applyAlignment="1" applyProtection="1">
      <alignment horizontal="center" vertical="top" wrapText="1"/>
      <protection hidden="1"/>
    </xf>
    <xf numFmtId="0" fontId="63" fillId="0" borderId="0" xfId="0" applyNumberFormat="1" applyFont="1" applyBorder="1" applyAlignment="1" applyProtection="1">
      <alignment horizontal="center" wrapText="1"/>
      <protection hidden="1"/>
    </xf>
    <xf numFmtId="0" fontId="38" fillId="0" borderId="195" xfId="0" applyNumberFormat="1" applyFont="1" applyFill="1" applyBorder="1" applyAlignment="1" applyProtection="1">
      <alignment horizontal="center" vertical="center" wrapText="1"/>
      <protection hidden="1"/>
    </xf>
    <xf numFmtId="0" fontId="186" fillId="0" borderId="0" xfId="0" applyNumberFormat="1" applyFont="1" applyFill="1" applyBorder="1" applyAlignment="1" applyProtection="1">
      <alignment horizontal="left" vertical="center" wrapText="1"/>
      <protection hidden="1"/>
    </xf>
    <xf numFmtId="0" fontId="187" fillId="0" borderId="0" xfId="0" applyNumberFormat="1" applyFont="1" applyFill="1" applyBorder="1" applyAlignment="1" applyProtection="1">
      <alignment horizontal="center" vertical="top" wrapText="1"/>
      <protection hidden="1"/>
    </xf>
    <xf numFmtId="0" fontId="277" fillId="0" borderId="0" xfId="0" applyFont="1" applyBorder="1" applyAlignment="1" applyProtection="1">
      <alignment horizontal="center" vertical="center"/>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184" fillId="0" borderId="0" xfId="0" applyNumberFormat="1" applyFont="1" applyBorder="1" applyAlignment="1" applyProtection="1">
      <alignment horizontal="left" vertical="center" wrapText="1"/>
      <protection hidden="1"/>
    </xf>
    <xf numFmtId="0" fontId="274" fillId="0" borderId="195" xfId="0" applyNumberFormat="1" applyFont="1" applyFill="1" applyBorder="1" applyAlignment="1" applyProtection="1">
      <alignment horizontal="center" vertical="center" wrapText="1"/>
      <protection hidden="1"/>
    </xf>
    <xf numFmtId="0" fontId="267" fillId="0" borderId="0" xfId="0" applyFont="1" applyBorder="1" applyAlignment="1" applyProtection="1">
      <alignment horizontal="center" vertical="center"/>
      <protection hidden="1"/>
    </xf>
    <xf numFmtId="0" fontId="129" fillId="0" borderId="172" xfId="0" applyFont="1" applyFill="1" applyBorder="1" applyAlignment="1" applyProtection="1">
      <alignment horizontal="center" vertical="center" wrapText="1"/>
      <protection hidden="1"/>
    </xf>
    <xf numFmtId="0" fontId="129" fillId="0" borderId="177" xfId="0" applyNumberFormat="1" applyFont="1" applyFill="1" applyBorder="1" applyAlignment="1" applyProtection="1">
      <alignment horizontal="center" vertical="center" wrapText="1"/>
      <protection hidden="1"/>
    </xf>
    <xf numFmtId="1" fontId="63" fillId="0" borderId="177" xfId="0" applyNumberFormat="1" applyFont="1" applyFill="1" applyBorder="1" applyAlignment="1" applyProtection="1">
      <alignment horizontal="center" vertical="center" wrapText="1"/>
      <protection hidden="1"/>
    </xf>
    <xf numFmtId="1" fontId="125" fillId="0" borderId="194" xfId="0" applyNumberFormat="1" applyFont="1" applyFill="1" applyBorder="1" applyAlignment="1" applyProtection="1">
      <alignment horizontal="center" vertical="center" wrapText="1"/>
      <protection hidden="1"/>
    </xf>
    <xf numFmtId="0" fontId="38" fillId="0" borderId="172" xfId="0" applyFont="1" applyFill="1" applyBorder="1" applyAlignment="1" applyProtection="1">
      <alignment horizontal="center" vertical="center" textRotation="90" wrapText="1"/>
      <protection hidden="1"/>
    </xf>
    <xf numFmtId="0" fontId="334" fillId="0" borderId="172" xfId="0" applyNumberFormat="1" applyFont="1" applyFill="1" applyBorder="1" applyAlignment="1" applyProtection="1">
      <alignment horizontal="center" vertical="center" wrapText="1"/>
      <protection hidden="1"/>
    </xf>
    <xf numFmtId="1" fontId="334" fillId="0" borderId="172" xfId="0" applyNumberFormat="1" applyFont="1" applyFill="1" applyBorder="1" applyAlignment="1" applyProtection="1">
      <alignment horizontal="center" vertical="center" wrapText="1"/>
      <protection hidden="1"/>
    </xf>
    <xf numFmtId="1" fontId="0" fillId="0" borderId="0" xfId="0" applyNumberFormat="1" applyProtection="1">
      <protection hidden="1"/>
    </xf>
    <xf numFmtId="0" fontId="0" fillId="2" borderId="0" xfId="0" applyFill="1" applyProtection="1">
      <protection hidden="1"/>
    </xf>
    <xf numFmtId="1" fontId="347" fillId="7" borderId="172" xfId="0" applyNumberFormat="1" applyFont="1" applyFill="1" applyBorder="1" applyAlignment="1" applyProtection="1">
      <alignment horizontal="center" vertical="center" wrapText="1"/>
      <protection hidden="1"/>
    </xf>
    <xf numFmtId="172" fontId="30" fillId="3" borderId="119" xfId="0" applyNumberFormat="1" applyFont="1" applyFill="1" applyBorder="1" applyAlignment="1" applyProtection="1">
      <alignment horizontal="center" vertical="center" shrinkToFit="1"/>
      <protection hidden="1"/>
    </xf>
    <xf numFmtId="0" fontId="231"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270" fillId="0" borderId="172" xfId="0" applyNumberFormat="1" applyFont="1" applyFill="1" applyBorder="1" applyAlignment="1" applyProtection="1">
      <alignment horizontal="center" vertical="center" wrapText="1"/>
      <protection hidden="1"/>
    </xf>
    <xf numFmtId="0" fontId="273" fillId="0" borderId="0" xfId="0" applyNumberFormat="1" applyFont="1" applyBorder="1" applyAlignment="1" applyProtection="1">
      <alignment horizontal="right" vertical="top" wrapText="1"/>
      <protection hidden="1"/>
    </xf>
    <xf numFmtId="0" fontId="273" fillId="0" borderId="0" xfId="0" applyNumberFormat="1" applyFont="1" applyBorder="1" applyAlignment="1" applyProtection="1">
      <alignment horizontal="right" vertical="center" wrapText="1"/>
      <protection hidden="1"/>
    </xf>
    <xf numFmtId="0" fontId="174" fillId="0" borderId="195" xfId="0" applyNumberFormat="1" applyFont="1" applyFill="1" applyBorder="1" applyAlignment="1" applyProtection="1">
      <alignment horizontal="center" vertical="center" wrapText="1"/>
      <protection hidden="1"/>
    </xf>
    <xf numFmtId="0" fontId="330" fillId="0" borderId="195" xfId="0" applyNumberFormat="1" applyFont="1" applyFill="1" applyBorder="1" applyAlignment="1" applyProtection="1">
      <alignment horizontal="center" vertical="center" wrapText="1"/>
      <protection hidden="1"/>
    </xf>
    <xf numFmtId="0" fontId="352" fillId="0" borderId="195" xfId="0" applyNumberFormat="1" applyFont="1" applyFill="1" applyBorder="1" applyAlignment="1" applyProtection="1">
      <alignment horizontal="center" vertical="center" wrapText="1"/>
      <protection hidden="1"/>
    </xf>
    <xf numFmtId="0" fontId="237" fillId="0" borderId="195" xfId="0" applyNumberFormat="1" applyFont="1" applyFill="1" applyBorder="1" applyAlignment="1" applyProtection="1">
      <alignment horizontal="center" vertical="center" wrapText="1"/>
      <protection hidden="1"/>
    </xf>
    <xf numFmtId="0" fontId="38" fillId="0" borderId="195" xfId="0" applyFont="1" applyFill="1" applyBorder="1" applyAlignment="1" applyProtection="1">
      <alignment horizontal="center" vertical="center" textRotation="90" wrapText="1"/>
      <protection hidden="1"/>
    </xf>
    <xf numFmtId="0" fontId="313" fillId="0" borderId="195" xfId="0" applyFont="1" applyFill="1" applyBorder="1" applyAlignment="1" applyProtection="1">
      <alignment horizontal="center" vertical="center" textRotation="90" wrapText="1"/>
      <protection hidden="1"/>
    </xf>
    <xf numFmtId="0" fontId="236" fillId="0" borderId="195" xfId="0" applyFont="1" applyFill="1" applyBorder="1" applyAlignment="1" applyProtection="1">
      <alignment horizontal="center" vertical="center" textRotation="90" wrapText="1"/>
      <protection hidden="1"/>
    </xf>
    <xf numFmtId="1" fontId="127" fillId="0" borderId="195" xfId="0" applyNumberFormat="1" applyFont="1" applyFill="1" applyBorder="1" applyAlignment="1" applyProtection="1">
      <alignment horizontal="center" vertical="center" wrapText="1"/>
      <protection hidden="1"/>
    </xf>
    <xf numFmtId="0" fontId="129" fillId="0" borderId="195" xfId="0" applyNumberFormat="1" applyFont="1" applyFill="1" applyBorder="1" applyAlignment="1" applyProtection="1">
      <alignment horizontal="center" vertical="center" wrapText="1"/>
      <protection hidden="1"/>
    </xf>
    <xf numFmtId="1" fontId="63" fillId="0" borderId="195" xfId="0" applyNumberFormat="1" applyFont="1" applyFill="1" applyBorder="1" applyAlignment="1" applyProtection="1">
      <alignment horizontal="center" vertical="center" wrapText="1"/>
      <protection hidden="1"/>
    </xf>
    <xf numFmtId="0" fontId="183" fillId="0" borderId="195" xfId="0" applyNumberFormat="1" applyFont="1" applyFill="1" applyBorder="1" applyAlignment="1" applyProtection="1">
      <alignment horizontal="center" vertical="center" wrapText="1"/>
      <protection hidden="1"/>
    </xf>
    <xf numFmtId="0" fontId="270" fillId="0" borderId="195" xfId="0" applyNumberFormat="1" applyFont="1" applyFill="1" applyBorder="1" applyAlignment="1" applyProtection="1">
      <alignment horizontal="center" vertical="center" wrapText="1"/>
      <protection hidden="1"/>
    </xf>
    <xf numFmtId="1" fontId="125" fillId="0" borderId="195" xfId="0" applyNumberFormat="1" applyFont="1" applyFill="1" applyBorder="1" applyAlignment="1" applyProtection="1">
      <alignment horizontal="center" vertical="center" wrapText="1"/>
      <protection hidden="1"/>
    </xf>
    <xf numFmtId="1" fontId="183" fillId="0" borderId="195" xfId="0" applyNumberFormat="1" applyFont="1" applyFill="1" applyBorder="1" applyAlignment="1" applyProtection="1">
      <alignment horizontal="center" vertical="center" wrapText="1"/>
      <protection hidden="1"/>
    </xf>
    <xf numFmtId="0" fontId="195" fillId="0" borderId="195" xfId="0" applyNumberFormat="1" applyFont="1" applyFill="1" applyBorder="1" applyAlignment="1" applyProtection="1">
      <alignment horizontal="center" vertical="center" wrapText="1"/>
      <protection hidden="1"/>
    </xf>
    <xf numFmtId="172" fontId="271" fillId="3" borderId="195" xfId="0" applyNumberFormat="1" applyFont="1" applyFill="1" applyBorder="1" applyAlignment="1" applyProtection="1">
      <alignment horizontal="center" vertical="center" shrinkToFit="1"/>
      <protection hidden="1"/>
    </xf>
    <xf numFmtId="0" fontId="354" fillId="0" borderId="197" xfId="0" applyNumberFormat="1" applyFont="1" applyFill="1" applyBorder="1" applyAlignment="1" applyProtection="1">
      <alignment horizontal="center" vertical="center" wrapText="1"/>
      <protection hidden="1"/>
    </xf>
    <xf numFmtId="0" fontId="271" fillId="0" borderId="200" xfId="0" applyNumberFormat="1" applyFont="1" applyFill="1" applyBorder="1" applyAlignment="1" applyProtection="1">
      <alignment horizontal="center" vertical="center" wrapText="1"/>
      <protection hidden="1"/>
    </xf>
    <xf numFmtId="171" fontId="257" fillId="0" borderId="195" xfId="0" applyNumberFormat="1" applyFont="1" applyFill="1" applyBorder="1" applyAlignment="1" applyProtection="1">
      <alignment horizontal="center" vertical="center" wrapText="1"/>
      <protection hidden="1"/>
    </xf>
    <xf numFmtId="0" fontId="273" fillId="0" borderId="196" xfId="0" applyNumberFormat="1" applyFont="1" applyFill="1" applyBorder="1" applyAlignment="1" applyProtection="1">
      <alignment horizontal="center" vertical="center" wrapText="1"/>
      <protection hidden="1"/>
    </xf>
    <xf numFmtId="0" fontId="9" fillId="0" borderId="200" xfId="0" applyNumberFormat="1"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267" fillId="0" borderId="0" xfId="0" applyFont="1" applyBorder="1" applyAlignment="1" applyProtection="1">
      <alignment vertical="center"/>
      <protection hidden="1"/>
    </xf>
    <xf numFmtId="0" fontId="129" fillId="0" borderId="172" xfId="0" applyNumberFormat="1" applyFont="1" applyFill="1" applyBorder="1" applyAlignment="1" applyProtection="1">
      <alignment horizontal="center" vertical="center" wrapText="1"/>
      <protection hidden="1"/>
    </xf>
    <xf numFmtId="1" fontId="30" fillId="7" borderId="172" xfId="0" applyNumberFormat="1"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231" fillId="0" borderId="172" xfId="0" applyFont="1" applyFill="1" applyBorder="1" applyAlignment="1" applyProtection="1">
      <alignment horizontal="center" vertical="center" wrapText="1"/>
      <protection hidden="1"/>
    </xf>
    <xf numFmtId="1" fontId="52" fillId="0" borderId="172" xfId="0" applyNumberFormat="1" applyFont="1" applyFill="1" applyBorder="1" applyAlignment="1" applyProtection="1">
      <alignment horizontal="center" vertical="center" wrapText="1"/>
      <protection hidden="1"/>
    </xf>
    <xf numFmtId="172" fontId="30" fillId="3" borderId="172" xfId="0" applyNumberFormat="1" applyFont="1" applyFill="1" applyBorder="1" applyAlignment="1" applyProtection="1">
      <alignment horizontal="center" vertical="center" shrinkToFit="1"/>
      <protection hidden="1"/>
    </xf>
    <xf numFmtId="0" fontId="231" fillId="0" borderId="283" xfId="0" applyFont="1" applyFill="1" applyBorder="1" applyAlignment="1" applyProtection="1">
      <alignment horizontal="center" vertical="center" wrapText="1"/>
      <protection hidden="1"/>
    </xf>
    <xf numFmtId="1" fontId="52" fillId="0" borderId="283" xfId="0" applyNumberFormat="1" applyFont="1" applyFill="1" applyBorder="1" applyAlignment="1" applyProtection="1">
      <alignment horizontal="center" vertical="center" wrapText="1"/>
      <protection hidden="1"/>
    </xf>
    <xf numFmtId="171" fontId="361" fillId="26" borderId="0" xfId="0" applyNumberFormat="1" applyFont="1" applyFill="1" applyAlignment="1" applyProtection="1">
      <alignment horizontal="center" vertical="center"/>
      <protection hidden="1"/>
    </xf>
    <xf numFmtId="0" fontId="39" fillId="0" borderId="35" xfId="0" applyFont="1" applyBorder="1" applyAlignment="1" applyProtection="1">
      <alignment vertical="center"/>
      <protection hidden="1"/>
    </xf>
    <xf numFmtId="2" fontId="46" fillId="0" borderId="1" xfId="0" applyNumberFormat="1" applyFont="1" applyFill="1" applyBorder="1" applyAlignment="1" applyProtection="1">
      <alignment horizontal="center" vertical="center"/>
      <protection hidden="1"/>
    </xf>
    <xf numFmtId="0" fontId="64" fillId="0" borderId="265" xfId="0" applyFont="1" applyFill="1" applyBorder="1" applyAlignment="1" applyProtection="1">
      <alignment horizontal="center" vertical="center"/>
      <protection hidden="1"/>
    </xf>
    <xf numFmtId="0" fontId="64" fillId="0" borderId="270" xfId="0" applyFont="1" applyFill="1" applyBorder="1" applyAlignment="1" applyProtection="1">
      <alignment horizontal="center" vertical="center"/>
      <protection hidden="1"/>
    </xf>
    <xf numFmtId="2" fontId="46" fillId="0" borderId="25" xfId="0" applyNumberFormat="1" applyFont="1" applyFill="1" applyBorder="1" applyAlignment="1" applyProtection="1">
      <alignment horizontal="center" vertical="center"/>
      <protection hidden="1"/>
    </xf>
    <xf numFmtId="0" fontId="64" fillId="0" borderId="303" xfId="0" applyFont="1" applyFill="1" applyBorder="1" applyAlignment="1" applyProtection="1">
      <alignment horizontal="center" vertical="center"/>
      <protection hidden="1"/>
    </xf>
    <xf numFmtId="0" fontId="64" fillId="0" borderId="166" xfId="0" applyFont="1" applyFill="1" applyBorder="1" applyAlignment="1" applyProtection="1">
      <alignment horizontal="center" vertical="center"/>
      <protection hidden="1"/>
    </xf>
    <xf numFmtId="0" fontId="284" fillId="9" borderId="0" xfId="4" applyFont="1" applyFill="1" applyBorder="1" applyAlignment="1" applyProtection="1">
      <alignment horizontal="center" vertical="center"/>
    </xf>
    <xf numFmtId="171" fontId="257" fillId="0" borderId="195" xfId="0" applyNumberFormat="1" applyFont="1" applyFill="1" applyBorder="1" applyAlignment="1" applyProtection="1">
      <alignment horizontal="center" vertical="center" wrapText="1" shrinkToFit="1"/>
      <protection hidden="1"/>
    </xf>
    <xf numFmtId="0" fontId="364" fillId="0" borderId="0" xfId="0" applyFont="1" applyProtection="1">
      <protection hidden="1"/>
    </xf>
    <xf numFmtId="0" fontId="364" fillId="0" borderId="0" xfId="0" applyFont="1" applyBorder="1" applyProtection="1">
      <protection hidden="1"/>
    </xf>
    <xf numFmtId="0" fontId="248" fillId="0"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365" fillId="20" borderId="7" xfId="0" applyFont="1" applyFill="1" applyBorder="1" applyAlignment="1" applyProtection="1">
      <alignment vertical="center"/>
      <protection hidden="1"/>
    </xf>
    <xf numFmtId="0" fontId="366" fillId="0" borderId="0" xfId="0" applyFont="1" applyFill="1" applyBorder="1" applyAlignment="1" applyProtection="1">
      <alignment vertical="center" wrapText="1"/>
    </xf>
    <xf numFmtId="0" fontId="106" fillId="0" borderId="172" xfId="0" applyFont="1" applyFill="1" applyBorder="1" applyAlignment="1" applyProtection="1">
      <alignment horizontal="center" vertical="center" textRotation="90" wrapText="1"/>
      <protection hidden="1"/>
    </xf>
    <xf numFmtId="0" fontId="367" fillId="6" borderId="222" xfId="0" applyFont="1" applyFill="1" applyBorder="1" applyAlignment="1" applyProtection="1">
      <alignment vertical="center"/>
      <protection hidden="1"/>
    </xf>
    <xf numFmtId="0" fontId="367" fillId="6" borderId="223" xfId="0" applyFont="1" applyFill="1" applyBorder="1" applyAlignment="1" applyProtection="1">
      <alignment vertical="center"/>
      <protection hidden="1"/>
    </xf>
    <xf numFmtId="0" fontId="368" fillId="0" borderId="172" xfId="0" applyNumberFormat="1" applyFont="1" applyFill="1" applyBorder="1" applyAlignment="1" applyProtection="1">
      <alignment horizontal="center" vertical="center" wrapText="1"/>
      <protection hidden="1"/>
    </xf>
    <xf numFmtId="1" fontId="368" fillId="0" borderId="172" xfId="0" applyNumberFormat="1" applyFont="1" applyFill="1" applyBorder="1" applyAlignment="1" applyProtection="1">
      <alignment horizontal="center" vertical="center" wrapText="1"/>
      <protection hidden="1"/>
    </xf>
    <xf numFmtId="0" fontId="307" fillId="0" borderId="195" xfId="0" applyNumberFormat="1" applyFont="1" applyFill="1" applyBorder="1" applyAlignment="1" applyProtection="1">
      <alignment horizontal="center" vertical="center" wrapText="1"/>
      <protection hidden="1"/>
    </xf>
    <xf numFmtId="0" fontId="289" fillId="0" borderId="0" xfId="0" applyFont="1" applyBorder="1" applyAlignment="1" applyProtection="1">
      <alignment horizontal="center" vertical="center"/>
      <protection hidden="1"/>
    </xf>
    <xf numFmtId="0" fontId="9" fillId="0" borderId="0" xfId="0" applyFont="1" applyBorder="1" applyAlignment="1" applyProtection="1">
      <alignment horizontal="right" vertical="center"/>
      <protection hidden="1"/>
    </xf>
    <xf numFmtId="0" fontId="371" fillId="0" borderId="0" xfId="0" applyFont="1" applyBorder="1" applyAlignment="1" applyProtection="1">
      <alignment horizontal="right" vertical="center"/>
      <protection hidden="1"/>
    </xf>
    <xf numFmtId="0" fontId="370" fillId="0" borderId="0" xfId="0" applyFont="1" applyBorder="1" applyAlignment="1" applyProtection="1">
      <alignment horizontal="center" vertical="center"/>
      <protection hidden="1"/>
    </xf>
    <xf numFmtId="0" fontId="38" fillId="0" borderId="304" xfId="0" applyFont="1" applyFill="1" applyBorder="1" applyAlignment="1" applyProtection="1">
      <alignment horizontal="center" vertical="center" textRotation="90" wrapText="1"/>
      <protection hidden="1"/>
    </xf>
    <xf numFmtId="0" fontId="373" fillId="3" borderId="304" xfId="0" applyFont="1" applyFill="1" applyBorder="1" applyAlignment="1" applyProtection="1">
      <alignment horizontal="center" vertical="center" textRotation="90" wrapText="1" shrinkToFit="1"/>
      <protection hidden="1"/>
    </xf>
    <xf numFmtId="0" fontId="59" fillId="40" borderId="304" xfId="0" applyFont="1" applyFill="1" applyBorder="1" applyAlignment="1" applyProtection="1">
      <alignment horizontal="center" vertical="center" wrapText="1"/>
      <protection hidden="1"/>
    </xf>
    <xf numFmtId="0" fontId="374" fillId="40" borderId="304" xfId="0" applyFont="1" applyFill="1" applyBorder="1" applyAlignment="1" applyProtection="1">
      <alignment horizontal="center" vertical="center" wrapText="1"/>
      <protection hidden="1"/>
    </xf>
    <xf numFmtId="0" fontId="281" fillId="40" borderId="304" xfId="0" applyFont="1" applyFill="1" applyBorder="1" applyAlignment="1" applyProtection="1">
      <alignment horizontal="center" vertical="center" wrapText="1"/>
      <protection hidden="1"/>
    </xf>
    <xf numFmtId="0" fontId="97" fillId="40" borderId="304" xfId="0" applyFont="1" applyFill="1" applyBorder="1" applyAlignment="1" applyProtection="1">
      <alignment horizontal="center" vertical="center" wrapText="1"/>
      <protection hidden="1"/>
    </xf>
    <xf numFmtId="0" fontId="8" fillId="40" borderId="304" xfId="0" applyFont="1" applyFill="1" applyBorder="1" applyAlignment="1" applyProtection="1">
      <alignment horizontal="center"/>
      <protection hidden="1"/>
    </xf>
    <xf numFmtId="0" fontId="49" fillId="0" borderId="304" xfId="0" applyFont="1" applyFill="1" applyBorder="1" applyAlignment="1" applyProtection="1">
      <alignment horizontal="center" vertical="center" wrapText="1"/>
      <protection hidden="1"/>
    </xf>
    <xf numFmtId="0" fontId="47" fillId="0" borderId="304" xfId="0" applyFont="1" applyFill="1" applyBorder="1" applyAlignment="1" applyProtection="1">
      <alignment horizontal="center" vertical="center" wrapText="1"/>
      <protection hidden="1"/>
    </xf>
    <xf numFmtId="0" fontId="266" fillId="0" borderId="304" xfId="0" applyFont="1" applyFill="1" applyBorder="1" applyAlignment="1" applyProtection="1">
      <alignment horizontal="center" vertical="center" wrapText="1"/>
      <protection hidden="1"/>
    </xf>
    <xf numFmtId="171" fontId="47" fillId="0" borderId="304" xfId="0" applyNumberFormat="1" applyFont="1" applyFill="1" applyBorder="1" applyAlignment="1" applyProtection="1">
      <alignment horizontal="center" vertical="center" wrapText="1"/>
      <protection hidden="1"/>
    </xf>
    <xf numFmtId="0" fontId="124" fillId="0" borderId="304" xfId="0" applyFont="1" applyFill="1" applyBorder="1" applyAlignment="1" applyProtection="1">
      <alignment horizontal="left" vertical="center" wrapText="1"/>
      <protection hidden="1"/>
    </xf>
    <xf numFmtId="0" fontId="124" fillId="0" borderId="304" xfId="0" applyFont="1" applyFill="1" applyBorder="1" applyAlignment="1" applyProtection="1">
      <alignment horizontal="center" vertical="center" wrapText="1"/>
      <protection hidden="1"/>
    </xf>
    <xf numFmtId="0" fontId="59" fillId="3" borderId="304" xfId="0" applyFont="1" applyFill="1" applyBorder="1" applyAlignment="1" applyProtection="1">
      <alignment horizontal="center" vertical="center" wrapText="1"/>
      <protection hidden="1"/>
    </xf>
    <xf numFmtId="0" fontId="374" fillId="0" borderId="304" xfId="0" applyFont="1" applyFill="1" applyBorder="1" applyAlignment="1" applyProtection="1">
      <alignment horizontal="center" vertical="center" wrapText="1"/>
      <protection hidden="1"/>
    </xf>
    <xf numFmtId="0" fontId="97" fillId="3" borderId="304" xfId="0" applyFont="1" applyFill="1" applyBorder="1" applyAlignment="1" applyProtection="1">
      <alignment horizontal="center" vertical="center" wrapText="1"/>
      <protection hidden="1"/>
    </xf>
    <xf numFmtId="0" fontId="375" fillId="3" borderId="304" xfId="0" applyFont="1" applyFill="1" applyBorder="1" applyAlignment="1" applyProtection="1">
      <alignment horizontal="center" vertical="center" wrapText="1"/>
      <protection hidden="1"/>
    </xf>
    <xf numFmtId="0" fontId="46" fillId="0" borderId="304" xfId="0" applyFont="1" applyFill="1" applyBorder="1" applyAlignment="1" applyProtection="1">
      <alignment horizontal="center" vertical="center" wrapText="1"/>
      <protection hidden="1"/>
    </xf>
    <xf numFmtId="0" fontId="376" fillId="3" borderId="304" xfId="0" applyFont="1" applyFill="1" applyBorder="1" applyAlignment="1" applyProtection="1">
      <alignment horizontal="center" vertical="center" wrapText="1"/>
      <protection hidden="1"/>
    </xf>
    <xf numFmtId="0" fontId="340" fillId="3" borderId="304" xfId="0" applyFont="1" applyFill="1" applyBorder="1" applyAlignment="1" applyProtection="1">
      <alignment horizontal="center" vertical="center"/>
      <protection hidden="1"/>
    </xf>
    <xf numFmtId="0" fontId="282" fillId="3" borderId="319" xfId="0" applyFont="1" applyFill="1" applyBorder="1" applyAlignment="1" applyProtection="1">
      <alignment vertical="center" textRotation="90" wrapText="1" shrinkToFit="1"/>
      <protection hidden="1"/>
    </xf>
    <xf numFmtId="0" fontId="282" fillId="3" borderId="319" xfId="0" applyFont="1" applyFill="1" applyBorder="1" applyAlignment="1" applyProtection="1">
      <alignment horizontal="center" vertical="center" textRotation="90" wrapText="1" shrinkToFit="1"/>
      <protection hidden="1"/>
    </xf>
    <xf numFmtId="0" fontId="381" fillId="40" borderId="304" xfId="0" applyFont="1" applyFill="1" applyBorder="1" applyAlignment="1" applyProtection="1">
      <alignment horizontal="center" vertical="center" wrapText="1"/>
      <protection hidden="1"/>
    </xf>
    <xf numFmtId="0" fontId="382" fillId="3" borderId="319" xfId="0" applyFont="1" applyFill="1" applyBorder="1" applyAlignment="1" applyProtection="1">
      <alignment horizontal="center" vertical="center" textRotation="90" wrapText="1" shrinkToFit="1"/>
      <protection hidden="1"/>
    </xf>
    <xf numFmtId="0" fontId="281" fillId="0" borderId="304" xfId="0" applyFont="1" applyFill="1" applyBorder="1" applyAlignment="1" applyProtection="1">
      <alignment horizontal="center" vertical="center" wrapText="1"/>
      <protection hidden="1"/>
    </xf>
    <xf numFmtId="0" fontId="381" fillId="3" borderId="304" xfId="0" applyFont="1" applyFill="1" applyBorder="1" applyAlignment="1" applyProtection="1">
      <alignment horizontal="center" vertical="center" wrapText="1"/>
      <protection hidden="1"/>
    </xf>
    <xf numFmtId="0" fontId="380" fillId="0" borderId="309" xfId="0" applyFont="1" applyFill="1" applyBorder="1" applyAlignment="1" applyProtection="1">
      <alignment horizontal="center" vertical="center" wrapText="1"/>
      <protection hidden="1"/>
    </xf>
    <xf numFmtId="0" fontId="379" fillId="0" borderId="309" xfId="0" applyFont="1" applyFill="1" applyBorder="1" applyAlignment="1" applyProtection="1">
      <alignment horizontal="center" vertical="center" wrapText="1"/>
      <protection hidden="1"/>
    </xf>
    <xf numFmtId="0" fontId="172" fillId="0" borderId="0" xfId="0" applyFont="1" applyBorder="1" applyAlignment="1" applyProtection="1">
      <alignment horizontal="right" vertical="center"/>
      <protection hidden="1"/>
    </xf>
    <xf numFmtId="0" fontId="289" fillId="0" borderId="0" xfId="0" applyFont="1" applyBorder="1" applyAlignment="1" applyProtection="1">
      <alignment horizontal="left" vertical="center"/>
      <protection hidden="1"/>
    </xf>
    <xf numFmtId="0" fontId="38" fillId="3" borderId="304" xfId="0" applyFont="1" applyFill="1" applyBorder="1" applyAlignment="1" applyProtection="1">
      <alignment horizontal="center" vertical="center" textRotation="90" wrapText="1"/>
      <protection hidden="1"/>
    </xf>
    <xf numFmtId="0" fontId="336" fillId="0" borderId="0" xfId="0" applyFont="1" applyBorder="1" applyAlignment="1" applyProtection="1">
      <alignment horizontal="center" vertical="center"/>
      <protection hidden="1"/>
    </xf>
    <xf numFmtId="0" fontId="362" fillId="9" borderId="0" xfId="4" applyFont="1" applyFill="1" applyBorder="1" applyAlignment="1" applyProtection="1">
      <alignment horizontal="center" vertical="center"/>
    </xf>
    <xf numFmtId="0" fontId="248" fillId="0" borderId="116" xfId="0" applyFont="1" applyFill="1" applyBorder="1" applyAlignment="1" applyProtection="1">
      <alignment horizontal="center" vertical="center" wrapText="1"/>
      <protection hidden="1"/>
    </xf>
    <xf numFmtId="0" fontId="249" fillId="0" borderId="116" xfId="0" applyFont="1" applyFill="1" applyBorder="1" applyAlignment="1" applyProtection="1">
      <alignment horizontal="center" vertical="center" wrapText="1"/>
      <protection hidden="1"/>
    </xf>
    <xf numFmtId="0" fontId="31" fillId="0" borderId="143" xfId="0" applyFont="1" applyBorder="1" applyAlignment="1" applyProtection="1">
      <alignment horizontal="center" vertical="center" wrapText="1"/>
      <protection hidden="1"/>
    </xf>
    <xf numFmtId="0" fontId="259" fillId="0" borderId="143" xfId="0" applyFont="1" applyFill="1" applyBorder="1" applyAlignment="1" applyProtection="1">
      <alignment horizontal="center" wrapText="1"/>
      <protection hidden="1"/>
    </xf>
    <xf numFmtId="0" fontId="336" fillId="0" borderId="0" xfId="0" applyFont="1" applyBorder="1" applyAlignment="1" applyProtection="1">
      <alignment horizontal="center" vertical="center"/>
      <protection hidden="1"/>
    </xf>
    <xf numFmtId="0" fontId="195" fillId="32" borderId="215" xfId="0" applyFont="1" applyFill="1" applyBorder="1" applyAlignment="1" applyProtection="1">
      <alignment horizontal="left" vertical="center"/>
      <protection locked="0"/>
    </xf>
    <xf numFmtId="0" fontId="233" fillId="12" borderId="9" xfId="0" applyFont="1" applyFill="1" applyBorder="1" applyAlignment="1" applyProtection="1">
      <alignment horizontal="center" vertical="center" wrapText="1"/>
      <protection hidden="1"/>
    </xf>
    <xf numFmtId="171" fontId="247" fillId="0" borderId="143" xfId="0" applyNumberFormat="1" applyFont="1" applyFill="1" applyBorder="1" applyAlignment="1" applyProtection="1">
      <alignment horizontal="center" vertical="center" wrapText="1"/>
      <protection hidden="1"/>
    </xf>
    <xf numFmtId="1" fontId="384" fillId="0" borderId="143" xfId="0" applyNumberFormat="1" applyFont="1" applyFill="1" applyBorder="1" applyAlignment="1" applyProtection="1">
      <alignment horizontal="center" vertical="center" wrapText="1"/>
      <protection hidden="1"/>
    </xf>
    <xf numFmtId="0" fontId="38" fillId="0" borderId="119" xfId="0" applyFont="1" applyBorder="1" applyAlignment="1" applyProtection="1">
      <alignment horizontal="right" vertical="center"/>
      <protection hidden="1"/>
    </xf>
    <xf numFmtId="0" fontId="38" fillId="0" borderId="181" xfId="0" applyFont="1" applyFill="1" applyBorder="1" applyAlignment="1" applyProtection="1">
      <alignment horizontal="center" vertical="center" textRotation="90" wrapText="1"/>
      <protection hidden="1"/>
    </xf>
    <xf numFmtId="0" fontId="38" fillId="0" borderId="182" xfId="0" applyFont="1" applyBorder="1" applyAlignment="1" applyProtection="1">
      <alignment horizontal="center" vertical="center" textRotation="90" wrapText="1"/>
      <protection hidden="1"/>
    </xf>
    <xf numFmtId="0" fontId="9" fillId="0" borderId="120" xfId="0" applyFont="1" applyBorder="1" applyAlignment="1" applyProtection="1">
      <alignment horizontal="left" vertical="center"/>
      <protection hidden="1"/>
    </xf>
    <xf numFmtId="172" fontId="46" fillId="0" borderId="143" xfId="0" applyNumberFormat="1" applyFont="1" applyFill="1" applyBorder="1" applyAlignment="1" applyProtection="1">
      <alignment horizontal="center" vertical="center" wrapText="1"/>
      <protection hidden="1"/>
    </xf>
    <xf numFmtId="0" fontId="50" fillId="0" borderId="143" xfId="0" applyFont="1" applyFill="1" applyBorder="1" applyAlignment="1" applyProtection="1">
      <alignment horizontal="center" vertical="center" wrapText="1"/>
      <protection hidden="1"/>
    </xf>
    <xf numFmtId="0" fontId="385" fillId="0" borderId="143" xfId="0" applyFont="1" applyFill="1" applyBorder="1" applyAlignment="1" applyProtection="1">
      <alignment horizontal="center" vertical="center" wrapText="1"/>
      <protection hidden="1"/>
    </xf>
    <xf numFmtId="0" fontId="342" fillId="0" borderId="0" xfId="0" applyFont="1" applyBorder="1" applyAlignment="1" applyProtection="1">
      <alignment vertical="center"/>
      <protection hidden="1"/>
    </xf>
    <xf numFmtId="0" fontId="362" fillId="26" borderId="0" xfId="4" applyFont="1" applyFill="1" applyAlignment="1" applyProtection="1">
      <alignment horizontal="center" vertical="center"/>
      <protection hidden="1"/>
    </xf>
    <xf numFmtId="0" fontId="362" fillId="9" borderId="0" xfId="4" applyFont="1" applyFill="1" applyBorder="1" applyAlignment="1" applyProtection="1">
      <alignment vertical="center"/>
    </xf>
    <xf numFmtId="0" fontId="136" fillId="21" borderId="114" xfId="0" applyFont="1" applyFill="1" applyBorder="1" applyAlignment="1" applyProtection="1">
      <alignment horizontal="center" vertical="center"/>
      <protection hidden="1"/>
    </xf>
    <xf numFmtId="0" fontId="136" fillId="21" borderId="0" xfId="0" applyFont="1" applyFill="1" applyBorder="1" applyAlignment="1" applyProtection="1">
      <alignment horizontal="center" vertical="center"/>
      <protection hidden="1"/>
    </xf>
    <xf numFmtId="0" fontId="136" fillId="21" borderId="115" xfId="0" applyFont="1" applyFill="1" applyBorder="1" applyAlignment="1" applyProtection="1">
      <alignment horizontal="center" vertical="center"/>
      <protection hidden="1"/>
    </xf>
    <xf numFmtId="0" fontId="138" fillId="21" borderId="114" xfId="4" applyFont="1" applyFill="1" applyBorder="1" applyAlignment="1" applyProtection="1">
      <alignment horizontal="center" vertical="center"/>
      <protection hidden="1"/>
    </xf>
    <xf numFmtId="0" fontId="138" fillId="21" borderId="0" xfId="4" applyFont="1" applyFill="1" applyBorder="1" applyAlignment="1" applyProtection="1">
      <alignment horizontal="center" vertical="center"/>
      <protection hidden="1"/>
    </xf>
    <xf numFmtId="0" fontId="138" fillId="21" borderId="115" xfId="4" applyFont="1" applyFill="1" applyBorder="1" applyAlignment="1" applyProtection="1">
      <alignment horizontal="center" vertical="center"/>
      <protection hidden="1"/>
    </xf>
    <xf numFmtId="0" fontId="164" fillId="24" borderId="111" xfId="0" applyFont="1" applyFill="1" applyBorder="1" applyAlignment="1">
      <alignment horizontal="left" vertical="center" wrapText="1"/>
    </xf>
    <xf numFmtId="0" fontId="164" fillId="24" borderId="112" xfId="0" applyFont="1" applyFill="1" applyBorder="1" applyAlignment="1">
      <alignment horizontal="left" vertical="center" wrapText="1"/>
    </xf>
    <xf numFmtId="0" fontId="164" fillId="24" borderId="113" xfId="0" applyFont="1" applyFill="1" applyBorder="1" applyAlignment="1">
      <alignment horizontal="left" vertical="center" wrapText="1"/>
    </xf>
    <xf numFmtId="0" fontId="30" fillId="12" borderId="105" xfId="0" applyFont="1" applyFill="1" applyBorder="1" applyAlignment="1" applyProtection="1">
      <alignment horizontal="center" vertical="center"/>
    </xf>
    <xf numFmtId="0" fontId="30" fillId="12" borderId="106" xfId="0" applyFont="1" applyFill="1" applyBorder="1" applyAlignment="1" applyProtection="1">
      <alignment horizontal="center" vertical="center"/>
    </xf>
    <xf numFmtId="0" fontId="30" fillId="12" borderId="107" xfId="0" applyFont="1" applyFill="1" applyBorder="1" applyAlignment="1" applyProtection="1">
      <alignment horizontal="center" vertical="center"/>
    </xf>
    <xf numFmtId="0" fontId="165" fillId="21" borderId="108" xfId="0" applyFont="1" applyFill="1" applyBorder="1" applyAlignment="1" applyProtection="1">
      <alignment horizontal="center" vertical="center"/>
      <protection hidden="1"/>
    </xf>
    <xf numFmtId="0" fontId="165" fillId="21" borderId="109" xfId="0" applyFont="1" applyFill="1" applyBorder="1" applyAlignment="1" applyProtection="1">
      <alignment horizontal="center" vertical="center"/>
      <protection hidden="1"/>
    </xf>
    <xf numFmtId="0" fontId="165" fillId="21" borderId="110" xfId="0" applyFont="1" applyFill="1" applyBorder="1" applyAlignment="1" applyProtection="1">
      <alignment horizontal="center" vertical="center"/>
      <protection hidden="1"/>
    </xf>
    <xf numFmtId="0" fontId="226" fillId="21" borderId="114" xfId="0" applyFont="1" applyFill="1" applyBorder="1" applyAlignment="1" applyProtection="1">
      <alignment horizontal="center" vertical="center"/>
      <protection hidden="1"/>
    </xf>
    <xf numFmtId="0" fontId="226" fillId="21" borderId="0" xfId="0" applyFont="1" applyFill="1" applyBorder="1" applyAlignment="1" applyProtection="1">
      <alignment horizontal="center" vertical="center"/>
      <protection hidden="1"/>
    </xf>
    <xf numFmtId="0" fontId="226" fillId="21" borderId="115" xfId="0" applyFont="1" applyFill="1" applyBorder="1" applyAlignment="1" applyProtection="1">
      <alignment horizontal="center" vertical="center"/>
      <protection hidden="1"/>
    </xf>
    <xf numFmtId="0" fontId="135" fillId="21" borderId="114" xfId="0" applyFont="1" applyFill="1" applyBorder="1" applyAlignment="1" applyProtection="1">
      <alignment horizontal="center" vertical="center"/>
      <protection hidden="1"/>
    </xf>
    <xf numFmtId="0" fontId="135" fillId="21" borderId="0" xfId="0" applyFont="1" applyFill="1" applyBorder="1" applyAlignment="1" applyProtection="1">
      <alignment horizontal="center" vertical="center"/>
      <protection hidden="1"/>
    </xf>
    <xf numFmtId="0" fontId="135" fillId="21" borderId="115" xfId="0" applyFont="1" applyFill="1" applyBorder="1" applyAlignment="1" applyProtection="1">
      <alignment horizontal="center" vertical="center"/>
      <protection hidden="1"/>
    </xf>
    <xf numFmtId="0" fontId="221" fillId="17" borderId="105" xfId="0" applyFont="1" applyFill="1" applyBorder="1" applyAlignment="1" applyProtection="1">
      <alignment horizontal="center" vertical="center" wrapText="1"/>
      <protection hidden="1"/>
    </xf>
    <xf numFmtId="0" fontId="221" fillId="17" borderId="106" xfId="0" applyFont="1" applyFill="1" applyBorder="1" applyAlignment="1" applyProtection="1">
      <alignment horizontal="center" vertical="center" wrapText="1"/>
      <protection hidden="1"/>
    </xf>
    <xf numFmtId="0" fontId="221" fillId="17" borderId="107" xfId="0" applyFont="1" applyFill="1" applyBorder="1" applyAlignment="1" applyProtection="1">
      <alignment horizontal="center" vertical="center" wrapText="1"/>
      <protection hidden="1"/>
    </xf>
    <xf numFmtId="0" fontId="222" fillId="21" borderId="73" xfId="0" applyFont="1" applyFill="1" applyBorder="1" applyAlignment="1">
      <alignment horizontal="center" vertical="center" wrapText="1"/>
    </xf>
    <xf numFmtId="0" fontId="222" fillId="21" borderId="0" xfId="0" applyFont="1" applyFill="1" applyBorder="1" applyAlignment="1">
      <alignment horizontal="center" vertical="center" wrapText="1"/>
    </xf>
    <xf numFmtId="0" fontId="196" fillId="5" borderId="108" xfId="0" applyFont="1" applyFill="1" applyBorder="1" applyAlignment="1">
      <alignment horizontal="left" vertical="center" wrapText="1"/>
    </xf>
    <xf numFmtId="0" fontId="196" fillId="5" borderId="109" xfId="0" applyFont="1" applyFill="1" applyBorder="1" applyAlignment="1">
      <alignment horizontal="left" vertical="center" wrapText="1"/>
    </xf>
    <xf numFmtId="0" fontId="196" fillId="5" borderId="110" xfId="0" applyFont="1" applyFill="1" applyBorder="1" applyAlignment="1">
      <alignment horizontal="left" vertical="center" wrapText="1"/>
    </xf>
    <xf numFmtId="0" fontId="204" fillId="5" borderId="114" xfId="0" applyFont="1" applyFill="1" applyBorder="1" applyAlignment="1">
      <alignment horizontal="left" vertical="center" wrapText="1"/>
    </xf>
    <xf numFmtId="0" fontId="204" fillId="5" borderId="0" xfId="0" applyFont="1" applyFill="1" applyBorder="1" applyAlignment="1">
      <alignment horizontal="left" vertical="center" wrapText="1"/>
    </xf>
    <xf numFmtId="0" fontId="204" fillId="5" borderId="115" xfId="0" applyFont="1" applyFill="1" applyBorder="1" applyAlignment="1">
      <alignment horizontal="left" vertical="center" wrapText="1"/>
    </xf>
    <xf numFmtId="0" fontId="9" fillId="5" borderId="111" xfId="0" applyFont="1" applyFill="1" applyBorder="1" applyAlignment="1">
      <alignment horizontal="left" vertical="center" wrapText="1"/>
    </xf>
    <xf numFmtId="0" fontId="163" fillId="5" borderId="112" xfId="0" applyFont="1" applyFill="1" applyBorder="1" applyAlignment="1">
      <alignment horizontal="left" vertical="center" wrapText="1"/>
    </xf>
    <xf numFmtId="0" fontId="163" fillId="5" borderId="113" xfId="0" applyFont="1" applyFill="1" applyBorder="1" applyAlignment="1">
      <alignment horizontal="left" vertical="center" wrapText="1"/>
    </xf>
    <xf numFmtId="0" fontId="152" fillId="5" borderId="114" xfId="0" applyFont="1" applyFill="1" applyBorder="1" applyAlignment="1">
      <alignment horizontal="left" vertical="center" wrapText="1"/>
    </xf>
    <xf numFmtId="0" fontId="152" fillId="5" borderId="0" xfId="0" applyFont="1" applyFill="1" applyBorder="1" applyAlignment="1">
      <alignment horizontal="left" vertical="center" wrapText="1"/>
    </xf>
    <xf numFmtId="0" fontId="152" fillId="5" borderId="115" xfId="0" applyFont="1" applyFill="1" applyBorder="1" applyAlignment="1">
      <alignment horizontal="left" vertical="center" wrapText="1"/>
    </xf>
    <xf numFmtId="0" fontId="155" fillId="5" borderId="114" xfId="0" applyFont="1" applyFill="1" applyBorder="1" applyAlignment="1">
      <alignment horizontal="left" vertical="center" wrapText="1"/>
    </xf>
    <xf numFmtId="0" fontId="155" fillId="5" borderId="0" xfId="0" applyFont="1" applyFill="1" applyBorder="1" applyAlignment="1">
      <alignment horizontal="left" vertical="center" wrapText="1"/>
    </xf>
    <xf numFmtId="0" fontId="155" fillId="5" borderId="115" xfId="0" applyFont="1" applyFill="1" applyBorder="1" applyAlignment="1">
      <alignment horizontal="left" vertical="center" wrapText="1"/>
    </xf>
    <xf numFmtId="0" fontId="155" fillId="5" borderId="111" xfId="0" applyFont="1" applyFill="1" applyBorder="1" applyAlignment="1">
      <alignment horizontal="left" vertical="center" wrapText="1"/>
    </xf>
    <xf numFmtId="0" fontId="155" fillId="5" borderId="112" xfId="0" applyFont="1" applyFill="1" applyBorder="1" applyAlignment="1">
      <alignment horizontal="left" vertical="center" wrapText="1"/>
    </xf>
    <xf numFmtId="0" fontId="155" fillId="5" borderId="113" xfId="0" applyFont="1" applyFill="1" applyBorder="1" applyAlignment="1">
      <alignment horizontal="left" vertical="center" wrapText="1"/>
    </xf>
    <xf numFmtId="0" fontId="162" fillId="23" borderId="73" xfId="0" applyFont="1" applyFill="1" applyBorder="1" applyAlignment="1">
      <alignment horizontal="center" vertical="center" wrapText="1"/>
    </xf>
    <xf numFmtId="0" fontId="162" fillId="23" borderId="0" xfId="0" applyFont="1" applyFill="1" applyBorder="1" applyAlignment="1">
      <alignment horizontal="center" vertical="center" wrapText="1"/>
    </xf>
    <xf numFmtId="0" fontId="152" fillId="5" borderId="108" xfId="0" applyFont="1" applyFill="1" applyBorder="1" applyAlignment="1">
      <alignment horizontal="left" vertical="center" wrapText="1"/>
    </xf>
    <xf numFmtId="0" fontId="152" fillId="5" borderId="109" xfId="0" applyFont="1" applyFill="1" applyBorder="1" applyAlignment="1">
      <alignment horizontal="left" vertical="center" wrapText="1"/>
    </xf>
    <xf numFmtId="0" fontId="152" fillId="5" borderId="110" xfId="0" applyFont="1" applyFill="1" applyBorder="1" applyAlignment="1">
      <alignment horizontal="left" vertical="center" wrapText="1"/>
    </xf>
    <xf numFmtId="0" fontId="198" fillId="25" borderId="108" xfId="4" applyFont="1" applyFill="1" applyBorder="1" applyAlignment="1" applyProtection="1">
      <alignment horizontal="left" vertical="center" wrapText="1"/>
    </xf>
    <xf numFmtId="0" fontId="198" fillId="25" borderId="109" xfId="4" applyFont="1" applyFill="1" applyBorder="1" applyAlignment="1" applyProtection="1">
      <alignment horizontal="left" vertical="center" wrapText="1"/>
    </xf>
    <xf numFmtId="0" fontId="198" fillId="25" borderId="110" xfId="4" applyFont="1" applyFill="1" applyBorder="1" applyAlignment="1" applyProtection="1">
      <alignment horizontal="left" vertical="center" wrapText="1"/>
    </xf>
    <xf numFmtId="0" fontId="198" fillId="25" borderId="114" xfId="4" applyFont="1" applyFill="1" applyBorder="1" applyAlignment="1" applyProtection="1">
      <alignment horizontal="left" vertical="center" wrapText="1"/>
    </xf>
    <xf numFmtId="0" fontId="198" fillId="25" borderId="0" xfId="4" applyFont="1" applyFill="1" applyBorder="1" applyAlignment="1" applyProtection="1">
      <alignment horizontal="left" vertical="center" wrapText="1"/>
    </xf>
    <xf numFmtId="0" fontId="198" fillId="25" borderId="115" xfId="4" applyFont="1" applyFill="1" applyBorder="1" applyAlignment="1" applyProtection="1">
      <alignment horizontal="left" vertical="center" wrapText="1"/>
    </xf>
    <xf numFmtId="0" fontId="200" fillId="25" borderId="114" xfId="4" applyFont="1" applyFill="1" applyBorder="1" applyAlignment="1" applyProtection="1">
      <alignment horizontal="left" vertical="center" wrapText="1"/>
    </xf>
    <xf numFmtId="0" fontId="200" fillId="25" borderId="0" xfId="4" applyFont="1" applyFill="1" applyBorder="1" applyAlignment="1" applyProtection="1">
      <alignment horizontal="left" vertical="center" wrapText="1"/>
    </xf>
    <xf numFmtId="0" fontId="200" fillId="25" borderId="115" xfId="4" applyFont="1" applyFill="1" applyBorder="1" applyAlignment="1" applyProtection="1">
      <alignment horizontal="left" vertical="center" wrapText="1"/>
    </xf>
    <xf numFmtId="0" fontId="195" fillId="24" borderId="108" xfId="0" applyFont="1" applyFill="1" applyBorder="1" applyAlignment="1" applyProtection="1">
      <alignment horizontal="left" vertical="center" wrapText="1"/>
    </xf>
    <xf numFmtId="0" fontId="195" fillId="24" borderId="109" xfId="0" applyFont="1" applyFill="1" applyBorder="1" applyAlignment="1" applyProtection="1">
      <alignment horizontal="left" vertical="center" wrapText="1"/>
    </xf>
    <xf numFmtId="0" fontId="195" fillId="24" borderId="110" xfId="0" applyFont="1" applyFill="1" applyBorder="1" applyAlignment="1" applyProtection="1">
      <alignment horizontal="left" vertical="center" wrapText="1"/>
    </xf>
    <xf numFmtId="0" fontId="197" fillId="23" borderId="73" xfId="0" applyFont="1" applyFill="1" applyBorder="1" applyAlignment="1">
      <alignment horizontal="center" vertical="center" wrapText="1"/>
    </xf>
    <xf numFmtId="0" fontId="197" fillId="23" borderId="0" xfId="0" applyFont="1" applyFill="1" applyBorder="1" applyAlignment="1">
      <alignment horizontal="center" vertical="center" wrapText="1"/>
    </xf>
    <xf numFmtId="0" fontId="362" fillId="21" borderId="111" xfId="4" applyFont="1" applyFill="1" applyBorder="1" applyAlignment="1" applyProtection="1">
      <alignment horizontal="center" vertical="center"/>
      <protection hidden="1"/>
    </xf>
    <xf numFmtId="0" fontId="386" fillId="21" borderId="112" xfId="4" applyFont="1" applyFill="1" applyBorder="1" applyAlignment="1" applyProtection="1">
      <alignment horizontal="center" vertical="center"/>
      <protection hidden="1"/>
    </xf>
    <xf numFmtId="0" fontId="386" fillId="21" borderId="113" xfId="4" applyFont="1" applyFill="1" applyBorder="1" applyAlignment="1" applyProtection="1">
      <alignment horizontal="center" vertical="center"/>
      <protection hidden="1"/>
    </xf>
    <xf numFmtId="0" fontId="194" fillId="2" borderId="105" xfId="0" applyFont="1" applyFill="1" applyBorder="1" applyAlignment="1" applyProtection="1">
      <alignment horizontal="left" vertical="center" wrapText="1"/>
    </xf>
    <xf numFmtId="0" fontId="194" fillId="2" borderId="106" xfId="0" applyFont="1" applyFill="1" applyBorder="1" applyAlignment="1" applyProtection="1">
      <alignment horizontal="left" vertical="center" wrapText="1"/>
    </xf>
    <xf numFmtId="0" fontId="194" fillId="2" borderId="107" xfId="0" applyFont="1" applyFill="1" applyBorder="1" applyAlignment="1" applyProtection="1">
      <alignment horizontal="left" vertical="center" wrapText="1"/>
    </xf>
    <xf numFmtId="0" fontId="191" fillId="5" borderId="105" xfId="0" applyFont="1" applyFill="1" applyBorder="1" applyAlignment="1">
      <alignment horizontal="center" vertical="center" wrapText="1"/>
    </xf>
    <xf numFmtId="0" fontId="191" fillId="5" borderId="106" xfId="0" applyFont="1" applyFill="1" applyBorder="1" applyAlignment="1">
      <alignment horizontal="center" vertical="center" wrapText="1"/>
    </xf>
    <xf numFmtId="0" fontId="191" fillId="5" borderId="107" xfId="0" applyFont="1" applyFill="1" applyBorder="1" applyAlignment="1">
      <alignment horizontal="center" vertical="center" wrapText="1"/>
    </xf>
    <xf numFmtId="0" fontId="192" fillId="20" borderId="73" xfId="0" applyFont="1" applyFill="1" applyBorder="1" applyAlignment="1" applyProtection="1">
      <alignment horizontal="center" vertical="center"/>
    </xf>
    <xf numFmtId="0" fontId="192" fillId="20" borderId="0" xfId="0" applyFont="1" applyFill="1" applyBorder="1" applyAlignment="1" applyProtection="1">
      <alignment horizontal="center" vertical="center"/>
    </xf>
    <xf numFmtId="0" fontId="193" fillId="4" borderId="105" xfId="0" applyFont="1" applyFill="1" applyBorder="1" applyAlignment="1" applyProtection="1">
      <alignment horizontal="left" vertical="center" wrapText="1"/>
    </xf>
    <xf numFmtId="0" fontId="193" fillId="4" borderId="106" xfId="0" applyFont="1" applyFill="1" applyBorder="1" applyAlignment="1" applyProtection="1">
      <alignment horizontal="left" vertical="center" wrapText="1"/>
    </xf>
    <xf numFmtId="0" fontId="193" fillId="4" borderId="107" xfId="0" applyFont="1" applyFill="1" applyBorder="1" applyAlignment="1" applyProtection="1">
      <alignment horizontal="left" vertical="center" wrapText="1"/>
    </xf>
    <xf numFmtId="0" fontId="213" fillId="23" borderId="73" xfId="0" applyFont="1" applyFill="1" applyBorder="1" applyAlignment="1">
      <alignment horizontal="center" vertical="center" wrapText="1"/>
    </xf>
    <xf numFmtId="0" fontId="213" fillId="23" borderId="0" xfId="0" applyFont="1" applyFill="1" applyBorder="1" applyAlignment="1">
      <alignment horizontal="center" vertical="center" wrapText="1"/>
    </xf>
    <xf numFmtId="0" fontId="153" fillId="5" borderId="111" xfId="0" applyFont="1" applyFill="1" applyBorder="1" applyAlignment="1">
      <alignment horizontal="left" vertical="center" wrapText="1"/>
    </xf>
    <xf numFmtId="0" fontId="153" fillId="5" borderId="112" xfId="0" applyFont="1" applyFill="1" applyBorder="1" applyAlignment="1">
      <alignment horizontal="left" vertical="center" wrapText="1"/>
    </xf>
    <xf numFmtId="0" fontId="153" fillId="5" borderId="113" xfId="0" applyFont="1" applyFill="1" applyBorder="1" applyAlignment="1">
      <alignment horizontal="left" vertical="center" wrapText="1"/>
    </xf>
    <xf numFmtId="0" fontId="210" fillId="23" borderId="73" xfId="0" applyFont="1" applyFill="1" applyBorder="1" applyAlignment="1">
      <alignment horizontal="center" vertical="center" wrapText="1"/>
    </xf>
    <xf numFmtId="0" fontId="210" fillId="23" borderId="0" xfId="0" applyFont="1" applyFill="1" applyBorder="1" applyAlignment="1">
      <alignment horizontal="center" vertical="center" wrapText="1"/>
    </xf>
    <xf numFmtId="0" fontId="193" fillId="24" borderId="111" xfId="0" applyFont="1" applyFill="1" applyBorder="1" applyAlignment="1" applyProtection="1">
      <alignment horizontal="left" vertical="center" wrapText="1"/>
    </xf>
    <xf numFmtId="0" fontId="193" fillId="24" borderId="112" xfId="0" applyFont="1" applyFill="1" applyBorder="1" applyAlignment="1" applyProtection="1">
      <alignment horizontal="left" vertical="center" wrapText="1"/>
    </xf>
    <xf numFmtId="0" fontId="193" fillId="24" borderId="113" xfId="0" applyFont="1" applyFill="1" applyBorder="1" applyAlignment="1" applyProtection="1">
      <alignment horizontal="left" vertical="center" wrapText="1"/>
    </xf>
    <xf numFmtId="0" fontId="198" fillId="25" borderId="111" xfId="4" applyFont="1" applyFill="1" applyBorder="1" applyAlignment="1" applyProtection="1">
      <alignment horizontal="left" vertical="center" wrapText="1"/>
    </xf>
    <xf numFmtId="0" fontId="198" fillId="25" borderId="112" xfId="4" applyFont="1" applyFill="1" applyBorder="1" applyAlignment="1" applyProtection="1">
      <alignment horizontal="left" vertical="center" wrapText="1"/>
    </xf>
    <xf numFmtId="0" fontId="198" fillId="25" borderId="113" xfId="4" applyFont="1" applyFill="1" applyBorder="1" applyAlignment="1" applyProtection="1">
      <alignment horizontal="left" vertical="center" wrapText="1"/>
    </xf>
    <xf numFmtId="0" fontId="224" fillId="21" borderId="73" xfId="0" applyFont="1" applyFill="1" applyBorder="1" applyAlignment="1">
      <alignment horizontal="center" vertical="center" wrapText="1"/>
    </xf>
    <xf numFmtId="0" fontId="224" fillId="21" borderId="0" xfId="0" applyFont="1" applyFill="1" applyBorder="1" applyAlignment="1">
      <alignment horizontal="center" vertical="center" wrapText="1"/>
    </xf>
    <xf numFmtId="0" fontId="151" fillId="24" borderId="108" xfId="0" applyFont="1" applyFill="1" applyBorder="1" applyAlignment="1">
      <alignment horizontal="left" vertical="center" wrapText="1"/>
    </xf>
    <xf numFmtId="0" fontId="151" fillId="24" borderId="109" xfId="0" applyFont="1" applyFill="1" applyBorder="1" applyAlignment="1">
      <alignment horizontal="left" vertical="center" wrapText="1"/>
    </xf>
    <xf numFmtId="0" fontId="151" fillId="24" borderId="110" xfId="0" applyFont="1" applyFill="1" applyBorder="1" applyAlignment="1">
      <alignment horizontal="left" vertical="center" wrapText="1"/>
    </xf>
    <xf numFmtId="0" fontId="268" fillId="33" borderId="51" xfId="0" applyFont="1" applyFill="1" applyBorder="1" applyAlignment="1" applyProtection="1">
      <alignment horizontal="center" vertical="center"/>
      <protection hidden="1"/>
    </xf>
    <xf numFmtId="0" fontId="362" fillId="26" borderId="0" xfId="4" applyFont="1" applyFill="1" applyAlignment="1" applyProtection="1">
      <alignment horizontal="center" vertical="center"/>
      <protection hidden="1"/>
    </xf>
    <xf numFmtId="0" fontId="363" fillId="26" borderId="0" xfId="0" applyFont="1" applyFill="1" applyAlignment="1" applyProtection="1">
      <alignment horizontal="center"/>
      <protection hidden="1"/>
    </xf>
    <xf numFmtId="0" fontId="268" fillId="33" borderId="229" xfId="0" applyFont="1" applyFill="1" applyBorder="1" applyAlignment="1" applyProtection="1">
      <alignment horizontal="center" vertical="center"/>
      <protection hidden="1"/>
    </xf>
    <xf numFmtId="0" fontId="268" fillId="33" borderId="231" xfId="0" applyFont="1" applyFill="1" applyBorder="1" applyAlignment="1" applyProtection="1">
      <alignment horizontal="center" vertical="center"/>
      <protection hidden="1"/>
    </xf>
    <xf numFmtId="0" fontId="6" fillId="26" borderId="0" xfId="0" applyFont="1" applyFill="1" applyBorder="1" applyAlignment="1" applyProtection="1">
      <alignment horizontal="center" vertical="center"/>
      <protection hidden="1"/>
    </xf>
    <xf numFmtId="0" fontId="137" fillId="21" borderId="76" xfId="0" applyFont="1" applyFill="1" applyBorder="1" applyAlignment="1" applyProtection="1">
      <alignment horizontal="center" vertical="center"/>
      <protection hidden="1"/>
    </xf>
    <xf numFmtId="0" fontId="137" fillId="21" borderId="75" xfId="0" applyFont="1" applyFill="1" applyBorder="1" applyAlignment="1" applyProtection="1">
      <alignment horizontal="center" vertical="center"/>
      <protection hidden="1"/>
    </xf>
    <xf numFmtId="0" fontId="138" fillId="21" borderId="76" xfId="4" applyFont="1" applyFill="1" applyBorder="1" applyAlignment="1" applyProtection="1">
      <alignment horizontal="center" vertical="center"/>
      <protection hidden="1"/>
    </xf>
    <xf numFmtId="0" fontId="138" fillId="21" borderId="77" xfId="4" applyFont="1" applyFill="1" applyBorder="1" applyAlignment="1" applyProtection="1">
      <alignment horizontal="center" vertical="center"/>
      <protection hidden="1"/>
    </xf>
    <xf numFmtId="0" fontId="298" fillId="21" borderId="74" xfId="0" applyFont="1" applyFill="1" applyBorder="1" applyAlignment="1" applyProtection="1">
      <alignment horizontal="center" vertical="center"/>
      <protection hidden="1"/>
    </xf>
    <xf numFmtId="0" fontId="298" fillId="21" borderId="75" xfId="0" applyFont="1" applyFill="1" applyBorder="1" applyAlignment="1" applyProtection="1">
      <alignment horizontal="center" vertical="center"/>
      <protection hidden="1"/>
    </xf>
    <xf numFmtId="0" fontId="360" fillId="26" borderId="0" xfId="0" applyFont="1" applyFill="1" applyAlignment="1" applyProtection="1">
      <alignment horizontal="center"/>
      <protection hidden="1"/>
    </xf>
    <xf numFmtId="0" fontId="279" fillId="21" borderId="76" xfId="0" applyFont="1" applyFill="1" applyBorder="1" applyAlignment="1" applyProtection="1">
      <alignment horizontal="center" vertical="center"/>
      <protection hidden="1"/>
    </xf>
    <xf numFmtId="0" fontId="279" fillId="21" borderId="75" xfId="0" applyFont="1" applyFill="1" applyBorder="1" applyAlignment="1" applyProtection="1">
      <alignment horizontal="center" vertical="center"/>
      <protection hidden="1"/>
    </xf>
    <xf numFmtId="0" fontId="135" fillId="21" borderId="76" xfId="0" applyFont="1" applyFill="1" applyBorder="1" applyAlignment="1" applyProtection="1">
      <alignment horizontal="center" vertical="center"/>
      <protection hidden="1"/>
    </xf>
    <xf numFmtId="0" fontId="135" fillId="21" borderId="75" xfId="0" applyFont="1" applyFill="1" applyBorder="1" applyAlignment="1" applyProtection="1">
      <alignment horizontal="center" vertical="center"/>
      <protection hidden="1"/>
    </xf>
    <xf numFmtId="0" fontId="297" fillId="21" borderId="76" xfId="0" applyFont="1" applyFill="1" applyBorder="1" applyAlignment="1" applyProtection="1">
      <alignment horizontal="center" vertical="center"/>
      <protection hidden="1"/>
    </xf>
    <xf numFmtId="0" fontId="297" fillId="21" borderId="75" xfId="0" applyFont="1" applyFill="1" applyBorder="1" applyAlignment="1" applyProtection="1">
      <alignment horizontal="center" vertical="center"/>
      <protection hidden="1"/>
    </xf>
    <xf numFmtId="0" fontId="204" fillId="12" borderId="2" xfId="0" applyFont="1" applyFill="1" applyBorder="1" applyAlignment="1" applyProtection="1">
      <alignment horizontal="right" vertical="center" wrapText="1"/>
      <protection hidden="1"/>
    </xf>
    <xf numFmtId="0" fontId="9" fillId="12" borderId="1" xfId="0" applyFont="1" applyFill="1" applyBorder="1" applyAlignment="1" applyProtection="1">
      <alignment horizontal="center" vertical="center" wrapText="1"/>
      <protection hidden="1"/>
    </xf>
    <xf numFmtId="0" fontId="190" fillId="12" borderId="2" xfId="0" applyFont="1" applyFill="1" applyBorder="1" applyAlignment="1" applyProtection="1">
      <alignment horizontal="center" vertical="center" wrapText="1"/>
      <protection hidden="1"/>
    </xf>
    <xf numFmtId="0" fontId="25" fillId="9" borderId="3" xfId="0" applyFont="1" applyFill="1" applyBorder="1" applyAlignment="1" applyProtection="1">
      <alignment horizontal="center" vertical="center" wrapText="1"/>
      <protection hidden="1"/>
    </xf>
    <xf numFmtId="0" fontId="25" fillId="9" borderId="4" xfId="0" applyFont="1" applyFill="1" applyBorder="1" applyAlignment="1" applyProtection="1">
      <alignment horizontal="center" vertical="center" wrapText="1"/>
      <protection hidden="1"/>
    </xf>
    <xf numFmtId="0" fontId="182" fillId="24" borderId="86" xfId="0" applyFont="1" applyFill="1" applyBorder="1" applyAlignment="1" applyProtection="1">
      <alignment horizontal="center" vertical="center" wrapText="1"/>
      <protection locked="0"/>
    </xf>
    <xf numFmtId="0" fontId="182" fillId="24" borderId="87" xfId="0" applyFont="1" applyFill="1" applyBorder="1" applyAlignment="1" applyProtection="1">
      <alignment horizontal="center" vertical="center" wrapText="1"/>
      <protection locked="0"/>
    </xf>
    <xf numFmtId="0" fontId="122" fillId="2" borderId="12" xfId="0" applyFont="1" applyFill="1" applyBorder="1" applyAlignment="1" applyProtection="1">
      <alignment horizontal="center" vertical="center" wrapText="1"/>
      <protection locked="0"/>
    </xf>
    <xf numFmtId="0" fontId="131" fillId="2" borderId="15" xfId="0" applyFont="1" applyFill="1" applyBorder="1" applyProtection="1">
      <protection locked="0"/>
    </xf>
    <xf numFmtId="0" fontId="122" fillId="2" borderId="89" xfId="0" applyFont="1" applyFill="1" applyBorder="1" applyAlignment="1" applyProtection="1">
      <alignment horizontal="center" vertical="center" wrapText="1"/>
      <protection locked="0"/>
    </xf>
    <xf numFmtId="0" fontId="273" fillId="24" borderId="183" xfId="0" applyFont="1" applyFill="1" applyBorder="1" applyAlignment="1" applyProtection="1">
      <alignment horizontal="center" vertical="center" textRotation="90" wrapText="1"/>
    </xf>
    <xf numFmtId="0" fontId="273" fillId="24" borderId="89" xfId="0" applyFont="1" applyFill="1" applyBorder="1" applyAlignment="1" applyProtection="1">
      <alignment horizontal="center" vertical="center" textRotation="90" wrapText="1"/>
    </xf>
    <xf numFmtId="0" fontId="38" fillId="24" borderId="183" xfId="0" applyFont="1" applyFill="1" applyBorder="1" applyAlignment="1" applyProtection="1">
      <alignment horizontal="center" vertical="center" textRotation="90" wrapText="1"/>
    </xf>
    <xf numFmtId="0" fontId="38" fillId="24" borderId="89" xfId="0" applyFont="1" applyFill="1" applyBorder="1" applyAlignment="1" applyProtection="1">
      <alignment horizontal="center" vertical="center" textRotation="90" wrapText="1"/>
    </xf>
    <xf numFmtId="0" fontId="190" fillId="24" borderId="86" xfId="0" applyFont="1" applyFill="1" applyBorder="1" applyAlignment="1" applyProtection="1">
      <alignment horizontal="center" vertical="center" wrapText="1"/>
      <protection locked="0"/>
    </xf>
    <xf numFmtId="0" fontId="190" fillId="24" borderId="87" xfId="0" applyFont="1" applyFill="1" applyBorder="1" applyAlignment="1" applyProtection="1">
      <alignment horizontal="center" vertical="center" wrapText="1"/>
      <protection locked="0"/>
    </xf>
    <xf numFmtId="0" fontId="190" fillId="24" borderId="90" xfId="0" applyFont="1" applyFill="1" applyBorder="1" applyAlignment="1" applyProtection="1">
      <alignment horizontal="center" vertical="center" wrapText="1"/>
      <protection locked="0"/>
    </xf>
    <xf numFmtId="0" fontId="38" fillId="24" borderId="243" xfId="0" applyFont="1" applyFill="1" applyBorder="1" applyAlignment="1" applyProtection="1">
      <alignment horizontal="center" vertical="center" textRotation="90" wrapText="1"/>
    </xf>
    <xf numFmtId="0" fontId="38" fillId="24" borderId="239" xfId="0" applyFont="1" applyFill="1" applyBorder="1" applyAlignment="1" applyProtection="1">
      <alignment horizontal="center" vertical="center" textRotation="90" wrapText="1"/>
    </xf>
    <xf numFmtId="0" fontId="63" fillId="24" borderId="93" xfId="0" applyFont="1" applyFill="1" applyBorder="1" applyAlignment="1" applyProtection="1">
      <alignment horizontal="center" vertical="center" textRotation="90" wrapText="1"/>
      <protection hidden="1"/>
    </xf>
    <xf numFmtId="0" fontId="273" fillId="24" borderId="244" xfId="0" applyFont="1" applyFill="1" applyBorder="1" applyAlignment="1" applyProtection="1">
      <alignment horizontal="center" vertical="center" wrapText="1"/>
    </xf>
    <xf numFmtId="0" fontId="273" fillId="24" borderId="242" xfId="0" applyFont="1" applyFill="1" applyBorder="1" applyAlignment="1" applyProtection="1">
      <alignment horizontal="center" vertical="center" wrapText="1"/>
    </xf>
    <xf numFmtId="0" fontId="273" fillId="24" borderId="245" xfId="0" applyFont="1" applyFill="1" applyBorder="1" applyAlignment="1" applyProtection="1">
      <alignment horizontal="center" vertical="center" wrapText="1"/>
    </xf>
    <xf numFmtId="0" fontId="130" fillId="20" borderId="86" xfId="0" applyFont="1" applyFill="1" applyBorder="1" applyAlignment="1" applyProtection="1">
      <alignment horizontal="center" vertical="center" wrapText="1"/>
      <protection locked="0"/>
    </xf>
    <xf numFmtId="0" fontId="130" fillId="20" borderId="87" xfId="0" applyFont="1" applyFill="1" applyBorder="1" applyAlignment="1" applyProtection="1">
      <alignment horizontal="center" vertical="center" wrapText="1"/>
      <protection locked="0"/>
    </xf>
    <xf numFmtId="0" fontId="130" fillId="20" borderId="88" xfId="0" applyFont="1" applyFill="1" applyBorder="1" applyAlignment="1" applyProtection="1">
      <alignment horizontal="center" vertical="center" wrapText="1"/>
      <protection locked="0"/>
    </xf>
    <xf numFmtId="0" fontId="63" fillId="17" borderId="93" xfId="0" applyFont="1" applyFill="1" applyBorder="1" applyAlignment="1" applyProtection="1">
      <alignment horizontal="center" vertical="center" wrapText="1"/>
    </xf>
    <xf numFmtId="0" fontId="180" fillId="38" borderId="100" xfId="0" applyFont="1" applyFill="1" applyBorder="1" applyAlignment="1" applyProtection="1">
      <alignment horizontal="center" vertical="center" textRotation="90" wrapText="1"/>
    </xf>
    <xf numFmtId="0" fontId="180" fillId="38" borderId="99" xfId="0" applyFont="1" applyFill="1" applyBorder="1" applyAlignment="1" applyProtection="1">
      <alignment horizontal="center" vertical="center" textRotation="90" wrapText="1"/>
    </xf>
    <xf numFmtId="0" fontId="180" fillId="38" borderId="101" xfId="0" applyFont="1" applyFill="1" applyBorder="1" applyAlignment="1" applyProtection="1">
      <alignment horizontal="center" vertical="center" textRotation="90" wrapText="1"/>
    </xf>
    <xf numFmtId="0" fontId="63" fillId="20" borderId="87" xfId="0" applyFont="1" applyFill="1" applyBorder="1" applyAlignment="1" applyProtection="1">
      <alignment horizontal="center" vertical="center" wrapText="1"/>
    </xf>
    <xf numFmtId="0" fontId="63" fillId="20" borderId="93" xfId="0" applyFont="1" applyFill="1" applyBorder="1" applyAlignment="1" applyProtection="1">
      <alignment horizontal="center" vertical="center" wrapText="1"/>
    </xf>
    <xf numFmtId="0" fontId="180" fillId="17" borderId="100" xfId="0" applyFont="1" applyFill="1" applyBorder="1" applyAlignment="1" applyProtection="1">
      <alignment horizontal="center" vertical="center" textRotation="90" wrapText="1"/>
    </xf>
    <xf numFmtId="0" fontId="180" fillId="17" borderId="99" xfId="0" applyFont="1" applyFill="1" applyBorder="1" applyAlignment="1" applyProtection="1">
      <alignment horizontal="center" vertical="center" textRotation="90" wrapText="1"/>
    </xf>
    <xf numFmtId="0" fontId="180" fillId="17" borderId="101" xfId="0" applyFont="1" applyFill="1" applyBorder="1" applyAlignment="1" applyProtection="1">
      <alignment horizontal="center" vertical="center" textRotation="90" wrapText="1"/>
    </xf>
    <xf numFmtId="0" fontId="63" fillId="17" borderId="87" xfId="0" applyFont="1" applyFill="1" applyBorder="1" applyAlignment="1" applyProtection="1">
      <alignment horizontal="center" vertical="center" wrapText="1"/>
    </xf>
    <xf numFmtId="0" fontId="41" fillId="20" borderId="97" xfId="0" applyFont="1" applyFill="1" applyBorder="1" applyAlignment="1" applyProtection="1">
      <alignment horizontal="center" vertical="center"/>
      <protection hidden="1"/>
    </xf>
    <xf numFmtId="0" fontId="41" fillId="20" borderId="98" xfId="0" applyFont="1" applyFill="1" applyBorder="1" applyAlignment="1" applyProtection="1">
      <alignment horizontal="center" vertical="center"/>
      <protection hidden="1"/>
    </xf>
    <xf numFmtId="0" fontId="169" fillId="2" borderId="12" xfId="0" applyFont="1" applyFill="1" applyBorder="1" applyAlignment="1" applyProtection="1">
      <alignment horizontal="center" vertical="center" wrapText="1"/>
      <protection locked="0"/>
    </xf>
    <xf numFmtId="0" fontId="170" fillId="2" borderId="15" xfId="0" applyFont="1" applyFill="1" applyBorder="1" applyProtection="1">
      <protection locked="0"/>
    </xf>
    <xf numFmtId="0" fontId="130" fillId="38" borderId="94" xfId="0" applyFont="1" applyFill="1" applyBorder="1" applyAlignment="1" applyProtection="1">
      <alignment horizontal="center" vertical="center" wrapText="1"/>
      <protection locked="0"/>
    </xf>
    <xf numFmtId="0" fontId="130" fillId="38" borderId="96" xfId="0" applyFont="1" applyFill="1" applyBorder="1" applyAlignment="1" applyProtection="1">
      <alignment horizontal="center" vertical="center" wrapText="1"/>
      <protection locked="0"/>
    </xf>
    <xf numFmtId="0" fontId="130" fillId="38" borderId="95" xfId="0" applyFont="1" applyFill="1" applyBorder="1" applyAlignment="1" applyProtection="1">
      <alignment horizontal="center" vertical="center" wrapText="1"/>
      <protection locked="0"/>
    </xf>
    <xf numFmtId="0" fontId="130" fillId="20" borderId="92" xfId="0" applyFont="1" applyFill="1" applyBorder="1" applyAlignment="1" applyProtection="1">
      <alignment horizontal="center" vertical="center" wrapText="1"/>
      <protection locked="0"/>
    </xf>
    <xf numFmtId="0" fontId="130" fillId="20" borderId="90" xfId="0" applyFont="1" applyFill="1" applyBorder="1" applyAlignment="1" applyProtection="1">
      <alignment horizontal="center" vertical="center" wrapText="1"/>
      <protection locked="0"/>
    </xf>
    <xf numFmtId="0" fontId="130" fillId="20" borderId="91" xfId="0" applyFont="1" applyFill="1" applyBorder="1" applyAlignment="1" applyProtection="1">
      <alignment horizontal="center" vertical="center" wrapText="1"/>
      <protection locked="0"/>
    </xf>
    <xf numFmtId="0" fontId="14" fillId="12" borderId="5" xfId="0" applyFont="1" applyFill="1" applyBorder="1" applyAlignment="1" applyProtection="1">
      <alignment horizontal="center" vertical="center"/>
      <protection locked="0"/>
    </xf>
    <xf numFmtId="0" fontId="307" fillId="12" borderId="6" xfId="0" applyFont="1" applyFill="1" applyBorder="1" applyAlignment="1" applyProtection="1">
      <alignment horizontal="center" vertical="center" wrapText="1"/>
      <protection locked="0"/>
    </xf>
    <xf numFmtId="0" fontId="166" fillId="13" borderId="8" xfId="0" applyFont="1" applyFill="1" applyBorder="1" applyAlignment="1" applyProtection="1">
      <alignment horizontal="center" vertical="center"/>
      <protection hidden="1"/>
    </xf>
    <xf numFmtId="0" fontId="166" fillId="13" borderId="21" xfId="0" applyFont="1" applyFill="1" applyBorder="1" applyAlignment="1" applyProtection="1">
      <alignment horizontal="center" vertical="center"/>
      <protection hidden="1"/>
    </xf>
    <xf numFmtId="0" fontId="166" fillId="13" borderId="22" xfId="0" applyFont="1" applyFill="1" applyBorder="1" applyAlignment="1" applyProtection="1">
      <alignment horizontal="center" vertical="center"/>
      <protection hidden="1"/>
    </xf>
    <xf numFmtId="0" fontId="166" fillId="13" borderId="23" xfId="0" applyFont="1" applyFill="1" applyBorder="1" applyAlignment="1" applyProtection="1">
      <alignment horizontal="center" vertical="center"/>
      <protection hidden="1"/>
    </xf>
    <xf numFmtId="0" fontId="224" fillId="13" borderId="92" xfId="0" applyFont="1" applyFill="1" applyBorder="1" applyAlignment="1" applyProtection="1">
      <alignment horizontal="center" vertical="center" wrapText="1"/>
      <protection hidden="1"/>
    </xf>
    <xf numFmtId="0" fontId="224" fillId="13" borderId="90" xfId="0" applyFont="1" applyFill="1" applyBorder="1" applyAlignment="1" applyProtection="1">
      <alignment horizontal="center" vertical="center" wrapText="1"/>
      <protection hidden="1"/>
    </xf>
    <xf numFmtId="0" fontId="166" fillId="24" borderId="8" xfId="0" applyFont="1" applyFill="1" applyBorder="1" applyAlignment="1" applyProtection="1">
      <alignment horizontal="center" vertical="center"/>
      <protection hidden="1"/>
    </xf>
    <xf numFmtId="0" fontId="166" fillId="24" borderId="21" xfId="0" applyFont="1" applyFill="1" applyBorder="1" applyAlignment="1" applyProtection="1">
      <alignment horizontal="center" vertical="center"/>
      <protection hidden="1"/>
    </xf>
    <xf numFmtId="0" fontId="166" fillId="24" borderId="22" xfId="0" applyFont="1" applyFill="1" applyBorder="1" applyAlignment="1" applyProtection="1">
      <alignment horizontal="center" vertical="center"/>
      <protection hidden="1"/>
    </xf>
    <xf numFmtId="0" fontId="166" fillId="24" borderId="23" xfId="0" applyFont="1" applyFill="1" applyBorder="1" applyAlignment="1" applyProtection="1">
      <alignment horizontal="center" vertical="center"/>
      <protection hidden="1"/>
    </xf>
    <xf numFmtId="0" fontId="224" fillId="24" borderId="86" xfId="0" applyFont="1" applyFill="1" applyBorder="1" applyAlignment="1" applyProtection="1">
      <alignment horizontal="center" vertical="center" wrapText="1"/>
      <protection hidden="1"/>
    </xf>
    <xf numFmtId="0" fontId="224" fillId="24" borderId="87" xfId="0" applyFont="1" applyFill="1" applyBorder="1" applyAlignment="1" applyProtection="1">
      <alignment horizontal="center" vertical="center" wrapText="1"/>
      <protection hidden="1"/>
    </xf>
    <xf numFmtId="0" fontId="224" fillId="24" borderId="90" xfId="0" applyFont="1" applyFill="1" applyBorder="1" applyAlignment="1" applyProtection="1">
      <alignment horizontal="center" vertical="center" wrapText="1"/>
      <protection hidden="1"/>
    </xf>
    <xf numFmtId="0" fontId="41" fillId="20" borderId="97" xfId="0" applyFont="1" applyFill="1" applyBorder="1" applyAlignment="1" applyProtection="1">
      <alignment horizontal="center" vertical="center"/>
      <protection locked="0"/>
    </xf>
    <xf numFmtId="0" fontId="41" fillId="20" borderId="98" xfId="0" applyFont="1" applyFill="1" applyBorder="1" applyAlignment="1" applyProtection="1">
      <alignment horizontal="center" vertical="center"/>
      <protection locked="0"/>
    </xf>
    <xf numFmtId="0" fontId="41" fillId="12" borderId="97" xfId="0" applyFont="1" applyFill="1" applyBorder="1" applyAlignment="1" applyProtection="1">
      <alignment horizontal="center" vertical="center"/>
      <protection locked="0"/>
    </xf>
    <xf numFmtId="0" fontId="41" fillId="12" borderId="98" xfId="0" applyFont="1" applyFill="1" applyBorder="1" applyAlignment="1" applyProtection="1">
      <alignment horizontal="center" vertical="center"/>
      <protection locked="0"/>
    </xf>
    <xf numFmtId="0" fontId="171" fillId="38" borderId="94" xfId="0" applyFont="1" applyFill="1" applyBorder="1" applyAlignment="1" applyProtection="1">
      <alignment horizontal="center" vertical="center" wrapText="1"/>
      <protection locked="0"/>
    </xf>
    <xf numFmtId="0" fontId="171" fillId="38" borderId="96" xfId="0" applyFont="1" applyFill="1" applyBorder="1" applyAlignment="1" applyProtection="1">
      <alignment horizontal="center" vertical="center" wrapText="1"/>
      <protection locked="0"/>
    </xf>
    <xf numFmtId="0" fontId="303" fillId="12" borderId="12" xfId="0" applyFont="1" applyFill="1" applyBorder="1" applyAlignment="1" applyProtection="1">
      <alignment horizontal="center" vertical="center" wrapText="1"/>
      <protection locked="0"/>
    </xf>
    <xf numFmtId="0" fontId="171" fillId="20" borderId="86" xfId="0" applyFont="1" applyFill="1" applyBorder="1" applyAlignment="1" applyProtection="1">
      <alignment horizontal="center" vertical="center" wrapText="1"/>
      <protection locked="0"/>
    </xf>
    <xf numFmtId="0" fontId="171" fillId="20" borderId="87" xfId="0" applyFont="1" applyFill="1" applyBorder="1" applyAlignment="1" applyProtection="1">
      <alignment horizontal="center" vertical="center" wrapText="1"/>
      <protection locked="0"/>
    </xf>
    <xf numFmtId="0" fontId="171" fillId="20" borderId="92" xfId="0" applyFont="1" applyFill="1" applyBorder="1" applyAlignment="1" applyProtection="1">
      <alignment horizontal="center" vertical="center" wrapText="1"/>
      <protection locked="0"/>
    </xf>
    <xf numFmtId="0" fontId="171" fillId="20" borderId="90" xfId="0" applyFont="1" applyFill="1" applyBorder="1" applyAlignment="1" applyProtection="1">
      <alignment horizontal="center" vertical="center" wrapText="1"/>
      <protection locked="0"/>
    </xf>
    <xf numFmtId="0" fontId="171" fillId="12" borderId="86" xfId="0" applyFont="1" applyFill="1" applyBorder="1" applyAlignment="1" applyProtection="1">
      <alignment horizontal="center" vertical="center" wrapText="1"/>
      <protection locked="0"/>
    </xf>
    <xf numFmtId="0" fontId="171" fillId="12" borderId="87" xfId="0" applyFont="1" applyFill="1" applyBorder="1" applyAlignment="1" applyProtection="1">
      <alignment horizontal="center" vertical="center" wrapText="1"/>
      <protection locked="0"/>
    </xf>
    <xf numFmtId="0" fontId="130" fillId="17" borderId="86" xfId="0" applyFont="1" applyFill="1" applyBorder="1" applyAlignment="1" applyProtection="1">
      <alignment horizontal="center" vertical="center" wrapText="1"/>
      <protection locked="0"/>
    </xf>
    <xf numFmtId="0" fontId="130" fillId="17" borderId="87" xfId="0" applyFont="1" applyFill="1" applyBorder="1" applyAlignment="1" applyProtection="1">
      <alignment horizontal="center" vertical="center" wrapText="1"/>
      <protection locked="0"/>
    </xf>
    <xf numFmtId="0" fontId="41" fillId="17" borderId="97" xfId="0" applyFont="1" applyFill="1" applyBorder="1" applyAlignment="1" applyProtection="1">
      <alignment horizontal="center" vertical="center"/>
      <protection locked="0"/>
    </xf>
    <xf numFmtId="0" fontId="41" fillId="17" borderId="98" xfId="0" applyFont="1" applyFill="1" applyBorder="1" applyAlignment="1" applyProtection="1">
      <alignment horizontal="center" vertical="center"/>
      <protection locked="0"/>
    </xf>
    <xf numFmtId="0" fontId="308" fillId="12" borderId="12" xfId="0" applyFont="1" applyFill="1" applyBorder="1" applyAlignment="1" applyProtection="1">
      <alignment horizontal="center" vertical="center" wrapText="1"/>
      <protection locked="0"/>
    </xf>
    <xf numFmtId="0" fontId="309" fillId="12" borderId="15" xfId="0" applyFont="1" applyFill="1" applyBorder="1" applyProtection="1">
      <protection locked="0"/>
    </xf>
    <xf numFmtId="0" fontId="166" fillId="12" borderId="88" xfId="0" applyFont="1" applyFill="1" applyBorder="1" applyAlignment="1" applyProtection="1">
      <alignment horizontal="center" vertical="center" textRotation="90" wrapText="1"/>
      <protection hidden="1"/>
    </xf>
    <xf numFmtId="0" fontId="166" fillId="12" borderId="91" xfId="0" applyFont="1" applyFill="1" applyBorder="1" applyAlignment="1" applyProtection="1">
      <alignment horizontal="center" vertical="center" textRotation="90" wrapText="1"/>
      <protection hidden="1"/>
    </xf>
    <xf numFmtId="0" fontId="20" fillId="12" borderId="12" xfId="0" applyFont="1" applyFill="1" applyBorder="1" applyAlignment="1" applyProtection="1">
      <alignment horizontal="center" vertical="center" wrapText="1"/>
      <protection locked="0"/>
    </xf>
    <xf numFmtId="0" fontId="18" fillId="12" borderId="15" xfId="0" applyFont="1" applyFill="1" applyBorder="1" applyProtection="1">
      <protection locked="0"/>
    </xf>
    <xf numFmtId="0" fontId="166" fillId="12" borderId="12" xfId="0" applyFont="1" applyFill="1" applyBorder="1" applyAlignment="1" applyProtection="1">
      <alignment horizontal="center" vertical="center" textRotation="90" wrapText="1"/>
      <protection hidden="1"/>
    </xf>
    <xf numFmtId="0" fontId="166" fillId="12" borderId="15" xfId="0" applyFont="1" applyFill="1" applyBorder="1" applyAlignment="1" applyProtection="1">
      <alignment horizontal="center" vertical="center" textRotation="90" wrapText="1"/>
      <protection hidden="1"/>
    </xf>
    <xf numFmtId="0" fontId="307" fillId="12" borderId="12" xfId="0" applyFont="1" applyFill="1" applyBorder="1" applyAlignment="1" applyProtection="1">
      <alignment horizontal="center" vertical="center" textRotation="90" wrapText="1"/>
    </xf>
    <xf numFmtId="0" fontId="180" fillId="12" borderId="100" xfId="0" applyFont="1" applyFill="1" applyBorder="1" applyAlignment="1" applyProtection="1">
      <alignment horizontal="center" vertical="center" textRotation="90" wrapText="1"/>
    </xf>
    <xf numFmtId="0" fontId="180" fillId="12" borderId="99" xfId="0" applyFont="1" applyFill="1" applyBorder="1" applyAlignment="1" applyProtection="1">
      <alignment horizontal="center" vertical="center" textRotation="90" wrapText="1"/>
    </xf>
    <xf numFmtId="0" fontId="180" fillId="12" borderId="101" xfId="0" applyFont="1" applyFill="1" applyBorder="1" applyAlignment="1" applyProtection="1">
      <alignment horizontal="center" vertical="center" textRotation="90" wrapText="1"/>
    </xf>
    <xf numFmtId="0" fontId="63" fillId="12" borderId="87" xfId="0" applyFont="1" applyFill="1" applyBorder="1" applyAlignment="1" applyProtection="1">
      <alignment horizontal="center" vertical="center" wrapText="1"/>
    </xf>
    <xf numFmtId="0" fontId="63" fillId="12" borderId="93" xfId="0" applyFont="1" applyFill="1" applyBorder="1" applyAlignment="1" applyProtection="1">
      <alignment horizontal="center" vertical="center" wrapText="1"/>
    </xf>
    <xf numFmtId="0" fontId="180" fillId="20" borderId="21" xfId="0" applyFont="1" applyFill="1" applyBorder="1" applyAlignment="1" applyProtection="1">
      <alignment horizontal="center" vertical="center" textRotation="90" wrapText="1"/>
    </xf>
    <xf numFmtId="0" fontId="180" fillId="20" borderId="99" xfId="0" applyFont="1" applyFill="1" applyBorder="1" applyAlignment="1" applyProtection="1">
      <alignment horizontal="center" vertical="center" textRotation="90" wrapText="1"/>
    </xf>
    <xf numFmtId="0" fontId="180" fillId="20" borderId="101" xfId="0" applyFont="1" applyFill="1" applyBorder="1" applyAlignment="1" applyProtection="1">
      <alignment horizontal="center" vertical="center" textRotation="90" wrapText="1"/>
    </xf>
    <xf numFmtId="0" fontId="273" fillId="12" borderId="93" xfId="0" applyFont="1" applyFill="1" applyBorder="1" applyAlignment="1" applyProtection="1">
      <alignment horizontal="center" vertical="center" textRotation="90" wrapText="1"/>
      <protection hidden="1"/>
    </xf>
    <xf numFmtId="0" fontId="172" fillId="12" borderId="93" xfId="0" applyFont="1" applyFill="1" applyBorder="1" applyAlignment="1" applyProtection="1">
      <alignment horizontal="center" vertical="center" textRotation="90" wrapText="1"/>
      <protection hidden="1"/>
    </xf>
    <xf numFmtId="0" fontId="172" fillId="12" borderId="179" xfId="0" applyFont="1" applyFill="1" applyBorder="1" applyAlignment="1" applyProtection="1">
      <alignment horizontal="center" vertical="center" textRotation="90" wrapText="1"/>
      <protection hidden="1"/>
    </xf>
    <xf numFmtId="0" fontId="63" fillId="13" borderId="237" xfId="0" applyFont="1" applyFill="1" applyBorder="1" applyAlignment="1" applyProtection="1">
      <alignment horizontal="center" vertical="center" wrapText="1"/>
      <protection hidden="1"/>
    </xf>
    <xf numFmtId="0" fontId="63" fillId="13" borderId="238" xfId="0" applyFont="1" applyFill="1" applyBorder="1" applyAlignment="1" applyProtection="1">
      <alignment horizontal="center" vertical="center" wrapText="1"/>
      <protection hidden="1"/>
    </xf>
    <xf numFmtId="0" fontId="63" fillId="13" borderId="5" xfId="0" applyFont="1" applyFill="1" applyBorder="1" applyAlignment="1" applyProtection="1">
      <alignment horizontal="center" vertical="center" textRotation="90" wrapText="1"/>
      <protection hidden="1"/>
    </xf>
    <xf numFmtId="0" fontId="300" fillId="12" borderId="93" xfId="0" applyFont="1" applyFill="1" applyBorder="1" applyAlignment="1" applyProtection="1">
      <alignment horizontal="center" vertical="center" wrapText="1"/>
      <protection hidden="1"/>
    </xf>
    <xf numFmtId="0" fontId="300" fillId="12" borderId="179" xfId="0" applyFont="1" applyFill="1" applyBorder="1" applyAlignment="1" applyProtection="1">
      <alignment horizontal="center" vertical="center" wrapText="1"/>
      <protection hidden="1"/>
    </xf>
    <xf numFmtId="0" fontId="27" fillId="12" borderId="8" xfId="0" applyFont="1" applyFill="1" applyBorder="1" applyAlignment="1" applyProtection="1">
      <alignment horizontal="center" vertical="center"/>
      <protection hidden="1"/>
    </xf>
    <xf numFmtId="0" fontId="27" fillId="12" borderId="9" xfId="0" applyFont="1" applyFill="1" applyBorder="1" applyAlignment="1" applyProtection="1">
      <alignment horizontal="center" vertical="center"/>
      <protection hidden="1"/>
    </xf>
    <xf numFmtId="0" fontId="27" fillId="12" borderId="13" xfId="0" applyFont="1" applyFill="1" applyBorder="1" applyAlignment="1" applyProtection="1">
      <alignment horizontal="center" vertical="center"/>
      <protection hidden="1"/>
    </xf>
    <xf numFmtId="0" fontId="27" fillId="12" borderId="14" xfId="0" applyFont="1" applyFill="1" applyBorder="1" applyAlignment="1" applyProtection="1">
      <alignment horizontal="center" vertical="center"/>
      <protection hidden="1"/>
    </xf>
    <xf numFmtId="0" fontId="166" fillId="12" borderId="206" xfId="0" applyFont="1" applyFill="1" applyBorder="1" applyAlignment="1" applyProtection="1">
      <alignment horizontal="center" vertical="top" wrapText="1"/>
      <protection hidden="1"/>
    </xf>
    <xf numFmtId="0" fontId="166" fillId="12" borderId="205" xfId="0" applyFont="1" applyFill="1" applyBorder="1" applyAlignment="1" applyProtection="1">
      <alignment horizontal="center" vertical="top" wrapText="1"/>
      <protection hidden="1"/>
    </xf>
    <xf numFmtId="0" fontId="310" fillId="12" borderId="179" xfId="0" applyFont="1" applyFill="1" applyBorder="1" applyAlignment="1" applyProtection="1">
      <alignment horizontal="center" vertical="center"/>
      <protection hidden="1"/>
    </xf>
    <xf numFmtId="0" fontId="63" fillId="24" borderId="241" xfId="0" applyFont="1" applyFill="1" applyBorder="1" applyAlignment="1" applyProtection="1">
      <alignment horizontal="center" vertical="center" wrapText="1"/>
      <protection hidden="1"/>
    </xf>
    <xf numFmtId="0" fontId="63" fillId="24" borderId="242" xfId="0" applyFont="1" applyFill="1" applyBorder="1" applyAlignment="1" applyProtection="1">
      <alignment horizontal="center" vertical="center" wrapText="1"/>
      <protection hidden="1"/>
    </xf>
    <xf numFmtId="0" fontId="172" fillId="12" borderId="203" xfId="0" applyFont="1" applyFill="1" applyBorder="1" applyAlignment="1" applyProtection="1">
      <alignment horizontal="center" vertical="center" textRotation="90" wrapText="1"/>
      <protection hidden="1"/>
    </xf>
    <xf numFmtId="0" fontId="172" fillId="12" borderId="232" xfId="0" applyFont="1" applyFill="1" applyBorder="1" applyAlignment="1" applyProtection="1">
      <alignment horizontal="center" vertical="center" textRotation="90" wrapText="1"/>
      <protection hidden="1"/>
    </xf>
    <xf numFmtId="0" fontId="171" fillId="38" borderId="95" xfId="0" applyFont="1" applyFill="1" applyBorder="1" applyAlignment="1" applyProtection="1">
      <alignment horizontal="center" vertical="center" wrapText="1"/>
      <protection locked="0"/>
    </xf>
    <xf numFmtId="0" fontId="171" fillId="20" borderId="91" xfId="0" applyFont="1" applyFill="1" applyBorder="1" applyAlignment="1" applyProtection="1">
      <alignment horizontal="center" vertical="center" wrapText="1"/>
      <protection locked="0"/>
    </xf>
    <xf numFmtId="0" fontId="303" fillId="38" borderId="94" xfId="0" applyFont="1" applyFill="1" applyBorder="1" applyAlignment="1" applyProtection="1">
      <alignment horizontal="center" vertical="center" wrapText="1"/>
      <protection locked="0"/>
    </xf>
    <xf numFmtId="0" fontId="303" fillId="38" borderId="96" xfId="0" applyFont="1" applyFill="1" applyBorder="1" applyAlignment="1" applyProtection="1">
      <alignment horizontal="center" vertical="center" wrapText="1"/>
      <protection locked="0"/>
    </xf>
    <xf numFmtId="0" fontId="303" fillId="38" borderId="95" xfId="0" applyFont="1" applyFill="1" applyBorder="1" applyAlignment="1" applyProtection="1">
      <alignment horizontal="center" vertical="center" wrapText="1"/>
      <protection locked="0"/>
    </xf>
    <xf numFmtId="0" fontId="303" fillId="12" borderId="92" xfId="0" applyFont="1" applyFill="1" applyBorder="1" applyAlignment="1" applyProtection="1">
      <alignment horizontal="center" vertical="center" wrapText="1"/>
      <protection locked="0"/>
    </xf>
    <xf numFmtId="0" fontId="303" fillId="12" borderId="90" xfId="0" applyFont="1" applyFill="1" applyBorder="1" applyAlignment="1" applyProtection="1">
      <alignment horizontal="center" vertical="center" wrapText="1"/>
      <protection locked="0"/>
    </xf>
    <xf numFmtId="0" fontId="303" fillId="12" borderId="91" xfId="0" applyFont="1" applyFill="1" applyBorder="1" applyAlignment="1" applyProtection="1">
      <alignment horizontal="center" vertical="center" wrapText="1"/>
      <protection locked="0"/>
    </xf>
    <xf numFmtId="0" fontId="304" fillId="38" borderId="94" xfId="0" applyFont="1" applyFill="1" applyBorder="1" applyAlignment="1" applyProtection="1">
      <alignment horizontal="center" vertical="center" wrapText="1"/>
      <protection locked="0"/>
    </xf>
    <xf numFmtId="0" fontId="304" fillId="38" borderId="96" xfId="0" applyFont="1" applyFill="1" applyBorder="1" applyAlignment="1" applyProtection="1">
      <alignment horizontal="center" vertical="center" wrapText="1"/>
      <protection locked="0"/>
    </xf>
    <xf numFmtId="0" fontId="304" fillId="38" borderId="95" xfId="0" applyFont="1" applyFill="1" applyBorder="1" applyAlignment="1" applyProtection="1">
      <alignment horizontal="center" vertical="center" wrapText="1"/>
      <protection locked="0"/>
    </xf>
    <xf numFmtId="0" fontId="304" fillId="17" borderId="92" xfId="0" applyFont="1" applyFill="1" applyBorder="1" applyAlignment="1" applyProtection="1">
      <alignment horizontal="center" vertical="center" wrapText="1"/>
      <protection locked="0"/>
    </xf>
    <xf numFmtId="0" fontId="304" fillId="17" borderId="90" xfId="0" applyFont="1" applyFill="1" applyBorder="1" applyAlignment="1" applyProtection="1">
      <alignment horizontal="center" vertical="center" wrapText="1"/>
      <protection locked="0"/>
    </xf>
    <xf numFmtId="0" fontId="304" fillId="17" borderId="91" xfId="0" applyFont="1" applyFill="1" applyBorder="1" applyAlignment="1" applyProtection="1">
      <alignment horizontal="center" vertical="center" wrapText="1"/>
      <protection locked="0"/>
    </xf>
    <xf numFmtId="0" fontId="273" fillId="18" borderId="116" xfId="0" applyFont="1" applyFill="1" applyBorder="1" applyAlignment="1" applyProtection="1">
      <alignment horizontal="center" vertical="center" wrapText="1"/>
      <protection hidden="1"/>
    </xf>
    <xf numFmtId="0" fontId="24" fillId="18" borderId="116" xfId="0" applyFont="1" applyFill="1" applyBorder="1" applyAlignment="1" applyProtection="1">
      <alignment horizontal="center" vertical="center" wrapText="1"/>
      <protection hidden="1"/>
    </xf>
    <xf numFmtId="172" fontId="64" fillId="18" borderId="116" xfId="0" applyNumberFormat="1" applyFont="1" applyFill="1" applyBorder="1" applyAlignment="1" applyProtection="1">
      <alignment horizontal="center" vertical="center" wrapText="1"/>
      <protection hidden="1"/>
    </xf>
    <xf numFmtId="1" fontId="64" fillId="18" borderId="116" xfId="0" applyNumberFormat="1" applyFont="1" applyFill="1" applyBorder="1" applyAlignment="1" applyProtection="1">
      <alignment horizontal="center" vertical="center" wrapText="1"/>
      <protection hidden="1"/>
    </xf>
    <xf numFmtId="0" fontId="9" fillId="0" borderId="116" xfId="0" applyFont="1" applyFill="1" applyBorder="1" applyAlignment="1" applyProtection="1">
      <alignment horizontal="center" wrapText="1"/>
      <protection hidden="1"/>
    </xf>
    <xf numFmtId="0" fontId="320" fillId="0" borderId="250" xfId="0" applyFont="1" applyFill="1" applyBorder="1" applyAlignment="1" applyProtection="1">
      <alignment horizontal="center" vertical="center" wrapText="1"/>
      <protection hidden="1"/>
    </xf>
    <xf numFmtId="0" fontId="320" fillId="0" borderId="116" xfId="0" applyFont="1" applyFill="1" applyBorder="1" applyAlignment="1" applyProtection="1">
      <alignment horizontal="center" vertical="center" wrapText="1"/>
      <protection hidden="1"/>
    </xf>
    <xf numFmtId="0" fontId="64" fillId="18" borderId="116" xfId="0" applyFont="1" applyFill="1" applyBorder="1" applyAlignment="1" applyProtection="1">
      <alignment horizontal="center" vertical="center" wrapText="1"/>
      <protection hidden="1"/>
    </xf>
    <xf numFmtId="0" fontId="95" fillId="0" borderId="116" xfId="0" applyFont="1" applyFill="1" applyBorder="1" applyAlignment="1" applyProtection="1">
      <alignment horizontal="center" vertical="center" wrapText="1"/>
      <protection hidden="1"/>
    </xf>
    <xf numFmtId="0" fontId="23" fillId="0" borderId="116" xfId="0" applyFont="1" applyFill="1" applyBorder="1" applyAlignment="1" applyProtection="1">
      <alignment horizontal="center" vertical="center" wrapText="1"/>
      <protection hidden="1"/>
    </xf>
    <xf numFmtId="0" fontId="23" fillId="0" borderId="258" xfId="0" applyFont="1" applyFill="1" applyBorder="1" applyAlignment="1" applyProtection="1">
      <alignment horizontal="center" vertical="center" wrapText="1"/>
      <protection hidden="1"/>
    </xf>
    <xf numFmtId="172" fontId="241" fillId="0" borderId="116" xfId="0" applyNumberFormat="1" applyFont="1" applyFill="1" applyBorder="1" applyAlignment="1" applyProtection="1">
      <alignment horizontal="center" vertical="center" wrapText="1"/>
      <protection hidden="1"/>
    </xf>
    <xf numFmtId="172" fontId="241" fillId="0" borderId="258" xfId="0" applyNumberFormat="1" applyFont="1" applyFill="1" applyBorder="1" applyAlignment="1" applyProtection="1">
      <alignment horizontal="center" vertical="center" wrapText="1"/>
      <protection hidden="1"/>
    </xf>
    <xf numFmtId="0" fontId="240" fillId="0" borderId="116" xfId="0" applyFont="1" applyFill="1" applyBorder="1" applyAlignment="1" applyProtection="1">
      <alignment horizontal="center" vertical="center" wrapText="1"/>
      <protection hidden="1"/>
    </xf>
    <xf numFmtId="0" fontId="240" fillId="0" borderId="258" xfId="0" applyFont="1" applyFill="1" applyBorder="1" applyAlignment="1" applyProtection="1">
      <alignment horizontal="center" vertical="center" wrapText="1"/>
      <protection hidden="1"/>
    </xf>
    <xf numFmtId="0" fontId="320" fillId="0" borderId="251" xfId="0" applyFont="1" applyFill="1" applyBorder="1" applyAlignment="1" applyProtection="1">
      <alignment horizontal="center" vertical="center" wrapText="1"/>
      <protection hidden="1"/>
    </xf>
    <xf numFmtId="0" fontId="320" fillId="0" borderId="252" xfId="0" applyFont="1" applyFill="1" applyBorder="1" applyAlignment="1" applyProtection="1">
      <alignment horizontal="center" vertical="center" wrapText="1"/>
      <protection hidden="1"/>
    </xf>
    <xf numFmtId="0" fontId="248" fillId="0" borderId="116" xfId="0" applyFont="1" applyFill="1" applyBorder="1" applyAlignment="1" applyProtection="1">
      <alignment horizontal="center" vertical="center" textRotation="90" wrapText="1"/>
      <protection hidden="1"/>
    </xf>
    <xf numFmtId="0" fontId="250" fillId="0" borderId="116" xfId="0" applyFont="1" applyFill="1" applyBorder="1" applyAlignment="1" applyProtection="1">
      <alignment horizontal="center" vertical="center" wrapText="1"/>
      <protection hidden="1"/>
    </xf>
    <xf numFmtId="0" fontId="38" fillId="0" borderId="116" xfId="0" applyFont="1" applyFill="1" applyBorder="1" applyAlignment="1" applyProtection="1">
      <alignment horizontal="center" vertical="center" textRotation="90" wrapText="1"/>
      <protection hidden="1"/>
    </xf>
    <xf numFmtId="0" fontId="324" fillId="18" borderId="116" xfId="0" applyFont="1" applyFill="1" applyBorder="1" applyAlignment="1" applyProtection="1">
      <alignment horizontal="center" vertical="center" wrapText="1"/>
      <protection hidden="1"/>
    </xf>
    <xf numFmtId="0" fontId="97" fillId="18" borderId="116" xfId="0" applyFont="1" applyFill="1" applyBorder="1" applyAlignment="1" applyProtection="1">
      <alignment horizontal="center" vertical="center" wrapText="1"/>
      <protection hidden="1"/>
    </xf>
    <xf numFmtId="0" fontId="45" fillId="18" borderId="116" xfId="0" applyNumberFormat="1" applyFont="1" applyFill="1" applyBorder="1" applyAlignment="1" applyProtection="1">
      <alignment horizontal="center" vertical="center" wrapText="1"/>
      <protection hidden="1"/>
    </xf>
    <xf numFmtId="0" fontId="326" fillId="18" borderId="116" xfId="0" applyFont="1" applyFill="1" applyBorder="1" applyAlignment="1" applyProtection="1">
      <alignment horizontal="center" wrapText="1"/>
      <protection hidden="1"/>
    </xf>
    <xf numFmtId="0" fontId="248" fillId="0" borderId="116" xfId="0" applyFont="1" applyFill="1" applyBorder="1" applyAlignment="1" applyProtection="1">
      <alignment horizontal="center" vertical="center" wrapText="1"/>
      <protection hidden="1"/>
    </xf>
    <xf numFmtId="0" fontId="38" fillId="0" borderId="119" xfId="0" applyFont="1" applyBorder="1" applyAlignment="1" applyProtection="1">
      <alignment horizontal="center" vertical="center" wrapText="1"/>
      <protection hidden="1"/>
    </xf>
    <xf numFmtId="0" fontId="38" fillId="0" borderId="150" xfId="0" applyFont="1" applyBorder="1" applyAlignment="1" applyProtection="1">
      <alignment horizontal="center" vertical="center" wrapText="1"/>
      <protection hidden="1"/>
    </xf>
    <xf numFmtId="0" fontId="63" fillId="0" borderId="119" xfId="0" applyFont="1" applyBorder="1" applyAlignment="1" applyProtection="1">
      <alignment horizontal="center" vertical="center" wrapText="1"/>
      <protection hidden="1"/>
    </xf>
    <xf numFmtId="0" fontId="63" fillId="0" borderId="150" xfId="0" applyFont="1" applyBorder="1" applyAlignment="1" applyProtection="1">
      <alignment horizontal="center" vertical="center" wrapText="1"/>
      <protection hidden="1"/>
    </xf>
    <xf numFmtId="0" fontId="9" fillId="0" borderId="119" xfId="0" applyFont="1" applyBorder="1" applyAlignment="1" applyProtection="1">
      <alignment horizontal="center" vertical="center" wrapText="1"/>
      <protection hidden="1"/>
    </xf>
    <xf numFmtId="0" fontId="9" fillId="0" borderId="150" xfId="0" applyFont="1" applyBorder="1" applyAlignment="1" applyProtection="1">
      <alignment horizontal="center" vertical="center" wrapText="1"/>
      <protection hidden="1"/>
    </xf>
    <xf numFmtId="0" fontId="72" fillId="0" borderId="121" xfId="0" applyFont="1" applyBorder="1" applyAlignment="1" applyProtection="1">
      <alignment horizontal="center" wrapText="1"/>
      <protection hidden="1"/>
    </xf>
    <xf numFmtId="0" fontId="72" fillId="0" borderId="122" xfId="0" applyFont="1" applyBorder="1" applyAlignment="1" applyProtection="1">
      <alignment horizontal="center" wrapText="1"/>
      <protection hidden="1"/>
    </xf>
    <xf numFmtId="0" fontId="72" fillId="0" borderId="124" xfId="0" applyFont="1" applyBorder="1" applyAlignment="1" applyProtection="1">
      <alignment horizontal="center" wrapText="1"/>
      <protection hidden="1"/>
    </xf>
    <xf numFmtId="0" fontId="72" fillId="0" borderId="0" xfId="0" applyFont="1" applyBorder="1" applyAlignment="1" applyProtection="1">
      <alignment horizontal="center" wrapText="1"/>
      <protection hidden="1"/>
    </xf>
    <xf numFmtId="0" fontId="72" fillId="0" borderId="126" xfId="0" applyFont="1" applyBorder="1" applyAlignment="1" applyProtection="1">
      <alignment horizontal="center" wrapText="1"/>
      <protection hidden="1"/>
    </xf>
    <xf numFmtId="0" fontId="72" fillId="0" borderId="127" xfId="0" applyFont="1" applyBorder="1" applyAlignment="1" applyProtection="1">
      <alignment horizontal="center" wrapText="1"/>
      <protection hidden="1"/>
    </xf>
    <xf numFmtId="172" fontId="64" fillId="0" borderId="119" xfId="0" applyNumberFormat="1" applyFont="1" applyFill="1" applyBorder="1" applyAlignment="1" applyProtection="1">
      <alignment horizontal="center" vertical="center" wrapText="1"/>
      <protection hidden="1"/>
    </xf>
    <xf numFmtId="172" fontId="64" fillId="0" borderId="150" xfId="0" applyNumberFormat="1" applyFont="1" applyFill="1" applyBorder="1" applyAlignment="1" applyProtection="1">
      <alignment horizontal="center" vertical="center" wrapText="1"/>
      <protection hidden="1"/>
    </xf>
    <xf numFmtId="0" fontId="63" fillId="0" borderId="119" xfId="0" applyFont="1" applyBorder="1" applyAlignment="1" applyProtection="1">
      <alignment horizontal="center" wrapText="1"/>
      <protection hidden="1"/>
    </xf>
    <xf numFmtId="0" fontId="63" fillId="0" borderId="150" xfId="0" applyFont="1" applyBorder="1" applyAlignment="1" applyProtection="1">
      <alignment horizontal="center" wrapText="1"/>
      <protection hidden="1"/>
    </xf>
    <xf numFmtId="0" fontId="98" fillId="0" borderId="123" xfId="0" applyFont="1" applyFill="1" applyBorder="1" applyAlignment="1" applyProtection="1">
      <alignment horizontal="center" vertical="center" wrapText="1"/>
      <protection hidden="1"/>
    </xf>
    <xf numFmtId="0" fontId="98" fillId="0" borderId="128" xfId="0" applyFont="1" applyFill="1" applyBorder="1" applyAlignment="1" applyProtection="1">
      <alignment horizontal="center" vertical="center" wrapText="1"/>
      <protection hidden="1"/>
    </xf>
    <xf numFmtId="0" fontId="106" fillId="0" borderId="116" xfId="0" applyFont="1" applyFill="1" applyBorder="1" applyAlignment="1" applyProtection="1">
      <alignment horizontal="center" vertical="center" textRotation="90" wrapText="1"/>
      <protection hidden="1"/>
    </xf>
    <xf numFmtId="0" fontId="281" fillId="0" borderId="122" xfId="0" applyFont="1" applyFill="1" applyBorder="1" applyAlignment="1" applyProtection="1">
      <alignment horizontal="center" vertical="center" wrapText="1"/>
      <protection hidden="1"/>
    </xf>
    <xf numFmtId="0" fontId="281" fillId="0" borderId="127" xfId="0" applyFont="1" applyFill="1" applyBorder="1" applyAlignment="1" applyProtection="1">
      <alignment horizontal="center" vertical="center" wrapText="1"/>
      <protection hidden="1"/>
    </xf>
    <xf numFmtId="0" fontId="114" fillId="0" borderId="51" xfId="0" applyFont="1" applyFill="1" applyBorder="1" applyAlignment="1" applyProtection="1">
      <alignment horizontal="center" vertical="center" wrapText="1"/>
      <protection hidden="1"/>
    </xf>
    <xf numFmtId="0" fontId="39" fillId="24" borderId="116" xfId="0" applyFont="1" applyFill="1" applyBorder="1" applyAlignment="1" applyProtection="1">
      <alignment horizontal="center" vertical="center" textRotation="90" wrapText="1"/>
      <protection hidden="1"/>
    </xf>
    <xf numFmtId="0" fontId="43" fillId="22" borderId="116" xfId="0" applyFont="1" applyFill="1" applyBorder="1" applyAlignment="1" applyProtection="1">
      <alignment horizontal="center" vertical="center" textRotation="90" wrapText="1"/>
      <protection hidden="1"/>
    </xf>
    <xf numFmtId="0" fontId="39" fillId="22" borderId="116" xfId="0" applyFont="1" applyFill="1" applyBorder="1" applyAlignment="1" applyProtection="1">
      <alignment horizontal="center" vertical="center" textRotation="90" wrapText="1"/>
      <protection hidden="1"/>
    </xf>
    <xf numFmtId="0" fontId="9" fillId="0" borderId="116" xfId="0" applyFont="1" applyFill="1" applyBorder="1" applyAlignment="1" applyProtection="1">
      <alignment horizontal="center" vertical="center" wrapText="1"/>
      <protection hidden="1"/>
    </xf>
    <xf numFmtId="0" fontId="38" fillId="0" borderId="117" xfId="0" applyFont="1" applyFill="1" applyBorder="1" applyAlignment="1" applyProtection="1">
      <alignment horizontal="center" vertical="center" textRotation="90" wrapText="1"/>
      <protection hidden="1"/>
    </xf>
    <xf numFmtId="0" fontId="38" fillId="0" borderId="129" xfId="0" applyFont="1" applyFill="1" applyBorder="1" applyAlignment="1" applyProtection="1">
      <alignment horizontal="center" vertical="center" textRotation="90" wrapText="1"/>
      <protection hidden="1"/>
    </xf>
    <xf numFmtId="0" fontId="38" fillId="0" borderId="118" xfId="0" applyFont="1" applyFill="1" applyBorder="1" applyAlignment="1" applyProtection="1">
      <alignment horizontal="center" vertical="center" textRotation="90" wrapText="1"/>
      <protection hidden="1"/>
    </xf>
    <xf numFmtId="0" fontId="63" fillId="0" borderId="119" xfId="0" applyFont="1" applyFill="1" applyBorder="1" applyAlignment="1" applyProtection="1">
      <alignment horizontal="center" vertical="center" wrapText="1"/>
      <protection hidden="1"/>
    </xf>
    <xf numFmtId="0" fontId="63" fillId="0" borderId="150" xfId="0" applyFont="1" applyFill="1" applyBorder="1" applyAlignment="1" applyProtection="1">
      <alignment horizontal="center" vertical="center" wrapText="1"/>
      <protection hidden="1"/>
    </xf>
    <xf numFmtId="0" fontId="63" fillId="0" borderId="120" xfId="0" applyFont="1" applyFill="1" applyBorder="1" applyAlignment="1" applyProtection="1">
      <alignment horizontal="center" vertical="center" wrapText="1"/>
      <protection hidden="1"/>
    </xf>
    <xf numFmtId="0" fontId="314" fillId="0" borderId="116" xfId="0" applyFont="1" applyFill="1" applyBorder="1" applyAlignment="1" applyProtection="1">
      <alignment horizontal="center" vertical="center" textRotation="90" wrapText="1"/>
      <protection hidden="1"/>
    </xf>
    <xf numFmtId="0" fontId="39" fillId="0" borderId="116" xfId="0" applyFont="1" applyFill="1" applyBorder="1" applyAlignment="1" applyProtection="1">
      <alignment horizontal="center" vertical="center" textRotation="90" wrapText="1"/>
      <protection hidden="1"/>
    </xf>
    <xf numFmtId="0" fontId="106" fillId="0" borderId="116" xfId="0" applyFont="1" applyFill="1" applyBorder="1" applyAlignment="1" applyProtection="1">
      <alignment horizontal="center" vertical="center" wrapText="1"/>
      <protection hidden="1"/>
    </xf>
    <xf numFmtId="0" fontId="9" fillId="0" borderId="118" xfId="0" applyFont="1" applyFill="1" applyBorder="1" applyAlignment="1" applyProtection="1">
      <alignment horizontal="center" vertical="center" textRotation="90" wrapText="1"/>
      <protection hidden="1"/>
    </xf>
    <xf numFmtId="0" fontId="9" fillId="0" borderId="116" xfId="0" applyFont="1" applyFill="1" applyBorder="1" applyAlignment="1" applyProtection="1">
      <alignment horizontal="center" vertical="center" textRotation="90" wrapText="1"/>
      <protection hidden="1"/>
    </xf>
    <xf numFmtId="0" fontId="9" fillId="0" borderId="118" xfId="0" applyFont="1" applyFill="1" applyBorder="1" applyAlignment="1" applyProtection="1">
      <alignment horizontal="center" vertical="center" wrapText="1"/>
      <protection hidden="1"/>
    </xf>
    <xf numFmtId="0" fontId="320" fillId="0" borderId="1" xfId="0" applyFont="1" applyFill="1" applyBorder="1" applyAlignment="1" applyProtection="1">
      <alignment horizontal="right" wrapText="1"/>
      <protection hidden="1"/>
    </xf>
    <xf numFmtId="0" fontId="273" fillId="0" borderId="1" xfId="0" applyFont="1" applyFill="1" applyBorder="1" applyAlignment="1" applyProtection="1">
      <alignment horizontal="right" wrapText="1"/>
      <protection hidden="1"/>
    </xf>
    <xf numFmtId="0" fontId="97" fillId="18" borderId="119" xfId="0" applyFont="1" applyFill="1" applyBorder="1" applyAlignment="1" applyProtection="1">
      <alignment horizontal="center" vertical="center" wrapText="1"/>
      <protection hidden="1"/>
    </xf>
    <xf numFmtId="0" fontId="97" fillId="18" borderId="120" xfId="0" applyFont="1" applyFill="1" applyBorder="1" applyAlignment="1" applyProtection="1">
      <alignment horizontal="center" vertical="center" wrapText="1"/>
      <protection hidden="1"/>
    </xf>
    <xf numFmtId="0" fontId="325" fillId="18" borderId="119" xfId="0" applyNumberFormat="1" applyFont="1" applyFill="1" applyBorder="1" applyAlignment="1" applyProtection="1">
      <alignment horizontal="center" vertical="center" wrapText="1"/>
      <protection hidden="1"/>
    </xf>
    <xf numFmtId="0" fontId="325" fillId="18" borderId="120" xfId="0" applyNumberFormat="1" applyFont="1" applyFill="1" applyBorder="1" applyAlignment="1" applyProtection="1">
      <alignment horizontal="center" vertical="center" wrapText="1"/>
      <protection hidden="1"/>
    </xf>
    <xf numFmtId="0" fontId="325" fillId="18" borderId="116" xfId="0" applyNumberFormat="1" applyFont="1" applyFill="1" applyBorder="1" applyAlignment="1" applyProtection="1">
      <alignment horizontal="center" vertical="center" wrapText="1"/>
      <protection hidden="1"/>
    </xf>
    <xf numFmtId="0" fontId="96" fillId="18" borderId="116" xfId="0" applyFont="1" applyFill="1" applyBorder="1" applyAlignment="1" applyProtection="1">
      <alignment horizontal="center" wrapText="1"/>
      <protection hidden="1"/>
    </xf>
    <xf numFmtId="0" fontId="249" fillId="0" borderId="116" xfId="0" applyFont="1" applyFill="1" applyBorder="1" applyAlignment="1" applyProtection="1">
      <alignment horizontal="center" vertical="center" wrapText="1"/>
      <protection hidden="1"/>
    </xf>
    <xf numFmtId="0" fontId="38" fillId="0" borderId="116" xfId="0" applyFont="1" applyFill="1" applyBorder="1" applyAlignment="1" applyProtection="1">
      <alignment horizontal="center" vertical="center" wrapText="1"/>
      <protection hidden="1"/>
    </xf>
    <xf numFmtId="0" fontId="236" fillId="0" borderId="123" xfId="0" applyFont="1" applyFill="1" applyBorder="1" applyAlignment="1" applyProtection="1">
      <alignment horizontal="center" vertical="center" textRotation="90" wrapText="1"/>
      <protection hidden="1"/>
    </xf>
    <xf numFmtId="0" fontId="236" fillId="0" borderId="128" xfId="0" applyFont="1" applyFill="1" applyBorder="1" applyAlignment="1" applyProtection="1">
      <alignment horizontal="center" vertical="center" textRotation="90" wrapText="1"/>
      <protection hidden="1"/>
    </xf>
    <xf numFmtId="0" fontId="130" fillId="0" borderId="116" xfId="0" applyFont="1" applyFill="1" applyBorder="1" applyAlignment="1" applyProtection="1">
      <alignment horizontal="center" vertical="center" textRotation="90" wrapText="1"/>
      <protection hidden="1"/>
    </xf>
    <xf numFmtId="0" fontId="9" fillId="18" borderId="116" xfId="0" applyFont="1" applyFill="1" applyBorder="1" applyAlignment="1" applyProtection="1">
      <alignment horizontal="center" vertical="center" wrapText="1"/>
      <protection hidden="1"/>
    </xf>
    <xf numFmtId="0" fontId="63" fillId="18" borderId="116" xfId="0" applyFont="1" applyFill="1" applyBorder="1" applyAlignment="1" applyProtection="1">
      <alignment horizontal="center" vertical="center" wrapText="1"/>
      <protection hidden="1"/>
    </xf>
    <xf numFmtId="0" fontId="38" fillId="18" borderId="116" xfId="0" applyFont="1" applyFill="1" applyBorder="1" applyAlignment="1" applyProtection="1">
      <alignment horizontal="center" vertical="center" wrapText="1"/>
      <protection hidden="1"/>
    </xf>
    <xf numFmtId="0" fontId="52" fillId="18" borderId="116" xfId="0" applyFont="1" applyFill="1" applyBorder="1" applyAlignment="1" applyProtection="1">
      <alignment horizontal="center" vertical="center" wrapText="1"/>
      <protection hidden="1"/>
    </xf>
    <xf numFmtId="0" fontId="327" fillId="0" borderId="249" xfId="0" applyFont="1" applyFill="1" applyBorder="1" applyAlignment="1" applyProtection="1">
      <alignment horizontal="center" vertical="center" wrapText="1"/>
      <protection hidden="1"/>
    </xf>
    <xf numFmtId="0" fontId="327" fillId="0" borderId="118" xfId="0" applyFont="1" applyFill="1" applyBorder="1" applyAlignment="1" applyProtection="1">
      <alignment horizontal="center" vertical="center" wrapText="1"/>
      <protection hidden="1"/>
    </xf>
    <xf numFmtId="0" fontId="287" fillId="19" borderId="255" xfId="0" applyFont="1" applyFill="1" applyBorder="1" applyAlignment="1" applyProtection="1">
      <alignment horizontal="center" vertical="center" wrapText="1"/>
      <protection hidden="1"/>
    </xf>
    <xf numFmtId="0" fontId="287" fillId="19" borderId="256" xfId="0" applyFont="1" applyFill="1" applyBorder="1" applyAlignment="1" applyProtection="1">
      <alignment horizontal="center" vertical="center" wrapText="1"/>
      <protection hidden="1"/>
    </xf>
    <xf numFmtId="0" fontId="287" fillId="19" borderId="257" xfId="0" applyFont="1" applyFill="1" applyBorder="1" applyAlignment="1" applyProtection="1">
      <alignment horizontal="center" vertical="center" wrapText="1"/>
      <protection hidden="1"/>
    </xf>
    <xf numFmtId="0" fontId="73" fillId="0" borderId="116" xfId="0" applyFont="1" applyFill="1" applyBorder="1" applyAlignment="1" applyProtection="1">
      <alignment horizontal="center" vertical="center" textRotation="90" wrapText="1"/>
      <protection hidden="1"/>
    </xf>
    <xf numFmtId="0" fontId="97" fillId="0" borderId="123" xfId="0" applyFont="1" applyFill="1" applyBorder="1" applyAlignment="1" applyProtection="1">
      <alignment horizontal="center" vertical="center" wrapText="1"/>
      <protection hidden="1"/>
    </xf>
    <xf numFmtId="0" fontId="97" fillId="0" borderId="128" xfId="0" applyFont="1" applyFill="1" applyBorder="1" applyAlignment="1" applyProtection="1">
      <alignment horizontal="center" vertical="center" wrapText="1"/>
      <protection hidden="1"/>
    </xf>
    <xf numFmtId="0" fontId="71" fillId="7" borderId="121" xfId="0" applyFont="1" applyFill="1" applyBorder="1" applyAlignment="1" applyProtection="1">
      <alignment horizontal="center" vertical="center" wrapText="1"/>
      <protection hidden="1"/>
    </xf>
    <xf numFmtId="0" fontId="71" fillId="7" borderId="122" xfId="0" applyFont="1" applyFill="1" applyBorder="1" applyAlignment="1" applyProtection="1">
      <alignment horizontal="center" vertical="center" wrapText="1"/>
      <protection hidden="1"/>
    </xf>
    <xf numFmtId="0" fontId="71" fillId="7" borderId="150" xfId="0" applyFont="1" applyFill="1" applyBorder="1" applyAlignment="1" applyProtection="1">
      <alignment horizontal="center" vertical="center" wrapText="1"/>
      <protection hidden="1"/>
    </xf>
    <xf numFmtId="0" fontId="177" fillId="0" borderId="121" xfId="0" applyFont="1" applyFill="1" applyBorder="1" applyAlignment="1" applyProtection="1">
      <alignment horizontal="center" vertical="center" textRotation="45" wrapText="1"/>
      <protection hidden="1"/>
    </xf>
    <xf numFmtId="0" fontId="177" fillId="0" borderId="122" xfId="0" applyFont="1" applyFill="1" applyBorder="1" applyAlignment="1" applyProtection="1">
      <alignment horizontal="center" vertical="center" textRotation="45" wrapText="1"/>
      <protection hidden="1"/>
    </xf>
    <xf numFmtId="0" fontId="177" fillId="0" borderId="123" xfId="0" applyFont="1" applyFill="1" applyBorder="1" applyAlignment="1" applyProtection="1">
      <alignment horizontal="center" vertical="center" textRotation="45" wrapText="1"/>
      <protection hidden="1"/>
    </xf>
    <xf numFmtId="0" fontId="177" fillId="0" borderId="124" xfId="0" applyFont="1" applyFill="1" applyBorder="1" applyAlignment="1" applyProtection="1">
      <alignment horizontal="center" vertical="center" textRotation="45" wrapText="1"/>
      <protection hidden="1"/>
    </xf>
    <xf numFmtId="0" fontId="177" fillId="0" borderId="0" xfId="0" applyFont="1" applyFill="1" applyBorder="1" applyAlignment="1" applyProtection="1">
      <alignment horizontal="center" vertical="center" textRotation="45" wrapText="1"/>
      <protection hidden="1"/>
    </xf>
    <xf numFmtId="0" fontId="177" fillId="0" borderId="125" xfId="0" applyFont="1" applyFill="1" applyBorder="1" applyAlignment="1" applyProtection="1">
      <alignment horizontal="center" vertical="center" textRotation="45" wrapText="1"/>
      <protection hidden="1"/>
    </xf>
    <xf numFmtId="0" fontId="177" fillId="0" borderId="126" xfId="0" applyFont="1" applyFill="1" applyBorder="1" applyAlignment="1" applyProtection="1">
      <alignment horizontal="center" vertical="center" textRotation="45" wrapText="1"/>
      <protection hidden="1"/>
    </xf>
    <xf numFmtId="0" fontId="177" fillId="0" borderId="127" xfId="0" applyFont="1" applyFill="1" applyBorder="1" applyAlignment="1" applyProtection="1">
      <alignment horizontal="center" vertical="center" textRotation="45" wrapText="1"/>
      <protection hidden="1"/>
    </xf>
    <xf numFmtId="0" fontId="177" fillId="0" borderId="128" xfId="0" applyFont="1" applyFill="1" applyBorder="1" applyAlignment="1" applyProtection="1">
      <alignment horizontal="center" vertical="center" textRotation="45" wrapText="1"/>
      <protection hidden="1"/>
    </xf>
    <xf numFmtId="0" fontId="63" fillId="0" borderId="116" xfId="0" applyFont="1" applyFill="1" applyBorder="1" applyAlignment="1" applyProtection="1">
      <alignment horizontal="center" vertical="center" wrapText="1"/>
      <protection hidden="1"/>
    </xf>
    <xf numFmtId="0" fontId="63" fillId="0" borderId="116" xfId="0" applyFont="1" applyFill="1" applyBorder="1" applyAlignment="1" applyProtection="1">
      <alignment horizontal="center" vertical="center" textRotation="90" wrapText="1"/>
      <protection hidden="1"/>
    </xf>
    <xf numFmtId="0" fontId="235" fillId="0" borderId="116" xfId="0" applyFont="1" applyFill="1" applyBorder="1" applyAlignment="1" applyProtection="1">
      <alignment horizontal="center" vertical="center" wrapText="1"/>
      <protection hidden="1"/>
    </xf>
    <xf numFmtId="0" fontId="39" fillId="0" borderId="116" xfId="0" applyFont="1" applyFill="1" applyBorder="1" applyAlignment="1" applyProtection="1">
      <alignment horizontal="center" vertical="center" wrapText="1"/>
      <protection hidden="1"/>
    </xf>
    <xf numFmtId="0" fontId="39" fillId="27" borderId="116" xfId="0" applyFont="1" applyFill="1" applyBorder="1" applyAlignment="1" applyProtection="1">
      <alignment horizontal="center" vertical="center" wrapText="1"/>
      <protection hidden="1"/>
    </xf>
    <xf numFmtId="0" fontId="9" fillId="0" borderId="117" xfId="0" applyFont="1" applyFill="1" applyBorder="1" applyAlignment="1" applyProtection="1">
      <alignment horizontal="left" vertical="center" wrapText="1"/>
      <protection hidden="1"/>
    </xf>
    <xf numFmtId="0" fontId="9" fillId="0" borderId="116" xfId="0" applyFont="1" applyFill="1" applyBorder="1" applyAlignment="1" applyProtection="1">
      <alignment horizontal="left" vertical="center" wrapText="1"/>
      <protection hidden="1"/>
    </xf>
    <xf numFmtId="0" fontId="312" fillId="0" borderId="116" xfId="0" applyFont="1" applyFill="1" applyBorder="1" applyAlignment="1" applyProtection="1">
      <alignment horizontal="center" vertical="center" wrapText="1"/>
      <protection hidden="1"/>
    </xf>
    <xf numFmtId="0" fontId="63" fillId="0" borderId="119" xfId="0" applyFont="1" applyFill="1" applyBorder="1" applyAlignment="1" applyProtection="1">
      <alignment horizontal="right" vertical="center" wrapText="1"/>
      <protection hidden="1"/>
    </xf>
    <xf numFmtId="0" fontId="63" fillId="0" borderId="150" xfId="0" applyFont="1" applyFill="1" applyBorder="1" applyAlignment="1" applyProtection="1">
      <alignment horizontal="right" vertical="center" wrapText="1"/>
      <protection hidden="1"/>
    </xf>
    <xf numFmtId="0" fontId="63" fillId="0" borderId="117" xfId="0" applyFont="1" applyFill="1" applyBorder="1" applyAlignment="1" applyProtection="1">
      <alignment horizontal="center" vertical="center" wrapText="1"/>
      <protection hidden="1"/>
    </xf>
    <xf numFmtId="0" fontId="39" fillId="22" borderId="116" xfId="0" applyFont="1" applyFill="1" applyBorder="1" applyAlignment="1" applyProtection="1">
      <alignment horizontal="center" vertical="center" wrapText="1"/>
      <protection hidden="1"/>
    </xf>
    <xf numFmtId="0" fontId="49" fillId="22" borderId="116" xfId="0" applyFont="1" applyFill="1" applyBorder="1" applyAlignment="1" applyProtection="1">
      <alignment horizontal="center" vertical="center" wrapText="1"/>
      <protection hidden="1"/>
    </xf>
    <xf numFmtId="0" fontId="9" fillId="0" borderId="252" xfId="0" applyFont="1" applyFill="1" applyBorder="1" applyAlignment="1" applyProtection="1">
      <alignment horizontal="center" wrapText="1"/>
      <protection hidden="1"/>
    </xf>
    <xf numFmtId="0" fontId="129" fillId="0" borderId="118" xfId="0" applyFont="1" applyFill="1" applyBorder="1" applyAlignment="1" applyProtection="1">
      <alignment horizontal="center" vertical="center" wrapText="1"/>
      <protection hidden="1"/>
    </xf>
    <xf numFmtId="0" fontId="63" fillId="0" borderId="252" xfId="0" applyFont="1" applyFill="1" applyBorder="1" applyAlignment="1" applyProtection="1">
      <alignment horizontal="center" vertical="center" wrapText="1"/>
      <protection hidden="1"/>
    </xf>
    <xf numFmtId="0" fontId="273" fillId="0" borderId="117" xfId="0" applyFont="1" applyFill="1" applyBorder="1" applyAlignment="1" applyProtection="1">
      <alignment horizontal="center" vertical="center" textRotation="90" wrapText="1"/>
      <protection hidden="1"/>
    </xf>
    <xf numFmtId="0" fontId="273" fillId="0" borderId="129" xfId="0" applyFont="1" applyFill="1" applyBorder="1" applyAlignment="1" applyProtection="1">
      <alignment horizontal="center" vertical="center" textRotation="90" wrapText="1"/>
      <protection hidden="1"/>
    </xf>
    <xf numFmtId="0" fontId="273" fillId="0" borderId="118" xfId="0" applyFont="1" applyFill="1" applyBorder="1" applyAlignment="1" applyProtection="1">
      <alignment horizontal="center" vertical="center" textRotation="90" wrapText="1"/>
      <protection hidden="1"/>
    </xf>
    <xf numFmtId="0" fontId="24" fillId="0" borderId="116" xfId="0" applyFont="1" applyFill="1" applyBorder="1" applyAlignment="1" applyProtection="1">
      <alignment horizontal="center" vertical="center" wrapText="1"/>
      <protection hidden="1"/>
    </xf>
    <xf numFmtId="0" fontId="24" fillId="0" borderId="258" xfId="0" applyFont="1" applyFill="1" applyBorder="1" applyAlignment="1" applyProtection="1">
      <alignment horizontal="center" vertical="center" wrapText="1"/>
      <protection hidden="1"/>
    </xf>
    <xf numFmtId="0" fontId="63" fillId="0" borderId="250" xfId="0" applyFont="1" applyFill="1" applyBorder="1" applyAlignment="1" applyProtection="1">
      <alignment horizontal="center" vertical="center" wrapText="1"/>
      <protection hidden="1"/>
    </xf>
    <xf numFmtId="0" fontId="9" fillId="0" borderId="117" xfId="0" applyFont="1" applyFill="1" applyBorder="1" applyAlignment="1" applyProtection="1">
      <alignment horizontal="center" wrapText="1"/>
      <protection hidden="1"/>
    </xf>
    <xf numFmtId="0" fontId="9" fillId="0" borderId="118" xfId="0" applyFont="1" applyFill="1" applyBorder="1" applyAlignment="1" applyProtection="1">
      <alignment horizontal="center" wrapText="1"/>
      <protection hidden="1"/>
    </xf>
    <xf numFmtId="0" fontId="93" fillId="0" borderId="52" xfId="0" applyFont="1" applyBorder="1" applyAlignment="1" applyProtection="1">
      <alignment horizontal="center" vertical="center" wrapText="1"/>
      <protection hidden="1"/>
    </xf>
    <xf numFmtId="0" fontId="93" fillId="0" borderId="53" xfId="0" applyFont="1" applyBorder="1" applyAlignment="1" applyProtection="1">
      <alignment horizontal="center" vertical="center" wrapText="1"/>
      <protection hidden="1"/>
    </xf>
    <xf numFmtId="0" fontId="93" fillId="0" borderId="54" xfId="0" applyFont="1" applyBorder="1" applyAlignment="1" applyProtection="1">
      <alignment horizontal="center" vertical="center" wrapText="1"/>
      <protection hidden="1"/>
    </xf>
    <xf numFmtId="0" fontId="93" fillId="0" borderId="55" xfId="0" applyFont="1" applyBorder="1" applyAlignment="1" applyProtection="1">
      <alignment horizontal="center" vertical="center" wrapText="1"/>
      <protection hidden="1"/>
    </xf>
    <xf numFmtId="0" fontId="93" fillId="0" borderId="56" xfId="0" applyFont="1" applyBorder="1" applyAlignment="1" applyProtection="1">
      <alignment horizontal="center" vertical="center" wrapText="1"/>
      <protection hidden="1"/>
    </xf>
    <xf numFmtId="0" fontId="93" fillId="0" borderId="57" xfId="0" applyFont="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17" fillId="0" borderId="57" xfId="0" applyFont="1" applyFill="1" applyBorder="1" applyAlignment="1" applyProtection="1">
      <alignment horizontal="center" vertical="center" wrapText="1"/>
      <protection hidden="1"/>
    </xf>
    <xf numFmtId="0" fontId="61" fillId="0" borderId="52" xfId="0" applyFont="1" applyFill="1" applyBorder="1" applyAlignment="1" applyProtection="1">
      <alignment horizontal="center" vertical="center" wrapText="1"/>
      <protection hidden="1"/>
    </xf>
    <xf numFmtId="0" fontId="61" fillId="0" borderId="53" xfId="0" applyFont="1" applyFill="1" applyBorder="1" applyAlignment="1" applyProtection="1">
      <alignment horizontal="center" vertical="center" wrapText="1"/>
      <protection hidden="1"/>
    </xf>
    <xf numFmtId="0" fontId="61" fillId="0" borderId="54" xfId="0" applyFont="1" applyFill="1" applyBorder="1" applyAlignment="1" applyProtection="1">
      <alignment horizontal="center" vertical="center" wrapText="1"/>
      <protection hidden="1"/>
    </xf>
    <xf numFmtId="0" fontId="61" fillId="0" borderId="55" xfId="0" applyFont="1" applyFill="1" applyBorder="1" applyAlignment="1" applyProtection="1">
      <alignment horizontal="center" vertical="center" wrapText="1"/>
      <protection hidden="1"/>
    </xf>
    <xf numFmtId="0" fontId="61" fillId="0" borderId="56" xfId="0" applyFont="1" applyFill="1" applyBorder="1" applyAlignment="1" applyProtection="1">
      <alignment horizontal="center" vertical="center" wrapText="1"/>
      <protection hidden="1"/>
    </xf>
    <xf numFmtId="0" fontId="61" fillId="0" borderId="57" xfId="0" applyFont="1" applyFill="1" applyBorder="1" applyAlignment="1" applyProtection="1">
      <alignment horizontal="center" vertical="center" wrapText="1"/>
      <protection hidden="1"/>
    </xf>
    <xf numFmtId="0" fontId="63" fillId="0" borderId="117" xfId="0" applyFont="1" applyFill="1" applyBorder="1" applyAlignment="1" applyProtection="1">
      <alignment horizontal="center" vertical="center" textRotation="90" wrapText="1"/>
      <protection hidden="1"/>
    </xf>
    <xf numFmtId="0" fontId="63" fillId="0" borderId="129" xfId="0" applyFont="1" applyFill="1" applyBorder="1" applyAlignment="1" applyProtection="1">
      <alignment horizontal="center" vertical="center" textRotation="90" wrapText="1"/>
      <protection hidden="1"/>
    </xf>
    <xf numFmtId="0" fontId="52" fillId="0" borderId="143" xfId="0" applyFont="1" applyFill="1" applyBorder="1" applyAlignment="1" applyProtection="1">
      <alignment horizontal="center" vertical="center" wrapText="1"/>
      <protection hidden="1"/>
    </xf>
    <xf numFmtId="0" fontId="38" fillId="0" borderId="120" xfId="0" applyFont="1" applyFill="1" applyBorder="1" applyAlignment="1" applyProtection="1">
      <alignment horizontal="center" vertical="center" textRotation="90" wrapText="1"/>
      <protection hidden="1"/>
    </xf>
    <xf numFmtId="0" fontId="63" fillId="0" borderId="251" xfId="0" applyFont="1" applyFill="1" applyBorder="1" applyAlignment="1" applyProtection="1">
      <alignment horizontal="center" vertical="center" wrapText="1"/>
      <protection hidden="1"/>
    </xf>
    <xf numFmtId="0" fontId="9" fillId="0" borderId="258" xfId="0" applyFont="1" applyFill="1" applyBorder="1" applyAlignment="1" applyProtection="1">
      <alignment horizontal="center" vertical="center" wrapText="1"/>
      <protection hidden="1"/>
    </xf>
    <xf numFmtId="0" fontId="242" fillId="0" borderId="116" xfId="0" applyFont="1" applyFill="1" applyBorder="1" applyAlignment="1" applyProtection="1">
      <alignment horizontal="center" vertical="center" wrapText="1"/>
      <protection hidden="1"/>
    </xf>
    <xf numFmtId="0" fontId="242" fillId="0" borderId="258" xfId="0" applyFont="1" applyFill="1" applyBorder="1" applyAlignment="1" applyProtection="1">
      <alignment horizontal="center" vertical="center" wrapText="1"/>
      <protection hidden="1"/>
    </xf>
    <xf numFmtId="172" fontId="64" fillId="18" borderId="119" xfId="0" applyNumberFormat="1" applyFont="1" applyFill="1" applyBorder="1" applyAlignment="1" applyProtection="1">
      <alignment horizontal="center" vertical="center" wrapText="1"/>
      <protection hidden="1"/>
    </xf>
    <xf numFmtId="172" fontId="64" fillId="18" borderId="150" xfId="0" applyNumberFormat="1" applyFont="1" applyFill="1" applyBorder="1" applyAlignment="1" applyProtection="1">
      <alignment horizontal="center" vertical="center" wrapText="1"/>
      <protection hidden="1"/>
    </xf>
    <xf numFmtId="172" fontId="64" fillId="18" borderId="120" xfId="0" applyNumberFormat="1" applyFont="1" applyFill="1" applyBorder="1" applyAlignment="1" applyProtection="1">
      <alignment horizontal="center" vertical="center" wrapText="1"/>
      <protection hidden="1"/>
    </xf>
    <xf numFmtId="0" fontId="29" fillId="0" borderId="116" xfId="0" applyFont="1" applyFill="1" applyBorder="1" applyAlignment="1" applyProtection="1">
      <alignment horizontal="center" vertical="center" wrapText="1"/>
      <protection hidden="1"/>
    </xf>
    <xf numFmtId="0" fontId="29" fillId="0" borderId="258" xfId="0" applyFont="1" applyFill="1" applyBorder="1" applyAlignment="1" applyProtection="1">
      <alignment horizontal="center" vertical="center" wrapText="1"/>
      <protection hidden="1"/>
    </xf>
    <xf numFmtId="0" fontId="29" fillId="0" borderId="252" xfId="0" applyFont="1" applyBorder="1" applyAlignment="1" applyProtection="1">
      <alignment horizontal="center" vertical="center" wrapText="1"/>
      <protection hidden="1"/>
    </xf>
    <xf numFmtId="0" fontId="29" fillId="0" borderId="259" xfId="0" applyFont="1" applyBorder="1" applyAlignment="1" applyProtection="1">
      <alignment horizontal="center" vertical="center" wrapText="1"/>
      <protection hidden="1"/>
    </xf>
    <xf numFmtId="0" fontId="273" fillId="0" borderId="116" xfId="0" applyFont="1" applyFill="1" applyBorder="1" applyAlignment="1" applyProtection="1">
      <alignment horizontal="center" vertical="center" textRotation="90" wrapText="1"/>
      <protection hidden="1"/>
    </xf>
    <xf numFmtId="0" fontId="273" fillId="0" borderId="116" xfId="0" applyFont="1" applyFill="1" applyBorder="1" applyAlignment="1" applyProtection="1">
      <alignment horizontal="center" vertical="center" wrapText="1"/>
      <protection hidden="1"/>
    </xf>
    <xf numFmtId="0" fontId="273" fillId="0" borderId="119" xfId="0" applyFont="1" applyFill="1" applyBorder="1" applyAlignment="1" applyProtection="1">
      <alignment horizontal="center" vertical="center" wrapText="1"/>
      <protection hidden="1"/>
    </xf>
    <xf numFmtId="0" fontId="287" fillId="10" borderId="255" xfId="0" applyFont="1" applyFill="1" applyBorder="1" applyAlignment="1" applyProtection="1">
      <alignment horizontal="center" vertical="center" wrapText="1"/>
      <protection hidden="1"/>
    </xf>
    <xf numFmtId="0" fontId="287" fillId="10" borderId="256" xfId="0" applyFont="1" applyFill="1" applyBorder="1" applyAlignment="1" applyProtection="1">
      <alignment horizontal="center" vertical="center" wrapText="1"/>
      <protection hidden="1"/>
    </xf>
    <xf numFmtId="0" fontId="287" fillId="10" borderId="257" xfId="0" applyFont="1" applyFill="1" applyBorder="1" applyAlignment="1" applyProtection="1">
      <alignment horizontal="center" vertical="center" wrapText="1"/>
      <protection hidden="1"/>
    </xf>
    <xf numFmtId="0" fontId="129" fillId="0" borderId="253" xfId="0" applyFont="1" applyFill="1" applyBorder="1" applyAlignment="1" applyProtection="1">
      <alignment horizontal="center" vertical="center" wrapText="1"/>
      <protection hidden="1"/>
    </xf>
    <xf numFmtId="0" fontId="129" fillId="0" borderId="254" xfId="0" applyFont="1" applyFill="1" applyBorder="1" applyAlignment="1" applyProtection="1">
      <alignment horizontal="center" vertical="center" wrapText="1"/>
      <protection hidden="1"/>
    </xf>
    <xf numFmtId="0" fontId="9" fillId="0" borderId="117" xfId="0" applyFont="1" applyFill="1" applyBorder="1" applyAlignment="1" applyProtection="1">
      <alignment horizontal="center" vertical="center" textRotation="90" wrapText="1"/>
      <protection hidden="1"/>
    </xf>
    <xf numFmtId="0" fontId="9" fillId="0" borderId="129" xfId="0" applyFont="1" applyFill="1" applyBorder="1" applyAlignment="1" applyProtection="1">
      <alignment horizontal="center" vertical="center" textRotation="90" wrapText="1"/>
      <protection hidden="1"/>
    </xf>
    <xf numFmtId="0" fontId="248" fillId="0" borderId="118" xfId="0" applyFont="1" applyFill="1" applyBorder="1" applyAlignment="1" applyProtection="1">
      <alignment horizontal="center" vertical="center" wrapText="1"/>
      <protection hidden="1"/>
    </xf>
    <xf numFmtId="0" fontId="311" fillId="0" borderId="150" xfId="0" applyFont="1" applyBorder="1" applyAlignment="1" applyProtection="1">
      <alignment horizontal="center" vertical="center"/>
      <protection hidden="1"/>
    </xf>
    <xf numFmtId="0" fontId="311" fillId="0" borderId="120" xfId="0" applyFont="1" applyBorder="1" applyAlignment="1" applyProtection="1">
      <alignment horizontal="center" vertical="center"/>
      <protection hidden="1"/>
    </xf>
    <xf numFmtId="0" fontId="9" fillId="0" borderId="119" xfId="0" applyFont="1" applyFill="1" applyBorder="1" applyAlignment="1" applyProtection="1">
      <alignment horizontal="center" vertical="center" wrapText="1"/>
      <protection hidden="1"/>
    </xf>
    <xf numFmtId="0" fontId="9" fillId="0" borderId="150" xfId="0" applyFont="1" applyFill="1" applyBorder="1" applyAlignment="1" applyProtection="1">
      <alignment horizontal="center" vertical="center" wrapText="1"/>
      <protection hidden="1"/>
    </xf>
    <xf numFmtId="0" fontId="9" fillId="0" borderId="120" xfId="0" applyFont="1" applyFill="1" applyBorder="1" applyAlignment="1" applyProtection="1">
      <alignment horizontal="center" vertical="center" wrapText="1"/>
      <protection hidden="1"/>
    </xf>
    <xf numFmtId="0" fontId="41" fillId="0" borderId="121" xfId="0" applyFont="1" applyFill="1" applyBorder="1" applyAlignment="1" applyProtection="1">
      <alignment horizontal="center" vertical="center" wrapText="1"/>
      <protection hidden="1"/>
    </xf>
    <xf numFmtId="0" fontId="41" fillId="0" borderId="122" xfId="0" applyFont="1" applyFill="1" applyBorder="1" applyAlignment="1" applyProtection="1">
      <alignment horizontal="center" vertical="center" wrapText="1"/>
      <protection hidden="1"/>
    </xf>
    <xf numFmtId="0" fontId="41" fillId="0" borderId="123" xfId="0" applyFont="1" applyFill="1" applyBorder="1" applyAlignment="1" applyProtection="1">
      <alignment horizontal="center" vertical="center" wrapText="1"/>
      <protection hidden="1"/>
    </xf>
    <xf numFmtId="0" fontId="41" fillId="0" borderId="126" xfId="0" applyFont="1" applyFill="1" applyBorder="1" applyAlignment="1" applyProtection="1">
      <alignment horizontal="center" vertical="center" wrapText="1"/>
      <protection hidden="1"/>
    </xf>
    <xf numFmtId="0" fontId="41" fillId="0" borderId="127" xfId="0" applyFont="1" applyFill="1" applyBorder="1" applyAlignment="1" applyProtection="1">
      <alignment horizontal="center" vertical="center" wrapText="1"/>
      <protection hidden="1"/>
    </xf>
    <xf numFmtId="0" fontId="41" fillId="0" borderId="128" xfId="0" applyFont="1" applyFill="1" applyBorder="1" applyAlignment="1" applyProtection="1">
      <alignment horizontal="center" vertical="center" wrapText="1"/>
      <protection hidden="1"/>
    </xf>
    <xf numFmtId="0" fontId="184" fillId="16" borderId="121" xfId="4" applyFont="1" applyFill="1" applyBorder="1" applyAlignment="1" applyProtection="1">
      <alignment horizontal="center" vertical="center" wrapText="1"/>
      <protection hidden="1"/>
    </xf>
    <xf numFmtId="0" fontId="184" fillId="16" borderId="122" xfId="4" applyFont="1" applyFill="1" applyBorder="1" applyAlignment="1" applyProtection="1">
      <alignment horizontal="center" vertical="center" wrapText="1"/>
      <protection hidden="1"/>
    </xf>
    <xf numFmtId="0" fontId="184" fillId="16" borderId="123" xfId="4" applyFont="1" applyFill="1" applyBorder="1" applyAlignment="1" applyProtection="1">
      <alignment horizontal="center" vertical="center" wrapText="1"/>
      <protection hidden="1"/>
    </xf>
    <xf numFmtId="0" fontId="184" fillId="16" borderId="126" xfId="4" applyFont="1" applyFill="1" applyBorder="1" applyAlignment="1" applyProtection="1">
      <alignment horizontal="center" vertical="center" wrapText="1"/>
      <protection hidden="1"/>
    </xf>
    <xf numFmtId="0" fontId="184" fillId="16" borderId="127" xfId="4" applyFont="1" applyFill="1" applyBorder="1" applyAlignment="1" applyProtection="1">
      <alignment horizontal="center" vertical="center" wrapText="1"/>
      <protection hidden="1"/>
    </xf>
    <xf numFmtId="0" fontId="184" fillId="16" borderId="128" xfId="4" applyFont="1" applyFill="1" applyBorder="1" applyAlignment="1" applyProtection="1">
      <alignment horizontal="center" vertical="center" wrapText="1"/>
      <protection hidden="1"/>
    </xf>
    <xf numFmtId="0" fontId="183" fillId="13" borderId="121" xfId="0" applyFont="1" applyFill="1" applyBorder="1" applyAlignment="1" applyProtection="1">
      <alignment horizontal="center" vertical="center" wrapText="1"/>
      <protection hidden="1"/>
    </xf>
    <xf numFmtId="0" fontId="183" fillId="13" borderId="122" xfId="0" applyFont="1" applyFill="1" applyBorder="1" applyAlignment="1" applyProtection="1">
      <alignment horizontal="center" vertical="center" wrapText="1"/>
      <protection hidden="1"/>
    </xf>
    <xf numFmtId="0" fontId="183" fillId="13" borderId="123" xfId="0" applyFont="1" applyFill="1" applyBorder="1" applyAlignment="1" applyProtection="1">
      <alignment horizontal="center" vertical="center" wrapText="1"/>
      <protection hidden="1"/>
    </xf>
    <xf numFmtId="0" fontId="183" fillId="13" borderId="126" xfId="0" applyFont="1" applyFill="1" applyBorder="1" applyAlignment="1" applyProtection="1">
      <alignment horizontal="center" vertical="center" wrapText="1"/>
      <protection hidden="1"/>
    </xf>
    <xf numFmtId="0" fontId="183" fillId="13" borderId="127" xfId="0" applyFont="1" applyFill="1" applyBorder="1" applyAlignment="1" applyProtection="1">
      <alignment horizontal="center" vertical="center" wrapText="1"/>
      <protection hidden="1"/>
    </xf>
    <xf numFmtId="0" fontId="183" fillId="13" borderId="128" xfId="0" applyFont="1" applyFill="1" applyBorder="1" applyAlignment="1" applyProtection="1">
      <alignment horizontal="center" vertical="center" wrapText="1"/>
      <protection hidden="1"/>
    </xf>
    <xf numFmtId="0" fontId="38" fillId="0" borderId="119" xfId="0" applyFont="1" applyFill="1" applyBorder="1" applyAlignment="1" applyProtection="1">
      <alignment horizontal="center" vertical="center" wrapText="1"/>
      <protection hidden="1"/>
    </xf>
    <xf numFmtId="0" fontId="38" fillId="0" borderId="150" xfId="0" applyFont="1" applyFill="1" applyBorder="1" applyAlignment="1" applyProtection="1">
      <alignment horizontal="center" vertical="center" wrapText="1"/>
      <protection hidden="1"/>
    </xf>
    <xf numFmtId="0" fontId="38" fillId="0" borderId="120" xfId="0" applyFont="1" applyFill="1" applyBorder="1" applyAlignment="1" applyProtection="1">
      <alignment horizontal="center" vertical="center" wrapText="1"/>
      <protection hidden="1"/>
    </xf>
    <xf numFmtId="0" fontId="183" fillId="0" borderId="116" xfId="0" applyFont="1" applyFill="1" applyBorder="1" applyAlignment="1" applyProtection="1">
      <alignment horizontal="center" vertical="center" textRotation="90" wrapText="1"/>
      <protection hidden="1"/>
    </xf>
    <xf numFmtId="0" fontId="41" fillId="0" borderId="116" xfId="0" applyFont="1" applyFill="1" applyBorder="1" applyAlignment="1" applyProtection="1">
      <alignment horizontal="center" vertical="center" wrapText="1"/>
      <protection hidden="1"/>
    </xf>
    <xf numFmtId="0" fontId="287" fillId="3" borderId="309" xfId="0" applyFont="1" applyFill="1" applyBorder="1" applyAlignment="1" applyProtection="1">
      <alignment horizontal="center" vertical="center" wrapText="1"/>
      <protection hidden="1"/>
    </xf>
    <xf numFmtId="172" fontId="121" fillId="0" borderId="309" xfId="0" applyNumberFormat="1" applyFont="1" applyFill="1" applyBorder="1" applyAlignment="1" applyProtection="1">
      <alignment horizontal="center" vertical="center" wrapText="1"/>
      <protection hidden="1"/>
    </xf>
    <xf numFmtId="0" fontId="379" fillId="0" borderId="309" xfId="0" applyFont="1" applyFill="1" applyBorder="1" applyAlignment="1" applyProtection="1">
      <alignment horizontal="center" vertical="center" wrapText="1"/>
      <protection hidden="1"/>
    </xf>
    <xf numFmtId="0" fontId="383" fillId="0" borderId="309" xfId="0" applyFont="1" applyFill="1" applyBorder="1" applyAlignment="1" applyProtection="1">
      <alignment horizontal="center" vertical="center" wrapText="1"/>
      <protection hidden="1"/>
    </xf>
    <xf numFmtId="0" fontId="49" fillId="0" borderId="309" xfId="0" applyFont="1" applyFill="1" applyBorder="1" applyAlignment="1" applyProtection="1">
      <alignment horizontal="center" vertical="center" wrapText="1"/>
      <protection hidden="1"/>
    </xf>
    <xf numFmtId="0" fontId="121" fillId="0" borderId="309" xfId="0" applyFont="1" applyFill="1" applyBorder="1" applyAlignment="1" applyProtection="1">
      <alignment horizontal="center" vertical="center" wrapText="1"/>
      <protection hidden="1"/>
    </xf>
    <xf numFmtId="0" fontId="282" fillId="3" borderId="309" xfId="0" applyFont="1" applyFill="1" applyBorder="1" applyAlignment="1" applyProtection="1">
      <alignment horizontal="center" vertical="center" wrapText="1" shrinkToFit="1"/>
      <protection hidden="1"/>
    </xf>
    <xf numFmtId="0" fontId="369" fillId="0" borderId="0" xfId="0" applyFont="1" applyBorder="1" applyAlignment="1" applyProtection="1">
      <alignment horizontal="center" vertical="center"/>
      <protection hidden="1"/>
    </xf>
    <xf numFmtId="0" fontId="192" fillId="0" borderId="0" xfId="0" applyFont="1" applyBorder="1" applyAlignment="1" applyProtection="1">
      <alignment horizontal="center" vertical="center"/>
      <protection hidden="1"/>
    </xf>
    <xf numFmtId="0" fontId="172" fillId="0" borderId="0" xfId="0" applyFont="1" applyBorder="1" applyAlignment="1" applyProtection="1">
      <alignment horizontal="right" vertical="center"/>
      <protection hidden="1"/>
    </xf>
    <xf numFmtId="0" fontId="38" fillId="0" borderId="305" xfId="0" applyFont="1" applyFill="1" applyBorder="1" applyAlignment="1" applyProtection="1">
      <alignment horizontal="center" vertical="center" textRotation="90" wrapText="1"/>
      <protection hidden="1"/>
    </xf>
    <xf numFmtId="0" fontId="38" fillId="0" borderId="318" xfId="0" applyFont="1" applyFill="1" applyBorder="1" applyAlignment="1" applyProtection="1">
      <alignment horizontal="center" vertical="center" textRotation="90" wrapText="1"/>
      <protection hidden="1"/>
    </xf>
    <xf numFmtId="0" fontId="38" fillId="0" borderId="319" xfId="0" applyFont="1" applyFill="1" applyBorder="1" applyAlignment="1" applyProtection="1">
      <alignment horizontal="center" vertical="center" textRotation="90" wrapText="1"/>
      <protection hidden="1"/>
    </xf>
    <xf numFmtId="0" fontId="289" fillId="0" borderId="0" xfId="0" applyFont="1" applyBorder="1" applyAlignment="1" applyProtection="1">
      <alignment horizontal="left" vertical="center"/>
      <protection hidden="1"/>
    </xf>
    <xf numFmtId="0" fontId="370" fillId="12" borderId="0" xfId="0" applyFont="1" applyFill="1" applyBorder="1" applyAlignment="1" applyProtection="1">
      <alignment horizontal="center" vertical="center"/>
      <protection locked="0"/>
    </xf>
    <xf numFmtId="0" fontId="38" fillId="0" borderId="305" xfId="0" applyFont="1" applyFill="1" applyBorder="1" applyAlignment="1" applyProtection="1">
      <alignment horizontal="center" vertical="center" wrapText="1"/>
      <protection hidden="1"/>
    </xf>
    <xf numFmtId="0" fontId="38" fillId="0" borderId="318" xfId="0" applyFont="1" applyFill="1" applyBorder="1" applyAlignment="1" applyProtection="1">
      <alignment horizontal="center" vertical="center" wrapText="1"/>
      <protection hidden="1"/>
    </xf>
    <xf numFmtId="0" fontId="38" fillId="0" borderId="319" xfId="0" applyFont="1" applyFill="1" applyBorder="1" applyAlignment="1" applyProtection="1">
      <alignment horizontal="center" vertical="center" wrapText="1"/>
      <protection hidden="1"/>
    </xf>
    <xf numFmtId="0" fontId="320" fillId="0" borderId="309" xfId="0" applyFont="1" applyFill="1" applyBorder="1" applyAlignment="1" applyProtection="1">
      <alignment horizontal="right" wrapText="1"/>
      <protection hidden="1"/>
    </xf>
    <xf numFmtId="0" fontId="377" fillId="0" borderId="0" xfId="0" applyFont="1" applyAlignment="1" applyProtection="1">
      <alignment horizontal="center"/>
      <protection hidden="1"/>
    </xf>
    <xf numFmtId="0" fontId="372" fillId="3" borderId="322" xfId="0" applyFont="1" applyFill="1" applyBorder="1" applyAlignment="1" applyProtection="1">
      <alignment horizontal="center" vertical="center" textRotation="90" wrapText="1" shrinkToFit="1"/>
      <protection hidden="1"/>
    </xf>
    <xf numFmtId="0" fontId="372" fillId="3" borderId="304" xfId="0" applyFont="1" applyFill="1" applyBorder="1" applyAlignment="1" applyProtection="1">
      <alignment horizontal="center" vertical="center" textRotation="90" wrapText="1" shrinkToFit="1"/>
      <protection hidden="1"/>
    </xf>
    <xf numFmtId="0" fontId="73" fillId="3" borderId="321" xfId="0" applyFont="1" applyFill="1" applyBorder="1" applyAlignment="1" applyProtection="1">
      <alignment horizontal="center" vertical="center" textRotation="90" wrapText="1"/>
      <protection hidden="1"/>
    </xf>
    <xf numFmtId="0" fontId="73" fillId="3" borderId="304" xfId="0" applyFont="1" applyFill="1" applyBorder="1" applyAlignment="1" applyProtection="1">
      <alignment horizontal="center" vertical="center" textRotation="90" wrapText="1"/>
      <protection hidden="1"/>
    </xf>
    <xf numFmtId="0" fontId="38" fillId="3" borderId="304" xfId="0" applyFont="1" applyFill="1" applyBorder="1" applyAlignment="1" applyProtection="1">
      <alignment horizontal="center" vertical="center" textRotation="90" wrapText="1"/>
      <protection hidden="1"/>
    </xf>
    <xf numFmtId="0" fontId="261" fillId="3" borderId="304" xfId="0" applyFont="1" applyFill="1" applyBorder="1" applyAlignment="1" applyProtection="1">
      <alignment horizontal="center" vertical="center" textRotation="90"/>
      <protection hidden="1"/>
    </xf>
    <xf numFmtId="0" fontId="261" fillId="3" borderId="304" xfId="0" applyFont="1" applyFill="1" applyBorder="1" applyAlignment="1" applyProtection="1">
      <alignment vertical="center"/>
      <protection hidden="1"/>
    </xf>
    <xf numFmtId="0" fontId="30" fillId="0" borderId="0" xfId="0" applyFont="1" applyAlignment="1" applyProtection="1">
      <alignment horizontal="center" vertical="center" wrapText="1"/>
      <protection hidden="1"/>
    </xf>
    <xf numFmtId="0" fontId="6" fillId="41" borderId="0" xfId="0" applyFont="1" applyFill="1" applyBorder="1" applyAlignment="1" applyProtection="1">
      <alignment horizontal="center" vertical="center" wrapText="1"/>
      <protection hidden="1"/>
    </xf>
    <xf numFmtId="0" fontId="273" fillId="0" borderId="304" xfId="0" applyFont="1" applyFill="1" applyBorder="1" applyAlignment="1" applyProtection="1">
      <alignment horizontal="center" vertical="center" wrapText="1"/>
      <protection hidden="1"/>
    </xf>
    <xf numFmtId="0" fontId="273" fillId="0" borderId="320" xfId="0" applyFont="1" applyFill="1" applyBorder="1" applyAlignment="1" applyProtection="1">
      <alignment horizontal="center" vertical="center" wrapText="1"/>
      <protection hidden="1"/>
    </xf>
    <xf numFmtId="0" fontId="38" fillId="0" borderId="305" xfId="0" applyFont="1" applyBorder="1" applyAlignment="1" applyProtection="1">
      <alignment horizontal="center" vertical="center" textRotation="90" wrapText="1"/>
      <protection hidden="1"/>
    </xf>
    <xf numFmtId="0" fontId="38" fillId="0" borderId="318" xfId="0" applyFont="1" applyBorder="1" applyAlignment="1" applyProtection="1">
      <alignment horizontal="center" vertical="center" textRotation="90" wrapText="1"/>
      <protection hidden="1"/>
    </xf>
    <xf numFmtId="0" fontId="38" fillId="0" borderId="319" xfId="0" applyFont="1" applyBorder="1" applyAlignment="1" applyProtection="1">
      <alignment horizontal="center" vertical="center" textRotation="90" wrapText="1"/>
      <protection hidden="1"/>
    </xf>
    <xf numFmtId="0" fontId="49" fillId="9" borderId="305" xfId="0" applyFont="1" applyFill="1" applyBorder="1" applyAlignment="1" applyProtection="1">
      <alignment horizontal="center" vertical="center" wrapText="1"/>
      <protection hidden="1"/>
    </xf>
    <xf numFmtId="0" fontId="20" fillId="0" borderId="306" xfId="0" applyFont="1" applyFill="1" applyBorder="1" applyAlignment="1" applyProtection="1">
      <alignment horizontal="center" vertical="center" wrapText="1"/>
      <protection hidden="1"/>
    </xf>
    <xf numFmtId="0" fontId="20" fillId="0" borderId="307" xfId="0" applyFont="1" applyFill="1" applyBorder="1" applyAlignment="1" applyProtection="1">
      <alignment horizontal="center" vertical="center" wrapText="1"/>
      <protection hidden="1"/>
    </xf>
    <xf numFmtId="0" fontId="20" fillId="0" borderId="308" xfId="0" applyFont="1" applyFill="1" applyBorder="1" applyAlignment="1" applyProtection="1">
      <alignment horizontal="center" vertical="center" wrapText="1"/>
      <protection hidden="1"/>
    </xf>
    <xf numFmtId="0" fontId="20" fillId="0" borderId="311" xfId="0" applyFont="1" applyFill="1" applyBorder="1" applyAlignment="1" applyProtection="1">
      <alignment horizontal="center" vertical="center" wrapText="1"/>
      <protection hidden="1"/>
    </xf>
    <xf numFmtId="0" fontId="20" fillId="0" borderId="312" xfId="0" applyFont="1" applyFill="1" applyBorder="1" applyAlignment="1" applyProtection="1">
      <alignment horizontal="center" vertical="center" wrapText="1"/>
      <protection hidden="1"/>
    </xf>
    <xf numFmtId="0" fontId="20" fillId="0" borderId="313" xfId="0" applyFont="1" applyFill="1" applyBorder="1" applyAlignment="1" applyProtection="1">
      <alignment horizontal="center" vertical="center" wrapText="1"/>
      <protection hidden="1"/>
    </xf>
    <xf numFmtId="0" fontId="20" fillId="0" borderId="315" xfId="0" applyFont="1" applyFill="1" applyBorder="1" applyAlignment="1" applyProtection="1">
      <alignment horizontal="center" vertical="center" wrapText="1"/>
      <protection hidden="1"/>
    </xf>
    <xf numFmtId="0" fontId="20" fillId="0" borderId="316" xfId="0" applyFont="1" applyFill="1" applyBorder="1" applyAlignment="1" applyProtection="1">
      <alignment horizontal="center" vertical="center" wrapText="1"/>
      <protection hidden="1"/>
    </xf>
    <xf numFmtId="0" fontId="124" fillId="3" borderId="310" xfId="0" applyFont="1" applyFill="1" applyBorder="1" applyAlignment="1" applyProtection="1">
      <alignment horizontal="center" vertical="center" wrapText="1"/>
      <protection hidden="1"/>
    </xf>
    <xf numFmtId="0" fontId="124" fillId="3" borderId="314" xfId="0" applyFont="1" applyFill="1" applyBorder="1" applyAlignment="1" applyProtection="1">
      <alignment horizontal="center" vertical="center" wrapText="1"/>
      <protection hidden="1"/>
    </xf>
    <xf numFmtId="0" fontId="124" fillId="3" borderId="317" xfId="0" applyFont="1" applyFill="1" applyBorder="1" applyAlignment="1" applyProtection="1">
      <alignment horizontal="center" vertical="center" wrapText="1"/>
      <protection hidden="1"/>
    </xf>
    <xf numFmtId="0" fontId="320" fillId="0" borderId="323" xfId="0" applyFont="1" applyFill="1" applyBorder="1" applyAlignment="1" applyProtection="1">
      <alignment horizontal="right" wrapText="1"/>
      <protection hidden="1"/>
    </xf>
    <xf numFmtId="0" fontId="273" fillId="0" borderId="309" xfId="0" applyFont="1" applyFill="1" applyBorder="1" applyAlignment="1" applyProtection="1">
      <alignment horizontal="right" wrapText="1"/>
      <protection hidden="1"/>
    </xf>
    <xf numFmtId="2" fontId="38" fillId="0" borderId="51" xfId="0" applyNumberFormat="1" applyFont="1" applyFill="1" applyBorder="1" applyAlignment="1" applyProtection="1">
      <alignment horizontal="center" vertical="center" textRotation="90" wrapText="1"/>
      <protection hidden="1"/>
    </xf>
    <xf numFmtId="2" fontId="38" fillId="0" borderId="51" xfId="0" applyNumberFormat="1" applyFont="1" applyFill="1" applyBorder="1" applyAlignment="1" applyProtection="1">
      <alignment horizontal="center" vertical="center" wrapText="1"/>
      <protection hidden="1"/>
    </xf>
    <xf numFmtId="0" fontId="38" fillId="0" borderId="51" xfId="0" applyFont="1" applyFill="1" applyBorder="1" applyAlignment="1" applyProtection="1">
      <alignment horizontal="center" vertical="center" wrapText="1"/>
      <protection hidden="1"/>
    </xf>
    <xf numFmtId="0" fontId="328" fillId="0" borderId="148" xfId="0" applyFont="1" applyBorder="1" applyAlignment="1" applyProtection="1">
      <alignment horizontal="center" vertical="center" textRotation="90" wrapText="1"/>
      <protection hidden="1"/>
    </xf>
    <xf numFmtId="0" fontId="328" fillId="0" borderId="163" xfId="0" applyFont="1" applyBorder="1" applyAlignment="1" applyProtection="1">
      <alignment horizontal="center" vertical="center" textRotation="90" wrapText="1"/>
      <protection hidden="1"/>
    </xf>
    <xf numFmtId="0" fontId="328" fillId="0" borderId="149" xfId="0" applyFont="1" applyBorder="1" applyAlignment="1" applyProtection="1">
      <alignment horizontal="center" vertical="center" textRotation="90" wrapText="1"/>
      <protection hidden="1"/>
    </xf>
    <xf numFmtId="0" fontId="9" fillId="0" borderId="52" xfId="0" applyFont="1" applyFill="1" applyBorder="1" applyAlignment="1" applyProtection="1">
      <alignment horizontal="right" vertical="center" wrapText="1"/>
      <protection hidden="1"/>
    </xf>
    <xf numFmtId="0" fontId="9" fillId="0" borderId="151" xfId="0" applyFont="1" applyFill="1" applyBorder="1" applyAlignment="1" applyProtection="1">
      <alignment horizontal="right" vertical="center" wrapText="1"/>
      <protection hidden="1"/>
    </xf>
    <xf numFmtId="0" fontId="9" fillId="0" borderId="55" xfId="0" applyFont="1" applyFill="1" applyBorder="1" applyAlignment="1" applyProtection="1">
      <alignment horizontal="right" vertical="center" wrapText="1"/>
      <protection hidden="1"/>
    </xf>
    <xf numFmtId="0" fontId="38" fillId="0" borderId="155" xfId="0" applyFont="1" applyFill="1" applyBorder="1" applyAlignment="1" applyProtection="1">
      <alignment horizontal="center" vertical="center" wrapText="1"/>
      <protection hidden="1"/>
    </xf>
    <xf numFmtId="0" fontId="273" fillId="0" borderId="148" xfId="0" applyFont="1" applyFill="1" applyBorder="1" applyAlignment="1" applyProtection="1">
      <alignment horizontal="center" vertical="center" wrapText="1"/>
      <protection hidden="1"/>
    </xf>
    <xf numFmtId="0" fontId="273" fillId="0" borderId="149" xfId="0" applyFont="1" applyFill="1" applyBorder="1" applyAlignment="1" applyProtection="1">
      <alignment horizontal="center" vertical="center" wrapText="1"/>
      <protection hidden="1"/>
    </xf>
    <xf numFmtId="2" fontId="38" fillId="0" borderId="52" xfId="0" applyNumberFormat="1" applyFont="1" applyFill="1" applyBorder="1" applyAlignment="1" applyProtection="1">
      <alignment horizontal="center" vertical="center" wrapText="1"/>
      <protection hidden="1"/>
    </xf>
    <xf numFmtId="2" fontId="38" fillId="0" borderId="54" xfId="0" applyNumberFormat="1" applyFont="1" applyFill="1" applyBorder="1" applyAlignment="1" applyProtection="1">
      <alignment horizontal="center" vertical="center" wrapText="1"/>
      <protection hidden="1"/>
    </xf>
    <xf numFmtId="2" fontId="38" fillId="0" borderId="151" xfId="0" applyNumberFormat="1" applyFont="1" applyFill="1" applyBorder="1" applyAlignment="1" applyProtection="1">
      <alignment horizontal="center" vertical="center" wrapText="1"/>
      <protection hidden="1"/>
    </xf>
    <xf numFmtId="2" fontId="38" fillId="0" borderId="152" xfId="0" applyNumberFormat="1" applyFont="1" applyFill="1" applyBorder="1" applyAlignment="1" applyProtection="1">
      <alignment horizontal="center" vertical="center" wrapText="1"/>
      <protection hidden="1"/>
    </xf>
    <xf numFmtId="2" fontId="38" fillId="0" borderId="55" xfId="0" applyNumberFormat="1" applyFont="1" applyFill="1" applyBorder="1" applyAlignment="1" applyProtection="1">
      <alignment horizontal="center" vertical="center" wrapText="1"/>
      <protection hidden="1"/>
    </xf>
    <xf numFmtId="2" fontId="38" fillId="0" borderId="57" xfId="0" applyNumberFormat="1" applyFont="1" applyFill="1" applyBorder="1" applyAlignment="1" applyProtection="1">
      <alignment horizontal="center" vertical="center" wrapText="1"/>
      <protection hidden="1"/>
    </xf>
    <xf numFmtId="0" fontId="63" fillId="0" borderId="52" xfId="0" applyFont="1" applyFill="1" applyBorder="1" applyAlignment="1" applyProtection="1">
      <alignment horizontal="center" vertical="center" wrapText="1"/>
      <protection hidden="1"/>
    </xf>
    <xf numFmtId="0" fontId="63" fillId="0" borderId="53" xfId="0" applyFont="1" applyFill="1" applyBorder="1" applyAlignment="1" applyProtection="1">
      <alignment horizontal="center" vertical="center" wrapText="1"/>
      <protection hidden="1"/>
    </xf>
    <xf numFmtId="0" fontId="63" fillId="0" borderId="54" xfId="0" applyFont="1" applyFill="1" applyBorder="1" applyAlignment="1" applyProtection="1">
      <alignment horizontal="center" vertical="center" wrapText="1"/>
      <protection hidden="1"/>
    </xf>
    <xf numFmtId="0" fontId="63" fillId="0" borderId="151" xfId="0"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63" fillId="0" borderId="152" xfId="0" applyFont="1" applyFill="1" applyBorder="1" applyAlignment="1" applyProtection="1">
      <alignment horizontal="center" vertical="center" wrapText="1"/>
      <protection hidden="1"/>
    </xf>
    <xf numFmtId="0" fontId="63" fillId="0" borderId="55" xfId="0" applyFont="1" applyFill="1" applyBorder="1" applyAlignment="1" applyProtection="1">
      <alignment horizontal="center" vertical="center" wrapText="1"/>
      <protection hidden="1"/>
    </xf>
    <xf numFmtId="0" fontId="63" fillId="0" borderId="56" xfId="0" applyFont="1" applyFill="1" applyBorder="1" applyAlignment="1" applyProtection="1">
      <alignment horizontal="center" vertical="center" wrapText="1"/>
      <protection hidden="1"/>
    </xf>
    <xf numFmtId="0" fontId="63" fillId="0" borderId="57" xfId="0" applyFont="1" applyFill="1" applyBorder="1" applyAlignment="1" applyProtection="1">
      <alignment horizontal="center" vertical="center" wrapText="1"/>
      <protection hidden="1"/>
    </xf>
    <xf numFmtId="2" fontId="38" fillId="0" borderId="148" xfId="0" applyNumberFormat="1" applyFont="1" applyFill="1" applyBorder="1" applyAlignment="1" applyProtection="1">
      <alignment horizontal="center" vertical="center" textRotation="90" wrapText="1"/>
      <protection hidden="1"/>
    </xf>
    <xf numFmtId="2" fontId="38" fillId="0" borderId="149" xfId="0" applyNumberFormat="1" applyFont="1" applyFill="1" applyBorder="1" applyAlignment="1" applyProtection="1">
      <alignment horizontal="center" vertical="center" textRotation="90" wrapText="1"/>
      <protection hidden="1"/>
    </xf>
    <xf numFmtId="0" fontId="31" fillId="0" borderId="155" xfId="0" applyFont="1" applyFill="1" applyBorder="1" applyAlignment="1" applyProtection="1">
      <alignment horizontal="center" wrapText="1"/>
      <protection hidden="1"/>
    </xf>
    <xf numFmtId="0" fontId="31" fillId="0" borderId="51" xfId="0" applyFont="1" applyFill="1" applyBorder="1" applyAlignment="1" applyProtection="1">
      <alignment horizontal="center" wrapText="1"/>
      <protection hidden="1"/>
    </xf>
    <xf numFmtId="0" fontId="24" fillId="19" borderId="58" xfId="0" applyFont="1" applyFill="1" applyBorder="1" applyAlignment="1" applyProtection="1">
      <alignment horizontal="center" vertical="center" wrapText="1"/>
      <protection hidden="1"/>
    </xf>
    <xf numFmtId="0" fontId="24" fillId="19" borderId="34" xfId="0" applyFont="1" applyFill="1" applyBorder="1" applyAlignment="1" applyProtection="1">
      <alignment horizontal="center" vertical="center" wrapText="1"/>
      <protection hidden="1"/>
    </xf>
    <xf numFmtId="0" fontId="273" fillId="0" borderId="52" xfId="0" applyFont="1" applyBorder="1" applyAlignment="1" applyProtection="1">
      <alignment horizontal="center" vertical="center" wrapText="1"/>
      <protection hidden="1"/>
    </xf>
    <xf numFmtId="0" fontId="273" fillId="0" borderId="53" xfId="0" applyFont="1" applyBorder="1" applyAlignment="1" applyProtection="1">
      <alignment horizontal="center" vertical="center" wrapText="1"/>
      <protection hidden="1"/>
    </xf>
    <xf numFmtId="0" fontId="273" fillId="0" borderId="54" xfId="0" applyFont="1" applyBorder="1" applyAlignment="1" applyProtection="1">
      <alignment horizontal="center" vertical="center" wrapText="1"/>
      <protection hidden="1"/>
    </xf>
    <xf numFmtId="0" fontId="273" fillId="0" borderId="151" xfId="0" applyFont="1" applyBorder="1" applyAlignment="1" applyProtection="1">
      <alignment horizontal="center" vertical="center" wrapText="1"/>
      <protection hidden="1"/>
    </xf>
    <xf numFmtId="0" fontId="273" fillId="0" borderId="0" xfId="0" applyFont="1" applyBorder="1" applyAlignment="1" applyProtection="1">
      <alignment horizontal="center" vertical="center" wrapText="1"/>
      <protection hidden="1"/>
    </xf>
    <xf numFmtId="0" fontId="273" fillId="0" borderId="152" xfId="0" applyFont="1" applyBorder="1" applyAlignment="1" applyProtection="1">
      <alignment horizontal="center" vertical="center" wrapText="1"/>
      <protection hidden="1"/>
    </xf>
    <xf numFmtId="0" fontId="273" fillId="0" borderId="55" xfId="0" applyFont="1" applyBorder="1" applyAlignment="1" applyProtection="1">
      <alignment horizontal="center" vertical="center" wrapText="1"/>
      <protection hidden="1"/>
    </xf>
    <xf numFmtId="0" fontId="273" fillId="0" borderId="56" xfId="0" applyFont="1" applyBorder="1" applyAlignment="1" applyProtection="1">
      <alignment horizontal="center" vertical="center" wrapText="1"/>
      <protection hidden="1"/>
    </xf>
    <xf numFmtId="0" fontId="273" fillId="0" borderId="57" xfId="0" applyFont="1" applyBorder="1" applyAlignment="1" applyProtection="1">
      <alignment horizontal="center" vertical="center" wrapText="1"/>
      <protection hidden="1"/>
    </xf>
    <xf numFmtId="0" fontId="273" fillId="0" borderId="51" xfId="0" applyFont="1" applyFill="1" applyBorder="1" applyAlignment="1" applyProtection="1">
      <alignment horizontal="center" vertical="center" textRotation="90" wrapText="1"/>
      <protection hidden="1"/>
    </xf>
    <xf numFmtId="0" fontId="273" fillId="0" borderId="51" xfId="0" applyFont="1" applyFill="1" applyBorder="1" applyAlignment="1" applyProtection="1">
      <alignment horizontal="center" vertical="center" wrapText="1"/>
      <protection hidden="1"/>
    </xf>
    <xf numFmtId="0" fontId="38" fillId="0" borderId="148" xfId="0" applyFont="1" applyFill="1" applyBorder="1" applyAlignment="1" applyProtection="1">
      <alignment horizontal="center" vertical="center" textRotation="90" wrapText="1"/>
      <protection hidden="1"/>
    </xf>
    <xf numFmtId="0" fontId="38" fillId="0" borderId="149" xfId="0" applyFont="1" applyFill="1" applyBorder="1" applyAlignment="1" applyProtection="1">
      <alignment horizontal="center" vertical="center" textRotation="90" wrapText="1"/>
      <protection hidden="1"/>
    </xf>
    <xf numFmtId="0" fontId="38" fillId="0" borderId="148" xfId="0" applyFont="1" applyFill="1" applyBorder="1" applyAlignment="1" applyProtection="1">
      <alignment horizontal="center" vertical="center" wrapText="1"/>
      <protection hidden="1"/>
    </xf>
    <xf numFmtId="0" fontId="38" fillId="0" borderId="149" xfId="0" applyFont="1" applyFill="1" applyBorder="1" applyAlignment="1" applyProtection="1">
      <alignment horizontal="center" vertical="center" wrapText="1"/>
      <protection hidden="1"/>
    </xf>
    <xf numFmtId="0" fontId="38" fillId="0" borderId="51" xfId="0" applyFont="1" applyFill="1" applyBorder="1" applyAlignment="1" applyProtection="1">
      <alignment horizontal="right" vertical="center" wrapText="1"/>
      <protection hidden="1"/>
    </xf>
    <xf numFmtId="0" fontId="20" fillId="0" borderId="165" xfId="0" applyFont="1" applyBorder="1" applyAlignment="1" applyProtection="1">
      <alignment horizontal="center" vertical="center" wrapText="1"/>
      <protection hidden="1"/>
    </xf>
    <xf numFmtId="0" fontId="20" fillId="0" borderId="152" xfId="0" applyFont="1" applyBorder="1" applyAlignment="1" applyProtection="1">
      <alignment horizontal="center" vertical="center" wrapText="1"/>
      <protection hidden="1"/>
    </xf>
    <xf numFmtId="0" fontId="20" fillId="0" borderId="57" xfId="0" applyFont="1" applyBorder="1" applyAlignment="1" applyProtection="1">
      <alignment horizontal="center" vertical="center" wrapText="1"/>
      <protection hidden="1"/>
    </xf>
    <xf numFmtId="0" fontId="330" fillId="0" borderId="155" xfId="0" applyFont="1" applyFill="1" applyBorder="1" applyAlignment="1" applyProtection="1">
      <alignment horizontal="right" vertical="center" wrapText="1"/>
      <protection hidden="1"/>
    </xf>
    <xf numFmtId="0" fontId="63" fillId="0" borderId="155" xfId="0" applyFont="1" applyFill="1" applyBorder="1" applyAlignment="1" applyProtection="1">
      <alignment horizontal="right" vertical="center" wrapText="1"/>
      <protection hidden="1"/>
    </xf>
    <xf numFmtId="0" fontId="79" fillId="0" borderId="0" xfId="0" applyFont="1" applyFill="1" applyBorder="1" applyAlignment="1" applyProtection="1">
      <alignment horizontal="center" vertical="center" wrapText="1"/>
      <protection hidden="1"/>
    </xf>
    <xf numFmtId="0" fontId="183" fillId="0" borderId="62" xfId="0" applyFont="1" applyFill="1" applyBorder="1" applyAlignment="1" applyProtection="1">
      <alignment horizontal="right" vertical="center" wrapText="1"/>
      <protection hidden="1"/>
    </xf>
    <xf numFmtId="0" fontId="183" fillId="0" borderId="63" xfId="0" applyFont="1" applyFill="1" applyBorder="1" applyAlignment="1" applyProtection="1">
      <alignment horizontal="right" vertical="center" wrapText="1"/>
      <protection hidden="1"/>
    </xf>
    <xf numFmtId="0" fontId="183" fillId="0" borderId="56" xfId="0" applyFont="1" applyFill="1" applyBorder="1" applyAlignment="1" applyProtection="1">
      <alignment horizontal="right" vertical="center" wrapText="1"/>
      <protection hidden="1"/>
    </xf>
    <xf numFmtId="0" fontId="183" fillId="0" borderId="57" xfId="0" applyFont="1" applyFill="1" applyBorder="1" applyAlignment="1" applyProtection="1">
      <alignment horizontal="right" vertical="center" wrapText="1"/>
      <protection hidden="1"/>
    </xf>
    <xf numFmtId="0" fontId="38" fillId="0" borderId="62" xfId="0" applyFont="1" applyFill="1" applyBorder="1" applyAlignment="1" applyProtection="1">
      <alignment horizontal="right" vertical="center" wrapText="1"/>
      <protection hidden="1"/>
    </xf>
    <xf numFmtId="0" fontId="111" fillId="0" borderId="62" xfId="0" applyFont="1" applyFill="1" applyBorder="1" applyAlignment="1" applyProtection="1">
      <alignment horizontal="center" vertical="center" wrapText="1"/>
      <protection hidden="1"/>
    </xf>
    <xf numFmtId="0" fontId="111" fillId="0" borderId="63" xfId="0" applyFont="1" applyFill="1" applyBorder="1" applyAlignment="1" applyProtection="1">
      <alignment horizontal="center" vertical="center" wrapText="1"/>
      <protection hidden="1"/>
    </xf>
    <xf numFmtId="0" fontId="111" fillId="0" borderId="64" xfId="0" applyFont="1" applyFill="1" applyBorder="1" applyAlignment="1" applyProtection="1">
      <alignment horizontal="center" vertical="center" wrapText="1"/>
      <protection hidden="1"/>
    </xf>
    <xf numFmtId="0" fontId="234" fillId="0" borderId="53" xfId="0" applyFont="1" applyBorder="1" applyAlignment="1" applyProtection="1">
      <alignment horizontal="left" vertical="center"/>
      <protection hidden="1"/>
    </xf>
    <xf numFmtId="0" fontId="234" fillId="0" borderId="0" xfId="0" applyFont="1" applyBorder="1" applyAlignment="1" applyProtection="1">
      <alignment horizontal="left" vertical="center"/>
      <protection hidden="1"/>
    </xf>
    <xf numFmtId="0" fontId="234" fillId="0" borderId="56" xfId="0" applyFont="1" applyBorder="1" applyAlignment="1" applyProtection="1">
      <alignment horizontal="left" vertical="center"/>
      <protection hidden="1"/>
    </xf>
    <xf numFmtId="0" fontId="234" fillId="0" borderId="53" xfId="0" applyFont="1" applyBorder="1" applyAlignment="1" applyProtection="1">
      <alignment horizontal="center" vertical="center"/>
      <protection hidden="1"/>
    </xf>
    <xf numFmtId="0" fontId="234" fillId="0" borderId="0" xfId="0" applyFont="1" applyBorder="1" applyAlignment="1" applyProtection="1">
      <alignment horizontal="center" vertical="center"/>
      <protection hidden="1"/>
    </xf>
    <xf numFmtId="0" fontId="234" fillId="0" borderId="56" xfId="0" applyFont="1" applyBorder="1" applyAlignment="1" applyProtection="1">
      <alignment horizontal="center" vertical="center"/>
      <protection hidden="1"/>
    </xf>
    <xf numFmtId="0" fontId="9" fillId="0" borderId="53"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56" xfId="0" applyFont="1" applyBorder="1" applyAlignment="1" applyProtection="1">
      <alignment horizontal="center" vertical="center"/>
      <protection hidden="1"/>
    </xf>
    <xf numFmtId="0" fontId="41" fillId="0" borderId="54" xfId="0" applyFont="1" applyBorder="1" applyAlignment="1" applyProtection="1">
      <alignment horizontal="left" vertical="center"/>
      <protection hidden="1"/>
    </xf>
    <xf numFmtId="0" fontId="41" fillId="0" borderId="152" xfId="0" applyFont="1" applyBorder="1" applyAlignment="1" applyProtection="1">
      <alignment horizontal="left" vertical="center"/>
      <protection hidden="1"/>
    </xf>
    <xf numFmtId="0" fontId="41" fillId="0" borderId="57" xfId="0" applyFont="1" applyBorder="1" applyAlignment="1" applyProtection="1">
      <alignment horizontal="left" vertical="center"/>
      <protection hidden="1"/>
    </xf>
    <xf numFmtId="0" fontId="329" fillId="0" borderId="0" xfId="0" applyFont="1" applyBorder="1" applyAlignment="1" applyProtection="1">
      <alignment horizontal="center" vertical="center"/>
      <protection hidden="1"/>
    </xf>
    <xf numFmtId="0" fontId="173" fillId="0" borderId="148" xfId="0" applyFont="1" applyBorder="1" applyAlignment="1" applyProtection="1">
      <alignment horizontal="center" vertical="center"/>
      <protection hidden="1"/>
    </xf>
    <xf numFmtId="0" fontId="12" fillId="0" borderId="51" xfId="0" applyFont="1" applyBorder="1" applyAlignment="1" applyProtection="1">
      <alignment horizontal="center" vertical="center"/>
      <protection hidden="1"/>
    </xf>
    <xf numFmtId="0" fontId="63" fillId="0" borderId="52" xfId="0" applyFont="1" applyBorder="1" applyAlignment="1" applyProtection="1">
      <alignment horizontal="right" vertical="center"/>
      <protection hidden="1"/>
    </xf>
    <xf numFmtId="0" fontId="63" fillId="0" borderId="53" xfId="0" applyFont="1" applyBorder="1" applyAlignment="1" applyProtection="1">
      <alignment horizontal="right" vertical="center"/>
      <protection hidden="1"/>
    </xf>
    <xf numFmtId="0" fontId="63" fillId="0" borderId="151" xfId="0" applyFont="1" applyBorder="1" applyAlignment="1" applyProtection="1">
      <alignment horizontal="right" vertical="center"/>
      <protection hidden="1"/>
    </xf>
    <xf numFmtId="0" fontId="63" fillId="0" borderId="0" xfId="0" applyFont="1" applyBorder="1" applyAlignment="1" applyProtection="1">
      <alignment horizontal="right" vertical="center"/>
      <protection hidden="1"/>
    </xf>
    <xf numFmtId="0" fontId="63" fillId="0" borderId="55" xfId="0" applyFont="1" applyBorder="1" applyAlignment="1" applyProtection="1">
      <alignment horizontal="right" vertical="center"/>
      <protection hidden="1"/>
    </xf>
    <xf numFmtId="0" fontId="63" fillId="0" borderId="56" xfId="0" applyFont="1" applyBorder="1" applyAlignment="1" applyProtection="1">
      <alignment horizontal="right" vertical="center"/>
      <protection hidden="1"/>
    </xf>
    <xf numFmtId="0" fontId="63" fillId="0" borderId="51" xfId="0" applyFont="1" applyFill="1" applyBorder="1" applyAlignment="1" applyProtection="1">
      <alignment horizontal="center" vertical="center" wrapText="1"/>
      <protection hidden="1"/>
    </xf>
    <xf numFmtId="0" fontId="261" fillId="0" borderId="148" xfId="0" applyFont="1" applyBorder="1" applyAlignment="1" applyProtection="1">
      <alignment horizontal="center" vertical="center" textRotation="90" wrapText="1"/>
      <protection hidden="1"/>
    </xf>
    <xf numFmtId="0" fontId="261" fillId="0" borderId="163" xfId="0" applyFont="1" applyBorder="1" applyAlignment="1" applyProtection="1">
      <alignment horizontal="center" vertical="center" textRotation="90" wrapText="1"/>
      <protection hidden="1"/>
    </xf>
    <xf numFmtId="0" fontId="261" fillId="0" borderId="149" xfId="0" applyFont="1" applyBorder="1" applyAlignment="1" applyProtection="1">
      <alignment horizontal="center" vertical="center" textRotation="90" wrapText="1"/>
      <protection hidden="1"/>
    </xf>
    <xf numFmtId="0" fontId="38" fillId="0" borderId="52" xfId="0" applyFont="1" applyFill="1" applyBorder="1" applyAlignment="1" applyProtection="1">
      <alignment horizontal="center" vertical="center" wrapText="1"/>
      <protection hidden="1"/>
    </xf>
    <xf numFmtId="0" fontId="38" fillId="0" borderId="53" xfId="0" applyFont="1" applyFill="1" applyBorder="1" applyAlignment="1" applyProtection="1">
      <alignment horizontal="center" vertical="center" wrapText="1"/>
      <protection hidden="1"/>
    </xf>
    <xf numFmtId="0" fontId="38" fillId="0" borderId="151" xfId="0" applyFont="1" applyFill="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0" fontId="38" fillId="0" borderId="55" xfId="0" applyFont="1" applyFill="1" applyBorder="1" applyAlignment="1" applyProtection="1">
      <alignment horizontal="center" vertical="center" wrapText="1"/>
      <protection hidden="1"/>
    </xf>
    <xf numFmtId="0" fontId="38" fillId="0" borderId="56" xfId="0" applyFont="1" applyFill="1" applyBorder="1" applyAlignment="1" applyProtection="1">
      <alignment horizontal="center" vertical="center" wrapText="1"/>
      <protection hidden="1"/>
    </xf>
    <xf numFmtId="0" fontId="183" fillId="0" borderId="0" xfId="0" applyFont="1" applyFill="1" applyBorder="1" applyAlignment="1" applyProtection="1">
      <alignment horizontal="center" vertical="center" wrapText="1"/>
      <protection hidden="1"/>
    </xf>
    <xf numFmtId="0" fontId="125" fillId="0" borderId="0" xfId="0" applyFont="1" applyFill="1" applyBorder="1" applyAlignment="1" applyProtection="1">
      <alignment horizontal="center" vertical="center" wrapText="1"/>
      <protection hidden="1"/>
    </xf>
    <xf numFmtId="0" fontId="63" fillId="0" borderId="0" xfId="0" applyFont="1" applyBorder="1" applyAlignment="1" applyProtection="1">
      <alignment horizontal="center" wrapText="1"/>
      <protection hidden="1"/>
    </xf>
    <xf numFmtId="0" fontId="63" fillId="0" borderId="0" xfId="0" applyFont="1" applyFill="1" applyBorder="1" applyAlignment="1" applyProtection="1">
      <alignment horizontal="center" wrapText="1"/>
      <protection hidden="1"/>
    </xf>
    <xf numFmtId="0" fontId="41" fillId="0" borderId="142" xfId="0" applyFont="1" applyFill="1" applyBorder="1" applyAlignment="1" applyProtection="1">
      <alignment horizontal="left" vertical="center" wrapText="1"/>
      <protection hidden="1"/>
    </xf>
    <xf numFmtId="0" fontId="332" fillId="0" borderId="142" xfId="0" applyFont="1" applyFill="1" applyBorder="1" applyAlignment="1" applyProtection="1">
      <alignment horizontal="right" vertical="center"/>
      <protection hidden="1"/>
    </xf>
    <xf numFmtId="0" fontId="41" fillId="0" borderId="141" xfId="0" applyFont="1" applyFill="1" applyBorder="1" applyAlignment="1" applyProtection="1">
      <alignment horizontal="left" vertical="center" wrapText="1"/>
      <protection hidden="1"/>
    </xf>
    <xf numFmtId="0" fontId="63" fillId="0" borderId="133" xfId="0" applyFont="1" applyBorder="1" applyAlignment="1" applyProtection="1">
      <alignment horizontal="center" vertical="center"/>
      <protection hidden="1"/>
    </xf>
    <xf numFmtId="0" fontId="63" fillId="0" borderId="19" xfId="0" applyFont="1" applyBorder="1" applyAlignment="1" applyProtection="1">
      <alignment horizontal="center" vertical="center"/>
      <protection hidden="1"/>
    </xf>
    <xf numFmtId="0" fontId="63" fillId="0" borderId="302" xfId="0" applyFont="1" applyBorder="1" applyAlignment="1" applyProtection="1">
      <alignment horizontal="center" vertical="center"/>
      <protection hidden="1"/>
    </xf>
    <xf numFmtId="0" fontId="63" fillId="0" borderId="303" xfId="0" applyFont="1" applyBorder="1" applyAlignment="1" applyProtection="1">
      <alignment horizontal="center" vertical="center"/>
      <protection hidden="1"/>
    </xf>
    <xf numFmtId="0" fontId="256" fillId="0" borderId="0" xfId="0" applyFont="1" applyAlignment="1" applyProtection="1">
      <alignment horizontal="center" vertical="center"/>
      <protection hidden="1"/>
    </xf>
    <xf numFmtId="0" fontId="331" fillId="0" borderId="0" xfId="0" applyFont="1" applyFill="1" applyBorder="1" applyAlignment="1" applyProtection="1">
      <alignment horizontal="center" vertical="center" wrapText="1"/>
      <protection hidden="1"/>
    </xf>
    <xf numFmtId="0" fontId="332" fillId="0" borderId="137" xfId="0" applyFont="1" applyBorder="1" applyAlignment="1" applyProtection="1">
      <alignment horizontal="center" vertical="center" wrapText="1"/>
      <protection hidden="1"/>
    </xf>
    <xf numFmtId="0" fontId="332" fillId="0" borderId="131" xfId="0" applyFont="1" applyBorder="1" applyAlignment="1" applyProtection="1">
      <alignment horizontal="center" vertical="center" wrapText="1"/>
      <protection hidden="1"/>
    </xf>
    <xf numFmtId="0" fontId="332" fillId="0" borderId="138" xfId="0" applyFont="1" applyBorder="1" applyAlignment="1" applyProtection="1">
      <alignment horizontal="center" vertical="center" wrapText="1"/>
      <protection hidden="1"/>
    </xf>
    <xf numFmtId="0" fontId="332" fillId="0" borderId="139" xfId="0" applyFont="1" applyBorder="1" applyAlignment="1" applyProtection="1">
      <alignment horizontal="center" vertical="center" wrapText="1"/>
      <protection hidden="1"/>
    </xf>
    <xf numFmtId="0" fontId="41" fillId="0" borderId="131" xfId="0" applyFont="1" applyBorder="1" applyAlignment="1" applyProtection="1">
      <alignment horizontal="left" vertical="center" wrapText="1"/>
      <protection hidden="1"/>
    </xf>
    <xf numFmtId="0" fontId="41" fillId="0" borderId="132" xfId="0" applyFont="1" applyBorder="1" applyAlignment="1" applyProtection="1">
      <alignment horizontal="left" vertical="center" wrapText="1"/>
      <protection hidden="1"/>
    </xf>
    <xf numFmtId="0" fontId="41" fillId="0" borderId="0" xfId="0" applyFont="1" applyBorder="1" applyAlignment="1" applyProtection="1">
      <alignment horizontal="left" vertical="center" wrapText="1"/>
      <protection hidden="1"/>
    </xf>
    <xf numFmtId="0" fontId="41" fillId="0" borderId="261" xfId="0" applyFont="1" applyBorder="1" applyAlignment="1" applyProtection="1">
      <alignment horizontal="left" vertical="center" wrapText="1"/>
      <protection hidden="1"/>
    </xf>
    <xf numFmtId="0" fontId="332" fillId="0" borderId="137" xfId="0" applyFont="1" applyBorder="1" applyAlignment="1" applyProtection="1">
      <alignment horizontal="right" vertical="center" wrapText="1"/>
      <protection hidden="1"/>
    </xf>
    <xf numFmtId="0" fontId="332" fillId="0" borderId="131" xfId="0" applyFont="1" applyBorder="1" applyAlignment="1" applyProtection="1">
      <alignment horizontal="right" vertical="center" wrapText="1"/>
      <protection hidden="1"/>
    </xf>
    <xf numFmtId="0" fontId="332" fillId="0" borderId="138" xfId="0" applyFont="1" applyBorder="1" applyAlignment="1" applyProtection="1">
      <alignment horizontal="right" vertical="center" wrapText="1"/>
      <protection hidden="1"/>
    </xf>
    <xf numFmtId="0" fontId="332" fillId="0" borderId="139" xfId="0" applyFont="1" applyBorder="1" applyAlignment="1" applyProtection="1">
      <alignment horizontal="right" vertical="center" wrapText="1"/>
      <protection hidden="1"/>
    </xf>
    <xf numFmtId="0" fontId="41" fillId="0" borderId="139" xfId="0" applyFont="1" applyBorder="1" applyAlignment="1" applyProtection="1">
      <alignment horizontal="left" vertical="center" wrapText="1"/>
      <protection hidden="1"/>
    </xf>
    <xf numFmtId="0" fontId="41" fillId="0" borderId="140" xfId="0" applyFont="1" applyBorder="1" applyAlignment="1" applyProtection="1">
      <alignment horizontal="left" vertical="center" wrapText="1"/>
      <protection hidden="1"/>
    </xf>
    <xf numFmtId="0" fontId="312" fillId="0" borderId="0" xfId="0" applyFont="1" applyFill="1" applyBorder="1" applyAlignment="1" applyProtection="1">
      <alignment horizontal="center" vertical="center" wrapText="1"/>
      <protection hidden="1"/>
    </xf>
    <xf numFmtId="0" fontId="9" fillId="0" borderId="135" xfId="0" applyFont="1" applyFill="1" applyBorder="1" applyAlignment="1" applyProtection="1">
      <alignment horizontal="center" vertical="center"/>
      <protection hidden="1"/>
    </xf>
    <xf numFmtId="0" fontId="9" fillId="0" borderId="142" xfId="0" applyFont="1" applyFill="1" applyBorder="1" applyAlignment="1" applyProtection="1">
      <alignment horizontal="center" vertical="center"/>
      <protection hidden="1"/>
    </xf>
    <xf numFmtId="0" fontId="9" fillId="0" borderId="136" xfId="0" applyFont="1" applyBorder="1" applyAlignment="1" applyProtection="1">
      <alignment horizontal="center" vertical="center" wrapText="1"/>
      <protection hidden="1"/>
    </xf>
    <xf numFmtId="0" fontId="63" fillId="0" borderId="264" xfId="0" applyFont="1" applyBorder="1" applyAlignment="1" applyProtection="1">
      <alignment horizontal="center" vertical="center"/>
      <protection hidden="1"/>
    </xf>
    <xf numFmtId="0" fontId="63" fillId="0" borderId="265" xfId="0" applyFont="1" applyBorder="1" applyAlignment="1" applyProtection="1">
      <alignment horizontal="center" vertical="center"/>
      <protection hidden="1"/>
    </xf>
    <xf numFmtId="0" fontId="98" fillId="0" borderId="0" xfId="0" applyFont="1" applyBorder="1" applyAlignment="1" applyProtection="1">
      <alignment horizontal="center" vertical="center"/>
      <protection hidden="1"/>
    </xf>
    <xf numFmtId="0" fontId="336" fillId="0" borderId="0" xfId="0" applyFont="1" applyBorder="1" applyAlignment="1" applyProtection="1">
      <alignment horizontal="center" vertical="center"/>
      <protection hidden="1"/>
    </xf>
    <xf numFmtId="0" fontId="38" fillId="0" borderId="143" xfId="0" applyFont="1" applyFill="1" applyBorder="1" applyAlignment="1" applyProtection="1">
      <alignment horizontal="center" vertical="center" textRotation="90" wrapText="1"/>
      <protection hidden="1"/>
    </xf>
    <xf numFmtId="0" fontId="109" fillId="0" borderId="28" xfId="0" applyFont="1" applyFill="1" applyBorder="1" applyAlignment="1" applyProtection="1">
      <alignment horizontal="center" vertical="center" wrapText="1"/>
      <protection hidden="1"/>
    </xf>
    <xf numFmtId="0" fontId="109" fillId="0" borderId="29" xfId="0" applyFont="1" applyFill="1" applyBorder="1" applyAlignment="1" applyProtection="1">
      <alignment horizontal="center" vertical="center" wrapText="1"/>
      <protection hidden="1"/>
    </xf>
    <xf numFmtId="0" fontId="109" fillId="0" borderId="30" xfId="0" applyFont="1" applyFill="1" applyBorder="1" applyAlignment="1" applyProtection="1">
      <alignment horizontal="center" vertical="center" wrapText="1"/>
      <protection hidden="1"/>
    </xf>
    <xf numFmtId="0" fontId="109" fillId="0" borderId="31" xfId="0" applyFont="1" applyFill="1" applyBorder="1" applyAlignment="1" applyProtection="1">
      <alignment horizontal="center" vertical="center" wrapText="1"/>
      <protection hidden="1"/>
    </xf>
    <xf numFmtId="0" fontId="109" fillId="0" borderId="32" xfId="0" applyFont="1" applyFill="1" applyBorder="1" applyAlignment="1" applyProtection="1">
      <alignment horizontal="center" vertical="center" wrapText="1"/>
      <protection hidden="1"/>
    </xf>
    <xf numFmtId="0" fontId="109" fillId="0" borderId="33" xfId="0" applyFont="1" applyFill="1" applyBorder="1" applyAlignment="1" applyProtection="1">
      <alignment horizontal="center" vertical="center" wrapText="1"/>
      <protection hidden="1"/>
    </xf>
    <xf numFmtId="0" fontId="38" fillId="0" borderId="150" xfId="0" applyFont="1" applyBorder="1" applyAlignment="1" applyProtection="1">
      <alignment horizontal="left" vertical="center"/>
      <protection hidden="1"/>
    </xf>
    <xf numFmtId="0" fontId="38" fillId="0" borderId="120" xfId="0" applyFont="1" applyBorder="1" applyAlignment="1" applyProtection="1">
      <alignment horizontal="left" vertical="center"/>
      <protection hidden="1"/>
    </xf>
    <xf numFmtId="0" fontId="38" fillId="0" borderId="168" xfId="0" applyFont="1" applyFill="1" applyBorder="1" applyAlignment="1" applyProtection="1">
      <alignment horizontal="center" vertical="center" wrapText="1"/>
      <protection hidden="1"/>
    </xf>
    <xf numFmtId="0" fontId="38" fillId="0" borderId="143" xfId="0" applyFont="1" applyFill="1" applyBorder="1" applyAlignment="1" applyProtection="1">
      <alignment horizontal="center" vertical="center" wrapText="1"/>
      <protection hidden="1"/>
    </xf>
    <xf numFmtId="0" fontId="38" fillId="0" borderId="168" xfId="0" applyFont="1" applyFill="1" applyBorder="1" applyAlignment="1" applyProtection="1">
      <alignment horizontal="center" vertical="center" textRotation="90" wrapText="1"/>
      <protection hidden="1"/>
    </xf>
    <xf numFmtId="0" fontId="63" fillId="0" borderId="119" xfId="0" applyFont="1" applyBorder="1" applyAlignment="1" applyProtection="1">
      <alignment horizontal="right" vertical="center" wrapText="1"/>
      <protection hidden="1"/>
    </xf>
    <xf numFmtId="0" fontId="63" fillId="0" borderId="150" xfId="0" applyFont="1" applyBorder="1" applyAlignment="1" applyProtection="1">
      <alignment horizontal="right" vertical="center" wrapText="1"/>
      <protection hidden="1"/>
    </xf>
    <xf numFmtId="0" fontId="38" fillId="19" borderId="40" xfId="0" applyFont="1" applyFill="1" applyBorder="1" applyAlignment="1" applyProtection="1">
      <alignment horizontal="center" vertical="center" wrapText="1"/>
      <protection hidden="1"/>
    </xf>
    <xf numFmtId="0" fontId="38" fillId="19" borderId="0" xfId="0" applyFont="1" applyFill="1" applyBorder="1" applyAlignment="1" applyProtection="1">
      <alignment horizontal="center" vertical="center" wrapText="1"/>
      <protection hidden="1"/>
    </xf>
    <xf numFmtId="0" fontId="38" fillId="19" borderId="41" xfId="0" applyFont="1" applyFill="1" applyBorder="1" applyAlignment="1" applyProtection="1">
      <alignment horizontal="center" vertical="center" wrapText="1"/>
      <protection hidden="1"/>
    </xf>
    <xf numFmtId="0" fontId="260" fillId="0" borderId="167" xfId="0" applyFont="1" applyFill="1" applyBorder="1" applyAlignment="1" applyProtection="1">
      <alignment horizontal="right" vertical="center" wrapText="1"/>
      <protection hidden="1"/>
    </xf>
    <xf numFmtId="0" fontId="260" fillId="0" borderId="168" xfId="0" applyFont="1" applyFill="1" applyBorder="1" applyAlignment="1" applyProtection="1">
      <alignment horizontal="right" vertical="center" wrapText="1"/>
      <protection hidden="1"/>
    </xf>
    <xf numFmtId="0" fontId="259" fillId="0" borderId="167" xfId="0" applyFont="1" applyFill="1" applyBorder="1" applyAlignment="1" applyProtection="1">
      <alignment horizontal="center" wrapText="1"/>
      <protection hidden="1"/>
    </xf>
    <xf numFmtId="0" fontId="259" fillId="0" borderId="168" xfId="0" applyFont="1" applyFill="1" applyBorder="1" applyAlignment="1" applyProtection="1">
      <alignment horizontal="center" wrapText="1"/>
      <protection hidden="1"/>
    </xf>
    <xf numFmtId="0" fontId="338" fillId="0" borderId="324" xfId="0" applyFont="1" applyFill="1" applyBorder="1" applyAlignment="1" applyProtection="1">
      <alignment horizontal="center" wrapText="1"/>
      <protection hidden="1"/>
    </xf>
    <xf numFmtId="0" fontId="338" fillId="0" borderId="325" xfId="0" applyFont="1" applyFill="1" applyBorder="1" applyAlignment="1" applyProtection="1">
      <alignment horizontal="center" wrapText="1"/>
      <protection hidden="1"/>
    </xf>
    <xf numFmtId="0" fontId="338" fillId="0" borderId="326" xfId="0" applyFont="1" applyFill="1" applyBorder="1" applyAlignment="1" applyProtection="1">
      <alignment horizontal="center" wrapText="1"/>
      <protection hidden="1"/>
    </xf>
    <xf numFmtId="0" fontId="338" fillId="0" borderId="327" xfId="0" applyFont="1" applyFill="1" applyBorder="1" applyAlignment="1" applyProtection="1">
      <alignment horizontal="center" wrapText="1"/>
      <protection hidden="1"/>
    </xf>
    <xf numFmtId="0" fontId="338" fillId="0" borderId="328" xfId="0" applyFont="1" applyFill="1" applyBorder="1" applyAlignment="1" applyProtection="1">
      <alignment horizontal="center" wrapText="1"/>
      <protection hidden="1"/>
    </xf>
    <xf numFmtId="0" fontId="338" fillId="0" borderId="164" xfId="0" applyFont="1" applyFill="1" applyBorder="1" applyAlignment="1" applyProtection="1">
      <alignment horizontal="center" wrapText="1"/>
      <protection hidden="1"/>
    </xf>
    <xf numFmtId="0" fontId="37" fillId="0" borderId="43" xfId="0" applyFont="1" applyFill="1" applyBorder="1" applyAlignment="1" applyProtection="1">
      <alignment horizontal="center" vertical="center"/>
      <protection hidden="1"/>
    </xf>
    <xf numFmtId="0" fontId="37" fillId="0" borderId="44" xfId="0" applyFont="1" applyFill="1" applyBorder="1" applyAlignment="1" applyProtection="1">
      <alignment horizontal="center" vertical="center"/>
      <protection hidden="1"/>
    </xf>
    <xf numFmtId="0" fontId="236" fillId="0" borderId="167" xfId="0" applyFont="1" applyFill="1" applyBorder="1" applyAlignment="1" applyProtection="1">
      <alignment horizontal="right" vertical="center" wrapText="1"/>
      <protection hidden="1"/>
    </xf>
    <xf numFmtId="0" fontId="236" fillId="0" borderId="168" xfId="0" applyFont="1" applyFill="1" applyBorder="1" applyAlignment="1" applyProtection="1">
      <alignment horizontal="right" vertical="center" wrapText="1"/>
      <protection hidden="1"/>
    </xf>
    <xf numFmtId="0" fontId="31" fillId="0" borderId="167" xfId="0" applyFont="1" applyBorder="1" applyAlignment="1" applyProtection="1">
      <alignment horizontal="center" vertical="center" wrapText="1"/>
      <protection hidden="1"/>
    </xf>
    <xf numFmtId="0" fontId="31" fillId="0" borderId="168" xfId="0" applyFont="1" applyBorder="1" applyAlignment="1" applyProtection="1">
      <alignment horizontal="center" vertical="center" wrapText="1"/>
      <protection hidden="1"/>
    </xf>
    <xf numFmtId="0" fontId="261" fillId="0" borderId="324" xfId="0" applyFont="1" applyBorder="1" applyAlignment="1" applyProtection="1">
      <alignment horizontal="center"/>
      <protection hidden="1"/>
    </xf>
    <xf numFmtId="0" fontId="261" fillId="0" borderId="325" xfId="0" applyFont="1" applyBorder="1" applyAlignment="1" applyProtection="1">
      <alignment horizontal="center"/>
      <protection hidden="1"/>
    </xf>
    <xf numFmtId="0" fontId="261" fillId="0" borderId="326" xfId="0" applyFont="1" applyBorder="1" applyAlignment="1" applyProtection="1">
      <alignment horizontal="center"/>
      <protection hidden="1"/>
    </xf>
    <xf numFmtId="0" fontId="261" fillId="0" borderId="327" xfId="0" applyFont="1" applyBorder="1" applyAlignment="1" applyProtection="1">
      <alignment horizontal="center"/>
      <protection hidden="1"/>
    </xf>
    <xf numFmtId="0" fontId="261" fillId="0" borderId="328" xfId="0" applyFont="1" applyBorder="1" applyAlignment="1" applyProtection="1">
      <alignment horizontal="center"/>
      <protection hidden="1"/>
    </xf>
    <xf numFmtId="0" fontId="261" fillId="0" borderId="164" xfId="0" applyFont="1" applyBorder="1" applyAlignment="1" applyProtection="1">
      <alignment horizontal="center"/>
      <protection hidden="1"/>
    </xf>
    <xf numFmtId="0" fontId="338" fillId="0" borderId="38" xfId="0" applyFont="1" applyFill="1" applyBorder="1" applyAlignment="1" applyProtection="1">
      <alignment horizontal="center" wrapText="1"/>
      <protection hidden="1"/>
    </xf>
    <xf numFmtId="0" fontId="338" fillId="0" borderId="39" xfId="0" applyFont="1" applyFill="1" applyBorder="1" applyAlignment="1" applyProtection="1">
      <alignment horizontal="center" wrapText="1"/>
      <protection hidden="1"/>
    </xf>
    <xf numFmtId="0" fontId="338" fillId="0" borderId="45" xfId="0" applyFont="1" applyFill="1" applyBorder="1" applyAlignment="1" applyProtection="1">
      <alignment horizontal="center" wrapText="1"/>
      <protection hidden="1"/>
    </xf>
    <xf numFmtId="0" fontId="338" fillId="0" borderId="46" xfId="0" applyFont="1" applyFill="1" applyBorder="1" applyAlignment="1" applyProtection="1">
      <alignment horizontal="center" wrapText="1"/>
      <protection hidden="1"/>
    </xf>
    <xf numFmtId="0" fontId="261" fillId="0" borderId="143" xfId="0" applyFont="1" applyBorder="1" applyAlignment="1" applyProtection="1">
      <alignment horizontal="center"/>
      <protection hidden="1"/>
    </xf>
    <xf numFmtId="0" fontId="261" fillId="0" borderId="145" xfId="0" applyFont="1" applyBorder="1" applyAlignment="1" applyProtection="1">
      <alignment horizontal="center"/>
      <protection hidden="1"/>
    </xf>
    <xf numFmtId="0" fontId="261" fillId="0" borderId="38" xfId="0" applyFont="1" applyBorder="1" applyAlignment="1" applyProtection="1">
      <alignment horizontal="center"/>
      <protection hidden="1"/>
    </xf>
    <xf numFmtId="0" fontId="261" fillId="0" borderId="39" xfId="0" applyFont="1" applyBorder="1" applyAlignment="1" applyProtection="1">
      <alignment horizontal="center"/>
      <protection hidden="1"/>
    </xf>
    <xf numFmtId="0" fontId="261" fillId="0" borderId="146" xfId="0" applyFont="1" applyBorder="1" applyAlignment="1" applyProtection="1">
      <alignment horizontal="center"/>
      <protection hidden="1"/>
    </xf>
    <xf numFmtId="0" fontId="261" fillId="0" borderId="0" xfId="0" applyFont="1" applyBorder="1" applyAlignment="1" applyProtection="1">
      <alignment horizontal="center"/>
      <protection hidden="1"/>
    </xf>
    <xf numFmtId="0" fontId="261" fillId="0" borderId="41" xfId="0" applyFont="1" applyBorder="1" applyAlignment="1" applyProtection="1">
      <alignment horizontal="center"/>
      <protection hidden="1"/>
    </xf>
    <xf numFmtId="0" fontId="261" fillId="0" borderId="147" xfId="0" applyFont="1" applyBorder="1" applyAlignment="1" applyProtection="1">
      <alignment horizontal="center"/>
      <protection hidden="1"/>
    </xf>
    <xf numFmtId="0" fontId="261" fillId="0" borderId="49" xfId="0" applyFont="1" applyBorder="1" applyAlignment="1" applyProtection="1">
      <alignment horizontal="center"/>
      <protection hidden="1"/>
    </xf>
    <xf numFmtId="0" fontId="261" fillId="0" borderId="144" xfId="0" applyFont="1" applyBorder="1" applyAlignment="1" applyProtection="1">
      <alignment horizontal="center"/>
      <protection hidden="1"/>
    </xf>
    <xf numFmtId="0" fontId="337" fillId="0" borderId="167" xfId="0" applyFont="1" applyFill="1" applyBorder="1" applyAlignment="1" applyProtection="1">
      <alignment horizontal="right" vertical="center" wrapText="1"/>
      <protection hidden="1"/>
    </xf>
    <xf numFmtId="0" fontId="337" fillId="0" borderId="168" xfId="0" applyFont="1" applyFill="1" applyBorder="1" applyAlignment="1" applyProtection="1">
      <alignment horizontal="right" vertical="center" wrapText="1"/>
      <protection hidden="1"/>
    </xf>
    <xf numFmtId="1" fontId="31" fillId="0" borderId="167" xfId="0" applyNumberFormat="1" applyFont="1" applyBorder="1" applyAlignment="1" applyProtection="1">
      <alignment horizontal="center" vertical="center" wrapText="1"/>
      <protection hidden="1"/>
    </xf>
    <xf numFmtId="1" fontId="31" fillId="0" borderId="168" xfId="0" applyNumberFormat="1" applyFont="1" applyBorder="1" applyAlignment="1" applyProtection="1">
      <alignment horizontal="center" vertical="center" wrapText="1"/>
      <protection hidden="1"/>
    </xf>
    <xf numFmtId="0" fontId="38" fillId="0" borderId="329" xfId="0" applyFont="1" applyFill="1" applyBorder="1" applyAlignment="1" applyProtection="1">
      <alignment horizontal="center" vertical="center" textRotation="90" wrapText="1"/>
      <protection hidden="1"/>
    </xf>
    <xf numFmtId="0" fontId="38" fillId="0" borderId="181" xfId="0" applyFont="1" applyFill="1" applyBorder="1" applyAlignment="1" applyProtection="1">
      <alignment horizontal="center" vertical="center" textRotation="90" wrapText="1"/>
      <protection hidden="1"/>
    </xf>
    <xf numFmtId="0" fontId="236" fillId="0" borderId="143" xfId="0" applyFont="1" applyFill="1" applyBorder="1" applyAlignment="1" applyProtection="1">
      <alignment horizontal="right" vertical="center" wrapText="1"/>
      <protection hidden="1"/>
    </xf>
    <xf numFmtId="167" fontId="31" fillId="0" borderId="143" xfId="0" applyNumberFormat="1" applyFont="1" applyBorder="1" applyAlignment="1" applyProtection="1">
      <alignment horizontal="center" vertical="center" wrapText="1"/>
      <protection hidden="1"/>
    </xf>
    <xf numFmtId="0" fontId="338" fillId="0" borderId="143" xfId="0" applyFont="1" applyFill="1" applyBorder="1" applyAlignment="1" applyProtection="1">
      <alignment horizontal="center" wrapText="1"/>
      <protection hidden="1"/>
    </xf>
    <xf numFmtId="0" fontId="31" fillId="0" borderId="143" xfId="0" applyFont="1" applyBorder="1" applyAlignment="1" applyProtection="1">
      <alignment horizontal="center" vertical="center" wrapText="1"/>
      <protection hidden="1"/>
    </xf>
    <xf numFmtId="1" fontId="31" fillId="0" borderId="167" xfId="0" applyNumberFormat="1" applyFont="1" applyBorder="1" applyAlignment="1" applyProtection="1">
      <alignment horizontal="center" vertical="center"/>
      <protection hidden="1"/>
    </xf>
    <xf numFmtId="1" fontId="31" fillId="0" borderId="168" xfId="0" applyNumberFormat="1" applyFont="1" applyBorder="1" applyAlignment="1" applyProtection="1">
      <alignment horizontal="center" vertical="center"/>
      <protection hidden="1"/>
    </xf>
    <xf numFmtId="0" fontId="24" fillId="19" borderId="40" xfId="0" applyFont="1" applyFill="1" applyBorder="1" applyAlignment="1" applyProtection="1">
      <alignment horizontal="center" vertical="center" wrapText="1"/>
      <protection hidden="1"/>
    </xf>
    <xf numFmtId="0" fontId="24" fillId="19" borderId="0" xfId="0" applyFont="1" applyFill="1" applyBorder="1" applyAlignment="1" applyProtection="1">
      <alignment horizontal="center" vertical="center" wrapText="1"/>
      <protection hidden="1"/>
    </xf>
    <xf numFmtId="0" fontId="24" fillId="19" borderId="41" xfId="0" applyFont="1" applyFill="1" applyBorder="1" applyAlignment="1" applyProtection="1">
      <alignment horizontal="center" vertical="center" wrapText="1"/>
      <protection hidden="1"/>
    </xf>
    <xf numFmtId="0" fontId="182" fillId="0" borderId="55" xfId="0" applyFont="1" applyFill="1" applyBorder="1" applyAlignment="1" applyProtection="1">
      <alignment horizontal="right" vertical="center" wrapText="1"/>
      <protection hidden="1"/>
    </xf>
    <xf numFmtId="0" fontId="182" fillId="0" borderId="56" xfId="0" applyFont="1" applyFill="1" applyBorder="1" applyAlignment="1" applyProtection="1">
      <alignment horizontal="right" vertical="center" wrapText="1"/>
      <protection hidden="1"/>
    </xf>
    <xf numFmtId="0" fontId="38" fillId="0" borderId="275" xfId="0" applyFont="1" applyFill="1" applyBorder="1" applyAlignment="1" applyProtection="1">
      <alignment horizontal="center" wrapText="1"/>
      <protection hidden="1"/>
    </xf>
    <xf numFmtId="0" fontId="38" fillId="0" borderId="169" xfId="0" applyFont="1" applyFill="1" applyBorder="1" applyAlignment="1" applyProtection="1">
      <alignment horizontal="center" wrapText="1"/>
      <protection hidden="1"/>
    </xf>
    <xf numFmtId="0" fontId="182" fillId="0" borderId="56" xfId="0" applyFont="1" applyFill="1" applyBorder="1" applyAlignment="1" applyProtection="1">
      <alignment horizontal="center" vertical="center" wrapText="1"/>
      <protection hidden="1"/>
    </xf>
    <xf numFmtId="0" fontId="182" fillId="0" borderId="57" xfId="0" applyFont="1" applyFill="1" applyBorder="1" applyAlignment="1" applyProtection="1">
      <alignment horizontal="center" vertical="center" wrapText="1"/>
      <protection hidden="1"/>
    </xf>
    <xf numFmtId="0" fontId="106" fillId="0" borderId="62" xfId="0" applyFont="1" applyFill="1" applyBorder="1" applyAlignment="1" applyProtection="1">
      <alignment horizontal="right" vertical="center" wrapText="1"/>
      <protection hidden="1"/>
    </xf>
    <xf numFmtId="0" fontId="106" fillId="0" borderId="63" xfId="0" applyFont="1" applyFill="1" applyBorder="1" applyAlignment="1" applyProtection="1">
      <alignment horizontal="right" vertical="center" wrapText="1"/>
      <protection hidden="1"/>
    </xf>
    <xf numFmtId="0" fontId="106" fillId="0" borderId="64" xfId="0" applyFont="1" applyFill="1" applyBorder="1" applyAlignment="1" applyProtection="1">
      <alignment horizontal="right" vertical="center" wrapText="1"/>
      <protection hidden="1"/>
    </xf>
    <xf numFmtId="0" fontId="38" fillId="0" borderId="63" xfId="0" applyFont="1" applyFill="1" applyBorder="1" applyAlignment="1" applyProtection="1">
      <alignment horizontal="right" vertical="center" wrapText="1"/>
      <protection hidden="1"/>
    </xf>
    <xf numFmtId="0" fontId="38" fillId="0" borderId="64" xfId="0" applyFont="1" applyFill="1" applyBorder="1" applyAlignment="1" applyProtection="1">
      <alignment horizontal="right" vertical="center" wrapText="1"/>
      <protection hidden="1"/>
    </xf>
    <xf numFmtId="0" fontId="273" fillId="0" borderId="155" xfId="0" applyFont="1" applyFill="1" applyBorder="1" applyAlignment="1" applyProtection="1">
      <alignment horizontal="center" vertical="center" wrapText="1"/>
      <protection hidden="1"/>
    </xf>
    <xf numFmtId="0" fontId="38" fillId="0" borderId="207" xfId="0" applyFont="1" applyFill="1" applyBorder="1" applyAlignment="1" applyProtection="1">
      <alignment horizontal="center" wrapText="1"/>
      <protection hidden="1"/>
    </xf>
    <xf numFmtId="0" fontId="38" fillId="0" borderId="208" xfId="0" applyFont="1" applyFill="1" applyBorder="1" applyAlignment="1" applyProtection="1">
      <alignment horizontal="center" wrapText="1"/>
      <protection hidden="1"/>
    </xf>
    <xf numFmtId="0" fontId="38" fillId="0" borderId="209" xfId="0" applyFont="1" applyFill="1" applyBorder="1" applyAlignment="1" applyProtection="1">
      <alignment horizontal="center" wrapText="1"/>
      <protection hidden="1"/>
    </xf>
    <xf numFmtId="0" fontId="38" fillId="0" borderId="51" xfId="0" applyFont="1" applyBorder="1" applyAlignment="1" applyProtection="1">
      <alignment horizontal="center" vertical="center"/>
      <protection hidden="1"/>
    </xf>
    <xf numFmtId="0" fontId="129" fillId="0" borderId="149" xfId="0" applyFont="1" applyFill="1" applyBorder="1" applyAlignment="1" applyProtection="1">
      <alignment horizontal="center" vertical="center" wrapText="1"/>
      <protection hidden="1"/>
    </xf>
    <xf numFmtId="0" fontId="339" fillId="19" borderId="271" xfId="0" applyFont="1" applyFill="1" applyBorder="1" applyAlignment="1" applyProtection="1">
      <alignment horizontal="center" vertical="center" wrapText="1"/>
      <protection hidden="1"/>
    </xf>
    <xf numFmtId="0" fontId="339" fillId="19" borderId="272" xfId="0" applyFont="1" applyFill="1" applyBorder="1" applyAlignment="1" applyProtection="1">
      <alignment horizontal="center" vertical="center" wrapText="1"/>
      <protection hidden="1"/>
    </xf>
    <xf numFmtId="0" fontId="339" fillId="19" borderId="273" xfId="0" applyFont="1" applyFill="1" applyBorder="1" applyAlignment="1" applyProtection="1">
      <alignment horizontal="center" vertical="center" wrapText="1"/>
      <protection hidden="1"/>
    </xf>
    <xf numFmtId="0" fontId="319" fillId="19" borderId="271" xfId="0" applyFont="1" applyFill="1" applyBorder="1" applyAlignment="1" applyProtection="1">
      <alignment horizontal="center" vertical="center" wrapText="1"/>
      <protection hidden="1"/>
    </xf>
    <xf numFmtId="0" fontId="319" fillId="19" borderId="272" xfId="0" applyFont="1" applyFill="1" applyBorder="1" applyAlignment="1" applyProtection="1">
      <alignment horizontal="center" vertical="center" wrapText="1"/>
      <protection hidden="1"/>
    </xf>
    <xf numFmtId="0" fontId="319" fillId="19" borderId="273" xfId="0" applyFont="1" applyFill="1" applyBorder="1" applyAlignment="1" applyProtection="1">
      <alignment horizontal="center" vertical="center" wrapText="1"/>
      <protection hidden="1"/>
    </xf>
    <xf numFmtId="0" fontId="173" fillId="0" borderId="0" xfId="0" applyFont="1" applyBorder="1" applyAlignment="1" applyProtection="1">
      <alignment horizontal="center" vertical="center"/>
      <protection hidden="1"/>
    </xf>
    <xf numFmtId="0" fontId="9" fillId="0" borderId="53" xfId="0" applyFont="1" applyFill="1" applyBorder="1" applyAlignment="1" applyProtection="1">
      <alignment horizontal="right" vertical="center" wrapText="1"/>
      <protection hidden="1"/>
    </xf>
    <xf numFmtId="0" fontId="9" fillId="0" borderId="56" xfId="0" applyFont="1" applyFill="1" applyBorder="1" applyAlignment="1" applyProtection="1">
      <alignment horizontal="right" vertical="center" wrapText="1"/>
      <protection hidden="1"/>
    </xf>
    <xf numFmtId="0" fontId="9" fillId="0" borderId="53" xfId="0" applyFont="1" applyBorder="1" applyAlignment="1" applyProtection="1">
      <alignment horizontal="left" vertical="center"/>
      <protection hidden="1"/>
    </xf>
    <xf numFmtId="0" fontId="9" fillId="0" borderId="54" xfId="0" applyFont="1" applyBorder="1" applyAlignment="1" applyProtection="1">
      <alignment horizontal="left" vertical="center"/>
      <protection hidden="1"/>
    </xf>
    <xf numFmtId="0" fontId="9" fillId="0" borderId="56" xfId="0" applyFont="1" applyBorder="1" applyAlignment="1" applyProtection="1">
      <alignment horizontal="left" vertical="center"/>
      <protection hidden="1"/>
    </xf>
    <xf numFmtId="0" fontId="9" fillId="0" borderId="57" xfId="0" applyFont="1" applyBorder="1" applyAlignment="1" applyProtection="1">
      <alignment horizontal="left" vertical="center"/>
      <protection hidden="1"/>
    </xf>
    <xf numFmtId="0" fontId="63" fillId="0" borderId="148" xfId="0" applyFont="1" applyFill="1" applyBorder="1" applyAlignment="1" applyProtection="1">
      <alignment horizontal="center" vertical="center" wrapText="1"/>
      <protection hidden="1"/>
    </xf>
    <xf numFmtId="0" fontId="63" fillId="0" borderId="163" xfId="0" applyFont="1" applyFill="1" applyBorder="1" applyAlignment="1" applyProtection="1">
      <alignment horizontal="center" vertical="center" wrapText="1"/>
      <protection hidden="1"/>
    </xf>
    <xf numFmtId="2" fontId="63" fillId="0" borderId="148" xfId="0" applyNumberFormat="1" applyFont="1" applyFill="1" applyBorder="1" applyAlignment="1" applyProtection="1">
      <alignment horizontal="center" vertical="center" wrapText="1"/>
      <protection hidden="1"/>
    </xf>
    <xf numFmtId="2" fontId="63" fillId="0" borderId="163" xfId="0" applyNumberFormat="1" applyFont="1" applyFill="1" applyBorder="1" applyAlignment="1" applyProtection="1">
      <alignment horizontal="center" vertical="center" wrapText="1"/>
      <protection hidden="1"/>
    </xf>
    <xf numFmtId="2" fontId="63" fillId="0" borderId="149" xfId="0" applyNumberFormat="1" applyFont="1" applyFill="1" applyBorder="1" applyAlignment="1" applyProtection="1">
      <alignment horizontal="center" vertical="center" wrapText="1"/>
      <protection hidden="1"/>
    </xf>
    <xf numFmtId="0" fontId="231" fillId="0" borderId="290" xfId="0" applyFont="1" applyFill="1" applyBorder="1" applyAlignment="1" applyProtection="1">
      <alignment horizontal="center" vertical="center" wrapText="1"/>
      <protection hidden="1"/>
    </xf>
    <xf numFmtId="0" fontId="231" fillId="0" borderId="291" xfId="0" applyFont="1" applyFill="1" applyBorder="1" applyAlignment="1" applyProtection="1">
      <alignment horizontal="center" vertical="center" wrapText="1"/>
      <protection hidden="1"/>
    </xf>
    <xf numFmtId="0" fontId="231" fillId="0" borderId="292" xfId="0" applyFont="1" applyFill="1" applyBorder="1" applyAlignment="1" applyProtection="1">
      <alignment horizontal="center" vertical="center" wrapText="1"/>
      <protection hidden="1"/>
    </xf>
    <xf numFmtId="170" fontId="307" fillId="0" borderId="0" xfId="0" applyNumberFormat="1" applyFont="1" applyBorder="1" applyAlignment="1" applyProtection="1">
      <alignment horizontal="left" vertical="center"/>
      <protection hidden="1"/>
    </xf>
    <xf numFmtId="2" fontId="38" fillId="0" borderId="177" xfId="0" applyNumberFormat="1" applyFont="1" applyFill="1" applyBorder="1" applyAlignment="1" applyProtection="1">
      <alignment horizontal="center" vertical="center" wrapText="1"/>
      <protection hidden="1"/>
    </xf>
    <xf numFmtId="2" fontId="38" fillId="0" borderId="289" xfId="0" applyNumberFormat="1" applyFont="1" applyFill="1" applyBorder="1" applyAlignment="1" applyProtection="1">
      <alignment horizontal="center" vertical="center" wrapText="1"/>
      <protection hidden="1"/>
    </xf>
    <xf numFmtId="2" fontId="270" fillId="0" borderId="177" xfId="0" applyNumberFormat="1" applyFont="1" applyFill="1" applyBorder="1" applyAlignment="1" applyProtection="1">
      <alignment horizontal="center" vertical="center" wrapText="1"/>
      <protection hidden="1"/>
    </xf>
    <xf numFmtId="2" fontId="270" fillId="0" borderId="289" xfId="0" applyNumberFormat="1" applyFont="1" applyFill="1" applyBorder="1" applyAlignment="1" applyProtection="1">
      <alignment horizontal="center" vertical="center" wrapText="1"/>
      <protection hidden="1"/>
    </xf>
    <xf numFmtId="1" fontId="172" fillId="0" borderId="177" xfId="0" applyNumberFormat="1" applyFont="1" applyFill="1" applyBorder="1" applyAlignment="1" applyProtection="1">
      <alignment horizontal="center" vertical="center" wrapText="1"/>
      <protection hidden="1"/>
    </xf>
    <xf numFmtId="1" fontId="172" fillId="0" borderId="194" xfId="0" applyNumberFormat="1" applyFont="1" applyFill="1" applyBorder="1" applyAlignment="1" applyProtection="1">
      <alignment horizontal="center" vertical="center" wrapText="1"/>
      <protection hidden="1"/>
    </xf>
    <xf numFmtId="1" fontId="307" fillId="0" borderId="177" xfId="0" applyNumberFormat="1" applyFont="1" applyFill="1" applyBorder="1" applyAlignment="1" applyProtection="1">
      <alignment horizontal="center" vertical="center" wrapText="1"/>
      <protection hidden="1"/>
    </xf>
    <xf numFmtId="1" fontId="307" fillId="0" borderId="194" xfId="0" applyNumberFormat="1" applyFont="1" applyFill="1" applyBorder="1" applyAlignment="1" applyProtection="1">
      <alignment horizontal="center" vertical="center" wrapText="1"/>
      <protection hidden="1"/>
    </xf>
    <xf numFmtId="1" fontId="258" fillId="7" borderId="177" xfId="0" applyNumberFormat="1" applyFont="1" applyFill="1" applyBorder="1" applyAlignment="1" applyProtection="1">
      <alignment horizontal="center" vertical="center" wrapText="1"/>
      <protection hidden="1"/>
    </xf>
    <xf numFmtId="1" fontId="258" fillId="7" borderId="193" xfId="0" applyNumberFormat="1" applyFont="1" applyFill="1" applyBorder="1" applyAlignment="1" applyProtection="1">
      <alignment horizontal="center" vertical="center" wrapText="1"/>
      <protection hidden="1"/>
    </xf>
    <xf numFmtId="1" fontId="258" fillId="7" borderId="289" xfId="0" applyNumberFormat="1" applyFont="1" applyFill="1" applyBorder="1" applyAlignment="1" applyProtection="1">
      <alignment horizontal="center" vertical="center" wrapText="1"/>
      <protection hidden="1"/>
    </xf>
    <xf numFmtId="1" fontId="123" fillId="0" borderId="172" xfId="0" applyNumberFormat="1" applyFont="1" applyFill="1" applyBorder="1" applyAlignment="1" applyProtection="1">
      <alignment horizontal="center" vertical="center" wrapText="1"/>
      <protection hidden="1"/>
    </xf>
    <xf numFmtId="1" fontId="38" fillId="0" borderId="172" xfId="0" applyNumberFormat="1" applyFont="1" applyFill="1" applyBorder="1" applyAlignment="1" applyProtection="1">
      <alignment horizontal="center" vertical="center" wrapText="1"/>
      <protection hidden="1"/>
    </xf>
    <xf numFmtId="1" fontId="38" fillId="0" borderId="283" xfId="0" applyNumberFormat="1" applyFont="1" applyFill="1" applyBorder="1" applyAlignment="1" applyProtection="1">
      <alignment horizontal="center" vertical="center" wrapText="1"/>
      <protection hidden="1"/>
    </xf>
    <xf numFmtId="0" fontId="63" fillId="0" borderId="295" xfId="0" applyNumberFormat="1" applyFont="1" applyFill="1" applyBorder="1" applyAlignment="1" applyProtection="1">
      <alignment horizontal="center" vertical="top" wrapText="1"/>
      <protection hidden="1"/>
    </xf>
    <xf numFmtId="0" fontId="63" fillId="0" borderId="296" xfId="0" applyNumberFormat="1" applyFont="1" applyFill="1" applyBorder="1" applyAlignment="1" applyProtection="1">
      <alignment horizontal="center" vertical="top" wrapText="1"/>
      <protection hidden="1"/>
    </xf>
    <xf numFmtId="0" fontId="63" fillId="0" borderId="297" xfId="0" applyNumberFormat="1" applyFont="1" applyFill="1" applyBorder="1" applyAlignment="1" applyProtection="1">
      <alignment horizontal="center" vertical="top" wrapText="1"/>
      <protection hidden="1"/>
    </xf>
    <xf numFmtId="0" fontId="182" fillId="0" borderId="173" xfId="0" applyNumberFormat="1" applyFont="1" applyFill="1" applyBorder="1" applyAlignment="1" applyProtection="1">
      <alignment horizontal="center" wrapText="1"/>
      <protection hidden="1"/>
    </xf>
    <xf numFmtId="0" fontId="182" fillId="0" borderId="174" xfId="0" applyNumberFormat="1" applyFont="1" applyFill="1" applyBorder="1" applyAlignment="1" applyProtection="1">
      <alignment horizontal="center" wrapText="1"/>
      <protection hidden="1"/>
    </xf>
    <xf numFmtId="0" fontId="182" fillId="0" borderId="285" xfId="0" applyNumberFormat="1" applyFont="1" applyFill="1" applyBorder="1" applyAlignment="1" applyProtection="1">
      <alignment horizontal="center" wrapText="1"/>
      <protection hidden="1"/>
    </xf>
    <xf numFmtId="0" fontId="261" fillId="0" borderId="172" xfId="0" applyFont="1" applyFill="1" applyBorder="1" applyAlignment="1" applyProtection="1">
      <alignment horizontal="center" vertical="center" wrapText="1"/>
      <protection hidden="1"/>
    </xf>
    <xf numFmtId="0" fontId="8" fillId="0" borderId="172" xfId="0" applyFont="1" applyBorder="1" applyAlignment="1" applyProtection="1">
      <alignment horizontal="center" vertical="center"/>
      <protection hidden="1"/>
    </xf>
    <xf numFmtId="0" fontId="8" fillId="0" borderId="283" xfId="0" applyFont="1" applyBorder="1" applyAlignment="1" applyProtection="1">
      <alignment horizontal="center" vertical="center"/>
      <protection hidden="1"/>
    </xf>
    <xf numFmtId="0" fontId="260" fillId="0" borderId="293" xfId="0" applyFont="1" applyFill="1" applyBorder="1" applyAlignment="1" applyProtection="1">
      <alignment horizontal="center" wrapText="1"/>
      <protection hidden="1"/>
    </xf>
    <xf numFmtId="0" fontId="260" fillId="0" borderId="294" xfId="0" applyFont="1" applyFill="1" applyBorder="1" applyAlignment="1" applyProtection="1">
      <alignment horizontal="center" wrapText="1"/>
      <protection hidden="1"/>
    </xf>
    <xf numFmtId="0" fontId="282" fillId="0" borderId="288" xfId="0" applyFont="1" applyFill="1" applyBorder="1" applyAlignment="1" applyProtection="1">
      <alignment horizontal="center" vertical="center" wrapText="1"/>
      <protection hidden="1"/>
    </xf>
    <xf numFmtId="0" fontId="282" fillId="0" borderId="193" xfId="0" applyFont="1" applyFill="1" applyBorder="1" applyAlignment="1" applyProtection="1">
      <alignment horizontal="center" vertical="center" wrapText="1"/>
      <protection hidden="1"/>
    </xf>
    <xf numFmtId="0" fontId="282" fillId="0" borderId="194" xfId="0" applyFont="1" applyFill="1" applyBorder="1" applyAlignment="1" applyProtection="1">
      <alignment horizontal="center" vertical="center" wrapText="1"/>
      <protection hidden="1"/>
    </xf>
    <xf numFmtId="2" fontId="270" fillId="0" borderId="194" xfId="0" applyNumberFormat="1" applyFont="1" applyFill="1" applyBorder="1" applyAlignment="1" applyProtection="1">
      <alignment horizontal="center" vertical="center" wrapText="1"/>
      <protection hidden="1"/>
    </xf>
    <xf numFmtId="0" fontId="231" fillId="0" borderId="172" xfId="0" applyFont="1" applyFill="1" applyBorder="1" applyAlignment="1" applyProtection="1">
      <alignment horizontal="center" vertical="center" wrapText="1"/>
      <protection hidden="1"/>
    </xf>
    <xf numFmtId="0" fontId="174" fillId="0" borderId="172" xfId="0" applyFont="1" applyFill="1" applyBorder="1" applyAlignment="1" applyProtection="1">
      <alignment horizontal="center" vertical="center" wrapText="1"/>
      <protection hidden="1"/>
    </xf>
    <xf numFmtId="0" fontId="172" fillId="0" borderId="172" xfId="0" applyFont="1" applyFill="1" applyBorder="1" applyAlignment="1" applyProtection="1">
      <alignment horizontal="center" vertical="center" wrapText="1"/>
      <protection hidden="1"/>
    </xf>
    <xf numFmtId="0" fontId="282" fillId="0" borderId="172" xfId="0" applyFont="1" applyFill="1" applyBorder="1" applyAlignment="1" applyProtection="1">
      <alignment horizontal="center" vertical="center" wrapText="1"/>
      <protection hidden="1"/>
    </xf>
    <xf numFmtId="2" fontId="38" fillId="0" borderId="194" xfId="0" applyNumberFormat="1" applyFont="1" applyFill="1" applyBorder="1" applyAlignment="1" applyProtection="1">
      <alignment horizontal="center" vertical="center" wrapText="1"/>
      <protection hidden="1"/>
    </xf>
    <xf numFmtId="2" fontId="304" fillId="0" borderId="193" xfId="0" applyNumberFormat="1" applyFont="1" applyFill="1" applyBorder="1" applyAlignment="1" applyProtection="1">
      <alignment horizontal="center" vertical="center" wrapText="1"/>
      <protection hidden="1"/>
    </xf>
    <xf numFmtId="2" fontId="304" fillId="0" borderId="194" xfId="0" applyNumberFormat="1" applyFont="1" applyFill="1" applyBorder="1" applyAlignment="1" applyProtection="1">
      <alignment horizontal="center" vertical="center" wrapText="1"/>
      <protection hidden="1"/>
    </xf>
    <xf numFmtId="0" fontId="174" fillId="0" borderId="193" xfId="0" applyNumberFormat="1" applyFont="1" applyFill="1" applyBorder="1" applyAlignment="1" applyProtection="1">
      <alignment horizontal="center" vertical="center" wrapText="1"/>
      <protection hidden="1"/>
    </xf>
    <xf numFmtId="0" fontId="174" fillId="0" borderId="194" xfId="0" applyNumberFormat="1" applyFont="1" applyFill="1" applyBorder="1" applyAlignment="1" applyProtection="1">
      <alignment horizontal="center" vertical="center" wrapText="1"/>
      <protection hidden="1"/>
    </xf>
    <xf numFmtId="0" fontId="178" fillId="0" borderId="284" xfId="0" applyFont="1" applyFill="1" applyBorder="1" applyAlignment="1" applyProtection="1">
      <alignment horizontal="left" vertical="center" wrapText="1"/>
      <protection hidden="1"/>
    </xf>
    <xf numFmtId="0" fontId="178" fillId="0" borderId="172" xfId="0" applyFont="1" applyFill="1" applyBorder="1" applyAlignment="1" applyProtection="1">
      <alignment horizontal="left" vertical="center" wrapText="1"/>
      <protection hidden="1"/>
    </xf>
    <xf numFmtId="0" fontId="348" fillId="0" borderId="284" xfId="0" applyFont="1" applyFill="1" applyBorder="1" applyAlignment="1" applyProtection="1">
      <alignment horizontal="right" vertical="center" shrinkToFit="1"/>
      <protection hidden="1"/>
    </xf>
    <xf numFmtId="0" fontId="348" fillId="0" borderId="172" xfId="0" applyFont="1" applyFill="1" applyBorder="1" applyAlignment="1" applyProtection="1">
      <alignment horizontal="right" vertical="center" shrinkToFit="1"/>
      <protection hidden="1"/>
    </xf>
    <xf numFmtId="2" fontId="304" fillId="0" borderId="177" xfId="0" applyNumberFormat="1" applyFont="1" applyFill="1" applyBorder="1" applyAlignment="1" applyProtection="1">
      <alignment horizontal="center" vertical="center" wrapText="1"/>
      <protection hidden="1"/>
    </xf>
    <xf numFmtId="171" fontId="179" fillId="7" borderId="172" xfId="0" applyNumberFormat="1" applyFont="1" applyFill="1" applyBorder="1" applyAlignment="1" applyProtection="1">
      <alignment horizontal="center" vertical="center" wrapText="1"/>
      <protection hidden="1"/>
    </xf>
    <xf numFmtId="0" fontId="322" fillId="0" borderId="284" xfId="0" applyFont="1" applyFill="1" applyBorder="1" applyAlignment="1" applyProtection="1">
      <alignment horizontal="right" vertical="center" wrapText="1"/>
      <protection hidden="1"/>
    </xf>
    <xf numFmtId="0" fontId="322" fillId="0" borderId="172" xfId="0" applyFont="1" applyFill="1" applyBorder="1" applyAlignment="1" applyProtection="1">
      <alignment horizontal="right" vertical="center" wrapText="1"/>
      <protection hidden="1"/>
    </xf>
    <xf numFmtId="0" fontId="231" fillId="0" borderId="288" xfId="0" applyFont="1" applyFill="1" applyBorder="1" applyAlignment="1" applyProtection="1">
      <alignment horizontal="center" vertical="center" wrapText="1"/>
      <protection hidden="1"/>
    </xf>
    <xf numFmtId="0" fontId="231" fillId="0" borderId="193" xfId="0" applyFont="1" applyFill="1" applyBorder="1" applyAlignment="1" applyProtection="1">
      <alignment horizontal="center" vertical="center" wrapText="1"/>
      <protection hidden="1"/>
    </xf>
    <xf numFmtId="0" fontId="231" fillId="0" borderId="194" xfId="0" applyFont="1" applyFill="1" applyBorder="1" applyAlignment="1" applyProtection="1">
      <alignment horizontal="center" vertical="center" wrapText="1"/>
      <protection hidden="1"/>
    </xf>
    <xf numFmtId="0" fontId="127" fillId="0" borderId="280" xfId="0" applyFont="1" applyFill="1" applyBorder="1" applyAlignment="1" applyProtection="1">
      <alignment horizontal="center" vertical="center" wrapText="1"/>
      <protection hidden="1"/>
    </xf>
    <xf numFmtId="0" fontId="133" fillId="0" borderId="284" xfId="0" applyFont="1" applyFill="1" applyBorder="1" applyAlignment="1" applyProtection="1">
      <alignment vertical="center" wrapText="1"/>
      <protection hidden="1"/>
    </xf>
    <xf numFmtId="0" fontId="133" fillId="0" borderId="172" xfId="0" applyFont="1" applyFill="1" applyBorder="1" applyAlignment="1" applyProtection="1">
      <alignment vertical="center" wrapText="1"/>
      <protection hidden="1"/>
    </xf>
    <xf numFmtId="0" fontId="260" fillId="0" borderId="172" xfId="0" applyFont="1" applyFill="1" applyBorder="1" applyAlignment="1" applyProtection="1">
      <alignment horizontal="center" wrapText="1"/>
      <protection hidden="1"/>
    </xf>
    <xf numFmtId="0" fontId="260" fillId="0" borderId="177" xfId="0" applyFont="1" applyFill="1" applyBorder="1" applyAlignment="1" applyProtection="1">
      <alignment horizontal="center" wrapText="1"/>
      <protection hidden="1"/>
    </xf>
    <xf numFmtId="0" fontId="174" fillId="0" borderId="177" xfId="0" applyNumberFormat="1" applyFont="1" applyFill="1" applyBorder="1" applyAlignment="1" applyProtection="1">
      <alignment horizontal="center" vertical="center" wrapText="1"/>
      <protection hidden="1"/>
    </xf>
    <xf numFmtId="0" fontId="346" fillId="0" borderId="284" xfId="0" applyFont="1" applyFill="1" applyBorder="1" applyAlignment="1" applyProtection="1">
      <alignment horizontal="left" vertical="center" wrapText="1"/>
      <protection hidden="1"/>
    </xf>
    <xf numFmtId="0" fontId="346" fillId="0" borderId="172" xfId="0" applyFont="1" applyFill="1" applyBorder="1" applyAlignment="1" applyProtection="1">
      <alignment horizontal="left" vertical="center" wrapText="1"/>
      <protection hidden="1"/>
    </xf>
    <xf numFmtId="0" fontId="346" fillId="0" borderId="277" xfId="0" applyFont="1" applyFill="1" applyBorder="1" applyAlignment="1" applyProtection="1">
      <alignment horizontal="left" vertical="center" wrapText="1"/>
      <protection hidden="1"/>
    </xf>
    <xf numFmtId="0" fontId="346" fillId="0" borderId="283" xfId="0" applyFont="1" applyFill="1" applyBorder="1" applyAlignment="1" applyProtection="1">
      <alignment horizontal="left" vertical="center" wrapText="1"/>
      <protection hidden="1"/>
    </xf>
    <xf numFmtId="1" fontId="52" fillId="0" borderId="173" xfId="0" applyNumberFormat="1" applyFont="1" applyFill="1" applyBorder="1" applyAlignment="1" applyProtection="1">
      <alignment horizontal="center" vertical="center" wrapText="1"/>
      <protection hidden="1"/>
    </xf>
    <xf numFmtId="1" fontId="52" fillId="0" borderId="285" xfId="0" applyNumberFormat="1" applyFont="1" applyFill="1" applyBorder="1" applyAlignment="1" applyProtection="1">
      <alignment horizontal="center" vertical="center" wrapText="1"/>
      <protection hidden="1"/>
    </xf>
    <xf numFmtId="1" fontId="52" fillId="0" borderId="178" xfId="0" applyNumberFormat="1" applyFont="1" applyFill="1" applyBorder="1" applyAlignment="1" applyProtection="1">
      <alignment horizontal="center" vertical="center" wrapText="1"/>
      <protection hidden="1"/>
    </xf>
    <xf numFmtId="1" fontId="52" fillId="0" borderId="286" xfId="0" applyNumberFormat="1" applyFont="1" applyFill="1" applyBorder="1" applyAlignment="1" applyProtection="1">
      <alignment horizontal="center" vertical="center" wrapText="1"/>
      <protection hidden="1"/>
    </xf>
    <xf numFmtId="1" fontId="52" fillId="0" borderId="175" xfId="0" applyNumberFormat="1" applyFont="1" applyFill="1" applyBorder="1" applyAlignment="1" applyProtection="1">
      <alignment horizontal="center" vertical="center" wrapText="1"/>
      <protection hidden="1"/>
    </xf>
    <xf numFmtId="1" fontId="52" fillId="0" borderId="287" xfId="0" applyNumberFormat="1" applyFont="1" applyFill="1" applyBorder="1" applyAlignment="1" applyProtection="1">
      <alignment horizontal="center" vertical="center" wrapText="1"/>
      <protection hidden="1"/>
    </xf>
    <xf numFmtId="1" fontId="52" fillId="0" borderId="172" xfId="0" applyNumberFormat="1" applyFont="1" applyFill="1" applyBorder="1" applyAlignment="1" applyProtection="1">
      <alignment horizontal="center" vertical="center" wrapText="1"/>
      <protection hidden="1"/>
    </xf>
    <xf numFmtId="0" fontId="231" fillId="0" borderId="0" xfId="0" applyFont="1" applyFill="1" applyBorder="1" applyAlignment="1" applyProtection="1">
      <alignment horizontal="right" vertical="top" wrapText="1"/>
      <protection hidden="1"/>
    </xf>
    <xf numFmtId="0" fontId="231" fillId="0" borderId="0" xfId="0" applyFont="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261" fillId="0" borderId="280" xfId="0" applyFont="1" applyFill="1" applyBorder="1" applyAlignment="1" applyProtection="1">
      <alignment horizontal="center" vertical="center" wrapText="1"/>
      <protection hidden="1"/>
    </xf>
    <xf numFmtId="0" fontId="39" fillId="0" borderId="284" xfId="0" applyFont="1" applyFill="1" applyBorder="1" applyAlignment="1" applyProtection="1">
      <alignment horizontal="right" vertical="center" wrapText="1"/>
      <protection hidden="1"/>
    </xf>
    <xf numFmtId="0" fontId="39" fillId="0" borderId="172" xfId="0" applyFont="1" applyFill="1" applyBorder="1" applyAlignment="1" applyProtection="1">
      <alignment horizontal="right" vertical="center" wrapText="1"/>
      <protection hidden="1"/>
    </xf>
    <xf numFmtId="0" fontId="231" fillId="0" borderId="0" xfId="0" applyNumberFormat="1" applyFont="1" applyFill="1" applyBorder="1" applyAlignment="1" applyProtection="1">
      <alignment horizontal="center" vertical="center" wrapText="1"/>
      <protection hidden="1"/>
    </xf>
    <xf numFmtId="0" fontId="269" fillId="2" borderId="0" xfId="3" applyFont="1" applyFill="1" applyBorder="1" applyAlignment="1" applyProtection="1">
      <alignment horizontal="left" vertical="center" wrapText="1"/>
      <protection locked="0"/>
    </xf>
    <xf numFmtId="0" fontId="354" fillId="0" borderId="279" xfId="0" applyFont="1" applyFill="1" applyBorder="1" applyAlignment="1" applyProtection="1">
      <alignment horizontal="center" vertical="center" textRotation="90" wrapText="1"/>
      <protection hidden="1"/>
    </xf>
    <xf numFmtId="0" fontId="354" fillId="0" borderId="176" xfId="0" applyFont="1" applyFill="1" applyBorder="1" applyAlignment="1" applyProtection="1">
      <alignment horizontal="center" vertical="center" textRotation="90" wrapText="1"/>
      <protection hidden="1"/>
    </xf>
    <xf numFmtId="0" fontId="229" fillId="0" borderId="0" xfId="0" applyFont="1" applyBorder="1" applyAlignment="1" applyProtection="1">
      <alignment horizontal="left" vertical="center"/>
      <protection hidden="1"/>
    </xf>
    <xf numFmtId="0" fontId="127" fillId="0" borderId="278" xfId="0" applyFont="1" applyFill="1" applyBorder="1" applyAlignment="1" applyProtection="1">
      <alignment horizontal="center" vertical="center" wrapText="1"/>
      <protection hidden="1"/>
    </xf>
    <xf numFmtId="0" fontId="127" fillId="0" borderId="279" xfId="0" applyFont="1" applyFill="1" applyBorder="1" applyAlignment="1" applyProtection="1">
      <alignment horizontal="center" vertical="center" wrapText="1"/>
      <protection hidden="1"/>
    </xf>
    <xf numFmtId="0" fontId="127" fillId="0" borderId="282" xfId="0" applyFont="1" applyFill="1" applyBorder="1" applyAlignment="1" applyProtection="1">
      <alignment horizontal="center" vertical="center" wrapText="1"/>
      <protection hidden="1"/>
    </xf>
    <xf numFmtId="0" fontId="127" fillId="0" borderId="176" xfId="0" applyFont="1" applyFill="1" applyBorder="1" applyAlignment="1" applyProtection="1">
      <alignment horizontal="center" vertical="center" wrapText="1"/>
      <protection hidden="1"/>
    </xf>
    <xf numFmtId="0" fontId="236" fillId="0" borderId="280" xfId="0" applyFont="1" applyFill="1" applyBorder="1" applyAlignment="1" applyProtection="1">
      <alignment horizontal="center" vertical="center" textRotation="90" wrapText="1"/>
      <protection hidden="1"/>
    </xf>
    <xf numFmtId="0" fontId="236" fillId="0" borderId="172" xfId="0" applyFont="1" applyFill="1" applyBorder="1" applyAlignment="1" applyProtection="1">
      <alignment horizontal="center" vertical="center" textRotation="90" wrapText="1"/>
      <protection hidden="1"/>
    </xf>
    <xf numFmtId="0" fontId="30" fillId="0" borderId="65" xfId="0" applyFont="1" applyBorder="1" applyAlignment="1" applyProtection="1">
      <alignment horizontal="center" vertical="center" wrapText="1"/>
      <protection hidden="1"/>
    </xf>
    <xf numFmtId="0" fontId="30" fillId="0" borderId="66" xfId="0" applyFont="1" applyBorder="1" applyAlignment="1" applyProtection="1">
      <alignment horizontal="center" vertical="center" wrapText="1"/>
      <protection hidden="1"/>
    </xf>
    <xf numFmtId="0" fontId="30" fillId="0" borderId="67" xfId="0" applyFont="1" applyBorder="1" applyAlignment="1" applyProtection="1">
      <alignment horizontal="center" vertical="center" wrapText="1"/>
      <protection hidden="1"/>
    </xf>
    <xf numFmtId="0" fontId="30" fillId="0" borderId="68"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wrapText="1"/>
      <protection hidden="1"/>
    </xf>
    <xf numFmtId="0" fontId="30" fillId="0" borderId="69" xfId="0" applyFont="1" applyBorder="1" applyAlignment="1" applyProtection="1">
      <alignment horizontal="center" vertical="center" wrapText="1"/>
      <protection hidden="1"/>
    </xf>
    <xf numFmtId="0" fontId="30" fillId="0" borderId="70" xfId="0" applyFont="1" applyBorder="1" applyAlignment="1" applyProtection="1">
      <alignment horizontal="center" vertical="center" wrapText="1"/>
      <protection hidden="1"/>
    </xf>
    <xf numFmtId="0" fontId="30" fillId="0" borderId="71" xfId="0" applyFont="1" applyBorder="1" applyAlignment="1" applyProtection="1">
      <alignment horizontal="center" vertical="center" wrapText="1"/>
      <protection hidden="1"/>
    </xf>
    <xf numFmtId="0" fontId="30" fillId="0" borderId="72" xfId="0" applyFont="1" applyBorder="1" applyAlignment="1" applyProtection="1">
      <alignment horizontal="center" vertical="center" wrapText="1"/>
      <protection hidden="1"/>
    </xf>
    <xf numFmtId="171" fontId="101" fillId="0" borderId="0" xfId="0" applyNumberFormat="1" applyFont="1" applyBorder="1" applyAlignment="1" applyProtection="1">
      <alignment horizontal="left" vertical="center"/>
      <protection hidden="1"/>
    </xf>
    <xf numFmtId="0" fontId="180" fillId="0" borderId="0" xfId="0" applyFont="1" applyBorder="1" applyAlignment="1" applyProtection="1">
      <alignment horizontal="left" vertical="center"/>
      <protection hidden="1"/>
    </xf>
    <xf numFmtId="0" fontId="344" fillId="0" borderId="0" xfId="0" applyFont="1" applyBorder="1" applyAlignment="1" applyProtection="1">
      <alignment horizontal="center" vertical="center"/>
      <protection hidden="1"/>
    </xf>
    <xf numFmtId="0" fontId="345" fillId="0" borderId="0" xfId="0" applyFont="1" applyBorder="1" applyAlignment="1" applyProtection="1">
      <alignment horizontal="center" vertical="center"/>
      <protection hidden="1"/>
    </xf>
    <xf numFmtId="0" fontId="231" fillId="0" borderId="0" xfId="0" applyNumberFormat="1" applyFont="1" applyFill="1" applyBorder="1" applyAlignment="1" applyProtection="1">
      <alignment horizontal="right" vertical="center" wrapText="1"/>
      <protection hidden="1"/>
    </xf>
    <xf numFmtId="0" fontId="261" fillId="0" borderId="281" xfId="0" applyFont="1" applyFill="1" applyBorder="1" applyAlignment="1" applyProtection="1">
      <alignment horizontal="center" vertical="center" wrapText="1"/>
      <protection hidden="1"/>
    </xf>
    <xf numFmtId="0" fontId="261" fillId="0" borderId="283" xfId="0" applyFont="1" applyFill="1" applyBorder="1" applyAlignment="1" applyProtection="1">
      <alignment horizontal="center" vertical="center" wrapText="1"/>
      <protection hidden="1"/>
    </xf>
    <xf numFmtId="0" fontId="8" fillId="0" borderId="0" xfId="0" applyNumberFormat="1" applyFont="1" applyFill="1" applyBorder="1" applyAlignment="1" applyProtection="1">
      <alignment horizontal="left" vertical="center" wrapText="1"/>
      <protection hidden="1"/>
    </xf>
    <xf numFmtId="0" fontId="261" fillId="0" borderId="280" xfId="0" applyFont="1" applyFill="1" applyBorder="1" applyAlignment="1" applyProtection="1">
      <alignment horizontal="center" vertical="center" textRotation="90" wrapText="1"/>
      <protection hidden="1"/>
    </xf>
    <xf numFmtId="0" fontId="261" fillId="0" borderId="172" xfId="0" applyFont="1" applyFill="1" applyBorder="1" applyAlignment="1" applyProtection="1">
      <alignment horizontal="center" vertical="center" textRotation="90" wrapText="1"/>
      <protection hidden="1"/>
    </xf>
    <xf numFmtId="0" fontId="261" fillId="0" borderId="194" xfId="0" applyFont="1" applyFill="1" applyBorder="1" applyAlignment="1" applyProtection="1">
      <alignment horizontal="center" vertical="center" textRotation="90" wrapText="1"/>
      <protection hidden="1"/>
    </xf>
    <xf numFmtId="0" fontId="343" fillId="0" borderId="0" xfId="0" applyFont="1" applyBorder="1" applyAlignment="1" applyProtection="1">
      <alignment horizontal="center"/>
      <protection hidden="1"/>
    </xf>
    <xf numFmtId="0" fontId="340" fillId="0" borderId="0" xfId="0" applyFont="1" applyBorder="1" applyAlignment="1" applyProtection="1">
      <alignment horizontal="center"/>
      <protection hidden="1"/>
    </xf>
    <xf numFmtId="0" fontId="127" fillId="0" borderId="195" xfId="0" applyNumberFormat="1" applyFont="1" applyFill="1" applyBorder="1" applyAlignment="1" applyProtection="1">
      <alignment horizontal="center" vertical="center" wrapText="1"/>
      <protection hidden="1"/>
    </xf>
    <xf numFmtId="0" fontId="231" fillId="0" borderId="195" xfId="0" applyFont="1" applyFill="1" applyBorder="1" applyAlignment="1" applyProtection="1">
      <alignment horizontal="center" vertical="center" wrapText="1"/>
      <protection hidden="1"/>
    </xf>
    <xf numFmtId="0" fontId="38" fillId="0" borderId="195" xfId="0" applyNumberFormat="1" applyFont="1" applyFill="1" applyBorder="1" applyAlignment="1" applyProtection="1">
      <alignment horizontal="center" vertical="center" wrapText="1"/>
      <protection hidden="1"/>
    </xf>
    <xf numFmtId="0" fontId="273" fillId="0" borderId="198" xfId="0" applyNumberFormat="1" applyFont="1" applyFill="1" applyBorder="1" applyAlignment="1" applyProtection="1">
      <alignment horizontal="center" vertical="center" wrapText="1"/>
      <protection hidden="1"/>
    </xf>
    <xf numFmtId="0" fontId="273" fillId="0" borderId="199" xfId="0" applyNumberFormat="1" applyFont="1" applyFill="1" applyBorder="1" applyAlignment="1" applyProtection="1">
      <alignment horizontal="center" vertical="center" wrapText="1"/>
      <protection hidden="1"/>
    </xf>
    <xf numFmtId="0" fontId="273" fillId="0" borderId="200" xfId="0" applyNumberFormat="1" applyFont="1" applyFill="1" applyBorder="1" applyAlignment="1" applyProtection="1">
      <alignment horizontal="center" vertical="center" wrapText="1"/>
      <protection hidden="1"/>
    </xf>
    <xf numFmtId="0" fontId="273" fillId="0" borderId="197" xfId="0" applyNumberFormat="1" applyFont="1" applyFill="1" applyBorder="1" applyAlignment="1" applyProtection="1">
      <alignment horizontal="center" vertical="center" wrapText="1"/>
      <protection hidden="1"/>
    </xf>
    <xf numFmtId="0" fontId="273" fillId="0" borderId="210" xfId="0" applyNumberFormat="1" applyFont="1" applyFill="1" applyBorder="1" applyAlignment="1" applyProtection="1">
      <alignment horizontal="center" vertical="center" wrapText="1"/>
      <protection hidden="1"/>
    </xf>
    <xf numFmtId="0" fontId="273" fillId="0" borderId="211" xfId="0" applyNumberFormat="1" applyFont="1" applyFill="1" applyBorder="1" applyAlignment="1" applyProtection="1">
      <alignment horizontal="center" vertical="center" wrapText="1"/>
      <protection hidden="1"/>
    </xf>
    <xf numFmtId="0" fontId="127" fillId="0" borderId="195" xfId="0" applyFont="1" applyFill="1" applyBorder="1" applyAlignment="1" applyProtection="1">
      <alignment horizontal="center" vertical="center" wrapText="1"/>
      <protection hidden="1"/>
    </xf>
    <xf numFmtId="0" fontId="236" fillId="0" borderId="195" xfId="0" applyFont="1" applyFill="1" applyBorder="1" applyAlignment="1" applyProtection="1">
      <alignment horizontal="center" vertical="center" textRotation="90" wrapText="1"/>
      <protection hidden="1"/>
    </xf>
    <xf numFmtId="0" fontId="106" fillId="0" borderId="195" xfId="0" applyFont="1" applyFill="1" applyBorder="1" applyAlignment="1" applyProtection="1">
      <alignment horizontal="center" vertical="center" textRotation="90" wrapText="1"/>
      <protection hidden="1"/>
    </xf>
    <xf numFmtId="0" fontId="261" fillId="0" borderId="195" xfId="0" applyFont="1" applyFill="1" applyBorder="1" applyAlignment="1" applyProtection="1">
      <alignment horizontal="center" vertical="center" textRotation="90" wrapText="1"/>
      <protection hidden="1"/>
    </xf>
    <xf numFmtId="0" fontId="63" fillId="0" borderId="195" xfId="0" applyNumberFormat="1" applyFont="1" applyFill="1" applyBorder="1" applyAlignment="1" applyProtection="1">
      <alignment horizontal="center" vertical="center" wrapText="1"/>
      <protection hidden="1"/>
    </xf>
    <xf numFmtId="0" fontId="38" fillId="0" borderId="0" xfId="0" applyNumberFormat="1" applyFont="1" applyAlignment="1" applyProtection="1">
      <alignment horizontal="center" vertical="top" wrapText="1"/>
      <protection hidden="1"/>
    </xf>
    <xf numFmtId="0" fontId="274" fillId="0" borderId="198" xfId="0" applyNumberFormat="1" applyFont="1" applyFill="1" applyBorder="1" applyAlignment="1" applyProtection="1">
      <alignment horizontal="center" vertical="center" wrapText="1"/>
      <protection hidden="1"/>
    </xf>
    <xf numFmtId="0" fontId="274" fillId="0" borderId="199" xfId="0" applyNumberFormat="1" applyFont="1" applyFill="1" applyBorder="1" applyAlignment="1" applyProtection="1">
      <alignment horizontal="center" vertical="center" wrapText="1"/>
      <protection hidden="1"/>
    </xf>
    <xf numFmtId="0" fontId="274" fillId="0" borderId="200" xfId="0" applyNumberFormat="1" applyFont="1" applyFill="1" applyBorder="1" applyAlignment="1" applyProtection="1">
      <alignment horizontal="center" vertical="center" wrapText="1"/>
      <protection hidden="1"/>
    </xf>
    <xf numFmtId="0" fontId="273" fillId="0" borderId="0" xfId="0" applyNumberFormat="1" applyFont="1" applyBorder="1" applyAlignment="1" applyProtection="1">
      <alignment horizontal="left" vertical="center" wrapText="1"/>
      <protection hidden="1"/>
    </xf>
    <xf numFmtId="0" fontId="273" fillId="0" borderId="0" xfId="0" applyNumberFormat="1" applyFont="1" applyBorder="1" applyAlignment="1" applyProtection="1">
      <alignment horizontal="right" vertical="center" wrapText="1"/>
      <protection hidden="1"/>
    </xf>
    <xf numFmtId="0" fontId="270" fillId="0" borderId="0" xfId="0" applyNumberFormat="1" applyFont="1" applyFill="1" applyBorder="1" applyAlignment="1" applyProtection="1">
      <alignment horizontal="left" vertical="center" wrapText="1"/>
      <protection hidden="1"/>
    </xf>
    <xf numFmtId="0" fontId="9" fillId="0" borderId="0" xfId="0" applyNumberFormat="1" applyFont="1" applyBorder="1" applyAlignment="1" applyProtection="1">
      <alignment horizontal="left" vertical="top" wrapText="1"/>
      <protection hidden="1"/>
    </xf>
    <xf numFmtId="0" fontId="9" fillId="0" borderId="0" xfId="0" applyNumberFormat="1" applyFont="1" applyBorder="1" applyAlignment="1" applyProtection="1">
      <alignment horizontal="left" vertical="center" wrapText="1"/>
      <protection hidden="1"/>
    </xf>
    <xf numFmtId="0" fontId="63" fillId="0" borderId="0" xfId="0" applyNumberFormat="1" applyFont="1" applyBorder="1" applyAlignment="1" applyProtection="1">
      <alignment horizontal="center" wrapText="1"/>
      <protection hidden="1"/>
    </xf>
    <xf numFmtId="0" fontId="63" fillId="0" borderId="0" xfId="0" applyNumberFormat="1" applyFont="1" applyBorder="1" applyAlignment="1" applyProtection="1">
      <alignment horizontal="center"/>
      <protection hidden="1"/>
    </xf>
    <xf numFmtId="0" fontId="63" fillId="0" borderId="201" xfId="0" applyNumberFormat="1" applyFont="1" applyBorder="1" applyAlignment="1" applyProtection="1">
      <alignment horizontal="center"/>
      <protection hidden="1"/>
    </xf>
    <xf numFmtId="0" fontId="356" fillId="0" borderId="196" xfId="0" applyNumberFormat="1" applyFont="1" applyFill="1" applyBorder="1" applyAlignment="1" applyProtection="1">
      <alignment horizontal="center" vertical="center" wrapText="1"/>
      <protection hidden="1"/>
    </xf>
    <xf numFmtId="0" fontId="38" fillId="0" borderId="202" xfId="0" applyNumberFormat="1" applyFont="1" applyFill="1" applyBorder="1" applyAlignment="1" applyProtection="1">
      <alignment horizontal="center" vertical="center" wrapText="1"/>
      <protection hidden="1"/>
    </xf>
    <xf numFmtId="0" fontId="38" fillId="0" borderId="201" xfId="0" applyNumberFormat="1" applyFont="1" applyFill="1" applyBorder="1" applyAlignment="1" applyProtection="1">
      <alignment horizontal="center" vertical="center" wrapText="1"/>
      <protection hidden="1"/>
    </xf>
    <xf numFmtId="0" fontId="38" fillId="0" borderId="298" xfId="0" applyNumberFormat="1" applyFont="1" applyFill="1" applyBorder="1" applyAlignment="1" applyProtection="1">
      <alignment horizontal="center" vertical="center" wrapText="1"/>
      <protection hidden="1"/>
    </xf>
    <xf numFmtId="0" fontId="334" fillId="0" borderId="196" xfId="0" applyNumberFormat="1" applyFont="1" applyFill="1" applyBorder="1" applyAlignment="1" applyProtection="1">
      <alignment horizontal="center" vertical="center" wrapText="1"/>
      <protection hidden="1"/>
    </xf>
    <xf numFmtId="0" fontId="355" fillId="0" borderId="196" xfId="0" applyNumberFormat="1" applyFont="1" applyFill="1" applyBorder="1" applyAlignment="1" applyProtection="1">
      <alignment horizontal="center" vertical="center" wrapText="1"/>
      <protection hidden="1"/>
    </xf>
    <xf numFmtId="0" fontId="258" fillId="0" borderId="198" xfId="0" applyNumberFormat="1" applyFont="1" applyFill="1" applyBorder="1" applyAlignment="1" applyProtection="1">
      <alignment horizontal="center" vertical="center" wrapText="1"/>
      <protection hidden="1"/>
    </xf>
    <xf numFmtId="0" fontId="258" fillId="0" borderId="199" xfId="0" applyNumberFormat="1" applyFont="1" applyFill="1" applyBorder="1" applyAlignment="1" applyProtection="1">
      <alignment horizontal="center" vertical="center" wrapText="1"/>
      <protection hidden="1"/>
    </xf>
    <xf numFmtId="0" fontId="258" fillId="0" borderId="200" xfId="0" applyNumberFormat="1" applyFont="1" applyFill="1" applyBorder="1" applyAlignment="1" applyProtection="1">
      <alignment horizontal="center" vertical="center" wrapText="1"/>
      <protection hidden="1"/>
    </xf>
    <xf numFmtId="0" fontId="115" fillId="0" borderId="198" xfId="0" applyNumberFormat="1" applyFont="1" applyFill="1" applyBorder="1" applyAlignment="1" applyProtection="1">
      <alignment horizontal="center" vertical="center" wrapText="1"/>
      <protection hidden="1"/>
    </xf>
    <xf numFmtId="0" fontId="115" fillId="0" borderId="199" xfId="0" applyNumberFormat="1" applyFont="1" applyFill="1" applyBorder="1" applyAlignment="1" applyProtection="1">
      <alignment horizontal="center" vertical="center" wrapText="1"/>
      <protection hidden="1"/>
    </xf>
    <xf numFmtId="0" fontId="130" fillId="0" borderId="195" xfId="0" applyNumberFormat="1" applyFont="1" applyFill="1" applyBorder="1" applyAlignment="1" applyProtection="1">
      <alignment horizontal="center" vertical="center" wrapText="1"/>
      <protection hidden="1"/>
    </xf>
    <xf numFmtId="0" fontId="232" fillId="0" borderId="195" xfId="0" applyNumberFormat="1" applyFont="1" applyFill="1" applyBorder="1" applyAlignment="1" applyProtection="1">
      <alignment horizontal="center" vertical="center" wrapText="1"/>
      <protection hidden="1"/>
    </xf>
    <xf numFmtId="0" fontId="334" fillId="0" borderId="195" xfId="0" applyNumberFormat="1" applyFont="1" applyFill="1" applyBorder="1" applyAlignment="1" applyProtection="1">
      <alignment horizontal="center" vertical="center" wrapText="1"/>
      <protection hidden="1"/>
    </xf>
    <xf numFmtId="0" fontId="187" fillId="0" borderId="0" xfId="0" applyNumberFormat="1" applyFont="1" applyBorder="1" applyAlignment="1" applyProtection="1">
      <alignment horizontal="center" vertical="top" wrapText="1"/>
      <protection hidden="1"/>
    </xf>
    <xf numFmtId="0" fontId="187" fillId="0" borderId="0" xfId="0" applyNumberFormat="1" applyFont="1" applyFill="1" applyBorder="1" applyAlignment="1" applyProtection="1">
      <alignment horizontal="center" vertical="top" wrapText="1"/>
      <protection hidden="1"/>
    </xf>
    <xf numFmtId="0" fontId="332" fillId="0" borderId="195" xfId="0" applyNumberFormat="1" applyFont="1" applyFill="1" applyBorder="1" applyAlignment="1" applyProtection="1">
      <alignment horizontal="right" vertical="center" wrapText="1"/>
      <protection hidden="1"/>
    </xf>
    <xf numFmtId="0" fontId="353" fillId="0" borderId="195" xfId="0" applyNumberFormat="1" applyFont="1" applyFill="1" applyBorder="1" applyAlignment="1" applyProtection="1">
      <alignment horizontal="right" vertical="center" wrapText="1"/>
      <protection hidden="1"/>
    </xf>
    <xf numFmtId="0" fontId="258" fillId="0" borderId="195" xfId="0" applyNumberFormat="1" applyFont="1" applyFill="1" applyBorder="1" applyAlignment="1" applyProtection="1">
      <alignment horizontal="left" vertical="center" wrapText="1"/>
      <protection hidden="1"/>
    </xf>
    <xf numFmtId="0" fontId="188" fillId="0" borderId="195" xfId="0" applyNumberFormat="1" applyFont="1" applyFill="1" applyBorder="1" applyAlignment="1" applyProtection="1">
      <alignment horizontal="center" vertical="top" wrapText="1"/>
      <protection hidden="1"/>
    </xf>
    <xf numFmtId="0" fontId="6" fillId="14" borderId="0" xfId="0" applyFont="1" applyFill="1" applyAlignment="1" applyProtection="1">
      <alignment horizontal="center" vertical="center" wrapText="1"/>
      <protection hidden="1"/>
    </xf>
    <xf numFmtId="0" fontId="349" fillId="0" borderId="0" xfId="0" applyFont="1" applyBorder="1" applyAlignment="1" applyProtection="1">
      <alignment horizontal="center"/>
      <protection hidden="1"/>
    </xf>
    <xf numFmtId="0" fontId="350" fillId="0" borderId="0" xfId="0" applyFont="1" applyBorder="1" applyAlignment="1" applyProtection="1">
      <alignment horizontal="center" vertical="center"/>
      <protection hidden="1"/>
    </xf>
    <xf numFmtId="0" fontId="351" fillId="0" borderId="0" xfId="0" applyFont="1" applyBorder="1" applyAlignment="1" applyProtection="1">
      <alignment horizontal="center" vertical="center"/>
      <protection hidden="1"/>
    </xf>
    <xf numFmtId="0" fontId="189" fillId="0" borderId="0" xfId="0" applyFont="1" applyAlignment="1" applyProtection="1">
      <alignment horizontal="center" vertical="center" textRotation="90"/>
      <protection hidden="1"/>
    </xf>
    <xf numFmtId="171" fontId="30" fillId="0" borderId="0" xfId="0" applyNumberFormat="1" applyFont="1" applyBorder="1" applyAlignment="1" applyProtection="1">
      <alignment horizontal="left" vertical="center" wrapText="1"/>
      <protection hidden="1"/>
    </xf>
    <xf numFmtId="0" fontId="183" fillId="0" borderId="0" xfId="0" applyNumberFormat="1" applyFont="1" applyFill="1" applyBorder="1" applyAlignment="1" applyProtection="1">
      <alignment horizontal="left" vertical="center" wrapText="1"/>
      <protection hidden="1"/>
    </xf>
    <xf numFmtId="0" fontId="354" fillId="0" borderId="195" xfId="0" applyNumberFormat="1" applyFont="1" applyFill="1" applyBorder="1" applyAlignment="1" applyProtection="1">
      <alignment horizontal="center" vertical="center" wrapText="1"/>
      <protection hidden="1"/>
    </xf>
    <xf numFmtId="0" fontId="184" fillId="0" borderId="0" xfId="0" applyNumberFormat="1" applyFont="1" applyBorder="1" applyAlignment="1" applyProtection="1">
      <alignment horizontal="left" vertical="center" wrapText="1"/>
      <protection hidden="1"/>
    </xf>
    <xf numFmtId="0" fontId="41" fillId="39" borderId="65" xfId="0" applyFont="1" applyFill="1" applyBorder="1" applyAlignment="1" applyProtection="1">
      <alignment horizontal="center" vertical="center" wrapText="1"/>
      <protection hidden="1"/>
    </xf>
    <xf numFmtId="0" fontId="41" fillId="39" borderId="66" xfId="0" applyFont="1" applyFill="1" applyBorder="1" applyAlignment="1" applyProtection="1">
      <alignment horizontal="center" vertical="center" wrapText="1"/>
      <protection hidden="1"/>
    </xf>
    <xf numFmtId="0" fontId="41" fillId="39" borderId="67" xfId="0" applyFont="1" applyFill="1" applyBorder="1" applyAlignment="1" applyProtection="1">
      <alignment horizontal="center" vertical="center" wrapText="1"/>
      <protection hidden="1"/>
    </xf>
    <xf numFmtId="0" fontId="41" fillId="39" borderId="68" xfId="0" applyFont="1" applyFill="1" applyBorder="1" applyAlignment="1" applyProtection="1">
      <alignment horizontal="center" vertical="center" wrapText="1"/>
      <protection hidden="1"/>
    </xf>
    <xf numFmtId="0" fontId="41" fillId="39" borderId="0" xfId="0" applyFont="1" applyFill="1" applyBorder="1" applyAlignment="1" applyProtection="1">
      <alignment horizontal="center" vertical="center" wrapText="1"/>
      <protection hidden="1"/>
    </xf>
    <xf numFmtId="0" fontId="41" fillId="39" borderId="69" xfId="0" applyFont="1" applyFill="1" applyBorder="1" applyAlignment="1" applyProtection="1">
      <alignment horizontal="center" vertical="center" wrapText="1"/>
      <protection hidden="1"/>
    </xf>
    <xf numFmtId="0" fontId="41" fillId="39" borderId="70" xfId="0" applyFont="1" applyFill="1" applyBorder="1" applyAlignment="1" applyProtection="1">
      <alignment horizontal="center" vertical="center" wrapText="1"/>
      <protection hidden="1"/>
    </xf>
    <xf numFmtId="0" fontId="41" fillId="39" borderId="71" xfId="0" applyFont="1" applyFill="1" applyBorder="1" applyAlignment="1" applyProtection="1">
      <alignment horizontal="center" vertical="center" wrapText="1"/>
      <protection hidden="1"/>
    </xf>
    <xf numFmtId="0" fontId="41" fillId="39" borderId="72" xfId="0" applyFont="1" applyFill="1" applyBorder="1" applyAlignment="1" applyProtection="1">
      <alignment horizontal="center" vertical="center" wrapText="1"/>
      <protection hidden="1"/>
    </xf>
    <xf numFmtId="1" fontId="307" fillId="0" borderId="172" xfId="0" applyNumberFormat="1" applyFont="1" applyFill="1" applyBorder="1" applyAlignment="1" applyProtection="1">
      <alignment horizontal="center" vertical="center" wrapText="1"/>
      <protection hidden="1"/>
    </xf>
    <xf numFmtId="0" fontId="354" fillId="0" borderId="280" xfId="0" applyFont="1" applyFill="1" applyBorder="1" applyAlignment="1" applyProtection="1">
      <alignment horizontal="center" vertical="center" textRotation="90" wrapText="1"/>
      <protection hidden="1"/>
    </xf>
    <xf numFmtId="0" fontId="354" fillId="0" borderId="172" xfId="0" applyFont="1" applyFill="1" applyBorder="1" applyAlignment="1" applyProtection="1">
      <alignment horizontal="center" vertical="center" textRotation="90" wrapText="1"/>
      <protection hidden="1"/>
    </xf>
    <xf numFmtId="0" fontId="127" fillId="0" borderId="299" xfId="0" applyFont="1" applyFill="1" applyBorder="1" applyAlignment="1" applyProtection="1">
      <alignment horizontal="center" vertical="center" wrapText="1"/>
      <protection hidden="1"/>
    </xf>
    <xf numFmtId="0" fontId="127" fillId="0" borderId="284" xfId="0" applyFont="1" applyFill="1" applyBorder="1" applyAlignment="1" applyProtection="1">
      <alignment horizontal="center" vertical="center" wrapText="1"/>
      <protection hidden="1"/>
    </xf>
    <xf numFmtId="0" fontId="127" fillId="0" borderId="172" xfId="0" applyFont="1" applyFill="1" applyBorder="1" applyAlignment="1" applyProtection="1">
      <alignment horizontal="center" vertical="center" wrapText="1"/>
      <protection hidden="1"/>
    </xf>
    <xf numFmtId="1" fontId="258" fillId="7" borderId="172" xfId="0" applyNumberFormat="1" applyFont="1" applyFill="1" applyBorder="1" applyAlignment="1" applyProtection="1">
      <alignment horizontal="center" vertical="center" wrapText="1"/>
      <protection hidden="1"/>
    </xf>
    <xf numFmtId="1" fontId="258" fillId="7" borderId="283" xfId="0" applyNumberFormat="1" applyFont="1" applyFill="1" applyBorder="1" applyAlignment="1" applyProtection="1">
      <alignment horizontal="center" vertical="center" wrapText="1"/>
      <protection hidden="1"/>
    </xf>
    <xf numFmtId="0" fontId="182" fillId="0" borderId="172" xfId="0" applyNumberFormat="1" applyFont="1" applyFill="1" applyBorder="1" applyAlignment="1" applyProtection="1">
      <alignment horizontal="center" wrapText="1"/>
      <protection hidden="1"/>
    </xf>
    <xf numFmtId="0" fontId="182" fillId="0" borderId="283" xfId="0" applyNumberFormat="1" applyFont="1" applyFill="1" applyBorder="1" applyAlignment="1" applyProtection="1">
      <alignment horizontal="center" wrapText="1"/>
      <protection hidden="1"/>
    </xf>
    <xf numFmtId="0" fontId="63" fillId="0" borderId="293" xfId="0" applyNumberFormat="1" applyFont="1" applyFill="1" applyBorder="1" applyAlignment="1" applyProtection="1">
      <alignment horizontal="center" vertical="top" wrapText="1"/>
      <protection hidden="1"/>
    </xf>
    <xf numFmtId="0" fontId="63" fillId="0" borderId="301" xfId="0" applyNumberFormat="1" applyFont="1" applyFill="1" applyBorder="1" applyAlignment="1" applyProtection="1">
      <alignment horizontal="center" vertical="top" wrapText="1"/>
      <protection hidden="1"/>
    </xf>
    <xf numFmtId="0" fontId="282" fillId="0" borderId="284" xfId="0" applyFont="1" applyFill="1" applyBorder="1" applyAlignment="1" applyProtection="1">
      <alignment horizontal="center" vertical="center" wrapText="1"/>
      <protection hidden="1"/>
    </xf>
    <xf numFmtId="1" fontId="172" fillId="0" borderId="172" xfId="0" applyNumberFormat="1" applyFont="1" applyFill="1" applyBorder="1" applyAlignment="1" applyProtection="1">
      <alignment horizontal="center" vertical="center" wrapText="1"/>
      <protection hidden="1"/>
    </xf>
    <xf numFmtId="0" fontId="174" fillId="0" borderId="172" xfId="0" applyNumberFormat="1" applyFont="1" applyFill="1" applyBorder="1" applyAlignment="1" applyProtection="1">
      <alignment horizontal="center" vertical="center" wrapText="1"/>
      <protection hidden="1"/>
    </xf>
    <xf numFmtId="0" fontId="231" fillId="0" borderId="284" xfId="0" applyFont="1" applyFill="1" applyBorder="1" applyAlignment="1" applyProtection="1">
      <alignment horizontal="center" vertical="center" wrapText="1"/>
      <protection hidden="1"/>
    </xf>
    <xf numFmtId="0" fontId="231" fillId="0" borderId="300" xfId="0" applyFont="1" applyFill="1" applyBorder="1" applyAlignment="1" applyProtection="1">
      <alignment horizontal="center" vertical="center" wrapText="1"/>
      <protection hidden="1"/>
    </xf>
    <xf numFmtId="0" fontId="231" fillId="0" borderId="293" xfId="0" applyFont="1" applyFill="1" applyBorder="1" applyAlignment="1" applyProtection="1">
      <alignment horizontal="center" vertical="center" wrapText="1"/>
      <protection hidden="1"/>
    </xf>
    <xf numFmtId="0" fontId="358" fillId="0" borderId="284" xfId="0" applyFont="1" applyFill="1" applyBorder="1" applyAlignment="1" applyProtection="1">
      <alignment horizontal="right" vertical="center" shrinkToFit="1"/>
      <protection hidden="1"/>
    </xf>
    <xf numFmtId="0" fontId="358" fillId="0" borderId="172" xfId="0" applyFont="1" applyFill="1" applyBorder="1" applyAlignment="1" applyProtection="1">
      <alignment horizontal="right" vertical="center" shrinkToFit="1"/>
      <protection hidden="1"/>
    </xf>
    <xf numFmtId="0" fontId="231" fillId="0" borderId="280" xfId="0" applyFont="1" applyFill="1" applyBorder="1" applyAlignment="1" applyProtection="1">
      <alignment horizontal="center" vertical="center" wrapText="1"/>
      <protection hidden="1"/>
    </xf>
    <xf numFmtId="0" fontId="231" fillId="0" borderId="281" xfId="0" applyFont="1" applyFill="1" applyBorder="1" applyAlignment="1" applyProtection="1">
      <alignment horizontal="center" vertical="center" wrapText="1"/>
      <protection hidden="1"/>
    </xf>
    <xf numFmtId="0" fontId="231" fillId="0" borderId="283" xfId="0" applyFont="1" applyFill="1" applyBorder="1" applyAlignment="1" applyProtection="1">
      <alignment horizontal="center" vertical="center" wrapText="1"/>
      <protection hidden="1"/>
    </xf>
    <xf numFmtId="0" fontId="101" fillId="0" borderId="65" xfId="0" applyFont="1" applyBorder="1" applyAlignment="1" applyProtection="1">
      <alignment horizontal="center" vertical="center" wrapText="1"/>
      <protection hidden="1"/>
    </xf>
    <xf numFmtId="0" fontId="101" fillId="0" borderId="66" xfId="0" applyFont="1" applyBorder="1" applyAlignment="1" applyProtection="1">
      <alignment horizontal="center" vertical="center" wrapText="1"/>
      <protection hidden="1"/>
    </xf>
    <xf numFmtId="0" fontId="101" fillId="0" borderId="67" xfId="0" applyFont="1" applyBorder="1" applyAlignment="1" applyProtection="1">
      <alignment horizontal="center" vertical="center" wrapText="1"/>
      <protection hidden="1"/>
    </xf>
    <xf numFmtId="0" fontId="101" fillId="0" borderId="68" xfId="0" applyFont="1" applyBorder="1" applyAlignment="1" applyProtection="1">
      <alignment horizontal="center" vertical="center" wrapText="1"/>
      <protection hidden="1"/>
    </xf>
    <xf numFmtId="0" fontId="101" fillId="0" borderId="0" xfId="0" applyFont="1" applyBorder="1" applyAlignment="1" applyProtection="1">
      <alignment horizontal="center" vertical="center" wrapText="1"/>
      <protection hidden="1"/>
    </xf>
    <xf numFmtId="0" fontId="101" fillId="0" borderId="69" xfId="0" applyFont="1" applyBorder="1" applyAlignment="1" applyProtection="1">
      <alignment horizontal="center" vertical="center" wrapText="1"/>
      <protection hidden="1"/>
    </xf>
    <xf numFmtId="0" fontId="101" fillId="0" borderId="70" xfId="0" applyFont="1" applyBorder="1" applyAlignment="1" applyProtection="1">
      <alignment horizontal="center" vertical="center" wrapText="1"/>
      <protection hidden="1"/>
    </xf>
    <xf numFmtId="0" fontId="101" fillId="0" borderId="71" xfId="0" applyFont="1" applyBorder="1" applyAlignment="1" applyProtection="1">
      <alignment horizontal="center" vertical="center" wrapText="1"/>
      <protection hidden="1"/>
    </xf>
    <xf numFmtId="0" fontId="101" fillId="0" borderId="72" xfId="0" applyFont="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6" fillId="0" borderId="0" xfId="0" applyFont="1" applyBorder="1" applyAlignment="1" applyProtection="1">
      <alignment horizontal="left" vertical="center"/>
      <protection hidden="1"/>
    </xf>
    <xf numFmtId="2" fontId="38" fillId="0" borderId="172" xfId="0" applyNumberFormat="1" applyFont="1" applyFill="1" applyBorder="1" applyAlignment="1" applyProtection="1">
      <alignment horizontal="center" vertical="center" wrapText="1"/>
      <protection hidden="1"/>
    </xf>
    <xf numFmtId="2" fontId="304" fillId="0" borderId="172" xfId="0" applyNumberFormat="1" applyFont="1" applyFill="1" applyBorder="1" applyAlignment="1" applyProtection="1">
      <alignment horizontal="center" vertical="center" wrapText="1"/>
      <protection hidden="1"/>
    </xf>
    <xf numFmtId="0" fontId="357" fillId="0" borderId="284" xfId="0" applyFont="1" applyFill="1" applyBorder="1" applyAlignment="1" applyProtection="1">
      <alignment horizontal="left" vertical="center" wrapText="1"/>
      <protection hidden="1"/>
    </xf>
    <xf numFmtId="0" fontId="357" fillId="0" borderId="172" xfId="0" applyFont="1" applyFill="1" applyBorder="1" applyAlignment="1" applyProtection="1">
      <alignment horizontal="left" vertical="center" wrapText="1"/>
      <protection hidden="1"/>
    </xf>
    <xf numFmtId="0" fontId="357" fillId="0" borderId="283" xfId="0" applyFont="1" applyFill="1" applyBorder="1" applyAlignment="1" applyProtection="1">
      <alignment horizontal="left" vertical="center" wrapText="1"/>
      <protection hidden="1"/>
    </xf>
    <xf numFmtId="2" fontId="38" fillId="0" borderId="283" xfId="0" applyNumberFormat="1" applyFont="1" applyFill="1" applyBorder="1" applyAlignment="1" applyProtection="1">
      <alignment horizontal="center" vertical="center" wrapText="1"/>
      <protection hidden="1"/>
    </xf>
    <xf numFmtId="2" fontId="270" fillId="0" borderId="172" xfId="0" applyNumberFormat="1" applyFont="1" applyFill="1" applyBorder="1" applyAlignment="1" applyProtection="1">
      <alignment horizontal="center" vertical="center" wrapText="1"/>
      <protection hidden="1"/>
    </xf>
    <xf numFmtId="2" fontId="270" fillId="0" borderId="283" xfId="0" applyNumberFormat="1" applyFont="1" applyFill="1" applyBorder="1" applyAlignment="1" applyProtection="1">
      <alignment horizontal="center" vertical="center" wrapText="1"/>
      <protection hidden="1"/>
    </xf>
  </cellXfs>
  <cellStyles count="6">
    <cellStyle name="Hyperlink" xfId="4" builtinId="8"/>
    <cellStyle name="Normal" xfId="0" builtinId="0"/>
    <cellStyle name="Normal 2" xfId="3"/>
    <cellStyle name="Normal 3" xfId="5"/>
    <cellStyle name="Normal_Sheet1" xfId="1"/>
    <cellStyle name="Normal_Sheet2" xfId="2"/>
  </cellStyles>
  <dxfs count="237">
    <dxf>
      <font>
        <color theme="0"/>
      </font>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b/>
        <i val="0"/>
        <color rgb="FF006100"/>
      </font>
      <fill>
        <patternFill>
          <bgColor rgb="FFC6EFCE"/>
        </patternFill>
      </fill>
    </dxf>
    <dxf>
      <font>
        <color auto="1"/>
      </font>
    </dxf>
    <dxf>
      <font>
        <b/>
        <i val="0"/>
        <color rgb="FF006100"/>
      </font>
      <fill>
        <patternFill>
          <bgColor rgb="FFC6EFCE"/>
        </patternFill>
      </fill>
    </dxf>
    <dxf>
      <font>
        <color auto="1"/>
      </font>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ill>
        <patternFill>
          <bgColor rgb="FFFFFF99"/>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lor theme="0"/>
      </font>
    </dxf>
    <dxf>
      <fill>
        <patternFill>
          <bgColor rgb="FFE0C1FF"/>
        </patternFill>
      </fill>
    </dxf>
    <dxf>
      <fill>
        <patternFill>
          <bgColor rgb="FFFFD3A7"/>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fill>
        <patternFill patternType="none">
          <fgColor indexed="64"/>
          <bgColor auto="1"/>
        </patternFill>
      </fill>
    </dxf>
    <dxf>
      <font>
        <condense val="0"/>
        <extend val="0"/>
        <color rgb="FF9C0006"/>
      </font>
      <fill>
        <patternFill>
          <bgColor rgb="FFFFC7CE"/>
        </patternFill>
      </fill>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theme="0"/>
      </font>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color theme="0"/>
      </font>
    </dxf>
    <dxf>
      <font>
        <b/>
        <i val="0"/>
        <color rgb="FFFF0000"/>
      </font>
      <fill>
        <patternFill>
          <bgColor theme="6" tint="0.79998168889431442"/>
        </patternFill>
      </fill>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0000CC"/>
      </font>
    </dxf>
    <dxf>
      <font>
        <b/>
        <i val="0"/>
        <color rgb="FFD60093"/>
      </font>
    </dxf>
    <dxf>
      <font>
        <b/>
        <i val="0"/>
        <color rgb="FF9900FF"/>
      </font>
    </dxf>
    <dxf>
      <font>
        <b/>
        <i val="0"/>
        <color rgb="FFFF0000"/>
      </font>
    </dxf>
    <dxf>
      <font>
        <b/>
        <i val="0"/>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ill>
        <patternFill>
          <bgColor rgb="FFE4ED8F"/>
        </patternFill>
      </fill>
    </dxf>
    <dxf>
      <fill>
        <patternFill>
          <bgColor rgb="FFE4ED8F"/>
        </patternFill>
      </fill>
    </dxf>
    <dxf>
      <fill>
        <patternFill>
          <bgColor rgb="FFE4ED8F"/>
        </patternFill>
      </fill>
    </dxf>
    <dxf>
      <fill>
        <patternFill>
          <bgColor rgb="FFE9E987"/>
        </patternFill>
      </fill>
    </dxf>
    <dxf>
      <font>
        <color rgb="FF0000FF"/>
      </font>
    </dxf>
    <dxf>
      <font>
        <color rgb="FFFF0000"/>
      </font>
    </dxf>
    <dxf>
      <font>
        <color rgb="FF339933"/>
      </font>
    </dxf>
    <dxf>
      <font>
        <color theme="0"/>
      </font>
    </dxf>
    <dxf>
      <font>
        <color auto="1"/>
      </font>
    </dxf>
    <dxf>
      <font>
        <color theme="0"/>
      </font>
    </dxf>
    <dxf>
      <font>
        <color theme="0"/>
      </font>
    </dxf>
    <dxf>
      <font>
        <color theme="0"/>
      </font>
    </dxf>
    <dxf>
      <fill>
        <patternFill>
          <bgColor theme="5" tint="0.79998168889431442"/>
        </patternFill>
      </fill>
    </dxf>
    <dxf>
      <font>
        <color rgb="FFFF0000"/>
      </font>
    </dxf>
    <dxf>
      <fill>
        <patternFill>
          <bgColor rgb="FFFFFF99"/>
        </patternFill>
      </fill>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6" tint="0.59996337778862885"/>
      </font>
      <fill>
        <patternFill>
          <bgColor theme="6" tint="0.59996337778862885"/>
        </patternFill>
      </fill>
    </dxf>
    <dxf>
      <font>
        <color theme="0"/>
      </font>
    </dxf>
    <dxf>
      <font>
        <color rgb="FFFFFFCC"/>
      </font>
    </dxf>
  </dxfs>
  <tableStyles count="0" defaultTableStyle="TableStyleMedium9" defaultPivotStyle="PivotStyleLight16"/>
  <colors>
    <mruColors>
      <color rgb="FF9900FF"/>
      <color rgb="FF004620"/>
      <color rgb="FF0000CC"/>
      <color rgb="FFE4ED8F"/>
      <color rgb="FFD60093"/>
      <color rgb="FF008E40"/>
      <color rgb="FFCC0099"/>
      <color rgb="FFE9E987"/>
      <color rgb="FFE2E6BA"/>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A1"/><Relationship Id="rId6" Type="http://schemas.openxmlformats.org/officeDocument/2006/relationships/image" Target="../media/image7.jpeg"/><Relationship Id="rId5" Type="http://schemas.openxmlformats.org/officeDocument/2006/relationships/image" Target="../media/image6.jpeg"/><Relationship Id="rId10" Type="http://schemas.openxmlformats.org/officeDocument/2006/relationships/image" Target="../media/image4.jpeg"/><Relationship Id="rId4" Type="http://schemas.openxmlformats.org/officeDocument/2006/relationships/image" Target="../media/image5.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8" Type="http://schemas.openxmlformats.org/officeDocument/2006/relationships/image" Target="../media/image15.jpeg"/><Relationship Id="rId3" Type="http://schemas.openxmlformats.org/officeDocument/2006/relationships/image" Target="../media/image10.jpeg"/><Relationship Id="rId7" Type="http://schemas.openxmlformats.org/officeDocument/2006/relationships/image" Target="../media/image14.jpeg"/><Relationship Id="rId12" Type="http://schemas.openxmlformats.org/officeDocument/2006/relationships/hyperlink" Target="#'Master Sheet'!A1"/><Relationship Id="rId2" Type="http://schemas.openxmlformats.org/officeDocument/2006/relationships/image" Target="../media/image9.jpeg"/><Relationship Id="rId1" Type="http://schemas.openxmlformats.org/officeDocument/2006/relationships/image" Target="../media/image8.jpeg"/><Relationship Id="rId6" Type="http://schemas.openxmlformats.org/officeDocument/2006/relationships/image" Target="../media/image13.jpeg"/><Relationship Id="rId11" Type="http://schemas.openxmlformats.org/officeDocument/2006/relationships/image" Target="../media/image18.jpeg"/><Relationship Id="rId5" Type="http://schemas.openxmlformats.org/officeDocument/2006/relationships/image" Target="../media/image12.jpeg"/><Relationship Id="rId10" Type="http://schemas.openxmlformats.org/officeDocument/2006/relationships/image" Target="../media/image17.jpeg"/><Relationship Id="rId4" Type="http://schemas.openxmlformats.org/officeDocument/2006/relationships/image" Target="../media/image11.jpeg"/><Relationship Id="rId9" Type="http://schemas.openxmlformats.org/officeDocument/2006/relationships/image" Target="../media/image16.jpeg"/></Relationships>
</file>

<file path=xl/drawings/_rels/drawing4.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hyperlink" Target="#'Master Sheet'!A1"/></Relationships>
</file>

<file path=xl/drawings/_rels/vmlDrawing2.vml.rels><?xml version="1.0" encoding="UTF-8" standalone="yes"?>
<Relationships xmlns="http://schemas.openxmlformats.org/package/2006/relationships"><Relationship Id="rId2" Type="http://schemas.openxmlformats.org/officeDocument/2006/relationships/image" Target="../media/image21.emf"/><Relationship Id="rId1" Type="http://schemas.openxmlformats.org/officeDocument/2006/relationships/image" Target="../media/image20.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1.emf"/><Relationship Id="rId1" Type="http://schemas.openxmlformats.org/officeDocument/2006/relationships/image" Target="../media/image23.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5.emf"/><Relationship Id="rId1"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1257300</xdr:colOff>
      <xdr:row>31</xdr:row>
      <xdr:rowOff>276225</xdr:rowOff>
    </xdr:from>
    <xdr:to>
      <xdr:col>0</xdr:col>
      <xdr:colOff>2800350</xdr:colOff>
      <xdr:row>36</xdr:row>
      <xdr:rowOff>22226</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257300" y="17192625"/>
          <a:ext cx="1543050" cy="1422401"/>
        </a:xfrm>
        <a:prstGeom prst="rect">
          <a:avLst/>
        </a:prstGeom>
        <a:ln>
          <a:noFill/>
        </a:ln>
        <a:effectLst>
          <a:softEdge rad="112500"/>
        </a:effectLst>
      </xdr:spPr>
    </xdr:pic>
    <xdr:clientData/>
  </xdr:twoCellAnchor>
  <xdr:twoCellAnchor editAs="oneCell">
    <xdr:from>
      <xdr:col>2</xdr:col>
      <xdr:colOff>2800350</xdr:colOff>
      <xdr:row>31</xdr:row>
      <xdr:rowOff>228600</xdr:rowOff>
    </xdr:from>
    <xdr:to>
      <xdr:col>3</xdr:col>
      <xdr:colOff>1552575</xdr:colOff>
      <xdr:row>36</xdr:row>
      <xdr:rowOff>104775</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572500" y="17440275"/>
          <a:ext cx="1638300" cy="15525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twoCellAnchor editAs="oneCell">
    <xdr:from>
      <xdr:col>4</xdr:col>
      <xdr:colOff>676274</xdr:colOff>
      <xdr:row>32</xdr:row>
      <xdr:rowOff>95250</xdr:rowOff>
    </xdr:from>
    <xdr:to>
      <xdr:col>4</xdr:col>
      <xdr:colOff>2285999</xdr:colOff>
      <xdr:row>37</xdr:row>
      <xdr:rowOff>19050</xdr:rowOff>
    </xdr:to>
    <xdr:pic>
      <xdr:nvPicPr>
        <xdr:cNvPr id="5" name="Picture 4" descr="tejaji.jpg"/>
        <xdr:cNvPicPr>
          <a:picLocks noChangeAspect="1"/>
        </xdr:cNvPicPr>
      </xdr:nvPicPr>
      <xdr:blipFill>
        <a:blip xmlns:r="http://schemas.openxmlformats.org/officeDocument/2006/relationships" r:embed="rId4"/>
        <a:stretch>
          <a:fillRect/>
        </a:stretch>
      </xdr:blipFill>
      <xdr:spPr>
        <a:xfrm>
          <a:off x="12220574" y="17659350"/>
          <a:ext cx="1609725" cy="1600200"/>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3352799</xdr:colOff>
      <xdr:row>21</xdr:row>
      <xdr:rowOff>114300</xdr:rowOff>
    </xdr:from>
    <xdr:to>
      <xdr:col>6</xdr:col>
      <xdr:colOff>57150</xdr:colOff>
      <xdr:row>23</xdr:row>
      <xdr:rowOff>200025</xdr:rowOff>
    </xdr:to>
    <xdr:sp macro="" textlink="">
      <xdr:nvSpPr>
        <xdr:cNvPr id="2" name="Bevel 1">
          <a:hlinkClick xmlns:r="http://schemas.openxmlformats.org/officeDocument/2006/relationships" r:id="rId1"/>
        </xdr:cNvPr>
        <xdr:cNvSpPr/>
      </xdr:nvSpPr>
      <xdr:spPr>
        <a:xfrm>
          <a:off x="7477124" y="6667500"/>
          <a:ext cx="2505076" cy="6381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276225</xdr:colOff>
      <xdr:row>21</xdr:row>
      <xdr:rowOff>66674</xdr:rowOff>
    </xdr:from>
    <xdr:to>
      <xdr:col>3</xdr:col>
      <xdr:colOff>2809875</xdr:colOff>
      <xdr:row>23</xdr:row>
      <xdr:rowOff>238125</xdr:rowOff>
    </xdr:to>
    <xdr:sp macro="" textlink="">
      <xdr:nvSpPr>
        <xdr:cNvPr id="3" name="Bevel 2">
          <a:hlinkClick xmlns:r="http://schemas.openxmlformats.org/officeDocument/2006/relationships" r:id="rId2"/>
        </xdr:cNvPr>
        <xdr:cNvSpPr/>
      </xdr:nvSpPr>
      <xdr:spPr>
        <a:xfrm>
          <a:off x="4400550" y="6619874"/>
          <a:ext cx="2533650" cy="723901"/>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704850</xdr:colOff>
      <xdr:row>20</xdr:row>
      <xdr:rowOff>304799</xdr:rowOff>
    </xdr:from>
    <xdr:to>
      <xdr:col>2</xdr:col>
      <xdr:colOff>3190875</xdr:colOff>
      <xdr:row>23</xdr:row>
      <xdr:rowOff>180975</xdr:rowOff>
    </xdr:to>
    <xdr:sp macro="" textlink="">
      <xdr:nvSpPr>
        <xdr:cNvPr id="4" name="Bevel 3">
          <a:hlinkClick xmlns:r="http://schemas.openxmlformats.org/officeDocument/2006/relationships" r:id="rId3"/>
        </xdr:cNvPr>
        <xdr:cNvSpPr/>
      </xdr:nvSpPr>
      <xdr:spPr>
        <a:xfrm>
          <a:off x="1352550" y="6543674"/>
          <a:ext cx="2486025" cy="742951"/>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a:t>
          </a:r>
          <a:r>
            <a:rPr lang="hi-IN" sz="1800" b="1">
              <a:solidFill>
                <a:schemeClr val="lt1"/>
              </a:solidFill>
              <a:latin typeface="+mn-lt"/>
              <a:ea typeface="+mn-ea"/>
              <a:cs typeface="+mn-cs"/>
            </a:rPr>
            <a:t> Entry</a:t>
          </a:r>
          <a:r>
            <a:rPr lang="en-US" sz="1800" b="1">
              <a:solidFill>
                <a:schemeClr val="lt1"/>
              </a:solidFill>
              <a:latin typeface="+mn-lt"/>
              <a:ea typeface="+mn-ea"/>
              <a:cs typeface="+mn-cs"/>
            </a:rPr>
            <a:t> </a:t>
          </a:r>
        </a:p>
      </xdr:txBody>
    </xdr:sp>
    <xdr:clientData/>
  </xdr:twoCellAnchor>
  <xdr:twoCellAnchor editAs="oneCell">
    <xdr:from>
      <xdr:col>22</xdr:col>
      <xdr:colOff>466726</xdr:colOff>
      <xdr:row>3</xdr:row>
      <xdr:rowOff>114299</xdr:rowOff>
    </xdr:from>
    <xdr:to>
      <xdr:col>22</xdr:col>
      <xdr:colOff>1762126</xdr:colOff>
      <xdr:row>8</xdr:row>
      <xdr:rowOff>180974</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29413201" y="990599"/>
          <a:ext cx="1295400" cy="1609725"/>
        </a:xfrm>
        <a:prstGeom prst="rect">
          <a:avLst/>
        </a:prstGeom>
        <a:noFill/>
      </xdr:spPr>
    </xdr:pic>
    <xdr:clientData/>
  </xdr:twoCellAnchor>
  <xdr:twoCellAnchor editAs="oneCell">
    <xdr:from>
      <xdr:col>19</xdr:col>
      <xdr:colOff>0</xdr:colOff>
      <xdr:row>2</xdr:row>
      <xdr:rowOff>114300</xdr:rowOff>
    </xdr:from>
    <xdr:to>
      <xdr:col>19</xdr:col>
      <xdr:colOff>0</xdr:colOff>
      <xdr:row>6</xdr:row>
      <xdr:rowOff>57150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16</xdr:col>
      <xdr:colOff>523874</xdr:colOff>
      <xdr:row>2</xdr:row>
      <xdr:rowOff>114300</xdr:rowOff>
    </xdr:from>
    <xdr:to>
      <xdr:col>16</xdr:col>
      <xdr:colOff>523874</xdr:colOff>
      <xdr:row>6</xdr:row>
      <xdr:rowOff>85725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6</xdr:col>
      <xdr:colOff>276226</xdr:colOff>
      <xdr:row>1</xdr:row>
      <xdr:rowOff>190500</xdr:rowOff>
    </xdr:from>
    <xdr:to>
      <xdr:col>7</xdr:col>
      <xdr:colOff>1914526</xdr:colOff>
      <xdr:row>2</xdr:row>
      <xdr:rowOff>371475</xdr:rowOff>
    </xdr:to>
    <xdr:sp macro="" textlink="">
      <xdr:nvSpPr>
        <xdr:cNvPr id="9" name="Rectangle 8"/>
        <xdr:cNvSpPr/>
      </xdr:nvSpPr>
      <xdr:spPr>
        <a:xfrm>
          <a:off x="10201276" y="381000"/>
          <a:ext cx="38862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11th Subject Teacher Name</a:t>
          </a:r>
        </a:p>
      </xdr:txBody>
    </xdr:sp>
    <xdr:clientData/>
  </xdr:twoCellAnchor>
  <xdr:twoCellAnchor>
    <xdr:from>
      <xdr:col>3</xdr:col>
      <xdr:colOff>752476</xdr:colOff>
      <xdr:row>1</xdr:row>
      <xdr:rowOff>238125</xdr:rowOff>
    </xdr:from>
    <xdr:to>
      <xdr:col>3</xdr:col>
      <xdr:colOff>2847976</xdr:colOff>
      <xdr:row>3</xdr:row>
      <xdr:rowOff>38100</xdr:rowOff>
    </xdr:to>
    <xdr:sp macro="" textlink="">
      <xdr:nvSpPr>
        <xdr:cNvPr id="10" name="Rectangle 9"/>
        <xdr:cNvSpPr/>
      </xdr:nvSpPr>
      <xdr:spPr>
        <a:xfrm>
          <a:off x="4876801" y="42862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1885949</xdr:colOff>
      <xdr:row>21</xdr:row>
      <xdr:rowOff>180975</xdr:rowOff>
    </xdr:from>
    <xdr:to>
      <xdr:col>9</xdr:col>
      <xdr:colOff>314325</xdr:colOff>
      <xdr:row>23</xdr:row>
      <xdr:rowOff>76200</xdr:rowOff>
    </xdr:to>
    <xdr:sp macro="" textlink="">
      <xdr:nvSpPr>
        <xdr:cNvPr id="11" name="Rectangle 10"/>
        <xdr:cNvSpPr/>
      </xdr:nvSpPr>
      <xdr:spPr>
        <a:xfrm>
          <a:off x="14058899" y="6686550"/>
          <a:ext cx="1962151"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8</xdr:col>
      <xdr:colOff>47625</xdr:colOff>
      <xdr:row>24</xdr:row>
      <xdr:rowOff>28575</xdr:rowOff>
    </xdr:from>
    <xdr:to>
      <xdr:col>8</xdr:col>
      <xdr:colOff>1362074</xdr:colOff>
      <xdr:row>24</xdr:row>
      <xdr:rowOff>762001</xdr:rowOff>
    </xdr:to>
    <xdr:pic>
      <xdr:nvPicPr>
        <xdr:cNvPr id="12" name="Picture 11" descr="download.jpg"/>
        <xdr:cNvPicPr>
          <a:picLocks noChangeAspect="1"/>
        </xdr:cNvPicPr>
      </xdr:nvPicPr>
      <xdr:blipFill>
        <a:blip xmlns:r="http://schemas.openxmlformats.org/officeDocument/2006/relationships" r:embed="rId6"/>
        <a:stretch>
          <a:fillRect/>
        </a:stretch>
      </xdr:blipFill>
      <xdr:spPr>
        <a:xfrm>
          <a:off x="14373225" y="7410450"/>
          <a:ext cx="1314449" cy="733426"/>
        </a:xfrm>
        <a:prstGeom prst="rect">
          <a:avLst/>
        </a:prstGeom>
      </xdr:spPr>
    </xdr:pic>
    <xdr:clientData/>
  </xdr:twoCellAnchor>
  <xdr:twoCellAnchor>
    <xdr:from>
      <xdr:col>2</xdr:col>
      <xdr:colOff>619125</xdr:colOff>
      <xdr:row>24</xdr:row>
      <xdr:rowOff>190500</xdr:rowOff>
    </xdr:from>
    <xdr:to>
      <xdr:col>2</xdr:col>
      <xdr:colOff>3362325</xdr:colOff>
      <xdr:row>24</xdr:row>
      <xdr:rowOff>609600</xdr:rowOff>
    </xdr:to>
    <xdr:sp macro="" textlink="">
      <xdr:nvSpPr>
        <xdr:cNvPr id="13" name="Rectangle 12">
          <a:hlinkClick xmlns:r="http://schemas.openxmlformats.org/officeDocument/2006/relationships" r:id="rId7"/>
        </xdr:cNvPr>
        <xdr:cNvSpPr/>
      </xdr:nvSpPr>
      <xdr:spPr>
        <a:xfrm>
          <a:off x="1266825" y="7572375"/>
          <a:ext cx="2743200" cy="419100"/>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200025</xdr:colOff>
      <xdr:row>24</xdr:row>
      <xdr:rowOff>209550</xdr:rowOff>
    </xdr:from>
    <xdr:to>
      <xdr:col>3</xdr:col>
      <xdr:colOff>2686050</xdr:colOff>
      <xdr:row>24</xdr:row>
      <xdr:rowOff>581025</xdr:rowOff>
    </xdr:to>
    <xdr:sp macro="" textlink="">
      <xdr:nvSpPr>
        <xdr:cNvPr id="14" name="Rectangle 13">
          <a:hlinkClick xmlns:r="http://schemas.openxmlformats.org/officeDocument/2006/relationships" r:id="rId8"/>
        </xdr:cNvPr>
        <xdr:cNvSpPr/>
      </xdr:nvSpPr>
      <xdr:spPr>
        <a:xfrm>
          <a:off x="4324350" y="7591425"/>
          <a:ext cx="2486025" cy="371475"/>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3238500</xdr:colOff>
      <xdr:row>24</xdr:row>
      <xdr:rowOff>219075</xdr:rowOff>
    </xdr:from>
    <xdr:to>
      <xdr:col>6</xdr:col>
      <xdr:colOff>19050</xdr:colOff>
      <xdr:row>24</xdr:row>
      <xdr:rowOff>638175</xdr:rowOff>
    </xdr:to>
    <xdr:sp macro="" textlink="">
      <xdr:nvSpPr>
        <xdr:cNvPr id="15" name="Rectangle 14">
          <a:hlinkClick xmlns:r="http://schemas.openxmlformats.org/officeDocument/2006/relationships" r:id="rId9"/>
        </xdr:cNvPr>
        <xdr:cNvSpPr/>
      </xdr:nvSpPr>
      <xdr:spPr>
        <a:xfrm>
          <a:off x="7362825" y="7600950"/>
          <a:ext cx="2581275" cy="419100"/>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twoCellAnchor editAs="oneCell">
    <xdr:from>
      <xdr:col>2</xdr:col>
      <xdr:colOff>466725</xdr:colOff>
      <xdr:row>27</xdr:row>
      <xdr:rowOff>171450</xdr:rowOff>
    </xdr:from>
    <xdr:to>
      <xdr:col>2</xdr:col>
      <xdr:colOff>2076450</xdr:colOff>
      <xdr:row>34</xdr:row>
      <xdr:rowOff>180975</xdr:rowOff>
    </xdr:to>
    <xdr:pic>
      <xdr:nvPicPr>
        <xdr:cNvPr id="16" name="Picture 15" descr="tejaji.jpg"/>
        <xdr:cNvPicPr>
          <a:picLocks noChangeAspect="1"/>
        </xdr:cNvPicPr>
      </xdr:nvPicPr>
      <xdr:blipFill>
        <a:blip xmlns:r="http://schemas.openxmlformats.org/officeDocument/2006/relationships" r:embed="rId10"/>
        <a:stretch>
          <a:fillRect/>
        </a:stretch>
      </xdr:blipFill>
      <xdr:spPr>
        <a:xfrm>
          <a:off x="1114425" y="8982075"/>
          <a:ext cx="1609725" cy="1600200"/>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28575</xdr:colOff>
      <xdr:row>3</xdr:row>
      <xdr:rowOff>38099</xdr:rowOff>
    </xdr:from>
    <xdr:to>
      <xdr:col>13</xdr:col>
      <xdr:colOff>885825</xdr:colOff>
      <xdr:row>3</xdr:row>
      <xdr:rowOff>857250</xdr:rowOff>
    </xdr:to>
    <xdr:pic>
      <xdr:nvPicPr>
        <xdr:cNvPr id="4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12372975" y="1676399"/>
          <a:ext cx="857250" cy="819151"/>
        </a:xfrm>
        <a:prstGeom prst="rect">
          <a:avLst/>
        </a:prstGeom>
        <a:noFill/>
        <a:ln w="9525">
          <a:noFill/>
          <a:miter lim="800000"/>
          <a:headEnd/>
          <a:tailEnd/>
        </a:ln>
      </xdr:spPr>
    </xdr:pic>
    <xdr:clientData/>
  </xdr:twoCellAnchor>
  <xdr:twoCellAnchor editAs="oneCell">
    <xdr:from>
      <xdr:col>13</xdr:col>
      <xdr:colOff>19050</xdr:colOff>
      <xdr:row>5</xdr:row>
      <xdr:rowOff>28575</xdr:rowOff>
    </xdr:from>
    <xdr:to>
      <xdr:col>13</xdr:col>
      <xdr:colOff>895350</xdr:colOff>
      <xdr:row>5</xdr:row>
      <xdr:rowOff>847725</xdr:rowOff>
    </xdr:to>
    <xdr:pic>
      <xdr:nvPicPr>
        <xdr:cNvPr id="10242"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12363450" y="3438525"/>
          <a:ext cx="876300" cy="819150"/>
        </a:xfrm>
        <a:prstGeom prst="rect">
          <a:avLst/>
        </a:prstGeom>
        <a:noFill/>
      </xdr:spPr>
    </xdr:pic>
    <xdr:clientData/>
  </xdr:twoCellAnchor>
  <xdr:twoCellAnchor editAs="oneCell">
    <xdr:from>
      <xdr:col>13</xdr:col>
      <xdr:colOff>28573</xdr:colOff>
      <xdr:row>8</xdr:row>
      <xdr:rowOff>38099</xdr:rowOff>
    </xdr:from>
    <xdr:to>
      <xdr:col>13</xdr:col>
      <xdr:colOff>923925</xdr:colOff>
      <xdr:row>8</xdr:row>
      <xdr:rowOff>847724</xdr:rowOff>
    </xdr:to>
    <xdr:pic>
      <xdr:nvPicPr>
        <xdr:cNvPr id="44"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12372973" y="6105524"/>
          <a:ext cx="895352" cy="809625"/>
        </a:xfrm>
        <a:prstGeom prst="rect">
          <a:avLst/>
        </a:prstGeom>
        <a:noFill/>
      </xdr:spPr>
    </xdr:pic>
    <xdr:clientData/>
  </xdr:twoCellAnchor>
  <xdr:twoCellAnchor editAs="oneCell">
    <xdr:from>
      <xdr:col>13</xdr:col>
      <xdr:colOff>28574</xdr:colOff>
      <xdr:row>6</xdr:row>
      <xdr:rowOff>9525</xdr:rowOff>
    </xdr:from>
    <xdr:to>
      <xdr:col>13</xdr:col>
      <xdr:colOff>895350</xdr:colOff>
      <xdr:row>6</xdr:row>
      <xdr:rowOff>866775</xdr:rowOff>
    </xdr:to>
    <xdr:pic>
      <xdr:nvPicPr>
        <xdr:cNvPr id="10244" name="Picture 4"/>
        <xdr:cNvPicPr>
          <a:picLocks noChangeAspect="1" noChangeArrowheads="1"/>
        </xdr:cNvPicPr>
      </xdr:nvPicPr>
      <xdr:blipFill>
        <a:blip xmlns:r="http://schemas.openxmlformats.org/officeDocument/2006/relationships" r:embed="rId4"/>
        <a:srcRect/>
        <a:stretch>
          <a:fillRect/>
        </a:stretch>
      </xdr:blipFill>
      <xdr:spPr bwMode="auto">
        <a:xfrm>
          <a:off x="12372974" y="4305300"/>
          <a:ext cx="866776" cy="857250"/>
        </a:xfrm>
        <a:prstGeom prst="rect">
          <a:avLst/>
        </a:prstGeom>
        <a:noFill/>
      </xdr:spPr>
    </xdr:pic>
    <xdr:clientData/>
  </xdr:twoCellAnchor>
  <xdr:twoCellAnchor editAs="oneCell">
    <xdr:from>
      <xdr:col>13</xdr:col>
      <xdr:colOff>19049</xdr:colOff>
      <xdr:row>3</xdr:row>
      <xdr:rowOff>862828</xdr:rowOff>
    </xdr:from>
    <xdr:to>
      <xdr:col>13</xdr:col>
      <xdr:colOff>942975</xdr:colOff>
      <xdr:row>4</xdr:row>
      <xdr:rowOff>847725</xdr:rowOff>
    </xdr:to>
    <xdr:pic>
      <xdr:nvPicPr>
        <xdr:cNvPr id="10246" name="Picture 6"/>
        <xdr:cNvPicPr>
          <a:picLocks noChangeAspect="1" noChangeArrowheads="1"/>
        </xdr:cNvPicPr>
      </xdr:nvPicPr>
      <xdr:blipFill>
        <a:blip xmlns:r="http://schemas.openxmlformats.org/officeDocument/2006/relationships" r:embed="rId5"/>
        <a:srcRect/>
        <a:stretch>
          <a:fillRect/>
        </a:stretch>
      </xdr:blipFill>
      <xdr:spPr bwMode="auto">
        <a:xfrm>
          <a:off x="12239624" y="2834503"/>
          <a:ext cx="923926" cy="870722"/>
        </a:xfrm>
        <a:prstGeom prst="rect">
          <a:avLst/>
        </a:prstGeom>
        <a:noFill/>
      </xdr:spPr>
    </xdr:pic>
    <xdr:clientData/>
  </xdr:twoCellAnchor>
  <xdr:twoCellAnchor editAs="oneCell">
    <xdr:from>
      <xdr:col>13</xdr:col>
      <xdr:colOff>19050</xdr:colOff>
      <xdr:row>7</xdr:row>
      <xdr:rowOff>19050</xdr:rowOff>
    </xdr:from>
    <xdr:to>
      <xdr:col>13</xdr:col>
      <xdr:colOff>895350</xdr:colOff>
      <xdr:row>7</xdr:row>
      <xdr:rowOff>876299</xdr:rowOff>
    </xdr:to>
    <xdr:pic>
      <xdr:nvPicPr>
        <xdr:cNvPr id="10248" name="Picture 8"/>
        <xdr:cNvPicPr>
          <a:picLocks noChangeAspect="1" noChangeArrowheads="1"/>
        </xdr:cNvPicPr>
      </xdr:nvPicPr>
      <xdr:blipFill>
        <a:blip xmlns:r="http://schemas.openxmlformats.org/officeDocument/2006/relationships" r:embed="rId6" cstate="print"/>
        <a:srcRect/>
        <a:stretch>
          <a:fillRect/>
        </a:stretch>
      </xdr:blipFill>
      <xdr:spPr bwMode="auto">
        <a:xfrm>
          <a:off x="12363450" y="5200650"/>
          <a:ext cx="876300" cy="857249"/>
        </a:xfrm>
        <a:prstGeom prst="rect">
          <a:avLst/>
        </a:prstGeom>
        <a:noFill/>
      </xdr:spPr>
    </xdr:pic>
    <xdr:clientData/>
  </xdr:twoCellAnchor>
  <xdr:twoCellAnchor editAs="oneCell">
    <xdr:from>
      <xdr:col>13</xdr:col>
      <xdr:colOff>19050</xdr:colOff>
      <xdr:row>9</xdr:row>
      <xdr:rowOff>28576</xdr:rowOff>
    </xdr:from>
    <xdr:to>
      <xdr:col>13</xdr:col>
      <xdr:colOff>914400</xdr:colOff>
      <xdr:row>10</xdr:row>
      <xdr:rowOff>1</xdr:rowOff>
    </xdr:to>
    <xdr:pic>
      <xdr:nvPicPr>
        <xdr:cNvPr id="10252" name="Picture 12"/>
        <xdr:cNvPicPr>
          <a:picLocks noChangeAspect="1" noChangeArrowheads="1"/>
        </xdr:cNvPicPr>
      </xdr:nvPicPr>
      <xdr:blipFill>
        <a:blip xmlns:r="http://schemas.openxmlformats.org/officeDocument/2006/relationships" r:embed="rId7" cstate="print"/>
        <a:srcRect/>
        <a:stretch>
          <a:fillRect/>
        </a:stretch>
      </xdr:blipFill>
      <xdr:spPr bwMode="auto">
        <a:xfrm>
          <a:off x="12363450" y="6981826"/>
          <a:ext cx="895350" cy="857250"/>
        </a:xfrm>
        <a:prstGeom prst="rect">
          <a:avLst/>
        </a:prstGeom>
        <a:noFill/>
      </xdr:spPr>
    </xdr:pic>
    <xdr:clientData/>
  </xdr:twoCellAnchor>
  <xdr:twoCellAnchor editAs="oneCell">
    <xdr:from>
      <xdr:col>13</xdr:col>
      <xdr:colOff>28574</xdr:colOff>
      <xdr:row>10</xdr:row>
      <xdr:rowOff>38099</xdr:rowOff>
    </xdr:from>
    <xdr:to>
      <xdr:col>13</xdr:col>
      <xdr:colOff>923925</xdr:colOff>
      <xdr:row>10</xdr:row>
      <xdr:rowOff>866774</xdr:rowOff>
    </xdr:to>
    <xdr:pic>
      <xdr:nvPicPr>
        <xdr:cNvPr id="10254" name="Picture 14"/>
        <xdr:cNvPicPr>
          <a:picLocks noChangeAspect="1" noChangeArrowheads="1"/>
        </xdr:cNvPicPr>
      </xdr:nvPicPr>
      <xdr:blipFill>
        <a:blip xmlns:r="http://schemas.openxmlformats.org/officeDocument/2006/relationships" r:embed="rId8"/>
        <a:srcRect/>
        <a:stretch>
          <a:fillRect/>
        </a:stretch>
      </xdr:blipFill>
      <xdr:spPr bwMode="auto">
        <a:xfrm>
          <a:off x="12372974" y="7877174"/>
          <a:ext cx="895351" cy="828675"/>
        </a:xfrm>
        <a:prstGeom prst="rect">
          <a:avLst/>
        </a:prstGeom>
        <a:noFill/>
      </xdr:spPr>
    </xdr:pic>
    <xdr:clientData/>
  </xdr:twoCellAnchor>
  <xdr:twoCellAnchor editAs="oneCell">
    <xdr:from>
      <xdr:col>13</xdr:col>
      <xdr:colOff>28575</xdr:colOff>
      <xdr:row>11</xdr:row>
      <xdr:rowOff>0</xdr:rowOff>
    </xdr:from>
    <xdr:to>
      <xdr:col>13</xdr:col>
      <xdr:colOff>923925</xdr:colOff>
      <xdr:row>11</xdr:row>
      <xdr:rowOff>866776</xdr:rowOff>
    </xdr:to>
    <xdr:pic>
      <xdr:nvPicPr>
        <xdr:cNvPr id="10256" name="Picture 16"/>
        <xdr:cNvPicPr>
          <a:picLocks noChangeAspect="1" noChangeArrowheads="1"/>
        </xdr:cNvPicPr>
      </xdr:nvPicPr>
      <xdr:blipFill>
        <a:blip xmlns:r="http://schemas.openxmlformats.org/officeDocument/2006/relationships" r:embed="rId9"/>
        <a:srcRect/>
        <a:stretch>
          <a:fillRect/>
        </a:stretch>
      </xdr:blipFill>
      <xdr:spPr bwMode="auto">
        <a:xfrm>
          <a:off x="12982575" y="8724900"/>
          <a:ext cx="895350" cy="866776"/>
        </a:xfrm>
        <a:prstGeom prst="rect">
          <a:avLst/>
        </a:prstGeom>
        <a:noFill/>
      </xdr:spPr>
    </xdr:pic>
    <xdr:clientData/>
  </xdr:twoCellAnchor>
  <xdr:twoCellAnchor editAs="oneCell">
    <xdr:from>
      <xdr:col>13</xdr:col>
      <xdr:colOff>28575</xdr:colOff>
      <xdr:row>12</xdr:row>
      <xdr:rowOff>17145</xdr:rowOff>
    </xdr:from>
    <xdr:to>
      <xdr:col>13</xdr:col>
      <xdr:colOff>914400</xdr:colOff>
      <xdr:row>12</xdr:row>
      <xdr:rowOff>866775</xdr:rowOff>
    </xdr:to>
    <xdr:pic>
      <xdr:nvPicPr>
        <xdr:cNvPr id="10258" name="Picture 18"/>
        <xdr:cNvPicPr>
          <a:picLocks noChangeAspect="1" noChangeArrowheads="1"/>
        </xdr:cNvPicPr>
      </xdr:nvPicPr>
      <xdr:blipFill>
        <a:blip xmlns:r="http://schemas.openxmlformats.org/officeDocument/2006/relationships" r:embed="rId10" cstate="print"/>
        <a:srcRect/>
        <a:stretch>
          <a:fillRect/>
        </a:stretch>
      </xdr:blipFill>
      <xdr:spPr bwMode="auto">
        <a:xfrm>
          <a:off x="12372975" y="9627870"/>
          <a:ext cx="885825" cy="849630"/>
        </a:xfrm>
        <a:prstGeom prst="rect">
          <a:avLst/>
        </a:prstGeom>
        <a:noFill/>
      </xdr:spPr>
    </xdr:pic>
    <xdr:clientData/>
  </xdr:twoCellAnchor>
  <xdr:twoCellAnchor editAs="oneCell">
    <xdr:from>
      <xdr:col>13</xdr:col>
      <xdr:colOff>38100</xdr:colOff>
      <xdr:row>13</xdr:row>
      <xdr:rowOff>28575</xdr:rowOff>
    </xdr:from>
    <xdr:to>
      <xdr:col>13</xdr:col>
      <xdr:colOff>904875</xdr:colOff>
      <xdr:row>13</xdr:row>
      <xdr:rowOff>857250</xdr:rowOff>
    </xdr:to>
    <xdr:pic>
      <xdr:nvPicPr>
        <xdr:cNvPr id="10260" name="Picture 20"/>
        <xdr:cNvPicPr>
          <a:picLocks noChangeAspect="1" noChangeArrowheads="1"/>
        </xdr:cNvPicPr>
      </xdr:nvPicPr>
      <xdr:blipFill>
        <a:blip xmlns:r="http://schemas.openxmlformats.org/officeDocument/2006/relationships" r:embed="rId11"/>
        <a:srcRect/>
        <a:stretch>
          <a:fillRect/>
        </a:stretch>
      </xdr:blipFill>
      <xdr:spPr bwMode="auto">
        <a:xfrm>
          <a:off x="12382500" y="10525125"/>
          <a:ext cx="866775" cy="828675"/>
        </a:xfrm>
        <a:prstGeom prst="rect">
          <a:avLst/>
        </a:prstGeom>
        <a:noFill/>
      </xdr:spPr>
    </xdr:pic>
    <xdr:clientData/>
  </xdr:twoCellAnchor>
  <xdr:twoCellAnchor>
    <xdr:from>
      <xdr:col>14</xdr:col>
      <xdr:colOff>228600</xdr:colOff>
      <xdr:row>0</xdr:row>
      <xdr:rowOff>0</xdr:rowOff>
    </xdr:from>
    <xdr:to>
      <xdr:col>16</xdr:col>
      <xdr:colOff>446809</xdr:colOff>
      <xdr:row>1</xdr:row>
      <xdr:rowOff>361949</xdr:rowOff>
    </xdr:to>
    <xdr:sp macro="" textlink="">
      <xdr:nvSpPr>
        <xdr:cNvPr id="14" name="Bevel 13">
          <a:hlinkClick xmlns:r="http://schemas.openxmlformats.org/officeDocument/2006/relationships" r:id="rId12"/>
        </xdr:cNvPr>
        <xdr:cNvSpPr/>
      </xdr:nvSpPr>
      <xdr:spPr>
        <a:xfrm>
          <a:off x="12077700" y="0"/>
          <a:ext cx="1608859" cy="752474"/>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13</xdr:col>
      <xdr:colOff>85725</xdr:colOff>
      <xdr:row>202</xdr:row>
      <xdr:rowOff>19050</xdr:rowOff>
    </xdr:from>
    <xdr:to>
      <xdr:col>13</xdr:col>
      <xdr:colOff>895350</xdr:colOff>
      <xdr:row>202</xdr:row>
      <xdr:rowOff>828675</xdr:rowOff>
    </xdr:to>
    <xdr:pic>
      <xdr:nvPicPr>
        <xdr:cNvPr id="15" name="Picture 11"/>
        <xdr:cNvPicPr>
          <a:picLocks noChangeAspect="1" noChangeArrowheads="1"/>
        </xdr:cNvPicPr>
      </xdr:nvPicPr>
      <xdr:blipFill>
        <a:blip xmlns:r="http://schemas.openxmlformats.org/officeDocument/2006/relationships" r:embed="rId3" cstate="print"/>
        <a:srcRect/>
        <a:stretch>
          <a:fillRect/>
        </a:stretch>
      </xdr:blipFill>
      <xdr:spPr bwMode="auto">
        <a:xfrm>
          <a:off x="12430125" y="177936525"/>
          <a:ext cx="809625" cy="8096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19050</xdr:colOff>
      <xdr:row>0</xdr:row>
      <xdr:rowOff>1</xdr:rowOff>
    </xdr:from>
    <xdr:to>
      <xdr:col>9</xdr:col>
      <xdr:colOff>361950</xdr:colOff>
      <xdr:row>1</xdr:row>
      <xdr:rowOff>359618</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8982075" y="1"/>
          <a:ext cx="790575" cy="673942"/>
        </a:xfrm>
        <a:prstGeom prst="rect">
          <a:avLst/>
        </a:prstGeom>
        <a:noFill/>
        <a:ln w="9525">
          <a:noFill/>
          <a:miter lim="800000"/>
          <a:headEnd/>
          <a:tailEnd/>
        </a:ln>
      </xdr:spPr>
    </xdr:pic>
    <xdr:clientData/>
  </xdr:twoCellAnchor>
  <xdr:twoCellAnchor>
    <xdr:from>
      <xdr:col>5</xdr:col>
      <xdr:colOff>333374</xdr:colOff>
      <xdr:row>218</xdr:row>
      <xdr:rowOff>142875</xdr:rowOff>
    </xdr:from>
    <xdr:to>
      <xdr:col>6</xdr:col>
      <xdr:colOff>647699</xdr:colOff>
      <xdr:row>220</xdr:row>
      <xdr:rowOff>247650</xdr:rowOff>
    </xdr:to>
    <xdr:sp macro="" textlink="">
      <xdr:nvSpPr>
        <xdr:cNvPr id="3" name="Bevel 2">
          <a:hlinkClick xmlns:r="http://schemas.openxmlformats.org/officeDocument/2006/relationships" r:id="rId2"/>
        </xdr:cNvPr>
        <xdr:cNvSpPr/>
      </xdr:nvSpPr>
      <xdr:spPr>
        <a:xfrm>
          <a:off x="3143249" y="55483125"/>
          <a:ext cx="2143125" cy="6191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1104900</xdr:colOff>
      <xdr:row>219</xdr:row>
      <xdr:rowOff>304800</xdr:rowOff>
    </xdr:from>
    <xdr:to>
      <xdr:col>6</xdr:col>
      <xdr:colOff>942975</xdr:colOff>
      <xdr:row>221</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5</xdr:col>
      <xdr:colOff>0</xdr:colOff>
      <xdr:row>0</xdr:row>
      <xdr:rowOff>38101</xdr:rowOff>
    </xdr:from>
    <xdr:to>
      <xdr:col>6</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18</xdr:col>
      <xdr:colOff>459910</xdr:colOff>
      <xdr:row>0</xdr:row>
      <xdr:rowOff>51954</xdr:rowOff>
    </xdr:from>
    <xdr:to>
      <xdr:col>19</xdr:col>
      <xdr:colOff>222554</xdr:colOff>
      <xdr:row>1</xdr:row>
      <xdr:rowOff>199159</xdr:rowOff>
    </xdr:to>
    <xdr:pic>
      <xdr:nvPicPr>
        <xdr:cNvPr id="6" name="Picture 5" descr="download.jpg"/>
        <xdr:cNvPicPr>
          <a:picLocks noChangeAspect="1"/>
        </xdr:cNvPicPr>
      </xdr:nvPicPr>
      <xdr:blipFill>
        <a:blip xmlns:r="http://schemas.openxmlformats.org/officeDocument/2006/relationships" r:embed="rId2" cstate="print"/>
        <a:stretch>
          <a:fillRect/>
        </a:stretch>
      </xdr:blipFill>
      <xdr:spPr>
        <a:xfrm>
          <a:off x="9370115" y="51954"/>
          <a:ext cx="419869" cy="4069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466725</xdr:colOff>
      <xdr:row>0</xdr:row>
      <xdr:rowOff>85725</xdr:rowOff>
    </xdr:from>
    <xdr:to>
      <xdr:col>15</xdr:col>
      <xdr:colOff>457564</xdr:colOff>
      <xdr:row>1</xdr:row>
      <xdr:rowOff>142875</xdr:rowOff>
    </xdr:to>
    <xdr:pic>
      <xdr:nvPicPr>
        <xdr:cNvPr id="4" name="Picture 3" descr="download.jpg"/>
        <xdr:cNvPicPr>
          <a:picLocks noChangeAspect="1"/>
        </xdr:cNvPicPr>
      </xdr:nvPicPr>
      <xdr:blipFill>
        <a:blip xmlns:r="http://schemas.openxmlformats.org/officeDocument/2006/relationships" r:embed="rId1" cstate="print"/>
        <a:stretch>
          <a:fillRect/>
        </a:stretch>
      </xdr:blipFill>
      <xdr:spPr>
        <a:xfrm>
          <a:off x="6315075" y="85725"/>
          <a:ext cx="353761" cy="342900"/>
        </a:xfrm>
        <a:prstGeom prst="rect">
          <a:avLst/>
        </a:prstGeom>
      </xdr:spPr>
    </xdr:pic>
    <xdr:clientData/>
  </xdr:twoCellAnchor>
  <xdr:twoCellAnchor editAs="oneCell">
    <xdr:from>
      <xdr:col>30</xdr:col>
      <xdr:colOff>428625</xdr:colOff>
      <xdr:row>0</xdr:row>
      <xdr:rowOff>47625</xdr:rowOff>
    </xdr:from>
    <xdr:to>
      <xdr:col>31</xdr:col>
      <xdr:colOff>457564</xdr:colOff>
      <xdr:row>1</xdr:row>
      <xdr:rowOff>104775</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13182600" y="47625"/>
          <a:ext cx="353761" cy="342900"/>
        </a:xfrm>
        <a:prstGeom prst="rect">
          <a:avLst/>
        </a:prstGeom>
      </xdr:spPr>
    </xdr:pic>
    <xdr:clientData/>
  </xdr:twoCellAnchor>
  <xdr:twoCellAnchor editAs="oneCell">
    <xdr:from>
      <xdr:col>14</xdr:col>
      <xdr:colOff>466725</xdr:colOff>
      <xdr:row>29</xdr:row>
      <xdr:rowOff>85725</xdr:rowOff>
    </xdr:from>
    <xdr:to>
      <xdr:col>15</xdr:col>
      <xdr:colOff>457564</xdr:colOff>
      <xdr:row>30</xdr:row>
      <xdr:rowOff>142875</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46227" y="85725"/>
          <a:ext cx="456592" cy="339012"/>
        </a:xfrm>
        <a:prstGeom prst="rect">
          <a:avLst/>
        </a:prstGeom>
      </xdr:spPr>
    </xdr:pic>
    <xdr:clientData/>
  </xdr:twoCellAnchor>
  <xdr:twoCellAnchor editAs="oneCell">
    <xdr:from>
      <xdr:col>30</xdr:col>
      <xdr:colOff>428625</xdr:colOff>
      <xdr:row>29</xdr:row>
      <xdr:rowOff>47625</xdr:rowOff>
    </xdr:from>
    <xdr:to>
      <xdr:col>31</xdr:col>
      <xdr:colOff>457564</xdr:colOff>
      <xdr:row>30</xdr:row>
      <xdr:rowOff>104775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14074645" y="47625"/>
          <a:ext cx="456592" cy="339012"/>
        </a:xfrm>
        <a:prstGeom prst="rect">
          <a:avLst/>
        </a:prstGeom>
      </xdr:spPr>
    </xdr:pic>
    <xdr:clientData/>
  </xdr:twoCellAnchor>
  <xdr:twoCellAnchor editAs="oneCell">
    <xdr:from>
      <xdr:col>14</xdr:col>
      <xdr:colOff>466725</xdr:colOff>
      <xdr:row>58</xdr:row>
      <xdr:rowOff>85725</xdr:rowOff>
    </xdr:from>
    <xdr:to>
      <xdr:col>15</xdr:col>
      <xdr:colOff>457564</xdr:colOff>
      <xdr:row>59</xdr:row>
      <xdr:rowOff>142875</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58</xdr:row>
      <xdr:rowOff>47625</xdr:rowOff>
    </xdr:from>
    <xdr:to>
      <xdr:col>31</xdr:col>
      <xdr:colOff>457564</xdr:colOff>
      <xdr:row>59</xdr:row>
      <xdr:rowOff>104775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87</xdr:row>
      <xdr:rowOff>85725</xdr:rowOff>
    </xdr:from>
    <xdr:to>
      <xdr:col>15</xdr:col>
      <xdr:colOff>457564</xdr:colOff>
      <xdr:row>88</xdr:row>
      <xdr:rowOff>142875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87</xdr:row>
      <xdr:rowOff>47625</xdr:rowOff>
    </xdr:from>
    <xdr:to>
      <xdr:col>31</xdr:col>
      <xdr:colOff>457564</xdr:colOff>
      <xdr:row>88</xdr:row>
      <xdr:rowOff>104775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116</xdr:row>
      <xdr:rowOff>85725</xdr:rowOff>
    </xdr:from>
    <xdr:to>
      <xdr:col>15</xdr:col>
      <xdr:colOff>457564</xdr:colOff>
      <xdr:row>117</xdr:row>
      <xdr:rowOff>142875</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116</xdr:row>
      <xdr:rowOff>47625</xdr:rowOff>
    </xdr:from>
    <xdr:to>
      <xdr:col>31</xdr:col>
      <xdr:colOff>457564</xdr:colOff>
      <xdr:row>117</xdr:row>
      <xdr:rowOff>104775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1113299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19</xdr:col>
      <xdr:colOff>0</xdr:colOff>
      <xdr:row>0</xdr:row>
      <xdr:rowOff>57151</xdr:rowOff>
    </xdr:from>
    <xdr:to>
      <xdr:col>19</xdr:col>
      <xdr:colOff>471681</xdr:colOff>
      <xdr:row>2</xdr:row>
      <xdr:rowOff>85726</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9916860" y="57151"/>
          <a:ext cx="471681" cy="457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heeralaljatchandawal@gmail.com" TargetMode="External"/><Relationship Id="rId7" Type="http://schemas.openxmlformats.org/officeDocument/2006/relationships/drawing" Target="../drawings/drawing1.xml"/><Relationship Id="rId2" Type="http://schemas.openxmlformats.org/officeDocument/2006/relationships/hyperlink" Target="https://youtu.be/5tJOXnI2VpI" TargetMode="External"/><Relationship Id="rId1" Type="http://schemas.openxmlformats.org/officeDocument/2006/relationships/hyperlink" Target="https://youtu.be/aJjzQ4EcoqQ" TargetMode="External"/><Relationship Id="rId6" Type="http://schemas.openxmlformats.org/officeDocument/2006/relationships/printerSettings" Target="../printerSettings/printerSettings1.bin"/><Relationship Id="rId5" Type="http://schemas.openxmlformats.org/officeDocument/2006/relationships/hyperlink" Target="https://youtu.be/MW5_wEb3PS8" TargetMode="External"/><Relationship Id="rId4" Type="http://schemas.openxmlformats.org/officeDocument/2006/relationships/hyperlink" Target="https://youtu.be/MW5_wEb3PS8"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youtu.be/MW5_wEb3PS8" TargetMode="External"/><Relationship Id="rId2" Type="http://schemas.openxmlformats.org/officeDocument/2006/relationships/hyperlink" Target="mailto:heeralaljatchandawal@gmail.com" TargetMode="External"/><Relationship Id="rId1" Type="http://schemas.openxmlformats.org/officeDocument/2006/relationships/hyperlink" Target="https://youtu.be/MW5_wEb3PS8"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R63"/>
  <sheetViews>
    <sheetView showGridLines="0" showRowColHeaders="0" tabSelected="1" workbookViewId="0">
      <selection activeCell="E4" sqref="E4"/>
    </sheetView>
  </sheetViews>
  <sheetFormatPr defaultColWidth="0" defaultRowHeight="27.95" customHeight="1" zeroHeight="1"/>
  <cols>
    <col min="1" max="5" width="37.875" style="21" customWidth="1"/>
    <col min="6" max="16384" width="37.875" style="21" hidden="1"/>
  </cols>
  <sheetData>
    <row r="1" spans="1:18" ht="60.75" customHeight="1" thickBot="1">
      <c r="A1" s="866" t="s">
        <v>313</v>
      </c>
      <c r="B1" s="867"/>
      <c r="C1" s="867"/>
      <c r="D1" s="868"/>
      <c r="E1" s="79"/>
      <c r="F1" s="22"/>
      <c r="G1" s="22"/>
      <c r="H1" s="22"/>
      <c r="I1" s="22"/>
      <c r="J1" s="23"/>
      <c r="K1" s="24"/>
      <c r="L1" s="24"/>
    </row>
    <row r="2" spans="1:18" ht="87.75" customHeight="1" thickBot="1">
      <c r="A2" s="914" t="s">
        <v>239</v>
      </c>
      <c r="B2" s="915"/>
      <c r="C2" s="915"/>
      <c r="D2" s="916"/>
      <c r="E2" s="80" t="s">
        <v>147</v>
      </c>
      <c r="F2" s="27"/>
      <c r="G2" s="27"/>
      <c r="H2" s="27"/>
      <c r="I2" s="27"/>
      <c r="J2" s="26"/>
      <c r="K2" s="25"/>
      <c r="L2" s="25"/>
      <c r="M2" s="25"/>
      <c r="N2" s="25"/>
      <c r="O2" s="25"/>
      <c r="P2" s="25"/>
      <c r="Q2" s="25"/>
      <c r="R2" s="25"/>
    </row>
    <row r="3" spans="1:18" ht="36" customHeight="1" thickBot="1">
      <c r="A3" s="917" t="s">
        <v>148</v>
      </c>
      <c r="B3" s="918"/>
      <c r="C3" s="918"/>
      <c r="D3" s="918"/>
      <c r="E3" s="81" t="s">
        <v>176</v>
      </c>
      <c r="F3" s="27"/>
      <c r="G3" s="27"/>
      <c r="H3" s="27"/>
      <c r="I3" s="27"/>
      <c r="J3" s="26"/>
      <c r="K3" s="25"/>
      <c r="L3" s="25"/>
      <c r="M3" s="25"/>
      <c r="N3" s="25"/>
      <c r="O3" s="25"/>
      <c r="P3" s="25"/>
      <c r="Q3" s="25"/>
      <c r="R3" s="25"/>
    </row>
    <row r="4" spans="1:18" ht="63.75" customHeight="1" thickBot="1">
      <c r="A4" s="919" t="s">
        <v>149</v>
      </c>
      <c r="B4" s="920"/>
      <c r="C4" s="920"/>
      <c r="D4" s="921"/>
      <c r="E4" s="477" t="s">
        <v>238</v>
      </c>
      <c r="F4" s="27"/>
      <c r="G4" s="27"/>
      <c r="H4" s="27"/>
      <c r="I4" s="27"/>
      <c r="J4" s="26"/>
      <c r="K4" s="25"/>
      <c r="L4" s="25"/>
      <c r="M4" s="25"/>
      <c r="N4" s="25"/>
      <c r="O4" s="25"/>
      <c r="P4" s="25"/>
      <c r="Q4" s="25"/>
      <c r="R4" s="25"/>
    </row>
    <row r="5" spans="1:18" ht="36.75" customHeight="1" thickBot="1">
      <c r="A5" s="911" t="s">
        <v>150</v>
      </c>
      <c r="B5" s="912"/>
      <c r="C5" s="912"/>
      <c r="D5" s="913"/>
      <c r="E5" s="478">
        <v>46079</v>
      </c>
      <c r="F5" s="27"/>
      <c r="G5" s="27"/>
      <c r="H5" s="27"/>
      <c r="I5" s="27"/>
      <c r="J5" s="26"/>
      <c r="K5" s="25"/>
      <c r="L5" s="25"/>
      <c r="M5" s="25"/>
      <c r="N5" s="25"/>
      <c r="O5" s="25"/>
      <c r="P5" s="25"/>
      <c r="Q5" s="25"/>
      <c r="R5" s="25"/>
    </row>
    <row r="6" spans="1:18" ht="33.75" customHeight="1">
      <c r="A6" s="903" t="s">
        <v>151</v>
      </c>
      <c r="B6" s="904"/>
      <c r="C6" s="904"/>
      <c r="D6" s="905"/>
      <c r="E6" s="475" t="s">
        <v>236</v>
      </c>
      <c r="F6" s="27"/>
      <c r="G6" s="27"/>
      <c r="H6" s="27"/>
      <c r="I6" s="27"/>
      <c r="J6" s="26"/>
      <c r="K6" s="25"/>
      <c r="L6" s="25"/>
      <c r="M6" s="25"/>
      <c r="N6" s="25"/>
      <c r="O6" s="25"/>
      <c r="P6" s="25"/>
      <c r="Q6" s="25"/>
      <c r="R6" s="25"/>
    </row>
    <row r="7" spans="1:18" ht="37.5" customHeight="1" thickBot="1">
      <c r="A7" s="929" t="s">
        <v>152</v>
      </c>
      <c r="B7" s="930"/>
      <c r="C7" s="930"/>
      <c r="D7" s="931"/>
      <c r="E7" s="775" t="s">
        <v>294</v>
      </c>
      <c r="F7" s="27"/>
      <c r="G7" s="27"/>
      <c r="H7" s="27"/>
      <c r="I7" s="27"/>
      <c r="J7" s="26"/>
      <c r="K7" s="25"/>
      <c r="L7" s="25"/>
      <c r="M7" s="25"/>
      <c r="N7" s="25"/>
      <c r="O7" s="25"/>
      <c r="P7" s="25"/>
      <c r="Q7" s="25"/>
      <c r="R7" s="25"/>
    </row>
    <row r="8" spans="1:18" ht="27.95" customHeight="1" thickBot="1">
      <c r="A8" s="906" t="s">
        <v>153</v>
      </c>
      <c r="B8" s="907"/>
      <c r="C8" s="907"/>
      <c r="D8" s="907"/>
      <c r="E8" s="844" t="s">
        <v>312</v>
      </c>
      <c r="F8" s="28"/>
      <c r="G8" s="28"/>
      <c r="H8" s="28"/>
      <c r="I8" s="28"/>
      <c r="J8" s="25"/>
      <c r="K8" s="25"/>
      <c r="L8" s="25"/>
      <c r="M8" s="25"/>
      <c r="N8" s="25"/>
      <c r="O8" s="25"/>
      <c r="P8" s="25"/>
      <c r="Q8" s="25"/>
      <c r="R8" s="25"/>
    </row>
    <row r="9" spans="1:18" ht="27.95" customHeight="1">
      <c r="A9" s="894" t="s">
        <v>154</v>
      </c>
      <c r="B9" s="895"/>
      <c r="C9" s="895"/>
      <c r="D9" s="896"/>
      <c r="E9" s="825" t="s">
        <v>308</v>
      </c>
      <c r="F9" s="29"/>
      <c r="G9" s="29"/>
      <c r="H9" s="29"/>
      <c r="I9" s="29"/>
      <c r="J9" s="25"/>
      <c r="K9" s="25"/>
      <c r="L9" s="25"/>
      <c r="M9" s="25"/>
      <c r="N9" s="25"/>
      <c r="O9" s="25"/>
      <c r="P9" s="25"/>
      <c r="Q9" s="25"/>
      <c r="R9" s="25"/>
    </row>
    <row r="10" spans="1:18" ht="45.75" customHeight="1">
      <c r="A10" s="897" t="s">
        <v>155</v>
      </c>
      <c r="B10" s="898"/>
      <c r="C10" s="898"/>
      <c r="D10" s="899"/>
      <c r="E10" s="80"/>
      <c r="F10" s="29"/>
      <c r="G10" s="29"/>
      <c r="H10" s="29"/>
      <c r="I10" s="29"/>
      <c r="J10" s="25"/>
      <c r="K10" s="25"/>
      <c r="L10" s="25"/>
      <c r="M10" s="25"/>
      <c r="N10" s="25"/>
      <c r="O10" s="25"/>
      <c r="P10" s="25"/>
      <c r="Q10" s="25"/>
      <c r="R10" s="25"/>
    </row>
    <row r="11" spans="1:18" ht="81.75" customHeight="1">
      <c r="A11" s="900" t="s">
        <v>156</v>
      </c>
      <c r="B11" s="901"/>
      <c r="C11" s="901"/>
      <c r="D11" s="902"/>
      <c r="E11" s="80"/>
      <c r="F11" s="29"/>
      <c r="G11" s="29"/>
      <c r="H11" s="29"/>
      <c r="I11" s="29"/>
      <c r="J11" s="25"/>
      <c r="K11" s="25"/>
      <c r="L11" s="25"/>
      <c r="M11" s="25"/>
      <c r="N11" s="25"/>
      <c r="O11" s="25"/>
      <c r="P11" s="25"/>
      <c r="Q11" s="25"/>
      <c r="R11" s="25"/>
    </row>
    <row r="12" spans="1:18" ht="66.75" customHeight="1" thickBot="1">
      <c r="A12" s="932" t="s">
        <v>157</v>
      </c>
      <c r="B12" s="933"/>
      <c r="C12" s="933"/>
      <c r="D12" s="934"/>
      <c r="E12" s="80"/>
      <c r="F12" s="29"/>
      <c r="G12" s="29"/>
      <c r="H12" s="29"/>
      <c r="I12" s="29"/>
      <c r="J12" s="25"/>
      <c r="K12" s="25"/>
      <c r="L12" s="25"/>
      <c r="M12" s="25"/>
      <c r="N12" s="25"/>
      <c r="O12" s="25"/>
      <c r="P12" s="25"/>
      <c r="Q12" s="25"/>
      <c r="R12" s="25"/>
    </row>
    <row r="13" spans="1:18" ht="27.95" customHeight="1" thickBot="1">
      <c r="A13" s="922" t="s">
        <v>171</v>
      </c>
      <c r="B13" s="923"/>
      <c r="C13" s="923"/>
      <c r="D13" s="923"/>
      <c r="E13" s="80"/>
      <c r="F13" s="30"/>
      <c r="G13" s="30"/>
      <c r="H13" s="30"/>
      <c r="I13" s="30"/>
      <c r="J13" s="25"/>
      <c r="K13" s="25"/>
      <c r="L13" s="25"/>
      <c r="M13" s="25"/>
      <c r="N13" s="25"/>
      <c r="O13" s="25"/>
      <c r="P13" s="25"/>
      <c r="Q13" s="25"/>
      <c r="R13" s="25"/>
    </row>
    <row r="14" spans="1:18" ht="43.5" customHeight="1">
      <c r="A14" s="891" t="s">
        <v>158</v>
      </c>
      <c r="B14" s="892"/>
      <c r="C14" s="892"/>
      <c r="D14" s="893"/>
      <c r="E14" s="80"/>
      <c r="F14" s="31"/>
      <c r="G14" s="31"/>
      <c r="H14" s="31"/>
      <c r="I14" s="31"/>
      <c r="J14" s="25"/>
      <c r="K14" s="25"/>
      <c r="L14" s="25"/>
      <c r="M14" s="25"/>
      <c r="N14" s="25"/>
      <c r="O14" s="25"/>
      <c r="P14" s="25"/>
      <c r="Q14" s="25"/>
      <c r="R14" s="25"/>
    </row>
    <row r="15" spans="1:18" ht="39" customHeight="1" thickBot="1">
      <c r="A15" s="924" t="s">
        <v>159</v>
      </c>
      <c r="B15" s="925"/>
      <c r="C15" s="925"/>
      <c r="D15" s="926"/>
      <c r="E15" s="80"/>
      <c r="F15" s="31"/>
      <c r="G15" s="31"/>
      <c r="H15" s="31"/>
      <c r="I15" s="31"/>
      <c r="J15" s="25"/>
      <c r="K15" s="25"/>
      <c r="L15" s="25"/>
      <c r="M15" s="25"/>
      <c r="N15" s="25"/>
      <c r="O15" s="25"/>
      <c r="P15" s="25"/>
      <c r="Q15" s="25"/>
      <c r="R15" s="25"/>
    </row>
    <row r="16" spans="1:18" ht="27.95" customHeight="1" thickBot="1">
      <c r="A16" s="927" t="s">
        <v>160</v>
      </c>
      <c r="B16" s="928"/>
      <c r="C16" s="928"/>
      <c r="D16" s="928"/>
      <c r="E16" s="80"/>
      <c r="F16" s="27"/>
      <c r="G16" s="27"/>
      <c r="H16" s="27"/>
      <c r="I16" s="27"/>
      <c r="J16" s="25"/>
      <c r="K16" s="25"/>
      <c r="L16" s="25"/>
      <c r="M16" s="25"/>
      <c r="N16" s="25"/>
      <c r="O16" s="25"/>
      <c r="P16" s="25"/>
      <c r="Q16" s="25"/>
      <c r="R16" s="25"/>
    </row>
    <row r="17" spans="1:18" ht="33" customHeight="1">
      <c r="A17" s="891" t="s">
        <v>162</v>
      </c>
      <c r="B17" s="892"/>
      <c r="C17" s="892"/>
      <c r="D17" s="893"/>
      <c r="E17" s="82"/>
      <c r="F17" s="27"/>
      <c r="G17" s="27"/>
      <c r="H17" s="27"/>
      <c r="I17" s="27"/>
      <c r="J17" s="25"/>
      <c r="K17" s="25"/>
      <c r="L17" s="25"/>
      <c r="M17" s="25"/>
      <c r="N17" s="25"/>
      <c r="O17" s="25"/>
      <c r="P17" s="25"/>
      <c r="Q17" s="25"/>
      <c r="R17" s="25"/>
    </row>
    <row r="18" spans="1:18" ht="27.95" customHeight="1" thickBot="1">
      <c r="A18" s="886" t="s">
        <v>161</v>
      </c>
      <c r="B18" s="887"/>
      <c r="C18" s="887"/>
      <c r="D18" s="888"/>
      <c r="E18" s="82"/>
      <c r="F18" s="27"/>
      <c r="G18" s="27"/>
      <c r="H18" s="27"/>
      <c r="I18" s="27"/>
      <c r="J18" s="25"/>
      <c r="K18" s="25"/>
      <c r="L18" s="25"/>
      <c r="M18" s="25"/>
      <c r="N18" s="25"/>
      <c r="O18" s="25"/>
      <c r="P18" s="25"/>
      <c r="Q18" s="25"/>
      <c r="R18" s="25"/>
    </row>
    <row r="19" spans="1:18" ht="28.5" thickBot="1">
      <c r="A19" s="889" t="s">
        <v>163</v>
      </c>
      <c r="B19" s="890"/>
      <c r="C19" s="890"/>
      <c r="D19" s="890"/>
      <c r="E19" s="79"/>
      <c r="F19" s="27"/>
      <c r="G19" s="27"/>
      <c r="H19" s="27"/>
      <c r="I19" s="27"/>
    </row>
    <row r="20" spans="1:18" ht="27.75" customHeight="1">
      <c r="A20" s="891" t="s">
        <v>164</v>
      </c>
      <c r="B20" s="892"/>
      <c r="C20" s="892"/>
      <c r="D20" s="893"/>
      <c r="E20" s="79"/>
      <c r="F20" s="33"/>
      <c r="G20" s="33"/>
      <c r="H20" s="33"/>
      <c r="I20" s="33"/>
    </row>
    <row r="21" spans="1:18" ht="63" customHeight="1">
      <c r="A21" s="880" t="s">
        <v>183</v>
      </c>
      <c r="B21" s="881"/>
      <c r="C21" s="881"/>
      <c r="D21" s="882"/>
      <c r="E21" s="79"/>
      <c r="F21" s="33"/>
      <c r="G21" s="33"/>
      <c r="H21" s="33"/>
      <c r="I21" s="33"/>
    </row>
    <row r="22" spans="1:18" ht="21.75" customHeight="1">
      <c r="A22" s="883" t="s">
        <v>165</v>
      </c>
      <c r="B22" s="884"/>
      <c r="C22" s="884"/>
      <c r="D22" s="885"/>
      <c r="E22" s="79"/>
      <c r="F22" s="32"/>
      <c r="G22" s="32"/>
      <c r="H22" s="32"/>
      <c r="I22" s="32"/>
    </row>
    <row r="23" spans="1:18" ht="23.25" customHeight="1" thickBot="1">
      <c r="A23" s="886" t="s">
        <v>166</v>
      </c>
      <c r="B23" s="887"/>
      <c r="C23" s="887"/>
      <c r="D23" s="888"/>
      <c r="E23" s="79"/>
      <c r="F23" s="34"/>
      <c r="G23" s="34"/>
      <c r="H23" s="34"/>
      <c r="I23" s="34"/>
    </row>
    <row r="24" spans="1:18" ht="34.5" thickBot="1">
      <c r="A24" s="869" t="s">
        <v>167</v>
      </c>
      <c r="B24" s="870"/>
      <c r="C24" s="870"/>
      <c r="D24" s="870"/>
      <c r="E24" s="79"/>
      <c r="F24" s="35"/>
      <c r="G24" s="35"/>
      <c r="H24" s="35"/>
      <c r="I24" s="35"/>
    </row>
    <row r="25" spans="1:18" ht="46.5" customHeight="1">
      <c r="A25" s="871" t="s">
        <v>168</v>
      </c>
      <c r="B25" s="872"/>
      <c r="C25" s="872"/>
      <c r="D25" s="873"/>
      <c r="E25" s="79"/>
      <c r="F25" s="36"/>
      <c r="G25" s="36"/>
      <c r="H25" s="36"/>
      <c r="I25" s="36"/>
    </row>
    <row r="26" spans="1:18" ht="39.75" customHeight="1">
      <c r="A26" s="874" t="s">
        <v>169</v>
      </c>
      <c r="B26" s="875"/>
      <c r="C26" s="875"/>
      <c r="D26" s="876"/>
      <c r="E26" s="79"/>
      <c r="F26" s="36"/>
      <c r="G26" s="36"/>
      <c r="H26" s="36"/>
      <c r="I26" s="36"/>
    </row>
    <row r="27" spans="1:18" ht="96.75" customHeight="1" thickBot="1">
      <c r="A27" s="877" t="s">
        <v>172</v>
      </c>
      <c r="B27" s="878"/>
      <c r="C27" s="878"/>
      <c r="D27" s="879"/>
      <c r="E27" s="79"/>
      <c r="F27" s="37"/>
      <c r="G27" s="37"/>
      <c r="H27" s="37"/>
      <c r="I27" s="37"/>
    </row>
    <row r="28" spans="1:18" ht="34.5" thickBot="1">
      <c r="A28" s="935" t="s">
        <v>170</v>
      </c>
      <c r="B28" s="936"/>
      <c r="C28" s="936"/>
      <c r="D28" s="936"/>
      <c r="E28" s="79"/>
      <c r="F28" s="35"/>
      <c r="G28" s="35"/>
      <c r="H28" s="35"/>
      <c r="I28" s="35"/>
    </row>
    <row r="29" spans="1:18" ht="23.25" customHeight="1">
      <c r="A29" s="937" t="s">
        <v>173</v>
      </c>
      <c r="B29" s="938"/>
      <c r="C29" s="938"/>
      <c r="D29" s="939"/>
      <c r="E29" s="79"/>
    </row>
    <row r="30" spans="1:18" ht="72.75" customHeight="1" thickBot="1">
      <c r="A30" s="851" t="s">
        <v>174</v>
      </c>
      <c r="B30" s="852"/>
      <c r="C30" s="852"/>
      <c r="D30" s="853"/>
      <c r="E30" s="79"/>
    </row>
    <row r="31" spans="1:18" ht="38.25" customHeight="1" thickBot="1">
      <c r="A31" s="854" t="s">
        <v>175</v>
      </c>
      <c r="B31" s="855"/>
      <c r="C31" s="855"/>
      <c r="D31" s="856"/>
      <c r="E31" s="79"/>
    </row>
    <row r="32" spans="1:18" ht="27.95" customHeight="1">
      <c r="A32" s="857" t="s">
        <v>107</v>
      </c>
      <c r="B32" s="858"/>
      <c r="C32" s="858"/>
      <c r="D32" s="859"/>
      <c r="E32" s="79"/>
    </row>
    <row r="33" spans="1:5" ht="27.95" customHeight="1">
      <c r="A33" s="860" t="s">
        <v>104</v>
      </c>
      <c r="B33" s="861"/>
      <c r="C33" s="861"/>
      <c r="D33" s="862"/>
      <c r="E33" s="79"/>
    </row>
    <row r="34" spans="1:5" ht="21">
      <c r="A34" s="863" t="s">
        <v>108</v>
      </c>
      <c r="B34" s="864"/>
      <c r="C34" s="864"/>
      <c r="D34" s="865"/>
      <c r="E34" s="79"/>
    </row>
    <row r="35" spans="1:5" ht="27.95" customHeight="1">
      <c r="A35" s="845" t="s">
        <v>105</v>
      </c>
      <c r="B35" s="846"/>
      <c r="C35" s="846"/>
      <c r="D35" s="847"/>
      <c r="E35" s="79"/>
    </row>
    <row r="36" spans="1:5" ht="27.95" customHeight="1">
      <c r="A36" s="848" t="s">
        <v>106</v>
      </c>
      <c r="B36" s="849"/>
      <c r="C36" s="849"/>
      <c r="D36" s="850"/>
      <c r="E36" s="79"/>
    </row>
    <row r="37" spans="1:5" ht="27.95" customHeight="1">
      <c r="A37" s="848"/>
      <c r="B37" s="849"/>
      <c r="C37" s="849"/>
      <c r="D37" s="850"/>
      <c r="E37" s="79"/>
    </row>
    <row r="38" spans="1:5" ht="27.95" customHeight="1" thickBot="1">
      <c r="A38" s="908" t="s">
        <v>312</v>
      </c>
      <c r="B38" s="909"/>
      <c r="C38" s="909"/>
      <c r="D38" s="910"/>
      <c r="E38" s="79"/>
    </row>
    <row r="39" spans="1:5" ht="27.95" customHeight="1">
      <c r="A39" s="79"/>
      <c r="B39" s="79"/>
      <c r="C39" s="79"/>
      <c r="D39" s="79"/>
      <c r="E39" s="79"/>
    </row>
    <row r="40" spans="1:5" ht="27.95" customHeight="1">
      <c r="A40" s="79"/>
      <c r="B40" s="79"/>
      <c r="C40" s="79"/>
      <c r="D40" s="79"/>
      <c r="E40" s="79"/>
    </row>
    <row r="41" spans="1:5" ht="27.95" hidden="1" customHeight="1">
      <c r="E41" s="79"/>
    </row>
    <row r="42" spans="1:5" ht="27.95" hidden="1" customHeight="1">
      <c r="E42" s="79"/>
    </row>
    <row r="43" spans="1:5" ht="27.95" hidden="1" customHeight="1">
      <c r="E43" s="79"/>
    </row>
    <row r="44" spans="1:5" ht="27.95" hidden="1" customHeight="1">
      <c r="E44" s="79"/>
    </row>
    <row r="45" spans="1:5" ht="27.95" hidden="1" customHeight="1">
      <c r="E45" s="79"/>
    </row>
    <row r="46" spans="1:5" ht="27.95" hidden="1" customHeight="1">
      <c r="E46" s="79"/>
    </row>
    <row r="47" spans="1:5" ht="27.95" hidden="1" customHeight="1">
      <c r="E47" s="79"/>
    </row>
    <row r="48" spans="1:5" ht="27.95" hidden="1" customHeight="1">
      <c r="E48" s="79"/>
    </row>
    <row r="49" spans="5:5" ht="27.95" hidden="1" customHeight="1">
      <c r="E49" s="79"/>
    </row>
    <row r="50" spans="5:5" ht="27.95" hidden="1" customHeight="1">
      <c r="E50" s="79"/>
    </row>
    <row r="51" spans="5:5" ht="27.95" hidden="1" customHeight="1">
      <c r="E51" s="79"/>
    </row>
    <row r="52" spans="5:5" ht="27.95" hidden="1" customHeight="1">
      <c r="E52" s="79"/>
    </row>
    <row r="53" spans="5:5" ht="27.95" hidden="1" customHeight="1">
      <c r="E53" s="79"/>
    </row>
    <row r="54" spans="5:5" ht="27.95" hidden="1" customHeight="1">
      <c r="E54" s="79"/>
    </row>
    <row r="55" spans="5:5" ht="27.95" hidden="1" customHeight="1">
      <c r="E55" s="79"/>
    </row>
    <row r="56" spans="5:5" ht="27.95" hidden="1" customHeight="1">
      <c r="E56" s="79"/>
    </row>
    <row r="57" spans="5:5" ht="27.95" hidden="1" customHeight="1">
      <c r="E57" s="79"/>
    </row>
    <row r="58" spans="5:5" ht="27.95" hidden="1" customHeight="1">
      <c r="E58" s="79"/>
    </row>
    <row r="59" spans="5:5" ht="27.95" hidden="1" customHeight="1">
      <c r="E59" s="79"/>
    </row>
    <row r="60" spans="5:5" ht="27.95" hidden="1" customHeight="1">
      <c r="E60" s="79"/>
    </row>
    <row r="61" spans="5:5" ht="27.95" hidden="1" customHeight="1">
      <c r="E61" s="79"/>
    </row>
    <row r="62" spans="5:5" ht="27.95" hidden="1" customHeight="1">
      <c r="E62" s="79"/>
    </row>
    <row r="63" spans="5:5" ht="27.95" customHeight="1"/>
  </sheetData>
  <sheetProtection password="C1FB" sheet="1" objects="1" scenarios="1" selectLockedCells="1"/>
  <mergeCells count="38">
    <mergeCell ref="A38:D38"/>
    <mergeCell ref="A5:D5"/>
    <mergeCell ref="A2:D2"/>
    <mergeCell ref="A3:D3"/>
    <mergeCell ref="A4:D4"/>
    <mergeCell ref="A13:D13"/>
    <mergeCell ref="A14:D14"/>
    <mergeCell ref="A15:D15"/>
    <mergeCell ref="A16:D16"/>
    <mergeCell ref="A17:D17"/>
    <mergeCell ref="A18:D18"/>
    <mergeCell ref="A7:D7"/>
    <mergeCell ref="A12:D12"/>
    <mergeCell ref="A37:D37"/>
    <mergeCell ref="A28:D28"/>
    <mergeCell ref="A29:D29"/>
    <mergeCell ref="A1:D1"/>
    <mergeCell ref="A24:D24"/>
    <mergeCell ref="A25:D25"/>
    <mergeCell ref="A26:D26"/>
    <mergeCell ref="A27:D27"/>
    <mergeCell ref="A21:D21"/>
    <mergeCell ref="A22:D22"/>
    <mergeCell ref="A23:D23"/>
    <mergeCell ref="A19:D19"/>
    <mergeCell ref="A20:D20"/>
    <mergeCell ref="A9:D9"/>
    <mergeCell ref="A10:D10"/>
    <mergeCell ref="A11:D11"/>
    <mergeCell ref="A6:D6"/>
    <mergeCell ref="A8:D8"/>
    <mergeCell ref="A35:D35"/>
    <mergeCell ref="A36:D36"/>
    <mergeCell ref="A30:D30"/>
    <mergeCell ref="A31:D31"/>
    <mergeCell ref="A32:D32"/>
    <mergeCell ref="A33:D33"/>
    <mergeCell ref="A34:D34"/>
  </mergeCells>
  <hyperlinks>
    <hyperlink ref="E7" r:id="rId1"/>
    <hyperlink ref="E9" r:id="rId2"/>
    <hyperlink ref="A36" r:id="rId3"/>
    <hyperlink ref="E8" r:id="rId4"/>
    <hyperlink ref="A38"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sheetPr codeName="Sheet9">
    <pageSetUpPr fitToPage="1"/>
  </sheetPr>
  <dimension ref="A1:BJ218"/>
  <sheetViews>
    <sheetView showGridLines="0" workbookViewId="0">
      <selection activeCell="U7" sqref="U7"/>
    </sheetView>
  </sheetViews>
  <sheetFormatPr defaultColWidth="0" defaultRowHeight="0" customHeight="1" zeroHeight="1"/>
  <cols>
    <col min="1" max="1" width="4" style="17" customWidth="1"/>
    <col min="2" max="2" width="6.625" style="17" customWidth="1"/>
    <col min="3" max="3" width="5.75" style="17" customWidth="1"/>
    <col min="4" max="4" width="8.875" style="17" customWidth="1"/>
    <col min="5" max="5" width="17.375" style="17" customWidth="1"/>
    <col min="6" max="6" width="16.5" style="17" customWidth="1"/>
    <col min="7" max="7" width="15.875" style="17" customWidth="1"/>
    <col min="8" max="8" width="12.5" style="17" customWidth="1"/>
    <col min="9" max="9" width="4.375" style="17" customWidth="1"/>
    <col min="10" max="10" width="8.25" style="17" customWidth="1"/>
    <col min="11" max="18" width="4.625" style="17" customWidth="1"/>
    <col min="19" max="19" width="27.25" style="449" customWidth="1"/>
    <col min="20" max="20" width="19.375" style="17" customWidth="1"/>
    <col min="21" max="21" width="8.75" style="17" customWidth="1"/>
    <col min="22" max="16384" width="9.125" style="17" hidden="1"/>
  </cols>
  <sheetData>
    <row r="1" spans="1:62" ht="23.25" customHeight="1">
      <c r="A1" s="1551" t="str">
        <f>IF('Master Sheet'!D11="Hindi",CONCATENATE("विद्यालय का नाम :-","  ",'Master Sheet'!D8),CONCATENATE("School Name :-","  ",'Master Sheet'!D7))</f>
        <v xml:space="preserve">विद्यालय का नाम :-  महात्मा गाँधी राजकीय विद्यालय (अंग्रेजी माध्यम) बर, पाली </v>
      </c>
      <c r="B1" s="1551"/>
      <c r="C1" s="1551"/>
      <c r="D1" s="1551"/>
      <c r="E1" s="1551"/>
      <c r="F1" s="1551"/>
      <c r="G1" s="1551"/>
      <c r="H1" s="1551"/>
      <c r="I1" s="1551"/>
      <c r="J1" s="1551"/>
      <c r="K1" s="1401" t="str">
        <f>IF('Master Sheet'!D11="Hindi","विषयवार परीक्षा परिणाम कक्षा -11th","Subject-wise Result Class 11th")</f>
        <v>विषयवार परीक्षा परिणाम कक्षा -11th</v>
      </c>
      <c r="L1" s="1401"/>
      <c r="M1" s="1401"/>
      <c r="N1" s="1401"/>
      <c r="O1" s="1401"/>
      <c r="P1" s="1401"/>
      <c r="Q1" s="1401"/>
      <c r="R1" s="1401"/>
      <c r="S1" s="1401"/>
      <c r="T1" s="1401"/>
    </row>
    <row r="2" spans="1:62" ht="17.25" customHeight="1">
      <c r="A2" s="1409" t="str">
        <f>'Supp. Result Entry'!A2</f>
        <v>कक्षा :-</v>
      </c>
      <c r="B2" s="1410"/>
      <c r="C2" s="1394" t="str">
        <f>CONCATENATE('Marks Entry'!H2," '",'Marks Entry'!H3,"'")</f>
        <v>11 'Arts'</v>
      </c>
      <c r="D2" s="1394"/>
      <c r="E2" s="1394"/>
      <c r="F2" s="1394"/>
      <c r="G2" s="1552" t="str">
        <f>'Supp. Result Entry'!F2</f>
        <v>सत्र :-</v>
      </c>
      <c r="H2" s="1554" t="str">
        <f>'Marks Entry'!H1</f>
        <v>2025-2026</v>
      </c>
      <c r="I2" s="1554"/>
      <c r="J2" s="1555"/>
      <c r="K2" s="1349" t="str">
        <f>IF('Master Sheet'!D11="Hindi","मुख्य परीक्षा विषयवार परिणाम ","Main Exam Subject wise Result")</f>
        <v xml:space="preserve">मुख्य परीक्षा विषयवार परिणाम </v>
      </c>
      <c r="L2" s="1350"/>
      <c r="M2" s="1350"/>
      <c r="N2" s="1350"/>
      <c r="O2" s="1350"/>
      <c r="P2" s="1350"/>
      <c r="Q2" s="1350"/>
      <c r="R2" s="1351"/>
      <c r="S2" s="1560" t="str">
        <f>IF('Master Sheet'!D11="Hindi","वैकल्पिक विषय","Optional Subjects ")</f>
        <v>वैकल्पिक विषय</v>
      </c>
      <c r="T2" s="1558" t="str">
        <f>IF('Master Sheet'!D11="Hindi","पूरक / पुनः परीक्षा / सानुग्रह उतीर्ण के विषय","Subjects of Supp. / Re-exam /  By Grace Pass")</f>
        <v>पूरक / पुनः परीक्षा / सानुग्रह उतीर्ण के विषय</v>
      </c>
    </row>
    <row r="3" spans="1:62" s="292" customFormat="1" ht="18" customHeight="1">
      <c r="A3" s="1413"/>
      <c r="B3" s="1414"/>
      <c r="C3" s="1396"/>
      <c r="D3" s="1396"/>
      <c r="E3" s="1396"/>
      <c r="F3" s="1396"/>
      <c r="G3" s="1553"/>
      <c r="H3" s="1556"/>
      <c r="I3" s="1556"/>
      <c r="J3" s="1557"/>
      <c r="K3" s="1355"/>
      <c r="L3" s="1356"/>
      <c r="M3" s="1356"/>
      <c r="N3" s="1356"/>
      <c r="O3" s="1356"/>
      <c r="P3" s="1356"/>
      <c r="Q3" s="1356"/>
      <c r="R3" s="1357"/>
      <c r="S3" s="1561"/>
      <c r="T3" s="1559"/>
    </row>
    <row r="4" spans="1:62" s="292" customFormat="1" ht="102.75" customHeight="1">
      <c r="A4" s="692" t="str">
        <f>'Supp. Result Entry'!A5</f>
        <v xml:space="preserve">क्रमांक </v>
      </c>
      <c r="B4" s="692" t="str">
        <f>'Supp. Result Entry'!B5</f>
        <v xml:space="preserve">नामांक
Roll No. </v>
      </c>
      <c r="C4" s="692" t="str">
        <f>'Supp. Result Entry'!C5</f>
        <v xml:space="preserve">प्रवेशांक
SR. No. </v>
      </c>
      <c r="D4" s="692" t="str">
        <f>'Supp. Result Entry'!D5</f>
        <v>जन्मतिथि 
Date of Birth</v>
      </c>
      <c r="E4" s="647" t="str">
        <f>'Supp. Result Entry'!E5</f>
        <v>विद्यार्थी का नाम   Name of student</v>
      </c>
      <c r="F4" s="647" t="str">
        <f>'Supp. Result Entry'!F5</f>
        <v>पिता का नाम   Father's Name</v>
      </c>
      <c r="G4" s="647" t="str">
        <f>'Supp. Result Entry'!G5</f>
        <v>माता का नाम   Mother's Name</v>
      </c>
      <c r="H4" s="647" t="str">
        <f>'Supp. Result Entry'!H5</f>
        <v xml:space="preserve">मुख्य परीक्षा परिणाम </v>
      </c>
      <c r="I4" s="647" t="str">
        <f>'Supp. Result Entry'!I5</f>
        <v>श्रेणी</v>
      </c>
      <c r="J4" s="647" t="str">
        <f>'Supp. Result Entry'!J5</f>
        <v>प्राप्तांक प्रतिशत</v>
      </c>
      <c r="K4" s="423" t="str">
        <f>'Statement of Marks'!J3</f>
        <v>Com. Hindi</v>
      </c>
      <c r="L4" s="423" t="str">
        <f>'Statement of Marks'!X3</f>
        <v>Com. English</v>
      </c>
      <c r="M4" s="423" t="str">
        <f>'Statement of Marks'!AL2</f>
        <v>Optional Subject - 01</v>
      </c>
      <c r="N4" s="423" t="str">
        <f>'Statement of Marks'!BI2</f>
        <v>Optional Subject - 02</v>
      </c>
      <c r="O4" s="423" t="str">
        <f>'Statement of Marks'!CF2</f>
        <v>Optional Subject - 03</v>
      </c>
      <c r="P4" s="424" t="str">
        <f>'Statement of Marks'!DD2</f>
        <v>Additional Sub. / Vocational  Subject</v>
      </c>
      <c r="Q4" s="425" t="str">
        <f>'Statement of Marks'!DS209</f>
        <v>जीवन कौशल</v>
      </c>
      <c r="R4" s="646" t="str">
        <f>'Statement of Marks'!EY209</f>
        <v xml:space="preserve">आजादी के बाद का स्वर्णिम भारत </v>
      </c>
      <c r="S4" s="1562"/>
      <c r="T4" s="1559"/>
    </row>
    <row r="5" spans="1:62" ht="24.95" customHeight="1">
      <c r="A5" s="284">
        <f>IF('Statement of Marks'!A8="","",'Statement of Marks'!A8)</f>
        <v>1</v>
      </c>
      <c r="B5" s="284">
        <f>IF('Statement of Marks'!B8="","",'Statement of Marks'!B8)</f>
        <v>1101</v>
      </c>
      <c r="C5" s="284">
        <f>IF('Statement of Marks'!C8="","",'Statement of Marks'!C8)</f>
        <v>230</v>
      </c>
      <c r="D5" s="426">
        <f>IF('Statement of Marks'!D8="","",'Statement of Marks'!D8)</f>
        <v>37622</v>
      </c>
      <c r="E5" s="427" t="str">
        <f>IF('Statement of Marks'!E8="","",'Statement of Marks'!E8)</f>
        <v>A</v>
      </c>
      <c r="F5" s="427" t="str">
        <f>IF('Statement of Marks'!F8="","",'Statement of Marks'!F8)</f>
        <v>X</v>
      </c>
      <c r="G5" s="427" t="str">
        <f>IF('Statement of Marks'!G8="","",'Statement of Marks'!G8)</f>
        <v>M</v>
      </c>
      <c r="H5" s="428" t="str">
        <f>IF(B5="","",IF('Statement of Marks'!GY8="","",'Statement of Marks'!GY8))</f>
        <v>PASS</v>
      </c>
      <c r="I5" s="287" t="str">
        <f>IF(B5="","",IF('Statement of Marks'!HB8="","",'Statement of Marks'!HB8))</f>
        <v>I</v>
      </c>
      <c r="J5" s="429">
        <f>IF(B5="","",IF('Statement of Marks'!HC8="","",'Statement of Marks'!HC8))</f>
        <v>70.909090909090907</v>
      </c>
      <c r="K5" s="296" t="str">
        <f>IF(B5="","",'Statement of Marks'!FJ8)</f>
        <v>I</v>
      </c>
      <c r="L5" s="296" t="str">
        <f>IF(B5="","",'Statement of Marks'!FM8)</f>
        <v>I</v>
      </c>
      <c r="M5" s="296" t="str">
        <f>IF(B5="","",'Statement of Marks'!FP8)</f>
        <v>I</v>
      </c>
      <c r="N5" s="296" t="str">
        <f>IF(B5="","",'Statement of Marks'!FW8)</f>
        <v>D</v>
      </c>
      <c r="O5" s="296" t="str">
        <f>IF(B5="","",'Statement of Marks'!GD8)</f>
        <v>I</v>
      </c>
      <c r="P5" s="296" t="str">
        <f>IF(B5="","",'Statement of Marks'!GK8)</f>
        <v/>
      </c>
      <c r="Q5" s="296" t="str">
        <f>IF(B5="","",'Statement of Marks'!GR8)</f>
        <v>A</v>
      </c>
      <c r="R5" s="296" t="str">
        <f>IF(B5="","",'Statement of Marks'!FF8)</f>
        <v>A</v>
      </c>
      <c r="S5" s="430" t="str">
        <f>IFERROR(IF(B5="","",CONCATENATE(IF(AND('Marks Entry'!U8="A"),'Marks Entry'!$U$2,IF(AND('Marks Entry'!U8="B"),'Marks Entry'!$Y$2,IF(AND('Marks Entry'!U8="C"),'Marks Entry'!$AA$2,""))),", ",IF(AND('Marks Entry'!AC8="A"),'Marks Entry'!$AC$2,IF(AND('Marks Entry'!AC8="B"),'Marks Entry'!$AG$2,IF(AND('Marks Entry'!AC8="C"),'Marks Entry'!$AI$2,""))),", ",IF(AND('Marks Entry'!AK8="A"),'Marks Entry'!$AK$2,IF(AND('Marks Entry'!AK8="B"),'Marks Entry'!$AO$2,IF(AND('Marks Entry'!AK8="C"),'Marks Entry'!$AQ$2,""))),", ",IF(AND('Statement of Marks'!DD8=""),"",IF(AND('Statement of Marks'!DD8="A"),'Marks Entry'!$AS$2,IF(AND('Statement of Marks'!DD8="B"),'Marks Entry'!$AW$2,IF(AND('Statement of Marks'!DD8="C"),'Marks Entry'!$AY$2,"")))))),"")</f>
        <v xml:space="preserve">POLITICAL SCIENCE, HISTORY, GEOGRAPHY, </v>
      </c>
      <c r="T5" s="431" t="str">
        <f>IF(COUNTIF(K5:R5,"F")&gt;0,"",CONCATENATE('Statement of Marks'!GU8,'Statement of Marks'!GW8))</f>
        <v xml:space="preserve">           </v>
      </c>
      <c r="BG5" s="17">
        <f>IFERROR(VLOOKUP(B5,'Statement of Marks'!$B$8:'Statement of Marks'!$HI$207,41,0),"")</f>
        <v>27</v>
      </c>
      <c r="BH5" s="17" t="str">
        <f>IFERROR(VLOOKUP(B5,'Statement of Marks'!$B$8:'Statement of Marks'!$HI$207,66,0),"")</f>
        <v/>
      </c>
      <c r="BI5" s="17">
        <f>IFERROR(VLOOKUP(B5,'Statement of Marks'!$B$8:'Statement of Marks'!$HI$207,91,0),"")</f>
        <v>64</v>
      </c>
      <c r="BJ5" s="17" t="str">
        <f>IFERROR(VLOOKUP(B5,'Statement of Marks'!$B$8:'Statement of Marks'!$HI$207,117,0),"")</f>
        <v/>
      </c>
    </row>
    <row r="6" spans="1:62" ht="24.95" customHeight="1">
      <c r="A6" s="284">
        <f>IF('Statement of Marks'!A9="","",'Statement of Marks'!A9)</f>
        <v>2</v>
      </c>
      <c r="B6" s="284">
        <f>IF('Statement of Marks'!B9="","",'Statement of Marks'!B9)</f>
        <v>1102</v>
      </c>
      <c r="C6" s="284">
        <f>IF('Statement of Marks'!C9="","",'Statement of Marks'!C9)</f>
        <v>231</v>
      </c>
      <c r="D6" s="426">
        <f>IF('Statement of Marks'!D9="","",'Statement of Marks'!D9)</f>
        <v>38090</v>
      </c>
      <c r="E6" s="427" t="str">
        <f>IF('Statement of Marks'!E9="","",'Statement of Marks'!E9)</f>
        <v>B</v>
      </c>
      <c r="F6" s="427" t="str">
        <f>IF('Statement of Marks'!F9="","",'Statement of Marks'!F9)</f>
        <v>Y</v>
      </c>
      <c r="G6" s="427" t="str">
        <f>IF('Statement of Marks'!G9="","",'Statement of Marks'!G9)</f>
        <v>N</v>
      </c>
      <c r="H6" s="428" t="str">
        <f>IF(B6="","",IF('Statement of Marks'!GY9="","",'Statement of Marks'!GY9))</f>
        <v>BY GRACE PASS</v>
      </c>
      <c r="I6" s="287" t="str">
        <f>IF(B6="","",IF('Statement of Marks'!HB9="","",'Statement of Marks'!HB9))</f>
        <v>II</v>
      </c>
      <c r="J6" s="429">
        <f>IF(B6="","",IF('Statement of Marks'!HC9="","",'Statement of Marks'!HC9))</f>
        <v>59.699999999999996</v>
      </c>
      <c r="K6" s="296" t="str">
        <f>IF(B6="","",'Statement of Marks'!FJ9)</f>
        <v>II</v>
      </c>
      <c r="L6" s="296" t="str">
        <f>IF(B6="","",'Statement of Marks'!FM9)</f>
        <v>I</v>
      </c>
      <c r="M6" s="296" t="str">
        <f>IF(B6="","",'Statement of Marks'!FP9)</f>
        <v>I</v>
      </c>
      <c r="N6" s="296" t="str">
        <f>IF(B6="","",'Statement of Marks'!FW9)</f>
        <v>D</v>
      </c>
      <c r="O6" s="296" t="str">
        <f>IF(B6="","",'Statement of Marks'!GD9)</f>
        <v>G</v>
      </c>
      <c r="P6" s="296" t="str">
        <f>IF(B6="","",'Statement of Marks'!GK9)</f>
        <v/>
      </c>
      <c r="Q6" s="296" t="str">
        <f>IF(B6="","",'Statement of Marks'!GR9)</f>
        <v>A</v>
      </c>
      <c r="R6" s="296" t="str">
        <f>IF(B6="","",'Statement of Marks'!FF9)</f>
        <v>B</v>
      </c>
      <c r="S6" s="430" t="str">
        <f>IFERROR(IF(B6="","",CONCATENATE(IF(AND('Marks Entry'!U9="A"),'Marks Entry'!$U$2,IF(AND('Marks Entry'!U9="B"),'Marks Entry'!$Y$2,IF(AND('Marks Entry'!U9="C"),'Marks Entry'!$AA$2,""))),", ",IF(AND('Marks Entry'!AC9="A"),'Marks Entry'!$AC$2,IF(AND('Marks Entry'!AC9="B"),'Marks Entry'!$AG$2,IF(AND('Marks Entry'!AC9="C"),'Marks Entry'!$AI$2,""))),", ",IF(AND('Marks Entry'!AK9="A"),'Marks Entry'!$AK$2,IF(AND('Marks Entry'!AK9="B"),'Marks Entry'!$AO$2,IF(AND('Marks Entry'!AK9="C"),'Marks Entry'!$AQ$2,""))),", ",IF(AND('Statement of Marks'!DD9=""),"",IF(AND('Statement of Marks'!DD9="A"),'Marks Entry'!$AS$2,IF(AND('Statement of Marks'!DD9="B"),'Marks Entry'!$AW$2,IF(AND('Statement of Marks'!DD9="C"),'Marks Entry'!$AY$2,"")))))),"")</f>
        <v xml:space="preserve">BIOLOGY, ACCOUNTANCY, HOME SCIENCE, </v>
      </c>
      <c r="T6" s="431" t="str">
        <f>IF(COUNTIF(K6:R6,"F")&gt;0,"",CONCATENATE('Statement of Marks'!GU9,'Statement of Marks'!GW9))</f>
        <v xml:space="preserve">           </v>
      </c>
      <c r="BG6" s="17">
        <f>IFERROR(VLOOKUP(B6,'Statement of Marks'!$B$8:'Statement of Marks'!$HI$207,41,0),"")</f>
        <v>27</v>
      </c>
      <c r="BH6" s="17">
        <f>IFERROR(VLOOKUP(B6,'Statement of Marks'!$B$8:'Statement of Marks'!$HI$207,66,0),"")</f>
        <v>16</v>
      </c>
      <c r="BI6" s="17">
        <f>IFERROR(VLOOKUP(B6,'Statement of Marks'!$B$8:'Statement of Marks'!$HI$207,91,0),"")</f>
        <v>27</v>
      </c>
      <c r="BJ6" s="17" t="str">
        <f>IFERROR(VLOOKUP(B6,'Statement of Marks'!$B$8:'Statement of Marks'!$HI$207,117,0),"")</f>
        <v/>
      </c>
    </row>
    <row r="7" spans="1:62" ht="24.95" customHeight="1">
      <c r="A7" s="284">
        <f>IF('Statement of Marks'!A10="","",'Statement of Marks'!A10)</f>
        <v>3</v>
      </c>
      <c r="B7" s="284">
        <f>IF('Statement of Marks'!B10="","",'Statement of Marks'!B10)</f>
        <v>1103</v>
      </c>
      <c r="C7" s="284">
        <f>IF('Statement of Marks'!C10="","",'Statement of Marks'!C10)</f>
        <v>555</v>
      </c>
      <c r="D7" s="426">
        <f>IF('Statement of Marks'!D10="","",'Statement of Marks'!D10)</f>
        <v>38414</v>
      </c>
      <c r="E7" s="427" t="str">
        <f>IF('Statement of Marks'!E10="","",'Statement of Marks'!E10)</f>
        <v>C</v>
      </c>
      <c r="F7" s="427" t="str">
        <f>IF('Statement of Marks'!F10="","",'Statement of Marks'!F10)</f>
        <v>Z</v>
      </c>
      <c r="G7" s="427" t="str">
        <f>IF('Statement of Marks'!G10="","",'Statement of Marks'!G10)</f>
        <v>O</v>
      </c>
      <c r="H7" s="428" t="str">
        <f>IF(B7="","",IF('Statement of Marks'!GY10="","",'Statement of Marks'!GY10))</f>
        <v>PASS</v>
      </c>
      <c r="I7" s="287" t="str">
        <f>IF(B7="","",IF('Statement of Marks'!HB10="","",'Statement of Marks'!HB10))</f>
        <v>I</v>
      </c>
      <c r="J7" s="429">
        <f>IF(B7="","",IF('Statement of Marks'!HC10="","",'Statement of Marks'!HC10))</f>
        <v>64.099999999999994</v>
      </c>
      <c r="K7" s="296" t="str">
        <f>IF(B7="","",'Statement of Marks'!FJ10)</f>
        <v>I</v>
      </c>
      <c r="L7" s="296" t="str">
        <f>IF(B7="","",'Statement of Marks'!FM10)</f>
        <v>I</v>
      </c>
      <c r="M7" s="296" t="str">
        <f>IF(B7="","",'Statement of Marks'!FP10)</f>
        <v>II</v>
      </c>
      <c r="N7" s="296" t="str">
        <f>IF(B7="","",'Statement of Marks'!FW10)</f>
        <v>I</v>
      </c>
      <c r="O7" s="296" t="str">
        <f>IF(B7="","",'Statement of Marks'!GD10)</f>
        <v>II</v>
      </c>
      <c r="P7" s="296" t="str">
        <f>IF(B7="","",'Statement of Marks'!GK10)</f>
        <v/>
      </c>
      <c r="Q7" s="296" t="str">
        <f>IF(B7="","",'Statement of Marks'!GR10)</f>
        <v>A</v>
      </c>
      <c r="R7" s="296" t="str">
        <f>IF(B7="","",'Statement of Marks'!FF10)</f>
        <v>B</v>
      </c>
      <c r="S7" s="430" t="str">
        <f>IFERROR(IF(B7="","",CONCATENATE(IF(AND('Marks Entry'!U10="A"),'Marks Entry'!$U$2,IF(AND('Marks Entry'!U10="B"),'Marks Entry'!$Y$2,IF(AND('Marks Entry'!U10="C"),'Marks Entry'!$AA$2,""))),", ",IF(AND('Marks Entry'!AC10="A"),'Marks Entry'!$AC$2,IF(AND('Marks Entry'!AC10="B"),'Marks Entry'!$AG$2,IF(AND('Marks Entry'!AC10="C"),'Marks Entry'!$AI$2,""))),", ",IF(AND('Marks Entry'!AK10="A"),'Marks Entry'!$AK$2,IF(AND('Marks Entry'!AK10="B"),'Marks Entry'!$AO$2,IF(AND('Marks Entry'!AK10="C"),'Marks Entry'!$AQ$2,""))),", ",IF(AND('Statement of Marks'!DD10=""),"",IF(AND('Statement of Marks'!DD10="A"),'Marks Entry'!$AS$2,IF(AND('Statement of Marks'!DD10="B"),'Marks Entry'!$AW$2,IF(AND('Statement of Marks'!DD10="C"),'Marks Entry'!$AY$2,"")))))),"")</f>
        <v xml:space="preserve">POLITICAL SCIENCE, ACCOUNTANCY, GEOGRAPHY, </v>
      </c>
      <c r="T7" s="431" t="str">
        <f>IF(COUNTIF(K7:R7,"F")&gt;0,"",CONCATENATE('Statement of Marks'!GU10,'Statement of Marks'!GW10))</f>
        <v xml:space="preserve">           </v>
      </c>
      <c r="BG7" s="17">
        <f>IFERROR(VLOOKUP(B7,'Statement of Marks'!$B$8:'Statement of Marks'!$HI$207,41,0),"")</f>
        <v>27</v>
      </c>
      <c r="BH7" s="17">
        <f>IFERROR(VLOOKUP(B7,'Statement of Marks'!$B$8:'Statement of Marks'!$HI$207,66,0),"")</f>
        <v>11</v>
      </c>
      <c r="BI7" s="17">
        <f>IFERROR(VLOOKUP(B7,'Statement of Marks'!$B$8:'Statement of Marks'!$HI$207,91,0),"")</f>
        <v>63</v>
      </c>
      <c r="BJ7" s="17" t="str">
        <f>IFERROR(VLOOKUP(B7,'Statement of Marks'!$B$8:'Statement of Marks'!$HI$207,117,0),"")</f>
        <v/>
      </c>
    </row>
    <row r="8" spans="1:62" ht="24.95" customHeight="1">
      <c r="A8" s="284">
        <f>IF('Statement of Marks'!A11="","",'Statement of Marks'!A11)</f>
        <v>4</v>
      </c>
      <c r="B8" s="284">
        <f>IF('Statement of Marks'!B11="","",'Statement of Marks'!B11)</f>
        <v>1104</v>
      </c>
      <c r="C8" s="284">
        <f>IF('Statement of Marks'!C11="","",'Statement of Marks'!C11)</f>
        <v>444</v>
      </c>
      <c r="D8" s="426">
        <f>IF('Statement of Marks'!D11="","",'Statement of Marks'!D11)</f>
        <v>38874</v>
      </c>
      <c r="E8" s="427" t="str">
        <f>IF('Statement of Marks'!E11="","",'Statement of Marks'!E11)</f>
        <v>D</v>
      </c>
      <c r="F8" s="427" t="str">
        <f>IF('Statement of Marks'!F11="","",'Statement of Marks'!F11)</f>
        <v>W</v>
      </c>
      <c r="G8" s="427" t="str">
        <f>IF('Statement of Marks'!G11="","",'Statement of Marks'!G11)</f>
        <v>P</v>
      </c>
      <c r="H8" s="428" t="str">
        <f>IF(B8="","",IF('Statement of Marks'!GY11="","",'Statement of Marks'!GY11))</f>
        <v>PASS</v>
      </c>
      <c r="I8" s="287" t="str">
        <f>IF(B8="","",IF('Statement of Marks'!HB11="","",'Statement of Marks'!HB11))</f>
        <v>I</v>
      </c>
      <c r="J8" s="429">
        <f>IF(B8="","",IF('Statement of Marks'!HC11="","",'Statement of Marks'!HC11))</f>
        <v>64.7</v>
      </c>
      <c r="K8" s="296" t="str">
        <f>IF(B8="","",'Statement of Marks'!FJ11)</f>
        <v>II</v>
      </c>
      <c r="L8" s="296" t="str">
        <f>IF(B8="","",'Statement of Marks'!FM11)</f>
        <v>I</v>
      </c>
      <c r="M8" s="296" t="str">
        <f>IF(B8="","",'Statement of Marks'!FP11)</f>
        <v>I</v>
      </c>
      <c r="N8" s="296" t="str">
        <f>IF(B8="","",'Statement of Marks'!FW11)</f>
        <v>II</v>
      </c>
      <c r="O8" s="296" t="str">
        <f>IF(B8="","",'Statement of Marks'!GD11)</f>
        <v>D</v>
      </c>
      <c r="P8" s="296" t="str">
        <f>IF(B8="","",'Statement of Marks'!GK11)</f>
        <v/>
      </c>
      <c r="Q8" s="296" t="str">
        <f>IF(B8="","",'Statement of Marks'!GR11)</f>
        <v>A</v>
      </c>
      <c r="R8" s="296" t="str">
        <f>IF(B8="","",'Statement of Marks'!FF11)</f>
        <v>B</v>
      </c>
      <c r="S8" s="430" t="str">
        <f>IFERROR(IF(B8="","",CONCATENATE(IF(AND('Marks Entry'!U11="A"),'Marks Entry'!$U$2,IF(AND('Marks Entry'!U11="B"),'Marks Entry'!$Y$2,IF(AND('Marks Entry'!U11="C"),'Marks Entry'!$AA$2,""))),", ",IF(AND('Marks Entry'!AC11="A"),'Marks Entry'!$AC$2,IF(AND('Marks Entry'!AC11="B"),'Marks Entry'!$AG$2,IF(AND('Marks Entry'!AC11="C"),'Marks Entry'!$AI$2,""))),", ",IF(AND('Marks Entry'!AK11="A"),'Marks Entry'!$AK$2,IF(AND('Marks Entry'!AK11="B"),'Marks Entry'!$AO$2,IF(AND('Marks Entry'!AK11="C"),'Marks Entry'!$AQ$2,""))),", ",IF(AND('Statement of Marks'!DD11=""),"",IF(AND('Statement of Marks'!DD11="A"),'Marks Entry'!$AS$2,IF(AND('Statement of Marks'!DD11="B"),'Marks Entry'!$AW$2,IF(AND('Statement of Marks'!DD11="C"),'Marks Entry'!$AY$2,"")))))),"")</f>
        <v xml:space="preserve">BIOLOGY, HISTORY, GEOGRAPHY, </v>
      </c>
      <c r="T8" s="431" t="str">
        <f>IF(COUNTIF(K8:R8,"F")&gt;0,"",CONCATENATE('Statement of Marks'!GU11,'Statement of Marks'!GW11))</f>
        <v xml:space="preserve">           </v>
      </c>
      <c r="BG8" s="17">
        <f>IFERROR(VLOOKUP(B8,'Statement of Marks'!$B$8:'Statement of Marks'!$HI$207,41,0),"")</f>
        <v>24</v>
      </c>
      <c r="BH8" s="17" t="str">
        <f>IFERROR(VLOOKUP(B8,'Statement of Marks'!$B$8:'Statement of Marks'!$HI$207,66,0),"")</f>
        <v/>
      </c>
      <c r="BI8" s="17">
        <f>IFERROR(VLOOKUP(B8,'Statement of Marks'!$B$8:'Statement of Marks'!$HI$207,91,0),"")</f>
        <v>79</v>
      </c>
      <c r="BJ8" s="17" t="str">
        <f>IFERROR(VLOOKUP(B8,'Statement of Marks'!$B$8:'Statement of Marks'!$HI$207,117,0),"")</f>
        <v/>
      </c>
    </row>
    <row r="9" spans="1:62" ht="24.95" customHeight="1">
      <c r="A9" s="284">
        <f>IF('Statement of Marks'!A12="","",'Statement of Marks'!A12)</f>
        <v>5</v>
      </c>
      <c r="B9" s="284">
        <f>IF('Statement of Marks'!B12="","",'Statement of Marks'!B12)</f>
        <v>1105</v>
      </c>
      <c r="C9" s="284">
        <f>IF('Statement of Marks'!C12="","",'Statement of Marks'!C12)</f>
        <v>333</v>
      </c>
      <c r="D9" s="426">
        <f>IF('Statement of Marks'!D12="","",'Statement of Marks'!D12)</f>
        <v>39270</v>
      </c>
      <c r="E9" s="427" t="str">
        <f>IF('Statement of Marks'!E12="","",'Statement of Marks'!E12)</f>
        <v>E</v>
      </c>
      <c r="F9" s="427" t="str">
        <f>IF('Statement of Marks'!F12="","",'Statement of Marks'!F12)</f>
        <v>V</v>
      </c>
      <c r="G9" s="427" t="str">
        <f>IF('Statement of Marks'!G12="","",'Statement of Marks'!G12)</f>
        <v>Q</v>
      </c>
      <c r="H9" s="428" t="str">
        <f>IF(B9="","",IF('Statement of Marks'!GY12="","",'Statement of Marks'!GY12))</f>
        <v>PASS</v>
      </c>
      <c r="I9" s="287" t="str">
        <f>IF(B9="","",IF('Statement of Marks'!HB12="","",'Statement of Marks'!HB12))</f>
        <v>I</v>
      </c>
      <c r="J9" s="429">
        <f>IF(B9="","",IF('Statement of Marks'!HC12="","",'Statement of Marks'!HC12))</f>
        <v>68.600000000000009</v>
      </c>
      <c r="K9" s="296" t="str">
        <f>IF(B9="","",'Statement of Marks'!FJ12)</f>
        <v>I</v>
      </c>
      <c r="L9" s="296" t="str">
        <f>IF(B9="","",'Statement of Marks'!FM12)</f>
        <v>I</v>
      </c>
      <c r="M9" s="296" t="str">
        <f>IF(B9="","",'Statement of Marks'!FP12)</f>
        <v>I</v>
      </c>
      <c r="N9" s="296" t="str">
        <f>IF(B9="","",'Statement of Marks'!FW12)</f>
        <v>I</v>
      </c>
      <c r="O9" s="296" t="str">
        <f>IF(B9="","",'Statement of Marks'!GD12)</f>
        <v>D</v>
      </c>
      <c r="P9" s="296" t="str">
        <f>IF(B9="","",'Statement of Marks'!GK12)</f>
        <v/>
      </c>
      <c r="Q9" s="296" t="str">
        <f>IF(B9="","",'Statement of Marks'!GR12)</f>
        <v>A</v>
      </c>
      <c r="R9" s="296" t="str">
        <f>IF(B9="","",'Statement of Marks'!FF12)</f>
        <v>B</v>
      </c>
      <c r="S9" s="430" t="str">
        <f>IFERROR(IF(B9="","",CONCATENATE(IF(AND('Marks Entry'!U12="A"),'Marks Entry'!$U$2,IF(AND('Marks Entry'!U12="B"),'Marks Entry'!$Y$2,IF(AND('Marks Entry'!U12="C"),'Marks Entry'!$AA$2,""))),", ",IF(AND('Marks Entry'!AC12="A"),'Marks Entry'!$AC$2,IF(AND('Marks Entry'!AC12="B"),'Marks Entry'!$AG$2,IF(AND('Marks Entry'!AC12="C"),'Marks Entry'!$AI$2,""))),", ",IF(AND('Marks Entry'!AK12="A"),'Marks Entry'!$AK$2,IF(AND('Marks Entry'!AK12="B"),'Marks Entry'!$AO$2,IF(AND('Marks Entry'!AK12="C"),'Marks Entry'!$AQ$2,""))),", ",IF(AND('Statement of Marks'!DD12=""),"",IF(AND('Statement of Marks'!DD12="A"),'Marks Entry'!$AS$2,IF(AND('Statement of Marks'!DD12="B"),'Marks Entry'!$AW$2,IF(AND('Statement of Marks'!DD12="C"),'Marks Entry'!$AY$2,"")))))),"")</f>
        <v xml:space="preserve">BIOLOGY, ACCOUNTANCY, GEOGRAPHY, </v>
      </c>
      <c r="T9" s="431" t="str">
        <f>IF(COUNTIF(K9:R9,"F")&gt;0,"",CONCATENATE('Statement of Marks'!GU12,'Statement of Marks'!GW12))</f>
        <v xml:space="preserve">           </v>
      </c>
      <c r="BG9" s="17">
        <f>IFERROR(VLOOKUP(B9,'Statement of Marks'!$B$8:'Statement of Marks'!$HI$207,41,0),"")</f>
        <v>23</v>
      </c>
      <c r="BH9" s="17">
        <f>IFERROR(VLOOKUP(B9,'Statement of Marks'!$B$8:'Statement of Marks'!$HI$207,66,0),"")</f>
        <v>12</v>
      </c>
      <c r="BI9" s="17">
        <f>IFERROR(VLOOKUP(B9,'Statement of Marks'!$B$8:'Statement of Marks'!$HI$207,91,0),"")</f>
        <v>84</v>
      </c>
      <c r="BJ9" s="17" t="str">
        <f>IFERROR(VLOOKUP(B9,'Statement of Marks'!$B$8:'Statement of Marks'!$HI$207,117,0),"")</f>
        <v/>
      </c>
    </row>
    <row r="10" spans="1:62" ht="24.95" customHeight="1">
      <c r="A10" s="284">
        <f>IF('Statement of Marks'!A13="","",'Statement of Marks'!A13)</f>
        <v>6</v>
      </c>
      <c r="B10" s="284">
        <f>IF('Statement of Marks'!B13="","",'Statement of Marks'!B13)</f>
        <v>1106</v>
      </c>
      <c r="C10" s="284">
        <f>IF('Statement of Marks'!C13="","",'Statement of Marks'!C13)</f>
        <v>666</v>
      </c>
      <c r="D10" s="426">
        <f>IF('Statement of Marks'!D13="","",'Statement of Marks'!D13)</f>
        <v>39668</v>
      </c>
      <c r="E10" s="427" t="str">
        <f>IF('Statement of Marks'!E13="","",'Statement of Marks'!E13)</f>
        <v>F</v>
      </c>
      <c r="F10" s="427" t="str">
        <f>IF('Statement of Marks'!F13="","",'Statement of Marks'!F13)</f>
        <v>U</v>
      </c>
      <c r="G10" s="427" t="str">
        <f>IF('Statement of Marks'!G13="","",'Statement of Marks'!G13)</f>
        <v>R</v>
      </c>
      <c r="H10" s="428" t="str">
        <f>IF(B10="","",IF('Statement of Marks'!GY13="","",'Statement of Marks'!GY13))</f>
        <v>PASS</v>
      </c>
      <c r="I10" s="287" t="str">
        <f>IF(B10="","",IF('Statement of Marks'!HB13="","",'Statement of Marks'!HB13))</f>
        <v>II</v>
      </c>
      <c r="J10" s="429">
        <f>IF(B10="","",IF('Statement of Marks'!HC13="","",'Statement of Marks'!HC13))</f>
        <v>56.100000000000009</v>
      </c>
      <c r="K10" s="296" t="str">
        <f>IF(B10="","",'Statement of Marks'!FJ13)</f>
        <v>II</v>
      </c>
      <c r="L10" s="296" t="str">
        <f>IF(B10="","",'Statement of Marks'!FM13)</f>
        <v>I</v>
      </c>
      <c r="M10" s="296" t="str">
        <f>IF(B10="","",'Statement of Marks'!FP13)</f>
        <v>III</v>
      </c>
      <c r="N10" s="296" t="str">
        <f>IF(B10="","",'Statement of Marks'!FW13)</f>
        <v>I</v>
      </c>
      <c r="O10" s="296" t="str">
        <f>IF(B10="","",'Statement of Marks'!GD13)</f>
        <v>II</v>
      </c>
      <c r="P10" s="296" t="str">
        <f>IF(B10="","",'Statement of Marks'!GK13)</f>
        <v/>
      </c>
      <c r="Q10" s="296" t="str">
        <f>IF(B10="","",'Statement of Marks'!GR13)</f>
        <v>A</v>
      </c>
      <c r="R10" s="296" t="str">
        <f>IF(B10="","",'Statement of Marks'!FF13)</f>
        <v>B</v>
      </c>
      <c r="S10" s="430" t="str">
        <f>IFERROR(IF(B10="","",CONCATENATE(IF(AND('Marks Entry'!U13="A"),'Marks Entry'!$U$2,IF(AND('Marks Entry'!U13="B"),'Marks Entry'!$Y$2,IF(AND('Marks Entry'!U13="C"),'Marks Entry'!$AA$2,""))),", ",IF(AND('Marks Entry'!AC13="A"),'Marks Entry'!$AC$2,IF(AND('Marks Entry'!AC13="B"),'Marks Entry'!$AG$2,IF(AND('Marks Entry'!AC13="C"),'Marks Entry'!$AI$2,""))),", ",IF(AND('Marks Entry'!AK13="A"),'Marks Entry'!$AK$2,IF(AND('Marks Entry'!AK13="B"),'Marks Entry'!$AO$2,IF(AND('Marks Entry'!AK13="C"),'Marks Entry'!$AQ$2,""))),", ",IF(AND('Statement of Marks'!DD13=""),"",IF(AND('Statement of Marks'!DD13="A"),'Marks Entry'!$AS$2,IF(AND('Statement of Marks'!DD13="B"),'Marks Entry'!$AW$2,IF(AND('Statement of Marks'!DD13="C"),'Marks Entry'!$AY$2,"")))))),"")</f>
        <v xml:space="preserve">POLITICAL SCIENCE, ECONOMICS, GEOGRAPHY, </v>
      </c>
      <c r="T10" s="431" t="str">
        <f>IF(COUNTIF(K10:R10,"F")&gt;0,"",CONCATENATE('Statement of Marks'!GU13,'Statement of Marks'!GW13))</f>
        <v xml:space="preserve">           </v>
      </c>
      <c r="U10" s="302"/>
      <c r="BG10" s="17">
        <f>IFERROR(VLOOKUP(B10,'Statement of Marks'!$B$8:'Statement of Marks'!$HI$207,41,0),"")</f>
        <v>27</v>
      </c>
      <c r="BH10" s="17" t="str">
        <f>IFERROR(VLOOKUP(B10,'Statement of Marks'!$B$8:'Statement of Marks'!$HI$207,66,0),"")</f>
        <v/>
      </c>
      <c r="BI10" s="17">
        <f>IFERROR(VLOOKUP(B10,'Statement of Marks'!$B$8:'Statement of Marks'!$HI$207,91,0),"")</f>
        <v>55</v>
      </c>
      <c r="BJ10" s="17" t="str">
        <f>IFERROR(VLOOKUP(B10,'Statement of Marks'!$B$8:'Statement of Marks'!$HI$207,117,0),"")</f>
        <v/>
      </c>
    </row>
    <row r="11" spans="1:62" ht="24.95" customHeight="1">
      <c r="A11" s="284">
        <f>IF('Statement of Marks'!A14="","",'Statement of Marks'!A14)</f>
        <v>7</v>
      </c>
      <c r="B11" s="284">
        <f>IF('Statement of Marks'!B14="","",'Statement of Marks'!B14)</f>
        <v>1107</v>
      </c>
      <c r="C11" s="284">
        <f>IF('Statement of Marks'!C14="","",'Statement of Marks'!C14)</f>
        <v>222</v>
      </c>
      <c r="D11" s="426">
        <f>IF('Statement of Marks'!D14="","",'Statement of Marks'!D14)</f>
        <v>40065</v>
      </c>
      <c r="E11" s="427" t="str">
        <f>IF('Statement of Marks'!E14="","",'Statement of Marks'!E14)</f>
        <v>G</v>
      </c>
      <c r="F11" s="427" t="str">
        <f>IF('Statement of Marks'!F14="","",'Statement of Marks'!F14)</f>
        <v>T</v>
      </c>
      <c r="G11" s="427" t="str">
        <f>IF('Statement of Marks'!G14="","",'Statement of Marks'!G14)</f>
        <v>S</v>
      </c>
      <c r="H11" s="428" t="str">
        <f>IF(B11="","",IF('Statement of Marks'!GY14="","",'Statement of Marks'!GY14))</f>
        <v>SUPPLEMENTARY</v>
      </c>
      <c r="I11" s="287" t="str">
        <f>IF(B11="","",IF('Statement of Marks'!HB14="","",'Statement of Marks'!HB14))</f>
        <v/>
      </c>
      <c r="J11" s="429" t="str">
        <f>IF(B11="","",IF('Statement of Marks'!HC14="","",'Statement of Marks'!HC14))</f>
        <v/>
      </c>
      <c r="K11" s="296" t="str">
        <f>IF(B11="","",'Statement of Marks'!FJ14)</f>
        <v>II</v>
      </c>
      <c r="L11" s="296" t="str">
        <f>IF(B11="","",'Statement of Marks'!FM14)</f>
        <v>I</v>
      </c>
      <c r="M11" s="296" t="str">
        <f>IF(B11="","",'Statement of Marks'!FP14)</f>
        <v>S</v>
      </c>
      <c r="N11" s="296" t="str">
        <f>IF(B11="","",'Statement of Marks'!FW14)</f>
        <v>I</v>
      </c>
      <c r="O11" s="296" t="str">
        <f>IF(B11="","",'Statement of Marks'!GD14)</f>
        <v>III</v>
      </c>
      <c r="P11" s="296" t="str">
        <f>IF(B11="","",'Statement of Marks'!GK14)</f>
        <v/>
      </c>
      <c r="Q11" s="296" t="str">
        <f>IF(B11="","",'Statement of Marks'!GR14)</f>
        <v>A</v>
      </c>
      <c r="R11" s="296" t="str">
        <f>IF(B11="","",'Statement of Marks'!FF14)</f>
        <v>B</v>
      </c>
      <c r="S11" s="430" t="str">
        <f>IFERROR(IF(B11="","",CONCATENATE(IF(AND('Marks Entry'!U14="A"),'Marks Entry'!$U$2,IF(AND('Marks Entry'!U14="B"),'Marks Entry'!$Y$2,IF(AND('Marks Entry'!U14="C"),'Marks Entry'!$AA$2,""))),", ",IF(AND('Marks Entry'!AC14="A"),'Marks Entry'!$AC$2,IF(AND('Marks Entry'!AC14="B"),'Marks Entry'!$AG$2,IF(AND('Marks Entry'!AC14="C"),'Marks Entry'!$AI$2,""))),", ",IF(AND('Marks Entry'!AK14="A"),'Marks Entry'!$AK$2,IF(AND('Marks Entry'!AK14="B"),'Marks Entry'!$AO$2,IF(AND('Marks Entry'!AK14="C"),'Marks Entry'!$AQ$2,""))),", ",IF(AND('Statement of Marks'!DD14=""),"",IF(AND('Statement of Marks'!DD14="A"),'Marks Entry'!$AS$2,IF(AND('Statement of Marks'!DD14="B"),'Marks Entry'!$AW$2,IF(AND('Statement of Marks'!DD14="C"),'Marks Entry'!$AY$2,"")))))),"")</f>
        <v xml:space="preserve">POLITICAL SCIENCE, HISTORY, HOME SCIENCE, </v>
      </c>
      <c r="T11" s="431" t="str">
        <f>IF(COUNTIF(K11:R11,"F")&gt;0,"",CONCATENATE('Statement of Marks'!GU14,'Statement of Marks'!GW14))</f>
        <v xml:space="preserve">  POLITICAL SCIENCE         </v>
      </c>
      <c r="BG11" s="17">
        <f>IFERROR(VLOOKUP(B11,'Statement of Marks'!$B$8:'Statement of Marks'!$HI$207,41,0),"")</f>
        <v>17</v>
      </c>
      <c r="BH11" s="17" t="str">
        <f>IFERROR(VLOOKUP(B11,'Statement of Marks'!$B$8:'Statement of Marks'!$HI$207,66,0),"")</f>
        <v/>
      </c>
      <c r="BI11" s="17">
        <f>IFERROR(VLOOKUP(B11,'Statement of Marks'!$B$8:'Statement of Marks'!$HI$207,91,0),"")</f>
        <v>49</v>
      </c>
      <c r="BJ11" s="17" t="str">
        <f>IFERROR(VLOOKUP(B11,'Statement of Marks'!$B$8:'Statement of Marks'!$HI$207,117,0),"")</f>
        <v/>
      </c>
    </row>
    <row r="12" spans="1:62" ht="24.95" customHeight="1">
      <c r="A12" s="284">
        <f>IF('Statement of Marks'!A15="","",'Statement of Marks'!A15)</f>
        <v>8</v>
      </c>
      <c r="B12" s="284">
        <f>IF('Statement of Marks'!B15="","",'Statement of Marks'!B15)</f>
        <v>1108</v>
      </c>
      <c r="C12" s="284">
        <f>IF('Statement of Marks'!C15="","",'Statement of Marks'!C15)</f>
        <v>123</v>
      </c>
      <c r="D12" s="426">
        <f>IF('Statement of Marks'!D15="","",'Statement of Marks'!D15)</f>
        <v>39763</v>
      </c>
      <c r="E12" s="427" t="str">
        <f>IF('Statement of Marks'!E15="","",'Statement of Marks'!E15)</f>
        <v>O</v>
      </c>
      <c r="F12" s="427" t="str">
        <f>IF('Statement of Marks'!F15="","",'Statement of Marks'!F15)</f>
        <v>R</v>
      </c>
      <c r="G12" s="427" t="str">
        <f>IF('Statement of Marks'!G15="","",'Statement of Marks'!G15)</f>
        <v>I</v>
      </c>
      <c r="H12" s="428" t="str">
        <f>IF(B12="","",IF('Statement of Marks'!GY15="","",'Statement of Marks'!GY15))</f>
        <v>SUPPLEMENTARY</v>
      </c>
      <c r="I12" s="287" t="str">
        <f>IF(B12="","",IF('Statement of Marks'!HB15="","",'Statement of Marks'!HB15))</f>
        <v/>
      </c>
      <c r="J12" s="429" t="str">
        <f>IF(B12="","",IF('Statement of Marks'!HC15="","",'Statement of Marks'!HC15))</f>
        <v/>
      </c>
      <c r="K12" s="296" t="str">
        <f>IF(B12="","",'Statement of Marks'!FJ15)</f>
        <v>II</v>
      </c>
      <c r="L12" s="296" t="str">
        <f>IF(B12="","",'Statement of Marks'!FM15)</f>
        <v>I</v>
      </c>
      <c r="M12" s="296" t="str">
        <f>IF(B12="","",'Statement of Marks'!FP15)</f>
        <v>S</v>
      </c>
      <c r="N12" s="296" t="str">
        <f>IF(B12="","",'Statement of Marks'!FW15)</f>
        <v>I</v>
      </c>
      <c r="O12" s="296" t="str">
        <f>IF(B12="","",'Statement of Marks'!GD15)</f>
        <v>S</v>
      </c>
      <c r="P12" s="296" t="str">
        <f>IF(B12="","",'Statement of Marks'!GK15)</f>
        <v/>
      </c>
      <c r="Q12" s="296" t="str">
        <f>IF(B12="","",'Statement of Marks'!GR15)</f>
        <v>A</v>
      </c>
      <c r="R12" s="296" t="str">
        <f>IF(B12="","",'Statement of Marks'!FF15)</f>
        <v>B</v>
      </c>
      <c r="S12" s="430" t="str">
        <f>IFERROR(IF(B12="","",CONCATENATE(IF(AND('Marks Entry'!U15="A"),'Marks Entry'!$U$2,IF(AND('Marks Entry'!U15="B"),'Marks Entry'!$Y$2,IF(AND('Marks Entry'!U15="C"),'Marks Entry'!$AA$2,""))),", ",IF(AND('Marks Entry'!AC15="A"),'Marks Entry'!$AC$2,IF(AND('Marks Entry'!AC15="B"),'Marks Entry'!$AG$2,IF(AND('Marks Entry'!AC15="C"),'Marks Entry'!$AI$2,""))),", ",IF(AND('Marks Entry'!AK15="A"),'Marks Entry'!$AK$2,IF(AND('Marks Entry'!AK15="B"),'Marks Entry'!$AO$2,IF(AND('Marks Entry'!AK15="C"),'Marks Entry'!$AQ$2,""))),", ",IF(AND('Statement of Marks'!DD15=""),"",IF(AND('Statement of Marks'!DD15="A"),'Marks Entry'!$AS$2,IF(AND('Statement of Marks'!DD15="B"),'Marks Entry'!$AW$2,IF(AND('Statement of Marks'!DD15="C"),'Marks Entry'!$AY$2,"")))))),"")</f>
        <v xml:space="preserve">POLITICAL SCIENCE, HISTORY, HOME SCIENCE, </v>
      </c>
      <c r="T12" s="431" t="str">
        <f>IF(COUNTIF(K12:R12,"F")&gt;0,"",CONCATENATE('Statement of Marks'!GU15,'Statement of Marks'!GW15))</f>
        <v xml:space="preserve">  POLITICAL SCIENCE  HOME SCIENCE       </v>
      </c>
      <c r="BG12" s="17">
        <f>IFERROR(VLOOKUP(B12,'Statement of Marks'!$B$8:'Statement of Marks'!$HI$207,41,0),"")</f>
        <v>22</v>
      </c>
      <c r="BH12" s="17" t="str">
        <f>IFERROR(VLOOKUP(B12,'Statement of Marks'!$B$8:'Statement of Marks'!$HI$207,66,0),"")</f>
        <v/>
      </c>
      <c r="BI12" s="17">
        <f>IFERROR(VLOOKUP(B12,'Statement of Marks'!$B$8:'Statement of Marks'!$HI$207,91,0),"")</f>
        <v>23</v>
      </c>
      <c r="BJ12" s="17" t="str">
        <f>IFERROR(VLOOKUP(B12,'Statement of Marks'!$B$8:'Statement of Marks'!$HI$207,117,0),"")</f>
        <v/>
      </c>
    </row>
    <row r="13" spans="1:62" ht="24.95" customHeight="1">
      <c r="A13" s="284">
        <f>IF('Statement of Marks'!A16="","",'Statement of Marks'!A16)</f>
        <v>9</v>
      </c>
      <c r="B13" s="284">
        <f>IF('Statement of Marks'!B16="","",'Statement of Marks'!B16)</f>
        <v>1109</v>
      </c>
      <c r="C13" s="284">
        <f>IF('Statement of Marks'!C16="","",'Statement of Marks'!C16)</f>
        <v>345</v>
      </c>
      <c r="D13" s="426">
        <f>IF('Statement of Marks'!D16="","",'Statement of Marks'!D16)</f>
        <v>40795</v>
      </c>
      <c r="E13" s="427" t="str">
        <f>IF('Statement of Marks'!E16="","",'Statement of Marks'!E16)</f>
        <v>P</v>
      </c>
      <c r="F13" s="427" t="str">
        <f>IF('Statement of Marks'!F16="","",'Statement of Marks'!F16)</f>
        <v>P</v>
      </c>
      <c r="G13" s="427" t="str">
        <f>IF('Statement of Marks'!G16="","",'Statement of Marks'!G16)</f>
        <v>N</v>
      </c>
      <c r="H13" s="428" t="str">
        <f>IF(B13="","",IF('Statement of Marks'!GY16="","",'Statement of Marks'!GY16))</f>
        <v>FAIL</v>
      </c>
      <c r="I13" s="287" t="str">
        <f>IF(B13="","",IF('Statement of Marks'!HB16="","",'Statement of Marks'!HB16))</f>
        <v/>
      </c>
      <c r="J13" s="429" t="str">
        <f>IF(B13="","",IF('Statement of Marks'!HC16="","",'Statement of Marks'!HC16))</f>
        <v/>
      </c>
      <c r="K13" s="296" t="str">
        <f>IF(B13="","",'Statement of Marks'!FJ16)</f>
        <v>II</v>
      </c>
      <c r="L13" s="296" t="str">
        <f>IF(B13="","",'Statement of Marks'!FM16)</f>
        <v>II</v>
      </c>
      <c r="M13" s="296" t="str">
        <f>IF(B13="","",'Statement of Marks'!FP16)</f>
        <v>F</v>
      </c>
      <c r="N13" s="296" t="str">
        <f>IF(B13="","",'Statement of Marks'!FW16)</f>
        <v>II</v>
      </c>
      <c r="O13" s="296" t="str">
        <f>IF(B13="","",'Statement of Marks'!GD16)</f>
        <v>II</v>
      </c>
      <c r="P13" s="296" t="str">
        <f>IF(B13="","",'Statement of Marks'!GK16)</f>
        <v/>
      </c>
      <c r="Q13" s="296" t="str">
        <f>IF(B13="","",'Statement of Marks'!GR16)</f>
        <v>A</v>
      </c>
      <c r="R13" s="296" t="str">
        <f>IF(B13="","",'Statement of Marks'!FF16)</f>
        <v>B</v>
      </c>
      <c r="S13" s="430" t="str">
        <f>IFERROR(IF(B13="","",CONCATENATE(IF(AND('Marks Entry'!U16="A"),'Marks Entry'!$U$2,IF(AND('Marks Entry'!U16="B"),'Marks Entry'!$Y$2,IF(AND('Marks Entry'!U16="C"),'Marks Entry'!$AA$2,""))),", ",IF(AND('Marks Entry'!AC16="A"),'Marks Entry'!$AC$2,IF(AND('Marks Entry'!AC16="B"),'Marks Entry'!$AG$2,IF(AND('Marks Entry'!AC16="C"),'Marks Entry'!$AI$2,""))),", ",IF(AND('Marks Entry'!AK16="A"),'Marks Entry'!$AK$2,IF(AND('Marks Entry'!AK16="B"),'Marks Entry'!$AO$2,IF(AND('Marks Entry'!AK16="C"),'Marks Entry'!$AQ$2,""))),", ",IF(AND('Statement of Marks'!DD16=""),"",IF(AND('Statement of Marks'!DD16="A"),'Marks Entry'!$AS$2,IF(AND('Statement of Marks'!DD16="B"),'Marks Entry'!$AW$2,IF(AND('Statement of Marks'!DD16="C"),'Marks Entry'!$AY$2,"")))))),"")</f>
        <v xml:space="preserve">POLITICAL SCIENCE, HISTORY, HOME SCIENCE, </v>
      </c>
      <c r="T13" s="431" t="str">
        <f>IF(COUNTIF(K13:R13,"F")&gt;0,"",CONCATENATE('Statement of Marks'!GU16,'Statement of Marks'!GW16))</f>
        <v/>
      </c>
      <c r="BG13" s="17">
        <f>IFERROR(VLOOKUP(B13,'Statement of Marks'!$B$8:'Statement of Marks'!$HI$207,41,0),"")</f>
        <v>23</v>
      </c>
      <c r="BH13" s="17" t="str">
        <f>IFERROR(VLOOKUP(B13,'Statement of Marks'!$B$8:'Statement of Marks'!$HI$207,66,0),"")</f>
        <v/>
      </c>
      <c r="BI13" s="17">
        <f>IFERROR(VLOOKUP(B13,'Statement of Marks'!$B$8:'Statement of Marks'!$HI$207,91,0),"")</f>
        <v>60</v>
      </c>
      <c r="BJ13" s="17" t="str">
        <f>IFERROR(VLOOKUP(B13,'Statement of Marks'!$B$8:'Statement of Marks'!$HI$207,117,0),"")</f>
        <v/>
      </c>
    </row>
    <row r="14" spans="1:62" ht="24.95" customHeight="1">
      <c r="A14" s="284">
        <f>IF('Statement of Marks'!A17="","",'Statement of Marks'!A17)</f>
        <v>10</v>
      </c>
      <c r="B14" s="284">
        <f>IF('Statement of Marks'!B17="","",'Statement of Marks'!B17)</f>
        <v>1110</v>
      </c>
      <c r="C14" s="284">
        <f>IF('Statement of Marks'!C17="","",'Statement of Marks'!C17)</f>
        <v>678</v>
      </c>
      <c r="D14" s="426">
        <f>IF('Statement of Marks'!D17="","",'Statement of Marks'!D17)</f>
        <v>38841</v>
      </c>
      <c r="E14" s="427" t="str">
        <f>IF('Statement of Marks'!E17="","",'Statement of Marks'!E17)</f>
        <v>S</v>
      </c>
      <c r="F14" s="427" t="str">
        <f>IF('Statement of Marks'!F17="","",'Statement of Marks'!F17)</f>
        <v>M</v>
      </c>
      <c r="G14" s="427" t="str">
        <f>IF('Statement of Marks'!G17="","",'Statement of Marks'!G17)</f>
        <v>B</v>
      </c>
      <c r="H14" s="428" t="str">
        <f>IF(B14="","",IF('Statement of Marks'!GY17="","",'Statement of Marks'!GY17))</f>
        <v>BY GRACE PASS</v>
      </c>
      <c r="I14" s="287" t="str">
        <f>IF(B14="","",IF('Statement of Marks'!HB17="","",'Statement of Marks'!HB17))</f>
        <v>III</v>
      </c>
      <c r="J14" s="429">
        <f>IF(B14="","",IF('Statement of Marks'!HC17="","",'Statement of Marks'!HC17))</f>
        <v>46.161616161616159</v>
      </c>
      <c r="K14" s="296" t="str">
        <f>IF(B14="","",'Statement of Marks'!FJ17)</f>
        <v>II</v>
      </c>
      <c r="L14" s="296" t="str">
        <f>IF(B14="","",'Statement of Marks'!FM17)</f>
        <v>II</v>
      </c>
      <c r="M14" s="296" t="str">
        <f>IF(B14="","",'Statement of Marks'!FP17)</f>
        <v>G</v>
      </c>
      <c r="N14" s="296" t="str">
        <f>IF(B14="","",'Statement of Marks'!FW17)</f>
        <v>III</v>
      </c>
      <c r="O14" s="296" t="str">
        <f>IF(B14="","",'Statement of Marks'!GD17)</f>
        <v>II</v>
      </c>
      <c r="P14" s="296" t="str">
        <f>IF(B14="","",'Statement of Marks'!GK17)</f>
        <v/>
      </c>
      <c r="Q14" s="296" t="str">
        <f>IF(B14="","",'Statement of Marks'!GR17)</f>
        <v>A</v>
      </c>
      <c r="R14" s="296" t="str">
        <f>IF(B14="","",'Statement of Marks'!FF17)</f>
        <v>B</v>
      </c>
      <c r="S14" s="430" t="str">
        <f>IFERROR(IF(B14="","",CONCATENATE(IF(AND('Marks Entry'!U17="A"),'Marks Entry'!$U$2,IF(AND('Marks Entry'!U17="B"),'Marks Entry'!$Y$2,IF(AND('Marks Entry'!U17="C"),'Marks Entry'!$AA$2,""))),", ",IF(AND('Marks Entry'!AC17="A"),'Marks Entry'!$AC$2,IF(AND('Marks Entry'!AC17="B"),'Marks Entry'!$AG$2,IF(AND('Marks Entry'!AC17="C"),'Marks Entry'!$AI$2,""))),", ",IF(AND('Marks Entry'!AK17="A"),'Marks Entry'!$AK$2,IF(AND('Marks Entry'!AK17="B"),'Marks Entry'!$AO$2,IF(AND('Marks Entry'!AK17="C"),'Marks Entry'!$AQ$2,""))),", ",IF(AND('Statement of Marks'!DD17=""),"",IF(AND('Statement of Marks'!DD17="A"),'Marks Entry'!$AS$2,IF(AND('Statement of Marks'!DD17="B"),'Marks Entry'!$AW$2,IF(AND('Statement of Marks'!DD17="C"),'Marks Entry'!$AY$2,"")))))),"")</f>
        <v xml:space="preserve">POLITICAL SCIENCE, HISTORY, TYPING, </v>
      </c>
      <c r="T14" s="431" t="str">
        <f>IF(COUNTIF(K14:R14,"F")&gt;0,"",CONCATENATE('Statement of Marks'!GU17,'Statement of Marks'!GW17))</f>
        <v xml:space="preserve">           </v>
      </c>
      <c r="BG14" s="17">
        <f>IFERROR(VLOOKUP(B14,'Statement of Marks'!$B$8:'Statement of Marks'!$HI$207,41,0),"")</f>
        <v>14</v>
      </c>
      <c r="BH14" s="17" t="str">
        <f>IFERROR(VLOOKUP(B14,'Statement of Marks'!$B$8:'Statement of Marks'!$HI$207,66,0),"")</f>
        <v/>
      </c>
      <c r="BI14" s="17">
        <f>IFERROR(VLOOKUP(B14,'Statement of Marks'!$B$8:'Statement of Marks'!$HI$207,91,0),"")</f>
        <v>60</v>
      </c>
      <c r="BJ14" s="17" t="str">
        <f>IFERROR(VLOOKUP(B14,'Statement of Marks'!$B$8:'Statement of Marks'!$HI$207,117,0),"")</f>
        <v/>
      </c>
    </row>
    <row r="15" spans="1:62" ht="24.95" customHeight="1">
      <c r="A15" s="284">
        <f>IF('Statement of Marks'!A18="","",'Statement of Marks'!A18)</f>
        <v>11</v>
      </c>
      <c r="B15" s="284">
        <f>IF('Statement of Marks'!B18="","",'Statement of Marks'!B18)</f>
        <v>1111</v>
      </c>
      <c r="C15" s="284">
        <f>IF('Statement of Marks'!C18="","",'Statement of Marks'!C18)</f>
        <v>654</v>
      </c>
      <c r="D15" s="426">
        <f>IF('Statement of Marks'!D18="","",'Statement of Marks'!D18)</f>
        <v>39635</v>
      </c>
      <c r="E15" s="427" t="str">
        <f>IF('Statement of Marks'!E18="","",'Statement of Marks'!E18)</f>
        <v>M</v>
      </c>
      <c r="F15" s="427" t="str">
        <f>IF('Statement of Marks'!F18="","",'Statement of Marks'!F18)</f>
        <v>N</v>
      </c>
      <c r="G15" s="427" t="str">
        <f>IF('Statement of Marks'!G18="","",'Statement of Marks'!G18)</f>
        <v>A</v>
      </c>
      <c r="H15" s="428" t="str">
        <f>IF(B15="","",IF('Statement of Marks'!GY18="","",'Statement of Marks'!GY18))</f>
        <v>PASS</v>
      </c>
      <c r="I15" s="287" t="str">
        <f>IF(B15="","",IF('Statement of Marks'!HB18="","",'Statement of Marks'!HB18))</f>
        <v>III</v>
      </c>
      <c r="J15" s="429">
        <f>IF(B15="","",IF('Statement of Marks'!HC18="","",'Statement of Marks'!HC18))</f>
        <v>46.632653061224488</v>
      </c>
      <c r="K15" s="296" t="str">
        <f>IF(B15="","",'Statement of Marks'!FJ18)</f>
        <v>III</v>
      </c>
      <c r="L15" s="296" t="str">
        <f>IF(B15="","",'Statement of Marks'!FM18)</f>
        <v>II</v>
      </c>
      <c r="M15" s="296" t="str">
        <f>IF(B15="","",'Statement of Marks'!FP18)</f>
        <v>III</v>
      </c>
      <c r="N15" s="296" t="str">
        <f>IF(B15="","",'Statement of Marks'!FW18)</f>
        <v>III</v>
      </c>
      <c r="O15" s="296" t="str">
        <f>IF(B15="","",'Statement of Marks'!GD18)</f>
        <v>II</v>
      </c>
      <c r="P15" s="296" t="str">
        <f>IF(B15="","",'Statement of Marks'!GK18)</f>
        <v/>
      </c>
      <c r="Q15" s="296" t="str">
        <f>IF(B15="","",'Statement of Marks'!GR18)</f>
        <v>A</v>
      </c>
      <c r="R15" s="296" t="str">
        <f>IF(B15="","",'Statement of Marks'!FF18)</f>
        <v>B</v>
      </c>
      <c r="S15" s="430" t="str">
        <f>IFERROR(IF(B15="","",CONCATENATE(IF(AND('Marks Entry'!U18="A"),'Marks Entry'!$U$2,IF(AND('Marks Entry'!U18="B"),'Marks Entry'!$Y$2,IF(AND('Marks Entry'!U18="C"),'Marks Entry'!$AA$2,""))),", ",IF(AND('Marks Entry'!AC18="A"),'Marks Entry'!$AC$2,IF(AND('Marks Entry'!AC18="B"),'Marks Entry'!$AG$2,IF(AND('Marks Entry'!AC18="C"),'Marks Entry'!$AI$2,""))),", ",IF(AND('Marks Entry'!AK18="A"),'Marks Entry'!$AK$2,IF(AND('Marks Entry'!AK18="B"),'Marks Entry'!$AO$2,IF(AND('Marks Entry'!AK18="C"),'Marks Entry'!$AQ$2,""))),", ",IF(AND('Statement of Marks'!DD18=""),"",IF(AND('Statement of Marks'!DD18="A"),'Marks Entry'!$AS$2,IF(AND('Statement of Marks'!DD18="B"),'Marks Entry'!$AW$2,IF(AND('Statement of Marks'!DD18="C"),'Marks Entry'!$AY$2,"")))))),"")</f>
        <v xml:space="preserve">POLITICAL SCIENCE, HISTORY, GEOGRAPHY, </v>
      </c>
      <c r="T15" s="431" t="str">
        <f>IF(COUNTIF(K15:R15,"F")&gt;0,"",CONCATENATE('Statement of Marks'!GU18,'Statement of Marks'!GW18))</f>
        <v xml:space="preserve">           </v>
      </c>
      <c r="BG15" s="17">
        <f>IFERROR(VLOOKUP(B15,'Statement of Marks'!$B$8:'Statement of Marks'!$HI$207,41,0),"")</f>
        <v>16</v>
      </c>
      <c r="BH15" s="17" t="str">
        <f>IFERROR(VLOOKUP(B15,'Statement of Marks'!$B$8:'Statement of Marks'!$HI$207,66,0),"")</f>
        <v/>
      </c>
      <c r="BI15" s="17">
        <f>IFERROR(VLOOKUP(B15,'Statement of Marks'!$B$8:'Statement of Marks'!$HI$207,91,0),"")</f>
        <v>45</v>
      </c>
      <c r="BJ15" s="17" t="str">
        <f>IFERROR(VLOOKUP(B15,'Statement of Marks'!$B$8:'Statement of Marks'!$HI$207,117,0),"")</f>
        <v/>
      </c>
    </row>
    <row r="16" spans="1:62" ht="24.95" customHeight="1">
      <c r="A16" s="284">
        <f>IF('Statement of Marks'!A19="","",'Statement of Marks'!A19)</f>
        <v>12</v>
      </c>
      <c r="B16" s="284" t="str">
        <f>IF('Statement of Marks'!B19="","",'Statement of Marks'!B19)</f>
        <v/>
      </c>
      <c r="C16" s="284" t="str">
        <f>IF('Statement of Marks'!C19="","",'Statement of Marks'!C19)</f>
        <v/>
      </c>
      <c r="D16" s="426" t="str">
        <f>IF('Statement of Marks'!D19="","",'Statement of Marks'!D19)</f>
        <v/>
      </c>
      <c r="E16" s="427" t="str">
        <f>IF('Statement of Marks'!E19="","",'Statement of Marks'!E19)</f>
        <v/>
      </c>
      <c r="F16" s="427" t="str">
        <f>IF('Statement of Marks'!F19="","",'Statement of Marks'!F19)</f>
        <v/>
      </c>
      <c r="G16" s="427" t="str">
        <f>IF('Statement of Marks'!G19="","",'Statement of Marks'!G19)</f>
        <v/>
      </c>
      <c r="H16" s="428" t="str">
        <f>IF(B16="","",IF('Statement of Marks'!GY19="","",'Statement of Marks'!GY19))</f>
        <v/>
      </c>
      <c r="I16" s="287" t="str">
        <f>IF(B16="","",IF('Statement of Marks'!HB19="","",'Statement of Marks'!HB19))</f>
        <v/>
      </c>
      <c r="J16" s="429" t="str">
        <f>IF(B16="","",IF('Statement of Marks'!HC19="","",'Statement of Marks'!HC19))</f>
        <v/>
      </c>
      <c r="K16" s="296" t="str">
        <f>IF(B16="","",'Statement of Marks'!FJ19)</f>
        <v/>
      </c>
      <c r="L16" s="296" t="str">
        <f>IF(B16="","",'Statement of Marks'!FM19)</f>
        <v/>
      </c>
      <c r="M16" s="296" t="str">
        <f>IF(B16="","",'Statement of Marks'!FP19)</f>
        <v/>
      </c>
      <c r="N16" s="296" t="str">
        <f>IF(B16="","",'Statement of Marks'!FW19)</f>
        <v/>
      </c>
      <c r="O16" s="296" t="str">
        <f>IF(B16="","",'Statement of Marks'!GD19)</f>
        <v/>
      </c>
      <c r="P16" s="296" t="str">
        <f>IF(B16="","",'Statement of Marks'!GK19)</f>
        <v/>
      </c>
      <c r="Q16" s="296" t="str">
        <f>IF(B16="","",'Statement of Marks'!GR19)</f>
        <v/>
      </c>
      <c r="R16" s="296" t="str">
        <f>IF(B16="","",'Statement of Marks'!FF19)</f>
        <v/>
      </c>
      <c r="S16" s="430" t="str">
        <f>IFERROR(IF(B16="","",CONCATENATE(IF(AND('Marks Entry'!U19="A"),'Marks Entry'!$U$2,IF(AND('Marks Entry'!U19="B"),'Marks Entry'!$Y$2,IF(AND('Marks Entry'!U19="C"),'Marks Entry'!$AA$2,""))),", ",IF(AND('Marks Entry'!AC19="A"),'Marks Entry'!$AC$2,IF(AND('Marks Entry'!AC19="B"),'Marks Entry'!$AG$2,IF(AND('Marks Entry'!AC19="C"),'Marks Entry'!$AI$2,""))),", ",IF(AND('Marks Entry'!AK19="A"),'Marks Entry'!$AK$2,IF(AND('Marks Entry'!AK19="B"),'Marks Entry'!$AO$2,IF(AND('Marks Entry'!AK19="C"),'Marks Entry'!$AQ$2,""))),", ",IF(AND('Statement of Marks'!DD19=""),"",IF(AND('Statement of Marks'!DD19="A"),'Marks Entry'!$AS$2,IF(AND('Statement of Marks'!DD19="B"),'Marks Entry'!$AW$2,IF(AND('Statement of Marks'!DD19="C"),'Marks Entry'!$AY$2,"")))))),"")</f>
        <v/>
      </c>
      <c r="T16" s="431" t="str">
        <f>IF(COUNTIF(K16:R16,"F")&gt;0,"",CONCATENATE('Statement of Marks'!GU19,'Statement of Marks'!GW19))</f>
        <v xml:space="preserve">           </v>
      </c>
      <c r="BG16" s="17">
        <f>IFERROR(VLOOKUP(B16,'Statement of Marks'!$B$8:'Statement of Marks'!$HI$207,41,0),"")</f>
        <v>15</v>
      </c>
      <c r="BH16" s="17" t="str">
        <f>IFERROR(VLOOKUP(B16,'Statement of Marks'!$B$8:'Statement of Marks'!$HI$207,66,0),"")</f>
        <v/>
      </c>
      <c r="BI16" s="17">
        <f>IFERROR(VLOOKUP(B16,'Statement of Marks'!$B$8:'Statement of Marks'!$HI$207,91,0),"")</f>
        <v>60</v>
      </c>
      <c r="BJ16" s="17" t="str">
        <f>IFERROR(VLOOKUP(B16,'Statement of Marks'!$B$8:'Statement of Marks'!$HI$207,117,0),"")</f>
        <v/>
      </c>
    </row>
    <row r="17" spans="1:62" ht="24.95" customHeight="1">
      <c r="A17" s="284">
        <f>IF('Statement of Marks'!A20="","",'Statement of Marks'!A20)</f>
        <v>13</v>
      </c>
      <c r="B17" s="284" t="str">
        <f>IF('Statement of Marks'!B20="","",'Statement of Marks'!B20)</f>
        <v/>
      </c>
      <c r="C17" s="284" t="str">
        <f>IF('Statement of Marks'!C20="","",'Statement of Marks'!C20)</f>
        <v/>
      </c>
      <c r="D17" s="426" t="str">
        <f>IF('Statement of Marks'!D20="","",'Statement of Marks'!D20)</f>
        <v/>
      </c>
      <c r="E17" s="427" t="str">
        <f>IF('Statement of Marks'!E20="","",'Statement of Marks'!E20)</f>
        <v/>
      </c>
      <c r="F17" s="427" t="str">
        <f>IF('Statement of Marks'!F20="","",'Statement of Marks'!F20)</f>
        <v/>
      </c>
      <c r="G17" s="427" t="str">
        <f>IF('Statement of Marks'!G20="","",'Statement of Marks'!G20)</f>
        <v/>
      </c>
      <c r="H17" s="428" t="str">
        <f>IF(B17="","",IF('Statement of Marks'!GY20="","",'Statement of Marks'!GY20))</f>
        <v/>
      </c>
      <c r="I17" s="287" t="str">
        <f>IF(B17="","",IF('Statement of Marks'!HB20="","",'Statement of Marks'!HB20))</f>
        <v/>
      </c>
      <c r="J17" s="429" t="str">
        <f>IF(B17="","",IF('Statement of Marks'!HC20="","",'Statement of Marks'!HC20))</f>
        <v/>
      </c>
      <c r="K17" s="296" t="str">
        <f>IF(B17="","",'Statement of Marks'!FJ20)</f>
        <v/>
      </c>
      <c r="L17" s="296" t="str">
        <f>IF(B17="","",'Statement of Marks'!FM20)</f>
        <v/>
      </c>
      <c r="M17" s="296" t="str">
        <f>IF(B17="","",'Statement of Marks'!FP20)</f>
        <v/>
      </c>
      <c r="N17" s="296" t="str">
        <f>IF(B17="","",'Statement of Marks'!FW20)</f>
        <v/>
      </c>
      <c r="O17" s="296" t="str">
        <f>IF(B17="","",'Statement of Marks'!GD20)</f>
        <v/>
      </c>
      <c r="P17" s="296" t="str">
        <f>IF(B17="","",'Statement of Marks'!GK20)</f>
        <v/>
      </c>
      <c r="Q17" s="296" t="str">
        <f>IF(B17="","",'Statement of Marks'!GR20)</f>
        <v/>
      </c>
      <c r="R17" s="296" t="str">
        <f>IF(B17="","",'Statement of Marks'!FF20)</f>
        <v/>
      </c>
      <c r="S17" s="430" t="str">
        <f>IFERROR(IF(B17="","",CONCATENATE(IF(AND('Marks Entry'!U20="A"),'Marks Entry'!$U$2,IF(AND('Marks Entry'!U20="B"),'Marks Entry'!$Y$2,IF(AND('Marks Entry'!U20="C"),'Marks Entry'!$AA$2,""))),", ",IF(AND('Marks Entry'!AC20="A"),'Marks Entry'!$AC$2,IF(AND('Marks Entry'!AC20="B"),'Marks Entry'!$AG$2,IF(AND('Marks Entry'!AC20="C"),'Marks Entry'!$AI$2,""))),", ",IF(AND('Marks Entry'!AK20="A"),'Marks Entry'!$AK$2,IF(AND('Marks Entry'!AK20="B"),'Marks Entry'!$AO$2,IF(AND('Marks Entry'!AK20="C"),'Marks Entry'!$AQ$2,""))),", ",IF(AND('Statement of Marks'!DD20=""),"",IF(AND('Statement of Marks'!DD20="A"),'Marks Entry'!$AS$2,IF(AND('Statement of Marks'!DD20="B"),'Marks Entry'!$AW$2,IF(AND('Statement of Marks'!DD20="C"),'Marks Entry'!$AY$2,"")))))),"")</f>
        <v/>
      </c>
      <c r="T17" s="431" t="str">
        <f>IF(COUNTIF(K17:R17,"F")&gt;0,"",CONCATENATE('Statement of Marks'!GU20,'Statement of Marks'!GW20))</f>
        <v xml:space="preserve">           </v>
      </c>
      <c r="BG17" s="17">
        <f>IFERROR(VLOOKUP(B17,'Statement of Marks'!$B$8:'Statement of Marks'!$HI$207,41,0),"")</f>
        <v>15</v>
      </c>
      <c r="BH17" s="17" t="str">
        <f>IFERROR(VLOOKUP(B17,'Statement of Marks'!$B$8:'Statement of Marks'!$HI$207,66,0),"")</f>
        <v/>
      </c>
      <c r="BI17" s="17">
        <f>IFERROR(VLOOKUP(B17,'Statement of Marks'!$B$8:'Statement of Marks'!$HI$207,91,0),"")</f>
        <v>60</v>
      </c>
      <c r="BJ17" s="17" t="str">
        <f>IFERROR(VLOOKUP(B17,'Statement of Marks'!$B$8:'Statement of Marks'!$HI$207,117,0),"")</f>
        <v/>
      </c>
    </row>
    <row r="18" spans="1:62" ht="24.95" customHeight="1">
      <c r="A18" s="284">
        <f>IF('Statement of Marks'!A21="","",'Statement of Marks'!A21)</f>
        <v>14</v>
      </c>
      <c r="B18" s="284" t="str">
        <f>IF('Statement of Marks'!B21="","",'Statement of Marks'!B21)</f>
        <v/>
      </c>
      <c r="C18" s="284" t="str">
        <f>IF('Statement of Marks'!C21="","",'Statement of Marks'!C21)</f>
        <v/>
      </c>
      <c r="D18" s="426" t="str">
        <f>IF('Statement of Marks'!D21="","",'Statement of Marks'!D21)</f>
        <v/>
      </c>
      <c r="E18" s="427" t="str">
        <f>IF('Statement of Marks'!E21="","",'Statement of Marks'!E21)</f>
        <v/>
      </c>
      <c r="F18" s="427" t="str">
        <f>IF('Statement of Marks'!F21="","",'Statement of Marks'!F21)</f>
        <v/>
      </c>
      <c r="G18" s="427" t="str">
        <f>IF('Statement of Marks'!G21="","",'Statement of Marks'!G21)</f>
        <v/>
      </c>
      <c r="H18" s="428" t="str">
        <f>IF(B18="","",IF('Statement of Marks'!GY21="","",'Statement of Marks'!GY21))</f>
        <v/>
      </c>
      <c r="I18" s="287" t="str">
        <f>IF(B18="","",IF('Statement of Marks'!HB21="","",'Statement of Marks'!HB21))</f>
        <v/>
      </c>
      <c r="J18" s="429" t="str">
        <f>IF(B18="","",IF('Statement of Marks'!HC21="","",'Statement of Marks'!HC21))</f>
        <v/>
      </c>
      <c r="K18" s="296" t="str">
        <f>IF(B18="","",'Statement of Marks'!FJ21)</f>
        <v/>
      </c>
      <c r="L18" s="296" t="str">
        <f>IF(B18="","",'Statement of Marks'!FM21)</f>
        <v/>
      </c>
      <c r="M18" s="296" t="str">
        <f>IF(B18="","",'Statement of Marks'!FP21)</f>
        <v/>
      </c>
      <c r="N18" s="296" t="str">
        <f>IF(B18="","",'Statement of Marks'!FW21)</f>
        <v/>
      </c>
      <c r="O18" s="296" t="str">
        <f>IF(B18="","",'Statement of Marks'!GD21)</f>
        <v/>
      </c>
      <c r="P18" s="296" t="str">
        <f>IF(B18="","",'Statement of Marks'!GK21)</f>
        <v/>
      </c>
      <c r="Q18" s="296" t="str">
        <f>IF(B18="","",'Statement of Marks'!GR21)</f>
        <v/>
      </c>
      <c r="R18" s="296" t="str">
        <f>IF(B18="","",'Statement of Marks'!FF21)</f>
        <v/>
      </c>
      <c r="S18" s="430" t="str">
        <f>IFERROR(IF(B18="","",CONCATENATE(IF(AND('Marks Entry'!U21="A"),'Marks Entry'!$U$2,IF(AND('Marks Entry'!U21="B"),'Marks Entry'!$Y$2,IF(AND('Marks Entry'!U21="C"),'Marks Entry'!$AA$2,""))),", ",IF(AND('Marks Entry'!AC21="A"),'Marks Entry'!$AC$2,IF(AND('Marks Entry'!AC21="B"),'Marks Entry'!$AG$2,IF(AND('Marks Entry'!AC21="C"),'Marks Entry'!$AI$2,""))),", ",IF(AND('Marks Entry'!AK21="A"),'Marks Entry'!$AK$2,IF(AND('Marks Entry'!AK21="B"),'Marks Entry'!$AO$2,IF(AND('Marks Entry'!AK21="C"),'Marks Entry'!$AQ$2,""))),", ",IF(AND('Statement of Marks'!DD21=""),"",IF(AND('Statement of Marks'!DD21="A"),'Marks Entry'!$AS$2,IF(AND('Statement of Marks'!DD21="B"),'Marks Entry'!$AW$2,IF(AND('Statement of Marks'!DD21="C"),'Marks Entry'!$AY$2,"")))))),"")</f>
        <v/>
      </c>
      <c r="T18" s="431" t="str">
        <f>IF(COUNTIF(K18:R18,"F")&gt;0,"",CONCATENATE('Statement of Marks'!GU21,'Statement of Marks'!GW21))</f>
        <v xml:space="preserve">           </v>
      </c>
      <c r="BG18" s="17">
        <f>IFERROR(VLOOKUP(B18,'Statement of Marks'!$B$8:'Statement of Marks'!$HI$207,41,0),"")</f>
        <v>15</v>
      </c>
      <c r="BH18" s="17" t="str">
        <f>IFERROR(VLOOKUP(B18,'Statement of Marks'!$B$8:'Statement of Marks'!$HI$207,66,0),"")</f>
        <v/>
      </c>
      <c r="BI18" s="17">
        <f>IFERROR(VLOOKUP(B18,'Statement of Marks'!$B$8:'Statement of Marks'!$HI$207,91,0),"")</f>
        <v>60</v>
      </c>
      <c r="BJ18" s="17" t="str">
        <f>IFERROR(VLOOKUP(B18,'Statement of Marks'!$B$8:'Statement of Marks'!$HI$207,117,0),"")</f>
        <v/>
      </c>
    </row>
    <row r="19" spans="1:62" ht="24.95" customHeight="1">
      <c r="A19" s="284">
        <f>IF('Statement of Marks'!A22="","",'Statement of Marks'!A22)</f>
        <v>15</v>
      </c>
      <c r="B19" s="284" t="str">
        <f>IF('Statement of Marks'!B22="","",'Statement of Marks'!B22)</f>
        <v/>
      </c>
      <c r="C19" s="284" t="str">
        <f>IF('Statement of Marks'!C22="","",'Statement of Marks'!C22)</f>
        <v/>
      </c>
      <c r="D19" s="426" t="str">
        <f>IF('Statement of Marks'!D22="","",'Statement of Marks'!D22)</f>
        <v/>
      </c>
      <c r="E19" s="427" t="str">
        <f>IF('Statement of Marks'!E22="","",'Statement of Marks'!E22)</f>
        <v/>
      </c>
      <c r="F19" s="427" t="str">
        <f>IF('Statement of Marks'!F22="","",'Statement of Marks'!F22)</f>
        <v/>
      </c>
      <c r="G19" s="427" t="str">
        <f>IF('Statement of Marks'!G22="","",'Statement of Marks'!G22)</f>
        <v/>
      </c>
      <c r="H19" s="428" t="str">
        <f>IF(B19="","",IF('Statement of Marks'!GY22="","",'Statement of Marks'!GY22))</f>
        <v/>
      </c>
      <c r="I19" s="287" t="str">
        <f>IF(B19="","",IF('Statement of Marks'!HB22="","",'Statement of Marks'!HB22))</f>
        <v/>
      </c>
      <c r="J19" s="429" t="str">
        <f>IF(B19="","",IF('Statement of Marks'!HC22="","",'Statement of Marks'!HC22))</f>
        <v/>
      </c>
      <c r="K19" s="296" t="str">
        <f>IF(B19="","",'Statement of Marks'!FJ22)</f>
        <v/>
      </c>
      <c r="L19" s="296" t="str">
        <f>IF(B19="","",'Statement of Marks'!FM22)</f>
        <v/>
      </c>
      <c r="M19" s="296" t="str">
        <f>IF(B19="","",'Statement of Marks'!FP22)</f>
        <v/>
      </c>
      <c r="N19" s="296" t="str">
        <f>IF(B19="","",'Statement of Marks'!FW22)</f>
        <v/>
      </c>
      <c r="O19" s="296" t="str">
        <f>IF(B19="","",'Statement of Marks'!GD22)</f>
        <v/>
      </c>
      <c r="P19" s="296" t="str">
        <f>IF(B19="","",'Statement of Marks'!GK22)</f>
        <v/>
      </c>
      <c r="Q19" s="296" t="str">
        <f>IF(B19="","",'Statement of Marks'!GR22)</f>
        <v/>
      </c>
      <c r="R19" s="296" t="str">
        <f>IF(B19="","",'Statement of Marks'!FF22)</f>
        <v/>
      </c>
      <c r="S19" s="430" t="str">
        <f>IFERROR(IF(B19="","",CONCATENATE(IF(AND('Marks Entry'!U22="A"),'Marks Entry'!$U$2,IF(AND('Marks Entry'!U22="B"),'Marks Entry'!$Y$2,IF(AND('Marks Entry'!U22="C"),'Marks Entry'!$AA$2,""))),", ",IF(AND('Marks Entry'!AC22="A"),'Marks Entry'!$AC$2,IF(AND('Marks Entry'!AC22="B"),'Marks Entry'!$AG$2,IF(AND('Marks Entry'!AC22="C"),'Marks Entry'!$AI$2,""))),", ",IF(AND('Marks Entry'!AK22="A"),'Marks Entry'!$AK$2,IF(AND('Marks Entry'!AK22="B"),'Marks Entry'!$AO$2,IF(AND('Marks Entry'!AK22="C"),'Marks Entry'!$AQ$2,""))),", ",IF(AND('Statement of Marks'!DD22=""),"",IF(AND('Statement of Marks'!DD22="A"),'Marks Entry'!$AS$2,IF(AND('Statement of Marks'!DD22="B"),'Marks Entry'!$AW$2,IF(AND('Statement of Marks'!DD22="C"),'Marks Entry'!$AY$2,"")))))),"")</f>
        <v/>
      </c>
      <c r="T19" s="431" t="str">
        <f>IF(COUNTIF(K19:R19,"F")&gt;0,"",CONCATENATE('Statement of Marks'!GU22,'Statement of Marks'!GW22))</f>
        <v xml:space="preserve">           </v>
      </c>
      <c r="BG19" s="17">
        <f>IFERROR(VLOOKUP(B19,'Statement of Marks'!$B$8:'Statement of Marks'!$HI$207,41,0),"")</f>
        <v>15</v>
      </c>
      <c r="BH19" s="17" t="str">
        <f>IFERROR(VLOOKUP(B19,'Statement of Marks'!$B$8:'Statement of Marks'!$HI$207,66,0),"")</f>
        <v/>
      </c>
      <c r="BI19" s="17">
        <f>IFERROR(VLOOKUP(B19,'Statement of Marks'!$B$8:'Statement of Marks'!$HI$207,91,0),"")</f>
        <v>60</v>
      </c>
      <c r="BJ19" s="17" t="str">
        <f>IFERROR(VLOOKUP(B19,'Statement of Marks'!$B$8:'Statement of Marks'!$HI$207,117,0),"")</f>
        <v/>
      </c>
    </row>
    <row r="20" spans="1:62" ht="24.95" customHeight="1">
      <c r="A20" s="284">
        <f>IF('Statement of Marks'!A23="","",'Statement of Marks'!A23)</f>
        <v>16</v>
      </c>
      <c r="B20" s="284" t="str">
        <f>IF('Statement of Marks'!B23="","",'Statement of Marks'!B23)</f>
        <v/>
      </c>
      <c r="C20" s="284" t="str">
        <f>IF('Statement of Marks'!C23="","",'Statement of Marks'!C23)</f>
        <v/>
      </c>
      <c r="D20" s="426" t="str">
        <f>IF('Statement of Marks'!D23="","",'Statement of Marks'!D23)</f>
        <v/>
      </c>
      <c r="E20" s="427" t="str">
        <f>IF('Statement of Marks'!E23="","",'Statement of Marks'!E23)</f>
        <v/>
      </c>
      <c r="F20" s="427" t="str">
        <f>IF('Statement of Marks'!F23="","",'Statement of Marks'!F23)</f>
        <v/>
      </c>
      <c r="G20" s="427" t="str">
        <f>IF('Statement of Marks'!G23="","",'Statement of Marks'!G23)</f>
        <v/>
      </c>
      <c r="H20" s="428" t="str">
        <f>IF(B20="","",IF('Statement of Marks'!GY23="","",'Statement of Marks'!GY23))</f>
        <v/>
      </c>
      <c r="I20" s="287" t="str">
        <f>IF(B20="","",IF('Statement of Marks'!HB23="","",'Statement of Marks'!HB23))</f>
        <v/>
      </c>
      <c r="J20" s="429" t="str">
        <f>IF(B20="","",IF('Statement of Marks'!HC23="","",'Statement of Marks'!HC23))</f>
        <v/>
      </c>
      <c r="K20" s="296" t="str">
        <f>IF(B20="","",'Statement of Marks'!FJ23)</f>
        <v/>
      </c>
      <c r="L20" s="296" t="str">
        <f>IF(B20="","",'Statement of Marks'!FM23)</f>
        <v/>
      </c>
      <c r="M20" s="296" t="str">
        <f>IF(B20="","",'Statement of Marks'!FP23)</f>
        <v/>
      </c>
      <c r="N20" s="296" t="str">
        <f>IF(B20="","",'Statement of Marks'!FW23)</f>
        <v/>
      </c>
      <c r="O20" s="296" t="str">
        <f>IF(B20="","",'Statement of Marks'!GD23)</f>
        <v/>
      </c>
      <c r="P20" s="296" t="str">
        <f>IF(B20="","",'Statement of Marks'!GK23)</f>
        <v/>
      </c>
      <c r="Q20" s="296" t="str">
        <f>IF(B20="","",'Statement of Marks'!GR23)</f>
        <v/>
      </c>
      <c r="R20" s="296" t="str">
        <f>IF(B20="","",'Statement of Marks'!FF23)</f>
        <v/>
      </c>
      <c r="S20" s="430" t="str">
        <f>IFERROR(IF(B20="","",CONCATENATE(IF(AND('Marks Entry'!U23="A"),'Marks Entry'!$U$2,IF(AND('Marks Entry'!U23="B"),'Marks Entry'!$Y$2,IF(AND('Marks Entry'!U23="C"),'Marks Entry'!$AA$2,""))),", ",IF(AND('Marks Entry'!AC23="A"),'Marks Entry'!$AC$2,IF(AND('Marks Entry'!AC23="B"),'Marks Entry'!$AG$2,IF(AND('Marks Entry'!AC23="C"),'Marks Entry'!$AI$2,""))),", ",IF(AND('Marks Entry'!AK23="A"),'Marks Entry'!$AK$2,IF(AND('Marks Entry'!AK23="B"),'Marks Entry'!$AO$2,IF(AND('Marks Entry'!AK23="C"),'Marks Entry'!$AQ$2,""))),", ",IF(AND('Statement of Marks'!DD23=""),"",IF(AND('Statement of Marks'!DD23="A"),'Marks Entry'!$AS$2,IF(AND('Statement of Marks'!DD23="B"),'Marks Entry'!$AW$2,IF(AND('Statement of Marks'!DD23="C"),'Marks Entry'!$AY$2,"")))))),"")</f>
        <v/>
      </c>
      <c r="T20" s="431" t="str">
        <f>IF(COUNTIF(K20:R20,"F")&gt;0,"",CONCATENATE('Statement of Marks'!GU23,'Statement of Marks'!GW23))</f>
        <v xml:space="preserve">           </v>
      </c>
      <c r="BG20" s="17">
        <f>IFERROR(VLOOKUP(B20,'Statement of Marks'!$B$8:'Statement of Marks'!$HI$207,41,0),"")</f>
        <v>15</v>
      </c>
      <c r="BH20" s="17" t="str">
        <f>IFERROR(VLOOKUP(B20,'Statement of Marks'!$B$8:'Statement of Marks'!$HI$207,66,0),"")</f>
        <v/>
      </c>
      <c r="BI20" s="17">
        <f>IFERROR(VLOOKUP(B20,'Statement of Marks'!$B$8:'Statement of Marks'!$HI$207,91,0),"")</f>
        <v>60</v>
      </c>
      <c r="BJ20" s="17" t="str">
        <f>IFERROR(VLOOKUP(B20,'Statement of Marks'!$B$8:'Statement of Marks'!$HI$207,117,0),"")</f>
        <v/>
      </c>
    </row>
    <row r="21" spans="1:62" ht="24.95" customHeight="1">
      <c r="A21" s="284">
        <f>IF('Statement of Marks'!A24="","",'Statement of Marks'!A24)</f>
        <v>17</v>
      </c>
      <c r="B21" s="284" t="str">
        <f>IF('Statement of Marks'!B24="","",'Statement of Marks'!B24)</f>
        <v/>
      </c>
      <c r="C21" s="284" t="str">
        <f>IF('Statement of Marks'!C24="","",'Statement of Marks'!C24)</f>
        <v/>
      </c>
      <c r="D21" s="426" t="str">
        <f>IF('Statement of Marks'!D24="","",'Statement of Marks'!D24)</f>
        <v/>
      </c>
      <c r="E21" s="427" t="str">
        <f>IF('Statement of Marks'!E24="","",'Statement of Marks'!E24)</f>
        <v/>
      </c>
      <c r="F21" s="427" t="str">
        <f>IF('Statement of Marks'!F24="","",'Statement of Marks'!F24)</f>
        <v/>
      </c>
      <c r="G21" s="427" t="str">
        <f>IF('Statement of Marks'!G24="","",'Statement of Marks'!G24)</f>
        <v/>
      </c>
      <c r="H21" s="428" t="str">
        <f>IF(B21="","",IF('Statement of Marks'!GY24="","",'Statement of Marks'!GY24))</f>
        <v/>
      </c>
      <c r="I21" s="287" t="str">
        <f>IF(B21="","",IF('Statement of Marks'!HB24="","",'Statement of Marks'!HB24))</f>
        <v/>
      </c>
      <c r="J21" s="429" t="str">
        <f>IF(B21="","",IF('Statement of Marks'!HC24="","",'Statement of Marks'!HC24))</f>
        <v/>
      </c>
      <c r="K21" s="296" t="str">
        <f>IF(B21="","",'Statement of Marks'!FJ24)</f>
        <v/>
      </c>
      <c r="L21" s="296" t="str">
        <f>IF(B21="","",'Statement of Marks'!FM24)</f>
        <v/>
      </c>
      <c r="M21" s="296" t="str">
        <f>IF(B21="","",'Statement of Marks'!FP24)</f>
        <v/>
      </c>
      <c r="N21" s="296" t="str">
        <f>IF(B21="","",'Statement of Marks'!FW24)</f>
        <v/>
      </c>
      <c r="O21" s="296" t="str">
        <f>IF(B21="","",'Statement of Marks'!GD24)</f>
        <v/>
      </c>
      <c r="P21" s="296" t="str">
        <f>IF(B21="","",'Statement of Marks'!GK24)</f>
        <v/>
      </c>
      <c r="Q21" s="296" t="str">
        <f>IF(B21="","",'Statement of Marks'!GR24)</f>
        <v/>
      </c>
      <c r="R21" s="296" t="str">
        <f>IF(B21="","",'Statement of Marks'!FF24)</f>
        <v/>
      </c>
      <c r="S21" s="430" t="str">
        <f>IFERROR(IF(B21="","",CONCATENATE(IF(AND('Marks Entry'!U24="A"),'Marks Entry'!$U$2,IF(AND('Marks Entry'!U24="B"),'Marks Entry'!$Y$2,IF(AND('Marks Entry'!U24="C"),'Marks Entry'!$AA$2,""))),", ",IF(AND('Marks Entry'!AC24="A"),'Marks Entry'!$AC$2,IF(AND('Marks Entry'!AC24="B"),'Marks Entry'!$AG$2,IF(AND('Marks Entry'!AC24="C"),'Marks Entry'!$AI$2,""))),", ",IF(AND('Marks Entry'!AK24="A"),'Marks Entry'!$AK$2,IF(AND('Marks Entry'!AK24="B"),'Marks Entry'!$AO$2,IF(AND('Marks Entry'!AK24="C"),'Marks Entry'!$AQ$2,""))),", ",IF(AND('Statement of Marks'!DD24=""),"",IF(AND('Statement of Marks'!DD24="A"),'Marks Entry'!$AS$2,IF(AND('Statement of Marks'!DD24="B"),'Marks Entry'!$AW$2,IF(AND('Statement of Marks'!DD24="C"),'Marks Entry'!$AY$2,"")))))),"")</f>
        <v/>
      </c>
      <c r="T21" s="431" t="str">
        <f>IF(COUNTIF(K21:R21,"F")&gt;0,"",CONCATENATE('Statement of Marks'!GU24,'Statement of Marks'!GW24))</f>
        <v xml:space="preserve">           </v>
      </c>
      <c r="BG21" s="17">
        <f>IFERROR(VLOOKUP(B21,'Statement of Marks'!$B$8:'Statement of Marks'!$HI$207,41,0),"")</f>
        <v>15</v>
      </c>
      <c r="BH21" s="17" t="str">
        <f>IFERROR(VLOOKUP(B21,'Statement of Marks'!$B$8:'Statement of Marks'!$HI$207,66,0),"")</f>
        <v/>
      </c>
      <c r="BI21" s="17">
        <f>IFERROR(VLOOKUP(B21,'Statement of Marks'!$B$8:'Statement of Marks'!$HI$207,91,0),"")</f>
        <v>60</v>
      </c>
      <c r="BJ21" s="17" t="str">
        <f>IFERROR(VLOOKUP(B21,'Statement of Marks'!$B$8:'Statement of Marks'!$HI$207,117,0),"")</f>
        <v/>
      </c>
    </row>
    <row r="22" spans="1:62" ht="24.95" customHeight="1">
      <c r="A22" s="284">
        <f>IF('Statement of Marks'!A25="","",'Statement of Marks'!A25)</f>
        <v>18</v>
      </c>
      <c r="B22" s="284" t="str">
        <f>IF('Statement of Marks'!B25="","",'Statement of Marks'!B25)</f>
        <v/>
      </c>
      <c r="C22" s="284" t="str">
        <f>IF('Statement of Marks'!C25="","",'Statement of Marks'!C25)</f>
        <v/>
      </c>
      <c r="D22" s="426" t="str">
        <f>IF('Statement of Marks'!D25="","",'Statement of Marks'!D25)</f>
        <v/>
      </c>
      <c r="E22" s="427" t="str">
        <f>IF('Statement of Marks'!E25="","",'Statement of Marks'!E25)</f>
        <v/>
      </c>
      <c r="F22" s="427" t="str">
        <f>IF('Statement of Marks'!F25="","",'Statement of Marks'!F25)</f>
        <v/>
      </c>
      <c r="G22" s="427" t="str">
        <f>IF('Statement of Marks'!G25="","",'Statement of Marks'!G25)</f>
        <v/>
      </c>
      <c r="H22" s="428" t="str">
        <f>IF(B22="","",IF('Statement of Marks'!GY25="","",'Statement of Marks'!GY25))</f>
        <v/>
      </c>
      <c r="I22" s="287" t="str">
        <f>IF(B22="","",IF('Statement of Marks'!HB25="","",'Statement of Marks'!HB25))</f>
        <v/>
      </c>
      <c r="J22" s="429" t="str">
        <f>IF(B22="","",IF('Statement of Marks'!HC25="","",'Statement of Marks'!HC25))</f>
        <v/>
      </c>
      <c r="K22" s="296" t="str">
        <f>IF(B22="","",'Statement of Marks'!FJ25)</f>
        <v/>
      </c>
      <c r="L22" s="296" t="str">
        <f>IF(B22="","",'Statement of Marks'!FM25)</f>
        <v/>
      </c>
      <c r="M22" s="296" t="str">
        <f>IF(B22="","",'Statement of Marks'!FP25)</f>
        <v/>
      </c>
      <c r="N22" s="296" t="str">
        <f>IF(B22="","",'Statement of Marks'!FW25)</f>
        <v/>
      </c>
      <c r="O22" s="296" t="str">
        <f>IF(B22="","",'Statement of Marks'!GD25)</f>
        <v/>
      </c>
      <c r="P22" s="296" t="str">
        <f>IF(B22="","",'Statement of Marks'!GK25)</f>
        <v/>
      </c>
      <c r="Q22" s="296" t="str">
        <f>IF(B22="","",'Statement of Marks'!GR25)</f>
        <v/>
      </c>
      <c r="R22" s="296" t="str">
        <f>IF(B22="","",'Statement of Marks'!FF25)</f>
        <v/>
      </c>
      <c r="S22" s="430" t="str">
        <f>IFERROR(IF(B22="","",CONCATENATE(IF(AND('Marks Entry'!U25="A"),'Marks Entry'!$U$2,IF(AND('Marks Entry'!U25="B"),'Marks Entry'!$Y$2,IF(AND('Marks Entry'!U25="C"),'Marks Entry'!$AA$2,""))),", ",IF(AND('Marks Entry'!AC25="A"),'Marks Entry'!$AC$2,IF(AND('Marks Entry'!AC25="B"),'Marks Entry'!$AG$2,IF(AND('Marks Entry'!AC25="C"),'Marks Entry'!$AI$2,""))),", ",IF(AND('Marks Entry'!AK25="A"),'Marks Entry'!$AK$2,IF(AND('Marks Entry'!AK25="B"),'Marks Entry'!$AO$2,IF(AND('Marks Entry'!AK25="C"),'Marks Entry'!$AQ$2,""))),", ",IF(AND('Statement of Marks'!DD25=""),"",IF(AND('Statement of Marks'!DD25="A"),'Marks Entry'!$AS$2,IF(AND('Statement of Marks'!DD25="B"),'Marks Entry'!$AW$2,IF(AND('Statement of Marks'!DD25="C"),'Marks Entry'!$AY$2,"")))))),"")</f>
        <v/>
      </c>
      <c r="T22" s="431" t="str">
        <f>IF(COUNTIF(K22:R22,"F")&gt;0,"",CONCATENATE('Statement of Marks'!GU25,'Statement of Marks'!GW25))</f>
        <v xml:space="preserve">           </v>
      </c>
      <c r="BG22" s="17">
        <f>IFERROR(VLOOKUP(B22,'Statement of Marks'!$B$8:'Statement of Marks'!$HI$207,41,0),"")</f>
        <v>15</v>
      </c>
      <c r="BH22" s="17" t="str">
        <f>IFERROR(VLOOKUP(B22,'Statement of Marks'!$B$8:'Statement of Marks'!$HI$207,66,0),"")</f>
        <v/>
      </c>
      <c r="BI22" s="17">
        <f>IFERROR(VLOOKUP(B22,'Statement of Marks'!$B$8:'Statement of Marks'!$HI$207,91,0),"")</f>
        <v>60</v>
      </c>
      <c r="BJ22" s="17" t="str">
        <f>IFERROR(VLOOKUP(B22,'Statement of Marks'!$B$8:'Statement of Marks'!$HI$207,117,0),"")</f>
        <v/>
      </c>
    </row>
    <row r="23" spans="1:62" ht="24.95" customHeight="1">
      <c r="A23" s="284">
        <f>IF('Statement of Marks'!A26="","",'Statement of Marks'!A26)</f>
        <v>19</v>
      </c>
      <c r="B23" s="284" t="str">
        <f>IF('Statement of Marks'!B26="","",'Statement of Marks'!B26)</f>
        <v/>
      </c>
      <c r="C23" s="284" t="str">
        <f>IF('Statement of Marks'!C26="","",'Statement of Marks'!C26)</f>
        <v/>
      </c>
      <c r="D23" s="426" t="str">
        <f>IF('Statement of Marks'!D26="","",'Statement of Marks'!D26)</f>
        <v/>
      </c>
      <c r="E23" s="427" t="str">
        <f>IF('Statement of Marks'!E26="","",'Statement of Marks'!E26)</f>
        <v/>
      </c>
      <c r="F23" s="427" t="str">
        <f>IF('Statement of Marks'!F26="","",'Statement of Marks'!F26)</f>
        <v/>
      </c>
      <c r="G23" s="427" t="str">
        <f>IF('Statement of Marks'!G26="","",'Statement of Marks'!G26)</f>
        <v/>
      </c>
      <c r="H23" s="428" t="str">
        <f>IF(B23="","",IF('Statement of Marks'!GY26="","",'Statement of Marks'!GY26))</f>
        <v/>
      </c>
      <c r="I23" s="287" t="str">
        <f>IF(B23="","",IF('Statement of Marks'!HB26="","",'Statement of Marks'!HB26))</f>
        <v/>
      </c>
      <c r="J23" s="429" t="str">
        <f>IF(B23="","",IF('Statement of Marks'!HC26="","",'Statement of Marks'!HC26))</f>
        <v/>
      </c>
      <c r="K23" s="296" t="str">
        <f>IF(B23="","",'Statement of Marks'!FJ26)</f>
        <v/>
      </c>
      <c r="L23" s="296" t="str">
        <f>IF(B23="","",'Statement of Marks'!FM26)</f>
        <v/>
      </c>
      <c r="M23" s="296" t="str">
        <f>IF(B23="","",'Statement of Marks'!FP26)</f>
        <v/>
      </c>
      <c r="N23" s="296" t="str">
        <f>IF(B23="","",'Statement of Marks'!FW26)</f>
        <v/>
      </c>
      <c r="O23" s="296" t="str">
        <f>IF(B23="","",'Statement of Marks'!GD26)</f>
        <v/>
      </c>
      <c r="P23" s="296" t="str">
        <f>IF(B23="","",'Statement of Marks'!GK26)</f>
        <v/>
      </c>
      <c r="Q23" s="296" t="str">
        <f>IF(B23="","",'Statement of Marks'!GR26)</f>
        <v/>
      </c>
      <c r="R23" s="296" t="str">
        <f>IF(B23="","",'Statement of Marks'!FF26)</f>
        <v/>
      </c>
      <c r="S23" s="430" t="str">
        <f>IFERROR(IF(B23="","",CONCATENATE(IF(AND('Marks Entry'!U26="A"),'Marks Entry'!$U$2,IF(AND('Marks Entry'!U26="B"),'Marks Entry'!$Y$2,IF(AND('Marks Entry'!U26="C"),'Marks Entry'!$AA$2,""))),", ",IF(AND('Marks Entry'!AC26="A"),'Marks Entry'!$AC$2,IF(AND('Marks Entry'!AC26="B"),'Marks Entry'!$AG$2,IF(AND('Marks Entry'!AC26="C"),'Marks Entry'!$AI$2,""))),", ",IF(AND('Marks Entry'!AK26="A"),'Marks Entry'!$AK$2,IF(AND('Marks Entry'!AK26="B"),'Marks Entry'!$AO$2,IF(AND('Marks Entry'!AK26="C"),'Marks Entry'!$AQ$2,""))),", ",IF(AND('Statement of Marks'!DD26=""),"",IF(AND('Statement of Marks'!DD26="A"),'Marks Entry'!$AS$2,IF(AND('Statement of Marks'!DD26="B"),'Marks Entry'!$AW$2,IF(AND('Statement of Marks'!DD26="C"),'Marks Entry'!$AY$2,"")))))),"")</f>
        <v/>
      </c>
      <c r="T23" s="431" t="str">
        <f>IF(COUNTIF(K23:R23,"F")&gt;0,"",CONCATENATE('Statement of Marks'!GU26,'Statement of Marks'!GW26))</f>
        <v xml:space="preserve">           </v>
      </c>
      <c r="BG23" s="17">
        <f>IFERROR(VLOOKUP(B23,'Statement of Marks'!$B$8:'Statement of Marks'!$HI$207,41,0),"")</f>
        <v>15</v>
      </c>
      <c r="BH23" s="17" t="str">
        <f>IFERROR(VLOOKUP(B23,'Statement of Marks'!$B$8:'Statement of Marks'!$HI$207,66,0),"")</f>
        <v/>
      </c>
      <c r="BI23" s="17">
        <f>IFERROR(VLOOKUP(B23,'Statement of Marks'!$B$8:'Statement of Marks'!$HI$207,91,0),"")</f>
        <v>60</v>
      </c>
      <c r="BJ23" s="17" t="str">
        <f>IFERROR(VLOOKUP(B23,'Statement of Marks'!$B$8:'Statement of Marks'!$HI$207,117,0),"")</f>
        <v/>
      </c>
    </row>
    <row r="24" spans="1:62" ht="24.95" customHeight="1">
      <c r="A24" s="284">
        <f>IF('Statement of Marks'!A27="","",'Statement of Marks'!A27)</f>
        <v>20</v>
      </c>
      <c r="B24" s="284" t="str">
        <f>IF('Statement of Marks'!B27="","",'Statement of Marks'!B27)</f>
        <v/>
      </c>
      <c r="C24" s="284" t="str">
        <f>IF('Statement of Marks'!C27="","",'Statement of Marks'!C27)</f>
        <v/>
      </c>
      <c r="D24" s="426" t="str">
        <f>IF('Statement of Marks'!D27="","",'Statement of Marks'!D27)</f>
        <v/>
      </c>
      <c r="E24" s="427" t="str">
        <f>IF('Statement of Marks'!E27="","",'Statement of Marks'!E27)</f>
        <v/>
      </c>
      <c r="F24" s="427" t="str">
        <f>IF('Statement of Marks'!F27="","",'Statement of Marks'!F27)</f>
        <v/>
      </c>
      <c r="G24" s="427" t="str">
        <f>IF('Statement of Marks'!G27="","",'Statement of Marks'!G27)</f>
        <v/>
      </c>
      <c r="H24" s="428" t="str">
        <f>IF(B24="","",IF('Statement of Marks'!GY27="","",'Statement of Marks'!GY27))</f>
        <v/>
      </c>
      <c r="I24" s="287" t="str">
        <f>IF(B24="","",IF('Statement of Marks'!HB27="","",'Statement of Marks'!HB27))</f>
        <v/>
      </c>
      <c r="J24" s="429" t="str">
        <f>IF(B24="","",IF('Statement of Marks'!HC27="","",'Statement of Marks'!HC27))</f>
        <v/>
      </c>
      <c r="K24" s="296" t="str">
        <f>IF(B24="","",'Statement of Marks'!FJ27)</f>
        <v/>
      </c>
      <c r="L24" s="296" t="str">
        <f>IF(B24="","",'Statement of Marks'!FM27)</f>
        <v/>
      </c>
      <c r="M24" s="296" t="str">
        <f>IF(B24="","",'Statement of Marks'!FP27)</f>
        <v/>
      </c>
      <c r="N24" s="296" t="str">
        <f>IF(B24="","",'Statement of Marks'!FW27)</f>
        <v/>
      </c>
      <c r="O24" s="296" t="str">
        <f>IF(B24="","",'Statement of Marks'!GD27)</f>
        <v/>
      </c>
      <c r="P24" s="296" t="str">
        <f>IF(B24="","",'Statement of Marks'!GK27)</f>
        <v/>
      </c>
      <c r="Q24" s="296" t="str">
        <f>IF(B24="","",'Statement of Marks'!GR27)</f>
        <v/>
      </c>
      <c r="R24" s="296" t="str">
        <f>IF(B24="","",'Statement of Marks'!FF27)</f>
        <v/>
      </c>
      <c r="S24" s="430" t="str">
        <f>IFERROR(IF(B24="","",CONCATENATE(IF(AND('Marks Entry'!U27="A"),'Marks Entry'!$U$2,IF(AND('Marks Entry'!U27="B"),'Marks Entry'!$Y$2,IF(AND('Marks Entry'!U27="C"),'Marks Entry'!$AA$2,""))),", ",IF(AND('Marks Entry'!AC27="A"),'Marks Entry'!$AC$2,IF(AND('Marks Entry'!AC27="B"),'Marks Entry'!$AG$2,IF(AND('Marks Entry'!AC27="C"),'Marks Entry'!$AI$2,""))),", ",IF(AND('Marks Entry'!AK27="A"),'Marks Entry'!$AK$2,IF(AND('Marks Entry'!AK27="B"),'Marks Entry'!$AO$2,IF(AND('Marks Entry'!AK27="C"),'Marks Entry'!$AQ$2,""))),", ",IF(AND('Statement of Marks'!DD27=""),"",IF(AND('Statement of Marks'!DD27="A"),'Marks Entry'!$AS$2,IF(AND('Statement of Marks'!DD27="B"),'Marks Entry'!$AW$2,IF(AND('Statement of Marks'!DD27="C"),'Marks Entry'!$AY$2,"")))))),"")</f>
        <v/>
      </c>
      <c r="T24" s="431" t="str">
        <f>IF(COUNTIF(K24:R24,"F")&gt;0,"",CONCATENATE('Statement of Marks'!GU27,'Statement of Marks'!GW27))</f>
        <v xml:space="preserve">           </v>
      </c>
      <c r="BG24" s="17">
        <f>IFERROR(VLOOKUP(B24,'Statement of Marks'!$B$8:'Statement of Marks'!$HI$207,41,0),"")</f>
        <v>15</v>
      </c>
      <c r="BH24" s="17" t="str">
        <f>IFERROR(VLOOKUP(B24,'Statement of Marks'!$B$8:'Statement of Marks'!$HI$207,66,0),"")</f>
        <v/>
      </c>
      <c r="BI24" s="17">
        <f>IFERROR(VLOOKUP(B24,'Statement of Marks'!$B$8:'Statement of Marks'!$HI$207,91,0),"")</f>
        <v>60</v>
      </c>
      <c r="BJ24" s="17" t="str">
        <f>IFERROR(VLOOKUP(B24,'Statement of Marks'!$B$8:'Statement of Marks'!$HI$207,117,0),"")</f>
        <v/>
      </c>
    </row>
    <row r="25" spans="1:62" ht="24.95" customHeight="1">
      <c r="A25" s="284">
        <f>IF('Statement of Marks'!A28="","",'Statement of Marks'!A28)</f>
        <v>21</v>
      </c>
      <c r="B25" s="284" t="str">
        <f>IF('Statement of Marks'!B28="","",'Statement of Marks'!B28)</f>
        <v/>
      </c>
      <c r="C25" s="284" t="str">
        <f>IF('Statement of Marks'!C28="","",'Statement of Marks'!C28)</f>
        <v/>
      </c>
      <c r="D25" s="426" t="str">
        <f>IF('Statement of Marks'!D28="","",'Statement of Marks'!D28)</f>
        <v/>
      </c>
      <c r="E25" s="427" t="str">
        <f>IF('Statement of Marks'!E28="","",'Statement of Marks'!E28)</f>
        <v/>
      </c>
      <c r="F25" s="427" t="str">
        <f>IF('Statement of Marks'!F28="","",'Statement of Marks'!F28)</f>
        <v/>
      </c>
      <c r="G25" s="427" t="str">
        <f>IF('Statement of Marks'!G28="","",'Statement of Marks'!G28)</f>
        <v/>
      </c>
      <c r="H25" s="428" t="str">
        <f>IF(B25="","",IF('Statement of Marks'!GY28="","",'Statement of Marks'!GY28))</f>
        <v/>
      </c>
      <c r="I25" s="287" t="str">
        <f>IF(B25="","",IF('Statement of Marks'!HB28="","",'Statement of Marks'!HB28))</f>
        <v/>
      </c>
      <c r="J25" s="429" t="str">
        <f>IF(B25="","",IF('Statement of Marks'!HC28="","",'Statement of Marks'!HC28))</f>
        <v/>
      </c>
      <c r="K25" s="296" t="str">
        <f>IF(B25="","",'Statement of Marks'!FJ28)</f>
        <v/>
      </c>
      <c r="L25" s="296" t="str">
        <f>IF(B25="","",'Statement of Marks'!FM28)</f>
        <v/>
      </c>
      <c r="M25" s="296" t="str">
        <f>IF(B25="","",'Statement of Marks'!FP28)</f>
        <v/>
      </c>
      <c r="N25" s="296" t="str">
        <f>IF(B25="","",'Statement of Marks'!FW28)</f>
        <v/>
      </c>
      <c r="O25" s="296" t="str">
        <f>IF(B25="","",'Statement of Marks'!GD28)</f>
        <v/>
      </c>
      <c r="P25" s="296" t="str">
        <f>IF(B25="","",'Statement of Marks'!GK28)</f>
        <v/>
      </c>
      <c r="Q25" s="296" t="str">
        <f>IF(B25="","",'Statement of Marks'!GR28)</f>
        <v/>
      </c>
      <c r="R25" s="296" t="str">
        <f>IF(B25="","",'Statement of Marks'!FF28)</f>
        <v/>
      </c>
      <c r="S25" s="430" t="str">
        <f>IFERROR(IF(B25="","",CONCATENATE(IF(AND('Marks Entry'!U28="A"),'Marks Entry'!$U$2,IF(AND('Marks Entry'!U28="B"),'Marks Entry'!$Y$2,IF(AND('Marks Entry'!U28="C"),'Marks Entry'!$AA$2,""))),", ",IF(AND('Marks Entry'!AC28="A"),'Marks Entry'!$AC$2,IF(AND('Marks Entry'!AC28="B"),'Marks Entry'!$AG$2,IF(AND('Marks Entry'!AC28="C"),'Marks Entry'!$AI$2,""))),", ",IF(AND('Marks Entry'!AK28="A"),'Marks Entry'!$AK$2,IF(AND('Marks Entry'!AK28="B"),'Marks Entry'!$AO$2,IF(AND('Marks Entry'!AK28="C"),'Marks Entry'!$AQ$2,""))),", ",IF(AND('Statement of Marks'!DD28=""),"",IF(AND('Statement of Marks'!DD28="A"),'Marks Entry'!$AS$2,IF(AND('Statement of Marks'!DD28="B"),'Marks Entry'!$AW$2,IF(AND('Statement of Marks'!DD28="C"),'Marks Entry'!$AY$2,"")))))),"")</f>
        <v/>
      </c>
      <c r="T25" s="431" t="str">
        <f>IF(COUNTIF(K25:R25,"F")&gt;0,"",CONCATENATE('Statement of Marks'!GU28,'Statement of Marks'!GW28))</f>
        <v xml:space="preserve">           </v>
      </c>
      <c r="BG25" s="17">
        <f>IFERROR(VLOOKUP(B25,'Statement of Marks'!$B$8:'Statement of Marks'!$HI$207,41,0),"")</f>
        <v>15</v>
      </c>
      <c r="BH25" s="17" t="str">
        <f>IFERROR(VLOOKUP(B25,'Statement of Marks'!$B$8:'Statement of Marks'!$HI$207,66,0),"")</f>
        <v/>
      </c>
      <c r="BI25" s="17">
        <f>IFERROR(VLOOKUP(B25,'Statement of Marks'!$B$8:'Statement of Marks'!$HI$207,91,0),"")</f>
        <v>60</v>
      </c>
      <c r="BJ25" s="17" t="str">
        <f>IFERROR(VLOOKUP(B25,'Statement of Marks'!$B$8:'Statement of Marks'!$HI$207,117,0),"")</f>
        <v/>
      </c>
    </row>
    <row r="26" spans="1:62" ht="24.95" customHeight="1">
      <c r="A26" s="284">
        <f>IF('Statement of Marks'!A29="","",'Statement of Marks'!A29)</f>
        <v>22</v>
      </c>
      <c r="B26" s="284" t="str">
        <f>IF('Statement of Marks'!B29="","",'Statement of Marks'!B29)</f>
        <v/>
      </c>
      <c r="C26" s="284" t="str">
        <f>IF('Statement of Marks'!C29="","",'Statement of Marks'!C29)</f>
        <v/>
      </c>
      <c r="D26" s="426" t="str">
        <f>IF('Statement of Marks'!D29="","",'Statement of Marks'!D29)</f>
        <v/>
      </c>
      <c r="E26" s="427" t="str">
        <f>IF('Statement of Marks'!E29="","",'Statement of Marks'!E29)</f>
        <v/>
      </c>
      <c r="F26" s="427" t="str">
        <f>IF('Statement of Marks'!F29="","",'Statement of Marks'!F29)</f>
        <v/>
      </c>
      <c r="G26" s="427" t="str">
        <f>IF('Statement of Marks'!G29="","",'Statement of Marks'!G29)</f>
        <v/>
      </c>
      <c r="H26" s="428" t="str">
        <f>IF(B26="","",IF('Statement of Marks'!GY29="","",'Statement of Marks'!GY29))</f>
        <v/>
      </c>
      <c r="I26" s="287" t="str">
        <f>IF(B26="","",IF('Statement of Marks'!HB29="","",'Statement of Marks'!HB29))</f>
        <v/>
      </c>
      <c r="J26" s="429" t="str">
        <f>IF(B26="","",IF('Statement of Marks'!HC29="","",'Statement of Marks'!HC29))</f>
        <v/>
      </c>
      <c r="K26" s="296" t="str">
        <f>IF(B26="","",'Statement of Marks'!FJ29)</f>
        <v/>
      </c>
      <c r="L26" s="296" t="str">
        <f>IF(B26="","",'Statement of Marks'!FM29)</f>
        <v/>
      </c>
      <c r="M26" s="296" t="str">
        <f>IF(B26="","",'Statement of Marks'!FP29)</f>
        <v/>
      </c>
      <c r="N26" s="296" t="str">
        <f>IF(B26="","",'Statement of Marks'!FW29)</f>
        <v/>
      </c>
      <c r="O26" s="296" t="str">
        <f>IF(B26="","",'Statement of Marks'!GD29)</f>
        <v/>
      </c>
      <c r="P26" s="296" t="str">
        <f>IF(B26="","",'Statement of Marks'!GK29)</f>
        <v/>
      </c>
      <c r="Q26" s="296" t="str">
        <f>IF(B26="","",'Statement of Marks'!GR29)</f>
        <v/>
      </c>
      <c r="R26" s="296" t="str">
        <f>IF(B26="","",'Statement of Marks'!FF29)</f>
        <v/>
      </c>
      <c r="S26" s="430" t="str">
        <f>IFERROR(IF(B26="","",CONCATENATE(IF(AND('Marks Entry'!U29="A"),'Marks Entry'!$U$2,IF(AND('Marks Entry'!U29="B"),'Marks Entry'!$Y$2,IF(AND('Marks Entry'!U29="C"),'Marks Entry'!$AA$2,""))),", ",IF(AND('Marks Entry'!AC29="A"),'Marks Entry'!$AC$2,IF(AND('Marks Entry'!AC29="B"),'Marks Entry'!$AG$2,IF(AND('Marks Entry'!AC29="C"),'Marks Entry'!$AI$2,""))),", ",IF(AND('Marks Entry'!AK29="A"),'Marks Entry'!$AK$2,IF(AND('Marks Entry'!AK29="B"),'Marks Entry'!$AO$2,IF(AND('Marks Entry'!AK29="C"),'Marks Entry'!$AQ$2,""))),", ",IF(AND('Statement of Marks'!DD29=""),"",IF(AND('Statement of Marks'!DD29="A"),'Marks Entry'!$AS$2,IF(AND('Statement of Marks'!DD29="B"),'Marks Entry'!$AW$2,IF(AND('Statement of Marks'!DD29="C"),'Marks Entry'!$AY$2,"")))))),"")</f>
        <v/>
      </c>
      <c r="T26" s="431" t="str">
        <f>IF(COUNTIF(K26:R26,"F")&gt;0,"",CONCATENATE('Statement of Marks'!GU29,'Statement of Marks'!GW29))</f>
        <v xml:space="preserve">           </v>
      </c>
      <c r="BG26" s="17">
        <f>IFERROR(VLOOKUP(B26,'Statement of Marks'!$B$8:'Statement of Marks'!$HI$207,41,0),"")</f>
        <v>15</v>
      </c>
      <c r="BH26" s="17" t="str">
        <f>IFERROR(VLOOKUP(B26,'Statement of Marks'!$B$8:'Statement of Marks'!$HI$207,66,0),"")</f>
        <v/>
      </c>
      <c r="BI26" s="17">
        <f>IFERROR(VLOOKUP(B26,'Statement of Marks'!$B$8:'Statement of Marks'!$HI$207,91,0),"")</f>
        <v>60</v>
      </c>
      <c r="BJ26" s="17" t="str">
        <f>IFERROR(VLOOKUP(B26,'Statement of Marks'!$B$8:'Statement of Marks'!$HI$207,117,0),"")</f>
        <v/>
      </c>
    </row>
    <row r="27" spans="1:62" ht="24.95" customHeight="1">
      <c r="A27" s="284">
        <f>IF('Statement of Marks'!A30="","",'Statement of Marks'!A30)</f>
        <v>23</v>
      </c>
      <c r="B27" s="284" t="str">
        <f>IF('Statement of Marks'!B30="","",'Statement of Marks'!B30)</f>
        <v/>
      </c>
      <c r="C27" s="284" t="str">
        <f>IF('Statement of Marks'!C30="","",'Statement of Marks'!C30)</f>
        <v/>
      </c>
      <c r="D27" s="426" t="str">
        <f>IF('Statement of Marks'!D30="","",'Statement of Marks'!D30)</f>
        <v/>
      </c>
      <c r="E27" s="427" t="str">
        <f>IF('Statement of Marks'!E30="","",'Statement of Marks'!E30)</f>
        <v/>
      </c>
      <c r="F27" s="427" t="str">
        <f>IF('Statement of Marks'!F30="","",'Statement of Marks'!F30)</f>
        <v/>
      </c>
      <c r="G27" s="427" t="str">
        <f>IF('Statement of Marks'!G30="","",'Statement of Marks'!G30)</f>
        <v/>
      </c>
      <c r="H27" s="428" t="str">
        <f>IF(B27="","",IF('Statement of Marks'!GY30="","",'Statement of Marks'!GY30))</f>
        <v/>
      </c>
      <c r="I27" s="287" t="str">
        <f>IF(B27="","",IF('Statement of Marks'!HB30="","",'Statement of Marks'!HB30))</f>
        <v/>
      </c>
      <c r="J27" s="429" t="str">
        <f>IF(B27="","",IF('Statement of Marks'!HC30="","",'Statement of Marks'!HC30))</f>
        <v/>
      </c>
      <c r="K27" s="296" t="str">
        <f>IF(B27="","",'Statement of Marks'!FJ30)</f>
        <v/>
      </c>
      <c r="L27" s="296" t="str">
        <f>IF(B27="","",'Statement of Marks'!FM30)</f>
        <v/>
      </c>
      <c r="M27" s="296" t="str">
        <f>IF(B27="","",'Statement of Marks'!FP30)</f>
        <v/>
      </c>
      <c r="N27" s="296" t="str">
        <f>IF(B27="","",'Statement of Marks'!FW30)</f>
        <v/>
      </c>
      <c r="O27" s="296" t="str">
        <f>IF(B27="","",'Statement of Marks'!GD30)</f>
        <v/>
      </c>
      <c r="P27" s="296" t="str">
        <f>IF(B27="","",'Statement of Marks'!GK30)</f>
        <v/>
      </c>
      <c r="Q27" s="296" t="str">
        <f>IF(B27="","",'Statement of Marks'!GR30)</f>
        <v/>
      </c>
      <c r="R27" s="296" t="str">
        <f>IF(B27="","",'Statement of Marks'!FF30)</f>
        <v/>
      </c>
      <c r="S27" s="430" t="str">
        <f>IFERROR(IF(B27="","",CONCATENATE(IF(AND('Marks Entry'!U30="A"),'Marks Entry'!$U$2,IF(AND('Marks Entry'!U30="B"),'Marks Entry'!$Y$2,IF(AND('Marks Entry'!U30="C"),'Marks Entry'!$AA$2,""))),", ",IF(AND('Marks Entry'!AC30="A"),'Marks Entry'!$AC$2,IF(AND('Marks Entry'!AC30="B"),'Marks Entry'!$AG$2,IF(AND('Marks Entry'!AC30="C"),'Marks Entry'!$AI$2,""))),", ",IF(AND('Marks Entry'!AK30="A"),'Marks Entry'!$AK$2,IF(AND('Marks Entry'!AK30="B"),'Marks Entry'!$AO$2,IF(AND('Marks Entry'!AK30="C"),'Marks Entry'!$AQ$2,""))),", ",IF(AND('Statement of Marks'!DD30=""),"",IF(AND('Statement of Marks'!DD30="A"),'Marks Entry'!$AS$2,IF(AND('Statement of Marks'!DD30="B"),'Marks Entry'!$AW$2,IF(AND('Statement of Marks'!DD30="C"),'Marks Entry'!$AY$2,"")))))),"")</f>
        <v/>
      </c>
      <c r="T27" s="431" t="str">
        <f>IF(COUNTIF(K27:R27,"F")&gt;0,"",CONCATENATE('Statement of Marks'!GU30,'Statement of Marks'!GW30))</f>
        <v xml:space="preserve">           </v>
      </c>
      <c r="BG27" s="17">
        <f>IFERROR(VLOOKUP(B27,'Statement of Marks'!$B$8:'Statement of Marks'!$HI$207,41,0),"")</f>
        <v>15</v>
      </c>
      <c r="BH27" s="17" t="str">
        <f>IFERROR(VLOOKUP(B27,'Statement of Marks'!$B$8:'Statement of Marks'!$HI$207,66,0),"")</f>
        <v/>
      </c>
      <c r="BI27" s="17">
        <f>IFERROR(VLOOKUP(B27,'Statement of Marks'!$B$8:'Statement of Marks'!$HI$207,91,0),"")</f>
        <v>60</v>
      </c>
      <c r="BJ27" s="17" t="str">
        <f>IFERROR(VLOOKUP(B27,'Statement of Marks'!$B$8:'Statement of Marks'!$HI$207,117,0),"")</f>
        <v/>
      </c>
    </row>
    <row r="28" spans="1:62" ht="24.95" customHeight="1">
      <c r="A28" s="284">
        <f>IF('Statement of Marks'!A31="","",'Statement of Marks'!A31)</f>
        <v>24</v>
      </c>
      <c r="B28" s="284" t="str">
        <f>IF('Statement of Marks'!B31="","",'Statement of Marks'!B31)</f>
        <v/>
      </c>
      <c r="C28" s="284" t="str">
        <f>IF('Statement of Marks'!C31="","",'Statement of Marks'!C31)</f>
        <v/>
      </c>
      <c r="D28" s="426" t="str">
        <f>IF('Statement of Marks'!D31="","",'Statement of Marks'!D31)</f>
        <v/>
      </c>
      <c r="E28" s="427" t="str">
        <f>IF('Statement of Marks'!E31="","",'Statement of Marks'!E31)</f>
        <v/>
      </c>
      <c r="F28" s="427" t="str">
        <f>IF('Statement of Marks'!F31="","",'Statement of Marks'!F31)</f>
        <v/>
      </c>
      <c r="G28" s="427" t="str">
        <f>IF('Statement of Marks'!G31="","",'Statement of Marks'!G31)</f>
        <v/>
      </c>
      <c r="H28" s="428" t="str">
        <f>IF(B28="","",IF('Statement of Marks'!GY31="","",'Statement of Marks'!GY31))</f>
        <v/>
      </c>
      <c r="I28" s="287" t="str">
        <f>IF(B28="","",IF('Statement of Marks'!HB31="","",'Statement of Marks'!HB31))</f>
        <v/>
      </c>
      <c r="J28" s="429" t="str">
        <f>IF(B28="","",IF('Statement of Marks'!HC31="","",'Statement of Marks'!HC31))</f>
        <v/>
      </c>
      <c r="K28" s="296" t="str">
        <f>IF(B28="","",'Statement of Marks'!FJ31)</f>
        <v/>
      </c>
      <c r="L28" s="296" t="str">
        <f>IF(B28="","",'Statement of Marks'!FM31)</f>
        <v/>
      </c>
      <c r="M28" s="296" t="str">
        <f>IF(B28="","",'Statement of Marks'!FP31)</f>
        <v/>
      </c>
      <c r="N28" s="296" t="str">
        <f>IF(B28="","",'Statement of Marks'!FW31)</f>
        <v/>
      </c>
      <c r="O28" s="296" t="str">
        <f>IF(B28="","",'Statement of Marks'!GD31)</f>
        <v/>
      </c>
      <c r="P28" s="296" t="str">
        <f>IF(B28="","",'Statement of Marks'!GK31)</f>
        <v/>
      </c>
      <c r="Q28" s="296" t="str">
        <f>IF(B28="","",'Statement of Marks'!GR31)</f>
        <v/>
      </c>
      <c r="R28" s="296" t="str">
        <f>IF(B28="","",'Statement of Marks'!FF31)</f>
        <v/>
      </c>
      <c r="S28" s="430" t="str">
        <f>IFERROR(IF(B28="","",CONCATENATE(IF(AND('Marks Entry'!U31="A"),'Marks Entry'!$U$2,IF(AND('Marks Entry'!U31="B"),'Marks Entry'!$Y$2,IF(AND('Marks Entry'!U31="C"),'Marks Entry'!$AA$2,""))),", ",IF(AND('Marks Entry'!AC31="A"),'Marks Entry'!$AC$2,IF(AND('Marks Entry'!AC31="B"),'Marks Entry'!$AG$2,IF(AND('Marks Entry'!AC31="C"),'Marks Entry'!$AI$2,""))),", ",IF(AND('Marks Entry'!AK31="A"),'Marks Entry'!$AK$2,IF(AND('Marks Entry'!AK31="B"),'Marks Entry'!$AO$2,IF(AND('Marks Entry'!AK31="C"),'Marks Entry'!$AQ$2,""))),", ",IF(AND('Statement of Marks'!DD31=""),"",IF(AND('Statement of Marks'!DD31="A"),'Marks Entry'!$AS$2,IF(AND('Statement of Marks'!DD31="B"),'Marks Entry'!$AW$2,IF(AND('Statement of Marks'!DD31="C"),'Marks Entry'!$AY$2,"")))))),"")</f>
        <v/>
      </c>
      <c r="T28" s="431" t="str">
        <f>IF(COUNTIF(K28:R28,"F")&gt;0,"",CONCATENATE('Statement of Marks'!GU31,'Statement of Marks'!GW31))</f>
        <v xml:space="preserve">           </v>
      </c>
      <c r="BG28" s="17">
        <f>IFERROR(VLOOKUP(B28,'Statement of Marks'!$B$8:'Statement of Marks'!$HI$207,41,0),"")</f>
        <v>15</v>
      </c>
      <c r="BH28" s="17" t="str">
        <f>IFERROR(VLOOKUP(B28,'Statement of Marks'!$B$8:'Statement of Marks'!$HI$207,66,0),"")</f>
        <v/>
      </c>
      <c r="BI28" s="17">
        <f>IFERROR(VLOOKUP(B28,'Statement of Marks'!$B$8:'Statement of Marks'!$HI$207,91,0),"")</f>
        <v>60</v>
      </c>
      <c r="BJ28" s="17" t="str">
        <f>IFERROR(VLOOKUP(B28,'Statement of Marks'!$B$8:'Statement of Marks'!$HI$207,117,0),"")</f>
        <v/>
      </c>
    </row>
    <row r="29" spans="1:62" ht="24.95" customHeight="1">
      <c r="A29" s="284">
        <f>IF('Statement of Marks'!A32="","",'Statement of Marks'!A32)</f>
        <v>25</v>
      </c>
      <c r="B29" s="284" t="str">
        <f>IF('Statement of Marks'!B32="","",'Statement of Marks'!B32)</f>
        <v/>
      </c>
      <c r="C29" s="284" t="str">
        <f>IF('Statement of Marks'!C32="","",'Statement of Marks'!C32)</f>
        <v/>
      </c>
      <c r="D29" s="426" t="str">
        <f>IF('Statement of Marks'!D32="","",'Statement of Marks'!D32)</f>
        <v/>
      </c>
      <c r="E29" s="427" t="str">
        <f>IF('Statement of Marks'!E32="","",'Statement of Marks'!E32)</f>
        <v/>
      </c>
      <c r="F29" s="427" t="str">
        <f>IF('Statement of Marks'!F32="","",'Statement of Marks'!F32)</f>
        <v/>
      </c>
      <c r="G29" s="427" t="str">
        <f>IF('Statement of Marks'!G32="","",'Statement of Marks'!G32)</f>
        <v/>
      </c>
      <c r="H29" s="428" t="str">
        <f>IF(B29="","",IF('Statement of Marks'!GY32="","",'Statement of Marks'!GY32))</f>
        <v/>
      </c>
      <c r="I29" s="287" t="str">
        <f>IF(B29="","",IF('Statement of Marks'!HB32="","",'Statement of Marks'!HB32))</f>
        <v/>
      </c>
      <c r="J29" s="429" t="str">
        <f>IF(B29="","",IF('Statement of Marks'!HC32="","",'Statement of Marks'!HC32))</f>
        <v/>
      </c>
      <c r="K29" s="296" t="str">
        <f>IF(B29="","",'Statement of Marks'!FJ32)</f>
        <v/>
      </c>
      <c r="L29" s="296" t="str">
        <f>IF(B29="","",'Statement of Marks'!FM32)</f>
        <v/>
      </c>
      <c r="M29" s="296" t="str">
        <f>IF(B29="","",'Statement of Marks'!FP32)</f>
        <v/>
      </c>
      <c r="N29" s="296" t="str">
        <f>IF(B29="","",'Statement of Marks'!FW32)</f>
        <v/>
      </c>
      <c r="O29" s="296" t="str">
        <f>IF(B29="","",'Statement of Marks'!GD32)</f>
        <v/>
      </c>
      <c r="P29" s="296" t="str">
        <f>IF(B29="","",'Statement of Marks'!GK32)</f>
        <v/>
      </c>
      <c r="Q29" s="296" t="str">
        <f>IF(B29="","",'Statement of Marks'!GR32)</f>
        <v/>
      </c>
      <c r="R29" s="296" t="str">
        <f>IF(B29="","",'Statement of Marks'!FF32)</f>
        <v/>
      </c>
      <c r="S29" s="430" t="str">
        <f>IFERROR(IF(B29="","",CONCATENATE(IF(AND('Marks Entry'!U32="A"),'Marks Entry'!$U$2,IF(AND('Marks Entry'!U32="B"),'Marks Entry'!$Y$2,IF(AND('Marks Entry'!U32="C"),'Marks Entry'!$AA$2,""))),", ",IF(AND('Marks Entry'!AC32="A"),'Marks Entry'!$AC$2,IF(AND('Marks Entry'!AC32="B"),'Marks Entry'!$AG$2,IF(AND('Marks Entry'!AC32="C"),'Marks Entry'!$AI$2,""))),", ",IF(AND('Marks Entry'!AK32="A"),'Marks Entry'!$AK$2,IF(AND('Marks Entry'!AK32="B"),'Marks Entry'!$AO$2,IF(AND('Marks Entry'!AK32="C"),'Marks Entry'!$AQ$2,""))),", ",IF(AND('Statement of Marks'!DD32=""),"",IF(AND('Statement of Marks'!DD32="A"),'Marks Entry'!$AS$2,IF(AND('Statement of Marks'!DD32="B"),'Marks Entry'!$AW$2,IF(AND('Statement of Marks'!DD32="C"),'Marks Entry'!$AY$2,"")))))),"")</f>
        <v/>
      </c>
      <c r="T29" s="431" t="str">
        <f>IF(COUNTIF(K29:R29,"F")&gt;0,"",CONCATENATE('Statement of Marks'!GU32,'Statement of Marks'!GW32))</f>
        <v xml:space="preserve">           </v>
      </c>
      <c r="BG29" s="17">
        <f>IFERROR(VLOOKUP(B29,'Statement of Marks'!$B$8:'Statement of Marks'!$HI$207,41,0),"")</f>
        <v>15</v>
      </c>
      <c r="BH29" s="17" t="str">
        <f>IFERROR(VLOOKUP(B29,'Statement of Marks'!$B$8:'Statement of Marks'!$HI$207,66,0),"")</f>
        <v/>
      </c>
      <c r="BI29" s="17">
        <f>IFERROR(VLOOKUP(B29,'Statement of Marks'!$B$8:'Statement of Marks'!$HI$207,91,0),"")</f>
        <v>60</v>
      </c>
      <c r="BJ29" s="17" t="str">
        <f>IFERROR(VLOOKUP(B29,'Statement of Marks'!$B$8:'Statement of Marks'!$HI$207,117,0),"")</f>
        <v/>
      </c>
    </row>
    <row r="30" spans="1:62" ht="24.95" customHeight="1">
      <c r="A30" s="284">
        <f>IF('Statement of Marks'!A33="","",'Statement of Marks'!A33)</f>
        <v>26</v>
      </c>
      <c r="B30" s="284" t="str">
        <f>IF('Statement of Marks'!B33="","",'Statement of Marks'!B33)</f>
        <v/>
      </c>
      <c r="C30" s="284" t="str">
        <f>IF('Statement of Marks'!C33="","",'Statement of Marks'!C33)</f>
        <v/>
      </c>
      <c r="D30" s="426" t="str">
        <f>IF('Statement of Marks'!D33="","",'Statement of Marks'!D33)</f>
        <v/>
      </c>
      <c r="E30" s="427" t="str">
        <f>IF('Statement of Marks'!E33="","",'Statement of Marks'!E33)</f>
        <v/>
      </c>
      <c r="F30" s="427" t="str">
        <f>IF('Statement of Marks'!F33="","",'Statement of Marks'!F33)</f>
        <v/>
      </c>
      <c r="G30" s="427" t="str">
        <f>IF('Statement of Marks'!G33="","",'Statement of Marks'!G33)</f>
        <v/>
      </c>
      <c r="H30" s="428" t="str">
        <f>IF(B30="","",IF('Statement of Marks'!GY33="","",'Statement of Marks'!GY33))</f>
        <v/>
      </c>
      <c r="I30" s="287" t="str">
        <f>IF(B30="","",IF('Statement of Marks'!HB33="","",'Statement of Marks'!HB33))</f>
        <v/>
      </c>
      <c r="J30" s="429" t="str">
        <f>IF(B30="","",IF('Statement of Marks'!HC33="","",'Statement of Marks'!HC33))</f>
        <v/>
      </c>
      <c r="K30" s="296" t="str">
        <f>IF(B30="","",'Statement of Marks'!FJ33)</f>
        <v/>
      </c>
      <c r="L30" s="296" t="str">
        <f>IF(B30="","",'Statement of Marks'!FM33)</f>
        <v/>
      </c>
      <c r="M30" s="296" t="str">
        <f>IF(B30="","",'Statement of Marks'!FP33)</f>
        <v/>
      </c>
      <c r="N30" s="296" t="str">
        <f>IF(B30="","",'Statement of Marks'!FW33)</f>
        <v/>
      </c>
      <c r="O30" s="296" t="str">
        <f>IF(B30="","",'Statement of Marks'!GD33)</f>
        <v/>
      </c>
      <c r="P30" s="296" t="str">
        <f>IF(B30="","",'Statement of Marks'!GK33)</f>
        <v/>
      </c>
      <c r="Q30" s="296" t="str">
        <f>IF(B30="","",'Statement of Marks'!GR33)</f>
        <v/>
      </c>
      <c r="R30" s="296" t="str">
        <f>IF(B30="","",'Statement of Marks'!FF33)</f>
        <v/>
      </c>
      <c r="S30" s="430" t="str">
        <f>IFERROR(IF(B30="","",CONCATENATE(IF(AND('Marks Entry'!U33="A"),'Marks Entry'!$U$2,IF(AND('Marks Entry'!U33="B"),'Marks Entry'!$Y$2,IF(AND('Marks Entry'!U33="C"),'Marks Entry'!$AA$2,""))),", ",IF(AND('Marks Entry'!AC33="A"),'Marks Entry'!$AC$2,IF(AND('Marks Entry'!AC33="B"),'Marks Entry'!$AG$2,IF(AND('Marks Entry'!AC33="C"),'Marks Entry'!$AI$2,""))),", ",IF(AND('Marks Entry'!AK33="A"),'Marks Entry'!$AK$2,IF(AND('Marks Entry'!AK33="B"),'Marks Entry'!$AO$2,IF(AND('Marks Entry'!AK33="C"),'Marks Entry'!$AQ$2,""))),", ",IF(AND('Statement of Marks'!DD33=""),"",IF(AND('Statement of Marks'!DD33="A"),'Marks Entry'!$AS$2,IF(AND('Statement of Marks'!DD33="B"),'Marks Entry'!$AW$2,IF(AND('Statement of Marks'!DD33="C"),'Marks Entry'!$AY$2,"")))))),"")</f>
        <v/>
      </c>
      <c r="T30" s="431" t="str">
        <f>IF(COUNTIF(K30:R30,"F")&gt;0,"",CONCATENATE('Statement of Marks'!GU33,'Statement of Marks'!GW33))</f>
        <v xml:space="preserve">           </v>
      </c>
      <c r="BG30" s="17">
        <f>IFERROR(VLOOKUP(B30,'Statement of Marks'!$B$8:'Statement of Marks'!$HI$207,41,0),"")</f>
        <v>15</v>
      </c>
      <c r="BH30" s="17" t="str">
        <f>IFERROR(VLOOKUP(B30,'Statement of Marks'!$B$8:'Statement of Marks'!$HI$207,66,0),"")</f>
        <v/>
      </c>
      <c r="BI30" s="17">
        <f>IFERROR(VLOOKUP(B30,'Statement of Marks'!$B$8:'Statement of Marks'!$HI$207,91,0),"")</f>
        <v>60</v>
      </c>
      <c r="BJ30" s="17" t="str">
        <f>IFERROR(VLOOKUP(B30,'Statement of Marks'!$B$8:'Statement of Marks'!$HI$207,117,0),"")</f>
        <v/>
      </c>
    </row>
    <row r="31" spans="1:62" ht="24.95" customHeight="1">
      <c r="A31" s="284">
        <f>IF('Statement of Marks'!A34="","",'Statement of Marks'!A34)</f>
        <v>27</v>
      </c>
      <c r="B31" s="284" t="str">
        <f>IF('Statement of Marks'!B34="","",'Statement of Marks'!B34)</f>
        <v/>
      </c>
      <c r="C31" s="284" t="str">
        <f>IF('Statement of Marks'!C34="","",'Statement of Marks'!C34)</f>
        <v/>
      </c>
      <c r="D31" s="426" t="str">
        <f>IF('Statement of Marks'!D34="","",'Statement of Marks'!D34)</f>
        <v/>
      </c>
      <c r="E31" s="427" t="str">
        <f>IF('Statement of Marks'!E34="","",'Statement of Marks'!E34)</f>
        <v/>
      </c>
      <c r="F31" s="427" t="str">
        <f>IF('Statement of Marks'!F34="","",'Statement of Marks'!F34)</f>
        <v/>
      </c>
      <c r="G31" s="427" t="str">
        <f>IF('Statement of Marks'!G34="","",'Statement of Marks'!G34)</f>
        <v/>
      </c>
      <c r="H31" s="428" t="str">
        <f>IF(B31="","",IF('Statement of Marks'!GY34="","",'Statement of Marks'!GY34))</f>
        <v/>
      </c>
      <c r="I31" s="287" t="str">
        <f>IF(B31="","",IF('Statement of Marks'!HB34="","",'Statement of Marks'!HB34))</f>
        <v/>
      </c>
      <c r="J31" s="429" t="str">
        <f>IF(B31="","",IF('Statement of Marks'!HC34="","",'Statement of Marks'!HC34))</f>
        <v/>
      </c>
      <c r="K31" s="296" t="str">
        <f>IF(B31="","",'Statement of Marks'!FJ34)</f>
        <v/>
      </c>
      <c r="L31" s="296" t="str">
        <f>IF(B31="","",'Statement of Marks'!FM34)</f>
        <v/>
      </c>
      <c r="M31" s="296" t="str">
        <f>IF(B31="","",'Statement of Marks'!FP34)</f>
        <v/>
      </c>
      <c r="N31" s="296" t="str">
        <f>IF(B31="","",'Statement of Marks'!FW34)</f>
        <v/>
      </c>
      <c r="O31" s="296" t="str">
        <f>IF(B31="","",'Statement of Marks'!GD34)</f>
        <v/>
      </c>
      <c r="P31" s="296" t="str">
        <f>IF(B31="","",'Statement of Marks'!GK34)</f>
        <v/>
      </c>
      <c r="Q31" s="296" t="str">
        <f>IF(B31="","",'Statement of Marks'!GR34)</f>
        <v/>
      </c>
      <c r="R31" s="296" t="str">
        <f>IF(B31="","",'Statement of Marks'!FF34)</f>
        <v/>
      </c>
      <c r="S31" s="430" t="str">
        <f>IFERROR(IF(B31="","",CONCATENATE(IF(AND('Marks Entry'!U34="A"),'Marks Entry'!$U$2,IF(AND('Marks Entry'!U34="B"),'Marks Entry'!$Y$2,IF(AND('Marks Entry'!U34="C"),'Marks Entry'!$AA$2,""))),", ",IF(AND('Marks Entry'!AC34="A"),'Marks Entry'!$AC$2,IF(AND('Marks Entry'!AC34="B"),'Marks Entry'!$AG$2,IF(AND('Marks Entry'!AC34="C"),'Marks Entry'!$AI$2,""))),", ",IF(AND('Marks Entry'!AK34="A"),'Marks Entry'!$AK$2,IF(AND('Marks Entry'!AK34="B"),'Marks Entry'!$AO$2,IF(AND('Marks Entry'!AK34="C"),'Marks Entry'!$AQ$2,""))),", ",IF(AND('Statement of Marks'!DD34=""),"",IF(AND('Statement of Marks'!DD34="A"),'Marks Entry'!$AS$2,IF(AND('Statement of Marks'!DD34="B"),'Marks Entry'!$AW$2,IF(AND('Statement of Marks'!DD34="C"),'Marks Entry'!$AY$2,"")))))),"")</f>
        <v/>
      </c>
      <c r="T31" s="431" t="str">
        <f>IF(COUNTIF(K31:R31,"F")&gt;0,"",CONCATENATE('Statement of Marks'!GU34,'Statement of Marks'!GW34))</f>
        <v xml:space="preserve">           </v>
      </c>
      <c r="BG31" s="17">
        <f>IFERROR(VLOOKUP(B31,'Statement of Marks'!$B$8:'Statement of Marks'!$HI$207,41,0),"")</f>
        <v>15</v>
      </c>
      <c r="BH31" s="17" t="str">
        <f>IFERROR(VLOOKUP(B31,'Statement of Marks'!$B$8:'Statement of Marks'!$HI$207,66,0),"")</f>
        <v/>
      </c>
      <c r="BI31" s="17">
        <f>IFERROR(VLOOKUP(B31,'Statement of Marks'!$B$8:'Statement of Marks'!$HI$207,91,0),"")</f>
        <v>60</v>
      </c>
      <c r="BJ31" s="17" t="str">
        <f>IFERROR(VLOOKUP(B31,'Statement of Marks'!$B$8:'Statement of Marks'!$HI$207,117,0),"")</f>
        <v/>
      </c>
    </row>
    <row r="32" spans="1:62" ht="24.95" customHeight="1">
      <c r="A32" s="284">
        <f>IF('Statement of Marks'!A35="","",'Statement of Marks'!A35)</f>
        <v>28</v>
      </c>
      <c r="B32" s="284" t="str">
        <f>IF('Statement of Marks'!B35="","",'Statement of Marks'!B35)</f>
        <v/>
      </c>
      <c r="C32" s="284" t="str">
        <f>IF('Statement of Marks'!C35="","",'Statement of Marks'!C35)</f>
        <v/>
      </c>
      <c r="D32" s="426" t="str">
        <f>IF('Statement of Marks'!D35="","",'Statement of Marks'!D35)</f>
        <v/>
      </c>
      <c r="E32" s="427" t="str">
        <f>IF('Statement of Marks'!E35="","",'Statement of Marks'!E35)</f>
        <v/>
      </c>
      <c r="F32" s="427" t="str">
        <f>IF('Statement of Marks'!F35="","",'Statement of Marks'!F35)</f>
        <v/>
      </c>
      <c r="G32" s="427" t="str">
        <f>IF('Statement of Marks'!G35="","",'Statement of Marks'!G35)</f>
        <v/>
      </c>
      <c r="H32" s="428" t="str">
        <f>IF(B32="","",IF('Statement of Marks'!GY35="","",'Statement of Marks'!GY35))</f>
        <v/>
      </c>
      <c r="I32" s="287" t="str">
        <f>IF(B32="","",IF('Statement of Marks'!HB35="","",'Statement of Marks'!HB35))</f>
        <v/>
      </c>
      <c r="J32" s="429" t="str">
        <f>IF(B32="","",IF('Statement of Marks'!HC35="","",'Statement of Marks'!HC35))</f>
        <v/>
      </c>
      <c r="K32" s="296" t="str">
        <f>IF(B32="","",'Statement of Marks'!FJ35)</f>
        <v/>
      </c>
      <c r="L32" s="296" t="str">
        <f>IF(B32="","",'Statement of Marks'!FM35)</f>
        <v/>
      </c>
      <c r="M32" s="296" t="str">
        <f>IF(B32="","",'Statement of Marks'!FP35)</f>
        <v/>
      </c>
      <c r="N32" s="296" t="str">
        <f>IF(B32="","",'Statement of Marks'!FW35)</f>
        <v/>
      </c>
      <c r="O32" s="296" t="str">
        <f>IF(B32="","",'Statement of Marks'!GD35)</f>
        <v/>
      </c>
      <c r="P32" s="296" t="str">
        <f>IF(B32="","",'Statement of Marks'!GK35)</f>
        <v/>
      </c>
      <c r="Q32" s="296" t="str">
        <f>IF(B32="","",'Statement of Marks'!GR35)</f>
        <v/>
      </c>
      <c r="R32" s="296" t="str">
        <f>IF(B32="","",'Statement of Marks'!FF35)</f>
        <v/>
      </c>
      <c r="S32" s="430" t="str">
        <f>IFERROR(IF(B32="","",CONCATENATE(IF(AND('Marks Entry'!U35="A"),'Marks Entry'!$U$2,IF(AND('Marks Entry'!U35="B"),'Marks Entry'!$Y$2,IF(AND('Marks Entry'!U35="C"),'Marks Entry'!$AA$2,""))),", ",IF(AND('Marks Entry'!AC35="A"),'Marks Entry'!$AC$2,IF(AND('Marks Entry'!AC35="B"),'Marks Entry'!$AG$2,IF(AND('Marks Entry'!AC35="C"),'Marks Entry'!$AI$2,""))),", ",IF(AND('Marks Entry'!AK35="A"),'Marks Entry'!$AK$2,IF(AND('Marks Entry'!AK35="B"),'Marks Entry'!$AO$2,IF(AND('Marks Entry'!AK35="C"),'Marks Entry'!$AQ$2,""))),", ",IF(AND('Statement of Marks'!DD35=""),"",IF(AND('Statement of Marks'!DD35="A"),'Marks Entry'!$AS$2,IF(AND('Statement of Marks'!DD35="B"),'Marks Entry'!$AW$2,IF(AND('Statement of Marks'!DD35="C"),'Marks Entry'!$AY$2,"")))))),"")</f>
        <v/>
      </c>
      <c r="T32" s="431" t="str">
        <f>IF(COUNTIF(K32:R32,"F")&gt;0,"",CONCATENATE('Statement of Marks'!GU35,'Statement of Marks'!GW35))</f>
        <v xml:space="preserve">           </v>
      </c>
      <c r="BG32" s="17">
        <f>IFERROR(VLOOKUP(B32,'Statement of Marks'!$B$8:'Statement of Marks'!$HI$207,41,0),"")</f>
        <v>15</v>
      </c>
      <c r="BH32" s="17" t="str">
        <f>IFERROR(VLOOKUP(B32,'Statement of Marks'!$B$8:'Statement of Marks'!$HI$207,66,0),"")</f>
        <v/>
      </c>
      <c r="BI32" s="17">
        <f>IFERROR(VLOOKUP(B32,'Statement of Marks'!$B$8:'Statement of Marks'!$HI$207,91,0),"")</f>
        <v>60</v>
      </c>
      <c r="BJ32" s="17" t="str">
        <f>IFERROR(VLOOKUP(B32,'Statement of Marks'!$B$8:'Statement of Marks'!$HI$207,117,0),"")</f>
        <v/>
      </c>
    </row>
    <row r="33" spans="1:62" ht="24.95" customHeight="1">
      <c r="A33" s="284">
        <f>IF('Statement of Marks'!A36="","",'Statement of Marks'!A36)</f>
        <v>29</v>
      </c>
      <c r="B33" s="284" t="str">
        <f>IF('Statement of Marks'!B36="","",'Statement of Marks'!B36)</f>
        <v/>
      </c>
      <c r="C33" s="284" t="str">
        <f>IF('Statement of Marks'!C36="","",'Statement of Marks'!C36)</f>
        <v/>
      </c>
      <c r="D33" s="426" t="str">
        <f>IF('Statement of Marks'!D36="","",'Statement of Marks'!D36)</f>
        <v/>
      </c>
      <c r="E33" s="427" t="str">
        <f>IF('Statement of Marks'!E36="","",'Statement of Marks'!E36)</f>
        <v/>
      </c>
      <c r="F33" s="427" t="str">
        <f>IF('Statement of Marks'!F36="","",'Statement of Marks'!F36)</f>
        <v/>
      </c>
      <c r="G33" s="427" t="str">
        <f>IF('Statement of Marks'!G36="","",'Statement of Marks'!G36)</f>
        <v/>
      </c>
      <c r="H33" s="428" t="str">
        <f>IF(B33="","",IF('Statement of Marks'!GY36="","",'Statement of Marks'!GY36))</f>
        <v/>
      </c>
      <c r="I33" s="287" t="str">
        <f>IF(B33="","",IF('Statement of Marks'!HB36="","",'Statement of Marks'!HB36))</f>
        <v/>
      </c>
      <c r="J33" s="429" t="str">
        <f>IF(B33="","",IF('Statement of Marks'!HC36="","",'Statement of Marks'!HC36))</f>
        <v/>
      </c>
      <c r="K33" s="296" t="str">
        <f>IF(B33="","",'Statement of Marks'!FJ36)</f>
        <v/>
      </c>
      <c r="L33" s="296" t="str">
        <f>IF(B33="","",'Statement of Marks'!FM36)</f>
        <v/>
      </c>
      <c r="M33" s="296" t="str">
        <f>IF(B33="","",'Statement of Marks'!FP36)</f>
        <v/>
      </c>
      <c r="N33" s="296" t="str">
        <f>IF(B33="","",'Statement of Marks'!FW36)</f>
        <v/>
      </c>
      <c r="O33" s="296" t="str">
        <f>IF(B33="","",'Statement of Marks'!GD36)</f>
        <v/>
      </c>
      <c r="P33" s="296" t="str">
        <f>IF(B33="","",'Statement of Marks'!GK36)</f>
        <v/>
      </c>
      <c r="Q33" s="296" t="str">
        <f>IF(B33="","",'Statement of Marks'!GR36)</f>
        <v/>
      </c>
      <c r="R33" s="296" t="str">
        <f>IF(B33="","",'Statement of Marks'!FF36)</f>
        <v/>
      </c>
      <c r="S33" s="430" t="str">
        <f>IFERROR(IF(B33="","",CONCATENATE(IF(AND('Marks Entry'!U36="A"),'Marks Entry'!$U$2,IF(AND('Marks Entry'!U36="B"),'Marks Entry'!$Y$2,IF(AND('Marks Entry'!U36="C"),'Marks Entry'!$AA$2,""))),", ",IF(AND('Marks Entry'!AC36="A"),'Marks Entry'!$AC$2,IF(AND('Marks Entry'!AC36="B"),'Marks Entry'!$AG$2,IF(AND('Marks Entry'!AC36="C"),'Marks Entry'!$AI$2,""))),", ",IF(AND('Marks Entry'!AK36="A"),'Marks Entry'!$AK$2,IF(AND('Marks Entry'!AK36="B"),'Marks Entry'!$AO$2,IF(AND('Marks Entry'!AK36="C"),'Marks Entry'!$AQ$2,""))),", ",IF(AND('Statement of Marks'!DD36=""),"",IF(AND('Statement of Marks'!DD36="A"),'Marks Entry'!$AS$2,IF(AND('Statement of Marks'!DD36="B"),'Marks Entry'!$AW$2,IF(AND('Statement of Marks'!DD36="C"),'Marks Entry'!$AY$2,"")))))),"")</f>
        <v/>
      </c>
      <c r="T33" s="431" t="str">
        <f>IF(COUNTIF(K33:R33,"F")&gt;0,"",CONCATENATE('Statement of Marks'!GU36,'Statement of Marks'!GW36))</f>
        <v xml:space="preserve">           </v>
      </c>
      <c r="BG33" s="17">
        <f>IFERROR(VLOOKUP(B33,'Statement of Marks'!$B$8:'Statement of Marks'!$HI$207,41,0),"")</f>
        <v>15</v>
      </c>
      <c r="BH33" s="17" t="str">
        <f>IFERROR(VLOOKUP(B33,'Statement of Marks'!$B$8:'Statement of Marks'!$HI$207,66,0),"")</f>
        <v/>
      </c>
      <c r="BI33" s="17">
        <f>IFERROR(VLOOKUP(B33,'Statement of Marks'!$B$8:'Statement of Marks'!$HI$207,91,0),"")</f>
        <v>60</v>
      </c>
      <c r="BJ33" s="17" t="str">
        <f>IFERROR(VLOOKUP(B33,'Statement of Marks'!$B$8:'Statement of Marks'!$HI$207,117,0),"")</f>
        <v/>
      </c>
    </row>
    <row r="34" spans="1:62" ht="24.95" customHeight="1">
      <c r="A34" s="284">
        <f>IF('Statement of Marks'!A37="","",'Statement of Marks'!A37)</f>
        <v>30</v>
      </c>
      <c r="B34" s="284" t="str">
        <f>IF('Statement of Marks'!B37="","",'Statement of Marks'!B37)</f>
        <v/>
      </c>
      <c r="C34" s="284" t="str">
        <f>IF('Statement of Marks'!C37="","",'Statement of Marks'!C37)</f>
        <v/>
      </c>
      <c r="D34" s="426" t="str">
        <f>IF('Statement of Marks'!D37="","",'Statement of Marks'!D37)</f>
        <v/>
      </c>
      <c r="E34" s="427" t="str">
        <f>IF('Statement of Marks'!E37="","",'Statement of Marks'!E37)</f>
        <v/>
      </c>
      <c r="F34" s="427" t="str">
        <f>IF('Statement of Marks'!F37="","",'Statement of Marks'!F37)</f>
        <v/>
      </c>
      <c r="G34" s="427" t="str">
        <f>IF('Statement of Marks'!G37="","",'Statement of Marks'!G37)</f>
        <v/>
      </c>
      <c r="H34" s="428" t="str">
        <f>IF(B34="","",IF('Statement of Marks'!GY37="","",'Statement of Marks'!GY37))</f>
        <v/>
      </c>
      <c r="I34" s="287" t="str">
        <f>IF(B34="","",IF('Statement of Marks'!HB37="","",'Statement of Marks'!HB37))</f>
        <v/>
      </c>
      <c r="J34" s="429" t="str">
        <f>IF(B34="","",IF('Statement of Marks'!HC37="","",'Statement of Marks'!HC37))</f>
        <v/>
      </c>
      <c r="K34" s="296" t="str">
        <f>IF(B34="","",'Statement of Marks'!FJ37)</f>
        <v/>
      </c>
      <c r="L34" s="296" t="str">
        <f>IF(B34="","",'Statement of Marks'!FM37)</f>
        <v/>
      </c>
      <c r="M34" s="296" t="str">
        <f>IF(B34="","",'Statement of Marks'!FP37)</f>
        <v/>
      </c>
      <c r="N34" s="296" t="str">
        <f>IF(B34="","",'Statement of Marks'!FW37)</f>
        <v/>
      </c>
      <c r="O34" s="296" t="str">
        <f>IF(B34="","",'Statement of Marks'!GD37)</f>
        <v/>
      </c>
      <c r="P34" s="296" t="str">
        <f>IF(B34="","",'Statement of Marks'!GK37)</f>
        <v/>
      </c>
      <c r="Q34" s="296" t="str">
        <f>IF(B34="","",'Statement of Marks'!GR37)</f>
        <v/>
      </c>
      <c r="R34" s="296" t="str">
        <f>IF(B34="","",'Statement of Marks'!FF37)</f>
        <v/>
      </c>
      <c r="S34" s="430" t="str">
        <f>IFERROR(IF(B34="","",CONCATENATE(IF(AND('Marks Entry'!U37="A"),'Marks Entry'!$U$2,IF(AND('Marks Entry'!U37="B"),'Marks Entry'!$Y$2,IF(AND('Marks Entry'!U37="C"),'Marks Entry'!$AA$2,""))),", ",IF(AND('Marks Entry'!AC37="A"),'Marks Entry'!$AC$2,IF(AND('Marks Entry'!AC37="B"),'Marks Entry'!$AG$2,IF(AND('Marks Entry'!AC37="C"),'Marks Entry'!$AI$2,""))),", ",IF(AND('Marks Entry'!AK37="A"),'Marks Entry'!$AK$2,IF(AND('Marks Entry'!AK37="B"),'Marks Entry'!$AO$2,IF(AND('Marks Entry'!AK37="C"),'Marks Entry'!$AQ$2,""))),", ",IF(AND('Statement of Marks'!DD37=""),"",IF(AND('Statement of Marks'!DD37="A"),'Marks Entry'!$AS$2,IF(AND('Statement of Marks'!DD37="B"),'Marks Entry'!$AW$2,IF(AND('Statement of Marks'!DD37="C"),'Marks Entry'!$AY$2,"")))))),"")</f>
        <v/>
      </c>
      <c r="T34" s="431" t="str">
        <f>IF(COUNTIF(K34:R34,"F")&gt;0,"",CONCATENATE('Statement of Marks'!GU37,'Statement of Marks'!GW37))</f>
        <v xml:space="preserve">           </v>
      </c>
      <c r="BG34" s="17">
        <f>IFERROR(VLOOKUP(B34,'Statement of Marks'!$B$8:'Statement of Marks'!$HI$207,41,0),"")</f>
        <v>15</v>
      </c>
      <c r="BH34" s="17" t="str">
        <f>IFERROR(VLOOKUP(B34,'Statement of Marks'!$B$8:'Statement of Marks'!$HI$207,66,0),"")</f>
        <v/>
      </c>
      <c r="BI34" s="17">
        <f>IFERROR(VLOOKUP(B34,'Statement of Marks'!$B$8:'Statement of Marks'!$HI$207,91,0),"")</f>
        <v>60</v>
      </c>
      <c r="BJ34" s="17" t="str">
        <f>IFERROR(VLOOKUP(B34,'Statement of Marks'!$B$8:'Statement of Marks'!$HI$207,117,0),"")</f>
        <v/>
      </c>
    </row>
    <row r="35" spans="1:62" ht="24.95" customHeight="1">
      <c r="A35" s="284">
        <f>IF('Statement of Marks'!A38="","",'Statement of Marks'!A38)</f>
        <v>31</v>
      </c>
      <c r="B35" s="284" t="str">
        <f>IF('Statement of Marks'!B38="","",'Statement of Marks'!B38)</f>
        <v/>
      </c>
      <c r="C35" s="284" t="str">
        <f>IF('Statement of Marks'!C38="","",'Statement of Marks'!C38)</f>
        <v/>
      </c>
      <c r="D35" s="426" t="str">
        <f>IF('Statement of Marks'!D38="","",'Statement of Marks'!D38)</f>
        <v/>
      </c>
      <c r="E35" s="427" t="str">
        <f>IF('Statement of Marks'!E38="","",'Statement of Marks'!E38)</f>
        <v/>
      </c>
      <c r="F35" s="427" t="str">
        <f>IF('Statement of Marks'!F38="","",'Statement of Marks'!F38)</f>
        <v/>
      </c>
      <c r="G35" s="427" t="str">
        <f>IF('Statement of Marks'!G38="","",'Statement of Marks'!G38)</f>
        <v/>
      </c>
      <c r="H35" s="428" t="str">
        <f>IF(B35="","",IF('Statement of Marks'!GY38="","",'Statement of Marks'!GY38))</f>
        <v/>
      </c>
      <c r="I35" s="287" t="str">
        <f>IF(B35="","",IF('Statement of Marks'!HB38="","",'Statement of Marks'!HB38))</f>
        <v/>
      </c>
      <c r="J35" s="429" t="str">
        <f>IF(B35="","",IF('Statement of Marks'!HC38="","",'Statement of Marks'!HC38))</f>
        <v/>
      </c>
      <c r="K35" s="296" t="str">
        <f>IF(B35="","",'Statement of Marks'!FJ38)</f>
        <v/>
      </c>
      <c r="L35" s="296" t="str">
        <f>IF(B35="","",'Statement of Marks'!FM38)</f>
        <v/>
      </c>
      <c r="M35" s="296" t="str">
        <f>IF(B35="","",'Statement of Marks'!FP38)</f>
        <v/>
      </c>
      <c r="N35" s="296" t="str">
        <f>IF(B35="","",'Statement of Marks'!FW38)</f>
        <v/>
      </c>
      <c r="O35" s="296" t="str">
        <f>IF(B35="","",'Statement of Marks'!GD38)</f>
        <v/>
      </c>
      <c r="P35" s="296" t="str">
        <f>IF(B35="","",'Statement of Marks'!GK38)</f>
        <v/>
      </c>
      <c r="Q35" s="296" t="str">
        <f>IF(B35="","",'Statement of Marks'!GR38)</f>
        <v/>
      </c>
      <c r="R35" s="296" t="str">
        <f>IF(B35="","",'Statement of Marks'!FF38)</f>
        <v/>
      </c>
      <c r="S35" s="430" t="str">
        <f>IFERROR(IF(B35="","",CONCATENATE(IF(AND('Marks Entry'!U38="A"),'Marks Entry'!$U$2,IF(AND('Marks Entry'!U38="B"),'Marks Entry'!$Y$2,IF(AND('Marks Entry'!U38="C"),'Marks Entry'!$AA$2,""))),", ",IF(AND('Marks Entry'!AC38="A"),'Marks Entry'!$AC$2,IF(AND('Marks Entry'!AC38="B"),'Marks Entry'!$AG$2,IF(AND('Marks Entry'!AC38="C"),'Marks Entry'!$AI$2,""))),", ",IF(AND('Marks Entry'!AK38="A"),'Marks Entry'!$AK$2,IF(AND('Marks Entry'!AK38="B"),'Marks Entry'!$AO$2,IF(AND('Marks Entry'!AK38="C"),'Marks Entry'!$AQ$2,""))),", ",IF(AND('Statement of Marks'!DD38=""),"",IF(AND('Statement of Marks'!DD38="A"),'Marks Entry'!$AS$2,IF(AND('Statement of Marks'!DD38="B"),'Marks Entry'!$AW$2,IF(AND('Statement of Marks'!DD38="C"),'Marks Entry'!$AY$2,"")))))),"")</f>
        <v/>
      </c>
      <c r="T35" s="431" t="str">
        <f>IF(COUNTIF(K35:R35,"F")&gt;0,"",CONCATENATE('Statement of Marks'!GU38,'Statement of Marks'!GW38))</f>
        <v xml:space="preserve">           </v>
      </c>
      <c r="BG35" s="17">
        <f>IFERROR(VLOOKUP(B35,'Statement of Marks'!$B$8:'Statement of Marks'!$HI$207,41,0),"")</f>
        <v>15</v>
      </c>
      <c r="BH35" s="17" t="str">
        <f>IFERROR(VLOOKUP(B35,'Statement of Marks'!$B$8:'Statement of Marks'!$HI$207,66,0),"")</f>
        <v/>
      </c>
      <c r="BI35" s="17">
        <f>IFERROR(VLOOKUP(B35,'Statement of Marks'!$B$8:'Statement of Marks'!$HI$207,91,0),"")</f>
        <v>60</v>
      </c>
      <c r="BJ35" s="17" t="str">
        <f>IFERROR(VLOOKUP(B35,'Statement of Marks'!$B$8:'Statement of Marks'!$HI$207,117,0),"")</f>
        <v/>
      </c>
    </row>
    <row r="36" spans="1:62" ht="24.95" customHeight="1">
      <c r="A36" s="284">
        <f>IF('Statement of Marks'!A39="","",'Statement of Marks'!A39)</f>
        <v>32</v>
      </c>
      <c r="B36" s="284" t="str">
        <f>IF('Statement of Marks'!B39="","",'Statement of Marks'!B39)</f>
        <v/>
      </c>
      <c r="C36" s="284" t="str">
        <f>IF('Statement of Marks'!C39="","",'Statement of Marks'!C39)</f>
        <v/>
      </c>
      <c r="D36" s="426" t="str">
        <f>IF('Statement of Marks'!D39="","",'Statement of Marks'!D39)</f>
        <v/>
      </c>
      <c r="E36" s="427" t="str">
        <f>IF('Statement of Marks'!E39="","",'Statement of Marks'!E39)</f>
        <v/>
      </c>
      <c r="F36" s="427" t="str">
        <f>IF('Statement of Marks'!F39="","",'Statement of Marks'!F39)</f>
        <v/>
      </c>
      <c r="G36" s="427" t="str">
        <f>IF('Statement of Marks'!G39="","",'Statement of Marks'!G39)</f>
        <v/>
      </c>
      <c r="H36" s="428" t="str">
        <f>IF(B36="","",IF('Statement of Marks'!GY39="","",'Statement of Marks'!GY39))</f>
        <v/>
      </c>
      <c r="I36" s="287" t="str">
        <f>IF(B36="","",IF('Statement of Marks'!HB39="","",'Statement of Marks'!HB39))</f>
        <v/>
      </c>
      <c r="J36" s="429" t="str">
        <f>IF(B36="","",IF('Statement of Marks'!HC39="","",'Statement of Marks'!HC39))</f>
        <v/>
      </c>
      <c r="K36" s="296" t="str">
        <f>IF(B36="","",'Statement of Marks'!FJ39)</f>
        <v/>
      </c>
      <c r="L36" s="296" t="str">
        <f>IF(B36="","",'Statement of Marks'!FM39)</f>
        <v/>
      </c>
      <c r="M36" s="296" t="str">
        <f>IF(B36="","",'Statement of Marks'!FP39)</f>
        <v/>
      </c>
      <c r="N36" s="296" t="str">
        <f>IF(B36="","",'Statement of Marks'!FW39)</f>
        <v/>
      </c>
      <c r="O36" s="296" t="str">
        <f>IF(B36="","",'Statement of Marks'!GD39)</f>
        <v/>
      </c>
      <c r="P36" s="296" t="str">
        <f>IF(B36="","",'Statement of Marks'!GK39)</f>
        <v/>
      </c>
      <c r="Q36" s="296" t="str">
        <f>IF(B36="","",'Statement of Marks'!GR39)</f>
        <v/>
      </c>
      <c r="R36" s="296" t="str">
        <f>IF(B36="","",'Statement of Marks'!FF39)</f>
        <v/>
      </c>
      <c r="S36" s="430" t="str">
        <f>IFERROR(IF(B36="","",CONCATENATE(IF(AND('Marks Entry'!U39="A"),'Marks Entry'!$U$2,IF(AND('Marks Entry'!U39="B"),'Marks Entry'!$Y$2,IF(AND('Marks Entry'!U39="C"),'Marks Entry'!$AA$2,""))),", ",IF(AND('Marks Entry'!AC39="A"),'Marks Entry'!$AC$2,IF(AND('Marks Entry'!AC39="B"),'Marks Entry'!$AG$2,IF(AND('Marks Entry'!AC39="C"),'Marks Entry'!$AI$2,""))),", ",IF(AND('Marks Entry'!AK39="A"),'Marks Entry'!$AK$2,IF(AND('Marks Entry'!AK39="B"),'Marks Entry'!$AO$2,IF(AND('Marks Entry'!AK39="C"),'Marks Entry'!$AQ$2,""))),", ",IF(AND('Statement of Marks'!DD39=""),"",IF(AND('Statement of Marks'!DD39="A"),'Marks Entry'!$AS$2,IF(AND('Statement of Marks'!DD39="B"),'Marks Entry'!$AW$2,IF(AND('Statement of Marks'!DD39="C"),'Marks Entry'!$AY$2,"")))))),"")</f>
        <v/>
      </c>
      <c r="T36" s="431" t="str">
        <f>IF(COUNTIF(K36:R36,"F")&gt;0,"",CONCATENATE('Statement of Marks'!GU39,'Statement of Marks'!GW39))</f>
        <v xml:space="preserve">           </v>
      </c>
      <c r="BG36" s="17">
        <f>IFERROR(VLOOKUP(B36,'Statement of Marks'!$B$8:'Statement of Marks'!$HI$207,41,0),"")</f>
        <v>15</v>
      </c>
      <c r="BH36" s="17" t="str">
        <f>IFERROR(VLOOKUP(B36,'Statement of Marks'!$B$8:'Statement of Marks'!$HI$207,66,0),"")</f>
        <v/>
      </c>
      <c r="BI36" s="17">
        <f>IFERROR(VLOOKUP(B36,'Statement of Marks'!$B$8:'Statement of Marks'!$HI$207,91,0),"")</f>
        <v>60</v>
      </c>
      <c r="BJ36" s="17" t="str">
        <f>IFERROR(VLOOKUP(B36,'Statement of Marks'!$B$8:'Statement of Marks'!$HI$207,117,0),"")</f>
        <v/>
      </c>
    </row>
    <row r="37" spans="1:62" ht="24.95" customHeight="1">
      <c r="A37" s="284">
        <f>IF('Statement of Marks'!A40="","",'Statement of Marks'!A40)</f>
        <v>33</v>
      </c>
      <c r="B37" s="284" t="str">
        <f>IF('Statement of Marks'!B40="","",'Statement of Marks'!B40)</f>
        <v/>
      </c>
      <c r="C37" s="284" t="str">
        <f>IF('Statement of Marks'!C40="","",'Statement of Marks'!C40)</f>
        <v/>
      </c>
      <c r="D37" s="426" t="str">
        <f>IF('Statement of Marks'!D40="","",'Statement of Marks'!D40)</f>
        <v/>
      </c>
      <c r="E37" s="427" t="str">
        <f>IF('Statement of Marks'!E40="","",'Statement of Marks'!E40)</f>
        <v/>
      </c>
      <c r="F37" s="427" t="str">
        <f>IF('Statement of Marks'!F40="","",'Statement of Marks'!F40)</f>
        <v/>
      </c>
      <c r="G37" s="427" t="str">
        <f>IF('Statement of Marks'!G40="","",'Statement of Marks'!G40)</f>
        <v/>
      </c>
      <c r="H37" s="428" t="str">
        <f>IF(B37="","",IF('Statement of Marks'!GY40="","",'Statement of Marks'!GY40))</f>
        <v/>
      </c>
      <c r="I37" s="287" t="str">
        <f>IF(B37="","",IF('Statement of Marks'!HB40="","",'Statement of Marks'!HB40))</f>
        <v/>
      </c>
      <c r="J37" s="429" t="str">
        <f>IF(B37="","",IF('Statement of Marks'!HC40="","",'Statement of Marks'!HC40))</f>
        <v/>
      </c>
      <c r="K37" s="296" t="str">
        <f>IF(B37="","",'Statement of Marks'!FJ40)</f>
        <v/>
      </c>
      <c r="L37" s="296" t="str">
        <f>IF(B37="","",'Statement of Marks'!FM40)</f>
        <v/>
      </c>
      <c r="M37" s="296" t="str">
        <f>IF(B37="","",'Statement of Marks'!FP40)</f>
        <v/>
      </c>
      <c r="N37" s="296" t="str">
        <f>IF(B37="","",'Statement of Marks'!FW40)</f>
        <v/>
      </c>
      <c r="O37" s="296" t="str">
        <f>IF(B37="","",'Statement of Marks'!GD40)</f>
        <v/>
      </c>
      <c r="P37" s="296" t="str">
        <f>IF(B37="","",'Statement of Marks'!GK40)</f>
        <v/>
      </c>
      <c r="Q37" s="296" t="str">
        <f>IF(B37="","",'Statement of Marks'!GR40)</f>
        <v/>
      </c>
      <c r="R37" s="296" t="str">
        <f>IF(B37="","",'Statement of Marks'!FF40)</f>
        <v/>
      </c>
      <c r="S37" s="430" t="str">
        <f>IFERROR(IF(B37="","",CONCATENATE(IF(AND('Marks Entry'!U40="A"),'Marks Entry'!$U$2,IF(AND('Marks Entry'!U40="B"),'Marks Entry'!$Y$2,IF(AND('Marks Entry'!U40="C"),'Marks Entry'!$AA$2,""))),", ",IF(AND('Marks Entry'!AC40="A"),'Marks Entry'!$AC$2,IF(AND('Marks Entry'!AC40="B"),'Marks Entry'!$AG$2,IF(AND('Marks Entry'!AC40="C"),'Marks Entry'!$AI$2,""))),", ",IF(AND('Marks Entry'!AK40="A"),'Marks Entry'!$AK$2,IF(AND('Marks Entry'!AK40="B"),'Marks Entry'!$AO$2,IF(AND('Marks Entry'!AK40="C"),'Marks Entry'!$AQ$2,""))),", ",IF(AND('Statement of Marks'!DD40=""),"",IF(AND('Statement of Marks'!DD40="A"),'Marks Entry'!$AS$2,IF(AND('Statement of Marks'!DD40="B"),'Marks Entry'!$AW$2,IF(AND('Statement of Marks'!DD40="C"),'Marks Entry'!$AY$2,"")))))),"")</f>
        <v/>
      </c>
      <c r="T37" s="431" t="str">
        <f>IF(COUNTIF(K37:R37,"F")&gt;0,"",CONCATENATE('Statement of Marks'!GU40,'Statement of Marks'!GW40))</f>
        <v xml:space="preserve">           </v>
      </c>
      <c r="BG37" s="17">
        <f>IFERROR(VLOOKUP(B37,'Statement of Marks'!$B$8:'Statement of Marks'!$HI$207,41,0),"")</f>
        <v>15</v>
      </c>
      <c r="BH37" s="17" t="str">
        <f>IFERROR(VLOOKUP(B37,'Statement of Marks'!$B$8:'Statement of Marks'!$HI$207,66,0),"")</f>
        <v/>
      </c>
      <c r="BI37" s="17">
        <f>IFERROR(VLOOKUP(B37,'Statement of Marks'!$B$8:'Statement of Marks'!$HI$207,91,0),"")</f>
        <v>60</v>
      </c>
      <c r="BJ37" s="17" t="str">
        <f>IFERROR(VLOOKUP(B37,'Statement of Marks'!$B$8:'Statement of Marks'!$HI$207,117,0),"")</f>
        <v/>
      </c>
    </row>
    <row r="38" spans="1:62" ht="24.95" customHeight="1">
      <c r="A38" s="284">
        <f>IF('Statement of Marks'!A41="","",'Statement of Marks'!A41)</f>
        <v>34</v>
      </c>
      <c r="B38" s="284" t="str">
        <f>IF('Statement of Marks'!B41="","",'Statement of Marks'!B41)</f>
        <v/>
      </c>
      <c r="C38" s="284" t="str">
        <f>IF('Statement of Marks'!C41="","",'Statement of Marks'!C41)</f>
        <v/>
      </c>
      <c r="D38" s="426" t="str">
        <f>IF('Statement of Marks'!D41="","",'Statement of Marks'!D41)</f>
        <v/>
      </c>
      <c r="E38" s="427" t="str">
        <f>IF('Statement of Marks'!E41="","",'Statement of Marks'!E41)</f>
        <v/>
      </c>
      <c r="F38" s="427" t="str">
        <f>IF('Statement of Marks'!F41="","",'Statement of Marks'!F41)</f>
        <v/>
      </c>
      <c r="G38" s="427" t="str">
        <f>IF('Statement of Marks'!G41="","",'Statement of Marks'!G41)</f>
        <v/>
      </c>
      <c r="H38" s="428" t="str">
        <f>IF(B38="","",IF('Statement of Marks'!GY41="","",'Statement of Marks'!GY41))</f>
        <v/>
      </c>
      <c r="I38" s="287" t="str">
        <f>IF(B38="","",IF('Statement of Marks'!HB41="","",'Statement of Marks'!HB41))</f>
        <v/>
      </c>
      <c r="J38" s="429" t="str">
        <f>IF(B38="","",IF('Statement of Marks'!HC41="","",'Statement of Marks'!HC41))</f>
        <v/>
      </c>
      <c r="K38" s="296" t="str">
        <f>IF(B38="","",'Statement of Marks'!FJ41)</f>
        <v/>
      </c>
      <c r="L38" s="296" t="str">
        <f>IF(B38="","",'Statement of Marks'!FM41)</f>
        <v/>
      </c>
      <c r="M38" s="296" t="str">
        <f>IF(B38="","",'Statement of Marks'!FP41)</f>
        <v/>
      </c>
      <c r="N38" s="296" t="str">
        <f>IF(B38="","",'Statement of Marks'!FW41)</f>
        <v/>
      </c>
      <c r="O38" s="296" t="str">
        <f>IF(B38="","",'Statement of Marks'!GD41)</f>
        <v/>
      </c>
      <c r="P38" s="296" t="str">
        <f>IF(B38="","",'Statement of Marks'!GK41)</f>
        <v/>
      </c>
      <c r="Q38" s="296" t="str">
        <f>IF(B38="","",'Statement of Marks'!GR41)</f>
        <v/>
      </c>
      <c r="R38" s="296" t="str">
        <f>IF(B38="","",'Statement of Marks'!FF41)</f>
        <v/>
      </c>
      <c r="S38" s="430" t="str">
        <f>IFERROR(IF(B38="","",CONCATENATE(IF(AND('Marks Entry'!U41="A"),'Marks Entry'!$U$2,IF(AND('Marks Entry'!U41="B"),'Marks Entry'!$Y$2,IF(AND('Marks Entry'!U41="C"),'Marks Entry'!$AA$2,""))),", ",IF(AND('Marks Entry'!AC41="A"),'Marks Entry'!$AC$2,IF(AND('Marks Entry'!AC41="B"),'Marks Entry'!$AG$2,IF(AND('Marks Entry'!AC41="C"),'Marks Entry'!$AI$2,""))),", ",IF(AND('Marks Entry'!AK41="A"),'Marks Entry'!$AK$2,IF(AND('Marks Entry'!AK41="B"),'Marks Entry'!$AO$2,IF(AND('Marks Entry'!AK41="C"),'Marks Entry'!$AQ$2,""))),", ",IF(AND('Statement of Marks'!DD41=""),"",IF(AND('Statement of Marks'!DD41="A"),'Marks Entry'!$AS$2,IF(AND('Statement of Marks'!DD41="B"),'Marks Entry'!$AW$2,IF(AND('Statement of Marks'!DD41="C"),'Marks Entry'!$AY$2,"")))))),"")</f>
        <v/>
      </c>
      <c r="T38" s="431" t="str">
        <f>IF(COUNTIF(K38:R38,"F")&gt;0,"",CONCATENATE('Statement of Marks'!GU41,'Statement of Marks'!GW41))</f>
        <v xml:space="preserve">           </v>
      </c>
      <c r="BG38" s="17">
        <f>IFERROR(VLOOKUP(B38,'Statement of Marks'!$B$8:'Statement of Marks'!$HI$207,41,0),"")</f>
        <v>15</v>
      </c>
      <c r="BH38" s="17" t="str">
        <f>IFERROR(VLOOKUP(B38,'Statement of Marks'!$B$8:'Statement of Marks'!$HI$207,66,0),"")</f>
        <v/>
      </c>
      <c r="BI38" s="17">
        <f>IFERROR(VLOOKUP(B38,'Statement of Marks'!$B$8:'Statement of Marks'!$HI$207,91,0),"")</f>
        <v>60</v>
      </c>
      <c r="BJ38" s="17" t="str">
        <f>IFERROR(VLOOKUP(B38,'Statement of Marks'!$B$8:'Statement of Marks'!$HI$207,117,0),"")</f>
        <v/>
      </c>
    </row>
    <row r="39" spans="1:62" ht="24.95" customHeight="1">
      <c r="A39" s="284">
        <f>IF('Statement of Marks'!A42="","",'Statement of Marks'!A42)</f>
        <v>35</v>
      </c>
      <c r="B39" s="284" t="str">
        <f>IF('Statement of Marks'!B42="","",'Statement of Marks'!B42)</f>
        <v/>
      </c>
      <c r="C39" s="284" t="str">
        <f>IF('Statement of Marks'!C42="","",'Statement of Marks'!C42)</f>
        <v/>
      </c>
      <c r="D39" s="426" t="str">
        <f>IF('Statement of Marks'!D42="","",'Statement of Marks'!D42)</f>
        <v/>
      </c>
      <c r="E39" s="427" t="str">
        <f>IF('Statement of Marks'!E42="","",'Statement of Marks'!E42)</f>
        <v/>
      </c>
      <c r="F39" s="427" t="str">
        <f>IF('Statement of Marks'!F42="","",'Statement of Marks'!F42)</f>
        <v/>
      </c>
      <c r="G39" s="427" t="str">
        <f>IF('Statement of Marks'!G42="","",'Statement of Marks'!G42)</f>
        <v/>
      </c>
      <c r="H39" s="428" t="str">
        <f>IF(B39="","",IF('Statement of Marks'!GY42="","",'Statement of Marks'!GY42))</f>
        <v/>
      </c>
      <c r="I39" s="287" t="str">
        <f>IF(B39="","",IF('Statement of Marks'!HB42="","",'Statement of Marks'!HB42))</f>
        <v/>
      </c>
      <c r="J39" s="429" t="str">
        <f>IF(B39="","",IF('Statement of Marks'!HC42="","",'Statement of Marks'!HC42))</f>
        <v/>
      </c>
      <c r="K39" s="296" t="str">
        <f>IF(B39="","",'Statement of Marks'!FJ42)</f>
        <v/>
      </c>
      <c r="L39" s="296" t="str">
        <f>IF(B39="","",'Statement of Marks'!FM42)</f>
        <v/>
      </c>
      <c r="M39" s="296" t="str">
        <f>IF(B39="","",'Statement of Marks'!FP42)</f>
        <v/>
      </c>
      <c r="N39" s="296" t="str">
        <f>IF(B39="","",'Statement of Marks'!FW42)</f>
        <v/>
      </c>
      <c r="O39" s="296" t="str">
        <f>IF(B39="","",'Statement of Marks'!GD42)</f>
        <v/>
      </c>
      <c r="P39" s="296" t="str">
        <f>IF(B39="","",'Statement of Marks'!GK42)</f>
        <v/>
      </c>
      <c r="Q39" s="296" t="str">
        <f>IF(B39="","",'Statement of Marks'!GR42)</f>
        <v/>
      </c>
      <c r="R39" s="296" t="str">
        <f>IF(B39="","",'Statement of Marks'!FF42)</f>
        <v/>
      </c>
      <c r="S39" s="430" t="str">
        <f>IFERROR(IF(B39="","",CONCATENATE(IF(AND('Marks Entry'!U42="A"),'Marks Entry'!$U$2,IF(AND('Marks Entry'!U42="B"),'Marks Entry'!$Y$2,IF(AND('Marks Entry'!U42="C"),'Marks Entry'!$AA$2,""))),", ",IF(AND('Marks Entry'!AC42="A"),'Marks Entry'!$AC$2,IF(AND('Marks Entry'!AC42="B"),'Marks Entry'!$AG$2,IF(AND('Marks Entry'!AC42="C"),'Marks Entry'!$AI$2,""))),", ",IF(AND('Marks Entry'!AK42="A"),'Marks Entry'!$AK$2,IF(AND('Marks Entry'!AK42="B"),'Marks Entry'!$AO$2,IF(AND('Marks Entry'!AK42="C"),'Marks Entry'!$AQ$2,""))),", ",IF(AND('Statement of Marks'!DD42=""),"",IF(AND('Statement of Marks'!DD42="A"),'Marks Entry'!$AS$2,IF(AND('Statement of Marks'!DD42="B"),'Marks Entry'!$AW$2,IF(AND('Statement of Marks'!DD42="C"),'Marks Entry'!$AY$2,"")))))),"")</f>
        <v/>
      </c>
      <c r="T39" s="431" t="str">
        <f>IF(COUNTIF(K39:R39,"F")&gt;0,"",CONCATENATE('Statement of Marks'!GU42,'Statement of Marks'!GW42))</f>
        <v xml:space="preserve">           </v>
      </c>
      <c r="BG39" s="17">
        <f>IFERROR(VLOOKUP(B39,'Statement of Marks'!$B$8:'Statement of Marks'!$HI$207,41,0),"")</f>
        <v>15</v>
      </c>
      <c r="BH39" s="17" t="str">
        <f>IFERROR(VLOOKUP(B39,'Statement of Marks'!$B$8:'Statement of Marks'!$HI$207,66,0),"")</f>
        <v/>
      </c>
      <c r="BI39" s="17">
        <f>IFERROR(VLOOKUP(B39,'Statement of Marks'!$B$8:'Statement of Marks'!$HI$207,91,0),"")</f>
        <v>60</v>
      </c>
      <c r="BJ39" s="17" t="str">
        <f>IFERROR(VLOOKUP(B39,'Statement of Marks'!$B$8:'Statement of Marks'!$HI$207,117,0),"")</f>
        <v/>
      </c>
    </row>
    <row r="40" spans="1:62" ht="24.95" customHeight="1">
      <c r="A40" s="284">
        <f>IF('Statement of Marks'!A43="","",'Statement of Marks'!A43)</f>
        <v>36</v>
      </c>
      <c r="B40" s="284" t="str">
        <f>IF('Statement of Marks'!B43="","",'Statement of Marks'!B43)</f>
        <v/>
      </c>
      <c r="C40" s="284" t="str">
        <f>IF('Statement of Marks'!C43="","",'Statement of Marks'!C43)</f>
        <v/>
      </c>
      <c r="D40" s="426" t="str">
        <f>IF('Statement of Marks'!D43="","",'Statement of Marks'!D43)</f>
        <v/>
      </c>
      <c r="E40" s="427" t="str">
        <f>IF('Statement of Marks'!E43="","",'Statement of Marks'!E43)</f>
        <v/>
      </c>
      <c r="F40" s="427" t="str">
        <f>IF('Statement of Marks'!F43="","",'Statement of Marks'!F43)</f>
        <v/>
      </c>
      <c r="G40" s="427" t="str">
        <f>IF('Statement of Marks'!G43="","",'Statement of Marks'!G43)</f>
        <v/>
      </c>
      <c r="H40" s="428" t="str">
        <f>IF(B40="","",IF('Statement of Marks'!GY43="","",'Statement of Marks'!GY43))</f>
        <v/>
      </c>
      <c r="I40" s="287" t="str">
        <f>IF(B40="","",IF('Statement of Marks'!HB43="","",'Statement of Marks'!HB43))</f>
        <v/>
      </c>
      <c r="J40" s="429" t="str">
        <f>IF(B40="","",IF('Statement of Marks'!HC43="","",'Statement of Marks'!HC43))</f>
        <v/>
      </c>
      <c r="K40" s="296" t="str">
        <f>IF(B40="","",'Statement of Marks'!FJ43)</f>
        <v/>
      </c>
      <c r="L40" s="296" t="str">
        <f>IF(B40="","",'Statement of Marks'!FM43)</f>
        <v/>
      </c>
      <c r="M40" s="296" t="str">
        <f>IF(B40="","",'Statement of Marks'!FP43)</f>
        <v/>
      </c>
      <c r="N40" s="296" t="str">
        <f>IF(B40="","",'Statement of Marks'!FW43)</f>
        <v/>
      </c>
      <c r="O40" s="296" t="str">
        <f>IF(B40="","",'Statement of Marks'!GD43)</f>
        <v/>
      </c>
      <c r="P40" s="296" t="str">
        <f>IF(B40="","",'Statement of Marks'!GK43)</f>
        <v/>
      </c>
      <c r="Q40" s="296" t="str">
        <f>IF(B40="","",'Statement of Marks'!GR43)</f>
        <v/>
      </c>
      <c r="R40" s="296" t="str">
        <f>IF(B40="","",'Statement of Marks'!FF43)</f>
        <v/>
      </c>
      <c r="S40" s="430" t="str">
        <f>IFERROR(IF(B40="","",CONCATENATE(IF(AND('Marks Entry'!U43="A"),'Marks Entry'!$U$2,IF(AND('Marks Entry'!U43="B"),'Marks Entry'!$Y$2,IF(AND('Marks Entry'!U43="C"),'Marks Entry'!$AA$2,""))),", ",IF(AND('Marks Entry'!AC43="A"),'Marks Entry'!$AC$2,IF(AND('Marks Entry'!AC43="B"),'Marks Entry'!$AG$2,IF(AND('Marks Entry'!AC43="C"),'Marks Entry'!$AI$2,""))),", ",IF(AND('Marks Entry'!AK43="A"),'Marks Entry'!$AK$2,IF(AND('Marks Entry'!AK43="B"),'Marks Entry'!$AO$2,IF(AND('Marks Entry'!AK43="C"),'Marks Entry'!$AQ$2,""))),", ",IF(AND('Statement of Marks'!DD43=""),"",IF(AND('Statement of Marks'!DD43="A"),'Marks Entry'!$AS$2,IF(AND('Statement of Marks'!DD43="B"),'Marks Entry'!$AW$2,IF(AND('Statement of Marks'!DD43="C"),'Marks Entry'!$AY$2,"")))))),"")</f>
        <v/>
      </c>
      <c r="T40" s="431" t="str">
        <f>IF(COUNTIF(K40:R40,"F")&gt;0,"",CONCATENATE('Statement of Marks'!GU43,'Statement of Marks'!GW43))</f>
        <v xml:space="preserve">           </v>
      </c>
      <c r="BG40" s="17">
        <f>IFERROR(VLOOKUP(B40,'Statement of Marks'!$B$8:'Statement of Marks'!$HI$207,41,0),"")</f>
        <v>15</v>
      </c>
      <c r="BH40" s="17" t="str">
        <f>IFERROR(VLOOKUP(B40,'Statement of Marks'!$B$8:'Statement of Marks'!$HI$207,66,0),"")</f>
        <v/>
      </c>
      <c r="BI40" s="17">
        <f>IFERROR(VLOOKUP(B40,'Statement of Marks'!$B$8:'Statement of Marks'!$HI$207,91,0),"")</f>
        <v>60</v>
      </c>
      <c r="BJ40" s="17" t="str">
        <f>IFERROR(VLOOKUP(B40,'Statement of Marks'!$B$8:'Statement of Marks'!$HI$207,117,0),"")</f>
        <v/>
      </c>
    </row>
    <row r="41" spans="1:62" ht="24.95" customHeight="1">
      <c r="A41" s="284">
        <f>IF('Statement of Marks'!A44="","",'Statement of Marks'!A44)</f>
        <v>37</v>
      </c>
      <c r="B41" s="284" t="str">
        <f>IF('Statement of Marks'!B44="","",'Statement of Marks'!B44)</f>
        <v/>
      </c>
      <c r="C41" s="284" t="str">
        <f>IF('Statement of Marks'!C44="","",'Statement of Marks'!C44)</f>
        <v/>
      </c>
      <c r="D41" s="426" t="str">
        <f>IF('Statement of Marks'!D44="","",'Statement of Marks'!D44)</f>
        <v/>
      </c>
      <c r="E41" s="427" t="str">
        <f>IF('Statement of Marks'!E44="","",'Statement of Marks'!E44)</f>
        <v/>
      </c>
      <c r="F41" s="427" t="str">
        <f>IF('Statement of Marks'!F44="","",'Statement of Marks'!F44)</f>
        <v/>
      </c>
      <c r="G41" s="427" t="str">
        <f>IF('Statement of Marks'!G44="","",'Statement of Marks'!G44)</f>
        <v/>
      </c>
      <c r="H41" s="428" t="str">
        <f>IF(B41="","",IF('Statement of Marks'!GY44="","",'Statement of Marks'!GY44))</f>
        <v/>
      </c>
      <c r="I41" s="287" t="str">
        <f>IF(B41="","",IF('Statement of Marks'!HB44="","",'Statement of Marks'!HB44))</f>
        <v/>
      </c>
      <c r="J41" s="429" t="str">
        <f>IF(B41="","",IF('Statement of Marks'!HC44="","",'Statement of Marks'!HC44))</f>
        <v/>
      </c>
      <c r="K41" s="296" t="str">
        <f>IF(B41="","",'Statement of Marks'!FJ44)</f>
        <v/>
      </c>
      <c r="L41" s="296" t="str">
        <f>IF(B41="","",'Statement of Marks'!FM44)</f>
        <v/>
      </c>
      <c r="M41" s="296" t="str">
        <f>IF(B41="","",'Statement of Marks'!FP44)</f>
        <v/>
      </c>
      <c r="N41" s="296" t="str">
        <f>IF(B41="","",'Statement of Marks'!FW44)</f>
        <v/>
      </c>
      <c r="O41" s="296" t="str">
        <f>IF(B41="","",'Statement of Marks'!GD44)</f>
        <v/>
      </c>
      <c r="P41" s="296" t="str">
        <f>IF(B41="","",'Statement of Marks'!GK44)</f>
        <v/>
      </c>
      <c r="Q41" s="296" t="str">
        <f>IF(B41="","",'Statement of Marks'!GR44)</f>
        <v/>
      </c>
      <c r="R41" s="296" t="str">
        <f>IF(B41="","",'Statement of Marks'!FF44)</f>
        <v/>
      </c>
      <c r="S41" s="430" t="str">
        <f>IFERROR(IF(B41="","",CONCATENATE(IF(AND('Marks Entry'!U44="A"),'Marks Entry'!$U$2,IF(AND('Marks Entry'!U44="B"),'Marks Entry'!$Y$2,IF(AND('Marks Entry'!U44="C"),'Marks Entry'!$AA$2,""))),", ",IF(AND('Marks Entry'!AC44="A"),'Marks Entry'!$AC$2,IF(AND('Marks Entry'!AC44="B"),'Marks Entry'!$AG$2,IF(AND('Marks Entry'!AC44="C"),'Marks Entry'!$AI$2,""))),", ",IF(AND('Marks Entry'!AK44="A"),'Marks Entry'!$AK$2,IF(AND('Marks Entry'!AK44="B"),'Marks Entry'!$AO$2,IF(AND('Marks Entry'!AK44="C"),'Marks Entry'!$AQ$2,""))),", ",IF(AND('Statement of Marks'!DD44=""),"",IF(AND('Statement of Marks'!DD44="A"),'Marks Entry'!$AS$2,IF(AND('Statement of Marks'!DD44="B"),'Marks Entry'!$AW$2,IF(AND('Statement of Marks'!DD44="C"),'Marks Entry'!$AY$2,"")))))),"")</f>
        <v/>
      </c>
      <c r="T41" s="431" t="str">
        <f>IF(COUNTIF(K41:R41,"F")&gt;0,"",CONCATENATE('Statement of Marks'!GU44,'Statement of Marks'!GW44))</f>
        <v xml:space="preserve">           </v>
      </c>
      <c r="BG41" s="17">
        <f>IFERROR(VLOOKUP(B41,'Statement of Marks'!$B$8:'Statement of Marks'!$HI$207,41,0),"")</f>
        <v>15</v>
      </c>
      <c r="BH41" s="17" t="str">
        <f>IFERROR(VLOOKUP(B41,'Statement of Marks'!$B$8:'Statement of Marks'!$HI$207,66,0),"")</f>
        <v/>
      </c>
      <c r="BI41" s="17">
        <f>IFERROR(VLOOKUP(B41,'Statement of Marks'!$B$8:'Statement of Marks'!$HI$207,91,0),"")</f>
        <v>60</v>
      </c>
      <c r="BJ41" s="17" t="str">
        <f>IFERROR(VLOOKUP(B41,'Statement of Marks'!$B$8:'Statement of Marks'!$HI$207,117,0),"")</f>
        <v/>
      </c>
    </row>
    <row r="42" spans="1:62" ht="24.95" customHeight="1">
      <c r="A42" s="284">
        <f>IF('Statement of Marks'!A45="","",'Statement of Marks'!A45)</f>
        <v>38</v>
      </c>
      <c r="B42" s="284" t="str">
        <f>IF('Statement of Marks'!B45="","",'Statement of Marks'!B45)</f>
        <v/>
      </c>
      <c r="C42" s="284" t="str">
        <f>IF('Statement of Marks'!C45="","",'Statement of Marks'!C45)</f>
        <v/>
      </c>
      <c r="D42" s="426" t="str">
        <f>IF('Statement of Marks'!D45="","",'Statement of Marks'!D45)</f>
        <v/>
      </c>
      <c r="E42" s="427" t="str">
        <f>IF('Statement of Marks'!E45="","",'Statement of Marks'!E45)</f>
        <v/>
      </c>
      <c r="F42" s="427" t="str">
        <f>IF('Statement of Marks'!F45="","",'Statement of Marks'!F45)</f>
        <v/>
      </c>
      <c r="G42" s="427" t="str">
        <f>IF('Statement of Marks'!G45="","",'Statement of Marks'!G45)</f>
        <v/>
      </c>
      <c r="H42" s="428" t="str">
        <f>IF(B42="","",IF('Statement of Marks'!GY45="","",'Statement of Marks'!GY45))</f>
        <v/>
      </c>
      <c r="I42" s="287" t="str">
        <f>IF(B42="","",IF('Statement of Marks'!HB45="","",'Statement of Marks'!HB45))</f>
        <v/>
      </c>
      <c r="J42" s="429" t="str">
        <f>IF(B42="","",IF('Statement of Marks'!HC45="","",'Statement of Marks'!HC45))</f>
        <v/>
      </c>
      <c r="K42" s="296" t="str">
        <f>IF(B42="","",'Statement of Marks'!FJ45)</f>
        <v/>
      </c>
      <c r="L42" s="296" t="str">
        <f>IF(B42="","",'Statement of Marks'!FM45)</f>
        <v/>
      </c>
      <c r="M42" s="296" t="str">
        <f>IF(B42="","",'Statement of Marks'!FP45)</f>
        <v/>
      </c>
      <c r="N42" s="296" t="str">
        <f>IF(B42="","",'Statement of Marks'!FW45)</f>
        <v/>
      </c>
      <c r="O42" s="296" t="str">
        <f>IF(B42="","",'Statement of Marks'!GD45)</f>
        <v/>
      </c>
      <c r="P42" s="296" t="str">
        <f>IF(B42="","",'Statement of Marks'!GK45)</f>
        <v/>
      </c>
      <c r="Q42" s="296" t="str">
        <f>IF(B42="","",'Statement of Marks'!GR45)</f>
        <v/>
      </c>
      <c r="R42" s="296" t="str">
        <f>IF(B42="","",'Statement of Marks'!FF45)</f>
        <v/>
      </c>
      <c r="S42" s="430" t="str">
        <f>IFERROR(IF(B42="","",CONCATENATE(IF(AND('Marks Entry'!U45="A"),'Marks Entry'!$U$2,IF(AND('Marks Entry'!U45="B"),'Marks Entry'!$Y$2,IF(AND('Marks Entry'!U45="C"),'Marks Entry'!$AA$2,""))),", ",IF(AND('Marks Entry'!AC45="A"),'Marks Entry'!$AC$2,IF(AND('Marks Entry'!AC45="B"),'Marks Entry'!$AG$2,IF(AND('Marks Entry'!AC45="C"),'Marks Entry'!$AI$2,""))),", ",IF(AND('Marks Entry'!AK45="A"),'Marks Entry'!$AK$2,IF(AND('Marks Entry'!AK45="B"),'Marks Entry'!$AO$2,IF(AND('Marks Entry'!AK45="C"),'Marks Entry'!$AQ$2,""))),", ",IF(AND('Statement of Marks'!DD45=""),"",IF(AND('Statement of Marks'!DD45="A"),'Marks Entry'!$AS$2,IF(AND('Statement of Marks'!DD45="B"),'Marks Entry'!$AW$2,IF(AND('Statement of Marks'!DD45="C"),'Marks Entry'!$AY$2,"")))))),"")</f>
        <v/>
      </c>
      <c r="T42" s="431" t="str">
        <f>IF(COUNTIF(K42:R42,"F")&gt;0,"",CONCATENATE('Statement of Marks'!GU45,'Statement of Marks'!GW45))</f>
        <v xml:space="preserve">           </v>
      </c>
      <c r="BG42" s="17">
        <f>IFERROR(VLOOKUP(B42,'Statement of Marks'!$B$8:'Statement of Marks'!$HI$207,41,0),"")</f>
        <v>15</v>
      </c>
      <c r="BH42" s="17" t="str">
        <f>IFERROR(VLOOKUP(B42,'Statement of Marks'!$B$8:'Statement of Marks'!$HI$207,66,0),"")</f>
        <v/>
      </c>
      <c r="BI42" s="17">
        <f>IFERROR(VLOOKUP(B42,'Statement of Marks'!$B$8:'Statement of Marks'!$HI$207,91,0),"")</f>
        <v>60</v>
      </c>
      <c r="BJ42" s="17" t="str">
        <f>IFERROR(VLOOKUP(B42,'Statement of Marks'!$B$8:'Statement of Marks'!$HI$207,117,0),"")</f>
        <v/>
      </c>
    </row>
    <row r="43" spans="1:62" ht="24.95" customHeight="1">
      <c r="A43" s="284">
        <f>IF('Statement of Marks'!A46="","",'Statement of Marks'!A46)</f>
        <v>39</v>
      </c>
      <c r="B43" s="284" t="str">
        <f>IF('Statement of Marks'!B46="","",'Statement of Marks'!B46)</f>
        <v/>
      </c>
      <c r="C43" s="284" t="str">
        <f>IF('Statement of Marks'!C46="","",'Statement of Marks'!C46)</f>
        <v/>
      </c>
      <c r="D43" s="426" t="str">
        <f>IF('Statement of Marks'!D46="","",'Statement of Marks'!D46)</f>
        <v/>
      </c>
      <c r="E43" s="427" t="str">
        <f>IF('Statement of Marks'!E46="","",'Statement of Marks'!E46)</f>
        <v/>
      </c>
      <c r="F43" s="427" t="str">
        <f>IF('Statement of Marks'!F46="","",'Statement of Marks'!F46)</f>
        <v/>
      </c>
      <c r="G43" s="427" t="str">
        <f>IF('Statement of Marks'!G46="","",'Statement of Marks'!G46)</f>
        <v/>
      </c>
      <c r="H43" s="428" t="str">
        <f>IF(B43="","",IF('Statement of Marks'!GY46="","",'Statement of Marks'!GY46))</f>
        <v/>
      </c>
      <c r="I43" s="287" t="str">
        <f>IF(B43="","",IF('Statement of Marks'!HB46="","",'Statement of Marks'!HB46))</f>
        <v/>
      </c>
      <c r="J43" s="429" t="str">
        <f>IF(B43="","",IF('Statement of Marks'!HC46="","",'Statement of Marks'!HC46))</f>
        <v/>
      </c>
      <c r="K43" s="296" t="str">
        <f>IF(B43="","",'Statement of Marks'!FJ46)</f>
        <v/>
      </c>
      <c r="L43" s="296" t="str">
        <f>IF(B43="","",'Statement of Marks'!FM46)</f>
        <v/>
      </c>
      <c r="M43" s="296" t="str">
        <f>IF(B43="","",'Statement of Marks'!FP46)</f>
        <v/>
      </c>
      <c r="N43" s="296" t="str">
        <f>IF(B43="","",'Statement of Marks'!FW46)</f>
        <v/>
      </c>
      <c r="O43" s="296" t="str">
        <f>IF(B43="","",'Statement of Marks'!GD46)</f>
        <v/>
      </c>
      <c r="P43" s="296" t="str">
        <f>IF(B43="","",'Statement of Marks'!GK46)</f>
        <v/>
      </c>
      <c r="Q43" s="296" t="str">
        <f>IF(B43="","",'Statement of Marks'!GR46)</f>
        <v/>
      </c>
      <c r="R43" s="296" t="str">
        <f>IF(B43="","",'Statement of Marks'!FF46)</f>
        <v/>
      </c>
      <c r="S43" s="430" t="str">
        <f>IFERROR(IF(B43="","",CONCATENATE(IF(AND('Marks Entry'!U46="A"),'Marks Entry'!$U$2,IF(AND('Marks Entry'!U46="B"),'Marks Entry'!$Y$2,IF(AND('Marks Entry'!U46="C"),'Marks Entry'!$AA$2,""))),", ",IF(AND('Marks Entry'!AC46="A"),'Marks Entry'!$AC$2,IF(AND('Marks Entry'!AC46="B"),'Marks Entry'!$AG$2,IF(AND('Marks Entry'!AC46="C"),'Marks Entry'!$AI$2,""))),", ",IF(AND('Marks Entry'!AK46="A"),'Marks Entry'!$AK$2,IF(AND('Marks Entry'!AK46="B"),'Marks Entry'!$AO$2,IF(AND('Marks Entry'!AK46="C"),'Marks Entry'!$AQ$2,""))),", ",IF(AND('Statement of Marks'!DD46=""),"",IF(AND('Statement of Marks'!DD46="A"),'Marks Entry'!$AS$2,IF(AND('Statement of Marks'!DD46="B"),'Marks Entry'!$AW$2,IF(AND('Statement of Marks'!DD46="C"),'Marks Entry'!$AY$2,"")))))),"")</f>
        <v/>
      </c>
      <c r="T43" s="431" t="str">
        <f>IF(COUNTIF(K43:R43,"F")&gt;0,"",CONCATENATE('Statement of Marks'!GU46,'Statement of Marks'!GW46))</f>
        <v xml:space="preserve">           </v>
      </c>
      <c r="BG43" s="17">
        <f>IFERROR(VLOOKUP(B43,'Statement of Marks'!$B$8:'Statement of Marks'!$HI$207,41,0),"")</f>
        <v>15</v>
      </c>
      <c r="BH43" s="17" t="str">
        <f>IFERROR(VLOOKUP(B43,'Statement of Marks'!$B$8:'Statement of Marks'!$HI$207,66,0),"")</f>
        <v/>
      </c>
      <c r="BI43" s="17">
        <f>IFERROR(VLOOKUP(B43,'Statement of Marks'!$B$8:'Statement of Marks'!$HI$207,91,0),"")</f>
        <v>60</v>
      </c>
      <c r="BJ43" s="17" t="str">
        <f>IFERROR(VLOOKUP(B43,'Statement of Marks'!$B$8:'Statement of Marks'!$HI$207,117,0),"")</f>
        <v/>
      </c>
    </row>
    <row r="44" spans="1:62" ht="24.95" customHeight="1">
      <c r="A44" s="284">
        <f>IF('Statement of Marks'!A47="","",'Statement of Marks'!A47)</f>
        <v>40</v>
      </c>
      <c r="B44" s="284" t="str">
        <f>IF('Statement of Marks'!B47="","",'Statement of Marks'!B47)</f>
        <v/>
      </c>
      <c r="C44" s="284" t="str">
        <f>IF('Statement of Marks'!C47="","",'Statement of Marks'!C47)</f>
        <v/>
      </c>
      <c r="D44" s="426" t="str">
        <f>IF('Statement of Marks'!D47="","",'Statement of Marks'!D47)</f>
        <v/>
      </c>
      <c r="E44" s="427" t="str">
        <f>IF('Statement of Marks'!E47="","",'Statement of Marks'!E47)</f>
        <v/>
      </c>
      <c r="F44" s="427" t="str">
        <f>IF('Statement of Marks'!F47="","",'Statement of Marks'!F47)</f>
        <v/>
      </c>
      <c r="G44" s="427" t="str">
        <f>IF('Statement of Marks'!G47="","",'Statement of Marks'!G47)</f>
        <v/>
      </c>
      <c r="H44" s="428" t="str">
        <f>IF(B44="","",IF('Statement of Marks'!GY47="","",'Statement of Marks'!GY47))</f>
        <v/>
      </c>
      <c r="I44" s="287" t="str">
        <f>IF(B44="","",IF('Statement of Marks'!HB47="","",'Statement of Marks'!HB47))</f>
        <v/>
      </c>
      <c r="J44" s="429" t="str">
        <f>IF(B44="","",IF('Statement of Marks'!HC47="","",'Statement of Marks'!HC47))</f>
        <v/>
      </c>
      <c r="K44" s="296" t="str">
        <f>IF(B44="","",'Statement of Marks'!FJ47)</f>
        <v/>
      </c>
      <c r="L44" s="296" t="str">
        <f>IF(B44="","",'Statement of Marks'!FM47)</f>
        <v/>
      </c>
      <c r="M44" s="296" t="str">
        <f>IF(B44="","",'Statement of Marks'!FP47)</f>
        <v/>
      </c>
      <c r="N44" s="296" t="str">
        <f>IF(B44="","",'Statement of Marks'!FW47)</f>
        <v/>
      </c>
      <c r="O44" s="296" t="str">
        <f>IF(B44="","",'Statement of Marks'!GD47)</f>
        <v/>
      </c>
      <c r="P44" s="296" t="str">
        <f>IF(B44="","",'Statement of Marks'!GK47)</f>
        <v/>
      </c>
      <c r="Q44" s="296" t="str">
        <f>IF(B44="","",'Statement of Marks'!GR47)</f>
        <v/>
      </c>
      <c r="R44" s="296" t="str">
        <f>IF(B44="","",'Statement of Marks'!FF47)</f>
        <v/>
      </c>
      <c r="S44" s="430" t="str">
        <f>IFERROR(IF(B44="","",CONCATENATE(IF(AND('Marks Entry'!U47="A"),'Marks Entry'!$U$2,IF(AND('Marks Entry'!U47="B"),'Marks Entry'!$Y$2,IF(AND('Marks Entry'!U47="C"),'Marks Entry'!$AA$2,""))),", ",IF(AND('Marks Entry'!AC47="A"),'Marks Entry'!$AC$2,IF(AND('Marks Entry'!AC47="B"),'Marks Entry'!$AG$2,IF(AND('Marks Entry'!AC47="C"),'Marks Entry'!$AI$2,""))),", ",IF(AND('Marks Entry'!AK47="A"),'Marks Entry'!$AK$2,IF(AND('Marks Entry'!AK47="B"),'Marks Entry'!$AO$2,IF(AND('Marks Entry'!AK47="C"),'Marks Entry'!$AQ$2,""))),", ",IF(AND('Statement of Marks'!DD47=""),"",IF(AND('Statement of Marks'!DD47="A"),'Marks Entry'!$AS$2,IF(AND('Statement of Marks'!DD47="B"),'Marks Entry'!$AW$2,IF(AND('Statement of Marks'!DD47="C"),'Marks Entry'!$AY$2,"")))))),"")</f>
        <v/>
      </c>
      <c r="T44" s="431" t="str">
        <f>IF(COUNTIF(K44:R44,"F")&gt;0,"",CONCATENATE('Statement of Marks'!GU47,'Statement of Marks'!GW47))</f>
        <v xml:space="preserve">           </v>
      </c>
      <c r="BG44" s="17">
        <f>IFERROR(VLOOKUP(B44,'Statement of Marks'!$B$8:'Statement of Marks'!$HI$207,41,0),"")</f>
        <v>15</v>
      </c>
      <c r="BH44" s="17" t="str">
        <f>IFERROR(VLOOKUP(B44,'Statement of Marks'!$B$8:'Statement of Marks'!$HI$207,66,0),"")</f>
        <v/>
      </c>
      <c r="BI44" s="17">
        <f>IFERROR(VLOOKUP(B44,'Statement of Marks'!$B$8:'Statement of Marks'!$HI$207,91,0),"")</f>
        <v>60</v>
      </c>
      <c r="BJ44" s="17" t="str">
        <f>IFERROR(VLOOKUP(B44,'Statement of Marks'!$B$8:'Statement of Marks'!$HI$207,117,0),"")</f>
        <v/>
      </c>
    </row>
    <row r="45" spans="1:62" ht="24.95" customHeight="1">
      <c r="A45" s="284">
        <f>IF('Statement of Marks'!A48="","",'Statement of Marks'!A48)</f>
        <v>41</v>
      </c>
      <c r="B45" s="284" t="str">
        <f>IF('Statement of Marks'!B48="","",'Statement of Marks'!B48)</f>
        <v/>
      </c>
      <c r="C45" s="284" t="str">
        <f>IF('Statement of Marks'!C48="","",'Statement of Marks'!C48)</f>
        <v/>
      </c>
      <c r="D45" s="426" t="str">
        <f>IF('Statement of Marks'!D48="","",'Statement of Marks'!D48)</f>
        <v/>
      </c>
      <c r="E45" s="427" t="str">
        <f>IF('Statement of Marks'!E48="","",'Statement of Marks'!E48)</f>
        <v/>
      </c>
      <c r="F45" s="427" t="str">
        <f>IF('Statement of Marks'!F48="","",'Statement of Marks'!F48)</f>
        <v/>
      </c>
      <c r="G45" s="427" t="str">
        <f>IF('Statement of Marks'!G48="","",'Statement of Marks'!G48)</f>
        <v/>
      </c>
      <c r="H45" s="428" t="str">
        <f>IF(B45="","",IF('Statement of Marks'!GY48="","",'Statement of Marks'!GY48))</f>
        <v/>
      </c>
      <c r="I45" s="287" t="str">
        <f>IF(B45="","",IF('Statement of Marks'!HB48="","",'Statement of Marks'!HB48))</f>
        <v/>
      </c>
      <c r="J45" s="429" t="str">
        <f>IF(B45="","",IF('Statement of Marks'!HC48="","",'Statement of Marks'!HC48))</f>
        <v/>
      </c>
      <c r="K45" s="296" t="str">
        <f>IF(B45="","",'Statement of Marks'!FJ48)</f>
        <v/>
      </c>
      <c r="L45" s="296" t="str">
        <f>IF(B45="","",'Statement of Marks'!FM48)</f>
        <v/>
      </c>
      <c r="M45" s="296" t="str">
        <f>IF(B45="","",'Statement of Marks'!FP48)</f>
        <v/>
      </c>
      <c r="N45" s="296" t="str">
        <f>IF(B45="","",'Statement of Marks'!FW48)</f>
        <v/>
      </c>
      <c r="O45" s="296" t="str">
        <f>IF(B45="","",'Statement of Marks'!GD48)</f>
        <v/>
      </c>
      <c r="P45" s="296" t="str">
        <f>IF(B45="","",'Statement of Marks'!GK48)</f>
        <v/>
      </c>
      <c r="Q45" s="296" t="str">
        <f>IF(B45="","",'Statement of Marks'!GR48)</f>
        <v/>
      </c>
      <c r="R45" s="296" t="str">
        <f>IF(B45="","",'Statement of Marks'!FF48)</f>
        <v/>
      </c>
      <c r="S45" s="430" t="str">
        <f>IFERROR(IF(B45="","",CONCATENATE(IF(AND('Marks Entry'!U48="A"),'Marks Entry'!$U$2,IF(AND('Marks Entry'!U48="B"),'Marks Entry'!$Y$2,IF(AND('Marks Entry'!U48="C"),'Marks Entry'!$AA$2,""))),", ",IF(AND('Marks Entry'!AC48="A"),'Marks Entry'!$AC$2,IF(AND('Marks Entry'!AC48="B"),'Marks Entry'!$AG$2,IF(AND('Marks Entry'!AC48="C"),'Marks Entry'!$AI$2,""))),", ",IF(AND('Marks Entry'!AK48="A"),'Marks Entry'!$AK$2,IF(AND('Marks Entry'!AK48="B"),'Marks Entry'!$AO$2,IF(AND('Marks Entry'!AK48="C"),'Marks Entry'!$AQ$2,""))),", ",IF(AND('Statement of Marks'!DD48=""),"",IF(AND('Statement of Marks'!DD48="A"),'Marks Entry'!$AS$2,IF(AND('Statement of Marks'!DD48="B"),'Marks Entry'!$AW$2,IF(AND('Statement of Marks'!DD48="C"),'Marks Entry'!$AY$2,"")))))),"")</f>
        <v/>
      </c>
      <c r="T45" s="431" t="str">
        <f>IF(COUNTIF(K45:R45,"F")&gt;0,"",CONCATENATE('Statement of Marks'!GU48,'Statement of Marks'!GW48))</f>
        <v xml:space="preserve">           </v>
      </c>
      <c r="BG45" s="17">
        <f>IFERROR(VLOOKUP(B45,'Statement of Marks'!$B$8:'Statement of Marks'!$HI$207,41,0),"")</f>
        <v>15</v>
      </c>
      <c r="BH45" s="17" t="str">
        <f>IFERROR(VLOOKUP(B45,'Statement of Marks'!$B$8:'Statement of Marks'!$HI$207,66,0),"")</f>
        <v/>
      </c>
      <c r="BI45" s="17">
        <f>IFERROR(VLOOKUP(B45,'Statement of Marks'!$B$8:'Statement of Marks'!$HI$207,91,0),"")</f>
        <v>60</v>
      </c>
      <c r="BJ45" s="17" t="str">
        <f>IFERROR(VLOOKUP(B45,'Statement of Marks'!$B$8:'Statement of Marks'!$HI$207,117,0),"")</f>
        <v/>
      </c>
    </row>
    <row r="46" spans="1:62" ht="24.95" customHeight="1">
      <c r="A46" s="284">
        <f>IF('Statement of Marks'!A49="","",'Statement of Marks'!A49)</f>
        <v>42</v>
      </c>
      <c r="B46" s="284" t="str">
        <f>IF('Statement of Marks'!B49="","",'Statement of Marks'!B49)</f>
        <v/>
      </c>
      <c r="C46" s="284" t="str">
        <f>IF('Statement of Marks'!C49="","",'Statement of Marks'!C49)</f>
        <v/>
      </c>
      <c r="D46" s="426" t="str">
        <f>IF('Statement of Marks'!D49="","",'Statement of Marks'!D49)</f>
        <v/>
      </c>
      <c r="E46" s="427" t="str">
        <f>IF('Statement of Marks'!E49="","",'Statement of Marks'!E49)</f>
        <v/>
      </c>
      <c r="F46" s="427" t="str">
        <f>IF('Statement of Marks'!F49="","",'Statement of Marks'!F49)</f>
        <v/>
      </c>
      <c r="G46" s="427" t="str">
        <f>IF('Statement of Marks'!G49="","",'Statement of Marks'!G49)</f>
        <v/>
      </c>
      <c r="H46" s="428" t="str">
        <f>IF(B46="","",IF('Statement of Marks'!GY49="","",'Statement of Marks'!GY49))</f>
        <v/>
      </c>
      <c r="I46" s="287" t="str">
        <f>IF(B46="","",IF('Statement of Marks'!HB49="","",'Statement of Marks'!HB49))</f>
        <v/>
      </c>
      <c r="J46" s="429" t="str">
        <f>IF(B46="","",IF('Statement of Marks'!HC49="","",'Statement of Marks'!HC49))</f>
        <v/>
      </c>
      <c r="K46" s="296" t="str">
        <f>IF(B46="","",'Statement of Marks'!FJ49)</f>
        <v/>
      </c>
      <c r="L46" s="296" t="str">
        <f>IF(B46="","",'Statement of Marks'!FM49)</f>
        <v/>
      </c>
      <c r="M46" s="296" t="str">
        <f>IF(B46="","",'Statement of Marks'!FP49)</f>
        <v/>
      </c>
      <c r="N46" s="296" t="str">
        <f>IF(B46="","",'Statement of Marks'!FW49)</f>
        <v/>
      </c>
      <c r="O46" s="296" t="str">
        <f>IF(B46="","",'Statement of Marks'!GD49)</f>
        <v/>
      </c>
      <c r="P46" s="296" t="str">
        <f>IF(B46="","",'Statement of Marks'!GK49)</f>
        <v/>
      </c>
      <c r="Q46" s="296" t="str">
        <f>IF(B46="","",'Statement of Marks'!GR49)</f>
        <v/>
      </c>
      <c r="R46" s="296" t="str">
        <f>IF(B46="","",'Statement of Marks'!FF49)</f>
        <v/>
      </c>
      <c r="S46" s="430" t="str">
        <f>IFERROR(IF(B46="","",CONCATENATE(IF(AND('Marks Entry'!U49="A"),'Marks Entry'!$U$2,IF(AND('Marks Entry'!U49="B"),'Marks Entry'!$Y$2,IF(AND('Marks Entry'!U49="C"),'Marks Entry'!$AA$2,""))),", ",IF(AND('Marks Entry'!AC49="A"),'Marks Entry'!$AC$2,IF(AND('Marks Entry'!AC49="B"),'Marks Entry'!$AG$2,IF(AND('Marks Entry'!AC49="C"),'Marks Entry'!$AI$2,""))),", ",IF(AND('Marks Entry'!AK49="A"),'Marks Entry'!$AK$2,IF(AND('Marks Entry'!AK49="B"),'Marks Entry'!$AO$2,IF(AND('Marks Entry'!AK49="C"),'Marks Entry'!$AQ$2,""))),", ",IF(AND('Statement of Marks'!DD49=""),"",IF(AND('Statement of Marks'!DD49="A"),'Marks Entry'!$AS$2,IF(AND('Statement of Marks'!DD49="B"),'Marks Entry'!$AW$2,IF(AND('Statement of Marks'!DD49="C"),'Marks Entry'!$AY$2,"")))))),"")</f>
        <v/>
      </c>
      <c r="T46" s="431" t="str">
        <f>IF(COUNTIF(K46:R46,"F")&gt;0,"",CONCATENATE('Statement of Marks'!GU49,'Statement of Marks'!GW49))</f>
        <v xml:space="preserve">           </v>
      </c>
      <c r="BG46" s="17">
        <f>IFERROR(VLOOKUP(B46,'Statement of Marks'!$B$8:'Statement of Marks'!$HI$207,41,0),"")</f>
        <v>15</v>
      </c>
      <c r="BH46" s="17" t="str">
        <f>IFERROR(VLOOKUP(B46,'Statement of Marks'!$B$8:'Statement of Marks'!$HI$207,66,0),"")</f>
        <v/>
      </c>
      <c r="BI46" s="17">
        <f>IFERROR(VLOOKUP(B46,'Statement of Marks'!$B$8:'Statement of Marks'!$HI$207,91,0),"")</f>
        <v>60</v>
      </c>
      <c r="BJ46" s="17" t="str">
        <f>IFERROR(VLOOKUP(B46,'Statement of Marks'!$B$8:'Statement of Marks'!$HI$207,117,0),"")</f>
        <v/>
      </c>
    </row>
    <row r="47" spans="1:62" ht="24.95" customHeight="1">
      <c r="A47" s="284">
        <f>IF('Statement of Marks'!A50="","",'Statement of Marks'!A50)</f>
        <v>43</v>
      </c>
      <c r="B47" s="284" t="str">
        <f>IF('Statement of Marks'!B50="","",'Statement of Marks'!B50)</f>
        <v/>
      </c>
      <c r="C47" s="284" t="str">
        <f>IF('Statement of Marks'!C50="","",'Statement of Marks'!C50)</f>
        <v/>
      </c>
      <c r="D47" s="426" t="str">
        <f>IF('Statement of Marks'!D50="","",'Statement of Marks'!D50)</f>
        <v/>
      </c>
      <c r="E47" s="427" t="str">
        <f>IF('Statement of Marks'!E50="","",'Statement of Marks'!E50)</f>
        <v/>
      </c>
      <c r="F47" s="427" t="str">
        <f>IF('Statement of Marks'!F50="","",'Statement of Marks'!F50)</f>
        <v/>
      </c>
      <c r="G47" s="427" t="str">
        <f>IF('Statement of Marks'!G50="","",'Statement of Marks'!G50)</f>
        <v/>
      </c>
      <c r="H47" s="428" t="str">
        <f>IF(B47="","",IF('Statement of Marks'!GY50="","",'Statement of Marks'!GY50))</f>
        <v/>
      </c>
      <c r="I47" s="287" t="str">
        <f>IF(B47="","",IF('Statement of Marks'!HB50="","",'Statement of Marks'!HB50))</f>
        <v/>
      </c>
      <c r="J47" s="429" t="str">
        <f>IF(B47="","",IF('Statement of Marks'!HC50="","",'Statement of Marks'!HC50))</f>
        <v/>
      </c>
      <c r="K47" s="296" t="str">
        <f>IF(B47="","",'Statement of Marks'!FJ50)</f>
        <v/>
      </c>
      <c r="L47" s="296" t="str">
        <f>IF(B47="","",'Statement of Marks'!FM50)</f>
        <v/>
      </c>
      <c r="M47" s="296" t="str">
        <f>IF(B47="","",'Statement of Marks'!FP50)</f>
        <v/>
      </c>
      <c r="N47" s="296" t="str">
        <f>IF(B47="","",'Statement of Marks'!FW50)</f>
        <v/>
      </c>
      <c r="O47" s="296" t="str">
        <f>IF(B47="","",'Statement of Marks'!GD50)</f>
        <v/>
      </c>
      <c r="P47" s="296" t="str">
        <f>IF(B47="","",'Statement of Marks'!GK50)</f>
        <v/>
      </c>
      <c r="Q47" s="296" t="str">
        <f>IF(B47="","",'Statement of Marks'!GR50)</f>
        <v/>
      </c>
      <c r="R47" s="296" t="str">
        <f>IF(B47="","",'Statement of Marks'!FF50)</f>
        <v/>
      </c>
      <c r="S47" s="430" t="str">
        <f>IFERROR(IF(B47="","",CONCATENATE(IF(AND('Marks Entry'!U50="A"),'Marks Entry'!$U$2,IF(AND('Marks Entry'!U50="B"),'Marks Entry'!$Y$2,IF(AND('Marks Entry'!U50="C"),'Marks Entry'!$AA$2,""))),", ",IF(AND('Marks Entry'!AC50="A"),'Marks Entry'!$AC$2,IF(AND('Marks Entry'!AC50="B"),'Marks Entry'!$AG$2,IF(AND('Marks Entry'!AC50="C"),'Marks Entry'!$AI$2,""))),", ",IF(AND('Marks Entry'!AK50="A"),'Marks Entry'!$AK$2,IF(AND('Marks Entry'!AK50="B"),'Marks Entry'!$AO$2,IF(AND('Marks Entry'!AK50="C"),'Marks Entry'!$AQ$2,""))),", ",IF(AND('Statement of Marks'!DD50=""),"",IF(AND('Statement of Marks'!DD50="A"),'Marks Entry'!$AS$2,IF(AND('Statement of Marks'!DD50="B"),'Marks Entry'!$AW$2,IF(AND('Statement of Marks'!DD50="C"),'Marks Entry'!$AY$2,"")))))),"")</f>
        <v/>
      </c>
      <c r="T47" s="431" t="str">
        <f>IF(COUNTIF(K47:R47,"F")&gt;0,"",CONCATENATE('Statement of Marks'!GU50,'Statement of Marks'!GW50))</f>
        <v xml:space="preserve">           </v>
      </c>
      <c r="BG47" s="17">
        <f>IFERROR(VLOOKUP(B47,'Statement of Marks'!$B$8:'Statement of Marks'!$HI$207,41,0),"")</f>
        <v>15</v>
      </c>
      <c r="BH47" s="17" t="str">
        <f>IFERROR(VLOOKUP(B47,'Statement of Marks'!$B$8:'Statement of Marks'!$HI$207,66,0),"")</f>
        <v/>
      </c>
      <c r="BI47" s="17">
        <f>IFERROR(VLOOKUP(B47,'Statement of Marks'!$B$8:'Statement of Marks'!$HI$207,91,0),"")</f>
        <v>60</v>
      </c>
      <c r="BJ47" s="17" t="str">
        <f>IFERROR(VLOOKUP(B47,'Statement of Marks'!$B$8:'Statement of Marks'!$HI$207,117,0),"")</f>
        <v/>
      </c>
    </row>
    <row r="48" spans="1:62" ht="24.95" customHeight="1">
      <c r="A48" s="284">
        <f>IF('Statement of Marks'!A51="","",'Statement of Marks'!A51)</f>
        <v>44</v>
      </c>
      <c r="B48" s="284" t="str">
        <f>IF('Statement of Marks'!B51="","",'Statement of Marks'!B51)</f>
        <v/>
      </c>
      <c r="C48" s="284" t="str">
        <f>IF('Statement of Marks'!C51="","",'Statement of Marks'!C51)</f>
        <v/>
      </c>
      <c r="D48" s="426" t="str">
        <f>IF('Statement of Marks'!D51="","",'Statement of Marks'!D51)</f>
        <v/>
      </c>
      <c r="E48" s="427" t="str">
        <f>IF('Statement of Marks'!E51="","",'Statement of Marks'!E51)</f>
        <v/>
      </c>
      <c r="F48" s="427" t="str">
        <f>IF('Statement of Marks'!F51="","",'Statement of Marks'!F51)</f>
        <v/>
      </c>
      <c r="G48" s="427" t="str">
        <f>IF('Statement of Marks'!G51="","",'Statement of Marks'!G51)</f>
        <v/>
      </c>
      <c r="H48" s="428" t="str">
        <f>IF(B48="","",IF('Statement of Marks'!GY51="","",'Statement of Marks'!GY51))</f>
        <v/>
      </c>
      <c r="I48" s="287" t="str">
        <f>IF(B48="","",IF('Statement of Marks'!HB51="","",'Statement of Marks'!HB51))</f>
        <v/>
      </c>
      <c r="J48" s="429" t="str">
        <f>IF(B48="","",IF('Statement of Marks'!HC51="","",'Statement of Marks'!HC51))</f>
        <v/>
      </c>
      <c r="K48" s="296" t="str">
        <f>IF(B48="","",'Statement of Marks'!FJ51)</f>
        <v/>
      </c>
      <c r="L48" s="296" t="str">
        <f>IF(B48="","",'Statement of Marks'!FM51)</f>
        <v/>
      </c>
      <c r="M48" s="296" t="str">
        <f>IF(B48="","",'Statement of Marks'!FP51)</f>
        <v/>
      </c>
      <c r="N48" s="296" t="str">
        <f>IF(B48="","",'Statement of Marks'!FW51)</f>
        <v/>
      </c>
      <c r="O48" s="296" t="str">
        <f>IF(B48="","",'Statement of Marks'!GD51)</f>
        <v/>
      </c>
      <c r="P48" s="296" t="str">
        <f>IF(B48="","",'Statement of Marks'!GK51)</f>
        <v/>
      </c>
      <c r="Q48" s="296" t="str">
        <f>IF(B48="","",'Statement of Marks'!GR51)</f>
        <v/>
      </c>
      <c r="R48" s="296" t="str">
        <f>IF(B48="","",'Statement of Marks'!FF51)</f>
        <v/>
      </c>
      <c r="S48" s="430" t="str">
        <f>IFERROR(IF(B48="","",CONCATENATE(IF(AND('Marks Entry'!U51="A"),'Marks Entry'!$U$2,IF(AND('Marks Entry'!U51="B"),'Marks Entry'!$Y$2,IF(AND('Marks Entry'!U51="C"),'Marks Entry'!$AA$2,""))),", ",IF(AND('Marks Entry'!AC51="A"),'Marks Entry'!$AC$2,IF(AND('Marks Entry'!AC51="B"),'Marks Entry'!$AG$2,IF(AND('Marks Entry'!AC51="C"),'Marks Entry'!$AI$2,""))),", ",IF(AND('Marks Entry'!AK51="A"),'Marks Entry'!$AK$2,IF(AND('Marks Entry'!AK51="B"),'Marks Entry'!$AO$2,IF(AND('Marks Entry'!AK51="C"),'Marks Entry'!$AQ$2,""))),", ",IF(AND('Statement of Marks'!DD51=""),"",IF(AND('Statement of Marks'!DD51="A"),'Marks Entry'!$AS$2,IF(AND('Statement of Marks'!DD51="B"),'Marks Entry'!$AW$2,IF(AND('Statement of Marks'!DD51="C"),'Marks Entry'!$AY$2,"")))))),"")</f>
        <v/>
      </c>
      <c r="T48" s="431" t="str">
        <f>IF(COUNTIF(K48:R48,"F")&gt;0,"",CONCATENATE('Statement of Marks'!GU51,'Statement of Marks'!GW51))</f>
        <v xml:space="preserve">           </v>
      </c>
      <c r="BG48" s="17">
        <f>IFERROR(VLOOKUP(B48,'Statement of Marks'!$B$8:'Statement of Marks'!$HI$207,41,0),"")</f>
        <v>15</v>
      </c>
      <c r="BH48" s="17" t="str">
        <f>IFERROR(VLOOKUP(B48,'Statement of Marks'!$B$8:'Statement of Marks'!$HI$207,66,0),"")</f>
        <v/>
      </c>
      <c r="BI48" s="17">
        <f>IFERROR(VLOOKUP(B48,'Statement of Marks'!$B$8:'Statement of Marks'!$HI$207,91,0),"")</f>
        <v>60</v>
      </c>
      <c r="BJ48" s="17" t="str">
        <f>IFERROR(VLOOKUP(B48,'Statement of Marks'!$B$8:'Statement of Marks'!$HI$207,117,0),"")</f>
        <v/>
      </c>
    </row>
    <row r="49" spans="1:62" ht="24.95" customHeight="1">
      <c r="A49" s="284">
        <f>IF('Statement of Marks'!A52="","",'Statement of Marks'!A52)</f>
        <v>45</v>
      </c>
      <c r="B49" s="284" t="str">
        <f>IF('Statement of Marks'!B52="","",'Statement of Marks'!B52)</f>
        <v/>
      </c>
      <c r="C49" s="284" t="str">
        <f>IF('Statement of Marks'!C52="","",'Statement of Marks'!C52)</f>
        <v/>
      </c>
      <c r="D49" s="426" t="str">
        <f>IF('Statement of Marks'!D52="","",'Statement of Marks'!D52)</f>
        <v/>
      </c>
      <c r="E49" s="427" t="str">
        <f>IF('Statement of Marks'!E52="","",'Statement of Marks'!E52)</f>
        <v/>
      </c>
      <c r="F49" s="427" t="str">
        <f>IF('Statement of Marks'!F52="","",'Statement of Marks'!F52)</f>
        <v/>
      </c>
      <c r="G49" s="427" t="str">
        <f>IF('Statement of Marks'!G52="","",'Statement of Marks'!G52)</f>
        <v/>
      </c>
      <c r="H49" s="428" t="str">
        <f>IF(B49="","",IF('Statement of Marks'!GY52="","",'Statement of Marks'!GY52))</f>
        <v/>
      </c>
      <c r="I49" s="287" t="str">
        <f>IF(B49="","",IF('Statement of Marks'!HB52="","",'Statement of Marks'!HB52))</f>
        <v/>
      </c>
      <c r="J49" s="429" t="str">
        <f>IF(B49="","",IF('Statement of Marks'!HC52="","",'Statement of Marks'!HC52))</f>
        <v/>
      </c>
      <c r="K49" s="296" t="str">
        <f>IF(B49="","",'Statement of Marks'!FJ52)</f>
        <v/>
      </c>
      <c r="L49" s="296" t="str">
        <f>IF(B49="","",'Statement of Marks'!FM52)</f>
        <v/>
      </c>
      <c r="M49" s="296" t="str">
        <f>IF(B49="","",'Statement of Marks'!FP52)</f>
        <v/>
      </c>
      <c r="N49" s="296" t="str">
        <f>IF(B49="","",'Statement of Marks'!FW52)</f>
        <v/>
      </c>
      <c r="O49" s="296" t="str">
        <f>IF(B49="","",'Statement of Marks'!GD52)</f>
        <v/>
      </c>
      <c r="P49" s="296" t="str">
        <f>IF(B49="","",'Statement of Marks'!GK52)</f>
        <v/>
      </c>
      <c r="Q49" s="296" t="str">
        <f>IF(B49="","",'Statement of Marks'!GR52)</f>
        <v/>
      </c>
      <c r="R49" s="296" t="str">
        <f>IF(B49="","",'Statement of Marks'!FF52)</f>
        <v/>
      </c>
      <c r="S49" s="430" t="str">
        <f>IFERROR(IF(B49="","",CONCATENATE(IF(AND('Marks Entry'!U52="A"),'Marks Entry'!$U$2,IF(AND('Marks Entry'!U52="B"),'Marks Entry'!$Y$2,IF(AND('Marks Entry'!U52="C"),'Marks Entry'!$AA$2,""))),", ",IF(AND('Marks Entry'!AC52="A"),'Marks Entry'!$AC$2,IF(AND('Marks Entry'!AC52="B"),'Marks Entry'!$AG$2,IF(AND('Marks Entry'!AC52="C"),'Marks Entry'!$AI$2,""))),", ",IF(AND('Marks Entry'!AK52="A"),'Marks Entry'!$AK$2,IF(AND('Marks Entry'!AK52="B"),'Marks Entry'!$AO$2,IF(AND('Marks Entry'!AK52="C"),'Marks Entry'!$AQ$2,""))),", ",IF(AND('Statement of Marks'!DD52=""),"",IF(AND('Statement of Marks'!DD52="A"),'Marks Entry'!$AS$2,IF(AND('Statement of Marks'!DD52="B"),'Marks Entry'!$AW$2,IF(AND('Statement of Marks'!DD52="C"),'Marks Entry'!$AY$2,"")))))),"")</f>
        <v/>
      </c>
      <c r="T49" s="431" t="str">
        <f>IF(COUNTIF(K49:R49,"F")&gt;0,"",CONCATENATE('Statement of Marks'!GU52,'Statement of Marks'!GW52))</f>
        <v xml:space="preserve">           </v>
      </c>
      <c r="BG49" s="17">
        <f>IFERROR(VLOOKUP(B49,'Statement of Marks'!$B$8:'Statement of Marks'!$HI$207,41,0),"")</f>
        <v>15</v>
      </c>
      <c r="BH49" s="17" t="str">
        <f>IFERROR(VLOOKUP(B49,'Statement of Marks'!$B$8:'Statement of Marks'!$HI$207,66,0),"")</f>
        <v/>
      </c>
      <c r="BI49" s="17">
        <f>IFERROR(VLOOKUP(B49,'Statement of Marks'!$B$8:'Statement of Marks'!$HI$207,91,0),"")</f>
        <v>60</v>
      </c>
      <c r="BJ49" s="17" t="str">
        <f>IFERROR(VLOOKUP(B49,'Statement of Marks'!$B$8:'Statement of Marks'!$HI$207,117,0),"")</f>
        <v/>
      </c>
    </row>
    <row r="50" spans="1:62" ht="24.95" customHeight="1">
      <c r="A50" s="284">
        <f>IF('Statement of Marks'!A53="","",'Statement of Marks'!A53)</f>
        <v>46</v>
      </c>
      <c r="B50" s="284" t="str">
        <f>IF('Statement of Marks'!B53="","",'Statement of Marks'!B53)</f>
        <v/>
      </c>
      <c r="C50" s="284" t="str">
        <f>IF('Statement of Marks'!C53="","",'Statement of Marks'!C53)</f>
        <v/>
      </c>
      <c r="D50" s="426" t="str">
        <f>IF('Statement of Marks'!D53="","",'Statement of Marks'!D53)</f>
        <v/>
      </c>
      <c r="E50" s="427" t="str">
        <f>IF('Statement of Marks'!E53="","",'Statement of Marks'!E53)</f>
        <v/>
      </c>
      <c r="F50" s="427" t="str">
        <f>IF('Statement of Marks'!F53="","",'Statement of Marks'!F53)</f>
        <v/>
      </c>
      <c r="G50" s="427" t="str">
        <f>IF('Statement of Marks'!G53="","",'Statement of Marks'!G53)</f>
        <v/>
      </c>
      <c r="H50" s="428" t="str">
        <f>IF(B50="","",IF('Statement of Marks'!GY53="","",'Statement of Marks'!GY53))</f>
        <v/>
      </c>
      <c r="I50" s="287" t="str">
        <f>IF(B50="","",IF('Statement of Marks'!HB53="","",'Statement of Marks'!HB53))</f>
        <v/>
      </c>
      <c r="J50" s="429" t="str">
        <f>IF(B50="","",IF('Statement of Marks'!HC53="","",'Statement of Marks'!HC53))</f>
        <v/>
      </c>
      <c r="K50" s="296" t="str">
        <f>IF(B50="","",'Statement of Marks'!FJ53)</f>
        <v/>
      </c>
      <c r="L50" s="296" t="str">
        <f>IF(B50="","",'Statement of Marks'!FM53)</f>
        <v/>
      </c>
      <c r="M50" s="296" t="str">
        <f>IF(B50="","",'Statement of Marks'!FP53)</f>
        <v/>
      </c>
      <c r="N50" s="296" t="str">
        <f>IF(B50="","",'Statement of Marks'!FW53)</f>
        <v/>
      </c>
      <c r="O50" s="296" t="str">
        <f>IF(B50="","",'Statement of Marks'!GD53)</f>
        <v/>
      </c>
      <c r="P50" s="296" t="str">
        <f>IF(B50="","",'Statement of Marks'!GK53)</f>
        <v/>
      </c>
      <c r="Q50" s="296" t="str">
        <f>IF(B50="","",'Statement of Marks'!GR53)</f>
        <v/>
      </c>
      <c r="R50" s="296" t="str">
        <f>IF(B50="","",'Statement of Marks'!FF53)</f>
        <v/>
      </c>
      <c r="S50" s="430" t="str">
        <f>IFERROR(IF(B50="","",CONCATENATE(IF(AND('Marks Entry'!U53="A"),'Marks Entry'!$U$2,IF(AND('Marks Entry'!U53="B"),'Marks Entry'!$Y$2,IF(AND('Marks Entry'!U53="C"),'Marks Entry'!$AA$2,""))),", ",IF(AND('Marks Entry'!AC53="A"),'Marks Entry'!$AC$2,IF(AND('Marks Entry'!AC53="B"),'Marks Entry'!$AG$2,IF(AND('Marks Entry'!AC53="C"),'Marks Entry'!$AI$2,""))),", ",IF(AND('Marks Entry'!AK53="A"),'Marks Entry'!$AK$2,IF(AND('Marks Entry'!AK53="B"),'Marks Entry'!$AO$2,IF(AND('Marks Entry'!AK53="C"),'Marks Entry'!$AQ$2,""))),", ",IF(AND('Statement of Marks'!DD53=""),"",IF(AND('Statement of Marks'!DD53="A"),'Marks Entry'!$AS$2,IF(AND('Statement of Marks'!DD53="B"),'Marks Entry'!$AW$2,IF(AND('Statement of Marks'!DD53="C"),'Marks Entry'!$AY$2,"")))))),"")</f>
        <v/>
      </c>
      <c r="T50" s="431" t="str">
        <f>IF(COUNTIF(K50:R50,"F")&gt;0,"",CONCATENATE('Statement of Marks'!GU53,'Statement of Marks'!GW53))</f>
        <v xml:space="preserve">           </v>
      </c>
      <c r="BG50" s="17">
        <f>IFERROR(VLOOKUP(B50,'Statement of Marks'!$B$8:'Statement of Marks'!$HI$207,41,0),"")</f>
        <v>15</v>
      </c>
      <c r="BH50" s="17" t="str">
        <f>IFERROR(VLOOKUP(B50,'Statement of Marks'!$B$8:'Statement of Marks'!$HI$207,66,0),"")</f>
        <v/>
      </c>
      <c r="BI50" s="17">
        <f>IFERROR(VLOOKUP(B50,'Statement of Marks'!$B$8:'Statement of Marks'!$HI$207,91,0),"")</f>
        <v>60</v>
      </c>
      <c r="BJ50" s="17" t="str">
        <f>IFERROR(VLOOKUP(B50,'Statement of Marks'!$B$8:'Statement of Marks'!$HI$207,117,0),"")</f>
        <v/>
      </c>
    </row>
    <row r="51" spans="1:62" ht="24.95" customHeight="1">
      <c r="A51" s="284">
        <f>IF('Statement of Marks'!A54="","",'Statement of Marks'!A54)</f>
        <v>47</v>
      </c>
      <c r="B51" s="284" t="str">
        <f>IF('Statement of Marks'!B54="","",'Statement of Marks'!B54)</f>
        <v/>
      </c>
      <c r="C51" s="284" t="str">
        <f>IF('Statement of Marks'!C54="","",'Statement of Marks'!C54)</f>
        <v/>
      </c>
      <c r="D51" s="426" t="str">
        <f>IF('Statement of Marks'!D54="","",'Statement of Marks'!D54)</f>
        <v/>
      </c>
      <c r="E51" s="427" t="str">
        <f>IF('Statement of Marks'!E54="","",'Statement of Marks'!E54)</f>
        <v/>
      </c>
      <c r="F51" s="427" t="str">
        <f>IF('Statement of Marks'!F54="","",'Statement of Marks'!F54)</f>
        <v/>
      </c>
      <c r="G51" s="427" t="str">
        <f>IF('Statement of Marks'!G54="","",'Statement of Marks'!G54)</f>
        <v/>
      </c>
      <c r="H51" s="428" t="str">
        <f>IF(B51="","",IF('Statement of Marks'!GY54="","",'Statement of Marks'!GY54))</f>
        <v/>
      </c>
      <c r="I51" s="287" t="str">
        <f>IF(B51="","",IF('Statement of Marks'!HB54="","",'Statement of Marks'!HB54))</f>
        <v/>
      </c>
      <c r="J51" s="429" t="str">
        <f>IF(B51="","",IF('Statement of Marks'!HC54="","",'Statement of Marks'!HC54))</f>
        <v/>
      </c>
      <c r="K51" s="296" t="str">
        <f>IF(B51="","",'Statement of Marks'!FJ54)</f>
        <v/>
      </c>
      <c r="L51" s="296" t="str">
        <f>IF(B51="","",'Statement of Marks'!FM54)</f>
        <v/>
      </c>
      <c r="M51" s="296" t="str">
        <f>IF(B51="","",'Statement of Marks'!FP54)</f>
        <v/>
      </c>
      <c r="N51" s="296" t="str">
        <f>IF(B51="","",'Statement of Marks'!FW54)</f>
        <v/>
      </c>
      <c r="O51" s="296" t="str">
        <f>IF(B51="","",'Statement of Marks'!GD54)</f>
        <v/>
      </c>
      <c r="P51" s="296" t="str">
        <f>IF(B51="","",'Statement of Marks'!GK54)</f>
        <v/>
      </c>
      <c r="Q51" s="296" t="str">
        <f>IF(B51="","",'Statement of Marks'!GR54)</f>
        <v/>
      </c>
      <c r="R51" s="296" t="str">
        <f>IF(B51="","",'Statement of Marks'!FF54)</f>
        <v/>
      </c>
      <c r="S51" s="430" t="str">
        <f>IFERROR(IF(B51="","",CONCATENATE(IF(AND('Marks Entry'!U54="A"),'Marks Entry'!$U$2,IF(AND('Marks Entry'!U54="B"),'Marks Entry'!$Y$2,IF(AND('Marks Entry'!U54="C"),'Marks Entry'!$AA$2,""))),", ",IF(AND('Marks Entry'!AC54="A"),'Marks Entry'!$AC$2,IF(AND('Marks Entry'!AC54="B"),'Marks Entry'!$AG$2,IF(AND('Marks Entry'!AC54="C"),'Marks Entry'!$AI$2,""))),", ",IF(AND('Marks Entry'!AK54="A"),'Marks Entry'!$AK$2,IF(AND('Marks Entry'!AK54="B"),'Marks Entry'!$AO$2,IF(AND('Marks Entry'!AK54="C"),'Marks Entry'!$AQ$2,""))),", ",IF(AND('Statement of Marks'!DD54=""),"",IF(AND('Statement of Marks'!DD54="A"),'Marks Entry'!$AS$2,IF(AND('Statement of Marks'!DD54="B"),'Marks Entry'!$AW$2,IF(AND('Statement of Marks'!DD54="C"),'Marks Entry'!$AY$2,"")))))),"")</f>
        <v/>
      </c>
      <c r="T51" s="431" t="str">
        <f>IF(COUNTIF(K51:R51,"F")&gt;0,"",CONCATENATE('Statement of Marks'!GU54,'Statement of Marks'!GW54))</f>
        <v xml:space="preserve">           </v>
      </c>
      <c r="BG51" s="17">
        <f>IFERROR(VLOOKUP(B51,'Statement of Marks'!$B$8:'Statement of Marks'!$HI$207,41,0),"")</f>
        <v>15</v>
      </c>
      <c r="BH51" s="17" t="str">
        <f>IFERROR(VLOOKUP(B51,'Statement of Marks'!$B$8:'Statement of Marks'!$HI$207,66,0),"")</f>
        <v/>
      </c>
      <c r="BI51" s="17">
        <f>IFERROR(VLOOKUP(B51,'Statement of Marks'!$B$8:'Statement of Marks'!$HI$207,91,0),"")</f>
        <v>60</v>
      </c>
      <c r="BJ51" s="17" t="str">
        <f>IFERROR(VLOOKUP(B51,'Statement of Marks'!$B$8:'Statement of Marks'!$HI$207,117,0),"")</f>
        <v/>
      </c>
    </row>
    <row r="52" spans="1:62" ht="24.95" customHeight="1">
      <c r="A52" s="284">
        <f>IF('Statement of Marks'!A55="","",'Statement of Marks'!A55)</f>
        <v>48</v>
      </c>
      <c r="B52" s="284" t="str">
        <f>IF('Statement of Marks'!B55="","",'Statement of Marks'!B55)</f>
        <v/>
      </c>
      <c r="C52" s="284" t="str">
        <f>IF('Statement of Marks'!C55="","",'Statement of Marks'!C55)</f>
        <v/>
      </c>
      <c r="D52" s="426" t="str">
        <f>IF('Statement of Marks'!D55="","",'Statement of Marks'!D55)</f>
        <v/>
      </c>
      <c r="E52" s="427" t="str">
        <f>IF('Statement of Marks'!E55="","",'Statement of Marks'!E55)</f>
        <v/>
      </c>
      <c r="F52" s="427" t="str">
        <f>IF('Statement of Marks'!F55="","",'Statement of Marks'!F55)</f>
        <v/>
      </c>
      <c r="G52" s="427" t="str">
        <f>IF('Statement of Marks'!G55="","",'Statement of Marks'!G55)</f>
        <v/>
      </c>
      <c r="H52" s="428" t="str">
        <f>IF(B52="","",IF('Statement of Marks'!GY55="","",'Statement of Marks'!GY55))</f>
        <v/>
      </c>
      <c r="I52" s="287" t="str">
        <f>IF(B52="","",IF('Statement of Marks'!HB55="","",'Statement of Marks'!HB55))</f>
        <v/>
      </c>
      <c r="J52" s="429" t="str">
        <f>IF(B52="","",IF('Statement of Marks'!HC55="","",'Statement of Marks'!HC55))</f>
        <v/>
      </c>
      <c r="K52" s="296" t="str">
        <f>IF(B52="","",'Statement of Marks'!FJ55)</f>
        <v/>
      </c>
      <c r="L52" s="296" t="str">
        <f>IF(B52="","",'Statement of Marks'!FM55)</f>
        <v/>
      </c>
      <c r="M52" s="296" t="str">
        <f>IF(B52="","",'Statement of Marks'!FP55)</f>
        <v/>
      </c>
      <c r="N52" s="296" t="str">
        <f>IF(B52="","",'Statement of Marks'!FW55)</f>
        <v/>
      </c>
      <c r="O52" s="296" t="str">
        <f>IF(B52="","",'Statement of Marks'!GD55)</f>
        <v/>
      </c>
      <c r="P52" s="296" t="str">
        <f>IF(B52="","",'Statement of Marks'!GK55)</f>
        <v/>
      </c>
      <c r="Q52" s="296" t="str">
        <f>IF(B52="","",'Statement of Marks'!GR55)</f>
        <v/>
      </c>
      <c r="R52" s="296" t="str">
        <f>IF(B52="","",'Statement of Marks'!FF55)</f>
        <v/>
      </c>
      <c r="S52" s="430" t="str">
        <f>IFERROR(IF(B52="","",CONCATENATE(IF(AND('Marks Entry'!U55="A"),'Marks Entry'!$U$2,IF(AND('Marks Entry'!U55="B"),'Marks Entry'!$Y$2,IF(AND('Marks Entry'!U55="C"),'Marks Entry'!$AA$2,""))),", ",IF(AND('Marks Entry'!AC55="A"),'Marks Entry'!$AC$2,IF(AND('Marks Entry'!AC55="B"),'Marks Entry'!$AG$2,IF(AND('Marks Entry'!AC55="C"),'Marks Entry'!$AI$2,""))),", ",IF(AND('Marks Entry'!AK55="A"),'Marks Entry'!$AK$2,IF(AND('Marks Entry'!AK55="B"),'Marks Entry'!$AO$2,IF(AND('Marks Entry'!AK55="C"),'Marks Entry'!$AQ$2,""))),", ",IF(AND('Statement of Marks'!DD55=""),"",IF(AND('Statement of Marks'!DD55="A"),'Marks Entry'!$AS$2,IF(AND('Statement of Marks'!DD55="B"),'Marks Entry'!$AW$2,IF(AND('Statement of Marks'!DD55="C"),'Marks Entry'!$AY$2,"")))))),"")</f>
        <v/>
      </c>
      <c r="T52" s="431" t="str">
        <f>IF(COUNTIF(K52:R52,"F")&gt;0,"",CONCATENATE('Statement of Marks'!GU55,'Statement of Marks'!GW55))</f>
        <v xml:space="preserve">           </v>
      </c>
      <c r="BG52" s="17">
        <f>IFERROR(VLOOKUP(B52,'Statement of Marks'!$B$8:'Statement of Marks'!$HI$207,41,0),"")</f>
        <v>15</v>
      </c>
      <c r="BH52" s="17" t="str">
        <f>IFERROR(VLOOKUP(B52,'Statement of Marks'!$B$8:'Statement of Marks'!$HI$207,66,0),"")</f>
        <v/>
      </c>
      <c r="BI52" s="17">
        <f>IFERROR(VLOOKUP(B52,'Statement of Marks'!$B$8:'Statement of Marks'!$HI$207,91,0),"")</f>
        <v>60</v>
      </c>
      <c r="BJ52" s="17" t="str">
        <f>IFERROR(VLOOKUP(B52,'Statement of Marks'!$B$8:'Statement of Marks'!$HI$207,117,0),"")</f>
        <v/>
      </c>
    </row>
    <row r="53" spans="1:62" ht="24.95" customHeight="1">
      <c r="A53" s="284">
        <f>IF('Statement of Marks'!A56="","",'Statement of Marks'!A56)</f>
        <v>49</v>
      </c>
      <c r="B53" s="284" t="str">
        <f>IF('Statement of Marks'!B56="","",'Statement of Marks'!B56)</f>
        <v/>
      </c>
      <c r="C53" s="284" t="str">
        <f>IF('Statement of Marks'!C56="","",'Statement of Marks'!C56)</f>
        <v/>
      </c>
      <c r="D53" s="426" t="str">
        <f>IF('Statement of Marks'!D56="","",'Statement of Marks'!D56)</f>
        <v/>
      </c>
      <c r="E53" s="427" t="str">
        <f>IF('Statement of Marks'!E56="","",'Statement of Marks'!E56)</f>
        <v/>
      </c>
      <c r="F53" s="427" t="str">
        <f>IF('Statement of Marks'!F56="","",'Statement of Marks'!F56)</f>
        <v/>
      </c>
      <c r="G53" s="427" t="str">
        <f>IF('Statement of Marks'!G56="","",'Statement of Marks'!G56)</f>
        <v/>
      </c>
      <c r="H53" s="428" t="str">
        <f>IF(B53="","",IF('Statement of Marks'!GY56="","",'Statement of Marks'!GY56))</f>
        <v/>
      </c>
      <c r="I53" s="287" t="str">
        <f>IF(B53="","",IF('Statement of Marks'!HB56="","",'Statement of Marks'!HB56))</f>
        <v/>
      </c>
      <c r="J53" s="429" t="str">
        <f>IF(B53="","",IF('Statement of Marks'!HC56="","",'Statement of Marks'!HC56))</f>
        <v/>
      </c>
      <c r="K53" s="296" t="str">
        <f>IF(B53="","",'Statement of Marks'!FJ56)</f>
        <v/>
      </c>
      <c r="L53" s="296" t="str">
        <f>IF(B53="","",'Statement of Marks'!FM56)</f>
        <v/>
      </c>
      <c r="M53" s="296" t="str">
        <f>IF(B53="","",'Statement of Marks'!FP56)</f>
        <v/>
      </c>
      <c r="N53" s="296" t="str">
        <f>IF(B53="","",'Statement of Marks'!FW56)</f>
        <v/>
      </c>
      <c r="O53" s="296" t="str">
        <f>IF(B53="","",'Statement of Marks'!GD56)</f>
        <v/>
      </c>
      <c r="P53" s="296" t="str">
        <f>IF(B53="","",'Statement of Marks'!GK56)</f>
        <v/>
      </c>
      <c r="Q53" s="296" t="str">
        <f>IF(B53="","",'Statement of Marks'!GR56)</f>
        <v/>
      </c>
      <c r="R53" s="296" t="str">
        <f>IF(B53="","",'Statement of Marks'!FF56)</f>
        <v/>
      </c>
      <c r="S53" s="430" t="str">
        <f>IFERROR(IF(B53="","",CONCATENATE(IF(AND('Marks Entry'!U56="A"),'Marks Entry'!$U$2,IF(AND('Marks Entry'!U56="B"),'Marks Entry'!$Y$2,IF(AND('Marks Entry'!U56="C"),'Marks Entry'!$AA$2,""))),", ",IF(AND('Marks Entry'!AC56="A"),'Marks Entry'!$AC$2,IF(AND('Marks Entry'!AC56="B"),'Marks Entry'!$AG$2,IF(AND('Marks Entry'!AC56="C"),'Marks Entry'!$AI$2,""))),", ",IF(AND('Marks Entry'!AK56="A"),'Marks Entry'!$AK$2,IF(AND('Marks Entry'!AK56="B"),'Marks Entry'!$AO$2,IF(AND('Marks Entry'!AK56="C"),'Marks Entry'!$AQ$2,""))),", ",IF(AND('Statement of Marks'!DD56=""),"",IF(AND('Statement of Marks'!DD56="A"),'Marks Entry'!$AS$2,IF(AND('Statement of Marks'!DD56="B"),'Marks Entry'!$AW$2,IF(AND('Statement of Marks'!DD56="C"),'Marks Entry'!$AY$2,"")))))),"")</f>
        <v/>
      </c>
      <c r="T53" s="431" t="str">
        <f>IF(COUNTIF(K53:R53,"F")&gt;0,"",CONCATENATE('Statement of Marks'!GU56,'Statement of Marks'!GW56))</f>
        <v xml:space="preserve">           </v>
      </c>
      <c r="BG53" s="17">
        <f>IFERROR(VLOOKUP(B53,'Statement of Marks'!$B$8:'Statement of Marks'!$HI$207,41,0),"")</f>
        <v>15</v>
      </c>
      <c r="BH53" s="17" t="str">
        <f>IFERROR(VLOOKUP(B53,'Statement of Marks'!$B$8:'Statement of Marks'!$HI$207,66,0),"")</f>
        <v/>
      </c>
      <c r="BI53" s="17">
        <f>IFERROR(VLOOKUP(B53,'Statement of Marks'!$B$8:'Statement of Marks'!$HI$207,91,0),"")</f>
        <v>60</v>
      </c>
      <c r="BJ53" s="17" t="str">
        <f>IFERROR(VLOOKUP(B53,'Statement of Marks'!$B$8:'Statement of Marks'!$HI$207,117,0),"")</f>
        <v/>
      </c>
    </row>
    <row r="54" spans="1:62" ht="24.95" customHeight="1">
      <c r="A54" s="284">
        <f>IF('Statement of Marks'!A57="","",'Statement of Marks'!A57)</f>
        <v>50</v>
      </c>
      <c r="B54" s="284" t="str">
        <f>IF('Statement of Marks'!B57="","",'Statement of Marks'!B57)</f>
        <v/>
      </c>
      <c r="C54" s="284" t="str">
        <f>IF('Statement of Marks'!C57="","",'Statement of Marks'!C57)</f>
        <v/>
      </c>
      <c r="D54" s="426" t="str">
        <f>IF('Statement of Marks'!D57="","",'Statement of Marks'!D57)</f>
        <v/>
      </c>
      <c r="E54" s="427" t="str">
        <f>IF('Statement of Marks'!E57="","",'Statement of Marks'!E57)</f>
        <v/>
      </c>
      <c r="F54" s="427" t="str">
        <f>IF('Statement of Marks'!F57="","",'Statement of Marks'!F57)</f>
        <v/>
      </c>
      <c r="G54" s="427" t="str">
        <f>IF('Statement of Marks'!G57="","",'Statement of Marks'!G57)</f>
        <v/>
      </c>
      <c r="H54" s="428" t="str">
        <f>IF(B54="","",IF('Statement of Marks'!GY57="","",'Statement of Marks'!GY57))</f>
        <v/>
      </c>
      <c r="I54" s="287" t="str">
        <f>IF(B54="","",IF('Statement of Marks'!HB57="","",'Statement of Marks'!HB57))</f>
        <v/>
      </c>
      <c r="J54" s="429" t="str">
        <f>IF(B54="","",IF('Statement of Marks'!HC57="","",'Statement of Marks'!HC57))</f>
        <v/>
      </c>
      <c r="K54" s="296" t="str">
        <f>IF(B54="","",'Statement of Marks'!FJ57)</f>
        <v/>
      </c>
      <c r="L54" s="296" t="str">
        <f>IF(B54="","",'Statement of Marks'!FM57)</f>
        <v/>
      </c>
      <c r="M54" s="296" t="str">
        <f>IF(B54="","",'Statement of Marks'!FP57)</f>
        <v/>
      </c>
      <c r="N54" s="296" t="str">
        <f>IF(B54="","",'Statement of Marks'!FW57)</f>
        <v/>
      </c>
      <c r="O54" s="296" t="str">
        <f>IF(B54="","",'Statement of Marks'!GD57)</f>
        <v/>
      </c>
      <c r="P54" s="296" t="str">
        <f>IF(B54="","",'Statement of Marks'!GK57)</f>
        <v/>
      </c>
      <c r="Q54" s="296" t="str">
        <f>IF(B54="","",'Statement of Marks'!GR57)</f>
        <v/>
      </c>
      <c r="R54" s="296" t="str">
        <f>IF(B54="","",'Statement of Marks'!FF57)</f>
        <v/>
      </c>
      <c r="S54" s="430" t="str">
        <f>IFERROR(IF(B54="","",CONCATENATE(IF(AND('Marks Entry'!U57="A"),'Marks Entry'!$U$2,IF(AND('Marks Entry'!U57="B"),'Marks Entry'!$Y$2,IF(AND('Marks Entry'!U57="C"),'Marks Entry'!$AA$2,""))),", ",IF(AND('Marks Entry'!AC57="A"),'Marks Entry'!$AC$2,IF(AND('Marks Entry'!AC57="B"),'Marks Entry'!$AG$2,IF(AND('Marks Entry'!AC57="C"),'Marks Entry'!$AI$2,""))),", ",IF(AND('Marks Entry'!AK57="A"),'Marks Entry'!$AK$2,IF(AND('Marks Entry'!AK57="B"),'Marks Entry'!$AO$2,IF(AND('Marks Entry'!AK57="C"),'Marks Entry'!$AQ$2,""))),", ",IF(AND('Statement of Marks'!DD57=""),"",IF(AND('Statement of Marks'!DD57="A"),'Marks Entry'!$AS$2,IF(AND('Statement of Marks'!DD57="B"),'Marks Entry'!$AW$2,IF(AND('Statement of Marks'!DD57="C"),'Marks Entry'!$AY$2,"")))))),"")</f>
        <v/>
      </c>
      <c r="T54" s="431" t="str">
        <f>IF(COUNTIF(K54:R54,"F")&gt;0,"",CONCATENATE('Statement of Marks'!GU57,'Statement of Marks'!GW57))</f>
        <v xml:space="preserve">           </v>
      </c>
      <c r="BG54" s="17">
        <f>IFERROR(VLOOKUP(B54,'Statement of Marks'!$B$8:'Statement of Marks'!$HI$207,41,0),"")</f>
        <v>15</v>
      </c>
      <c r="BH54" s="17" t="str">
        <f>IFERROR(VLOOKUP(B54,'Statement of Marks'!$B$8:'Statement of Marks'!$HI$207,66,0),"")</f>
        <v/>
      </c>
      <c r="BI54" s="17">
        <f>IFERROR(VLOOKUP(B54,'Statement of Marks'!$B$8:'Statement of Marks'!$HI$207,91,0),"")</f>
        <v>60</v>
      </c>
      <c r="BJ54" s="17" t="str">
        <f>IFERROR(VLOOKUP(B54,'Statement of Marks'!$B$8:'Statement of Marks'!$HI$207,117,0),"")</f>
        <v/>
      </c>
    </row>
    <row r="55" spans="1:62" ht="24.95" customHeight="1">
      <c r="A55" s="284">
        <f>IF('Statement of Marks'!A58="","",'Statement of Marks'!A58)</f>
        <v>51</v>
      </c>
      <c r="B55" s="284" t="str">
        <f>IF('Statement of Marks'!B58="","",'Statement of Marks'!B58)</f>
        <v/>
      </c>
      <c r="C55" s="284" t="str">
        <f>IF('Statement of Marks'!C58="","",'Statement of Marks'!C58)</f>
        <v/>
      </c>
      <c r="D55" s="426" t="str">
        <f>IF('Statement of Marks'!D58="","",'Statement of Marks'!D58)</f>
        <v/>
      </c>
      <c r="E55" s="427" t="str">
        <f>IF('Statement of Marks'!E58="","",'Statement of Marks'!E58)</f>
        <v/>
      </c>
      <c r="F55" s="427" t="str">
        <f>IF('Statement of Marks'!F58="","",'Statement of Marks'!F58)</f>
        <v/>
      </c>
      <c r="G55" s="427" t="str">
        <f>IF('Statement of Marks'!G58="","",'Statement of Marks'!G58)</f>
        <v/>
      </c>
      <c r="H55" s="428" t="str">
        <f>IF(B55="","",IF('Statement of Marks'!GY58="","",'Statement of Marks'!GY58))</f>
        <v/>
      </c>
      <c r="I55" s="287" t="str">
        <f>IF(B55="","",IF('Statement of Marks'!HB58="","",'Statement of Marks'!HB58))</f>
        <v/>
      </c>
      <c r="J55" s="429" t="str">
        <f>IF(B55="","",IF('Statement of Marks'!HC58="","",'Statement of Marks'!HC58))</f>
        <v/>
      </c>
      <c r="K55" s="296" t="str">
        <f>IF(B55="","",'Statement of Marks'!FJ58)</f>
        <v/>
      </c>
      <c r="L55" s="296" t="str">
        <f>IF(B55="","",'Statement of Marks'!FM58)</f>
        <v/>
      </c>
      <c r="M55" s="296" t="str">
        <f>IF(B55="","",'Statement of Marks'!FP58)</f>
        <v/>
      </c>
      <c r="N55" s="296" t="str">
        <f>IF(B55="","",'Statement of Marks'!FW58)</f>
        <v/>
      </c>
      <c r="O55" s="296" t="str">
        <f>IF(B55="","",'Statement of Marks'!GD58)</f>
        <v/>
      </c>
      <c r="P55" s="296" t="str">
        <f>IF(B55="","",'Statement of Marks'!GK58)</f>
        <v/>
      </c>
      <c r="Q55" s="296" t="str">
        <f>IF(B55="","",'Statement of Marks'!GR58)</f>
        <v/>
      </c>
      <c r="R55" s="296" t="str">
        <f>IF(B55="","",'Statement of Marks'!FF58)</f>
        <v/>
      </c>
      <c r="S55" s="430" t="str">
        <f>IFERROR(IF(B55="","",CONCATENATE(IF(AND('Marks Entry'!U58="A"),'Marks Entry'!$U$2,IF(AND('Marks Entry'!U58="B"),'Marks Entry'!$Y$2,IF(AND('Marks Entry'!U58="C"),'Marks Entry'!$AA$2,""))),", ",IF(AND('Marks Entry'!AC58="A"),'Marks Entry'!$AC$2,IF(AND('Marks Entry'!AC58="B"),'Marks Entry'!$AG$2,IF(AND('Marks Entry'!AC58="C"),'Marks Entry'!$AI$2,""))),", ",IF(AND('Marks Entry'!AK58="A"),'Marks Entry'!$AK$2,IF(AND('Marks Entry'!AK58="B"),'Marks Entry'!$AO$2,IF(AND('Marks Entry'!AK58="C"),'Marks Entry'!$AQ$2,""))),", ",IF(AND('Statement of Marks'!DD58=""),"",IF(AND('Statement of Marks'!DD58="A"),'Marks Entry'!$AS$2,IF(AND('Statement of Marks'!DD58="B"),'Marks Entry'!$AW$2,IF(AND('Statement of Marks'!DD58="C"),'Marks Entry'!$AY$2,"")))))),"")</f>
        <v/>
      </c>
      <c r="T55" s="431" t="str">
        <f>IF(COUNTIF(K55:R55,"F")&gt;0,"",CONCATENATE('Statement of Marks'!GU58,'Statement of Marks'!GW58))</f>
        <v xml:space="preserve">           </v>
      </c>
      <c r="BG55" s="17">
        <f>IFERROR(VLOOKUP(B55,'Statement of Marks'!$B$8:'Statement of Marks'!$HI$207,41,0),"")</f>
        <v>15</v>
      </c>
      <c r="BH55" s="17" t="str">
        <f>IFERROR(VLOOKUP(B55,'Statement of Marks'!$B$8:'Statement of Marks'!$HI$207,66,0),"")</f>
        <v/>
      </c>
      <c r="BI55" s="17">
        <f>IFERROR(VLOOKUP(B55,'Statement of Marks'!$B$8:'Statement of Marks'!$HI$207,91,0),"")</f>
        <v>60</v>
      </c>
      <c r="BJ55" s="17" t="str">
        <f>IFERROR(VLOOKUP(B55,'Statement of Marks'!$B$8:'Statement of Marks'!$HI$207,117,0),"")</f>
        <v/>
      </c>
    </row>
    <row r="56" spans="1:62" ht="24.95" customHeight="1">
      <c r="A56" s="284">
        <f>IF('Statement of Marks'!A59="","",'Statement of Marks'!A59)</f>
        <v>52</v>
      </c>
      <c r="B56" s="284" t="str">
        <f>IF('Statement of Marks'!B59="","",'Statement of Marks'!B59)</f>
        <v/>
      </c>
      <c r="C56" s="284" t="str">
        <f>IF('Statement of Marks'!C59="","",'Statement of Marks'!C59)</f>
        <v/>
      </c>
      <c r="D56" s="426" t="str">
        <f>IF('Statement of Marks'!D59="","",'Statement of Marks'!D59)</f>
        <v/>
      </c>
      <c r="E56" s="427" t="str">
        <f>IF('Statement of Marks'!E59="","",'Statement of Marks'!E59)</f>
        <v/>
      </c>
      <c r="F56" s="427" t="str">
        <f>IF('Statement of Marks'!F59="","",'Statement of Marks'!F59)</f>
        <v/>
      </c>
      <c r="G56" s="427" t="str">
        <f>IF('Statement of Marks'!G59="","",'Statement of Marks'!G59)</f>
        <v/>
      </c>
      <c r="H56" s="428" t="str">
        <f>IF(B56="","",IF('Statement of Marks'!GY59="","",'Statement of Marks'!GY59))</f>
        <v/>
      </c>
      <c r="I56" s="287" t="str">
        <f>IF(B56="","",IF('Statement of Marks'!HB59="","",'Statement of Marks'!HB59))</f>
        <v/>
      </c>
      <c r="J56" s="429" t="str">
        <f>IF(B56="","",IF('Statement of Marks'!HC59="","",'Statement of Marks'!HC59))</f>
        <v/>
      </c>
      <c r="K56" s="296" t="str">
        <f>IF(B56="","",'Statement of Marks'!FJ59)</f>
        <v/>
      </c>
      <c r="L56" s="296" t="str">
        <f>IF(B56="","",'Statement of Marks'!FM59)</f>
        <v/>
      </c>
      <c r="M56" s="296" t="str">
        <f>IF(B56="","",'Statement of Marks'!FP59)</f>
        <v/>
      </c>
      <c r="N56" s="296" t="str">
        <f>IF(B56="","",'Statement of Marks'!FW59)</f>
        <v/>
      </c>
      <c r="O56" s="296" t="str">
        <f>IF(B56="","",'Statement of Marks'!GD59)</f>
        <v/>
      </c>
      <c r="P56" s="296" t="str">
        <f>IF(B56="","",'Statement of Marks'!GK59)</f>
        <v/>
      </c>
      <c r="Q56" s="296" t="str">
        <f>IF(B56="","",'Statement of Marks'!GR59)</f>
        <v/>
      </c>
      <c r="R56" s="296" t="str">
        <f>IF(B56="","",'Statement of Marks'!FF59)</f>
        <v/>
      </c>
      <c r="S56" s="430" t="str">
        <f>IFERROR(IF(B56="","",CONCATENATE(IF(AND('Marks Entry'!U59="A"),'Marks Entry'!$U$2,IF(AND('Marks Entry'!U59="B"),'Marks Entry'!$Y$2,IF(AND('Marks Entry'!U59="C"),'Marks Entry'!$AA$2,""))),", ",IF(AND('Marks Entry'!AC59="A"),'Marks Entry'!$AC$2,IF(AND('Marks Entry'!AC59="B"),'Marks Entry'!$AG$2,IF(AND('Marks Entry'!AC59="C"),'Marks Entry'!$AI$2,""))),", ",IF(AND('Marks Entry'!AK59="A"),'Marks Entry'!$AK$2,IF(AND('Marks Entry'!AK59="B"),'Marks Entry'!$AO$2,IF(AND('Marks Entry'!AK59="C"),'Marks Entry'!$AQ$2,""))),", ",IF(AND('Statement of Marks'!DD59=""),"",IF(AND('Statement of Marks'!DD59="A"),'Marks Entry'!$AS$2,IF(AND('Statement of Marks'!DD59="B"),'Marks Entry'!$AW$2,IF(AND('Statement of Marks'!DD59="C"),'Marks Entry'!$AY$2,"")))))),"")</f>
        <v/>
      </c>
      <c r="T56" s="431" t="str">
        <f>IF(COUNTIF(K56:R56,"F")&gt;0,"",CONCATENATE('Statement of Marks'!GU59,'Statement of Marks'!GW59))</f>
        <v xml:space="preserve">           </v>
      </c>
      <c r="BG56" s="17">
        <f>IFERROR(VLOOKUP(B56,'Statement of Marks'!$B$8:'Statement of Marks'!$HI$207,41,0),"")</f>
        <v>15</v>
      </c>
      <c r="BH56" s="17" t="str">
        <f>IFERROR(VLOOKUP(B56,'Statement of Marks'!$B$8:'Statement of Marks'!$HI$207,66,0),"")</f>
        <v/>
      </c>
      <c r="BI56" s="17">
        <f>IFERROR(VLOOKUP(B56,'Statement of Marks'!$B$8:'Statement of Marks'!$HI$207,91,0),"")</f>
        <v>60</v>
      </c>
      <c r="BJ56" s="17" t="str">
        <f>IFERROR(VLOOKUP(B56,'Statement of Marks'!$B$8:'Statement of Marks'!$HI$207,117,0),"")</f>
        <v/>
      </c>
    </row>
    <row r="57" spans="1:62" ht="24.95" customHeight="1">
      <c r="A57" s="284">
        <f>IF('Statement of Marks'!A60="","",'Statement of Marks'!A60)</f>
        <v>53</v>
      </c>
      <c r="B57" s="284" t="str">
        <f>IF('Statement of Marks'!B60="","",'Statement of Marks'!B60)</f>
        <v/>
      </c>
      <c r="C57" s="284" t="str">
        <f>IF('Statement of Marks'!C60="","",'Statement of Marks'!C60)</f>
        <v/>
      </c>
      <c r="D57" s="426" t="str">
        <f>IF('Statement of Marks'!D60="","",'Statement of Marks'!D60)</f>
        <v/>
      </c>
      <c r="E57" s="427" t="str">
        <f>IF('Statement of Marks'!E60="","",'Statement of Marks'!E60)</f>
        <v/>
      </c>
      <c r="F57" s="427" t="str">
        <f>IF('Statement of Marks'!F60="","",'Statement of Marks'!F60)</f>
        <v/>
      </c>
      <c r="G57" s="427" t="str">
        <f>IF('Statement of Marks'!G60="","",'Statement of Marks'!G60)</f>
        <v/>
      </c>
      <c r="H57" s="428" t="str">
        <f>IF(B57="","",IF('Statement of Marks'!GY60="","",'Statement of Marks'!GY60))</f>
        <v/>
      </c>
      <c r="I57" s="287" t="str">
        <f>IF(B57="","",IF('Statement of Marks'!HB60="","",'Statement of Marks'!HB60))</f>
        <v/>
      </c>
      <c r="J57" s="429" t="str">
        <f>IF(B57="","",IF('Statement of Marks'!HC60="","",'Statement of Marks'!HC60))</f>
        <v/>
      </c>
      <c r="K57" s="296" t="str">
        <f>IF(B57="","",'Statement of Marks'!FJ60)</f>
        <v/>
      </c>
      <c r="L57" s="296" t="str">
        <f>IF(B57="","",'Statement of Marks'!FM60)</f>
        <v/>
      </c>
      <c r="M57" s="296" t="str">
        <f>IF(B57="","",'Statement of Marks'!FP60)</f>
        <v/>
      </c>
      <c r="N57" s="296" t="str">
        <f>IF(B57="","",'Statement of Marks'!FW60)</f>
        <v/>
      </c>
      <c r="O57" s="296" t="str">
        <f>IF(B57="","",'Statement of Marks'!GD60)</f>
        <v/>
      </c>
      <c r="P57" s="296" t="str">
        <f>IF(B57="","",'Statement of Marks'!GK60)</f>
        <v/>
      </c>
      <c r="Q57" s="296" t="str">
        <f>IF(B57="","",'Statement of Marks'!GR60)</f>
        <v/>
      </c>
      <c r="R57" s="296" t="str">
        <f>IF(B57="","",'Statement of Marks'!FF60)</f>
        <v/>
      </c>
      <c r="S57" s="430" t="str">
        <f>IFERROR(IF(B57="","",CONCATENATE(IF(AND('Marks Entry'!U60="A"),'Marks Entry'!$U$2,IF(AND('Marks Entry'!U60="B"),'Marks Entry'!$Y$2,IF(AND('Marks Entry'!U60="C"),'Marks Entry'!$AA$2,""))),", ",IF(AND('Marks Entry'!AC60="A"),'Marks Entry'!$AC$2,IF(AND('Marks Entry'!AC60="B"),'Marks Entry'!$AG$2,IF(AND('Marks Entry'!AC60="C"),'Marks Entry'!$AI$2,""))),", ",IF(AND('Marks Entry'!AK60="A"),'Marks Entry'!$AK$2,IF(AND('Marks Entry'!AK60="B"),'Marks Entry'!$AO$2,IF(AND('Marks Entry'!AK60="C"),'Marks Entry'!$AQ$2,""))),", ",IF(AND('Statement of Marks'!DD60=""),"",IF(AND('Statement of Marks'!DD60="A"),'Marks Entry'!$AS$2,IF(AND('Statement of Marks'!DD60="B"),'Marks Entry'!$AW$2,IF(AND('Statement of Marks'!DD60="C"),'Marks Entry'!$AY$2,"")))))),"")</f>
        <v/>
      </c>
      <c r="T57" s="431" t="str">
        <f>IF(COUNTIF(K57:R57,"F")&gt;0,"",CONCATENATE('Statement of Marks'!GU60,'Statement of Marks'!GW60))</f>
        <v xml:space="preserve">           </v>
      </c>
      <c r="BG57" s="17">
        <f>IFERROR(VLOOKUP(B57,'Statement of Marks'!$B$8:'Statement of Marks'!$HI$207,41,0),"")</f>
        <v>15</v>
      </c>
      <c r="BH57" s="17" t="str">
        <f>IFERROR(VLOOKUP(B57,'Statement of Marks'!$B$8:'Statement of Marks'!$HI$207,66,0),"")</f>
        <v/>
      </c>
      <c r="BI57" s="17">
        <f>IFERROR(VLOOKUP(B57,'Statement of Marks'!$B$8:'Statement of Marks'!$HI$207,91,0),"")</f>
        <v>60</v>
      </c>
      <c r="BJ57" s="17" t="str">
        <f>IFERROR(VLOOKUP(B57,'Statement of Marks'!$B$8:'Statement of Marks'!$HI$207,117,0),"")</f>
        <v/>
      </c>
    </row>
    <row r="58" spans="1:62" ht="24.95" customHeight="1">
      <c r="A58" s="284">
        <f>IF('Statement of Marks'!A61="","",'Statement of Marks'!A61)</f>
        <v>54</v>
      </c>
      <c r="B58" s="284" t="str">
        <f>IF('Statement of Marks'!B61="","",'Statement of Marks'!B61)</f>
        <v/>
      </c>
      <c r="C58" s="284" t="str">
        <f>IF('Statement of Marks'!C61="","",'Statement of Marks'!C61)</f>
        <v/>
      </c>
      <c r="D58" s="426" t="str">
        <f>IF('Statement of Marks'!D61="","",'Statement of Marks'!D61)</f>
        <v/>
      </c>
      <c r="E58" s="427" t="str">
        <f>IF('Statement of Marks'!E61="","",'Statement of Marks'!E61)</f>
        <v/>
      </c>
      <c r="F58" s="427" t="str">
        <f>IF('Statement of Marks'!F61="","",'Statement of Marks'!F61)</f>
        <v/>
      </c>
      <c r="G58" s="427" t="str">
        <f>IF('Statement of Marks'!G61="","",'Statement of Marks'!G61)</f>
        <v/>
      </c>
      <c r="H58" s="428" t="str">
        <f>IF(B58="","",IF('Statement of Marks'!GY61="","",'Statement of Marks'!GY61))</f>
        <v/>
      </c>
      <c r="I58" s="287" t="str">
        <f>IF(B58="","",IF('Statement of Marks'!HB61="","",'Statement of Marks'!HB61))</f>
        <v/>
      </c>
      <c r="J58" s="429" t="str">
        <f>IF(B58="","",IF('Statement of Marks'!HC61="","",'Statement of Marks'!HC61))</f>
        <v/>
      </c>
      <c r="K58" s="296" t="str">
        <f>IF(B58="","",'Statement of Marks'!FJ61)</f>
        <v/>
      </c>
      <c r="L58" s="296" t="str">
        <f>IF(B58="","",'Statement of Marks'!FM61)</f>
        <v/>
      </c>
      <c r="M58" s="296" t="str">
        <f>IF(B58="","",'Statement of Marks'!FP61)</f>
        <v/>
      </c>
      <c r="N58" s="296" t="str">
        <f>IF(B58="","",'Statement of Marks'!FW61)</f>
        <v/>
      </c>
      <c r="O58" s="296" t="str">
        <f>IF(B58="","",'Statement of Marks'!GD61)</f>
        <v/>
      </c>
      <c r="P58" s="296" t="str">
        <f>IF(B58="","",'Statement of Marks'!GK61)</f>
        <v/>
      </c>
      <c r="Q58" s="296" t="str">
        <f>IF(B58="","",'Statement of Marks'!GR61)</f>
        <v/>
      </c>
      <c r="R58" s="296" t="str">
        <f>IF(B58="","",'Statement of Marks'!FF61)</f>
        <v/>
      </c>
      <c r="S58" s="430" t="str">
        <f>IFERROR(IF(B58="","",CONCATENATE(IF(AND('Marks Entry'!U61="A"),'Marks Entry'!$U$2,IF(AND('Marks Entry'!U61="B"),'Marks Entry'!$Y$2,IF(AND('Marks Entry'!U61="C"),'Marks Entry'!$AA$2,""))),", ",IF(AND('Marks Entry'!AC61="A"),'Marks Entry'!$AC$2,IF(AND('Marks Entry'!AC61="B"),'Marks Entry'!$AG$2,IF(AND('Marks Entry'!AC61="C"),'Marks Entry'!$AI$2,""))),", ",IF(AND('Marks Entry'!AK61="A"),'Marks Entry'!$AK$2,IF(AND('Marks Entry'!AK61="B"),'Marks Entry'!$AO$2,IF(AND('Marks Entry'!AK61="C"),'Marks Entry'!$AQ$2,""))),", ",IF(AND('Statement of Marks'!DD61=""),"",IF(AND('Statement of Marks'!DD61="A"),'Marks Entry'!$AS$2,IF(AND('Statement of Marks'!DD61="B"),'Marks Entry'!$AW$2,IF(AND('Statement of Marks'!DD61="C"),'Marks Entry'!$AY$2,"")))))),"")</f>
        <v/>
      </c>
      <c r="T58" s="431" t="str">
        <f>IF(COUNTIF(K58:R58,"F")&gt;0,"",CONCATENATE('Statement of Marks'!GU61,'Statement of Marks'!GW61))</f>
        <v xml:space="preserve">           </v>
      </c>
      <c r="BG58" s="17">
        <f>IFERROR(VLOOKUP(B58,'Statement of Marks'!$B$8:'Statement of Marks'!$HI$207,41,0),"")</f>
        <v>15</v>
      </c>
      <c r="BH58" s="17" t="str">
        <f>IFERROR(VLOOKUP(B58,'Statement of Marks'!$B$8:'Statement of Marks'!$HI$207,66,0),"")</f>
        <v/>
      </c>
      <c r="BI58" s="17">
        <f>IFERROR(VLOOKUP(B58,'Statement of Marks'!$B$8:'Statement of Marks'!$HI$207,91,0),"")</f>
        <v>60</v>
      </c>
      <c r="BJ58" s="17" t="str">
        <f>IFERROR(VLOOKUP(B58,'Statement of Marks'!$B$8:'Statement of Marks'!$HI$207,117,0),"")</f>
        <v/>
      </c>
    </row>
    <row r="59" spans="1:62" ht="24.95" customHeight="1">
      <c r="A59" s="284">
        <f>IF('Statement of Marks'!A62="","",'Statement of Marks'!A62)</f>
        <v>55</v>
      </c>
      <c r="B59" s="284" t="str">
        <f>IF('Statement of Marks'!B62="","",'Statement of Marks'!B62)</f>
        <v/>
      </c>
      <c r="C59" s="284" t="str">
        <f>IF('Statement of Marks'!C62="","",'Statement of Marks'!C62)</f>
        <v/>
      </c>
      <c r="D59" s="426" t="str">
        <f>IF('Statement of Marks'!D62="","",'Statement of Marks'!D62)</f>
        <v/>
      </c>
      <c r="E59" s="427" t="str">
        <f>IF('Statement of Marks'!E62="","",'Statement of Marks'!E62)</f>
        <v/>
      </c>
      <c r="F59" s="427" t="str">
        <f>IF('Statement of Marks'!F62="","",'Statement of Marks'!F62)</f>
        <v/>
      </c>
      <c r="G59" s="427" t="str">
        <f>IF('Statement of Marks'!G62="","",'Statement of Marks'!G62)</f>
        <v/>
      </c>
      <c r="H59" s="428" t="str">
        <f>IF(B59="","",IF('Statement of Marks'!GY62="","",'Statement of Marks'!GY62))</f>
        <v/>
      </c>
      <c r="I59" s="287" t="str">
        <f>IF(B59="","",IF('Statement of Marks'!HB62="","",'Statement of Marks'!HB62))</f>
        <v/>
      </c>
      <c r="J59" s="429" t="str">
        <f>IF(B59="","",IF('Statement of Marks'!HC62="","",'Statement of Marks'!HC62))</f>
        <v/>
      </c>
      <c r="K59" s="296" t="str">
        <f>IF(B59="","",'Statement of Marks'!FJ62)</f>
        <v/>
      </c>
      <c r="L59" s="296" t="str">
        <f>IF(B59="","",'Statement of Marks'!FM62)</f>
        <v/>
      </c>
      <c r="M59" s="296" t="str">
        <f>IF(B59="","",'Statement of Marks'!FP62)</f>
        <v/>
      </c>
      <c r="N59" s="296" t="str">
        <f>IF(B59="","",'Statement of Marks'!FW62)</f>
        <v/>
      </c>
      <c r="O59" s="296" t="str">
        <f>IF(B59="","",'Statement of Marks'!GD62)</f>
        <v/>
      </c>
      <c r="P59" s="296" t="str">
        <f>IF(B59="","",'Statement of Marks'!GK62)</f>
        <v/>
      </c>
      <c r="Q59" s="296" t="str">
        <f>IF(B59="","",'Statement of Marks'!GR62)</f>
        <v/>
      </c>
      <c r="R59" s="296" t="str">
        <f>IF(B59="","",'Statement of Marks'!FF62)</f>
        <v/>
      </c>
      <c r="S59" s="430" t="str">
        <f>IFERROR(IF(B59="","",CONCATENATE(IF(AND('Marks Entry'!U62="A"),'Marks Entry'!$U$2,IF(AND('Marks Entry'!U62="B"),'Marks Entry'!$Y$2,IF(AND('Marks Entry'!U62="C"),'Marks Entry'!$AA$2,""))),", ",IF(AND('Marks Entry'!AC62="A"),'Marks Entry'!$AC$2,IF(AND('Marks Entry'!AC62="B"),'Marks Entry'!$AG$2,IF(AND('Marks Entry'!AC62="C"),'Marks Entry'!$AI$2,""))),", ",IF(AND('Marks Entry'!AK62="A"),'Marks Entry'!$AK$2,IF(AND('Marks Entry'!AK62="B"),'Marks Entry'!$AO$2,IF(AND('Marks Entry'!AK62="C"),'Marks Entry'!$AQ$2,""))),", ",IF(AND('Statement of Marks'!DD62=""),"",IF(AND('Statement of Marks'!DD62="A"),'Marks Entry'!$AS$2,IF(AND('Statement of Marks'!DD62="B"),'Marks Entry'!$AW$2,IF(AND('Statement of Marks'!DD62="C"),'Marks Entry'!$AY$2,"")))))),"")</f>
        <v/>
      </c>
      <c r="T59" s="431" t="str">
        <f>IF(COUNTIF(K59:R59,"F")&gt;0,"",CONCATENATE('Statement of Marks'!GU62,'Statement of Marks'!GW62))</f>
        <v xml:space="preserve">           </v>
      </c>
      <c r="BG59" s="17">
        <f>IFERROR(VLOOKUP(B59,'Statement of Marks'!$B$8:'Statement of Marks'!$HI$207,41,0),"")</f>
        <v>15</v>
      </c>
      <c r="BH59" s="17" t="str">
        <f>IFERROR(VLOOKUP(B59,'Statement of Marks'!$B$8:'Statement of Marks'!$HI$207,66,0),"")</f>
        <v/>
      </c>
      <c r="BI59" s="17">
        <f>IFERROR(VLOOKUP(B59,'Statement of Marks'!$B$8:'Statement of Marks'!$HI$207,91,0),"")</f>
        <v>60</v>
      </c>
      <c r="BJ59" s="17" t="str">
        <f>IFERROR(VLOOKUP(B59,'Statement of Marks'!$B$8:'Statement of Marks'!$HI$207,117,0),"")</f>
        <v/>
      </c>
    </row>
    <row r="60" spans="1:62" ht="24.95" customHeight="1">
      <c r="A60" s="284">
        <f>IF('Statement of Marks'!A63="","",'Statement of Marks'!A63)</f>
        <v>56</v>
      </c>
      <c r="B60" s="284" t="str">
        <f>IF('Statement of Marks'!B63="","",'Statement of Marks'!B63)</f>
        <v/>
      </c>
      <c r="C60" s="284" t="str">
        <f>IF('Statement of Marks'!C63="","",'Statement of Marks'!C63)</f>
        <v/>
      </c>
      <c r="D60" s="426" t="str">
        <f>IF('Statement of Marks'!D63="","",'Statement of Marks'!D63)</f>
        <v/>
      </c>
      <c r="E60" s="427" t="str">
        <f>IF('Statement of Marks'!E63="","",'Statement of Marks'!E63)</f>
        <v/>
      </c>
      <c r="F60" s="427" t="str">
        <f>IF('Statement of Marks'!F63="","",'Statement of Marks'!F63)</f>
        <v/>
      </c>
      <c r="G60" s="427" t="str">
        <f>IF('Statement of Marks'!G63="","",'Statement of Marks'!G63)</f>
        <v/>
      </c>
      <c r="H60" s="428" t="str">
        <f>IF(B60="","",IF('Statement of Marks'!GY63="","",'Statement of Marks'!GY63))</f>
        <v/>
      </c>
      <c r="I60" s="287" t="str">
        <f>IF(B60="","",IF('Statement of Marks'!HB63="","",'Statement of Marks'!HB63))</f>
        <v/>
      </c>
      <c r="J60" s="429" t="str">
        <f>IF(B60="","",IF('Statement of Marks'!HC63="","",'Statement of Marks'!HC63))</f>
        <v/>
      </c>
      <c r="K60" s="296" t="str">
        <f>IF(B60="","",'Statement of Marks'!FJ63)</f>
        <v/>
      </c>
      <c r="L60" s="296" t="str">
        <f>IF(B60="","",'Statement of Marks'!FM63)</f>
        <v/>
      </c>
      <c r="M60" s="296" t="str">
        <f>IF(B60="","",'Statement of Marks'!FP63)</f>
        <v/>
      </c>
      <c r="N60" s="296" t="str">
        <f>IF(B60="","",'Statement of Marks'!FW63)</f>
        <v/>
      </c>
      <c r="O60" s="296" t="str">
        <f>IF(B60="","",'Statement of Marks'!GD63)</f>
        <v/>
      </c>
      <c r="P60" s="296" t="str">
        <f>IF(B60="","",'Statement of Marks'!GK63)</f>
        <v/>
      </c>
      <c r="Q60" s="296" t="str">
        <f>IF(B60="","",'Statement of Marks'!GR63)</f>
        <v/>
      </c>
      <c r="R60" s="296" t="str">
        <f>IF(B60="","",'Statement of Marks'!FF63)</f>
        <v/>
      </c>
      <c r="S60" s="430" t="str">
        <f>IFERROR(IF(B60="","",CONCATENATE(IF(AND('Marks Entry'!U63="A"),'Marks Entry'!$U$2,IF(AND('Marks Entry'!U63="B"),'Marks Entry'!$Y$2,IF(AND('Marks Entry'!U63="C"),'Marks Entry'!$AA$2,""))),", ",IF(AND('Marks Entry'!AC63="A"),'Marks Entry'!$AC$2,IF(AND('Marks Entry'!AC63="B"),'Marks Entry'!$AG$2,IF(AND('Marks Entry'!AC63="C"),'Marks Entry'!$AI$2,""))),", ",IF(AND('Marks Entry'!AK63="A"),'Marks Entry'!$AK$2,IF(AND('Marks Entry'!AK63="B"),'Marks Entry'!$AO$2,IF(AND('Marks Entry'!AK63="C"),'Marks Entry'!$AQ$2,""))),", ",IF(AND('Statement of Marks'!DD63=""),"",IF(AND('Statement of Marks'!DD63="A"),'Marks Entry'!$AS$2,IF(AND('Statement of Marks'!DD63="B"),'Marks Entry'!$AW$2,IF(AND('Statement of Marks'!DD63="C"),'Marks Entry'!$AY$2,"")))))),"")</f>
        <v/>
      </c>
      <c r="T60" s="431" t="str">
        <f>IF(COUNTIF(K60:R60,"F")&gt;0,"",CONCATENATE('Statement of Marks'!GU63,'Statement of Marks'!GW63))</f>
        <v xml:space="preserve">           </v>
      </c>
      <c r="BG60" s="17">
        <f>IFERROR(VLOOKUP(B60,'Statement of Marks'!$B$8:'Statement of Marks'!$HI$207,41,0),"")</f>
        <v>15</v>
      </c>
      <c r="BH60" s="17" t="str">
        <f>IFERROR(VLOOKUP(B60,'Statement of Marks'!$B$8:'Statement of Marks'!$HI$207,66,0),"")</f>
        <v/>
      </c>
      <c r="BI60" s="17">
        <f>IFERROR(VLOOKUP(B60,'Statement of Marks'!$B$8:'Statement of Marks'!$HI$207,91,0),"")</f>
        <v>60</v>
      </c>
      <c r="BJ60" s="17" t="str">
        <f>IFERROR(VLOOKUP(B60,'Statement of Marks'!$B$8:'Statement of Marks'!$HI$207,117,0),"")</f>
        <v/>
      </c>
    </row>
    <row r="61" spans="1:62" ht="24.95" customHeight="1">
      <c r="A61" s="284">
        <f>IF('Statement of Marks'!A64="","",'Statement of Marks'!A64)</f>
        <v>57</v>
      </c>
      <c r="B61" s="284" t="str">
        <f>IF('Statement of Marks'!B64="","",'Statement of Marks'!B64)</f>
        <v/>
      </c>
      <c r="C61" s="284" t="str">
        <f>IF('Statement of Marks'!C64="","",'Statement of Marks'!C64)</f>
        <v/>
      </c>
      <c r="D61" s="426" t="str">
        <f>IF('Statement of Marks'!D64="","",'Statement of Marks'!D64)</f>
        <v/>
      </c>
      <c r="E61" s="427" t="str">
        <f>IF('Statement of Marks'!E64="","",'Statement of Marks'!E64)</f>
        <v/>
      </c>
      <c r="F61" s="427" t="str">
        <f>IF('Statement of Marks'!F64="","",'Statement of Marks'!F64)</f>
        <v/>
      </c>
      <c r="G61" s="427" t="str">
        <f>IF('Statement of Marks'!G64="","",'Statement of Marks'!G64)</f>
        <v/>
      </c>
      <c r="H61" s="428" t="str">
        <f>IF(B61="","",IF('Statement of Marks'!GY64="","",'Statement of Marks'!GY64))</f>
        <v/>
      </c>
      <c r="I61" s="287" t="str">
        <f>IF(B61="","",IF('Statement of Marks'!HB64="","",'Statement of Marks'!HB64))</f>
        <v/>
      </c>
      <c r="J61" s="429" t="str">
        <f>IF(B61="","",IF('Statement of Marks'!HC64="","",'Statement of Marks'!HC64))</f>
        <v/>
      </c>
      <c r="K61" s="296" t="str">
        <f>IF(B61="","",'Statement of Marks'!FJ64)</f>
        <v/>
      </c>
      <c r="L61" s="296" t="str">
        <f>IF(B61="","",'Statement of Marks'!FM64)</f>
        <v/>
      </c>
      <c r="M61" s="296" t="str">
        <f>IF(B61="","",'Statement of Marks'!FP64)</f>
        <v/>
      </c>
      <c r="N61" s="296" t="str">
        <f>IF(B61="","",'Statement of Marks'!FW64)</f>
        <v/>
      </c>
      <c r="O61" s="296" t="str">
        <f>IF(B61="","",'Statement of Marks'!GD64)</f>
        <v/>
      </c>
      <c r="P61" s="296" t="str">
        <f>IF(B61="","",'Statement of Marks'!GK64)</f>
        <v/>
      </c>
      <c r="Q61" s="296" t="str">
        <f>IF(B61="","",'Statement of Marks'!GR64)</f>
        <v/>
      </c>
      <c r="R61" s="296" t="str">
        <f>IF(B61="","",'Statement of Marks'!FF64)</f>
        <v/>
      </c>
      <c r="S61" s="430" t="str">
        <f>IFERROR(IF(B61="","",CONCATENATE(IF(AND('Marks Entry'!U64="A"),'Marks Entry'!$U$2,IF(AND('Marks Entry'!U64="B"),'Marks Entry'!$Y$2,IF(AND('Marks Entry'!U64="C"),'Marks Entry'!$AA$2,""))),", ",IF(AND('Marks Entry'!AC64="A"),'Marks Entry'!$AC$2,IF(AND('Marks Entry'!AC64="B"),'Marks Entry'!$AG$2,IF(AND('Marks Entry'!AC64="C"),'Marks Entry'!$AI$2,""))),", ",IF(AND('Marks Entry'!AK64="A"),'Marks Entry'!$AK$2,IF(AND('Marks Entry'!AK64="B"),'Marks Entry'!$AO$2,IF(AND('Marks Entry'!AK64="C"),'Marks Entry'!$AQ$2,""))),", ",IF(AND('Statement of Marks'!DD64=""),"",IF(AND('Statement of Marks'!DD64="A"),'Marks Entry'!$AS$2,IF(AND('Statement of Marks'!DD64="B"),'Marks Entry'!$AW$2,IF(AND('Statement of Marks'!DD64="C"),'Marks Entry'!$AY$2,"")))))),"")</f>
        <v/>
      </c>
      <c r="T61" s="431" t="str">
        <f>IF(COUNTIF(K61:R61,"F")&gt;0,"",CONCATENATE('Statement of Marks'!GU64,'Statement of Marks'!GW64))</f>
        <v xml:space="preserve">           </v>
      </c>
      <c r="BG61" s="17">
        <f>IFERROR(VLOOKUP(B61,'Statement of Marks'!$B$8:'Statement of Marks'!$HI$207,41,0),"")</f>
        <v>15</v>
      </c>
      <c r="BH61" s="17" t="str">
        <f>IFERROR(VLOOKUP(B61,'Statement of Marks'!$B$8:'Statement of Marks'!$HI$207,66,0),"")</f>
        <v/>
      </c>
      <c r="BI61" s="17">
        <f>IFERROR(VLOOKUP(B61,'Statement of Marks'!$B$8:'Statement of Marks'!$HI$207,91,0),"")</f>
        <v>60</v>
      </c>
      <c r="BJ61" s="17" t="str">
        <f>IFERROR(VLOOKUP(B61,'Statement of Marks'!$B$8:'Statement of Marks'!$HI$207,117,0),"")</f>
        <v/>
      </c>
    </row>
    <row r="62" spans="1:62" ht="24.95" customHeight="1">
      <c r="A62" s="284">
        <f>IF('Statement of Marks'!A65="","",'Statement of Marks'!A65)</f>
        <v>58</v>
      </c>
      <c r="B62" s="284" t="str">
        <f>IF('Statement of Marks'!B65="","",'Statement of Marks'!B65)</f>
        <v/>
      </c>
      <c r="C62" s="284" t="str">
        <f>IF('Statement of Marks'!C65="","",'Statement of Marks'!C65)</f>
        <v/>
      </c>
      <c r="D62" s="426" t="str">
        <f>IF('Statement of Marks'!D65="","",'Statement of Marks'!D65)</f>
        <v/>
      </c>
      <c r="E62" s="427" t="str">
        <f>IF('Statement of Marks'!E65="","",'Statement of Marks'!E65)</f>
        <v/>
      </c>
      <c r="F62" s="427" t="str">
        <f>IF('Statement of Marks'!F65="","",'Statement of Marks'!F65)</f>
        <v/>
      </c>
      <c r="G62" s="427" t="str">
        <f>IF('Statement of Marks'!G65="","",'Statement of Marks'!G65)</f>
        <v/>
      </c>
      <c r="H62" s="428" t="str">
        <f>IF(B62="","",IF('Statement of Marks'!GY65="","",'Statement of Marks'!GY65))</f>
        <v/>
      </c>
      <c r="I62" s="287" t="str">
        <f>IF(B62="","",IF('Statement of Marks'!HB65="","",'Statement of Marks'!HB65))</f>
        <v/>
      </c>
      <c r="J62" s="429" t="str">
        <f>IF(B62="","",IF('Statement of Marks'!HC65="","",'Statement of Marks'!HC65))</f>
        <v/>
      </c>
      <c r="K62" s="296" t="str">
        <f>IF(B62="","",'Statement of Marks'!FJ65)</f>
        <v/>
      </c>
      <c r="L62" s="296" t="str">
        <f>IF(B62="","",'Statement of Marks'!FM65)</f>
        <v/>
      </c>
      <c r="M62" s="296" t="str">
        <f>IF(B62="","",'Statement of Marks'!FP65)</f>
        <v/>
      </c>
      <c r="N62" s="296" t="str">
        <f>IF(B62="","",'Statement of Marks'!FW65)</f>
        <v/>
      </c>
      <c r="O62" s="296" t="str">
        <f>IF(B62="","",'Statement of Marks'!GD65)</f>
        <v/>
      </c>
      <c r="P62" s="296" t="str">
        <f>IF(B62="","",'Statement of Marks'!GK65)</f>
        <v/>
      </c>
      <c r="Q62" s="296" t="str">
        <f>IF(B62="","",'Statement of Marks'!GR65)</f>
        <v/>
      </c>
      <c r="R62" s="296" t="str">
        <f>IF(B62="","",'Statement of Marks'!FF65)</f>
        <v/>
      </c>
      <c r="S62" s="430" t="str">
        <f>IFERROR(IF(B62="","",CONCATENATE(IF(AND('Marks Entry'!U65="A"),'Marks Entry'!$U$2,IF(AND('Marks Entry'!U65="B"),'Marks Entry'!$Y$2,IF(AND('Marks Entry'!U65="C"),'Marks Entry'!$AA$2,""))),", ",IF(AND('Marks Entry'!AC65="A"),'Marks Entry'!$AC$2,IF(AND('Marks Entry'!AC65="B"),'Marks Entry'!$AG$2,IF(AND('Marks Entry'!AC65="C"),'Marks Entry'!$AI$2,""))),", ",IF(AND('Marks Entry'!AK65="A"),'Marks Entry'!$AK$2,IF(AND('Marks Entry'!AK65="B"),'Marks Entry'!$AO$2,IF(AND('Marks Entry'!AK65="C"),'Marks Entry'!$AQ$2,""))),", ",IF(AND('Statement of Marks'!DD65=""),"",IF(AND('Statement of Marks'!DD65="A"),'Marks Entry'!$AS$2,IF(AND('Statement of Marks'!DD65="B"),'Marks Entry'!$AW$2,IF(AND('Statement of Marks'!DD65="C"),'Marks Entry'!$AY$2,"")))))),"")</f>
        <v/>
      </c>
      <c r="T62" s="431" t="str">
        <f>IF(COUNTIF(K62:R62,"F")&gt;0,"",CONCATENATE('Statement of Marks'!GU65,'Statement of Marks'!GW65))</f>
        <v xml:space="preserve">           </v>
      </c>
      <c r="BG62" s="17">
        <f>IFERROR(VLOOKUP(B62,'Statement of Marks'!$B$8:'Statement of Marks'!$HI$207,41,0),"")</f>
        <v>15</v>
      </c>
      <c r="BH62" s="17" t="str">
        <f>IFERROR(VLOOKUP(B62,'Statement of Marks'!$B$8:'Statement of Marks'!$HI$207,66,0),"")</f>
        <v/>
      </c>
      <c r="BI62" s="17">
        <f>IFERROR(VLOOKUP(B62,'Statement of Marks'!$B$8:'Statement of Marks'!$HI$207,91,0),"")</f>
        <v>60</v>
      </c>
      <c r="BJ62" s="17" t="str">
        <f>IFERROR(VLOOKUP(B62,'Statement of Marks'!$B$8:'Statement of Marks'!$HI$207,117,0),"")</f>
        <v/>
      </c>
    </row>
    <row r="63" spans="1:62" ht="24.95" customHeight="1">
      <c r="A63" s="284">
        <f>IF('Statement of Marks'!A66="","",'Statement of Marks'!A66)</f>
        <v>59</v>
      </c>
      <c r="B63" s="284" t="str">
        <f>IF('Statement of Marks'!B66="","",'Statement of Marks'!B66)</f>
        <v/>
      </c>
      <c r="C63" s="284" t="str">
        <f>IF('Statement of Marks'!C66="","",'Statement of Marks'!C66)</f>
        <v/>
      </c>
      <c r="D63" s="426" t="str">
        <f>IF('Statement of Marks'!D66="","",'Statement of Marks'!D66)</f>
        <v/>
      </c>
      <c r="E63" s="427" t="str">
        <f>IF('Statement of Marks'!E66="","",'Statement of Marks'!E66)</f>
        <v/>
      </c>
      <c r="F63" s="427" t="str">
        <f>IF('Statement of Marks'!F66="","",'Statement of Marks'!F66)</f>
        <v/>
      </c>
      <c r="G63" s="427" t="str">
        <f>IF('Statement of Marks'!G66="","",'Statement of Marks'!G66)</f>
        <v/>
      </c>
      <c r="H63" s="428" t="str">
        <f>IF(B63="","",IF('Statement of Marks'!GY66="","",'Statement of Marks'!GY66))</f>
        <v/>
      </c>
      <c r="I63" s="287" t="str">
        <f>IF(B63="","",IF('Statement of Marks'!HB66="","",'Statement of Marks'!HB66))</f>
        <v/>
      </c>
      <c r="J63" s="429" t="str">
        <f>IF(B63="","",IF('Statement of Marks'!HC66="","",'Statement of Marks'!HC66))</f>
        <v/>
      </c>
      <c r="K63" s="296" t="str">
        <f>IF(B63="","",'Statement of Marks'!FJ66)</f>
        <v/>
      </c>
      <c r="L63" s="296" t="str">
        <f>IF(B63="","",'Statement of Marks'!FM66)</f>
        <v/>
      </c>
      <c r="M63" s="296" t="str">
        <f>IF(B63="","",'Statement of Marks'!FP66)</f>
        <v/>
      </c>
      <c r="N63" s="296" t="str">
        <f>IF(B63="","",'Statement of Marks'!FW66)</f>
        <v/>
      </c>
      <c r="O63" s="296" t="str">
        <f>IF(B63="","",'Statement of Marks'!GD66)</f>
        <v/>
      </c>
      <c r="P63" s="296" t="str">
        <f>IF(B63="","",'Statement of Marks'!GK66)</f>
        <v/>
      </c>
      <c r="Q63" s="296" t="str">
        <f>IF(B63="","",'Statement of Marks'!GR66)</f>
        <v/>
      </c>
      <c r="R63" s="296" t="str">
        <f>IF(B63="","",'Statement of Marks'!FF66)</f>
        <v/>
      </c>
      <c r="S63" s="430" t="str">
        <f>IFERROR(IF(B63="","",CONCATENATE(IF(AND('Marks Entry'!U66="A"),'Marks Entry'!$U$2,IF(AND('Marks Entry'!U66="B"),'Marks Entry'!$Y$2,IF(AND('Marks Entry'!U66="C"),'Marks Entry'!$AA$2,""))),", ",IF(AND('Marks Entry'!AC66="A"),'Marks Entry'!$AC$2,IF(AND('Marks Entry'!AC66="B"),'Marks Entry'!$AG$2,IF(AND('Marks Entry'!AC66="C"),'Marks Entry'!$AI$2,""))),", ",IF(AND('Marks Entry'!AK66="A"),'Marks Entry'!$AK$2,IF(AND('Marks Entry'!AK66="B"),'Marks Entry'!$AO$2,IF(AND('Marks Entry'!AK66="C"),'Marks Entry'!$AQ$2,""))),", ",IF(AND('Statement of Marks'!DD66=""),"",IF(AND('Statement of Marks'!DD66="A"),'Marks Entry'!$AS$2,IF(AND('Statement of Marks'!DD66="B"),'Marks Entry'!$AW$2,IF(AND('Statement of Marks'!DD66="C"),'Marks Entry'!$AY$2,"")))))),"")</f>
        <v/>
      </c>
      <c r="T63" s="431" t="str">
        <f>IF(COUNTIF(K63:R63,"F")&gt;0,"",CONCATENATE('Statement of Marks'!GU66,'Statement of Marks'!GW66))</f>
        <v xml:space="preserve">           </v>
      </c>
      <c r="BG63" s="17">
        <f>IFERROR(VLOOKUP(B63,'Statement of Marks'!$B$8:'Statement of Marks'!$HI$207,41,0),"")</f>
        <v>15</v>
      </c>
      <c r="BH63" s="17" t="str">
        <f>IFERROR(VLOOKUP(B63,'Statement of Marks'!$B$8:'Statement of Marks'!$HI$207,66,0),"")</f>
        <v/>
      </c>
      <c r="BI63" s="17">
        <f>IFERROR(VLOOKUP(B63,'Statement of Marks'!$B$8:'Statement of Marks'!$HI$207,91,0),"")</f>
        <v>60</v>
      </c>
      <c r="BJ63" s="17" t="str">
        <f>IFERROR(VLOOKUP(B63,'Statement of Marks'!$B$8:'Statement of Marks'!$HI$207,117,0),"")</f>
        <v/>
      </c>
    </row>
    <row r="64" spans="1:62" ht="24.95" customHeight="1">
      <c r="A64" s="284">
        <f>IF('Statement of Marks'!A67="","",'Statement of Marks'!A67)</f>
        <v>60</v>
      </c>
      <c r="B64" s="284" t="str">
        <f>IF('Statement of Marks'!B67="","",'Statement of Marks'!B67)</f>
        <v/>
      </c>
      <c r="C64" s="284" t="str">
        <f>IF('Statement of Marks'!C67="","",'Statement of Marks'!C67)</f>
        <v/>
      </c>
      <c r="D64" s="426" t="str">
        <f>IF('Statement of Marks'!D67="","",'Statement of Marks'!D67)</f>
        <v/>
      </c>
      <c r="E64" s="427" t="str">
        <f>IF('Statement of Marks'!E67="","",'Statement of Marks'!E67)</f>
        <v/>
      </c>
      <c r="F64" s="427" t="str">
        <f>IF('Statement of Marks'!F67="","",'Statement of Marks'!F67)</f>
        <v/>
      </c>
      <c r="G64" s="427" t="str">
        <f>IF('Statement of Marks'!G67="","",'Statement of Marks'!G67)</f>
        <v/>
      </c>
      <c r="H64" s="428" t="str">
        <f>IF(B64="","",IF('Statement of Marks'!GY67="","",'Statement of Marks'!GY67))</f>
        <v/>
      </c>
      <c r="I64" s="287" t="str">
        <f>IF(B64="","",IF('Statement of Marks'!HB67="","",'Statement of Marks'!HB67))</f>
        <v/>
      </c>
      <c r="J64" s="429" t="str">
        <f>IF(B64="","",IF('Statement of Marks'!HC67="","",'Statement of Marks'!HC67))</f>
        <v/>
      </c>
      <c r="K64" s="296" t="str">
        <f>IF(B64="","",'Statement of Marks'!FJ67)</f>
        <v/>
      </c>
      <c r="L64" s="296" t="str">
        <f>IF(B64="","",'Statement of Marks'!FM67)</f>
        <v/>
      </c>
      <c r="M64" s="296" t="str">
        <f>IF(B64="","",'Statement of Marks'!FP67)</f>
        <v/>
      </c>
      <c r="N64" s="296" t="str">
        <f>IF(B64="","",'Statement of Marks'!FW67)</f>
        <v/>
      </c>
      <c r="O64" s="296" t="str">
        <f>IF(B64="","",'Statement of Marks'!GD67)</f>
        <v/>
      </c>
      <c r="P64" s="296" t="str">
        <f>IF(B64="","",'Statement of Marks'!GK67)</f>
        <v/>
      </c>
      <c r="Q64" s="296" t="str">
        <f>IF(B64="","",'Statement of Marks'!GR67)</f>
        <v/>
      </c>
      <c r="R64" s="296" t="str">
        <f>IF(B64="","",'Statement of Marks'!FF67)</f>
        <v/>
      </c>
      <c r="S64" s="430" t="str">
        <f>IFERROR(IF(B64="","",CONCATENATE(IF(AND('Marks Entry'!U67="A"),'Marks Entry'!$U$2,IF(AND('Marks Entry'!U67="B"),'Marks Entry'!$Y$2,IF(AND('Marks Entry'!U67="C"),'Marks Entry'!$AA$2,""))),", ",IF(AND('Marks Entry'!AC67="A"),'Marks Entry'!$AC$2,IF(AND('Marks Entry'!AC67="B"),'Marks Entry'!$AG$2,IF(AND('Marks Entry'!AC67="C"),'Marks Entry'!$AI$2,""))),", ",IF(AND('Marks Entry'!AK67="A"),'Marks Entry'!$AK$2,IF(AND('Marks Entry'!AK67="B"),'Marks Entry'!$AO$2,IF(AND('Marks Entry'!AK67="C"),'Marks Entry'!$AQ$2,""))),", ",IF(AND('Statement of Marks'!DD67=""),"",IF(AND('Statement of Marks'!DD67="A"),'Marks Entry'!$AS$2,IF(AND('Statement of Marks'!DD67="B"),'Marks Entry'!$AW$2,IF(AND('Statement of Marks'!DD67="C"),'Marks Entry'!$AY$2,"")))))),"")</f>
        <v/>
      </c>
      <c r="T64" s="431" t="str">
        <f>IF(COUNTIF(K64:R64,"F")&gt;0,"",CONCATENATE('Statement of Marks'!GU67,'Statement of Marks'!GW67))</f>
        <v xml:space="preserve">           </v>
      </c>
      <c r="BG64" s="17">
        <f>IFERROR(VLOOKUP(B64,'Statement of Marks'!$B$8:'Statement of Marks'!$HI$207,41,0),"")</f>
        <v>15</v>
      </c>
      <c r="BH64" s="17" t="str">
        <f>IFERROR(VLOOKUP(B64,'Statement of Marks'!$B$8:'Statement of Marks'!$HI$207,66,0),"")</f>
        <v/>
      </c>
      <c r="BI64" s="17">
        <f>IFERROR(VLOOKUP(B64,'Statement of Marks'!$B$8:'Statement of Marks'!$HI$207,91,0),"")</f>
        <v>60</v>
      </c>
      <c r="BJ64" s="17" t="str">
        <f>IFERROR(VLOOKUP(B64,'Statement of Marks'!$B$8:'Statement of Marks'!$HI$207,117,0),"")</f>
        <v/>
      </c>
    </row>
    <row r="65" spans="1:62" ht="24.95" customHeight="1">
      <c r="A65" s="284">
        <f>IF('Statement of Marks'!A68="","",'Statement of Marks'!A68)</f>
        <v>61</v>
      </c>
      <c r="B65" s="284" t="str">
        <f>IF('Statement of Marks'!B68="","",'Statement of Marks'!B68)</f>
        <v/>
      </c>
      <c r="C65" s="284" t="str">
        <f>IF('Statement of Marks'!C68="","",'Statement of Marks'!C68)</f>
        <v/>
      </c>
      <c r="D65" s="426" t="str">
        <f>IF('Statement of Marks'!D68="","",'Statement of Marks'!D68)</f>
        <v/>
      </c>
      <c r="E65" s="427" t="str">
        <f>IF('Statement of Marks'!E68="","",'Statement of Marks'!E68)</f>
        <v/>
      </c>
      <c r="F65" s="427" t="str">
        <f>IF('Statement of Marks'!F68="","",'Statement of Marks'!F68)</f>
        <v/>
      </c>
      <c r="G65" s="427" t="str">
        <f>IF('Statement of Marks'!G68="","",'Statement of Marks'!G68)</f>
        <v/>
      </c>
      <c r="H65" s="428" t="str">
        <f>IF(B65="","",IF('Statement of Marks'!GY68="","",'Statement of Marks'!GY68))</f>
        <v/>
      </c>
      <c r="I65" s="287" t="str">
        <f>IF(B65="","",IF('Statement of Marks'!HB68="","",'Statement of Marks'!HB68))</f>
        <v/>
      </c>
      <c r="J65" s="429" t="str">
        <f>IF(B65="","",IF('Statement of Marks'!HC68="","",'Statement of Marks'!HC68))</f>
        <v/>
      </c>
      <c r="K65" s="296" t="str">
        <f>IF(B65="","",'Statement of Marks'!FJ68)</f>
        <v/>
      </c>
      <c r="L65" s="296" t="str">
        <f>IF(B65="","",'Statement of Marks'!FM68)</f>
        <v/>
      </c>
      <c r="M65" s="296" t="str">
        <f>IF(B65="","",'Statement of Marks'!FP68)</f>
        <v/>
      </c>
      <c r="N65" s="296" t="str">
        <f>IF(B65="","",'Statement of Marks'!FW68)</f>
        <v/>
      </c>
      <c r="O65" s="296" t="str">
        <f>IF(B65="","",'Statement of Marks'!GD68)</f>
        <v/>
      </c>
      <c r="P65" s="296" t="str">
        <f>IF(B65="","",'Statement of Marks'!GK68)</f>
        <v/>
      </c>
      <c r="Q65" s="296" t="str">
        <f>IF(B65="","",'Statement of Marks'!GR68)</f>
        <v/>
      </c>
      <c r="R65" s="296" t="str">
        <f>IF(B65="","",'Statement of Marks'!FF68)</f>
        <v/>
      </c>
      <c r="S65" s="430" t="str">
        <f>IFERROR(IF(B65="","",CONCATENATE(IF(AND('Marks Entry'!U68="A"),'Marks Entry'!$U$2,IF(AND('Marks Entry'!U68="B"),'Marks Entry'!$Y$2,IF(AND('Marks Entry'!U68="C"),'Marks Entry'!$AA$2,""))),", ",IF(AND('Marks Entry'!AC68="A"),'Marks Entry'!$AC$2,IF(AND('Marks Entry'!AC68="B"),'Marks Entry'!$AG$2,IF(AND('Marks Entry'!AC68="C"),'Marks Entry'!$AI$2,""))),", ",IF(AND('Marks Entry'!AK68="A"),'Marks Entry'!$AK$2,IF(AND('Marks Entry'!AK68="B"),'Marks Entry'!$AO$2,IF(AND('Marks Entry'!AK68="C"),'Marks Entry'!$AQ$2,""))),", ",IF(AND('Statement of Marks'!DD68=""),"",IF(AND('Statement of Marks'!DD68="A"),'Marks Entry'!$AS$2,IF(AND('Statement of Marks'!DD68="B"),'Marks Entry'!$AW$2,IF(AND('Statement of Marks'!DD68="C"),'Marks Entry'!$AY$2,"")))))),"")</f>
        <v/>
      </c>
      <c r="T65" s="431" t="str">
        <f>IF(COUNTIF(K65:R65,"F")&gt;0,"",CONCATENATE('Statement of Marks'!GU68,'Statement of Marks'!GW68))</f>
        <v xml:space="preserve">           </v>
      </c>
      <c r="BG65" s="17">
        <f>IFERROR(VLOOKUP(B65,'Statement of Marks'!$B$8:'Statement of Marks'!$HI$207,41,0),"")</f>
        <v>15</v>
      </c>
      <c r="BH65" s="17" t="str">
        <f>IFERROR(VLOOKUP(B65,'Statement of Marks'!$B$8:'Statement of Marks'!$HI$207,66,0),"")</f>
        <v/>
      </c>
      <c r="BI65" s="17">
        <f>IFERROR(VLOOKUP(B65,'Statement of Marks'!$B$8:'Statement of Marks'!$HI$207,91,0),"")</f>
        <v>60</v>
      </c>
      <c r="BJ65" s="17" t="str">
        <f>IFERROR(VLOOKUP(B65,'Statement of Marks'!$B$8:'Statement of Marks'!$HI$207,117,0),"")</f>
        <v/>
      </c>
    </row>
    <row r="66" spans="1:62" ht="24.95" customHeight="1">
      <c r="A66" s="284">
        <f>IF('Statement of Marks'!A69="","",'Statement of Marks'!A69)</f>
        <v>62</v>
      </c>
      <c r="B66" s="284" t="str">
        <f>IF('Statement of Marks'!B69="","",'Statement of Marks'!B69)</f>
        <v/>
      </c>
      <c r="C66" s="284" t="str">
        <f>IF('Statement of Marks'!C69="","",'Statement of Marks'!C69)</f>
        <v/>
      </c>
      <c r="D66" s="426" t="str">
        <f>IF('Statement of Marks'!D69="","",'Statement of Marks'!D69)</f>
        <v/>
      </c>
      <c r="E66" s="427" t="str">
        <f>IF('Statement of Marks'!E69="","",'Statement of Marks'!E69)</f>
        <v/>
      </c>
      <c r="F66" s="427" t="str">
        <f>IF('Statement of Marks'!F69="","",'Statement of Marks'!F69)</f>
        <v/>
      </c>
      <c r="G66" s="427" t="str">
        <f>IF('Statement of Marks'!G69="","",'Statement of Marks'!G69)</f>
        <v/>
      </c>
      <c r="H66" s="428" t="str">
        <f>IF(B66="","",IF('Statement of Marks'!GY69="","",'Statement of Marks'!GY69))</f>
        <v/>
      </c>
      <c r="I66" s="287" t="str">
        <f>IF(B66="","",IF('Statement of Marks'!HB69="","",'Statement of Marks'!HB69))</f>
        <v/>
      </c>
      <c r="J66" s="429" t="str">
        <f>IF(B66="","",IF('Statement of Marks'!HC69="","",'Statement of Marks'!HC69))</f>
        <v/>
      </c>
      <c r="K66" s="296" t="str">
        <f>IF(B66="","",'Statement of Marks'!FJ69)</f>
        <v/>
      </c>
      <c r="L66" s="296" t="str">
        <f>IF(B66="","",'Statement of Marks'!FM69)</f>
        <v/>
      </c>
      <c r="M66" s="296" t="str">
        <f>IF(B66="","",'Statement of Marks'!FP69)</f>
        <v/>
      </c>
      <c r="N66" s="296" t="str">
        <f>IF(B66="","",'Statement of Marks'!FW69)</f>
        <v/>
      </c>
      <c r="O66" s="296" t="str">
        <f>IF(B66="","",'Statement of Marks'!GD69)</f>
        <v/>
      </c>
      <c r="P66" s="296" t="str">
        <f>IF(B66="","",'Statement of Marks'!GK69)</f>
        <v/>
      </c>
      <c r="Q66" s="296" t="str">
        <f>IF(B66="","",'Statement of Marks'!GR69)</f>
        <v/>
      </c>
      <c r="R66" s="296" t="str">
        <f>IF(B66="","",'Statement of Marks'!FF69)</f>
        <v/>
      </c>
      <c r="S66" s="430" t="str">
        <f>IFERROR(IF(B66="","",CONCATENATE(IF(AND('Marks Entry'!U69="A"),'Marks Entry'!$U$2,IF(AND('Marks Entry'!U69="B"),'Marks Entry'!$Y$2,IF(AND('Marks Entry'!U69="C"),'Marks Entry'!$AA$2,""))),", ",IF(AND('Marks Entry'!AC69="A"),'Marks Entry'!$AC$2,IF(AND('Marks Entry'!AC69="B"),'Marks Entry'!$AG$2,IF(AND('Marks Entry'!AC69="C"),'Marks Entry'!$AI$2,""))),", ",IF(AND('Marks Entry'!AK69="A"),'Marks Entry'!$AK$2,IF(AND('Marks Entry'!AK69="B"),'Marks Entry'!$AO$2,IF(AND('Marks Entry'!AK69="C"),'Marks Entry'!$AQ$2,""))),", ",IF(AND('Statement of Marks'!DD69=""),"",IF(AND('Statement of Marks'!DD69="A"),'Marks Entry'!$AS$2,IF(AND('Statement of Marks'!DD69="B"),'Marks Entry'!$AW$2,IF(AND('Statement of Marks'!DD69="C"),'Marks Entry'!$AY$2,"")))))),"")</f>
        <v/>
      </c>
      <c r="T66" s="431" t="str">
        <f>IF(COUNTIF(K66:R66,"F")&gt;0,"",CONCATENATE('Statement of Marks'!GU69,'Statement of Marks'!GW69))</f>
        <v xml:space="preserve">           </v>
      </c>
      <c r="BG66" s="17">
        <f>IFERROR(VLOOKUP(B66,'Statement of Marks'!$B$8:'Statement of Marks'!$HI$207,41,0),"")</f>
        <v>15</v>
      </c>
      <c r="BH66" s="17" t="str">
        <f>IFERROR(VLOOKUP(B66,'Statement of Marks'!$B$8:'Statement of Marks'!$HI$207,66,0),"")</f>
        <v/>
      </c>
      <c r="BI66" s="17">
        <f>IFERROR(VLOOKUP(B66,'Statement of Marks'!$B$8:'Statement of Marks'!$HI$207,91,0),"")</f>
        <v>60</v>
      </c>
      <c r="BJ66" s="17" t="str">
        <f>IFERROR(VLOOKUP(B66,'Statement of Marks'!$B$8:'Statement of Marks'!$HI$207,117,0),"")</f>
        <v/>
      </c>
    </row>
    <row r="67" spans="1:62" ht="24.95" customHeight="1">
      <c r="A67" s="284">
        <f>IF('Statement of Marks'!A70="","",'Statement of Marks'!A70)</f>
        <v>63</v>
      </c>
      <c r="B67" s="284" t="str">
        <f>IF('Statement of Marks'!B70="","",'Statement of Marks'!B70)</f>
        <v/>
      </c>
      <c r="C67" s="284" t="str">
        <f>IF('Statement of Marks'!C70="","",'Statement of Marks'!C70)</f>
        <v/>
      </c>
      <c r="D67" s="426" t="str">
        <f>IF('Statement of Marks'!D70="","",'Statement of Marks'!D70)</f>
        <v/>
      </c>
      <c r="E67" s="427" t="str">
        <f>IF('Statement of Marks'!E70="","",'Statement of Marks'!E70)</f>
        <v/>
      </c>
      <c r="F67" s="427" t="str">
        <f>IF('Statement of Marks'!F70="","",'Statement of Marks'!F70)</f>
        <v/>
      </c>
      <c r="G67" s="427" t="str">
        <f>IF('Statement of Marks'!G70="","",'Statement of Marks'!G70)</f>
        <v/>
      </c>
      <c r="H67" s="428" t="str">
        <f>IF(B67="","",IF('Statement of Marks'!GY70="","",'Statement of Marks'!GY70))</f>
        <v/>
      </c>
      <c r="I67" s="287" t="str">
        <f>IF(B67="","",IF('Statement of Marks'!HB70="","",'Statement of Marks'!HB70))</f>
        <v/>
      </c>
      <c r="J67" s="429" t="str">
        <f>IF(B67="","",IF('Statement of Marks'!HC70="","",'Statement of Marks'!HC70))</f>
        <v/>
      </c>
      <c r="K67" s="296" t="str">
        <f>IF(B67="","",'Statement of Marks'!FJ70)</f>
        <v/>
      </c>
      <c r="L67" s="296" t="str">
        <f>IF(B67="","",'Statement of Marks'!FM70)</f>
        <v/>
      </c>
      <c r="M67" s="296" t="str">
        <f>IF(B67="","",'Statement of Marks'!FP70)</f>
        <v/>
      </c>
      <c r="N67" s="296" t="str">
        <f>IF(B67="","",'Statement of Marks'!FW70)</f>
        <v/>
      </c>
      <c r="O67" s="296" t="str">
        <f>IF(B67="","",'Statement of Marks'!GD70)</f>
        <v/>
      </c>
      <c r="P67" s="296" t="str">
        <f>IF(B67="","",'Statement of Marks'!GK70)</f>
        <v/>
      </c>
      <c r="Q67" s="296" t="str">
        <f>IF(B67="","",'Statement of Marks'!GR70)</f>
        <v/>
      </c>
      <c r="R67" s="296" t="str">
        <f>IF(B67="","",'Statement of Marks'!FF70)</f>
        <v/>
      </c>
      <c r="S67" s="430" t="str">
        <f>IFERROR(IF(B67="","",CONCATENATE(IF(AND('Marks Entry'!U70="A"),'Marks Entry'!$U$2,IF(AND('Marks Entry'!U70="B"),'Marks Entry'!$Y$2,IF(AND('Marks Entry'!U70="C"),'Marks Entry'!$AA$2,""))),", ",IF(AND('Marks Entry'!AC70="A"),'Marks Entry'!$AC$2,IF(AND('Marks Entry'!AC70="B"),'Marks Entry'!$AG$2,IF(AND('Marks Entry'!AC70="C"),'Marks Entry'!$AI$2,""))),", ",IF(AND('Marks Entry'!AK70="A"),'Marks Entry'!$AK$2,IF(AND('Marks Entry'!AK70="B"),'Marks Entry'!$AO$2,IF(AND('Marks Entry'!AK70="C"),'Marks Entry'!$AQ$2,""))),", ",IF(AND('Statement of Marks'!DD70=""),"",IF(AND('Statement of Marks'!DD70="A"),'Marks Entry'!$AS$2,IF(AND('Statement of Marks'!DD70="B"),'Marks Entry'!$AW$2,IF(AND('Statement of Marks'!DD70="C"),'Marks Entry'!$AY$2,"")))))),"")</f>
        <v/>
      </c>
      <c r="T67" s="431" t="str">
        <f>IF(COUNTIF(K67:R67,"F")&gt;0,"",CONCATENATE('Statement of Marks'!GU70,'Statement of Marks'!GW70))</f>
        <v xml:space="preserve">           </v>
      </c>
      <c r="BG67" s="17">
        <f>IFERROR(VLOOKUP(B67,'Statement of Marks'!$B$8:'Statement of Marks'!$HI$207,41,0),"")</f>
        <v>15</v>
      </c>
      <c r="BH67" s="17" t="str">
        <f>IFERROR(VLOOKUP(B67,'Statement of Marks'!$B$8:'Statement of Marks'!$HI$207,66,0),"")</f>
        <v/>
      </c>
      <c r="BI67" s="17">
        <f>IFERROR(VLOOKUP(B67,'Statement of Marks'!$B$8:'Statement of Marks'!$HI$207,91,0),"")</f>
        <v>60</v>
      </c>
      <c r="BJ67" s="17" t="str">
        <f>IFERROR(VLOOKUP(B67,'Statement of Marks'!$B$8:'Statement of Marks'!$HI$207,117,0),"")</f>
        <v/>
      </c>
    </row>
    <row r="68" spans="1:62" ht="24.95" customHeight="1">
      <c r="A68" s="284">
        <f>IF('Statement of Marks'!A71="","",'Statement of Marks'!A71)</f>
        <v>64</v>
      </c>
      <c r="B68" s="284" t="str">
        <f>IF('Statement of Marks'!B71="","",'Statement of Marks'!B71)</f>
        <v/>
      </c>
      <c r="C68" s="284" t="str">
        <f>IF('Statement of Marks'!C71="","",'Statement of Marks'!C71)</f>
        <v/>
      </c>
      <c r="D68" s="426" t="str">
        <f>IF('Statement of Marks'!D71="","",'Statement of Marks'!D71)</f>
        <v/>
      </c>
      <c r="E68" s="427" t="str">
        <f>IF('Statement of Marks'!E71="","",'Statement of Marks'!E71)</f>
        <v/>
      </c>
      <c r="F68" s="427" t="str">
        <f>IF('Statement of Marks'!F71="","",'Statement of Marks'!F71)</f>
        <v/>
      </c>
      <c r="G68" s="427" t="str">
        <f>IF('Statement of Marks'!G71="","",'Statement of Marks'!G71)</f>
        <v/>
      </c>
      <c r="H68" s="428" t="str">
        <f>IF(B68="","",IF('Statement of Marks'!GY71="","",'Statement of Marks'!GY71))</f>
        <v/>
      </c>
      <c r="I68" s="287" t="str">
        <f>IF(B68="","",IF('Statement of Marks'!HB71="","",'Statement of Marks'!HB71))</f>
        <v/>
      </c>
      <c r="J68" s="429" t="str">
        <f>IF(B68="","",IF('Statement of Marks'!HC71="","",'Statement of Marks'!HC71))</f>
        <v/>
      </c>
      <c r="K68" s="296" t="str">
        <f>IF(B68="","",'Statement of Marks'!FJ71)</f>
        <v/>
      </c>
      <c r="L68" s="296" t="str">
        <f>IF(B68="","",'Statement of Marks'!FM71)</f>
        <v/>
      </c>
      <c r="M68" s="296" t="str">
        <f>IF(B68="","",'Statement of Marks'!FP71)</f>
        <v/>
      </c>
      <c r="N68" s="296" t="str">
        <f>IF(B68="","",'Statement of Marks'!FW71)</f>
        <v/>
      </c>
      <c r="O68" s="296" t="str">
        <f>IF(B68="","",'Statement of Marks'!GD71)</f>
        <v/>
      </c>
      <c r="P68" s="296" t="str">
        <f>IF(B68="","",'Statement of Marks'!GK71)</f>
        <v/>
      </c>
      <c r="Q68" s="296" t="str">
        <f>IF(B68="","",'Statement of Marks'!GR71)</f>
        <v/>
      </c>
      <c r="R68" s="296" t="str">
        <f>IF(B68="","",'Statement of Marks'!FF71)</f>
        <v/>
      </c>
      <c r="S68" s="430" t="str">
        <f>IFERROR(IF(B68="","",CONCATENATE(IF(AND('Marks Entry'!U71="A"),'Marks Entry'!$U$2,IF(AND('Marks Entry'!U71="B"),'Marks Entry'!$Y$2,IF(AND('Marks Entry'!U71="C"),'Marks Entry'!$AA$2,""))),", ",IF(AND('Marks Entry'!AC71="A"),'Marks Entry'!$AC$2,IF(AND('Marks Entry'!AC71="B"),'Marks Entry'!$AG$2,IF(AND('Marks Entry'!AC71="C"),'Marks Entry'!$AI$2,""))),", ",IF(AND('Marks Entry'!AK71="A"),'Marks Entry'!$AK$2,IF(AND('Marks Entry'!AK71="B"),'Marks Entry'!$AO$2,IF(AND('Marks Entry'!AK71="C"),'Marks Entry'!$AQ$2,""))),", ",IF(AND('Statement of Marks'!DD71=""),"",IF(AND('Statement of Marks'!DD71="A"),'Marks Entry'!$AS$2,IF(AND('Statement of Marks'!DD71="B"),'Marks Entry'!$AW$2,IF(AND('Statement of Marks'!DD71="C"),'Marks Entry'!$AY$2,"")))))),"")</f>
        <v/>
      </c>
      <c r="T68" s="431" t="str">
        <f>IF(COUNTIF(K68:R68,"F")&gt;0,"",CONCATENATE('Statement of Marks'!GU71,'Statement of Marks'!GW71))</f>
        <v xml:space="preserve">           </v>
      </c>
      <c r="BG68" s="17">
        <f>IFERROR(VLOOKUP(B68,'Statement of Marks'!$B$8:'Statement of Marks'!$HI$207,41,0),"")</f>
        <v>15</v>
      </c>
      <c r="BH68" s="17" t="str">
        <f>IFERROR(VLOOKUP(B68,'Statement of Marks'!$B$8:'Statement of Marks'!$HI$207,66,0),"")</f>
        <v/>
      </c>
      <c r="BI68" s="17">
        <f>IFERROR(VLOOKUP(B68,'Statement of Marks'!$B$8:'Statement of Marks'!$HI$207,91,0),"")</f>
        <v>60</v>
      </c>
      <c r="BJ68" s="17" t="str">
        <f>IFERROR(VLOOKUP(B68,'Statement of Marks'!$B$8:'Statement of Marks'!$HI$207,117,0),"")</f>
        <v/>
      </c>
    </row>
    <row r="69" spans="1:62" ht="24.95" customHeight="1">
      <c r="A69" s="284">
        <f>IF('Statement of Marks'!A72="","",'Statement of Marks'!A72)</f>
        <v>65</v>
      </c>
      <c r="B69" s="284" t="str">
        <f>IF('Statement of Marks'!B72="","",'Statement of Marks'!B72)</f>
        <v/>
      </c>
      <c r="C69" s="284" t="str">
        <f>IF('Statement of Marks'!C72="","",'Statement of Marks'!C72)</f>
        <v/>
      </c>
      <c r="D69" s="426" t="str">
        <f>IF('Statement of Marks'!D72="","",'Statement of Marks'!D72)</f>
        <v/>
      </c>
      <c r="E69" s="427" t="str">
        <f>IF('Statement of Marks'!E72="","",'Statement of Marks'!E72)</f>
        <v/>
      </c>
      <c r="F69" s="427" t="str">
        <f>IF('Statement of Marks'!F72="","",'Statement of Marks'!F72)</f>
        <v/>
      </c>
      <c r="G69" s="427" t="str">
        <f>IF('Statement of Marks'!G72="","",'Statement of Marks'!G72)</f>
        <v/>
      </c>
      <c r="H69" s="428" t="str">
        <f>IF(B69="","",IF('Statement of Marks'!GY72="","",'Statement of Marks'!GY72))</f>
        <v/>
      </c>
      <c r="I69" s="287" t="str">
        <f>IF(B69="","",IF('Statement of Marks'!HB72="","",'Statement of Marks'!HB72))</f>
        <v/>
      </c>
      <c r="J69" s="429" t="str">
        <f>IF(B69="","",IF('Statement of Marks'!HC72="","",'Statement of Marks'!HC72))</f>
        <v/>
      </c>
      <c r="K69" s="296" t="str">
        <f>IF(B69="","",'Statement of Marks'!FJ72)</f>
        <v/>
      </c>
      <c r="L69" s="296" t="str">
        <f>IF(B69="","",'Statement of Marks'!FM72)</f>
        <v/>
      </c>
      <c r="M69" s="296" t="str">
        <f>IF(B69="","",'Statement of Marks'!FP72)</f>
        <v/>
      </c>
      <c r="N69" s="296" t="str">
        <f>IF(B69="","",'Statement of Marks'!FW72)</f>
        <v/>
      </c>
      <c r="O69" s="296" t="str">
        <f>IF(B69="","",'Statement of Marks'!GD72)</f>
        <v/>
      </c>
      <c r="P69" s="296" t="str">
        <f>IF(B69="","",'Statement of Marks'!GK72)</f>
        <v/>
      </c>
      <c r="Q69" s="296" t="str">
        <f>IF(B69="","",'Statement of Marks'!GR72)</f>
        <v/>
      </c>
      <c r="R69" s="296" t="str">
        <f>IF(B69="","",'Statement of Marks'!FF72)</f>
        <v/>
      </c>
      <c r="S69" s="430" t="str">
        <f>IFERROR(IF(B69="","",CONCATENATE(IF(AND('Marks Entry'!U72="A"),'Marks Entry'!$U$2,IF(AND('Marks Entry'!U72="B"),'Marks Entry'!$Y$2,IF(AND('Marks Entry'!U72="C"),'Marks Entry'!$AA$2,""))),", ",IF(AND('Marks Entry'!AC72="A"),'Marks Entry'!$AC$2,IF(AND('Marks Entry'!AC72="B"),'Marks Entry'!$AG$2,IF(AND('Marks Entry'!AC72="C"),'Marks Entry'!$AI$2,""))),", ",IF(AND('Marks Entry'!AK72="A"),'Marks Entry'!$AK$2,IF(AND('Marks Entry'!AK72="B"),'Marks Entry'!$AO$2,IF(AND('Marks Entry'!AK72="C"),'Marks Entry'!$AQ$2,""))),", ",IF(AND('Statement of Marks'!DD72=""),"",IF(AND('Statement of Marks'!DD72="A"),'Marks Entry'!$AS$2,IF(AND('Statement of Marks'!DD72="B"),'Marks Entry'!$AW$2,IF(AND('Statement of Marks'!DD72="C"),'Marks Entry'!$AY$2,"")))))),"")</f>
        <v/>
      </c>
      <c r="T69" s="431" t="str">
        <f>IF(COUNTIF(K69:R69,"F")&gt;0,"",CONCATENATE('Statement of Marks'!GU72,'Statement of Marks'!GW72))</f>
        <v xml:space="preserve">           </v>
      </c>
      <c r="BG69" s="17">
        <f>IFERROR(VLOOKUP(B69,'Statement of Marks'!$B$8:'Statement of Marks'!$HI$207,41,0),"")</f>
        <v>15</v>
      </c>
      <c r="BH69" s="17" t="str">
        <f>IFERROR(VLOOKUP(B69,'Statement of Marks'!$B$8:'Statement of Marks'!$HI$207,66,0),"")</f>
        <v/>
      </c>
      <c r="BI69" s="17">
        <f>IFERROR(VLOOKUP(B69,'Statement of Marks'!$B$8:'Statement of Marks'!$HI$207,91,0),"")</f>
        <v>60</v>
      </c>
      <c r="BJ69" s="17" t="str">
        <f>IFERROR(VLOOKUP(B69,'Statement of Marks'!$B$8:'Statement of Marks'!$HI$207,117,0),"")</f>
        <v/>
      </c>
    </row>
    <row r="70" spans="1:62" ht="24.95" customHeight="1">
      <c r="A70" s="284">
        <f>IF('Statement of Marks'!A73="","",'Statement of Marks'!A73)</f>
        <v>66</v>
      </c>
      <c r="B70" s="284" t="str">
        <f>IF('Statement of Marks'!B73="","",'Statement of Marks'!B73)</f>
        <v/>
      </c>
      <c r="C70" s="284" t="str">
        <f>IF('Statement of Marks'!C73="","",'Statement of Marks'!C73)</f>
        <v/>
      </c>
      <c r="D70" s="426" t="str">
        <f>IF('Statement of Marks'!D73="","",'Statement of Marks'!D73)</f>
        <v/>
      </c>
      <c r="E70" s="427" t="str">
        <f>IF('Statement of Marks'!E73="","",'Statement of Marks'!E73)</f>
        <v/>
      </c>
      <c r="F70" s="427" t="str">
        <f>IF('Statement of Marks'!F73="","",'Statement of Marks'!F73)</f>
        <v/>
      </c>
      <c r="G70" s="427" t="str">
        <f>IF('Statement of Marks'!G73="","",'Statement of Marks'!G73)</f>
        <v/>
      </c>
      <c r="H70" s="428" t="str">
        <f>IF(B70="","",IF('Statement of Marks'!GY73="","",'Statement of Marks'!GY73))</f>
        <v/>
      </c>
      <c r="I70" s="287" t="str">
        <f>IF(B70="","",IF('Statement of Marks'!HB73="","",'Statement of Marks'!HB73))</f>
        <v/>
      </c>
      <c r="J70" s="429" t="str">
        <f>IF(B70="","",IF('Statement of Marks'!HC73="","",'Statement of Marks'!HC73))</f>
        <v/>
      </c>
      <c r="K70" s="296" t="str">
        <f>IF(B70="","",'Statement of Marks'!FJ73)</f>
        <v/>
      </c>
      <c r="L70" s="296" t="str">
        <f>IF(B70="","",'Statement of Marks'!FM73)</f>
        <v/>
      </c>
      <c r="M70" s="296" t="str">
        <f>IF(B70="","",'Statement of Marks'!FP73)</f>
        <v/>
      </c>
      <c r="N70" s="296" t="str">
        <f>IF(B70="","",'Statement of Marks'!FW73)</f>
        <v/>
      </c>
      <c r="O70" s="296" t="str">
        <f>IF(B70="","",'Statement of Marks'!GD73)</f>
        <v/>
      </c>
      <c r="P70" s="296" t="str">
        <f>IF(B70="","",'Statement of Marks'!GK73)</f>
        <v/>
      </c>
      <c r="Q70" s="296" t="str">
        <f>IF(B70="","",'Statement of Marks'!GR73)</f>
        <v/>
      </c>
      <c r="R70" s="296" t="str">
        <f>IF(B70="","",'Statement of Marks'!FF73)</f>
        <v/>
      </c>
      <c r="S70" s="430" t="str">
        <f>IFERROR(IF(B70="","",CONCATENATE(IF(AND('Marks Entry'!U73="A"),'Marks Entry'!$U$2,IF(AND('Marks Entry'!U73="B"),'Marks Entry'!$Y$2,IF(AND('Marks Entry'!U73="C"),'Marks Entry'!$AA$2,""))),", ",IF(AND('Marks Entry'!AC73="A"),'Marks Entry'!$AC$2,IF(AND('Marks Entry'!AC73="B"),'Marks Entry'!$AG$2,IF(AND('Marks Entry'!AC73="C"),'Marks Entry'!$AI$2,""))),", ",IF(AND('Marks Entry'!AK73="A"),'Marks Entry'!$AK$2,IF(AND('Marks Entry'!AK73="B"),'Marks Entry'!$AO$2,IF(AND('Marks Entry'!AK73="C"),'Marks Entry'!$AQ$2,""))),", ",IF(AND('Statement of Marks'!DD73=""),"",IF(AND('Statement of Marks'!DD73="A"),'Marks Entry'!$AS$2,IF(AND('Statement of Marks'!DD73="B"),'Marks Entry'!$AW$2,IF(AND('Statement of Marks'!DD73="C"),'Marks Entry'!$AY$2,"")))))),"")</f>
        <v/>
      </c>
      <c r="T70" s="431" t="str">
        <f>IF(COUNTIF(K70:R70,"F")&gt;0,"",CONCATENATE('Statement of Marks'!GU73,'Statement of Marks'!GW73))</f>
        <v xml:space="preserve">           </v>
      </c>
      <c r="BG70" s="17">
        <f>IFERROR(VLOOKUP(B70,'Statement of Marks'!$B$8:'Statement of Marks'!$HI$207,41,0),"")</f>
        <v>15</v>
      </c>
      <c r="BH70" s="17" t="str">
        <f>IFERROR(VLOOKUP(B70,'Statement of Marks'!$B$8:'Statement of Marks'!$HI$207,66,0),"")</f>
        <v/>
      </c>
      <c r="BI70" s="17">
        <f>IFERROR(VLOOKUP(B70,'Statement of Marks'!$B$8:'Statement of Marks'!$HI$207,91,0),"")</f>
        <v>60</v>
      </c>
      <c r="BJ70" s="17" t="str">
        <f>IFERROR(VLOOKUP(B70,'Statement of Marks'!$B$8:'Statement of Marks'!$HI$207,117,0),"")</f>
        <v/>
      </c>
    </row>
    <row r="71" spans="1:62" ht="24.95" customHeight="1">
      <c r="A71" s="284">
        <f>IF('Statement of Marks'!A74="","",'Statement of Marks'!A74)</f>
        <v>67</v>
      </c>
      <c r="B71" s="284" t="str">
        <f>IF('Statement of Marks'!B74="","",'Statement of Marks'!B74)</f>
        <v/>
      </c>
      <c r="C71" s="284" t="str">
        <f>IF('Statement of Marks'!C74="","",'Statement of Marks'!C74)</f>
        <v/>
      </c>
      <c r="D71" s="426" t="str">
        <f>IF('Statement of Marks'!D74="","",'Statement of Marks'!D74)</f>
        <v/>
      </c>
      <c r="E71" s="427" t="str">
        <f>IF('Statement of Marks'!E74="","",'Statement of Marks'!E74)</f>
        <v/>
      </c>
      <c r="F71" s="427" t="str">
        <f>IF('Statement of Marks'!F74="","",'Statement of Marks'!F74)</f>
        <v/>
      </c>
      <c r="G71" s="427" t="str">
        <f>IF('Statement of Marks'!G74="","",'Statement of Marks'!G74)</f>
        <v/>
      </c>
      <c r="H71" s="428" t="str">
        <f>IF(B71="","",IF('Statement of Marks'!GY74="","",'Statement of Marks'!GY74))</f>
        <v/>
      </c>
      <c r="I71" s="287" t="str">
        <f>IF(B71="","",IF('Statement of Marks'!HB74="","",'Statement of Marks'!HB74))</f>
        <v/>
      </c>
      <c r="J71" s="429" t="str">
        <f>IF(B71="","",IF('Statement of Marks'!HC74="","",'Statement of Marks'!HC74))</f>
        <v/>
      </c>
      <c r="K71" s="296" t="str">
        <f>IF(B71="","",'Statement of Marks'!FJ74)</f>
        <v/>
      </c>
      <c r="L71" s="296" t="str">
        <f>IF(B71="","",'Statement of Marks'!FM74)</f>
        <v/>
      </c>
      <c r="M71" s="296" t="str">
        <f>IF(B71="","",'Statement of Marks'!FP74)</f>
        <v/>
      </c>
      <c r="N71" s="296" t="str">
        <f>IF(B71="","",'Statement of Marks'!FW74)</f>
        <v/>
      </c>
      <c r="O71" s="296" t="str">
        <f>IF(B71="","",'Statement of Marks'!GD74)</f>
        <v/>
      </c>
      <c r="P71" s="296" t="str">
        <f>IF(B71="","",'Statement of Marks'!GK74)</f>
        <v/>
      </c>
      <c r="Q71" s="296" t="str">
        <f>IF(B71="","",'Statement of Marks'!GR74)</f>
        <v/>
      </c>
      <c r="R71" s="296" t="str">
        <f>IF(B71="","",'Statement of Marks'!FF74)</f>
        <v/>
      </c>
      <c r="S71" s="430" t="str">
        <f>IFERROR(IF(B71="","",CONCATENATE(IF(AND('Marks Entry'!U74="A"),'Marks Entry'!$U$2,IF(AND('Marks Entry'!U74="B"),'Marks Entry'!$Y$2,IF(AND('Marks Entry'!U74="C"),'Marks Entry'!$AA$2,""))),", ",IF(AND('Marks Entry'!AC74="A"),'Marks Entry'!$AC$2,IF(AND('Marks Entry'!AC74="B"),'Marks Entry'!$AG$2,IF(AND('Marks Entry'!AC74="C"),'Marks Entry'!$AI$2,""))),", ",IF(AND('Marks Entry'!AK74="A"),'Marks Entry'!$AK$2,IF(AND('Marks Entry'!AK74="B"),'Marks Entry'!$AO$2,IF(AND('Marks Entry'!AK74="C"),'Marks Entry'!$AQ$2,""))),", ",IF(AND('Statement of Marks'!DD74=""),"",IF(AND('Statement of Marks'!DD74="A"),'Marks Entry'!$AS$2,IF(AND('Statement of Marks'!DD74="B"),'Marks Entry'!$AW$2,IF(AND('Statement of Marks'!DD74="C"),'Marks Entry'!$AY$2,"")))))),"")</f>
        <v/>
      </c>
      <c r="T71" s="431" t="str">
        <f>IF(COUNTIF(K71:R71,"F")&gt;0,"",CONCATENATE('Statement of Marks'!GU74,'Statement of Marks'!GW74))</f>
        <v xml:space="preserve">           </v>
      </c>
      <c r="BG71" s="17">
        <f>IFERROR(VLOOKUP(B71,'Statement of Marks'!$B$8:'Statement of Marks'!$HI$207,41,0),"")</f>
        <v>15</v>
      </c>
      <c r="BH71" s="17" t="str">
        <f>IFERROR(VLOOKUP(B71,'Statement of Marks'!$B$8:'Statement of Marks'!$HI$207,66,0),"")</f>
        <v/>
      </c>
      <c r="BI71" s="17">
        <f>IFERROR(VLOOKUP(B71,'Statement of Marks'!$B$8:'Statement of Marks'!$HI$207,91,0),"")</f>
        <v>60</v>
      </c>
      <c r="BJ71" s="17" t="str">
        <f>IFERROR(VLOOKUP(B71,'Statement of Marks'!$B$8:'Statement of Marks'!$HI$207,117,0),"")</f>
        <v/>
      </c>
    </row>
    <row r="72" spans="1:62" ht="24.95" customHeight="1">
      <c r="A72" s="284">
        <f>IF('Statement of Marks'!A75="","",'Statement of Marks'!A75)</f>
        <v>68</v>
      </c>
      <c r="B72" s="284" t="str">
        <f>IF('Statement of Marks'!B75="","",'Statement of Marks'!B75)</f>
        <v/>
      </c>
      <c r="C72" s="284" t="str">
        <f>IF('Statement of Marks'!C75="","",'Statement of Marks'!C75)</f>
        <v/>
      </c>
      <c r="D72" s="426" t="str">
        <f>IF('Statement of Marks'!D75="","",'Statement of Marks'!D75)</f>
        <v/>
      </c>
      <c r="E72" s="427" t="str">
        <f>IF('Statement of Marks'!E75="","",'Statement of Marks'!E75)</f>
        <v/>
      </c>
      <c r="F72" s="427" t="str">
        <f>IF('Statement of Marks'!F75="","",'Statement of Marks'!F75)</f>
        <v/>
      </c>
      <c r="G72" s="427" t="str">
        <f>IF('Statement of Marks'!G75="","",'Statement of Marks'!G75)</f>
        <v/>
      </c>
      <c r="H72" s="428" t="str">
        <f>IF(B72="","",IF('Statement of Marks'!GY75="","",'Statement of Marks'!GY75))</f>
        <v/>
      </c>
      <c r="I72" s="287" t="str">
        <f>IF(B72="","",IF('Statement of Marks'!HB75="","",'Statement of Marks'!HB75))</f>
        <v/>
      </c>
      <c r="J72" s="429" t="str">
        <f>IF(B72="","",IF('Statement of Marks'!HC75="","",'Statement of Marks'!HC75))</f>
        <v/>
      </c>
      <c r="K72" s="296" t="str">
        <f>IF(B72="","",'Statement of Marks'!FJ75)</f>
        <v/>
      </c>
      <c r="L72" s="296" t="str">
        <f>IF(B72="","",'Statement of Marks'!FM75)</f>
        <v/>
      </c>
      <c r="M72" s="296" t="str">
        <f>IF(B72="","",'Statement of Marks'!FP75)</f>
        <v/>
      </c>
      <c r="N72" s="296" t="str">
        <f>IF(B72="","",'Statement of Marks'!FW75)</f>
        <v/>
      </c>
      <c r="O72" s="296" t="str">
        <f>IF(B72="","",'Statement of Marks'!GD75)</f>
        <v/>
      </c>
      <c r="P72" s="296" t="str">
        <f>IF(B72="","",'Statement of Marks'!GK75)</f>
        <v/>
      </c>
      <c r="Q72" s="296" t="str">
        <f>IF(B72="","",'Statement of Marks'!GR75)</f>
        <v/>
      </c>
      <c r="R72" s="296" t="str">
        <f>IF(B72="","",'Statement of Marks'!FF75)</f>
        <v/>
      </c>
      <c r="S72" s="430" t="str">
        <f>IFERROR(IF(B72="","",CONCATENATE(IF(AND('Marks Entry'!U75="A"),'Marks Entry'!$U$2,IF(AND('Marks Entry'!U75="B"),'Marks Entry'!$Y$2,IF(AND('Marks Entry'!U75="C"),'Marks Entry'!$AA$2,""))),", ",IF(AND('Marks Entry'!AC75="A"),'Marks Entry'!$AC$2,IF(AND('Marks Entry'!AC75="B"),'Marks Entry'!$AG$2,IF(AND('Marks Entry'!AC75="C"),'Marks Entry'!$AI$2,""))),", ",IF(AND('Marks Entry'!AK75="A"),'Marks Entry'!$AK$2,IF(AND('Marks Entry'!AK75="B"),'Marks Entry'!$AO$2,IF(AND('Marks Entry'!AK75="C"),'Marks Entry'!$AQ$2,""))),", ",IF(AND('Statement of Marks'!DD75=""),"",IF(AND('Statement of Marks'!DD75="A"),'Marks Entry'!$AS$2,IF(AND('Statement of Marks'!DD75="B"),'Marks Entry'!$AW$2,IF(AND('Statement of Marks'!DD75="C"),'Marks Entry'!$AY$2,"")))))),"")</f>
        <v/>
      </c>
      <c r="T72" s="431" t="str">
        <f>IF(COUNTIF(K72:R72,"F")&gt;0,"",CONCATENATE('Statement of Marks'!GU75,'Statement of Marks'!GW75))</f>
        <v xml:space="preserve">           </v>
      </c>
      <c r="BG72" s="17">
        <f>IFERROR(VLOOKUP(B72,'Statement of Marks'!$B$8:'Statement of Marks'!$HI$207,41,0),"")</f>
        <v>15</v>
      </c>
      <c r="BH72" s="17" t="str">
        <f>IFERROR(VLOOKUP(B72,'Statement of Marks'!$B$8:'Statement of Marks'!$HI$207,66,0),"")</f>
        <v/>
      </c>
      <c r="BI72" s="17">
        <f>IFERROR(VLOOKUP(B72,'Statement of Marks'!$B$8:'Statement of Marks'!$HI$207,91,0),"")</f>
        <v>60</v>
      </c>
      <c r="BJ72" s="17" t="str">
        <f>IFERROR(VLOOKUP(B72,'Statement of Marks'!$B$8:'Statement of Marks'!$HI$207,117,0),"")</f>
        <v/>
      </c>
    </row>
    <row r="73" spans="1:62" ht="24.95" customHeight="1">
      <c r="A73" s="284">
        <f>IF('Statement of Marks'!A76="","",'Statement of Marks'!A76)</f>
        <v>69</v>
      </c>
      <c r="B73" s="284" t="str">
        <f>IF('Statement of Marks'!B76="","",'Statement of Marks'!B76)</f>
        <v/>
      </c>
      <c r="C73" s="284" t="str">
        <f>IF('Statement of Marks'!C76="","",'Statement of Marks'!C76)</f>
        <v/>
      </c>
      <c r="D73" s="426" t="str">
        <f>IF('Statement of Marks'!D76="","",'Statement of Marks'!D76)</f>
        <v/>
      </c>
      <c r="E73" s="427" t="str">
        <f>IF('Statement of Marks'!E76="","",'Statement of Marks'!E76)</f>
        <v/>
      </c>
      <c r="F73" s="427" t="str">
        <f>IF('Statement of Marks'!F76="","",'Statement of Marks'!F76)</f>
        <v/>
      </c>
      <c r="G73" s="427" t="str">
        <f>IF('Statement of Marks'!G76="","",'Statement of Marks'!G76)</f>
        <v/>
      </c>
      <c r="H73" s="428" t="str">
        <f>IF(B73="","",IF('Statement of Marks'!GY76="","",'Statement of Marks'!GY76))</f>
        <v/>
      </c>
      <c r="I73" s="287" t="str">
        <f>IF(B73="","",IF('Statement of Marks'!HB76="","",'Statement of Marks'!HB76))</f>
        <v/>
      </c>
      <c r="J73" s="429" t="str">
        <f>IF(B73="","",IF('Statement of Marks'!HC76="","",'Statement of Marks'!HC76))</f>
        <v/>
      </c>
      <c r="K73" s="296" t="str">
        <f>IF(B73="","",'Statement of Marks'!FJ76)</f>
        <v/>
      </c>
      <c r="L73" s="296" t="str">
        <f>IF(B73="","",'Statement of Marks'!FM76)</f>
        <v/>
      </c>
      <c r="M73" s="296" t="str">
        <f>IF(B73="","",'Statement of Marks'!FP76)</f>
        <v/>
      </c>
      <c r="N73" s="296" t="str">
        <f>IF(B73="","",'Statement of Marks'!FW76)</f>
        <v/>
      </c>
      <c r="O73" s="296" t="str">
        <f>IF(B73="","",'Statement of Marks'!GD76)</f>
        <v/>
      </c>
      <c r="P73" s="296" t="str">
        <f>IF(B73="","",'Statement of Marks'!GK76)</f>
        <v/>
      </c>
      <c r="Q73" s="296" t="str">
        <f>IF(B73="","",'Statement of Marks'!GR76)</f>
        <v/>
      </c>
      <c r="R73" s="296" t="str">
        <f>IF(B73="","",'Statement of Marks'!FF76)</f>
        <v/>
      </c>
      <c r="S73" s="430" t="str">
        <f>IFERROR(IF(B73="","",CONCATENATE(IF(AND('Marks Entry'!U76="A"),'Marks Entry'!$U$2,IF(AND('Marks Entry'!U76="B"),'Marks Entry'!$Y$2,IF(AND('Marks Entry'!U76="C"),'Marks Entry'!$AA$2,""))),", ",IF(AND('Marks Entry'!AC76="A"),'Marks Entry'!$AC$2,IF(AND('Marks Entry'!AC76="B"),'Marks Entry'!$AG$2,IF(AND('Marks Entry'!AC76="C"),'Marks Entry'!$AI$2,""))),", ",IF(AND('Marks Entry'!AK76="A"),'Marks Entry'!$AK$2,IF(AND('Marks Entry'!AK76="B"),'Marks Entry'!$AO$2,IF(AND('Marks Entry'!AK76="C"),'Marks Entry'!$AQ$2,""))),", ",IF(AND('Statement of Marks'!DD76=""),"",IF(AND('Statement of Marks'!DD76="A"),'Marks Entry'!$AS$2,IF(AND('Statement of Marks'!DD76="B"),'Marks Entry'!$AW$2,IF(AND('Statement of Marks'!DD76="C"),'Marks Entry'!$AY$2,"")))))),"")</f>
        <v/>
      </c>
      <c r="T73" s="431" t="str">
        <f>IF(COUNTIF(K73:R73,"F")&gt;0,"",CONCATENATE('Statement of Marks'!GU76,'Statement of Marks'!GW76))</f>
        <v xml:space="preserve">           </v>
      </c>
      <c r="BG73" s="17">
        <f>IFERROR(VLOOKUP(B73,'Statement of Marks'!$B$8:'Statement of Marks'!$HI$207,41,0),"")</f>
        <v>15</v>
      </c>
      <c r="BH73" s="17" t="str">
        <f>IFERROR(VLOOKUP(B73,'Statement of Marks'!$B$8:'Statement of Marks'!$HI$207,66,0),"")</f>
        <v/>
      </c>
      <c r="BI73" s="17">
        <f>IFERROR(VLOOKUP(B73,'Statement of Marks'!$B$8:'Statement of Marks'!$HI$207,91,0),"")</f>
        <v>60</v>
      </c>
      <c r="BJ73" s="17" t="str">
        <f>IFERROR(VLOOKUP(B73,'Statement of Marks'!$B$8:'Statement of Marks'!$HI$207,117,0),"")</f>
        <v/>
      </c>
    </row>
    <row r="74" spans="1:62" ht="24.95" customHeight="1">
      <c r="A74" s="284">
        <f>IF('Statement of Marks'!A77="","",'Statement of Marks'!A77)</f>
        <v>70</v>
      </c>
      <c r="B74" s="284" t="str">
        <f>IF('Statement of Marks'!B77="","",'Statement of Marks'!B77)</f>
        <v/>
      </c>
      <c r="C74" s="284" t="str">
        <f>IF('Statement of Marks'!C77="","",'Statement of Marks'!C77)</f>
        <v/>
      </c>
      <c r="D74" s="426" t="str">
        <f>IF('Statement of Marks'!D77="","",'Statement of Marks'!D77)</f>
        <v/>
      </c>
      <c r="E74" s="427" t="str">
        <f>IF('Statement of Marks'!E77="","",'Statement of Marks'!E77)</f>
        <v/>
      </c>
      <c r="F74" s="427" t="str">
        <f>IF('Statement of Marks'!F77="","",'Statement of Marks'!F77)</f>
        <v/>
      </c>
      <c r="G74" s="427" t="str">
        <f>IF('Statement of Marks'!G77="","",'Statement of Marks'!G77)</f>
        <v/>
      </c>
      <c r="H74" s="428" t="str">
        <f>IF(B74="","",IF('Statement of Marks'!GY77="","",'Statement of Marks'!GY77))</f>
        <v/>
      </c>
      <c r="I74" s="287" t="str">
        <f>IF(B74="","",IF('Statement of Marks'!HB77="","",'Statement of Marks'!HB77))</f>
        <v/>
      </c>
      <c r="J74" s="429" t="str">
        <f>IF(B74="","",IF('Statement of Marks'!HC77="","",'Statement of Marks'!HC77))</f>
        <v/>
      </c>
      <c r="K74" s="296" t="str">
        <f>IF(B74="","",'Statement of Marks'!FJ77)</f>
        <v/>
      </c>
      <c r="L74" s="296" t="str">
        <f>IF(B74="","",'Statement of Marks'!FM77)</f>
        <v/>
      </c>
      <c r="M74" s="296" t="str">
        <f>IF(B74="","",'Statement of Marks'!FP77)</f>
        <v/>
      </c>
      <c r="N74" s="296" t="str">
        <f>IF(B74="","",'Statement of Marks'!FW77)</f>
        <v/>
      </c>
      <c r="O74" s="296" t="str">
        <f>IF(B74="","",'Statement of Marks'!GD77)</f>
        <v/>
      </c>
      <c r="P74" s="296" t="str">
        <f>IF(B74="","",'Statement of Marks'!GK77)</f>
        <v/>
      </c>
      <c r="Q74" s="296" t="str">
        <f>IF(B74="","",'Statement of Marks'!GR77)</f>
        <v/>
      </c>
      <c r="R74" s="296" t="str">
        <f>IF(B74="","",'Statement of Marks'!FF77)</f>
        <v/>
      </c>
      <c r="S74" s="430" t="str">
        <f>IFERROR(IF(B74="","",CONCATENATE(IF(AND('Marks Entry'!U77="A"),'Marks Entry'!$U$2,IF(AND('Marks Entry'!U77="B"),'Marks Entry'!$Y$2,IF(AND('Marks Entry'!U77="C"),'Marks Entry'!$AA$2,""))),", ",IF(AND('Marks Entry'!AC77="A"),'Marks Entry'!$AC$2,IF(AND('Marks Entry'!AC77="B"),'Marks Entry'!$AG$2,IF(AND('Marks Entry'!AC77="C"),'Marks Entry'!$AI$2,""))),", ",IF(AND('Marks Entry'!AK77="A"),'Marks Entry'!$AK$2,IF(AND('Marks Entry'!AK77="B"),'Marks Entry'!$AO$2,IF(AND('Marks Entry'!AK77="C"),'Marks Entry'!$AQ$2,""))),", ",IF(AND('Statement of Marks'!DD77=""),"",IF(AND('Statement of Marks'!DD77="A"),'Marks Entry'!$AS$2,IF(AND('Statement of Marks'!DD77="B"),'Marks Entry'!$AW$2,IF(AND('Statement of Marks'!DD77="C"),'Marks Entry'!$AY$2,"")))))),"")</f>
        <v/>
      </c>
      <c r="T74" s="431" t="str">
        <f>IF(COUNTIF(K74:R74,"F")&gt;0,"",CONCATENATE('Statement of Marks'!GU77,'Statement of Marks'!GW77))</f>
        <v xml:space="preserve">           </v>
      </c>
      <c r="BG74" s="17">
        <f>IFERROR(VLOOKUP(B74,'Statement of Marks'!$B$8:'Statement of Marks'!$HI$207,41,0),"")</f>
        <v>15</v>
      </c>
      <c r="BH74" s="17" t="str">
        <f>IFERROR(VLOOKUP(B74,'Statement of Marks'!$B$8:'Statement of Marks'!$HI$207,66,0),"")</f>
        <v/>
      </c>
      <c r="BI74" s="17">
        <f>IFERROR(VLOOKUP(B74,'Statement of Marks'!$B$8:'Statement of Marks'!$HI$207,91,0),"")</f>
        <v>60</v>
      </c>
      <c r="BJ74" s="17" t="str">
        <f>IFERROR(VLOOKUP(B74,'Statement of Marks'!$B$8:'Statement of Marks'!$HI$207,117,0),"")</f>
        <v/>
      </c>
    </row>
    <row r="75" spans="1:62" ht="24.95" customHeight="1">
      <c r="A75" s="284">
        <f>IF('Statement of Marks'!A78="","",'Statement of Marks'!A78)</f>
        <v>71</v>
      </c>
      <c r="B75" s="284" t="str">
        <f>IF('Statement of Marks'!B78="","",'Statement of Marks'!B78)</f>
        <v/>
      </c>
      <c r="C75" s="284" t="str">
        <f>IF('Statement of Marks'!C78="","",'Statement of Marks'!C78)</f>
        <v/>
      </c>
      <c r="D75" s="426" t="str">
        <f>IF('Statement of Marks'!D78="","",'Statement of Marks'!D78)</f>
        <v/>
      </c>
      <c r="E75" s="427" t="str">
        <f>IF('Statement of Marks'!E78="","",'Statement of Marks'!E78)</f>
        <v/>
      </c>
      <c r="F75" s="427" t="str">
        <f>IF('Statement of Marks'!F78="","",'Statement of Marks'!F78)</f>
        <v/>
      </c>
      <c r="G75" s="427" t="str">
        <f>IF('Statement of Marks'!G78="","",'Statement of Marks'!G78)</f>
        <v/>
      </c>
      <c r="H75" s="428" t="str">
        <f>IF(B75="","",IF('Statement of Marks'!GY78="","",'Statement of Marks'!GY78))</f>
        <v/>
      </c>
      <c r="I75" s="287" t="str">
        <f>IF(B75="","",IF('Statement of Marks'!HB78="","",'Statement of Marks'!HB78))</f>
        <v/>
      </c>
      <c r="J75" s="429" t="str">
        <f>IF(B75="","",IF('Statement of Marks'!HC78="","",'Statement of Marks'!HC78))</f>
        <v/>
      </c>
      <c r="K75" s="296" t="str">
        <f>IF(B75="","",'Statement of Marks'!FJ78)</f>
        <v/>
      </c>
      <c r="L75" s="296" t="str">
        <f>IF(B75="","",'Statement of Marks'!FM78)</f>
        <v/>
      </c>
      <c r="M75" s="296" t="str">
        <f>IF(B75="","",'Statement of Marks'!FP78)</f>
        <v/>
      </c>
      <c r="N75" s="296" t="str">
        <f>IF(B75="","",'Statement of Marks'!FW78)</f>
        <v/>
      </c>
      <c r="O75" s="296" t="str">
        <f>IF(B75="","",'Statement of Marks'!GD78)</f>
        <v/>
      </c>
      <c r="P75" s="296" t="str">
        <f>IF(B75="","",'Statement of Marks'!GK78)</f>
        <v/>
      </c>
      <c r="Q75" s="296" t="str">
        <f>IF(B75="","",'Statement of Marks'!GR78)</f>
        <v/>
      </c>
      <c r="R75" s="296" t="str">
        <f>IF(B75="","",'Statement of Marks'!FF78)</f>
        <v/>
      </c>
      <c r="S75" s="430" t="str">
        <f>IFERROR(IF(B75="","",CONCATENATE(IF(AND('Marks Entry'!U78="A"),'Marks Entry'!$U$2,IF(AND('Marks Entry'!U78="B"),'Marks Entry'!$Y$2,IF(AND('Marks Entry'!U78="C"),'Marks Entry'!$AA$2,""))),", ",IF(AND('Marks Entry'!AC78="A"),'Marks Entry'!$AC$2,IF(AND('Marks Entry'!AC78="B"),'Marks Entry'!$AG$2,IF(AND('Marks Entry'!AC78="C"),'Marks Entry'!$AI$2,""))),", ",IF(AND('Marks Entry'!AK78="A"),'Marks Entry'!$AK$2,IF(AND('Marks Entry'!AK78="B"),'Marks Entry'!$AO$2,IF(AND('Marks Entry'!AK78="C"),'Marks Entry'!$AQ$2,""))),", ",IF(AND('Statement of Marks'!DD78=""),"",IF(AND('Statement of Marks'!DD78="A"),'Marks Entry'!$AS$2,IF(AND('Statement of Marks'!DD78="B"),'Marks Entry'!$AW$2,IF(AND('Statement of Marks'!DD78="C"),'Marks Entry'!$AY$2,"")))))),"")</f>
        <v/>
      </c>
      <c r="T75" s="431" t="str">
        <f>IF(COUNTIF(K75:R75,"F")&gt;0,"",CONCATENATE('Statement of Marks'!GU78,'Statement of Marks'!GW78))</f>
        <v xml:space="preserve">           </v>
      </c>
      <c r="BG75" s="17">
        <f>IFERROR(VLOOKUP(B75,'Statement of Marks'!$B$8:'Statement of Marks'!$HI$207,41,0),"")</f>
        <v>15</v>
      </c>
      <c r="BH75" s="17" t="str">
        <f>IFERROR(VLOOKUP(B75,'Statement of Marks'!$B$8:'Statement of Marks'!$HI$207,66,0),"")</f>
        <v/>
      </c>
      <c r="BI75" s="17">
        <f>IFERROR(VLOOKUP(B75,'Statement of Marks'!$B$8:'Statement of Marks'!$HI$207,91,0),"")</f>
        <v>60</v>
      </c>
      <c r="BJ75" s="17" t="str">
        <f>IFERROR(VLOOKUP(B75,'Statement of Marks'!$B$8:'Statement of Marks'!$HI$207,117,0),"")</f>
        <v/>
      </c>
    </row>
    <row r="76" spans="1:62" ht="24.95" customHeight="1">
      <c r="A76" s="284">
        <f>IF('Statement of Marks'!A79="","",'Statement of Marks'!A79)</f>
        <v>72</v>
      </c>
      <c r="B76" s="284" t="str">
        <f>IF('Statement of Marks'!B79="","",'Statement of Marks'!B79)</f>
        <v/>
      </c>
      <c r="C76" s="284" t="str">
        <f>IF('Statement of Marks'!C79="","",'Statement of Marks'!C79)</f>
        <v/>
      </c>
      <c r="D76" s="426" t="str">
        <f>IF('Statement of Marks'!D79="","",'Statement of Marks'!D79)</f>
        <v/>
      </c>
      <c r="E76" s="427" t="str">
        <f>IF('Statement of Marks'!E79="","",'Statement of Marks'!E79)</f>
        <v/>
      </c>
      <c r="F76" s="427" t="str">
        <f>IF('Statement of Marks'!F79="","",'Statement of Marks'!F79)</f>
        <v/>
      </c>
      <c r="G76" s="427" t="str">
        <f>IF('Statement of Marks'!G79="","",'Statement of Marks'!G79)</f>
        <v/>
      </c>
      <c r="H76" s="428" t="str">
        <f>IF(B76="","",IF('Statement of Marks'!GY79="","",'Statement of Marks'!GY79))</f>
        <v/>
      </c>
      <c r="I76" s="287" t="str">
        <f>IF(B76="","",IF('Statement of Marks'!HB79="","",'Statement of Marks'!HB79))</f>
        <v/>
      </c>
      <c r="J76" s="429" t="str">
        <f>IF(B76="","",IF('Statement of Marks'!HC79="","",'Statement of Marks'!HC79))</f>
        <v/>
      </c>
      <c r="K76" s="296" t="str">
        <f>IF(B76="","",'Statement of Marks'!FJ79)</f>
        <v/>
      </c>
      <c r="L76" s="296" t="str">
        <f>IF(B76="","",'Statement of Marks'!FM79)</f>
        <v/>
      </c>
      <c r="M76" s="296" t="str">
        <f>IF(B76="","",'Statement of Marks'!FP79)</f>
        <v/>
      </c>
      <c r="N76" s="296" t="str">
        <f>IF(B76="","",'Statement of Marks'!FW79)</f>
        <v/>
      </c>
      <c r="O76" s="296" t="str">
        <f>IF(B76="","",'Statement of Marks'!GD79)</f>
        <v/>
      </c>
      <c r="P76" s="296" t="str">
        <f>IF(B76="","",'Statement of Marks'!GK79)</f>
        <v/>
      </c>
      <c r="Q76" s="296" t="str">
        <f>IF(B76="","",'Statement of Marks'!GR79)</f>
        <v/>
      </c>
      <c r="R76" s="296" t="str">
        <f>IF(B76="","",'Statement of Marks'!FF79)</f>
        <v/>
      </c>
      <c r="S76" s="430" t="str">
        <f>IFERROR(IF(B76="","",CONCATENATE(IF(AND('Marks Entry'!U79="A"),'Marks Entry'!$U$2,IF(AND('Marks Entry'!U79="B"),'Marks Entry'!$Y$2,IF(AND('Marks Entry'!U79="C"),'Marks Entry'!$AA$2,""))),", ",IF(AND('Marks Entry'!AC79="A"),'Marks Entry'!$AC$2,IF(AND('Marks Entry'!AC79="B"),'Marks Entry'!$AG$2,IF(AND('Marks Entry'!AC79="C"),'Marks Entry'!$AI$2,""))),", ",IF(AND('Marks Entry'!AK79="A"),'Marks Entry'!$AK$2,IF(AND('Marks Entry'!AK79="B"),'Marks Entry'!$AO$2,IF(AND('Marks Entry'!AK79="C"),'Marks Entry'!$AQ$2,""))),", ",IF(AND('Statement of Marks'!DD79=""),"",IF(AND('Statement of Marks'!DD79="A"),'Marks Entry'!$AS$2,IF(AND('Statement of Marks'!DD79="B"),'Marks Entry'!$AW$2,IF(AND('Statement of Marks'!DD79="C"),'Marks Entry'!$AY$2,"")))))),"")</f>
        <v/>
      </c>
      <c r="T76" s="431" t="str">
        <f>IF(COUNTIF(K76:R76,"F")&gt;0,"",CONCATENATE('Statement of Marks'!GU79,'Statement of Marks'!GW79))</f>
        <v xml:space="preserve">           </v>
      </c>
      <c r="BG76" s="17">
        <f>IFERROR(VLOOKUP(B76,'Statement of Marks'!$B$8:'Statement of Marks'!$HI$207,41,0),"")</f>
        <v>15</v>
      </c>
      <c r="BH76" s="17" t="str">
        <f>IFERROR(VLOOKUP(B76,'Statement of Marks'!$B$8:'Statement of Marks'!$HI$207,66,0),"")</f>
        <v/>
      </c>
      <c r="BI76" s="17">
        <f>IFERROR(VLOOKUP(B76,'Statement of Marks'!$B$8:'Statement of Marks'!$HI$207,91,0),"")</f>
        <v>60</v>
      </c>
      <c r="BJ76" s="17" t="str">
        <f>IFERROR(VLOOKUP(B76,'Statement of Marks'!$B$8:'Statement of Marks'!$HI$207,117,0),"")</f>
        <v/>
      </c>
    </row>
    <row r="77" spans="1:62" ht="24.95" customHeight="1">
      <c r="A77" s="284">
        <f>IF('Statement of Marks'!A80="","",'Statement of Marks'!A80)</f>
        <v>73</v>
      </c>
      <c r="B77" s="284" t="str">
        <f>IF('Statement of Marks'!B80="","",'Statement of Marks'!B80)</f>
        <v/>
      </c>
      <c r="C77" s="284" t="str">
        <f>IF('Statement of Marks'!C80="","",'Statement of Marks'!C80)</f>
        <v/>
      </c>
      <c r="D77" s="426" t="str">
        <f>IF('Statement of Marks'!D80="","",'Statement of Marks'!D80)</f>
        <v/>
      </c>
      <c r="E77" s="427" t="str">
        <f>IF('Statement of Marks'!E80="","",'Statement of Marks'!E80)</f>
        <v/>
      </c>
      <c r="F77" s="427" t="str">
        <f>IF('Statement of Marks'!F80="","",'Statement of Marks'!F80)</f>
        <v/>
      </c>
      <c r="G77" s="427" t="str">
        <f>IF('Statement of Marks'!G80="","",'Statement of Marks'!G80)</f>
        <v/>
      </c>
      <c r="H77" s="428" t="str">
        <f>IF(B77="","",IF('Statement of Marks'!GY80="","",'Statement of Marks'!GY80))</f>
        <v/>
      </c>
      <c r="I77" s="287" t="str">
        <f>IF(B77="","",IF('Statement of Marks'!HB80="","",'Statement of Marks'!HB80))</f>
        <v/>
      </c>
      <c r="J77" s="429" t="str">
        <f>IF(B77="","",IF('Statement of Marks'!HC80="","",'Statement of Marks'!HC80))</f>
        <v/>
      </c>
      <c r="K77" s="296" t="str">
        <f>IF(B77="","",'Statement of Marks'!FJ80)</f>
        <v/>
      </c>
      <c r="L77" s="296" t="str">
        <f>IF(B77="","",'Statement of Marks'!FM80)</f>
        <v/>
      </c>
      <c r="M77" s="296" t="str">
        <f>IF(B77="","",'Statement of Marks'!FP80)</f>
        <v/>
      </c>
      <c r="N77" s="296" t="str">
        <f>IF(B77="","",'Statement of Marks'!FW80)</f>
        <v/>
      </c>
      <c r="O77" s="296" t="str">
        <f>IF(B77="","",'Statement of Marks'!GD80)</f>
        <v/>
      </c>
      <c r="P77" s="296" t="str">
        <f>IF(B77="","",'Statement of Marks'!GK80)</f>
        <v/>
      </c>
      <c r="Q77" s="296" t="str">
        <f>IF(B77="","",'Statement of Marks'!GR80)</f>
        <v/>
      </c>
      <c r="R77" s="296" t="str">
        <f>IF(B77="","",'Statement of Marks'!FF80)</f>
        <v/>
      </c>
      <c r="S77" s="430" t="str">
        <f>IFERROR(IF(B77="","",CONCATENATE(IF(AND('Marks Entry'!U80="A"),'Marks Entry'!$U$2,IF(AND('Marks Entry'!U80="B"),'Marks Entry'!$Y$2,IF(AND('Marks Entry'!U80="C"),'Marks Entry'!$AA$2,""))),", ",IF(AND('Marks Entry'!AC80="A"),'Marks Entry'!$AC$2,IF(AND('Marks Entry'!AC80="B"),'Marks Entry'!$AG$2,IF(AND('Marks Entry'!AC80="C"),'Marks Entry'!$AI$2,""))),", ",IF(AND('Marks Entry'!AK80="A"),'Marks Entry'!$AK$2,IF(AND('Marks Entry'!AK80="B"),'Marks Entry'!$AO$2,IF(AND('Marks Entry'!AK80="C"),'Marks Entry'!$AQ$2,""))),", ",IF(AND('Statement of Marks'!DD80=""),"",IF(AND('Statement of Marks'!DD80="A"),'Marks Entry'!$AS$2,IF(AND('Statement of Marks'!DD80="B"),'Marks Entry'!$AW$2,IF(AND('Statement of Marks'!DD80="C"),'Marks Entry'!$AY$2,"")))))),"")</f>
        <v/>
      </c>
      <c r="T77" s="431" t="str">
        <f>IF(COUNTIF(K77:R77,"F")&gt;0,"",CONCATENATE('Statement of Marks'!GU80,'Statement of Marks'!GW80))</f>
        <v xml:space="preserve">           </v>
      </c>
      <c r="BG77" s="17">
        <f>IFERROR(VLOOKUP(B77,'Statement of Marks'!$B$8:'Statement of Marks'!$HI$207,41,0),"")</f>
        <v>15</v>
      </c>
      <c r="BH77" s="17" t="str">
        <f>IFERROR(VLOOKUP(B77,'Statement of Marks'!$B$8:'Statement of Marks'!$HI$207,66,0),"")</f>
        <v/>
      </c>
      <c r="BI77" s="17">
        <f>IFERROR(VLOOKUP(B77,'Statement of Marks'!$B$8:'Statement of Marks'!$HI$207,91,0),"")</f>
        <v>60</v>
      </c>
      <c r="BJ77" s="17" t="str">
        <f>IFERROR(VLOOKUP(B77,'Statement of Marks'!$B$8:'Statement of Marks'!$HI$207,117,0),"")</f>
        <v/>
      </c>
    </row>
    <row r="78" spans="1:62" ht="24.95" customHeight="1">
      <c r="A78" s="284">
        <f>IF('Statement of Marks'!A81="","",'Statement of Marks'!A81)</f>
        <v>74</v>
      </c>
      <c r="B78" s="284" t="str">
        <f>IF('Statement of Marks'!B81="","",'Statement of Marks'!B81)</f>
        <v/>
      </c>
      <c r="C78" s="284" t="str">
        <f>IF('Statement of Marks'!C81="","",'Statement of Marks'!C81)</f>
        <v/>
      </c>
      <c r="D78" s="426" t="str">
        <f>IF('Statement of Marks'!D81="","",'Statement of Marks'!D81)</f>
        <v/>
      </c>
      <c r="E78" s="427" t="str">
        <f>IF('Statement of Marks'!E81="","",'Statement of Marks'!E81)</f>
        <v/>
      </c>
      <c r="F78" s="427" t="str">
        <f>IF('Statement of Marks'!F81="","",'Statement of Marks'!F81)</f>
        <v/>
      </c>
      <c r="G78" s="427" t="str">
        <f>IF('Statement of Marks'!G81="","",'Statement of Marks'!G81)</f>
        <v/>
      </c>
      <c r="H78" s="428" t="str">
        <f>IF(B78="","",IF('Statement of Marks'!GY81="","",'Statement of Marks'!GY81))</f>
        <v/>
      </c>
      <c r="I78" s="287" t="str">
        <f>IF(B78="","",IF('Statement of Marks'!HB81="","",'Statement of Marks'!HB81))</f>
        <v/>
      </c>
      <c r="J78" s="429" t="str">
        <f>IF(B78="","",IF('Statement of Marks'!HC81="","",'Statement of Marks'!HC81))</f>
        <v/>
      </c>
      <c r="K78" s="296" t="str">
        <f>IF(B78="","",'Statement of Marks'!FJ81)</f>
        <v/>
      </c>
      <c r="L78" s="296" t="str">
        <f>IF(B78="","",'Statement of Marks'!FM81)</f>
        <v/>
      </c>
      <c r="M78" s="296" t="str">
        <f>IF(B78="","",'Statement of Marks'!FP81)</f>
        <v/>
      </c>
      <c r="N78" s="296" t="str">
        <f>IF(B78="","",'Statement of Marks'!FW81)</f>
        <v/>
      </c>
      <c r="O78" s="296" t="str">
        <f>IF(B78="","",'Statement of Marks'!GD81)</f>
        <v/>
      </c>
      <c r="P78" s="296" t="str">
        <f>IF(B78="","",'Statement of Marks'!GK81)</f>
        <v/>
      </c>
      <c r="Q78" s="296" t="str">
        <f>IF(B78="","",'Statement of Marks'!GR81)</f>
        <v/>
      </c>
      <c r="R78" s="296" t="str">
        <f>IF(B78="","",'Statement of Marks'!FF81)</f>
        <v/>
      </c>
      <c r="S78" s="430" t="str">
        <f>IFERROR(IF(B78="","",CONCATENATE(IF(AND('Marks Entry'!U81="A"),'Marks Entry'!$U$2,IF(AND('Marks Entry'!U81="B"),'Marks Entry'!$Y$2,IF(AND('Marks Entry'!U81="C"),'Marks Entry'!$AA$2,""))),", ",IF(AND('Marks Entry'!AC81="A"),'Marks Entry'!$AC$2,IF(AND('Marks Entry'!AC81="B"),'Marks Entry'!$AG$2,IF(AND('Marks Entry'!AC81="C"),'Marks Entry'!$AI$2,""))),", ",IF(AND('Marks Entry'!AK81="A"),'Marks Entry'!$AK$2,IF(AND('Marks Entry'!AK81="B"),'Marks Entry'!$AO$2,IF(AND('Marks Entry'!AK81="C"),'Marks Entry'!$AQ$2,""))),", ",IF(AND('Statement of Marks'!DD81=""),"",IF(AND('Statement of Marks'!DD81="A"),'Marks Entry'!$AS$2,IF(AND('Statement of Marks'!DD81="B"),'Marks Entry'!$AW$2,IF(AND('Statement of Marks'!DD81="C"),'Marks Entry'!$AY$2,"")))))),"")</f>
        <v/>
      </c>
      <c r="T78" s="431" t="str">
        <f>IF(COUNTIF(K78:R78,"F")&gt;0,"",CONCATENATE('Statement of Marks'!GU81,'Statement of Marks'!GW81))</f>
        <v xml:space="preserve">           </v>
      </c>
      <c r="BG78" s="17">
        <f>IFERROR(VLOOKUP(B78,'Statement of Marks'!$B$8:'Statement of Marks'!$HI$207,41,0),"")</f>
        <v>15</v>
      </c>
      <c r="BH78" s="17" t="str">
        <f>IFERROR(VLOOKUP(B78,'Statement of Marks'!$B$8:'Statement of Marks'!$HI$207,66,0),"")</f>
        <v/>
      </c>
      <c r="BI78" s="17">
        <f>IFERROR(VLOOKUP(B78,'Statement of Marks'!$B$8:'Statement of Marks'!$HI$207,91,0),"")</f>
        <v>60</v>
      </c>
      <c r="BJ78" s="17" t="str">
        <f>IFERROR(VLOOKUP(B78,'Statement of Marks'!$B$8:'Statement of Marks'!$HI$207,117,0),"")</f>
        <v/>
      </c>
    </row>
    <row r="79" spans="1:62" ht="24.95" customHeight="1">
      <c r="A79" s="284">
        <f>IF('Statement of Marks'!A82="","",'Statement of Marks'!A82)</f>
        <v>75</v>
      </c>
      <c r="B79" s="284" t="str">
        <f>IF('Statement of Marks'!B82="","",'Statement of Marks'!B82)</f>
        <v/>
      </c>
      <c r="C79" s="284" t="str">
        <f>IF('Statement of Marks'!C82="","",'Statement of Marks'!C82)</f>
        <v/>
      </c>
      <c r="D79" s="426" t="str">
        <f>IF('Statement of Marks'!D82="","",'Statement of Marks'!D82)</f>
        <v/>
      </c>
      <c r="E79" s="427" t="str">
        <f>IF('Statement of Marks'!E82="","",'Statement of Marks'!E82)</f>
        <v/>
      </c>
      <c r="F79" s="427" t="str">
        <f>IF('Statement of Marks'!F82="","",'Statement of Marks'!F82)</f>
        <v/>
      </c>
      <c r="G79" s="427" t="str">
        <f>IF('Statement of Marks'!G82="","",'Statement of Marks'!G82)</f>
        <v/>
      </c>
      <c r="H79" s="428" t="str">
        <f>IF(B79="","",IF('Statement of Marks'!GY82="","",'Statement of Marks'!GY82))</f>
        <v/>
      </c>
      <c r="I79" s="287" t="str">
        <f>IF(B79="","",IF('Statement of Marks'!HB82="","",'Statement of Marks'!HB82))</f>
        <v/>
      </c>
      <c r="J79" s="429" t="str">
        <f>IF(B79="","",IF('Statement of Marks'!HC82="","",'Statement of Marks'!HC82))</f>
        <v/>
      </c>
      <c r="K79" s="296" t="str">
        <f>IF(B79="","",'Statement of Marks'!FJ82)</f>
        <v/>
      </c>
      <c r="L79" s="296" t="str">
        <f>IF(B79="","",'Statement of Marks'!FM82)</f>
        <v/>
      </c>
      <c r="M79" s="296" t="str">
        <f>IF(B79="","",'Statement of Marks'!FP82)</f>
        <v/>
      </c>
      <c r="N79" s="296" t="str">
        <f>IF(B79="","",'Statement of Marks'!FW82)</f>
        <v/>
      </c>
      <c r="O79" s="296" t="str">
        <f>IF(B79="","",'Statement of Marks'!GD82)</f>
        <v/>
      </c>
      <c r="P79" s="296" t="str">
        <f>IF(B79="","",'Statement of Marks'!GK82)</f>
        <v/>
      </c>
      <c r="Q79" s="296" t="str">
        <f>IF(B79="","",'Statement of Marks'!GR82)</f>
        <v/>
      </c>
      <c r="R79" s="296" t="str">
        <f>IF(B79="","",'Statement of Marks'!FF82)</f>
        <v/>
      </c>
      <c r="S79" s="430" t="str">
        <f>IFERROR(IF(B79="","",CONCATENATE(IF(AND('Marks Entry'!U82="A"),'Marks Entry'!$U$2,IF(AND('Marks Entry'!U82="B"),'Marks Entry'!$Y$2,IF(AND('Marks Entry'!U82="C"),'Marks Entry'!$AA$2,""))),", ",IF(AND('Marks Entry'!AC82="A"),'Marks Entry'!$AC$2,IF(AND('Marks Entry'!AC82="B"),'Marks Entry'!$AG$2,IF(AND('Marks Entry'!AC82="C"),'Marks Entry'!$AI$2,""))),", ",IF(AND('Marks Entry'!AK82="A"),'Marks Entry'!$AK$2,IF(AND('Marks Entry'!AK82="B"),'Marks Entry'!$AO$2,IF(AND('Marks Entry'!AK82="C"),'Marks Entry'!$AQ$2,""))),", ",IF(AND('Statement of Marks'!DD82=""),"",IF(AND('Statement of Marks'!DD82="A"),'Marks Entry'!$AS$2,IF(AND('Statement of Marks'!DD82="B"),'Marks Entry'!$AW$2,IF(AND('Statement of Marks'!DD82="C"),'Marks Entry'!$AY$2,"")))))),"")</f>
        <v/>
      </c>
      <c r="T79" s="431" t="str">
        <f>IF(COUNTIF(K79:R79,"F")&gt;0,"",CONCATENATE('Statement of Marks'!GU82,'Statement of Marks'!GW82))</f>
        <v xml:space="preserve">           </v>
      </c>
      <c r="BG79" s="17">
        <f>IFERROR(VLOOKUP(B79,'Statement of Marks'!$B$8:'Statement of Marks'!$HI$207,41,0),"")</f>
        <v>15</v>
      </c>
      <c r="BH79" s="17" t="str">
        <f>IFERROR(VLOOKUP(B79,'Statement of Marks'!$B$8:'Statement of Marks'!$HI$207,66,0),"")</f>
        <v/>
      </c>
      <c r="BI79" s="17">
        <f>IFERROR(VLOOKUP(B79,'Statement of Marks'!$B$8:'Statement of Marks'!$HI$207,91,0),"")</f>
        <v>60</v>
      </c>
      <c r="BJ79" s="17" t="str">
        <f>IFERROR(VLOOKUP(B79,'Statement of Marks'!$B$8:'Statement of Marks'!$HI$207,117,0),"")</f>
        <v/>
      </c>
    </row>
    <row r="80" spans="1:62" ht="24.95" customHeight="1">
      <c r="A80" s="284">
        <f>IF('Statement of Marks'!A83="","",'Statement of Marks'!A83)</f>
        <v>76</v>
      </c>
      <c r="B80" s="284" t="str">
        <f>IF('Statement of Marks'!B83="","",'Statement of Marks'!B83)</f>
        <v/>
      </c>
      <c r="C80" s="284" t="str">
        <f>IF('Statement of Marks'!C83="","",'Statement of Marks'!C83)</f>
        <v/>
      </c>
      <c r="D80" s="426" t="str">
        <f>IF('Statement of Marks'!D83="","",'Statement of Marks'!D83)</f>
        <v/>
      </c>
      <c r="E80" s="427" t="str">
        <f>IF('Statement of Marks'!E83="","",'Statement of Marks'!E83)</f>
        <v/>
      </c>
      <c r="F80" s="427" t="str">
        <f>IF('Statement of Marks'!F83="","",'Statement of Marks'!F83)</f>
        <v/>
      </c>
      <c r="G80" s="427" t="str">
        <f>IF('Statement of Marks'!G83="","",'Statement of Marks'!G83)</f>
        <v/>
      </c>
      <c r="H80" s="428" t="str">
        <f>IF(B80="","",IF('Statement of Marks'!GY83="","",'Statement of Marks'!GY83))</f>
        <v/>
      </c>
      <c r="I80" s="287" t="str">
        <f>IF(B80="","",IF('Statement of Marks'!HB83="","",'Statement of Marks'!HB83))</f>
        <v/>
      </c>
      <c r="J80" s="429" t="str">
        <f>IF(B80="","",IF('Statement of Marks'!HC83="","",'Statement of Marks'!HC83))</f>
        <v/>
      </c>
      <c r="K80" s="296" t="str">
        <f>IF(B80="","",'Statement of Marks'!FJ83)</f>
        <v/>
      </c>
      <c r="L80" s="296" t="str">
        <f>IF(B80="","",'Statement of Marks'!FM83)</f>
        <v/>
      </c>
      <c r="M80" s="296" t="str">
        <f>IF(B80="","",'Statement of Marks'!FP83)</f>
        <v/>
      </c>
      <c r="N80" s="296" t="str">
        <f>IF(B80="","",'Statement of Marks'!FW83)</f>
        <v/>
      </c>
      <c r="O80" s="296" t="str">
        <f>IF(B80="","",'Statement of Marks'!GD83)</f>
        <v/>
      </c>
      <c r="P80" s="296" t="str">
        <f>IF(B80="","",'Statement of Marks'!GK83)</f>
        <v/>
      </c>
      <c r="Q80" s="296" t="str">
        <f>IF(B80="","",'Statement of Marks'!GR83)</f>
        <v/>
      </c>
      <c r="R80" s="296" t="str">
        <f>IF(B80="","",'Statement of Marks'!FF83)</f>
        <v/>
      </c>
      <c r="S80" s="430" t="str">
        <f>IFERROR(IF(B80="","",CONCATENATE(IF(AND('Marks Entry'!U83="A"),'Marks Entry'!$U$2,IF(AND('Marks Entry'!U83="B"),'Marks Entry'!$Y$2,IF(AND('Marks Entry'!U83="C"),'Marks Entry'!$AA$2,""))),", ",IF(AND('Marks Entry'!AC83="A"),'Marks Entry'!$AC$2,IF(AND('Marks Entry'!AC83="B"),'Marks Entry'!$AG$2,IF(AND('Marks Entry'!AC83="C"),'Marks Entry'!$AI$2,""))),", ",IF(AND('Marks Entry'!AK83="A"),'Marks Entry'!$AK$2,IF(AND('Marks Entry'!AK83="B"),'Marks Entry'!$AO$2,IF(AND('Marks Entry'!AK83="C"),'Marks Entry'!$AQ$2,""))),", ",IF(AND('Statement of Marks'!DD83=""),"",IF(AND('Statement of Marks'!DD83="A"),'Marks Entry'!$AS$2,IF(AND('Statement of Marks'!DD83="B"),'Marks Entry'!$AW$2,IF(AND('Statement of Marks'!DD83="C"),'Marks Entry'!$AY$2,"")))))),"")</f>
        <v/>
      </c>
      <c r="T80" s="431" t="str">
        <f>IF(COUNTIF(K80:R80,"F")&gt;0,"",CONCATENATE('Statement of Marks'!GU83,'Statement of Marks'!GW83))</f>
        <v xml:space="preserve">           </v>
      </c>
      <c r="BG80" s="17">
        <f>IFERROR(VLOOKUP(B80,'Statement of Marks'!$B$8:'Statement of Marks'!$HI$207,41,0),"")</f>
        <v>15</v>
      </c>
      <c r="BH80" s="17" t="str">
        <f>IFERROR(VLOOKUP(B80,'Statement of Marks'!$B$8:'Statement of Marks'!$HI$207,66,0),"")</f>
        <v/>
      </c>
      <c r="BI80" s="17">
        <f>IFERROR(VLOOKUP(B80,'Statement of Marks'!$B$8:'Statement of Marks'!$HI$207,91,0),"")</f>
        <v>60</v>
      </c>
      <c r="BJ80" s="17" t="str">
        <f>IFERROR(VLOOKUP(B80,'Statement of Marks'!$B$8:'Statement of Marks'!$HI$207,117,0),"")</f>
        <v/>
      </c>
    </row>
    <row r="81" spans="1:62" ht="24.95" customHeight="1">
      <c r="A81" s="284">
        <f>IF('Statement of Marks'!A84="","",'Statement of Marks'!A84)</f>
        <v>77</v>
      </c>
      <c r="B81" s="284" t="str">
        <f>IF('Statement of Marks'!B84="","",'Statement of Marks'!B84)</f>
        <v/>
      </c>
      <c r="C81" s="284" t="str">
        <f>IF('Statement of Marks'!C84="","",'Statement of Marks'!C84)</f>
        <v/>
      </c>
      <c r="D81" s="426" t="str">
        <f>IF('Statement of Marks'!D84="","",'Statement of Marks'!D84)</f>
        <v/>
      </c>
      <c r="E81" s="427" t="str">
        <f>IF('Statement of Marks'!E84="","",'Statement of Marks'!E84)</f>
        <v/>
      </c>
      <c r="F81" s="427" t="str">
        <f>IF('Statement of Marks'!F84="","",'Statement of Marks'!F84)</f>
        <v/>
      </c>
      <c r="G81" s="427" t="str">
        <f>IF('Statement of Marks'!G84="","",'Statement of Marks'!G84)</f>
        <v/>
      </c>
      <c r="H81" s="428" t="str">
        <f>IF(B81="","",IF('Statement of Marks'!GY84="","",'Statement of Marks'!GY84))</f>
        <v/>
      </c>
      <c r="I81" s="287" t="str">
        <f>IF(B81="","",IF('Statement of Marks'!HB84="","",'Statement of Marks'!HB84))</f>
        <v/>
      </c>
      <c r="J81" s="429" t="str">
        <f>IF(B81="","",IF('Statement of Marks'!HC84="","",'Statement of Marks'!HC84))</f>
        <v/>
      </c>
      <c r="K81" s="296" t="str">
        <f>IF(B81="","",'Statement of Marks'!FJ84)</f>
        <v/>
      </c>
      <c r="L81" s="296" t="str">
        <f>IF(B81="","",'Statement of Marks'!FM84)</f>
        <v/>
      </c>
      <c r="M81" s="296" t="str">
        <f>IF(B81="","",'Statement of Marks'!FP84)</f>
        <v/>
      </c>
      <c r="N81" s="296" t="str">
        <f>IF(B81="","",'Statement of Marks'!FW84)</f>
        <v/>
      </c>
      <c r="O81" s="296" t="str">
        <f>IF(B81="","",'Statement of Marks'!GD84)</f>
        <v/>
      </c>
      <c r="P81" s="296" t="str">
        <f>IF(B81="","",'Statement of Marks'!GK84)</f>
        <v/>
      </c>
      <c r="Q81" s="296" t="str">
        <f>IF(B81="","",'Statement of Marks'!GR84)</f>
        <v/>
      </c>
      <c r="R81" s="296" t="str">
        <f>IF(B81="","",'Statement of Marks'!FF84)</f>
        <v/>
      </c>
      <c r="S81" s="430" t="str">
        <f>IFERROR(IF(B81="","",CONCATENATE(IF(AND('Marks Entry'!U84="A"),'Marks Entry'!$U$2,IF(AND('Marks Entry'!U84="B"),'Marks Entry'!$Y$2,IF(AND('Marks Entry'!U84="C"),'Marks Entry'!$AA$2,""))),", ",IF(AND('Marks Entry'!AC84="A"),'Marks Entry'!$AC$2,IF(AND('Marks Entry'!AC84="B"),'Marks Entry'!$AG$2,IF(AND('Marks Entry'!AC84="C"),'Marks Entry'!$AI$2,""))),", ",IF(AND('Marks Entry'!AK84="A"),'Marks Entry'!$AK$2,IF(AND('Marks Entry'!AK84="B"),'Marks Entry'!$AO$2,IF(AND('Marks Entry'!AK84="C"),'Marks Entry'!$AQ$2,""))),", ",IF(AND('Statement of Marks'!DD84=""),"",IF(AND('Statement of Marks'!DD84="A"),'Marks Entry'!$AS$2,IF(AND('Statement of Marks'!DD84="B"),'Marks Entry'!$AW$2,IF(AND('Statement of Marks'!DD84="C"),'Marks Entry'!$AY$2,"")))))),"")</f>
        <v/>
      </c>
      <c r="T81" s="431" t="str">
        <f>IF(COUNTIF(K81:R81,"F")&gt;0,"",CONCATENATE('Statement of Marks'!GU84,'Statement of Marks'!GW84))</f>
        <v xml:space="preserve">           </v>
      </c>
      <c r="BG81" s="17">
        <f>IFERROR(VLOOKUP(B81,'Statement of Marks'!$B$8:'Statement of Marks'!$HI$207,41,0),"")</f>
        <v>15</v>
      </c>
      <c r="BH81" s="17" t="str">
        <f>IFERROR(VLOOKUP(B81,'Statement of Marks'!$B$8:'Statement of Marks'!$HI$207,66,0),"")</f>
        <v/>
      </c>
      <c r="BI81" s="17">
        <f>IFERROR(VLOOKUP(B81,'Statement of Marks'!$B$8:'Statement of Marks'!$HI$207,91,0),"")</f>
        <v>60</v>
      </c>
      <c r="BJ81" s="17" t="str">
        <f>IFERROR(VLOOKUP(B81,'Statement of Marks'!$B$8:'Statement of Marks'!$HI$207,117,0),"")</f>
        <v/>
      </c>
    </row>
    <row r="82" spans="1:62" ht="24.95" customHeight="1">
      <c r="A82" s="284">
        <f>IF('Statement of Marks'!A85="","",'Statement of Marks'!A85)</f>
        <v>78</v>
      </c>
      <c r="B82" s="284" t="str">
        <f>IF('Statement of Marks'!B85="","",'Statement of Marks'!B85)</f>
        <v/>
      </c>
      <c r="C82" s="284" t="str">
        <f>IF('Statement of Marks'!C85="","",'Statement of Marks'!C85)</f>
        <v/>
      </c>
      <c r="D82" s="426" t="str">
        <f>IF('Statement of Marks'!D85="","",'Statement of Marks'!D85)</f>
        <v/>
      </c>
      <c r="E82" s="427" t="str">
        <f>IF('Statement of Marks'!E85="","",'Statement of Marks'!E85)</f>
        <v/>
      </c>
      <c r="F82" s="427" t="str">
        <f>IF('Statement of Marks'!F85="","",'Statement of Marks'!F85)</f>
        <v/>
      </c>
      <c r="G82" s="427" t="str">
        <f>IF('Statement of Marks'!G85="","",'Statement of Marks'!G85)</f>
        <v/>
      </c>
      <c r="H82" s="428" t="str">
        <f>IF(B82="","",IF('Statement of Marks'!GY85="","",'Statement of Marks'!GY85))</f>
        <v/>
      </c>
      <c r="I82" s="287" t="str">
        <f>IF(B82="","",IF('Statement of Marks'!HB85="","",'Statement of Marks'!HB85))</f>
        <v/>
      </c>
      <c r="J82" s="429" t="str">
        <f>IF(B82="","",IF('Statement of Marks'!HC85="","",'Statement of Marks'!HC85))</f>
        <v/>
      </c>
      <c r="K82" s="296" t="str">
        <f>IF(B82="","",'Statement of Marks'!FJ85)</f>
        <v/>
      </c>
      <c r="L82" s="296" t="str">
        <f>IF(B82="","",'Statement of Marks'!FM85)</f>
        <v/>
      </c>
      <c r="M82" s="296" t="str">
        <f>IF(B82="","",'Statement of Marks'!FP85)</f>
        <v/>
      </c>
      <c r="N82" s="296" t="str">
        <f>IF(B82="","",'Statement of Marks'!FW85)</f>
        <v/>
      </c>
      <c r="O82" s="296" t="str">
        <f>IF(B82="","",'Statement of Marks'!GD85)</f>
        <v/>
      </c>
      <c r="P82" s="296" t="str">
        <f>IF(B82="","",'Statement of Marks'!GK85)</f>
        <v/>
      </c>
      <c r="Q82" s="296" t="str">
        <f>IF(B82="","",'Statement of Marks'!GR85)</f>
        <v/>
      </c>
      <c r="R82" s="296" t="str">
        <f>IF(B82="","",'Statement of Marks'!FF85)</f>
        <v/>
      </c>
      <c r="S82" s="430" t="str">
        <f>IFERROR(IF(B82="","",CONCATENATE(IF(AND('Marks Entry'!U85="A"),'Marks Entry'!$U$2,IF(AND('Marks Entry'!U85="B"),'Marks Entry'!$Y$2,IF(AND('Marks Entry'!U85="C"),'Marks Entry'!$AA$2,""))),", ",IF(AND('Marks Entry'!AC85="A"),'Marks Entry'!$AC$2,IF(AND('Marks Entry'!AC85="B"),'Marks Entry'!$AG$2,IF(AND('Marks Entry'!AC85="C"),'Marks Entry'!$AI$2,""))),", ",IF(AND('Marks Entry'!AK85="A"),'Marks Entry'!$AK$2,IF(AND('Marks Entry'!AK85="B"),'Marks Entry'!$AO$2,IF(AND('Marks Entry'!AK85="C"),'Marks Entry'!$AQ$2,""))),", ",IF(AND('Statement of Marks'!DD85=""),"",IF(AND('Statement of Marks'!DD85="A"),'Marks Entry'!$AS$2,IF(AND('Statement of Marks'!DD85="B"),'Marks Entry'!$AW$2,IF(AND('Statement of Marks'!DD85="C"),'Marks Entry'!$AY$2,"")))))),"")</f>
        <v/>
      </c>
      <c r="T82" s="431" t="str">
        <f>IF(COUNTIF(K82:R82,"F")&gt;0,"",CONCATENATE('Statement of Marks'!GU85,'Statement of Marks'!GW85))</f>
        <v xml:space="preserve">           </v>
      </c>
      <c r="BG82" s="17">
        <f>IFERROR(VLOOKUP(B82,'Statement of Marks'!$B$8:'Statement of Marks'!$HI$207,41,0),"")</f>
        <v>15</v>
      </c>
      <c r="BH82" s="17" t="str">
        <f>IFERROR(VLOOKUP(B82,'Statement of Marks'!$B$8:'Statement of Marks'!$HI$207,66,0),"")</f>
        <v/>
      </c>
      <c r="BI82" s="17">
        <f>IFERROR(VLOOKUP(B82,'Statement of Marks'!$B$8:'Statement of Marks'!$HI$207,91,0),"")</f>
        <v>60</v>
      </c>
      <c r="BJ82" s="17" t="str">
        <f>IFERROR(VLOOKUP(B82,'Statement of Marks'!$B$8:'Statement of Marks'!$HI$207,117,0),"")</f>
        <v/>
      </c>
    </row>
    <row r="83" spans="1:62" ht="24.95" customHeight="1">
      <c r="A83" s="284">
        <f>IF('Statement of Marks'!A86="","",'Statement of Marks'!A86)</f>
        <v>79</v>
      </c>
      <c r="B83" s="284" t="str">
        <f>IF('Statement of Marks'!B86="","",'Statement of Marks'!B86)</f>
        <v/>
      </c>
      <c r="C83" s="284" t="str">
        <f>IF('Statement of Marks'!C86="","",'Statement of Marks'!C86)</f>
        <v/>
      </c>
      <c r="D83" s="426" t="str">
        <f>IF('Statement of Marks'!D86="","",'Statement of Marks'!D86)</f>
        <v/>
      </c>
      <c r="E83" s="427" t="str">
        <f>IF('Statement of Marks'!E86="","",'Statement of Marks'!E86)</f>
        <v/>
      </c>
      <c r="F83" s="427" t="str">
        <f>IF('Statement of Marks'!F86="","",'Statement of Marks'!F86)</f>
        <v/>
      </c>
      <c r="G83" s="427" t="str">
        <f>IF('Statement of Marks'!G86="","",'Statement of Marks'!G86)</f>
        <v/>
      </c>
      <c r="H83" s="428" t="str">
        <f>IF(B83="","",IF('Statement of Marks'!GY86="","",'Statement of Marks'!GY86))</f>
        <v/>
      </c>
      <c r="I83" s="287" t="str">
        <f>IF(B83="","",IF('Statement of Marks'!HB86="","",'Statement of Marks'!HB86))</f>
        <v/>
      </c>
      <c r="J83" s="429" t="str">
        <f>IF(B83="","",IF('Statement of Marks'!HC86="","",'Statement of Marks'!HC86))</f>
        <v/>
      </c>
      <c r="K83" s="296" t="str">
        <f>IF(B83="","",'Statement of Marks'!FJ86)</f>
        <v/>
      </c>
      <c r="L83" s="296" t="str">
        <f>IF(B83="","",'Statement of Marks'!FM86)</f>
        <v/>
      </c>
      <c r="M83" s="296" t="str">
        <f>IF(B83="","",'Statement of Marks'!FP86)</f>
        <v/>
      </c>
      <c r="N83" s="296" t="str">
        <f>IF(B83="","",'Statement of Marks'!FW86)</f>
        <v/>
      </c>
      <c r="O83" s="296" t="str">
        <f>IF(B83="","",'Statement of Marks'!GD86)</f>
        <v/>
      </c>
      <c r="P83" s="296" t="str">
        <f>IF(B83="","",'Statement of Marks'!GK86)</f>
        <v/>
      </c>
      <c r="Q83" s="296" t="str">
        <f>IF(B83="","",'Statement of Marks'!GR86)</f>
        <v/>
      </c>
      <c r="R83" s="296" t="str">
        <f>IF(B83="","",'Statement of Marks'!FF86)</f>
        <v/>
      </c>
      <c r="S83" s="430" t="str">
        <f>IFERROR(IF(B83="","",CONCATENATE(IF(AND('Marks Entry'!U86="A"),'Marks Entry'!$U$2,IF(AND('Marks Entry'!U86="B"),'Marks Entry'!$Y$2,IF(AND('Marks Entry'!U86="C"),'Marks Entry'!$AA$2,""))),", ",IF(AND('Marks Entry'!AC86="A"),'Marks Entry'!$AC$2,IF(AND('Marks Entry'!AC86="B"),'Marks Entry'!$AG$2,IF(AND('Marks Entry'!AC86="C"),'Marks Entry'!$AI$2,""))),", ",IF(AND('Marks Entry'!AK86="A"),'Marks Entry'!$AK$2,IF(AND('Marks Entry'!AK86="B"),'Marks Entry'!$AO$2,IF(AND('Marks Entry'!AK86="C"),'Marks Entry'!$AQ$2,""))),", ",IF(AND('Statement of Marks'!DD86=""),"",IF(AND('Statement of Marks'!DD86="A"),'Marks Entry'!$AS$2,IF(AND('Statement of Marks'!DD86="B"),'Marks Entry'!$AW$2,IF(AND('Statement of Marks'!DD86="C"),'Marks Entry'!$AY$2,"")))))),"")</f>
        <v/>
      </c>
      <c r="T83" s="431" t="str">
        <f>IF(COUNTIF(K83:R83,"F")&gt;0,"",CONCATENATE('Statement of Marks'!GU86,'Statement of Marks'!GW86))</f>
        <v xml:space="preserve">           </v>
      </c>
      <c r="BG83" s="17">
        <f>IFERROR(VLOOKUP(B83,'Statement of Marks'!$B$8:'Statement of Marks'!$HI$207,41,0),"")</f>
        <v>15</v>
      </c>
      <c r="BH83" s="17" t="str">
        <f>IFERROR(VLOOKUP(B83,'Statement of Marks'!$B$8:'Statement of Marks'!$HI$207,66,0),"")</f>
        <v/>
      </c>
      <c r="BI83" s="17">
        <f>IFERROR(VLOOKUP(B83,'Statement of Marks'!$B$8:'Statement of Marks'!$HI$207,91,0),"")</f>
        <v>60</v>
      </c>
      <c r="BJ83" s="17" t="str">
        <f>IFERROR(VLOOKUP(B83,'Statement of Marks'!$B$8:'Statement of Marks'!$HI$207,117,0),"")</f>
        <v/>
      </c>
    </row>
    <row r="84" spans="1:62" ht="24.95" customHeight="1">
      <c r="A84" s="284">
        <f>IF('Statement of Marks'!A87="","",'Statement of Marks'!A87)</f>
        <v>80</v>
      </c>
      <c r="B84" s="284" t="str">
        <f>IF('Statement of Marks'!B87="","",'Statement of Marks'!B87)</f>
        <v/>
      </c>
      <c r="C84" s="284" t="str">
        <f>IF('Statement of Marks'!C87="","",'Statement of Marks'!C87)</f>
        <v/>
      </c>
      <c r="D84" s="426" t="str">
        <f>IF('Statement of Marks'!D87="","",'Statement of Marks'!D87)</f>
        <v/>
      </c>
      <c r="E84" s="427" t="str">
        <f>IF('Statement of Marks'!E87="","",'Statement of Marks'!E87)</f>
        <v/>
      </c>
      <c r="F84" s="427" t="str">
        <f>IF('Statement of Marks'!F87="","",'Statement of Marks'!F87)</f>
        <v/>
      </c>
      <c r="G84" s="427" t="str">
        <f>IF('Statement of Marks'!G87="","",'Statement of Marks'!G87)</f>
        <v/>
      </c>
      <c r="H84" s="428" t="str">
        <f>IF(B84="","",IF('Statement of Marks'!GY87="","",'Statement of Marks'!GY87))</f>
        <v/>
      </c>
      <c r="I84" s="287" t="str">
        <f>IF(B84="","",IF('Statement of Marks'!HB87="","",'Statement of Marks'!HB87))</f>
        <v/>
      </c>
      <c r="J84" s="429" t="str">
        <f>IF(B84="","",IF('Statement of Marks'!HC87="","",'Statement of Marks'!HC87))</f>
        <v/>
      </c>
      <c r="K84" s="296" t="str">
        <f>IF(B84="","",'Statement of Marks'!FJ87)</f>
        <v/>
      </c>
      <c r="L84" s="296" t="str">
        <f>IF(B84="","",'Statement of Marks'!FM87)</f>
        <v/>
      </c>
      <c r="M84" s="296" t="str">
        <f>IF(B84="","",'Statement of Marks'!FP87)</f>
        <v/>
      </c>
      <c r="N84" s="296" t="str">
        <f>IF(B84="","",'Statement of Marks'!FW87)</f>
        <v/>
      </c>
      <c r="O84" s="296" t="str">
        <f>IF(B84="","",'Statement of Marks'!GD87)</f>
        <v/>
      </c>
      <c r="P84" s="296" t="str">
        <f>IF(B84="","",'Statement of Marks'!GK87)</f>
        <v/>
      </c>
      <c r="Q84" s="296" t="str">
        <f>IF(B84="","",'Statement of Marks'!GR87)</f>
        <v/>
      </c>
      <c r="R84" s="296" t="str">
        <f>IF(B84="","",'Statement of Marks'!FF87)</f>
        <v/>
      </c>
      <c r="S84" s="430" t="str">
        <f>IFERROR(IF(B84="","",CONCATENATE(IF(AND('Marks Entry'!U87="A"),'Marks Entry'!$U$2,IF(AND('Marks Entry'!U87="B"),'Marks Entry'!$Y$2,IF(AND('Marks Entry'!U87="C"),'Marks Entry'!$AA$2,""))),", ",IF(AND('Marks Entry'!AC87="A"),'Marks Entry'!$AC$2,IF(AND('Marks Entry'!AC87="B"),'Marks Entry'!$AG$2,IF(AND('Marks Entry'!AC87="C"),'Marks Entry'!$AI$2,""))),", ",IF(AND('Marks Entry'!AK87="A"),'Marks Entry'!$AK$2,IF(AND('Marks Entry'!AK87="B"),'Marks Entry'!$AO$2,IF(AND('Marks Entry'!AK87="C"),'Marks Entry'!$AQ$2,""))),", ",IF(AND('Statement of Marks'!DD87=""),"",IF(AND('Statement of Marks'!DD87="A"),'Marks Entry'!$AS$2,IF(AND('Statement of Marks'!DD87="B"),'Marks Entry'!$AW$2,IF(AND('Statement of Marks'!DD87="C"),'Marks Entry'!$AY$2,"")))))),"")</f>
        <v/>
      </c>
      <c r="T84" s="431" t="str">
        <f>IF(COUNTIF(K84:R84,"F")&gt;0,"",CONCATENATE('Statement of Marks'!GU87,'Statement of Marks'!GW87))</f>
        <v xml:space="preserve">           </v>
      </c>
      <c r="BG84" s="17">
        <f>IFERROR(VLOOKUP(B84,'Statement of Marks'!$B$8:'Statement of Marks'!$HI$207,41,0),"")</f>
        <v>15</v>
      </c>
      <c r="BH84" s="17" t="str">
        <f>IFERROR(VLOOKUP(B84,'Statement of Marks'!$B$8:'Statement of Marks'!$HI$207,66,0),"")</f>
        <v/>
      </c>
      <c r="BI84" s="17">
        <f>IFERROR(VLOOKUP(B84,'Statement of Marks'!$B$8:'Statement of Marks'!$HI$207,91,0),"")</f>
        <v>60</v>
      </c>
      <c r="BJ84" s="17" t="str">
        <f>IFERROR(VLOOKUP(B84,'Statement of Marks'!$B$8:'Statement of Marks'!$HI$207,117,0),"")</f>
        <v/>
      </c>
    </row>
    <row r="85" spans="1:62" ht="24.95" customHeight="1">
      <c r="A85" s="284">
        <f>IF('Statement of Marks'!A88="","",'Statement of Marks'!A88)</f>
        <v>81</v>
      </c>
      <c r="B85" s="284" t="str">
        <f>IF('Statement of Marks'!B88="","",'Statement of Marks'!B88)</f>
        <v/>
      </c>
      <c r="C85" s="284" t="str">
        <f>IF('Statement of Marks'!C88="","",'Statement of Marks'!C88)</f>
        <v/>
      </c>
      <c r="D85" s="426" t="str">
        <f>IF('Statement of Marks'!D88="","",'Statement of Marks'!D88)</f>
        <v/>
      </c>
      <c r="E85" s="427" t="str">
        <f>IF('Statement of Marks'!E88="","",'Statement of Marks'!E88)</f>
        <v/>
      </c>
      <c r="F85" s="427" t="str">
        <f>IF('Statement of Marks'!F88="","",'Statement of Marks'!F88)</f>
        <v/>
      </c>
      <c r="G85" s="427" t="str">
        <f>IF('Statement of Marks'!G88="","",'Statement of Marks'!G88)</f>
        <v/>
      </c>
      <c r="H85" s="428" t="str">
        <f>IF(B85="","",IF('Statement of Marks'!GY88="","",'Statement of Marks'!GY88))</f>
        <v/>
      </c>
      <c r="I85" s="287" t="str">
        <f>IF(B85="","",IF('Statement of Marks'!HB88="","",'Statement of Marks'!HB88))</f>
        <v/>
      </c>
      <c r="J85" s="429" t="str">
        <f>IF(B85="","",IF('Statement of Marks'!HC88="","",'Statement of Marks'!HC88))</f>
        <v/>
      </c>
      <c r="K85" s="296" t="str">
        <f>IF(B85="","",'Statement of Marks'!FJ88)</f>
        <v/>
      </c>
      <c r="L85" s="296" t="str">
        <f>IF(B85="","",'Statement of Marks'!FM88)</f>
        <v/>
      </c>
      <c r="M85" s="296" t="str">
        <f>IF(B85="","",'Statement of Marks'!FP88)</f>
        <v/>
      </c>
      <c r="N85" s="296" t="str">
        <f>IF(B85="","",'Statement of Marks'!FW88)</f>
        <v/>
      </c>
      <c r="O85" s="296" t="str">
        <f>IF(B85="","",'Statement of Marks'!GD88)</f>
        <v/>
      </c>
      <c r="P85" s="296" t="str">
        <f>IF(B85="","",'Statement of Marks'!GK88)</f>
        <v/>
      </c>
      <c r="Q85" s="296" t="str">
        <f>IF(B85="","",'Statement of Marks'!GR88)</f>
        <v/>
      </c>
      <c r="R85" s="296" t="str">
        <f>IF(B85="","",'Statement of Marks'!FF88)</f>
        <v/>
      </c>
      <c r="S85" s="430" t="str">
        <f>IFERROR(IF(B85="","",CONCATENATE(IF(AND('Marks Entry'!U88="A"),'Marks Entry'!$U$2,IF(AND('Marks Entry'!U88="B"),'Marks Entry'!$Y$2,IF(AND('Marks Entry'!U88="C"),'Marks Entry'!$AA$2,""))),", ",IF(AND('Marks Entry'!AC88="A"),'Marks Entry'!$AC$2,IF(AND('Marks Entry'!AC88="B"),'Marks Entry'!$AG$2,IF(AND('Marks Entry'!AC88="C"),'Marks Entry'!$AI$2,""))),", ",IF(AND('Marks Entry'!AK88="A"),'Marks Entry'!$AK$2,IF(AND('Marks Entry'!AK88="B"),'Marks Entry'!$AO$2,IF(AND('Marks Entry'!AK88="C"),'Marks Entry'!$AQ$2,""))),", ",IF(AND('Statement of Marks'!DD88=""),"",IF(AND('Statement of Marks'!DD88="A"),'Marks Entry'!$AS$2,IF(AND('Statement of Marks'!DD88="B"),'Marks Entry'!$AW$2,IF(AND('Statement of Marks'!DD88="C"),'Marks Entry'!$AY$2,"")))))),"")</f>
        <v/>
      </c>
      <c r="T85" s="431" t="str">
        <f>IF(COUNTIF(K85:R85,"F")&gt;0,"",CONCATENATE('Statement of Marks'!GU88,'Statement of Marks'!GW88))</f>
        <v xml:space="preserve">           </v>
      </c>
      <c r="BG85" s="17">
        <f>IFERROR(VLOOKUP(B85,'Statement of Marks'!$B$8:'Statement of Marks'!$HI$207,41,0),"")</f>
        <v>15</v>
      </c>
      <c r="BH85" s="17" t="str">
        <f>IFERROR(VLOOKUP(B85,'Statement of Marks'!$B$8:'Statement of Marks'!$HI$207,66,0),"")</f>
        <v/>
      </c>
      <c r="BI85" s="17">
        <f>IFERROR(VLOOKUP(B85,'Statement of Marks'!$B$8:'Statement of Marks'!$HI$207,91,0),"")</f>
        <v>60</v>
      </c>
      <c r="BJ85" s="17" t="str">
        <f>IFERROR(VLOOKUP(B85,'Statement of Marks'!$B$8:'Statement of Marks'!$HI$207,117,0),"")</f>
        <v/>
      </c>
    </row>
    <row r="86" spans="1:62" ht="24.95" customHeight="1">
      <c r="A86" s="284">
        <f>IF('Statement of Marks'!A89="","",'Statement of Marks'!A89)</f>
        <v>82</v>
      </c>
      <c r="B86" s="284" t="str">
        <f>IF('Statement of Marks'!B89="","",'Statement of Marks'!B89)</f>
        <v/>
      </c>
      <c r="C86" s="284" t="str">
        <f>IF('Statement of Marks'!C89="","",'Statement of Marks'!C89)</f>
        <v/>
      </c>
      <c r="D86" s="426" t="str">
        <f>IF('Statement of Marks'!D89="","",'Statement of Marks'!D89)</f>
        <v/>
      </c>
      <c r="E86" s="427" t="str">
        <f>IF('Statement of Marks'!E89="","",'Statement of Marks'!E89)</f>
        <v/>
      </c>
      <c r="F86" s="427" t="str">
        <f>IF('Statement of Marks'!F89="","",'Statement of Marks'!F89)</f>
        <v/>
      </c>
      <c r="G86" s="427" t="str">
        <f>IF('Statement of Marks'!G89="","",'Statement of Marks'!G89)</f>
        <v/>
      </c>
      <c r="H86" s="428" t="str">
        <f>IF(B86="","",IF('Statement of Marks'!GY89="","",'Statement of Marks'!GY89))</f>
        <v/>
      </c>
      <c r="I86" s="287" t="str">
        <f>IF(B86="","",IF('Statement of Marks'!HB89="","",'Statement of Marks'!HB89))</f>
        <v/>
      </c>
      <c r="J86" s="429" t="str">
        <f>IF(B86="","",IF('Statement of Marks'!HC89="","",'Statement of Marks'!HC89))</f>
        <v/>
      </c>
      <c r="K86" s="296" t="str">
        <f>IF(B86="","",'Statement of Marks'!FJ89)</f>
        <v/>
      </c>
      <c r="L86" s="296" t="str">
        <f>IF(B86="","",'Statement of Marks'!FM89)</f>
        <v/>
      </c>
      <c r="M86" s="296" t="str">
        <f>IF(B86="","",'Statement of Marks'!FP89)</f>
        <v/>
      </c>
      <c r="N86" s="296" t="str">
        <f>IF(B86="","",'Statement of Marks'!FW89)</f>
        <v/>
      </c>
      <c r="O86" s="296" t="str">
        <f>IF(B86="","",'Statement of Marks'!GD89)</f>
        <v/>
      </c>
      <c r="P86" s="296" t="str">
        <f>IF(B86="","",'Statement of Marks'!GK89)</f>
        <v/>
      </c>
      <c r="Q86" s="296" t="str">
        <f>IF(B86="","",'Statement of Marks'!GR89)</f>
        <v/>
      </c>
      <c r="R86" s="296" t="str">
        <f>IF(B86="","",'Statement of Marks'!FF89)</f>
        <v/>
      </c>
      <c r="S86" s="430" t="str">
        <f>IFERROR(IF(B86="","",CONCATENATE(IF(AND('Marks Entry'!U89="A"),'Marks Entry'!$U$2,IF(AND('Marks Entry'!U89="B"),'Marks Entry'!$Y$2,IF(AND('Marks Entry'!U89="C"),'Marks Entry'!$AA$2,""))),", ",IF(AND('Marks Entry'!AC89="A"),'Marks Entry'!$AC$2,IF(AND('Marks Entry'!AC89="B"),'Marks Entry'!$AG$2,IF(AND('Marks Entry'!AC89="C"),'Marks Entry'!$AI$2,""))),", ",IF(AND('Marks Entry'!AK89="A"),'Marks Entry'!$AK$2,IF(AND('Marks Entry'!AK89="B"),'Marks Entry'!$AO$2,IF(AND('Marks Entry'!AK89="C"),'Marks Entry'!$AQ$2,""))),", ",IF(AND('Statement of Marks'!DD89=""),"",IF(AND('Statement of Marks'!DD89="A"),'Marks Entry'!$AS$2,IF(AND('Statement of Marks'!DD89="B"),'Marks Entry'!$AW$2,IF(AND('Statement of Marks'!DD89="C"),'Marks Entry'!$AY$2,"")))))),"")</f>
        <v/>
      </c>
      <c r="T86" s="431" t="str">
        <f>IF(COUNTIF(K86:R86,"F")&gt;0,"",CONCATENATE('Statement of Marks'!GU89,'Statement of Marks'!GW89))</f>
        <v xml:space="preserve">           </v>
      </c>
      <c r="BG86" s="17">
        <f>IFERROR(VLOOKUP(B86,'Statement of Marks'!$B$8:'Statement of Marks'!$HI$207,41,0),"")</f>
        <v>15</v>
      </c>
      <c r="BH86" s="17" t="str">
        <f>IFERROR(VLOOKUP(B86,'Statement of Marks'!$B$8:'Statement of Marks'!$HI$207,66,0),"")</f>
        <v/>
      </c>
      <c r="BI86" s="17">
        <f>IFERROR(VLOOKUP(B86,'Statement of Marks'!$B$8:'Statement of Marks'!$HI$207,91,0),"")</f>
        <v>60</v>
      </c>
      <c r="BJ86" s="17" t="str">
        <f>IFERROR(VLOOKUP(B86,'Statement of Marks'!$B$8:'Statement of Marks'!$HI$207,117,0),"")</f>
        <v/>
      </c>
    </row>
    <row r="87" spans="1:62" ht="24.95" customHeight="1">
      <c r="A87" s="284">
        <f>IF('Statement of Marks'!A90="","",'Statement of Marks'!A90)</f>
        <v>83</v>
      </c>
      <c r="B87" s="284" t="str">
        <f>IF('Statement of Marks'!B90="","",'Statement of Marks'!B90)</f>
        <v/>
      </c>
      <c r="C87" s="284" t="str">
        <f>IF('Statement of Marks'!C90="","",'Statement of Marks'!C90)</f>
        <v/>
      </c>
      <c r="D87" s="426" t="str">
        <f>IF('Statement of Marks'!D90="","",'Statement of Marks'!D90)</f>
        <v/>
      </c>
      <c r="E87" s="427" t="str">
        <f>IF('Statement of Marks'!E90="","",'Statement of Marks'!E90)</f>
        <v/>
      </c>
      <c r="F87" s="427" t="str">
        <f>IF('Statement of Marks'!F90="","",'Statement of Marks'!F90)</f>
        <v/>
      </c>
      <c r="G87" s="427" t="str">
        <f>IF('Statement of Marks'!G90="","",'Statement of Marks'!G90)</f>
        <v/>
      </c>
      <c r="H87" s="428" t="str">
        <f>IF(B87="","",IF('Statement of Marks'!GY90="","",'Statement of Marks'!GY90))</f>
        <v/>
      </c>
      <c r="I87" s="287" t="str">
        <f>IF(B87="","",IF('Statement of Marks'!HB90="","",'Statement of Marks'!HB90))</f>
        <v/>
      </c>
      <c r="J87" s="429" t="str">
        <f>IF(B87="","",IF('Statement of Marks'!HC90="","",'Statement of Marks'!HC90))</f>
        <v/>
      </c>
      <c r="K87" s="296" t="str">
        <f>IF(B87="","",'Statement of Marks'!FJ90)</f>
        <v/>
      </c>
      <c r="L87" s="296" t="str">
        <f>IF(B87="","",'Statement of Marks'!FM90)</f>
        <v/>
      </c>
      <c r="M87" s="296" t="str">
        <f>IF(B87="","",'Statement of Marks'!FP90)</f>
        <v/>
      </c>
      <c r="N87" s="296" t="str">
        <f>IF(B87="","",'Statement of Marks'!FW90)</f>
        <v/>
      </c>
      <c r="O87" s="296" t="str">
        <f>IF(B87="","",'Statement of Marks'!GD90)</f>
        <v/>
      </c>
      <c r="P87" s="296" t="str">
        <f>IF(B87="","",'Statement of Marks'!GK90)</f>
        <v/>
      </c>
      <c r="Q87" s="296" t="str">
        <f>IF(B87="","",'Statement of Marks'!GR90)</f>
        <v/>
      </c>
      <c r="R87" s="296" t="str">
        <f>IF(B87="","",'Statement of Marks'!FF90)</f>
        <v/>
      </c>
      <c r="S87" s="430" t="str">
        <f>IFERROR(IF(B87="","",CONCATENATE(IF(AND('Marks Entry'!U90="A"),'Marks Entry'!$U$2,IF(AND('Marks Entry'!U90="B"),'Marks Entry'!$Y$2,IF(AND('Marks Entry'!U90="C"),'Marks Entry'!$AA$2,""))),", ",IF(AND('Marks Entry'!AC90="A"),'Marks Entry'!$AC$2,IF(AND('Marks Entry'!AC90="B"),'Marks Entry'!$AG$2,IF(AND('Marks Entry'!AC90="C"),'Marks Entry'!$AI$2,""))),", ",IF(AND('Marks Entry'!AK90="A"),'Marks Entry'!$AK$2,IF(AND('Marks Entry'!AK90="B"),'Marks Entry'!$AO$2,IF(AND('Marks Entry'!AK90="C"),'Marks Entry'!$AQ$2,""))),", ",IF(AND('Statement of Marks'!DD90=""),"",IF(AND('Statement of Marks'!DD90="A"),'Marks Entry'!$AS$2,IF(AND('Statement of Marks'!DD90="B"),'Marks Entry'!$AW$2,IF(AND('Statement of Marks'!DD90="C"),'Marks Entry'!$AY$2,"")))))),"")</f>
        <v/>
      </c>
      <c r="T87" s="431" t="str">
        <f>IF(COUNTIF(K87:R87,"F")&gt;0,"",CONCATENATE('Statement of Marks'!GU90,'Statement of Marks'!GW90))</f>
        <v xml:space="preserve">           </v>
      </c>
      <c r="BG87" s="17">
        <f>IFERROR(VLOOKUP(B87,'Statement of Marks'!$B$8:'Statement of Marks'!$HI$207,41,0),"")</f>
        <v>15</v>
      </c>
      <c r="BH87" s="17" t="str">
        <f>IFERROR(VLOOKUP(B87,'Statement of Marks'!$B$8:'Statement of Marks'!$HI$207,66,0),"")</f>
        <v/>
      </c>
      <c r="BI87" s="17">
        <f>IFERROR(VLOOKUP(B87,'Statement of Marks'!$B$8:'Statement of Marks'!$HI$207,91,0),"")</f>
        <v>60</v>
      </c>
      <c r="BJ87" s="17" t="str">
        <f>IFERROR(VLOOKUP(B87,'Statement of Marks'!$B$8:'Statement of Marks'!$HI$207,117,0),"")</f>
        <v/>
      </c>
    </row>
    <row r="88" spans="1:62" ht="24.95" customHeight="1">
      <c r="A88" s="284">
        <f>IF('Statement of Marks'!A91="","",'Statement of Marks'!A91)</f>
        <v>84</v>
      </c>
      <c r="B88" s="284" t="str">
        <f>IF('Statement of Marks'!B91="","",'Statement of Marks'!B91)</f>
        <v/>
      </c>
      <c r="C88" s="284" t="str">
        <f>IF('Statement of Marks'!C91="","",'Statement of Marks'!C91)</f>
        <v/>
      </c>
      <c r="D88" s="426" t="str">
        <f>IF('Statement of Marks'!D91="","",'Statement of Marks'!D91)</f>
        <v/>
      </c>
      <c r="E88" s="427" t="str">
        <f>IF('Statement of Marks'!E91="","",'Statement of Marks'!E91)</f>
        <v/>
      </c>
      <c r="F88" s="427" t="str">
        <f>IF('Statement of Marks'!F91="","",'Statement of Marks'!F91)</f>
        <v/>
      </c>
      <c r="G88" s="427" t="str">
        <f>IF('Statement of Marks'!G91="","",'Statement of Marks'!G91)</f>
        <v/>
      </c>
      <c r="H88" s="428" t="str">
        <f>IF(B88="","",IF('Statement of Marks'!GY91="","",'Statement of Marks'!GY91))</f>
        <v/>
      </c>
      <c r="I88" s="287" t="str">
        <f>IF(B88="","",IF('Statement of Marks'!HB91="","",'Statement of Marks'!HB91))</f>
        <v/>
      </c>
      <c r="J88" s="429" t="str">
        <f>IF(B88="","",IF('Statement of Marks'!HC91="","",'Statement of Marks'!HC91))</f>
        <v/>
      </c>
      <c r="K88" s="296" t="str">
        <f>IF(B88="","",'Statement of Marks'!FJ91)</f>
        <v/>
      </c>
      <c r="L88" s="296" t="str">
        <f>IF(B88="","",'Statement of Marks'!FM91)</f>
        <v/>
      </c>
      <c r="M88" s="296" t="str">
        <f>IF(B88="","",'Statement of Marks'!FP91)</f>
        <v/>
      </c>
      <c r="N88" s="296" t="str">
        <f>IF(B88="","",'Statement of Marks'!FW91)</f>
        <v/>
      </c>
      <c r="O88" s="296" t="str">
        <f>IF(B88="","",'Statement of Marks'!GD91)</f>
        <v/>
      </c>
      <c r="P88" s="296" t="str">
        <f>IF(B88="","",'Statement of Marks'!GK91)</f>
        <v/>
      </c>
      <c r="Q88" s="296" t="str">
        <f>IF(B88="","",'Statement of Marks'!GR91)</f>
        <v/>
      </c>
      <c r="R88" s="296" t="str">
        <f>IF(B88="","",'Statement of Marks'!FF91)</f>
        <v/>
      </c>
      <c r="S88" s="430" t="str">
        <f>IFERROR(IF(B88="","",CONCATENATE(IF(AND('Marks Entry'!U91="A"),'Marks Entry'!$U$2,IF(AND('Marks Entry'!U91="B"),'Marks Entry'!$Y$2,IF(AND('Marks Entry'!U91="C"),'Marks Entry'!$AA$2,""))),", ",IF(AND('Marks Entry'!AC91="A"),'Marks Entry'!$AC$2,IF(AND('Marks Entry'!AC91="B"),'Marks Entry'!$AG$2,IF(AND('Marks Entry'!AC91="C"),'Marks Entry'!$AI$2,""))),", ",IF(AND('Marks Entry'!AK91="A"),'Marks Entry'!$AK$2,IF(AND('Marks Entry'!AK91="B"),'Marks Entry'!$AO$2,IF(AND('Marks Entry'!AK91="C"),'Marks Entry'!$AQ$2,""))),", ",IF(AND('Statement of Marks'!DD91=""),"",IF(AND('Statement of Marks'!DD91="A"),'Marks Entry'!$AS$2,IF(AND('Statement of Marks'!DD91="B"),'Marks Entry'!$AW$2,IF(AND('Statement of Marks'!DD91="C"),'Marks Entry'!$AY$2,"")))))),"")</f>
        <v/>
      </c>
      <c r="T88" s="431" t="str">
        <f>IF(COUNTIF(K88:R88,"F")&gt;0,"",CONCATENATE('Statement of Marks'!GU91,'Statement of Marks'!GW91))</f>
        <v xml:space="preserve">           </v>
      </c>
      <c r="BG88" s="17">
        <f>IFERROR(VLOOKUP(B88,'Statement of Marks'!$B$8:'Statement of Marks'!$HI$207,41,0),"")</f>
        <v>15</v>
      </c>
      <c r="BH88" s="17" t="str">
        <f>IFERROR(VLOOKUP(B88,'Statement of Marks'!$B$8:'Statement of Marks'!$HI$207,66,0),"")</f>
        <v/>
      </c>
      <c r="BI88" s="17">
        <f>IFERROR(VLOOKUP(B88,'Statement of Marks'!$B$8:'Statement of Marks'!$HI$207,91,0),"")</f>
        <v>60</v>
      </c>
      <c r="BJ88" s="17" t="str">
        <f>IFERROR(VLOOKUP(B88,'Statement of Marks'!$B$8:'Statement of Marks'!$HI$207,117,0),"")</f>
        <v/>
      </c>
    </row>
    <row r="89" spans="1:62" ht="24.95" customHeight="1">
      <c r="A89" s="284">
        <f>IF('Statement of Marks'!A92="","",'Statement of Marks'!A92)</f>
        <v>85</v>
      </c>
      <c r="B89" s="284" t="str">
        <f>IF('Statement of Marks'!B92="","",'Statement of Marks'!B92)</f>
        <v/>
      </c>
      <c r="C89" s="284" t="str">
        <f>IF('Statement of Marks'!C92="","",'Statement of Marks'!C92)</f>
        <v/>
      </c>
      <c r="D89" s="426" t="str">
        <f>IF('Statement of Marks'!D92="","",'Statement of Marks'!D92)</f>
        <v/>
      </c>
      <c r="E89" s="427" t="str">
        <f>IF('Statement of Marks'!E92="","",'Statement of Marks'!E92)</f>
        <v/>
      </c>
      <c r="F89" s="427" t="str">
        <f>IF('Statement of Marks'!F92="","",'Statement of Marks'!F92)</f>
        <v/>
      </c>
      <c r="G89" s="427" t="str">
        <f>IF('Statement of Marks'!G92="","",'Statement of Marks'!G92)</f>
        <v/>
      </c>
      <c r="H89" s="428" t="str">
        <f>IF(B89="","",IF('Statement of Marks'!GY92="","",'Statement of Marks'!GY92))</f>
        <v/>
      </c>
      <c r="I89" s="287" t="str">
        <f>IF(B89="","",IF('Statement of Marks'!HB92="","",'Statement of Marks'!HB92))</f>
        <v/>
      </c>
      <c r="J89" s="429" t="str">
        <f>IF(B89="","",IF('Statement of Marks'!HC92="","",'Statement of Marks'!HC92))</f>
        <v/>
      </c>
      <c r="K89" s="296" t="str">
        <f>IF(B89="","",'Statement of Marks'!FJ92)</f>
        <v/>
      </c>
      <c r="L89" s="296" t="str">
        <f>IF(B89="","",'Statement of Marks'!FM92)</f>
        <v/>
      </c>
      <c r="M89" s="296" t="str">
        <f>IF(B89="","",'Statement of Marks'!FP92)</f>
        <v/>
      </c>
      <c r="N89" s="296" t="str">
        <f>IF(B89="","",'Statement of Marks'!FW92)</f>
        <v/>
      </c>
      <c r="O89" s="296" t="str">
        <f>IF(B89="","",'Statement of Marks'!GD92)</f>
        <v/>
      </c>
      <c r="P89" s="296" t="str">
        <f>IF(B89="","",'Statement of Marks'!GK92)</f>
        <v/>
      </c>
      <c r="Q89" s="296" t="str">
        <f>IF(B89="","",'Statement of Marks'!GR92)</f>
        <v/>
      </c>
      <c r="R89" s="296" t="str">
        <f>IF(B89="","",'Statement of Marks'!FF92)</f>
        <v/>
      </c>
      <c r="S89" s="430" t="str">
        <f>IFERROR(IF(B89="","",CONCATENATE(IF(AND('Marks Entry'!U92="A"),'Marks Entry'!$U$2,IF(AND('Marks Entry'!U92="B"),'Marks Entry'!$Y$2,IF(AND('Marks Entry'!U92="C"),'Marks Entry'!$AA$2,""))),", ",IF(AND('Marks Entry'!AC92="A"),'Marks Entry'!$AC$2,IF(AND('Marks Entry'!AC92="B"),'Marks Entry'!$AG$2,IF(AND('Marks Entry'!AC92="C"),'Marks Entry'!$AI$2,""))),", ",IF(AND('Marks Entry'!AK92="A"),'Marks Entry'!$AK$2,IF(AND('Marks Entry'!AK92="B"),'Marks Entry'!$AO$2,IF(AND('Marks Entry'!AK92="C"),'Marks Entry'!$AQ$2,""))),", ",IF(AND('Statement of Marks'!DD92=""),"",IF(AND('Statement of Marks'!DD92="A"),'Marks Entry'!$AS$2,IF(AND('Statement of Marks'!DD92="B"),'Marks Entry'!$AW$2,IF(AND('Statement of Marks'!DD92="C"),'Marks Entry'!$AY$2,"")))))),"")</f>
        <v/>
      </c>
      <c r="T89" s="431" t="str">
        <f>IF(COUNTIF(K89:R89,"F")&gt;0,"",CONCATENATE('Statement of Marks'!GU92,'Statement of Marks'!GW92))</f>
        <v xml:space="preserve">           </v>
      </c>
      <c r="BG89" s="17">
        <f>IFERROR(VLOOKUP(B89,'Statement of Marks'!$B$8:'Statement of Marks'!$HI$207,41,0),"")</f>
        <v>15</v>
      </c>
      <c r="BH89" s="17" t="str">
        <f>IFERROR(VLOOKUP(B89,'Statement of Marks'!$B$8:'Statement of Marks'!$HI$207,66,0),"")</f>
        <v/>
      </c>
      <c r="BI89" s="17">
        <f>IFERROR(VLOOKUP(B89,'Statement of Marks'!$B$8:'Statement of Marks'!$HI$207,91,0),"")</f>
        <v>60</v>
      </c>
      <c r="BJ89" s="17" t="str">
        <f>IFERROR(VLOOKUP(B89,'Statement of Marks'!$B$8:'Statement of Marks'!$HI$207,117,0),"")</f>
        <v/>
      </c>
    </row>
    <row r="90" spans="1:62" ht="24.95" customHeight="1">
      <c r="A90" s="284">
        <f>IF('Statement of Marks'!A93="","",'Statement of Marks'!A93)</f>
        <v>86</v>
      </c>
      <c r="B90" s="284" t="str">
        <f>IF('Statement of Marks'!B93="","",'Statement of Marks'!B93)</f>
        <v/>
      </c>
      <c r="C90" s="284" t="str">
        <f>IF('Statement of Marks'!C93="","",'Statement of Marks'!C93)</f>
        <v/>
      </c>
      <c r="D90" s="426" t="str">
        <f>IF('Statement of Marks'!D93="","",'Statement of Marks'!D93)</f>
        <v/>
      </c>
      <c r="E90" s="427" t="str">
        <f>IF('Statement of Marks'!E93="","",'Statement of Marks'!E93)</f>
        <v/>
      </c>
      <c r="F90" s="427" t="str">
        <f>IF('Statement of Marks'!F93="","",'Statement of Marks'!F93)</f>
        <v/>
      </c>
      <c r="G90" s="427" t="str">
        <f>IF('Statement of Marks'!G93="","",'Statement of Marks'!G93)</f>
        <v/>
      </c>
      <c r="H90" s="428" t="str">
        <f>IF(B90="","",IF('Statement of Marks'!GY93="","",'Statement of Marks'!GY93))</f>
        <v/>
      </c>
      <c r="I90" s="287" t="str">
        <f>IF(B90="","",IF('Statement of Marks'!HB93="","",'Statement of Marks'!HB93))</f>
        <v/>
      </c>
      <c r="J90" s="429" t="str">
        <f>IF(B90="","",IF('Statement of Marks'!HC93="","",'Statement of Marks'!HC93))</f>
        <v/>
      </c>
      <c r="K90" s="296" t="str">
        <f>IF(B90="","",'Statement of Marks'!FJ93)</f>
        <v/>
      </c>
      <c r="L90" s="296" t="str">
        <f>IF(B90="","",'Statement of Marks'!FM93)</f>
        <v/>
      </c>
      <c r="M90" s="296" t="str">
        <f>IF(B90="","",'Statement of Marks'!FP93)</f>
        <v/>
      </c>
      <c r="N90" s="296" t="str">
        <f>IF(B90="","",'Statement of Marks'!FW93)</f>
        <v/>
      </c>
      <c r="O90" s="296" t="str">
        <f>IF(B90="","",'Statement of Marks'!GD93)</f>
        <v/>
      </c>
      <c r="P90" s="296" t="str">
        <f>IF(B90="","",'Statement of Marks'!GK93)</f>
        <v/>
      </c>
      <c r="Q90" s="296" t="str">
        <f>IF(B90="","",'Statement of Marks'!GR93)</f>
        <v/>
      </c>
      <c r="R90" s="296" t="str">
        <f>IF(B90="","",'Statement of Marks'!FF93)</f>
        <v/>
      </c>
      <c r="S90" s="430" t="str">
        <f>IFERROR(IF(B90="","",CONCATENATE(IF(AND('Marks Entry'!U93="A"),'Marks Entry'!$U$2,IF(AND('Marks Entry'!U93="B"),'Marks Entry'!$Y$2,IF(AND('Marks Entry'!U93="C"),'Marks Entry'!$AA$2,""))),", ",IF(AND('Marks Entry'!AC93="A"),'Marks Entry'!$AC$2,IF(AND('Marks Entry'!AC93="B"),'Marks Entry'!$AG$2,IF(AND('Marks Entry'!AC93="C"),'Marks Entry'!$AI$2,""))),", ",IF(AND('Marks Entry'!AK93="A"),'Marks Entry'!$AK$2,IF(AND('Marks Entry'!AK93="B"),'Marks Entry'!$AO$2,IF(AND('Marks Entry'!AK93="C"),'Marks Entry'!$AQ$2,""))),", ",IF(AND('Statement of Marks'!DD93=""),"",IF(AND('Statement of Marks'!DD93="A"),'Marks Entry'!$AS$2,IF(AND('Statement of Marks'!DD93="B"),'Marks Entry'!$AW$2,IF(AND('Statement of Marks'!DD93="C"),'Marks Entry'!$AY$2,"")))))),"")</f>
        <v/>
      </c>
      <c r="T90" s="431" t="str">
        <f>IF(COUNTIF(K90:R90,"F")&gt;0,"",CONCATENATE('Statement of Marks'!GU93,'Statement of Marks'!GW93))</f>
        <v xml:space="preserve">           </v>
      </c>
      <c r="BG90" s="17">
        <f>IFERROR(VLOOKUP(B90,'Statement of Marks'!$B$8:'Statement of Marks'!$HI$207,41,0),"")</f>
        <v>15</v>
      </c>
      <c r="BH90" s="17" t="str">
        <f>IFERROR(VLOOKUP(B90,'Statement of Marks'!$B$8:'Statement of Marks'!$HI$207,66,0),"")</f>
        <v/>
      </c>
      <c r="BI90" s="17">
        <f>IFERROR(VLOOKUP(B90,'Statement of Marks'!$B$8:'Statement of Marks'!$HI$207,91,0),"")</f>
        <v>60</v>
      </c>
      <c r="BJ90" s="17" t="str">
        <f>IFERROR(VLOOKUP(B90,'Statement of Marks'!$B$8:'Statement of Marks'!$HI$207,117,0),"")</f>
        <v/>
      </c>
    </row>
    <row r="91" spans="1:62" ht="24.95" customHeight="1">
      <c r="A91" s="284">
        <f>IF('Statement of Marks'!A94="","",'Statement of Marks'!A94)</f>
        <v>87</v>
      </c>
      <c r="B91" s="284" t="str">
        <f>IF('Statement of Marks'!B94="","",'Statement of Marks'!B94)</f>
        <v/>
      </c>
      <c r="C91" s="284" t="str">
        <f>IF('Statement of Marks'!C94="","",'Statement of Marks'!C94)</f>
        <v/>
      </c>
      <c r="D91" s="426" t="str">
        <f>IF('Statement of Marks'!D94="","",'Statement of Marks'!D94)</f>
        <v/>
      </c>
      <c r="E91" s="427" t="str">
        <f>IF('Statement of Marks'!E94="","",'Statement of Marks'!E94)</f>
        <v/>
      </c>
      <c r="F91" s="427" t="str">
        <f>IF('Statement of Marks'!F94="","",'Statement of Marks'!F94)</f>
        <v/>
      </c>
      <c r="G91" s="427" t="str">
        <f>IF('Statement of Marks'!G94="","",'Statement of Marks'!G94)</f>
        <v/>
      </c>
      <c r="H91" s="428" t="str">
        <f>IF(B91="","",IF('Statement of Marks'!GY94="","",'Statement of Marks'!GY94))</f>
        <v/>
      </c>
      <c r="I91" s="287" t="str">
        <f>IF(B91="","",IF('Statement of Marks'!HB94="","",'Statement of Marks'!HB94))</f>
        <v/>
      </c>
      <c r="J91" s="429" t="str">
        <f>IF(B91="","",IF('Statement of Marks'!HC94="","",'Statement of Marks'!HC94))</f>
        <v/>
      </c>
      <c r="K91" s="296" t="str">
        <f>IF(B91="","",'Statement of Marks'!FJ94)</f>
        <v/>
      </c>
      <c r="L91" s="296" t="str">
        <f>IF(B91="","",'Statement of Marks'!FM94)</f>
        <v/>
      </c>
      <c r="M91" s="296" t="str">
        <f>IF(B91="","",'Statement of Marks'!FP94)</f>
        <v/>
      </c>
      <c r="N91" s="296" t="str">
        <f>IF(B91="","",'Statement of Marks'!FW94)</f>
        <v/>
      </c>
      <c r="O91" s="296" t="str">
        <f>IF(B91="","",'Statement of Marks'!GD94)</f>
        <v/>
      </c>
      <c r="P91" s="296" t="str">
        <f>IF(B91="","",'Statement of Marks'!GK94)</f>
        <v/>
      </c>
      <c r="Q91" s="296" t="str">
        <f>IF(B91="","",'Statement of Marks'!GR94)</f>
        <v/>
      </c>
      <c r="R91" s="296" t="str">
        <f>IF(B91="","",'Statement of Marks'!FF94)</f>
        <v/>
      </c>
      <c r="S91" s="430" t="str">
        <f>IFERROR(IF(B91="","",CONCATENATE(IF(AND('Marks Entry'!U94="A"),'Marks Entry'!$U$2,IF(AND('Marks Entry'!U94="B"),'Marks Entry'!$Y$2,IF(AND('Marks Entry'!U94="C"),'Marks Entry'!$AA$2,""))),", ",IF(AND('Marks Entry'!AC94="A"),'Marks Entry'!$AC$2,IF(AND('Marks Entry'!AC94="B"),'Marks Entry'!$AG$2,IF(AND('Marks Entry'!AC94="C"),'Marks Entry'!$AI$2,""))),", ",IF(AND('Marks Entry'!AK94="A"),'Marks Entry'!$AK$2,IF(AND('Marks Entry'!AK94="B"),'Marks Entry'!$AO$2,IF(AND('Marks Entry'!AK94="C"),'Marks Entry'!$AQ$2,""))),", ",IF(AND('Statement of Marks'!DD94=""),"",IF(AND('Statement of Marks'!DD94="A"),'Marks Entry'!$AS$2,IF(AND('Statement of Marks'!DD94="B"),'Marks Entry'!$AW$2,IF(AND('Statement of Marks'!DD94="C"),'Marks Entry'!$AY$2,"")))))),"")</f>
        <v/>
      </c>
      <c r="T91" s="431" t="str">
        <f>IF(COUNTIF(K91:R91,"F")&gt;0,"",CONCATENATE('Statement of Marks'!GU94,'Statement of Marks'!GW94))</f>
        <v xml:space="preserve">           </v>
      </c>
      <c r="BG91" s="17">
        <f>IFERROR(VLOOKUP(B91,'Statement of Marks'!$B$8:'Statement of Marks'!$HI$207,41,0),"")</f>
        <v>15</v>
      </c>
      <c r="BH91" s="17" t="str">
        <f>IFERROR(VLOOKUP(B91,'Statement of Marks'!$B$8:'Statement of Marks'!$HI$207,66,0),"")</f>
        <v/>
      </c>
      <c r="BI91" s="17">
        <f>IFERROR(VLOOKUP(B91,'Statement of Marks'!$B$8:'Statement of Marks'!$HI$207,91,0),"")</f>
        <v>60</v>
      </c>
      <c r="BJ91" s="17" t="str">
        <f>IFERROR(VLOOKUP(B91,'Statement of Marks'!$B$8:'Statement of Marks'!$HI$207,117,0),"")</f>
        <v/>
      </c>
    </row>
    <row r="92" spans="1:62" ht="24.95" customHeight="1">
      <c r="A92" s="284">
        <f>IF('Statement of Marks'!A95="","",'Statement of Marks'!A95)</f>
        <v>88</v>
      </c>
      <c r="B92" s="284" t="str">
        <f>IF('Statement of Marks'!B95="","",'Statement of Marks'!B95)</f>
        <v/>
      </c>
      <c r="C92" s="284" t="str">
        <f>IF('Statement of Marks'!C95="","",'Statement of Marks'!C95)</f>
        <v/>
      </c>
      <c r="D92" s="426" t="str">
        <f>IF('Statement of Marks'!D95="","",'Statement of Marks'!D95)</f>
        <v/>
      </c>
      <c r="E92" s="427" t="str">
        <f>IF('Statement of Marks'!E95="","",'Statement of Marks'!E95)</f>
        <v/>
      </c>
      <c r="F92" s="427" t="str">
        <f>IF('Statement of Marks'!F95="","",'Statement of Marks'!F95)</f>
        <v/>
      </c>
      <c r="G92" s="427" t="str">
        <f>IF('Statement of Marks'!G95="","",'Statement of Marks'!G95)</f>
        <v/>
      </c>
      <c r="H92" s="428" t="str">
        <f>IF(B92="","",IF('Statement of Marks'!GY95="","",'Statement of Marks'!GY95))</f>
        <v/>
      </c>
      <c r="I92" s="287" t="str">
        <f>IF(B92="","",IF('Statement of Marks'!HB95="","",'Statement of Marks'!HB95))</f>
        <v/>
      </c>
      <c r="J92" s="429" t="str">
        <f>IF(B92="","",IF('Statement of Marks'!HC95="","",'Statement of Marks'!HC95))</f>
        <v/>
      </c>
      <c r="K92" s="296" t="str">
        <f>IF(B92="","",'Statement of Marks'!FJ95)</f>
        <v/>
      </c>
      <c r="L92" s="296" t="str">
        <f>IF(B92="","",'Statement of Marks'!FM95)</f>
        <v/>
      </c>
      <c r="M92" s="296" t="str">
        <f>IF(B92="","",'Statement of Marks'!FP95)</f>
        <v/>
      </c>
      <c r="N92" s="296" t="str">
        <f>IF(B92="","",'Statement of Marks'!FW95)</f>
        <v/>
      </c>
      <c r="O92" s="296" t="str">
        <f>IF(B92="","",'Statement of Marks'!GD95)</f>
        <v/>
      </c>
      <c r="P92" s="296" t="str">
        <f>IF(B92="","",'Statement of Marks'!GK95)</f>
        <v/>
      </c>
      <c r="Q92" s="296" t="str">
        <f>IF(B92="","",'Statement of Marks'!GR95)</f>
        <v/>
      </c>
      <c r="R92" s="296" t="str">
        <f>IF(B92="","",'Statement of Marks'!FF95)</f>
        <v/>
      </c>
      <c r="S92" s="430" t="str">
        <f>IFERROR(IF(B92="","",CONCATENATE(IF(AND('Marks Entry'!U95="A"),'Marks Entry'!$U$2,IF(AND('Marks Entry'!U95="B"),'Marks Entry'!$Y$2,IF(AND('Marks Entry'!U95="C"),'Marks Entry'!$AA$2,""))),", ",IF(AND('Marks Entry'!AC95="A"),'Marks Entry'!$AC$2,IF(AND('Marks Entry'!AC95="B"),'Marks Entry'!$AG$2,IF(AND('Marks Entry'!AC95="C"),'Marks Entry'!$AI$2,""))),", ",IF(AND('Marks Entry'!AK95="A"),'Marks Entry'!$AK$2,IF(AND('Marks Entry'!AK95="B"),'Marks Entry'!$AO$2,IF(AND('Marks Entry'!AK95="C"),'Marks Entry'!$AQ$2,""))),", ",IF(AND('Statement of Marks'!DD95=""),"",IF(AND('Statement of Marks'!DD95="A"),'Marks Entry'!$AS$2,IF(AND('Statement of Marks'!DD95="B"),'Marks Entry'!$AW$2,IF(AND('Statement of Marks'!DD95="C"),'Marks Entry'!$AY$2,"")))))),"")</f>
        <v/>
      </c>
      <c r="T92" s="431" t="str">
        <f>IF(COUNTIF(K92:R92,"F")&gt;0,"",CONCATENATE('Statement of Marks'!GU95,'Statement of Marks'!GW95))</f>
        <v xml:space="preserve">           </v>
      </c>
      <c r="BG92" s="17">
        <f>IFERROR(VLOOKUP(B92,'Statement of Marks'!$B$8:'Statement of Marks'!$HI$207,41,0),"")</f>
        <v>15</v>
      </c>
      <c r="BH92" s="17" t="str">
        <f>IFERROR(VLOOKUP(B92,'Statement of Marks'!$B$8:'Statement of Marks'!$HI$207,66,0),"")</f>
        <v/>
      </c>
      <c r="BI92" s="17">
        <f>IFERROR(VLOOKUP(B92,'Statement of Marks'!$B$8:'Statement of Marks'!$HI$207,91,0),"")</f>
        <v>60</v>
      </c>
      <c r="BJ92" s="17" t="str">
        <f>IFERROR(VLOOKUP(B92,'Statement of Marks'!$B$8:'Statement of Marks'!$HI$207,117,0),"")</f>
        <v/>
      </c>
    </row>
    <row r="93" spans="1:62" ht="24.95" customHeight="1">
      <c r="A93" s="284">
        <f>IF('Statement of Marks'!A96="","",'Statement of Marks'!A96)</f>
        <v>89</v>
      </c>
      <c r="B93" s="284" t="str">
        <f>IF('Statement of Marks'!B96="","",'Statement of Marks'!B96)</f>
        <v/>
      </c>
      <c r="C93" s="284" t="str">
        <f>IF('Statement of Marks'!C96="","",'Statement of Marks'!C96)</f>
        <v/>
      </c>
      <c r="D93" s="426" t="str">
        <f>IF('Statement of Marks'!D96="","",'Statement of Marks'!D96)</f>
        <v/>
      </c>
      <c r="E93" s="427" t="str">
        <f>IF('Statement of Marks'!E96="","",'Statement of Marks'!E96)</f>
        <v/>
      </c>
      <c r="F93" s="427" t="str">
        <f>IF('Statement of Marks'!F96="","",'Statement of Marks'!F96)</f>
        <v/>
      </c>
      <c r="G93" s="427" t="str">
        <f>IF('Statement of Marks'!G96="","",'Statement of Marks'!G96)</f>
        <v/>
      </c>
      <c r="H93" s="428" t="str">
        <f>IF(B93="","",IF('Statement of Marks'!GY96="","",'Statement of Marks'!GY96))</f>
        <v/>
      </c>
      <c r="I93" s="287" t="str">
        <f>IF(B93="","",IF('Statement of Marks'!HB96="","",'Statement of Marks'!HB96))</f>
        <v/>
      </c>
      <c r="J93" s="429" t="str">
        <f>IF(B93="","",IF('Statement of Marks'!HC96="","",'Statement of Marks'!HC96))</f>
        <v/>
      </c>
      <c r="K93" s="296" t="str">
        <f>IF(B93="","",'Statement of Marks'!FJ96)</f>
        <v/>
      </c>
      <c r="L93" s="296" t="str">
        <f>IF(B93="","",'Statement of Marks'!FM96)</f>
        <v/>
      </c>
      <c r="M93" s="296" t="str">
        <f>IF(B93="","",'Statement of Marks'!FP96)</f>
        <v/>
      </c>
      <c r="N93" s="296" t="str">
        <f>IF(B93="","",'Statement of Marks'!FW96)</f>
        <v/>
      </c>
      <c r="O93" s="296" t="str">
        <f>IF(B93="","",'Statement of Marks'!GD96)</f>
        <v/>
      </c>
      <c r="P93" s="296" t="str">
        <f>IF(B93="","",'Statement of Marks'!GK96)</f>
        <v/>
      </c>
      <c r="Q93" s="296" t="str">
        <f>IF(B93="","",'Statement of Marks'!GR96)</f>
        <v/>
      </c>
      <c r="R93" s="296" t="str">
        <f>IF(B93="","",'Statement of Marks'!FF96)</f>
        <v/>
      </c>
      <c r="S93" s="430" t="str">
        <f>IFERROR(IF(B93="","",CONCATENATE(IF(AND('Marks Entry'!U96="A"),'Marks Entry'!$U$2,IF(AND('Marks Entry'!U96="B"),'Marks Entry'!$Y$2,IF(AND('Marks Entry'!U96="C"),'Marks Entry'!$AA$2,""))),", ",IF(AND('Marks Entry'!AC96="A"),'Marks Entry'!$AC$2,IF(AND('Marks Entry'!AC96="B"),'Marks Entry'!$AG$2,IF(AND('Marks Entry'!AC96="C"),'Marks Entry'!$AI$2,""))),", ",IF(AND('Marks Entry'!AK96="A"),'Marks Entry'!$AK$2,IF(AND('Marks Entry'!AK96="B"),'Marks Entry'!$AO$2,IF(AND('Marks Entry'!AK96="C"),'Marks Entry'!$AQ$2,""))),", ",IF(AND('Statement of Marks'!DD96=""),"",IF(AND('Statement of Marks'!DD96="A"),'Marks Entry'!$AS$2,IF(AND('Statement of Marks'!DD96="B"),'Marks Entry'!$AW$2,IF(AND('Statement of Marks'!DD96="C"),'Marks Entry'!$AY$2,"")))))),"")</f>
        <v/>
      </c>
      <c r="T93" s="431" t="str">
        <f>IF(COUNTIF(K93:R93,"F")&gt;0,"",CONCATENATE('Statement of Marks'!GU96,'Statement of Marks'!GW96))</f>
        <v xml:space="preserve">           </v>
      </c>
      <c r="BG93" s="17">
        <f>IFERROR(VLOOKUP(B93,'Statement of Marks'!$B$8:'Statement of Marks'!$HI$207,41,0),"")</f>
        <v>15</v>
      </c>
      <c r="BH93" s="17" t="str">
        <f>IFERROR(VLOOKUP(B93,'Statement of Marks'!$B$8:'Statement of Marks'!$HI$207,66,0),"")</f>
        <v/>
      </c>
      <c r="BI93" s="17">
        <f>IFERROR(VLOOKUP(B93,'Statement of Marks'!$B$8:'Statement of Marks'!$HI$207,91,0),"")</f>
        <v>60</v>
      </c>
      <c r="BJ93" s="17" t="str">
        <f>IFERROR(VLOOKUP(B93,'Statement of Marks'!$B$8:'Statement of Marks'!$HI$207,117,0),"")</f>
        <v/>
      </c>
    </row>
    <row r="94" spans="1:62" ht="24.95" customHeight="1">
      <c r="A94" s="284">
        <f>IF('Statement of Marks'!A97="","",'Statement of Marks'!A97)</f>
        <v>90</v>
      </c>
      <c r="B94" s="284" t="str">
        <f>IF('Statement of Marks'!B97="","",'Statement of Marks'!B97)</f>
        <v/>
      </c>
      <c r="C94" s="284" t="str">
        <f>IF('Statement of Marks'!C97="","",'Statement of Marks'!C97)</f>
        <v/>
      </c>
      <c r="D94" s="426" t="str">
        <f>IF('Statement of Marks'!D97="","",'Statement of Marks'!D97)</f>
        <v/>
      </c>
      <c r="E94" s="427" t="str">
        <f>IF('Statement of Marks'!E97="","",'Statement of Marks'!E97)</f>
        <v/>
      </c>
      <c r="F94" s="427" t="str">
        <f>IF('Statement of Marks'!F97="","",'Statement of Marks'!F97)</f>
        <v/>
      </c>
      <c r="G94" s="427" t="str">
        <f>IF('Statement of Marks'!G97="","",'Statement of Marks'!G97)</f>
        <v/>
      </c>
      <c r="H94" s="428" t="str">
        <f>IF(B94="","",IF('Statement of Marks'!GY97="","",'Statement of Marks'!GY97))</f>
        <v/>
      </c>
      <c r="I94" s="287" t="str">
        <f>IF(B94="","",IF('Statement of Marks'!HB97="","",'Statement of Marks'!HB97))</f>
        <v/>
      </c>
      <c r="J94" s="429" t="str">
        <f>IF(B94="","",IF('Statement of Marks'!HC97="","",'Statement of Marks'!HC97))</f>
        <v/>
      </c>
      <c r="K94" s="296" t="str">
        <f>IF(B94="","",'Statement of Marks'!FJ97)</f>
        <v/>
      </c>
      <c r="L94" s="296" t="str">
        <f>IF(B94="","",'Statement of Marks'!FM97)</f>
        <v/>
      </c>
      <c r="M94" s="296" t="str">
        <f>IF(B94="","",'Statement of Marks'!FP97)</f>
        <v/>
      </c>
      <c r="N94" s="296" t="str">
        <f>IF(B94="","",'Statement of Marks'!FW97)</f>
        <v/>
      </c>
      <c r="O94" s="296" t="str">
        <f>IF(B94="","",'Statement of Marks'!GD97)</f>
        <v/>
      </c>
      <c r="P94" s="296" t="str">
        <f>IF(B94="","",'Statement of Marks'!GK97)</f>
        <v/>
      </c>
      <c r="Q94" s="296" t="str">
        <f>IF(B94="","",'Statement of Marks'!GR97)</f>
        <v/>
      </c>
      <c r="R94" s="296" t="str">
        <f>IF(B94="","",'Statement of Marks'!FF97)</f>
        <v/>
      </c>
      <c r="S94" s="430" t="str">
        <f>IFERROR(IF(B94="","",CONCATENATE(IF(AND('Marks Entry'!U97="A"),'Marks Entry'!$U$2,IF(AND('Marks Entry'!U97="B"),'Marks Entry'!$Y$2,IF(AND('Marks Entry'!U97="C"),'Marks Entry'!$AA$2,""))),", ",IF(AND('Marks Entry'!AC97="A"),'Marks Entry'!$AC$2,IF(AND('Marks Entry'!AC97="B"),'Marks Entry'!$AG$2,IF(AND('Marks Entry'!AC97="C"),'Marks Entry'!$AI$2,""))),", ",IF(AND('Marks Entry'!AK97="A"),'Marks Entry'!$AK$2,IF(AND('Marks Entry'!AK97="B"),'Marks Entry'!$AO$2,IF(AND('Marks Entry'!AK97="C"),'Marks Entry'!$AQ$2,""))),", ",IF(AND('Statement of Marks'!DD97=""),"",IF(AND('Statement of Marks'!DD97="A"),'Marks Entry'!$AS$2,IF(AND('Statement of Marks'!DD97="B"),'Marks Entry'!$AW$2,IF(AND('Statement of Marks'!DD97="C"),'Marks Entry'!$AY$2,"")))))),"")</f>
        <v/>
      </c>
      <c r="T94" s="431" t="str">
        <f>IF(COUNTIF(K94:R94,"F")&gt;0,"",CONCATENATE('Statement of Marks'!GU97,'Statement of Marks'!GW97))</f>
        <v xml:space="preserve">           </v>
      </c>
      <c r="BG94" s="17">
        <f>IFERROR(VLOOKUP(B94,'Statement of Marks'!$B$8:'Statement of Marks'!$HI$207,41,0),"")</f>
        <v>15</v>
      </c>
      <c r="BH94" s="17" t="str">
        <f>IFERROR(VLOOKUP(B94,'Statement of Marks'!$B$8:'Statement of Marks'!$HI$207,66,0),"")</f>
        <v/>
      </c>
      <c r="BI94" s="17">
        <f>IFERROR(VLOOKUP(B94,'Statement of Marks'!$B$8:'Statement of Marks'!$HI$207,91,0),"")</f>
        <v>60</v>
      </c>
      <c r="BJ94" s="17" t="str">
        <f>IFERROR(VLOOKUP(B94,'Statement of Marks'!$B$8:'Statement of Marks'!$HI$207,117,0),"")</f>
        <v/>
      </c>
    </row>
    <row r="95" spans="1:62" ht="24.95" customHeight="1">
      <c r="A95" s="284">
        <f>IF('Statement of Marks'!A98="","",'Statement of Marks'!A98)</f>
        <v>91</v>
      </c>
      <c r="B95" s="284" t="str">
        <f>IF('Statement of Marks'!B98="","",'Statement of Marks'!B98)</f>
        <v/>
      </c>
      <c r="C95" s="284" t="str">
        <f>IF('Statement of Marks'!C98="","",'Statement of Marks'!C98)</f>
        <v/>
      </c>
      <c r="D95" s="426" t="str">
        <f>IF('Statement of Marks'!D98="","",'Statement of Marks'!D98)</f>
        <v/>
      </c>
      <c r="E95" s="427" t="str">
        <f>IF('Statement of Marks'!E98="","",'Statement of Marks'!E98)</f>
        <v/>
      </c>
      <c r="F95" s="427" t="str">
        <f>IF('Statement of Marks'!F98="","",'Statement of Marks'!F98)</f>
        <v/>
      </c>
      <c r="G95" s="427" t="str">
        <f>IF('Statement of Marks'!G98="","",'Statement of Marks'!G98)</f>
        <v/>
      </c>
      <c r="H95" s="428" t="str">
        <f>IF(B95="","",IF('Statement of Marks'!GY98="","",'Statement of Marks'!GY98))</f>
        <v/>
      </c>
      <c r="I95" s="287" t="str">
        <f>IF(B95="","",IF('Statement of Marks'!HB98="","",'Statement of Marks'!HB98))</f>
        <v/>
      </c>
      <c r="J95" s="429" t="str">
        <f>IF(B95="","",IF('Statement of Marks'!HC98="","",'Statement of Marks'!HC98))</f>
        <v/>
      </c>
      <c r="K95" s="296" t="str">
        <f>IF(B95="","",'Statement of Marks'!FJ98)</f>
        <v/>
      </c>
      <c r="L95" s="296" t="str">
        <f>IF(B95="","",'Statement of Marks'!FM98)</f>
        <v/>
      </c>
      <c r="M95" s="296" t="str">
        <f>IF(B95="","",'Statement of Marks'!FP98)</f>
        <v/>
      </c>
      <c r="N95" s="296" t="str">
        <f>IF(B95="","",'Statement of Marks'!FW98)</f>
        <v/>
      </c>
      <c r="O95" s="296" t="str">
        <f>IF(B95="","",'Statement of Marks'!GD98)</f>
        <v/>
      </c>
      <c r="P95" s="296" t="str">
        <f>IF(B95="","",'Statement of Marks'!GK98)</f>
        <v/>
      </c>
      <c r="Q95" s="296" t="str">
        <f>IF(B95="","",'Statement of Marks'!GR98)</f>
        <v/>
      </c>
      <c r="R95" s="296" t="str">
        <f>IF(B95="","",'Statement of Marks'!FF98)</f>
        <v/>
      </c>
      <c r="S95" s="430" t="str">
        <f>IFERROR(IF(B95="","",CONCATENATE(IF(AND('Marks Entry'!U98="A"),'Marks Entry'!$U$2,IF(AND('Marks Entry'!U98="B"),'Marks Entry'!$Y$2,IF(AND('Marks Entry'!U98="C"),'Marks Entry'!$AA$2,""))),", ",IF(AND('Marks Entry'!AC98="A"),'Marks Entry'!$AC$2,IF(AND('Marks Entry'!AC98="B"),'Marks Entry'!$AG$2,IF(AND('Marks Entry'!AC98="C"),'Marks Entry'!$AI$2,""))),", ",IF(AND('Marks Entry'!AK98="A"),'Marks Entry'!$AK$2,IF(AND('Marks Entry'!AK98="B"),'Marks Entry'!$AO$2,IF(AND('Marks Entry'!AK98="C"),'Marks Entry'!$AQ$2,""))),", ",IF(AND('Statement of Marks'!DD98=""),"",IF(AND('Statement of Marks'!DD98="A"),'Marks Entry'!$AS$2,IF(AND('Statement of Marks'!DD98="B"),'Marks Entry'!$AW$2,IF(AND('Statement of Marks'!DD98="C"),'Marks Entry'!$AY$2,"")))))),"")</f>
        <v/>
      </c>
      <c r="T95" s="431" t="str">
        <f>IF(COUNTIF(K95:R95,"F")&gt;0,"",CONCATENATE('Statement of Marks'!GU98,'Statement of Marks'!GW98))</f>
        <v xml:space="preserve">           </v>
      </c>
      <c r="BG95" s="17">
        <f>IFERROR(VLOOKUP(B95,'Statement of Marks'!$B$8:'Statement of Marks'!$HI$207,41,0),"")</f>
        <v>15</v>
      </c>
      <c r="BH95" s="17" t="str">
        <f>IFERROR(VLOOKUP(B95,'Statement of Marks'!$B$8:'Statement of Marks'!$HI$207,66,0),"")</f>
        <v/>
      </c>
      <c r="BI95" s="17">
        <f>IFERROR(VLOOKUP(B95,'Statement of Marks'!$B$8:'Statement of Marks'!$HI$207,91,0),"")</f>
        <v>60</v>
      </c>
      <c r="BJ95" s="17" t="str">
        <f>IFERROR(VLOOKUP(B95,'Statement of Marks'!$B$8:'Statement of Marks'!$HI$207,117,0),"")</f>
        <v/>
      </c>
    </row>
    <row r="96" spans="1:62" ht="24.95" customHeight="1">
      <c r="A96" s="284">
        <f>IF('Statement of Marks'!A99="","",'Statement of Marks'!A99)</f>
        <v>92</v>
      </c>
      <c r="B96" s="284" t="str">
        <f>IF('Statement of Marks'!B99="","",'Statement of Marks'!B99)</f>
        <v/>
      </c>
      <c r="C96" s="284" t="str">
        <f>IF('Statement of Marks'!C99="","",'Statement of Marks'!C99)</f>
        <v/>
      </c>
      <c r="D96" s="426" t="str">
        <f>IF('Statement of Marks'!D99="","",'Statement of Marks'!D99)</f>
        <v/>
      </c>
      <c r="E96" s="427" t="str">
        <f>IF('Statement of Marks'!E99="","",'Statement of Marks'!E99)</f>
        <v/>
      </c>
      <c r="F96" s="427" t="str">
        <f>IF('Statement of Marks'!F99="","",'Statement of Marks'!F99)</f>
        <v/>
      </c>
      <c r="G96" s="427" t="str">
        <f>IF('Statement of Marks'!G99="","",'Statement of Marks'!G99)</f>
        <v/>
      </c>
      <c r="H96" s="428" t="str">
        <f>IF(B96="","",IF('Statement of Marks'!GY99="","",'Statement of Marks'!GY99))</f>
        <v/>
      </c>
      <c r="I96" s="287" t="str">
        <f>IF(B96="","",IF('Statement of Marks'!HB99="","",'Statement of Marks'!HB99))</f>
        <v/>
      </c>
      <c r="J96" s="429" t="str">
        <f>IF(B96="","",IF('Statement of Marks'!HC99="","",'Statement of Marks'!HC99))</f>
        <v/>
      </c>
      <c r="K96" s="296" t="str">
        <f>IF(B96="","",'Statement of Marks'!FJ99)</f>
        <v/>
      </c>
      <c r="L96" s="296" t="str">
        <f>IF(B96="","",'Statement of Marks'!FM99)</f>
        <v/>
      </c>
      <c r="M96" s="296" t="str">
        <f>IF(B96="","",'Statement of Marks'!FP99)</f>
        <v/>
      </c>
      <c r="N96" s="296" t="str">
        <f>IF(B96="","",'Statement of Marks'!FW99)</f>
        <v/>
      </c>
      <c r="O96" s="296" t="str">
        <f>IF(B96="","",'Statement of Marks'!GD99)</f>
        <v/>
      </c>
      <c r="P96" s="296" t="str">
        <f>IF(B96="","",'Statement of Marks'!GK99)</f>
        <v/>
      </c>
      <c r="Q96" s="296" t="str">
        <f>IF(B96="","",'Statement of Marks'!GR99)</f>
        <v/>
      </c>
      <c r="R96" s="296" t="str">
        <f>IF(B96="","",'Statement of Marks'!FF99)</f>
        <v/>
      </c>
      <c r="S96" s="430" t="str">
        <f>IFERROR(IF(B96="","",CONCATENATE(IF(AND('Marks Entry'!U99="A"),'Marks Entry'!$U$2,IF(AND('Marks Entry'!U99="B"),'Marks Entry'!$Y$2,IF(AND('Marks Entry'!U99="C"),'Marks Entry'!$AA$2,""))),", ",IF(AND('Marks Entry'!AC99="A"),'Marks Entry'!$AC$2,IF(AND('Marks Entry'!AC99="B"),'Marks Entry'!$AG$2,IF(AND('Marks Entry'!AC99="C"),'Marks Entry'!$AI$2,""))),", ",IF(AND('Marks Entry'!AK99="A"),'Marks Entry'!$AK$2,IF(AND('Marks Entry'!AK99="B"),'Marks Entry'!$AO$2,IF(AND('Marks Entry'!AK99="C"),'Marks Entry'!$AQ$2,""))),", ",IF(AND('Statement of Marks'!DD99=""),"",IF(AND('Statement of Marks'!DD99="A"),'Marks Entry'!$AS$2,IF(AND('Statement of Marks'!DD99="B"),'Marks Entry'!$AW$2,IF(AND('Statement of Marks'!DD99="C"),'Marks Entry'!$AY$2,"")))))),"")</f>
        <v/>
      </c>
      <c r="T96" s="431" t="str">
        <f>IF(COUNTIF(K96:R96,"F")&gt;0,"",CONCATENATE('Statement of Marks'!GU99,'Statement of Marks'!GW99))</f>
        <v xml:space="preserve">           </v>
      </c>
      <c r="BG96" s="17">
        <f>IFERROR(VLOOKUP(B96,'Statement of Marks'!$B$8:'Statement of Marks'!$HI$207,41,0),"")</f>
        <v>15</v>
      </c>
      <c r="BH96" s="17" t="str">
        <f>IFERROR(VLOOKUP(B96,'Statement of Marks'!$B$8:'Statement of Marks'!$HI$207,66,0),"")</f>
        <v/>
      </c>
      <c r="BI96" s="17">
        <f>IFERROR(VLOOKUP(B96,'Statement of Marks'!$B$8:'Statement of Marks'!$HI$207,91,0),"")</f>
        <v>60</v>
      </c>
      <c r="BJ96" s="17" t="str">
        <f>IFERROR(VLOOKUP(B96,'Statement of Marks'!$B$8:'Statement of Marks'!$HI$207,117,0),"")</f>
        <v/>
      </c>
    </row>
    <row r="97" spans="1:62" ht="24.95" customHeight="1">
      <c r="A97" s="284">
        <f>IF('Statement of Marks'!A100="","",'Statement of Marks'!A100)</f>
        <v>93</v>
      </c>
      <c r="B97" s="284" t="str">
        <f>IF('Statement of Marks'!B100="","",'Statement of Marks'!B100)</f>
        <v/>
      </c>
      <c r="C97" s="284" t="str">
        <f>IF('Statement of Marks'!C100="","",'Statement of Marks'!C100)</f>
        <v/>
      </c>
      <c r="D97" s="426" t="str">
        <f>IF('Statement of Marks'!D100="","",'Statement of Marks'!D100)</f>
        <v/>
      </c>
      <c r="E97" s="427" t="str">
        <f>IF('Statement of Marks'!E100="","",'Statement of Marks'!E100)</f>
        <v/>
      </c>
      <c r="F97" s="427" t="str">
        <f>IF('Statement of Marks'!F100="","",'Statement of Marks'!F100)</f>
        <v/>
      </c>
      <c r="G97" s="427" t="str">
        <f>IF('Statement of Marks'!G100="","",'Statement of Marks'!G100)</f>
        <v/>
      </c>
      <c r="H97" s="428" t="str">
        <f>IF(B97="","",IF('Statement of Marks'!GY100="","",'Statement of Marks'!GY100))</f>
        <v/>
      </c>
      <c r="I97" s="287" t="str">
        <f>IF(B97="","",IF('Statement of Marks'!HB100="","",'Statement of Marks'!HB100))</f>
        <v/>
      </c>
      <c r="J97" s="429" t="str">
        <f>IF(B97="","",IF('Statement of Marks'!HC100="","",'Statement of Marks'!HC100))</f>
        <v/>
      </c>
      <c r="K97" s="296" t="str">
        <f>IF(B97="","",'Statement of Marks'!FJ100)</f>
        <v/>
      </c>
      <c r="L97" s="296" t="str">
        <f>IF(B97="","",'Statement of Marks'!FM100)</f>
        <v/>
      </c>
      <c r="M97" s="296" t="str">
        <f>IF(B97="","",'Statement of Marks'!FP100)</f>
        <v/>
      </c>
      <c r="N97" s="296" t="str">
        <f>IF(B97="","",'Statement of Marks'!FW100)</f>
        <v/>
      </c>
      <c r="O97" s="296" t="str">
        <f>IF(B97="","",'Statement of Marks'!GD100)</f>
        <v/>
      </c>
      <c r="P97" s="296" t="str">
        <f>IF(B97="","",'Statement of Marks'!GK100)</f>
        <v/>
      </c>
      <c r="Q97" s="296" t="str">
        <f>IF(B97="","",'Statement of Marks'!GR100)</f>
        <v/>
      </c>
      <c r="R97" s="296" t="str">
        <f>IF(B97="","",'Statement of Marks'!FF100)</f>
        <v/>
      </c>
      <c r="S97" s="430" t="str">
        <f>IFERROR(IF(B97="","",CONCATENATE(IF(AND('Marks Entry'!U100="A"),'Marks Entry'!$U$2,IF(AND('Marks Entry'!U100="B"),'Marks Entry'!$Y$2,IF(AND('Marks Entry'!U100="C"),'Marks Entry'!$AA$2,""))),", ",IF(AND('Marks Entry'!AC100="A"),'Marks Entry'!$AC$2,IF(AND('Marks Entry'!AC100="B"),'Marks Entry'!$AG$2,IF(AND('Marks Entry'!AC100="C"),'Marks Entry'!$AI$2,""))),", ",IF(AND('Marks Entry'!AK100="A"),'Marks Entry'!$AK$2,IF(AND('Marks Entry'!AK100="B"),'Marks Entry'!$AO$2,IF(AND('Marks Entry'!AK100="C"),'Marks Entry'!$AQ$2,""))),", ",IF(AND('Statement of Marks'!DD100=""),"",IF(AND('Statement of Marks'!DD100="A"),'Marks Entry'!$AS$2,IF(AND('Statement of Marks'!DD100="B"),'Marks Entry'!$AW$2,IF(AND('Statement of Marks'!DD100="C"),'Marks Entry'!$AY$2,"")))))),"")</f>
        <v/>
      </c>
      <c r="T97" s="431" t="str">
        <f>IF(COUNTIF(K97:R97,"F")&gt;0,"",CONCATENATE('Statement of Marks'!GU100,'Statement of Marks'!GW100))</f>
        <v xml:space="preserve">           </v>
      </c>
      <c r="BG97" s="17">
        <f>IFERROR(VLOOKUP(B97,'Statement of Marks'!$B$8:'Statement of Marks'!$HI$207,41,0),"")</f>
        <v>15</v>
      </c>
      <c r="BH97" s="17" t="str">
        <f>IFERROR(VLOOKUP(B97,'Statement of Marks'!$B$8:'Statement of Marks'!$HI$207,66,0),"")</f>
        <v/>
      </c>
      <c r="BI97" s="17">
        <f>IFERROR(VLOOKUP(B97,'Statement of Marks'!$B$8:'Statement of Marks'!$HI$207,91,0),"")</f>
        <v>60</v>
      </c>
      <c r="BJ97" s="17" t="str">
        <f>IFERROR(VLOOKUP(B97,'Statement of Marks'!$B$8:'Statement of Marks'!$HI$207,117,0),"")</f>
        <v/>
      </c>
    </row>
    <row r="98" spans="1:62" ht="24.95" customHeight="1">
      <c r="A98" s="284">
        <f>IF('Statement of Marks'!A101="","",'Statement of Marks'!A101)</f>
        <v>94</v>
      </c>
      <c r="B98" s="284" t="str">
        <f>IF('Statement of Marks'!B101="","",'Statement of Marks'!B101)</f>
        <v/>
      </c>
      <c r="C98" s="284" t="str">
        <f>IF('Statement of Marks'!C101="","",'Statement of Marks'!C101)</f>
        <v/>
      </c>
      <c r="D98" s="426" t="str">
        <f>IF('Statement of Marks'!D101="","",'Statement of Marks'!D101)</f>
        <v/>
      </c>
      <c r="E98" s="427" t="str">
        <f>IF('Statement of Marks'!E101="","",'Statement of Marks'!E101)</f>
        <v/>
      </c>
      <c r="F98" s="427" t="str">
        <f>IF('Statement of Marks'!F101="","",'Statement of Marks'!F101)</f>
        <v/>
      </c>
      <c r="G98" s="427" t="str">
        <f>IF('Statement of Marks'!G101="","",'Statement of Marks'!G101)</f>
        <v/>
      </c>
      <c r="H98" s="428" t="str">
        <f>IF(B98="","",IF('Statement of Marks'!GY101="","",'Statement of Marks'!GY101))</f>
        <v/>
      </c>
      <c r="I98" s="287" t="str">
        <f>IF(B98="","",IF('Statement of Marks'!HB101="","",'Statement of Marks'!HB101))</f>
        <v/>
      </c>
      <c r="J98" s="429" t="str">
        <f>IF(B98="","",IF('Statement of Marks'!HC101="","",'Statement of Marks'!HC101))</f>
        <v/>
      </c>
      <c r="K98" s="296" t="str">
        <f>IF(B98="","",'Statement of Marks'!FJ101)</f>
        <v/>
      </c>
      <c r="L98" s="296" t="str">
        <f>IF(B98="","",'Statement of Marks'!FM101)</f>
        <v/>
      </c>
      <c r="M98" s="296" t="str">
        <f>IF(B98="","",'Statement of Marks'!FP101)</f>
        <v/>
      </c>
      <c r="N98" s="296" t="str">
        <f>IF(B98="","",'Statement of Marks'!FW101)</f>
        <v/>
      </c>
      <c r="O98" s="296" t="str">
        <f>IF(B98="","",'Statement of Marks'!GD101)</f>
        <v/>
      </c>
      <c r="P98" s="296" t="str">
        <f>IF(B98="","",'Statement of Marks'!GK101)</f>
        <v/>
      </c>
      <c r="Q98" s="296" t="str">
        <f>IF(B98="","",'Statement of Marks'!GR101)</f>
        <v/>
      </c>
      <c r="R98" s="296" t="str">
        <f>IF(B98="","",'Statement of Marks'!FF101)</f>
        <v/>
      </c>
      <c r="S98" s="430" t="str">
        <f>IFERROR(IF(B98="","",CONCATENATE(IF(AND('Marks Entry'!U101="A"),'Marks Entry'!$U$2,IF(AND('Marks Entry'!U101="B"),'Marks Entry'!$Y$2,IF(AND('Marks Entry'!U101="C"),'Marks Entry'!$AA$2,""))),", ",IF(AND('Marks Entry'!AC101="A"),'Marks Entry'!$AC$2,IF(AND('Marks Entry'!AC101="B"),'Marks Entry'!$AG$2,IF(AND('Marks Entry'!AC101="C"),'Marks Entry'!$AI$2,""))),", ",IF(AND('Marks Entry'!AK101="A"),'Marks Entry'!$AK$2,IF(AND('Marks Entry'!AK101="B"),'Marks Entry'!$AO$2,IF(AND('Marks Entry'!AK101="C"),'Marks Entry'!$AQ$2,""))),", ",IF(AND('Statement of Marks'!DD101=""),"",IF(AND('Statement of Marks'!DD101="A"),'Marks Entry'!$AS$2,IF(AND('Statement of Marks'!DD101="B"),'Marks Entry'!$AW$2,IF(AND('Statement of Marks'!DD101="C"),'Marks Entry'!$AY$2,"")))))),"")</f>
        <v/>
      </c>
      <c r="T98" s="431" t="str">
        <f>IF(COUNTIF(K98:R98,"F")&gt;0,"",CONCATENATE('Statement of Marks'!GU101,'Statement of Marks'!GW101))</f>
        <v xml:space="preserve">           </v>
      </c>
      <c r="BG98" s="17">
        <f>IFERROR(VLOOKUP(B98,'Statement of Marks'!$B$8:'Statement of Marks'!$HI$207,41,0),"")</f>
        <v>15</v>
      </c>
      <c r="BH98" s="17" t="str">
        <f>IFERROR(VLOOKUP(B98,'Statement of Marks'!$B$8:'Statement of Marks'!$HI$207,66,0),"")</f>
        <v/>
      </c>
      <c r="BI98" s="17">
        <f>IFERROR(VLOOKUP(B98,'Statement of Marks'!$B$8:'Statement of Marks'!$HI$207,91,0),"")</f>
        <v>60</v>
      </c>
      <c r="BJ98" s="17" t="str">
        <f>IFERROR(VLOOKUP(B98,'Statement of Marks'!$B$8:'Statement of Marks'!$HI$207,117,0),"")</f>
        <v/>
      </c>
    </row>
    <row r="99" spans="1:62" ht="24.95" customHeight="1">
      <c r="A99" s="284">
        <f>IF('Statement of Marks'!A102="","",'Statement of Marks'!A102)</f>
        <v>95</v>
      </c>
      <c r="B99" s="284" t="str">
        <f>IF('Statement of Marks'!B102="","",'Statement of Marks'!B102)</f>
        <v/>
      </c>
      <c r="C99" s="284" t="str">
        <f>IF('Statement of Marks'!C102="","",'Statement of Marks'!C102)</f>
        <v/>
      </c>
      <c r="D99" s="426" t="str">
        <f>IF('Statement of Marks'!D102="","",'Statement of Marks'!D102)</f>
        <v/>
      </c>
      <c r="E99" s="427" t="str">
        <f>IF('Statement of Marks'!E102="","",'Statement of Marks'!E102)</f>
        <v/>
      </c>
      <c r="F99" s="427" t="str">
        <f>IF('Statement of Marks'!F102="","",'Statement of Marks'!F102)</f>
        <v/>
      </c>
      <c r="G99" s="427" t="str">
        <f>IF('Statement of Marks'!G102="","",'Statement of Marks'!G102)</f>
        <v/>
      </c>
      <c r="H99" s="428" t="str">
        <f>IF(B99="","",IF('Statement of Marks'!GY102="","",'Statement of Marks'!GY102))</f>
        <v/>
      </c>
      <c r="I99" s="287" t="str">
        <f>IF(B99="","",IF('Statement of Marks'!HB102="","",'Statement of Marks'!HB102))</f>
        <v/>
      </c>
      <c r="J99" s="429" t="str">
        <f>IF(B99="","",IF('Statement of Marks'!HC102="","",'Statement of Marks'!HC102))</f>
        <v/>
      </c>
      <c r="K99" s="296" t="str">
        <f>IF(B99="","",'Statement of Marks'!FJ102)</f>
        <v/>
      </c>
      <c r="L99" s="296" t="str">
        <f>IF(B99="","",'Statement of Marks'!FM102)</f>
        <v/>
      </c>
      <c r="M99" s="296" t="str">
        <f>IF(B99="","",'Statement of Marks'!FP102)</f>
        <v/>
      </c>
      <c r="N99" s="296" t="str">
        <f>IF(B99="","",'Statement of Marks'!FW102)</f>
        <v/>
      </c>
      <c r="O99" s="296" t="str">
        <f>IF(B99="","",'Statement of Marks'!GD102)</f>
        <v/>
      </c>
      <c r="P99" s="296" t="str">
        <f>IF(B99="","",'Statement of Marks'!GK102)</f>
        <v/>
      </c>
      <c r="Q99" s="296" t="str">
        <f>IF(B99="","",'Statement of Marks'!GR102)</f>
        <v/>
      </c>
      <c r="R99" s="296" t="str">
        <f>IF(B99="","",'Statement of Marks'!FF102)</f>
        <v/>
      </c>
      <c r="S99" s="430" t="str">
        <f>IFERROR(IF(B99="","",CONCATENATE(IF(AND('Marks Entry'!U102="A"),'Marks Entry'!$U$2,IF(AND('Marks Entry'!U102="B"),'Marks Entry'!$Y$2,IF(AND('Marks Entry'!U102="C"),'Marks Entry'!$AA$2,""))),", ",IF(AND('Marks Entry'!AC102="A"),'Marks Entry'!$AC$2,IF(AND('Marks Entry'!AC102="B"),'Marks Entry'!$AG$2,IF(AND('Marks Entry'!AC102="C"),'Marks Entry'!$AI$2,""))),", ",IF(AND('Marks Entry'!AK102="A"),'Marks Entry'!$AK$2,IF(AND('Marks Entry'!AK102="B"),'Marks Entry'!$AO$2,IF(AND('Marks Entry'!AK102="C"),'Marks Entry'!$AQ$2,""))),", ",IF(AND('Statement of Marks'!DD102=""),"",IF(AND('Statement of Marks'!DD102="A"),'Marks Entry'!$AS$2,IF(AND('Statement of Marks'!DD102="B"),'Marks Entry'!$AW$2,IF(AND('Statement of Marks'!DD102="C"),'Marks Entry'!$AY$2,"")))))),"")</f>
        <v/>
      </c>
      <c r="T99" s="431" t="str">
        <f>IF(COUNTIF(K99:R99,"F")&gt;0,"",CONCATENATE('Statement of Marks'!GU102,'Statement of Marks'!GW102))</f>
        <v xml:space="preserve">           </v>
      </c>
      <c r="BG99" s="17">
        <f>IFERROR(VLOOKUP(B99,'Statement of Marks'!$B$8:'Statement of Marks'!$HI$207,41,0),"")</f>
        <v>15</v>
      </c>
      <c r="BH99" s="17" t="str">
        <f>IFERROR(VLOOKUP(B99,'Statement of Marks'!$B$8:'Statement of Marks'!$HI$207,66,0),"")</f>
        <v/>
      </c>
      <c r="BI99" s="17">
        <f>IFERROR(VLOOKUP(B99,'Statement of Marks'!$B$8:'Statement of Marks'!$HI$207,91,0),"")</f>
        <v>60</v>
      </c>
      <c r="BJ99" s="17" t="str">
        <f>IFERROR(VLOOKUP(B99,'Statement of Marks'!$B$8:'Statement of Marks'!$HI$207,117,0),"")</f>
        <v/>
      </c>
    </row>
    <row r="100" spans="1:62" ht="24.95" customHeight="1">
      <c r="A100" s="284">
        <f>IF('Statement of Marks'!A103="","",'Statement of Marks'!A103)</f>
        <v>96</v>
      </c>
      <c r="B100" s="284" t="str">
        <f>IF('Statement of Marks'!B103="","",'Statement of Marks'!B103)</f>
        <v/>
      </c>
      <c r="C100" s="284" t="str">
        <f>IF('Statement of Marks'!C103="","",'Statement of Marks'!C103)</f>
        <v/>
      </c>
      <c r="D100" s="426" t="str">
        <f>IF('Statement of Marks'!D103="","",'Statement of Marks'!D103)</f>
        <v/>
      </c>
      <c r="E100" s="427" t="str">
        <f>IF('Statement of Marks'!E103="","",'Statement of Marks'!E103)</f>
        <v/>
      </c>
      <c r="F100" s="427" t="str">
        <f>IF('Statement of Marks'!F103="","",'Statement of Marks'!F103)</f>
        <v/>
      </c>
      <c r="G100" s="427" t="str">
        <f>IF('Statement of Marks'!G103="","",'Statement of Marks'!G103)</f>
        <v/>
      </c>
      <c r="H100" s="428" t="str">
        <f>IF(B100="","",IF('Statement of Marks'!GY103="","",'Statement of Marks'!GY103))</f>
        <v/>
      </c>
      <c r="I100" s="287" t="str">
        <f>IF(B100="","",IF('Statement of Marks'!HB103="","",'Statement of Marks'!HB103))</f>
        <v/>
      </c>
      <c r="J100" s="429" t="str">
        <f>IF(B100="","",IF('Statement of Marks'!HC103="","",'Statement of Marks'!HC103))</f>
        <v/>
      </c>
      <c r="K100" s="296" t="str">
        <f>IF(B100="","",'Statement of Marks'!FJ103)</f>
        <v/>
      </c>
      <c r="L100" s="296" t="str">
        <f>IF(B100="","",'Statement of Marks'!FM103)</f>
        <v/>
      </c>
      <c r="M100" s="296" t="str">
        <f>IF(B100="","",'Statement of Marks'!FP103)</f>
        <v/>
      </c>
      <c r="N100" s="296" t="str">
        <f>IF(B100="","",'Statement of Marks'!FW103)</f>
        <v/>
      </c>
      <c r="O100" s="296" t="str">
        <f>IF(B100="","",'Statement of Marks'!GD103)</f>
        <v/>
      </c>
      <c r="P100" s="296" t="str">
        <f>IF(B100="","",'Statement of Marks'!GK103)</f>
        <v/>
      </c>
      <c r="Q100" s="296" t="str">
        <f>IF(B100="","",'Statement of Marks'!GR103)</f>
        <v/>
      </c>
      <c r="R100" s="296" t="str">
        <f>IF(B100="","",'Statement of Marks'!FF103)</f>
        <v/>
      </c>
      <c r="S100" s="430" t="str">
        <f>IFERROR(IF(B100="","",CONCATENATE(IF(AND('Marks Entry'!U103="A"),'Marks Entry'!$U$2,IF(AND('Marks Entry'!U103="B"),'Marks Entry'!$Y$2,IF(AND('Marks Entry'!U103="C"),'Marks Entry'!$AA$2,""))),", ",IF(AND('Marks Entry'!AC103="A"),'Marks Entry'!$AC$2,IF(AND('Marks Entry'!AC103="B"),'Marks Entry'!$AG$2,IF(AND('Marks Entry'!AC103="C"),'Marks Entry'!$AI$2,""))),", ",IF(AND('Marks Entry'!AK103="A"),'Marks Entry'!$AK$2,IF(AND('Marks Entry'!AK103="B"),'Marks Entry'!$AO$2,IF(AND('Marks Entry'!AK103="C"),'Marks Entry'!$AQ$2,""))),", ",IF(AND('Statement of Marks'!DD103=""),"",IF(AND('Statement of Marks'!DD103="A"),'Marks Entry'!$AS$2,IF(AND('Statement of Marks'!DD103="B"),'Marks Entry'!$AW$2,IF(AND('Statement of Marks'!DD103="C"),'Marks Entry'!$AY$2,"")))))),"")</f>
        <v/>
      </c>
      <c r="T100" s="431" t="str">
        <f>IF(COUNTIF(K100:R100,"F")&gt;0,"",CONCATENATE('Statement of Marks'!GU103,'Statement of Marks'!GW103))</f>
        <v xml:space="preserve">           </v>
      </c>
      <c r="BG100" s="17">
        <f>IFERROR(VLOOKUP(B100,'Statement of Marks'!$B$8:'Statement of Marks'!$HI$207,41,0),"")</f>
        <v>15</v>
      </c>
      <c r="BH100" s="17" t="str">
        <f>IFERROR(VLOOKUP(B100,'Statement of Marks'!$B$8:'Statement of Marks'!$HI$207,66,0),"")</f>
        <v/>
      </c>
      <c r="BI100" s="17">
        <f>IFERROR(VLOOKUP(B100,'Statement of Marks'!$B$8:'Statement of Marks'!$HI$207,91,0),"")</f>
        <v>60</v>
      </c>
      <c r="BJ100" s="17" t="str">
        <f>IFERROR(VLOOKUP(B100,'Statement of Marks'!$B$8:'Statement of Marks'!$HI$207,117,0),"")</f>
        <v/>
      </c>
    </row>
    <row r="101" spans="1:62" ht="24.95" customHeight="1">
      <c r="A101" s="284">
        <f>IF('Statement of Marks'!A104="","",'Statement of Marks'!A104)</f>
        <v>97</v>
      </c>
      <c r="B101" s="284" t="str">
        <f>IF('Statement of Marks'!B104="","",'Statement of Marks'!B104)</f>
        <v/>
      </c>
      <c r="C101" s="284" t="str">
        <f>IF('Statement of Marks'!C104="","",'Statement of Marks'!C104)</f>
        <v/>
      </c>
      <c r="D101" s="426" t="str">
        <f>IF('Statement of Marks'!D104="","",'Statement of Marks'!D104)</f>
        <v/>
      </c>
      <c r="E101" s="427" t="str">
        <f>IF('Statement of Marks'!E104="","",'Statement of Marks'!E104)</f>
        <v/>
      </c>
      <c r="F101" s="427" t="str">
        <f>IF('Statement of Marks'!F104="","",'Statement of Marks'!F104)</f>
        <v/>
      </c>
      <c r="G101" s="427" t="str">
        <f>IF('Statement of Marks'!G104="","",'Statement of Marks'!G104)</f>
        <v/>
      </c>
      <c r="H101" s="428" t="str">
        <f>IF(B101="","",IF('Statement of Marks'!GY104="","",'Statement of Marks'!GY104))</f>
        <v/>
      </c>
      <c r="I101" s="287" t="str">
        <f>IF(B101="","",IF('Statement of Marks'!HB104="","",'Statement of Marks'!HB104))</f>
        <v/>
      </c>
      <c r="J101" s="429" t="str">
        <f>IF(B101="","",IF('Statement of Marks'!HC104="","",'Statement of Marks'!HC104))</f>
        <v/>
      </c>
      <c r="K101" s="296" t="str">
        <f>IF(B101="","",'Statement of Marks'!FJ104)</f>
        <v/>
      </c>
      <c r="L101" s="296" t="str">
        <f>IF(B101="","",'Statement of Marks'!FM104)</f>
        <v/>
      </c>
      <c r="M101" s="296" t="str">
        <f>IF(B101="","",'Statement of Marks'!FP104)</f>
        <v/>
      </c>
      <c r="N101" s="296" t="str">
        <f>IF(B101="","",'Statement of Marks'!FW104)</f>
        <v/>
      </c>
      <c r="O101" s="296" t="str">
        <f>IF(B101="","",'Statement of Marks'!GD104)</f>
        <v/>
      </c>
      <c r="P101" s="296" t="str">
        <f>IF(B101="","",'Statement of Marks'!GK104)</f>
        <v/>
      </c>
      <c r="Q101" s="296" t="str">
        <f>IF(B101="","",'Statement of Marks'!GR104)</f>
        <v/>
      </c>
      <c r="R101" s="296" t="str">
        <f>IF(B101="","",'Statement of Marks'!FF104)</f>
        <v/>
      </c>
      <c r="S101" s="430" t="str">
        <f>IFERROR(IF(B101="","",CONCATENATE(IF(AND('Marks Entry'!U104="A"),'Marks Entry'!$U$2,IF(AND('Marks Entry'!U104="B"),'Marks Entry'!$Y$2,IF(AND('Marks Entry'!U104="C"),'Marks Entry'!$AA$2,""))),", ",IF(AND('Marks Entry'!AC104="A"),'Marks Entry'!$AC$2,IF(AND('Marks Entry'!AC104="B"),'Marks Entry'!$AG$2,IF(AND('Marks Entry'!AC104="C"),'Marks Entry'!$AI$2,""))),", ",IF(AND('Marks Entry'!AK104="A"),'Marks Entry'!$AK$2,IF(AND('Marks Entry'!AK104="B"),'Marks Entry'!$AO$2,IF(AND('Marks Entry'!AK104="C"),'Marks Entry'!$AQ$2,""))),", ",IF(AND('Statement of Marks'!DD104=""),"",IF(AND('Statement of Marks'!DD104="A"),'Marks Entry'!$AS$2,IF(AND('Statement of Marks'!DD104="B"),'Marks Entry'!$AW$2,IF(AND('Statement of Marks'!DD104="C"),'Marks Entry'!$AY$2,"")))))),"")</f>
        <v/>
      </c>
      <c r="T101" s="431" t="str">
        <f>IF(COUNTIF(K101:R101,"F")&gt;0,"",CONCATENATE('Statement of Marks'!GU104,'Statement of Marks'!GW104))</f>
        <v xml:space="preserve">           </v>
      </c>
      <c r="BG101" s="17">
        <f>IFERROR(VLOOKUP(B101,'Statement of Marks'!$B$8:'Statement of Marks'!$HI$207,41,0),"")</f>
        <v>15</v>
      </c>
      <c r="BH101" s="17" t="str">
        <f>IFERROR(VLOOKUP(B101,'Statement of Marks'!$B$8:'Statement of Marks'!$HI$207,66,0),"")</f>
        <v/>
      </c>
      <c r="BI101" s="17">
        <f>IFERROR(VLOOKUP(B101,'Statement of Marks'!$B$8:'Statement of Marks'!$HI$207,91,0),"")</f>
        <v>60</v>
      </c>
      <c r="BJ101" s="17" t="str">
        <f>IFERROR(VLOOKUP(B101,'Statement of Marks'!$B$8:'Statement of Marks'!$HI$207,117,0),"")</f>
        <v/>
      </c>
    </row>
    <row r="102" spans="1:62" ht="24.95" customHeight="1">
      <c r="A102" s="284">
        <f>IF('Statement of Marks'!A105="","",'Statement of Marks'!A105)</f>
        <v>98</v>
      </c>
      <c r="B102" s="284" t="str">
        <f>IF('Statement of Marks'!B105="","",'Statement of Marks'!B105)</f>
        <v/>
      </c>
      <c r="C102" s="284" t="str">
        <f>IF('Statement of Marks'!C105="","",'Statement of Marks'!C105)</f>
        <v/>
      </c>
      <c r="D102" s="426" t="str">
        <f>IF('Statement of Marks'!D105="","",'Statement of Marks'!D105)</f>
        <v/>
      </c>
      <c r="E102" s="427" t="str">
        <f>IF('Statement of Marks'!E105="","",'Statement of Marks'!E105)</f>
        <v/>
      </c>
      <c r="F102" s="427" t="str">
        <f>IF('Statement of Marks'!F105="","",'Statement of Marks'!F105)</f>
        <v/>
      </c>
      <c r="G102" s="427" t="str">
        <f>IF('Statement of Marks'!G105="","",'Statement of Marks'!G105)</f>
        <v/>
      </c>
      <c r="H102" s="428" t="str">
        <f>IF(B102="","",IF('Statement of Marks'!GY105="","",'Statement of Marks'!GY105))</f>
        <v/>
      </c>
      <c r="I102" s="287" t="str">
        <f>IF(B102="","",IF('Statement of Marks'!HB105="","",'Statement of Marks'!HB105))</f>
        <v/>
      </c>
      <c r="J102" s="429" t="str">
        <f>IF(B102="","",IF('Statement of Marks'!HC105="","",'Statement of Marks'!HC105))</f>
        <v/>
      </c>
      <c r="K102" s="296" t="str">
        <f>IF(B102="","",'Statement of Marks'!FJ105)</f>
        <v/>
      </c>
      <c r="L102" s="296" t="str">
        <f>IF(B102="","",'Statement of Marks'!FM105)</f>
        <v/>
      </c>
      <c r="M102" s="296" t="str">
        <f>IF(B102="","",'Statement of Marks'!FP105)</f>
        <v/>
      </c>
      <c r="N102" s="296" t="str">
        <f>IF(B102="","",'Statement of Marks'!FW105)</f>
        <v/>
      </c>
      <c r="O102" s="296" t="str">
        <f>IF(B102="","",'Statement of Marks'!GD105)</f>
        <v/>
      </c>
      <c r="P102" s="296" t="str">
        <f>IF(B102="","",'Statement of Marks'!GK105)</f>
        <v/>
      </c>
      <c r="Q102" s="296" t="str">
        <f>IF(B102="","",'Statement of Marks'!GR105)</f>
        <v/>
      </c>
      <c r="R102" s="296" t="str">
        <f>IF(B102="","",'Statement of Marks'!FF105)</f>
        <v/>
      </c>
      <c r="S102" s="430" t="str">
        <f>IFERROR(IF(B102="","",CONCATENATE(IF(AND('Marks Entry'!U105="A"),'Marks Entry'!$U$2,IF(AND('Marks Entry'!U105="B"),'Marks Entry'!$Y$2,IF(AND('Marks Entry'!U105="C"),'Marks Entry'!$AA$2,""))),", ",IF(AND('Marks Entry'!AC105="A"),'Marks Entry'!$AC$2,IF(AND('Marks Entry'!AC105="B"),'Marks Entry'!$AG$2,IF(AND('Marks Entry'!AC105="C"),'Marks Entry'!$AI$2,""))),", ",IF(AND('Marks Entry'!AK105="A"),'Marks Entry'!$AK$2,IF(AND('Marks Entry'!AK105="B"),'Marks Entry'!$AO$2,IF(AND('Marks Entry'!AK105="C"),'Marks Entry'!$AQ$2,""))),", ",IF(AND('Statement of Marks'!DD105=""),"",IF(AND('Statement of Marks'!DD105="A"),'Marks Entry'!$AS$2,IF(AND('Statement of Marks'!DD105="B"),'Marks Entry'!$AW$2,IF(AND('Statement of Marks'!DD105="C"),'Marks Entry'!$AY$2,"")))))),"")</f>
        <v/>
      </c>
      <c r="T102" s="431" t="str">
        <f>IF(COUNTIF(K102:R102,"F")&gt;0,"",CONCATENATE('Statement of Marks'!GU105,'Statement of Marks'!GW105))</f>
        <v xml:space="preserve">           </v>
      </c>
      <c r="BG102" s="17">
        <f>IFERROR(VLOOKUP(B102,'Statement of Marks'!$B$8:'Statement of Marks'!$HI$207,41,0),"")</f>
        <v>15</v>
      </c>
      <c r="BH102" s="17" t="str">
        <f>IFERROR(VLOOKUP(B102,'Statement of Marks'!$B$8:'Statement of Marks'!$HI$207,66,0),"")</f>
        <v/>
      </c>
      <c r="BI102" s="17">
        <f>IFERROR(VLOOKUP(B102,'Statement of Marks'!$B$8:'Statement of Marks'!$HI$207,91,0),"")</f>
        <v>60</v>
      </c>
      <c r="BJ102" s="17" t="str">
        <f>IFERROR(VLOOKUP(B102,'Statement of Marks'!$B$8:'Statement of Marks'!$HI$207,117,0),"")</f>
        <v/>
      </c>
    </row>
    <row r="103" spans="1:62" ht="24.95" customHeight="1">
      <c r="A103" s="284">
        <f>IF('Statement of Marks'!A106="","",'Statement of Marks'!A106)</f>
        <v>99</v>
      </c>
      <c r="B103" s="284" t="str">
        <f>IF('Statement of Marks'!B106="","",'Statement of Marks'!B106)</f>
        <v/>
      </c>
      <c r="C103" s="284" t="str">
        <f>IF('Statement of Marks'!C106="","",'Statement of Marks'!C106)</f>
        <v/>
      </c>
      <c r="D103" s="426" t="str">
        <f>IF('Statement of Marks'!D106="","",'Statement of Marks'!D106)</f>
        <v/>
      </c>
      <c r="E103" s="427" t="str">
        <f>IF('Statement of Marks'!E106="","",'Statement of Marks'!E106)</f>
        <v/>
      </c>
      <c r="F103" s="427" t="str">
        <f>IF('Statement of Marks'!F106="","",'Statement of Marks'!F106)</f>
        <v/>
      </c>
      <c r="G103" s="427" t="str">
        <f>IF('Statement of Marks'!G106="","",'Statement of Marks'!G106)</f>
        <v/>
      </c>
      <c r="H103" s="428" t="str">
        <f>IF(B103="","",IF('Statement of Marks'!GY106="","",'Statement of Marks'!GY106))</f>
        <v/>
      </c>
      <c r="I103" s="287" t="str">
        <f>IF(B103="","",IF('Statement of Marks'!HB106="","",'Statement of Marks'!HB106))</f>
        <v/>
      </c>
      <c r="J103" s="429" t="str">
        <f>IF(B103="","",IF('Statement of Marks'!HC106="","",'Statement of Marks'!HC106))</f>
        <v/>
      </c>
      <c r="K103" s="296" t="str">
        <f>IF(B103="","",'Statement of Marks'!FJ106)</f>
        <v/>
      </c>
      <c r="L103" s="296" t="str">
        <f>IF(B103="","",'Statement of Marks'!FM106)</f>
        <v/>
      </c>
      <c r="M103" s="296" t="str">
        <f>IF(B103="","",'Statement of Marks'!FP106)</f>
        <v/>
      </c>
      <c r="N103" s="296" t="str">
        <f>IF(B103="","",'Statement of Marks'!FW106)</f>
        <v/>
      </c>
      <c r="O103" s="296" t="str">
        <f>IF(B103="","",'Statement of Marks'!GD106)</f>
        <v/>
      </c>
      <c r="P103" s="296" t="str">
        <f>IF(B103="","",'Statement of Marks'!GK106)</f>
        <v/>
      </c>
      <c r="Q103" s="296" t="str">
        <f>IF(B103="","",'Statement of Marks'!GR106)</f>
        <v/>
      </c>
      <c r="R103" s="296" t="str">
        <f>IF(B103="","",'Statement of Marks'!FF106)</f>
        <v/>
      </c>
      <c r="S103" s="430" t="str">
        <f>IFERROR(IF(B103="","",CONCATENATE(IF(AND('Marks Entry'!U106="A"),'Marks Entry'!$U$2,IF(AND('Marks Entry'!U106="B"),'Marks Entry'!$Y$2,IF(AND('Marks Entry'!U106="C"),'Marks Entry'!$AA$2,""))),", ",IF(AND('Marks Entry'!AC106="A"),'Marks Entry'!$AC$2,IF(AND('Marks Entry'!AC106="B"),'Marks Entry'!$AG$2,IF(AND('Marks Entry'!AC106="C"),'Marks Entry'!$AI$2,""))),", ",IF(AND('Marks Entry'!AK106="A"),'Marks Entry'!$AK$2,IF(AND('Marks Entry'!AK106="B"),'Marks Entry'!$AO$2,IF(AND('Marks Entry'!AK106="C"),'Marks Entry'!$AQ$2,""))),", ",IF(AND('Statement of Marks'!DD106=""),"",IF(AND('Statement of Marks'!DD106="A"),'Marks Entry'!$AS$2,IF(AND('Statement of Marks'!DD106="B"),'Marks Entry'!$AW$2,IF(AND('Statement of Marks'!DD106="C"),'Marks Entry'!$AY$2,"")))))),"")</f>
        <v/>
      </c>
      <c r="T103" s="431" t="str">
        <f>IF(COUNTIF(K103:R103,"F")&gt;0,"",CONCATENATE('Statement of Marks'!GU106,'Statement of Marks'!GW106))</f>
        <v xml:space="preserve">           </v>
      </c>
      <c r="BG103" s="17">
        <f>IFERROR(VLOOKUP(B103,'Statement of Marks'!$B$8:'Statement of Marks'!$HI$207,41,0),"")</f>
        <v>15</v>
      </c>
      <c r="BH103" s="17" t="str">
        <f>IFERROR(VLOOKUP(B103,'Statement of Marks'!$B$8:'Statement of Marks'!$HI$207,66,0),"")</f>
        <v/>
      </c>
      <c r="BI103" s="17">
        <f>IFERROR(VLOOKUP(B103,'Statement of Marks'!$B$8:'Statement of Marks'!$HI$207,91,0),"")</f>
        <v>60</v>
      </c>
      <c r="BJ103" s="17" t="str">
        <f>IFERROR(VLOOKUP(B103,'Statement of Marks'!$B$8:'Statement of Marks'!$HI$207,117,0),"")</f>
        <v/>
      </c>
    </row>
    <row r="104" spans="1:62" ht="24.95" customHeight="1">
      <c r="A104" s="284">
        <f>IF('Statement of Marks'!A107="","",'Statement of Marks'!A107)</f>
        <v>100</v>
      </c>
      <c r="B104" s="284" t="str">
        <f>IF('Statement of Marks'!B107="","",'Statement of Marks'!B107)</f>
        <v/>
      </c>
      <c r="C104" s="284" t="str">
        <f>IF('Statement of Marks'!C107="","",'Statement of Marks'!C107)</f>
        <v/>
      </c>
      <c r="D104" s="426" t="str">
        <f>IF('Statement of Marks'!D107="","",'Statement of Marks'!D107)</f>
        <v/>
      </c>
      <c r="E104" s="427" t="str">
        <f>IF('Statement of Marks'!E107="","",'Statement of Marks'!E107)</f>
        <v/>
      </c>
      <c r="F104" s="427" t="str">
        <f>IF('Statement of Marks'!F107="","",'Statement of Marks'!F107)</f>
        <v/>
      </c>
      <c r="G104" s="427" t="str">
        <f>IF('Statement of Marks'!G107="","",'Statement of Marks'!G107)</f>
        <v/>
      </c>
      <c r="H104" s="428" t="str">
        <f>IF(B104="","",IF('Statement of Marks'!GY107="","",'Statement of Marks'!GY107))</f>
        <v/>
      </c>
      <c r="I104" s="287" t="str">
        <f>IF(B104="","",IF('Statement of Marks'!HB107="","",'Statement of Marks'!HB107))</f>
        <v/>
      </c>
      <c r="J104" s="429" t="str">
        <f>IF(B104="","",IF('Statement of Marks'!HC107="","",'Statement of Marks'!HC107))</f>
        <v/>
      </c>
      <c r="K104" s="296" t="str">
        <f>IF(B104="","",'Statement of Marks'!FJ107)</f>
        <v/>
      </c>
      <c r="L104" s="296" t="str">
        <f>IF(B104="","",'Statement of Marks'!FM107)</f>
        <v/>
      </c>
      <c r="M104" s="296" t="str">
        <f>IF(B104="","",'Statement of Marks'!FP107)</f>
        <v/>
      </c>
      <c r="N104" s="296" t="str">
        <f>IF(B104="","",'Statement of Marks'!FW107)</f>
        <v/>
      </c>
      <c r="O104" s="296" t="str">
        <f>IF(B104="","",'Statement of Marks'!GD107)</f>
        <v/>
      </c>
      <c r="P104" s="296" t="str">
        <f>IF(B104="","",'Statement of Marks'!GK107)</f>
        <v/>
      </c>
      <c r="Q104" s="296" t="str">
        <f>IF(B104="","",'Statement of Marks'!GR107)</f>
        <v/>
      </c>
      <c r="R104" s="296" t="str">
        <f>IF(B104="","",'Statement of Marks'!FF107)</f>
        <v/>
      </c>
      <c r="S104" s="430" t="str">
        <f>IFERROR(IF(B104="","",CONCATENATE(IF(AND('Marks Entry'!U107="A"),'Marks Entry'!$U$2,IF(AND('Marks Entry'!U107="B"),'Marks Entry'!$Y$2,IF(AND('Marks Entry'!U107="C"),'Marks Entry'!$AA$2,""))),", ",IF(AND('Marks Entry'!AC107="A"),'Marks Entry'!$AC$2,IF(AND('Marks Entry'!AC107="B"),'Marks Entry'!$AG$2,IF(AND('Marks Entry'!AC107="C"),'Marks Entry'!$AI$2,""))),", ",IF(AND('Marks Entry'!AK107="A"),'Marks Entry'!$AK$2,IF(AND('Marks Entry'!AK107="B"),'Marks Entry'!$AO$2,IF(AND('Marks Entry'!AK107="C"),'Marks Entry'!$AQ$2,""))),", ",IF(AND('Statement of Marks'!DD107=""),"",IF(AND('Statement of Marks'!DD107="A"),'Marks Entry'!$AS$2,IF(AND('Statement of Marks'!DD107="B"),'Marks Entry'!$AW$2,IF(AND('Statement of Marks'!DD107="C"),'Marks Entry'!$AY$2,"")))))),"")</f>
        <v/>
      </c>
      <c r="T104" s="431" t="str">
        <f>IF(COUNTIF(K104:R104,"F")&gt;0,"",CONCATENATE('Statement of Marks'!GU107,'Statement of Marks'!GW107))</f>
        <v xml:space="preserve">           </v>
      </c>
      <c r="BG104" s="17">
        <f>IFERROR(VLOOKUP(B104,'Statement of Marks'!$B$8:'Statement of Marks'!$HI$207,41,0),"")</f>
        <v>15</v>
      </c>
      <c r="BH104" s="17" t="str">
        <f>IFERROR(VLOOKUP(B104,'Statement of Marks'!$B$8:'Statement of Marks'!$HI$207,66,0),"")</f>
        <v/>
      </c>
      <c r="BI104" s="17">
        <f>IFERROR(VLOOKUP(B104,'Statement of Marks'!$B$8:'Statement of Marks'!$HI$207,91,0),"")</f>
        <v>60</v>
      </c>
      <c r="BJ104" s="17" t="str">
        <f>IFERROR(VLOOKUP(B104,'Statement of Marks'!$B$8:'Statement of Marks'!$HI$207,117,0),"")</f>
        <v/>
      </c>
    </row>
    <row r="105" spans="1:62" ht="24.95" customHeight="1">
      <c r="A105" s="284">
        <f>IF('Statement of Marks'!A108="","",'Statement of Marks'!A108)</f>
        <v>101</v>
      </c>
      <c r="B105" s="284" t="str">
        <f>IF('Statement of Marks'!B108="","",'Statement of Marks'!B108)</f>
        <v/>
      </c>
      <c r="C105" s="284" t="str">
        <f>IF('Statement of Marks'!C108="","",'Statement of Marks'!C108)</f>
        <v/>
      </c>
      <c r="D105" s="426" t="str">
        <f>IF('Statement of Marks'!D108="","",'Statement of Marks'!D108)</f>
        <v/>
      </c>
      <c r="E105" s="427" t="str">
        <f>IF('Statement of Marks'!E108="","",'Statement of Marks'!E108)</f>
        <v/>
      </c>
      <c r="F105" s="427" t="str">
        <f>IF('Statement of Marks'!F108="","",'Statement of Marks'!F108)</f>
        <v/>
      </c>
      <c r="G105" s="427" t="str">
        <f>IF('Statement of Marks'!G108="","",'Statement of Marks'!G108)</f>
        <v/>
      </c>
      <c r="H105" s="428" t="str">
        <f>IF(B105="","",IF('Statement of Marks'!GY108="","",'Statement of Marks'!GY108))</f>
        <v/>
      </c>
      <c r="I105" s="287" t="str">
        <f>IF(B105="","",IF('Statement of Marks'!HB108="","",'Statement of Marks'!HB108))</f>
        <v/>
      </c>
      <c r="J105" s="429" t="str">
        <f>IF(B105="","",IF('Statement of Marks'!HC108="","",'Statement of Marks'!HC108))</f>
        <v/>
      </c>
      <c r="K105" s="296" t="str">
        <f>IF(B105="","",'Statement of Marks'!FJ108)</f>
        <v/>
      </c>
      <c r="L105" s="296" t="str">
        <f>IF(B105="","",'Statement of Marks'!FM108)</f>
        <v/>
      </c>
      <c r="M105" s="296" t="str">
        <f>IF(B105="","",'Statement of Marks'!FP108)</f>
        <v/>
      </c>
      <c r="N105" s="296" t="str">
        <f>IF(B105="","",'Statement of Marks'!FW108)</f>
        <v/>
      </c>
      <c r="O105" s="296" t="str">
        <f>IF(B105="","",'Statement of Marks'!GD108)</f>
        <v/>
      </c>
      <c r="P105" s="296" t="str">
        <f>IF(B105="","",'Statement of Marks'!GK108)</f>
        <v/>
      </c>
      <c r="Q105" s="296" t="str">
        <f>IF(B105="","",'Statement of Marks'!GR108)</f>
        <v/>
      </c>
      <c r="R105" s="296" t="str">
        <f>IF(B105="","",'Statement of Marks'!FF108)</f>
        <v/>
      </c>
      <c r="S105" s="430" t="str">
        <f>IFERROR(IF(B105="","",CONCATENATE(IF(AND('Marks Entry'!U108="A"),'Marks Entry'!$U$2,IF(AND('Marks Entry'!U108="B"),'Marks Entry'!$Y$2,IF(AND('Marks Entry'!U108="C"),'Marks Entry'!$AA$2,""))),", ",IF(AND('Marks Entry'!AC108="A"),'Marks Entry'!$AC$2,IF(AND('Marks Entry'!AC108="B"),'Marks Entry'!$AG$2,IF(AND('Marks Entry'!AC108="C"),'Marks Entry'!$AI$2,""))),", ",IF(AND('Marks Entry'!AK108="A"),'Marks Entry'!$AK$2,IF(AND('Marks Entry'!AK108="B"),'Marks Entry'!$AO$2,IF(AND('Marks Entry'!AK108="C"),'Marks Entry'!$AQ$2,""))),", ",IF(AND('Statement of Marks'!DD108=""),"",IF(AND('Statement of Marks'!DD108="A"),'Marks Entry'!$AS$2,IF(AND('Statement of Marks'!DD108="B"),'Marks Entry'!$AW$2,IF(AND('Statement of Marks'!DD108="C"),'Marks Entry'!$AY$2,"")))))),"")</f>
        <v/>
      </c>
      <c r="T105" s="431" t="str">
        <f>IF(COUNTIF(K105:R105,"F")&gt;0,"",CONCATENATE('Statement of Marks'!GU108,'Statement of Marks'!GW108))</f>
        <v xml:space="preserve">           </v>
      </c>
      <c r="BG105" s="17">
        <f>IFERROR(VLOOKUP(B105,'Statement of Marks'!$B$8:'Statement of Marks'!$HI$207,41,0),"")</f>
        <v>15</v>
      </c>
      <c r="BH105" s="17" t="str">
        <f>IFERROR(VLOOKUP(B105,'Statement of Marks'!$B$8:'Statement of Marks'!$HI$207,66,0),"")</f>
        <v/>
      </c>
      <c r="BI105" s="17">
        <f>IFERROR(VLOOKUP(B105,'Statement of Marks'!$B$8:'Statement of Marks'!$HI$207,91,0),"")</f>
        <v>60</v>
      </c>
      <c r="BJ105" s="17" t="str">
        <f>IFERROR(VLOOKUP(B105,'Statement of Marks'!$B$8:'Statement of Marks'!$HI$207,117,0),"")</f>
        <v/>
      </c>
    </row>
    <row r="106" spans="1:62" ht="24.95" customHeight="1">
      <c r="A106" s="284">
        <f>IF('Statement of Marks'!A109="","",'Statement of Marks'!A109)</f>
        <v>102</v>
      </c>
      <c r="B106" s="284" t="str">
        <f>IF('Statement of Marks'!B109="","",'Statement of Marks'!B109)</f>
        <v/>
      </c>
      <c r="C106" s="284" t="str">
        <f>IF('Statement of Marks'!C109="","",'Statement of Marks'!C109)</f>
        <v/>
      </c>
      <c r="D106" s="426" t="str">
        <f>IF('Statement of Marks'!D109="","",'Statement of Marks'!D109)</f>
        <v/>
      </c>
      <c r="E106" s="427" t="str">
        <f>IF('Statement of Marks'!E109="","",'Statement of Marks'!E109)</f>
        <v/>
      </c>
      <c r="F106" s="427" t="str">
        <f>IF('Statement of Marks'!F109="","",'Statement of Marks'!F109)</f>
        <v/>
      </c>
      <c r="G106" s="427" t="str">
        <f>IF('Statement of Marks'!G109="","",'Statement of Marks'!G109)</f>
        <v/>
      </c>
      <c r="H106" s="428" t="str">
        <f>IF(B106="","",IF('Statement of Marks'!GY109="","",'Statement of Marks'!GY109))</f>
        <v/>
      </c>
      <c r="I106" s="287" t="str">
        <f>IF(B106="","",IF('Statement of Marks'!HB109="","",'Statement of Marks'!HB109))</f>
        <v/>
      </c>
      <c r="J106" s="429" t="str">
        <f>IF(B106="","",IF('Statement of Marks'!HC109="","",'Statement of Marks'!HC109))</f>
        <v/>
      </c>
      <c r="K106" s="296" t="str">
        <f>IF(B106="","",'Statement of Marks'!FJ109)</f>
        <v/>
      </c>
      <c r="L106" s="296" t="str">
        <f>IF(B106="","",'Statement of Marks'!FM109)</f>
        <v/>
      </c>
      <c r="M106" s="296" t="str">
        <f>IF(B106="","",'Statement of Marks'!FP109)</f>
        <v/>
      </c>
      <c r="N106" s="296" t="str">
        <f>IF(B106="","",'Statement of Marks'!FW109)</f>
        <v/>
      </c>
      <c r="O106" s="296" t="str">
        <f>IF(B106="","",'Statement of Marks'!GD109)</f>
        <v/>
      </c>
      <c r="P106" s="296" t="str">
        <f>IF(B106="","",'Statement of Marks'!GK109)</f>
        <v/>
      </c>
      <c r="Q106" s="296" t="str">
        <f>IF(B106="","",'Statement of Marks'!GR109)</f>
        <v/>
      </c>
      <c r="R106" s="296" t="str">
        <f>IF(B106="","",'Statement of Marks'!FF109)</f>
        <v/>
      </c>
      <c r="S106" s="430" t="str">
        <f>IFERROR(IF(B106="","",CONCATENATE(IF(AND('Marks Entry'!U109="A"),'Marks Entry'!$U$2,IF(AND('Marks Entry'!U109="B"),'Marks Entry'!$Y$2,IF(AND('Marks Entry'!U109="C"),'Marks Entry'!$AA$2,""))),", ",IF(AND('Marks Entry'!AC109="A"),'Marks Entry'!$AC$2,IF(AND('Marks Entry'!AC109="B"),'Marks Entry'!$AG$2,IF(AND('Marks Entry'!AC109="C"),'Marks Entry'!$AI$2,""))),", ",IF(AND('Marks Entry'!AK109="A"),'Marks Entry'!$AK$2,IF(AND('Marks Entry'!AK109="B"),'Marks Entry'!$AO$2,IF(AND('Marks Entry'!AK109="C"),'Marks Entry'!$AQ$2,""))),", ",IF(AND('Statement of Marks'!DD109=""),"",IF(AND('Statement of Marks'!DD109="A"),'Marks Entry'!$AS$2,IF(AND('Statement of Marks'!DD109="B"),'Marks Entry'!$AW$2,IF(AND('Statement of Marks'!DD109="C"),'Marks Entry'!$AY$2,"")))))),"")</f>
        <v/>
      </c>
      <c r="T106" s="431" t="str">
        <f>IF(COUNTIF(K106:R106,"F")&gt;0,"",CONCATENATE('Statement of Marks'!GU109,'Statement of Marks'!GW109))</f>
        <v xml:space="preserve">           </v>
      </c>
      <c r="BG106" s="17">
        <f>IFERROR(VLOOKUP(B106,'Statement of Marks'!$B$8:'Statement of Marks'!$HI$207,41,0),"")</f>
        <v>15</v>
      </c>
      <c r="BH106" s="17" t="str">
        <f>IFERROR(VLOOKUP(B106,'Statement of Marks'!$B$8:'Statement of Marks'!$HI$207,66,0),"")</f>
        <v/>
      </c>
      <c r="BI106" s="17">
        <f>IFERROR(VLOOKUP(B106,'Statement of Marks'!$B$8:'Statement of Marks'!$HI$207,91,0),"")</f>
        <v>60</v>
      </c>
      <c r="BJ106" s="17" t="str">
        <f>IFERROR(VLOOKUP(B106,'Statement of Marks'!$B$8:'Statement of Marks'!$HI$207,117,0),"")</f>
        <v/>
      </c>
    </row>
    <row r="107" spans="1:62" ht="24.95" customHeight="1">
      <c r="A107" s="284">
        <f>IF('Statement of Marks'!A110="","",'Statement of Marks'!A110)</f>
        <v>103</v>
      </c>
      <c r="B107" s="284" t="str">
        <f>IF('Statement of Marks'!B110="","",'Statement of Marks'!B110)</f>
        <v/>
      </c>
      <c r="C107" s="284" t="str">
        <f>IF('Statement of Marks'!C110="","",'Statement of Marks'!C110)</f>
        <v/>
      </c>
      <c r="D107" s="426" t="str">
        <f>IF('Statement of Marks'!D110="","",'Statement of Marks'!D110)</f>
        <v/>
      </c>
      <c r="E107" s="427" t="str">
        <f>IF('Statement of Marks'!E110="","",'Statement of Marks'!E110)</f>
        <v/>
      </c>
      <c r="F107" s="427" t="str">
        <f>IF('Statement of Marks'!F110="","",'Statement of Marks'!F110)</f>
        <v/>
      </c>
      <c r="G107" s="427" t="str">
        <f>IF('Statement of Marks'!G110="","",'Statement of Marks'!G110)</f>
        <v/>
      </c>
      <c r="H107" s="428" t="str">
        <f>IF(B107="","",IF('Statement of Marks'!GY110="","",'Statement of Marks'!GY110))</f>
        <v/>
      </c>
      <c r="I107" s="287" t="str">
        <f>IF(B107="","",IF('Statement of Marks'!HB110="","",'Statement of Marks'!HB110))</f>
        <v/>
      </c>
      <c r="J107" s="429" t="str">
        <f>IF(B107="","",IF('Statement of Marks'!HC110="","",'Statement of Marks'!HC110))</f>
        <v/>
      </c>
      <c r="K107" s="296" t="str">
        <f>IF(B107="","",'Statement of Marks'!FJ110)</f>
        <v/>
      </c>
      <c r="L107" s="296" t="str">
        <f>IF(B107="","",'Statement of Marks'!FM110)</f>
        <v/>
      </c>
      <c r="M107" s="296" t="str">
        <f>IF(B107="","",'Statement of Marks'!FP110)</f>
        <v/>
      </c>
      <c r="N107" s="296" t="str">
        <f>IF(B107="","",'Statement of Marks'!FW110)</f>
        <v/>
      </c>
      <c r="O107" s="296" t="str">
        <f>IF(B107="","",'Statement of Marks'!GD110)</f>
        <v/>
      </c>
      <c r="P107" s="296" t="str">
        <f>IF(B107="","",'Statement of Marks'!GK110)</f>
        <v/>
      </c>
      <c r="Q107" s="296" t="str">
        <f>IF(B107="","",'Statement of Marks'!GR110)</f>
        <v/>
      </c>
      <c r="R107" s="296" t="str">
        <f>IF(B107="","",'Statement of Marks'!FF110)</f>
        <v/>
      </c>
      <c r="S107" s="430" t="str">
        <f>IFERROR(IF(B107="","",CONCATENATE(IF(AND('Marks Entry'!U110="A"),'Marks Entry'!$U$2,IF(AND('Marks Entry'!U110="B"),'Marks Entry'!$Y$2,IF(AND('Marks Entry'!U110="C"),'Marks Entry'!$AA$2,""))),", ",IF(AND('Marks Entry'!AC110="A"),'Marks Entry'!$AC$2,IF(AND('Marks Entry'!AC110="B"),'Marks Entry'!$AG$2,IF(AND('Marks Entry'!AC110="C"),'Marks Entry'!$AI$2,""))),", ",IF(AND('Marks Entry'!AK110="A"),'Marks Entry'!$AK$2,IF(AND('Marks Entry'!AK110="B"),'Marks Entry'!$AO$2,IF(AND('Marks Entry'!AK110="C"),'Marks Entry'!$AQ$2,""))),", ",IF(AND('Statement of Marks'!DD110=""),"",IF(AND('Statement of Marks'!DD110="A"),'Marks Entry'!$AS$2,IF(AND('Statement of Marks'!DD110="B"),'Marks Entry'!$AW$2,IF(AND('Statement of Marks'!DD110="C"),'Marks Entry'!$AY$2,"")))))),"")</f>
        <v/>
      </c>
      <c r="T107" s="431" t="str">
        <f>IF(COUNTIF(K107:R107,"F")&gt;0,"",CONCATENATE('Statement of Marks'!GU110,'Statement of Marks'!GW110))</f>
        <v xml:space="preserve">           </v>
      </c>
      <c r="BG107" s="17">
        <f>IFERROR(VLOOKUP(B107,'Statement of Marks'!$B$8:'Statement of Marks'!$HI$207,41,0),"")</f>
        <v>15</v>
      </c>
      <c r="BH107" s="17" t="str">
        <f>IFERROR(VLOOKUP(B107,'Statement of Marks'!$B$8:'Statement of Marks'!$HI$207,66,0),"")</f>
        <v/>
      </c>
      <c r="BI107" s="17">
        <f>IFERROR(VLOOKUP(B107,'Statement of Marks'!$B$8:'Statement of Marks'!$HI$207,91,0),"")</f>
        <v>60</v>
      </c>
      <c r="BJ107" s="17" t="str">
        <f>IFERROR(VLOOKUP(B107,'Statement of Marks'!$B$8:'Statement of Marks'!$HI$207,117,0),"")</f>
        <v/>
      </c>
    </row>
    <row r="108" spans="1:62" ht="24.95" customHeight="1">
      <c r="A108" s="284">
        <f>IF('Statement of Marks'!A111="","",'Statement of Marks'!A111)</f>
        <v>104</v>
      </c>
      <c r="B108" s="284" t="str">
        <f>IF('Statement of Marks'!B111="","",'Statement of Marks'!B111)</f>
        <v/>
      </c>
      <c r="C108" s="284" t="str">
        <f>IF('Statement of Marks'!C111="","",'Statement of Marks'!C111)</f>
        <v/>
      </c>
      <c r="D108" s="426" t="str">
        <f>IF('Statement of Marks'!D111="","",'Statement of Marks'!D111)</f>
        <v/>
      </c>
      <c r="E108" s="427" t="str">
        <f>IF('Statement of Marks'!E111="","",'Statement of Marks'!E111)</f>
        <v/>
      </c>
      <c r="F108" s="427" t="str">
        <f>IF('Statement of Marks'!F111="","",'Statement of Marks'!F111)</f>
        <v/>
      </c>
      <c r="G108" s="427" t="str">
        <f>IF('Statement of Marks'!G111="","",'Statement of Marks'!G111)</f>
        <v/>
      </c>
      <c r="H108" s="428" t="str">
        <f>IF(B108="","",IF('Statement of Marks'!GY111="","",'Statement of Marks'!GY111))</f>
        <v/>
      </c>
      <c r="I108" s="287" t="str">
        <f>IF(B108="","",IF('Statement of Marks'!HB111="","",'Statement of Marks'!HB111))</f>
        <v/>
      </c>
      <c r="J108" s="429" t="str">
        <f>IF(B108="","",IF('Statement of Marks'!HC111="","",'Statement of Marks'!HC111))</f>
        <v/>
      </c>
      <c r="K108" s="296" t="str">
        <f>IF(B108="","",'Statement of Marks'!FJ111)</f>
        <v/>
      </c>
      <c r="L108" s="296" t="str">
        <f>IF(B108="","",'Statement of Marks'!FM111)</f>
        <v/>
      </c>
      <c r="M108" s="296" t="str">
        <f>IF(B108="","",'Statement of Marks'!FP111)</f>
        <v/>
      </c>
      <c r="N108" s="296" t="str">
        <f>IF(B108="","",'Statement of Marks'!FW111)</f>
        <v/>
      </c>
      <c r="O108" s="296" t="str">
        <f>IF(B108="","",'Statement of Marks'!GD111)</f>
        <v/>
      </c>
      <c r="P108" s="296" t="str">
        <f>IF(B108="","",'Statement of Marks'!GK111)</f>
        <v/>
      </c>
      <c r="Q108" s="296" t="str">
        <f>IF(B108="","",'Statement of Marks'!GR111)</f>
        <v/>
      </c>
      <c r="R108" s="296" t="str">
        <f>IF(B108="","",'Statement of Marks'!FF111)</f>
        <v/>
      </c>
      <c r="S108" s="430" t="str">
        <f>IFERROR(IF(B108="","",CONCATENATE(IF(AND('Marks Entry'!U111="A"),'Marks Entry'!$U$2,IF(AND('Marks Entry'!U111="B"),'Marks Entry'!$Y$2,IF(AND('Marks Entry'!U111="C"),'Marks Entry'!$AA$2,""))),", ",IF(AND('Marks Entry'!AC111="A"),'Marks Entry'!$AC$2,IF(AND('Marks Entry'!AC111="B"),'Marks Entry'!$AG$2,IF(AND('Marks Entry'!AC111="C"),'Marks Entry'!$AI$2,""))),", ",IF(AND('Marks Entry'!AK111="A"),'Marks Entry'!$AK$2,IF(AND('Marks Entry'!AK111="B"),'Marks Entry'!$AO$2,IF(AND('Marks Entry'!AK111="C"),'Marks Entry'!$AQ$2,""))),", ",IF(AND('Statement of Marks'!DD111=""),"",IF(AND('Statement of Marks'!DD111="A"),'Marks Entry'!$AS$2,IF(AND('Statement of Marks'!DD111="B"),'Marks Entry'!$AW$2,IF(AND('Statement of Marks'!DD111="C"),'Marks Entry'!$AY$2,"")))))),"")</f>
        <v/>
      </c>
      <c r="T108" s="431" t="str">
        <f>IF(COUNTIF(K108:R108,"F")&gt;0,"",CONCATENATE('Statement of Marks'!GU111,'Statement of Marks'!GW111))</f>
        <v xml:space="preserve">           </v>
      </c>
      <c r="BG108" s="17">
        <f>IFERROR(VLOOKUP(B108,'Statement of Marks'!$B$8:'Statement of Marks'!$HI$207,41,0),"")</f>
        <v>15</v>
      </c>
      <c r="BH108" s="17" t="str">
        <f>IFERROR(VLOOKUP(B108,'Statement of Marks'!$B$8:'Statement of Marks'!$HI$207,66,0),"")</f>
        <v/>
      </c>
      <c r="BI108" s="17">
        <f>IFERROR(VLOOKUP(B108,'Statement of Marks'!$B$8:'Statement of Marks'!$HI$207,91,0),"")</f>
        <v>60</v>
      </c>
      <c r="BJ108" s="17" t="str">
        <f>IFERROR(VLOOKUP(B108,'Statement of Marks'!$B$8:'Statement of Marks'!$HI$207,117,0),"")</f>
        <v/>
      </c>
    </row>
    <row r="109" spans="1:62" ht="24.95" customHeight="1">
      <c r="A109" s="284">
        <f>IF('Statement of Marks'!A112="","",'Statement of Marks'!A112)</f>
        <v>105</v>
      </c>
      <c r="B109" s="284" t="str">
        <f>IF('Statement of Marks'!B112="","",'Statement of Marks'!B112)</f>
        <v/>
      </c>
      <c r="C109" s="284" t="str">
        <f>IF('Statement of Marks'!C112="","",'Statement of Marks'!C112)</f>
        <v/>
      </c>
      <c r="D109" s="426" t="str">
        <f>IF('Statement of Marks'!D112="","",'Statement of Marks'!D112)</f>
        <v/>
      </c>
      <c r="E109" s="427" t="str">
        <f>IF('Statement of Marks'!E112="","",'Statement of Marks'!E112)</f>
        <v/>
      </c>
      <c r="F109" s="427" t="str">
        <f>IF('Statement of Marks'!F112="","",'Statement of Marks'!F112)</f>
        <v/>
      </c>
      <c r="G109" s="427" t="str">
        <f>IF('Statement of Marks'!G112="","",'Statement of Marks'!G112)</f>
        <v/>
      </c>
      <c r="H109" s="428" t="str">
        <f>IF(B109="","",IF('Statement of Marks'!GY112="","",'Statement of Marks'!GY112))</f>
        <v/>
      </c>
      <c r="I109" s="287" t="str">
        <f>IF(B109="","",IF('Statement of Marks'!HB112="","",'Statement of Marks'!HB112))</f>
        <v/>
      </c>
      <c r="J109" s="429" t="str">
        <f>IF(B109="","",IF('Statement of Marks'!HC112="","",'Statement of Marks'!HC112))</f>
        <v/>
      </c>
      <c r="K109" s="296" t="str">
        <f>IF(B109="","",'Statement of Marks'!FJ112)</f>
        <v/>
      </c>
      <c r="L109" s="296" t="str">
        <f>IF(B109="","",'Statement of Marks'!FM112)</f>
        <v/>
      </c>
      <c r="M109" s="296" t="str">
        <f>IF(B109="","",'Statement of Marks'!FP112)</f>
        <v/>
      </c>
      <c r="N109" s="296" t="str">
        <f>IF(B109="","",'Statement of Marks'!FW112)</f>
        <v/>
      </c>
      <c r="O109" s="296" t="str">
        <f>IF(B109="","",'Statement of Marks'!GD112)</f>
        <v/>
      </c>
      <c r="P109" s="296" t="str">
        <f>IF(B109="","",'Statement of Marks'!GK112)</f>
        <v/>
      </c>
      <c r="Q109" s="296" t="str">
        <f>IF(B109="","",'Statement of Marks'!GR112)</f>
        <v/>
      </c>
      <c r="R109" s="296" t="str">
        <f>IF(B109="","",'Statement of Marks'!FF112)</f>
        <v/>
      </c>
      <c r="S109" s="430" t="str">
        <f>IFERROR(IF(B109="","",CONCATENATE(IF(AND('Marks Entry'!U112="A"),'Marks Entry'!$U$2,IF(AND('Marks Entry'!U112="B"),'Marks Entry'!$Y$2,IF(AND('Marks Entry'!U112="C"),'Marks Entry'!$AA$2,""))),", ",IF(AND('Marks Entry'!AC112="A"),'Marks Entry'!$AC$2,IF(AND('Marks Entry'!AC112="B"),'Marks Entry'!$AG$2,IF(AND('Marks Entry'!AC112="C"),'Marks Entry'!$AI$2,""))),", ",IF(AND('Marks Entry'!AK112="A"),'Marks Entry'!$AK$2,IF(AND('Marks Entry'!AK112="B"),'Marks Entry'!$AO$2,IF(AND('Marks Entry'!AK112="C"),'Marks Entry'!$AQ$2,""))),", ",IF(AND('Statement of Marks'!DD112=""),"",IF(AND('Statement of Marks'!DD112="A"),'Marks Entry'!$AS$2,IF(AND('Statement of Marks'!DD112="B"),'Marks Entry'!$AW$2,IF(AND('Statement of Marks'!DD112="C"),'Marks Entry'!$AY$2,"")))))),"")</f>
        <v/>
      </c>
      <c r="T109" s="431" t="str">
        <f>IF(COUNTIF(K109:R109,"F")&gt;0,"",CONCATENATE('Statement of Marks'!GU112,'Statement of Marks'!GW112))</f>
        <v xml:space="preserve">           </v>
      </c>
      <c r="BG109" s="17">
        <f>IFERROR(VLOOKUP(B109,'Statement of Marks'!$B$8:'Statement of Marks'!$HI$207,41,0),"")</f>
        <v>15</v>
      </c>
      <c r="BH109" s="17" t="str">
        <f>IFERROR(VLOOKUP(B109,'Statement of Marks'!$B$8:'Statement of Marks'!$HI$207,66,0),"")</f>
        <v/>
      </c>
      <c r="BI109" s="17">
        <f>IFERROR(VLOOKUP(B109,'Statement of Marks'!$B$8:'Statement of Marks'!$HI$207,91,0),"")</f>
        <v>60</v>
      </c>
      <c r="BJ109" s="17" t="str">
        <f>IFERROR(VLOOKUP(B109,'Statement of Marks'!$B$8:'Statement of Marks'!$HI$207,117,0),"")</f>
        <v/>
      </c>
    </row>
    <row r="110" spans="1:62" ht="24.95" customHeight="1">
      <c r="A110" s="284">
        <f>IF('Statement of Marks'!A113="","",'Statement of Marks'!A113)</f>
        <v>106</v>
      </c>
      <c r="B110" s="284" t="str">
        <f>IF('Statement of Marks'!B113="","",'Statement of Marks'!B113)</f>
        <v/>
      </c>
      <c r="C110" s="284" t="str">
        <f>IF('Statement of Marks'!C113="","",'Statement of Marks'!C113)</f>
        <v/>
      </c>
      <c r="D110" s="426" t="str">
        <f>IF('Statement of Marks'!D113="","",'Statement of Marks'!D113)</f>
        <v/>
      </c>
      <c r="E110" s="427" t="str">
        <f>IF('Statement of Marks'!E113="","",'Statement of Marks'!E113)</f>
        <v/>
      </c>
      <c r="F110" s="427" t="str">
        <f>IF('Statement of Marks'!F113="","",'Statement of Marks'!F113)</f>
        <v/>
      </c>
      <c r="G110" s="427" t="str">
        <f>IF('Statement of Marks'!G113="","",'Statement of Marks'!G113)</f>
        <v/>
      </c>
      <c r="H110" s="428" t="str">
        <f>IF(B110="","",IF('Statement of Marks'!GY113="","",'Statement of Marks'!GY113))</f>
        <v/>
      </c>
      <c r="I110" s="287" t="str">
        <f>IF(B110="","",IF('Statement of Marks'!HB113="","",'Statement of Marks'!HB113))</f>
        <v/>
      </c>
      <c r="J110" s="429" t="str">
        <f>IF(B110="","",IF('Statement of Marks'!HC113="","",'Statement of Marks'!HC113))</f>
        <v/>
      </c>
      <c r="K110" s="296" t="str">
        <f>IF(B110="","",'Statement of Marks'!FJ113)</f>
        <v/>
      </c>
      <c r="L110" s="296" t="str">
        <f>IF(B110="","",'Statement of Marks'!FM113)</f>
        <v/>
      </c>
      <c r="M110" s="296" t="str">
        <f>IF(B110="","",'Statement of Marks'!FP113)</f>
        <v/>
      </c>
      <c r="N110" s="296" t="str">
        <f>IF(B110="","",'Statement of Marks'!FW113)</f>
        <v/>
      </c>
      <c r="O110" s="296" t="str">
        <f>IF(B110="","",'Statement of Marks'!GD113)</f>
        <v/>
      </c>
      <c r="P110" s="296" t="str">
        <f>IF(B110="","",'Statement of Marks'!GK113)</f>
        <v/>
      </c>
      <c r="Q110" s="296" t="str">
        <f>IF(B110="","",'Statement of Marks'!GR113)</f>
        <v/>
      </c>
      <c r="R110" s="296" t="str">
        <f>IF(B110="","",'Statement of Marks'!FF113)</f>
        <v/>
      </c>
      <c r="S110" s="430" t="str">
        <f>IFERROR(IF(B110="","",CONCATENATE(IF(AND('Marks Entry'!U113="A"),'Marks Entry'!$U$2,IF(AND('Marks Entry'!U113="B"),'Marks Entry'!$Y$2,IF(AND('Marks Entry'!U113="C"),'Marks Entry'!$AA$2,""))),", ",IF(AND('Marks Entry'!AC113="A"),'Marks Entry'!$AC$2,IF(AND('Marks Entry'!AC113="B"),'Marks Entry'!$AG$2,IF(AND('Marks Entry'!AC113="C"),'Marks Entry'!$AI$2,""))),", ",IF(AND('Marks Entry'!AK113="A"),'Marks Entry'!$AK$2,IF(AND('Marks Entry'!AK113="B"),'Marks Entry'!$AO$2,IF(AND('Marks Entry'!AK113="C"),'Marks Entry'!$AQ$2,""))),", ",IF(AND('Statement of Marks'!DD113=""),"",IF(AND('Statement of Marks'!DD113="A"),'Marks Entry'!$AS$2,IF(AND('Statement of Marks'!DD113="B"),'Marks Entry'!$AW$2,IF(AND('Statement of Marks'!DD113="C"),'Marks Entry'!$AY$2,"")))))),"")</f>
        <v/>
      </c>
      <c r="T110" s="431" t="str">
        <f>IF(COUNTIF(K110:R110,"F")&gt;0,"",CONCATENATE('Statement of Marks'!GU113,'Statement of Marks'!GW113))</f>
        <v xml:space="preserve">           </v>
      </c>
      <c r="BG110" s="17">
        <f>IFERROR(VLOOKUP(B110,'Statement of Marks'!$B$8:'Statement of Marks'!$HI$207,41,0),"")</f>
        <v>15</v>
      </c>
      <c r="BH110" s="17" t="str">
        <f>IFERROR(VLOOKUP(B110,'Statement of Marks'!$B$8:'Statement of Marks'!$HI$207,66,0),"")</f>
        <v/>
      </c>
      <c r="BI110" s="17">
        <f>IFERROR(VLOOKUP(B110,'Statement of Marks'!$B$8:'Statement of Marks'!$HI$207,91,0),"")</f>
        <v>60</v>
      </c>
      <c r="BJ110" s="17" t="str">
        <f>IFERROR(VLOOKUP(B110,'Statement of Marks'!$B$8:'Statement of Marks'!$HI$207,117,0),"")</f>
        <v/>
      </c>
    </row>
    <row r="111" spans="1:62" ht="24.95" customHeight="1">
      <c r="A111" s="284">
        <f>IF('Statement of Marks'!A114="","",'Statement of Marks'!A114)</f>
        <v>107</v>
      </c>
      <c r="B111" s="284" t="str">
        <f>IF('Statement of Marks'!B114="","",'Statement of Marks'!B114)</f>
        <v/>
      </c>
      <c r="C111" s="284" t="str">
        <f>IF('Statement of Marks'!C114="","",'Statement of Marks'!C114)</f>
        <v/>
      </c>
      <c r="D111" s="426" t="str">
        <f>IF('Statement of Marks'!D114="","",'Statement of Marks'!D114)</f>
        <v/>
      </c>
      <c r="E111" s="427" t="str">
        <f>IF('Statement of Marks'!E114="","",'Statement of Marks'!E114)</f>
        <v/>
      </c>
      <c r="F111" s="427" t="str">
        <f>IF('Statement of Marks'!F114="","",'Statement of Marks'!F114)</f>
        <v/>
      </c>
      <c r="G111" s="427" t="str">
        <f>IF('Statement of Marks'!G114="","",'Statement of Marks'!G114)</f>
        <v/>
      </c>
      <c r="H111" s="428" t="str">
        <f>IF(B111="","",IF('Statement of Marks'!GY114="","",'Statement of Marks'!GY114))</f>
        <v/>
      </c>
      <c r="I111" s="287" t="str">
        <f>IF(B111="","",IF('Statement of Marks'!HB114="","",'Statement of Marks'!HB114))</f>
        <v/>
      </c>
      <c r="J111" s="429" t="str">
        <f>IF(B111="","",IF('Statement of Marks'!HC114="","",'Statement of Marks'!HC114))</f>
        <v/>
      </c>
      <c r="K111" s="296" t="str">
        <f>IF(B111="","",'Statement of Marks'!FJ114)</f>
        <v/>
      </c>
      <c r="L111" s="296" t="str">
        <f>IF(B111="","",'Statement of Marks'!FM114)</f>
        <v/>
      </c>
      <c r="M111" s="296" t="str">
        <f>IF(B111="","",'Statement of Marks'!FP114)</f>
        <v/>
      </c>
      <c r="N111" s="296" t="str">
        <f>IF(B111="","",'Statement of Marks'!FW114)</f>
        <v/>
      </c>
      <c r="O111" s="296" t="str">
        <f>IF(B111="","",'Statement of Marks'!GD114)</f>
        <v/>
      </c>
      <c r="P111" s="296" t="str">
        <f>IF(B111="","",'Statement of Marks'!GK114)</f>
        <v/>
      </c>
      <c r="Q111" s="296" t="str">
        <f>IF(B111="","",'Statement of Marks'!GR114)</f>
        <v/>
      </c>
      <c r="R111" s="296" t="str">
        <f>IF(B111="","",'Statement of Marks'!FF114)</f>
        <v/>
      </c>
      <c r="S111" s="430" t="str">
        <f>IFERROR(IF(B111="","",CONCATENATE(IF(AND('Marks Entry'!U114="A"),'Marks Entry'!$U$2,IF(AND('Marks Entry'!U114="B"),'Marks Entry'!$Y$2,IF(AND('Marks Entry'!U114="C"),'Marks Entry'!$AA$2,""))),", ",IF(AND('Marks Entry'!AC114="A"),'Marks Entry'!$AC$2,IF(AND('Marks Entry'!AC114="B"),'Marks Entry'!$AG$2,IF(AND('Marks Entry'!AC114="C"),'Marks Entry'!$AI$2,""))),", ",IF(AND('Marks Entry'!AK114="A"),'Marks Entry'!$AK$2,IF(AND('Marks Entry'!AK114="B"),'Marks Entry'!$AO$2,IF(AND('Marks Entry'!AK114="C"),'Marks Entry'!$AQ$2,""))),", ",IF(AND('Statement of Marks'!DD114=""),"",IF(AND('Statement of Marks'!DD114="A"),'Marks Entry'!$AS$2,IF(AND('Statement of Marks'!DD114="B"),'Marks Entry'!$AW$2,IF(AND('Statement of Marks'!DD114="C"),'Marks Entry'!$AY$2,"")))))),"")</f>
        <v/>
      </c>
      <c r="T111" s="431" t="str">
        <f>IF(COUNTIF(K111:R111,"F")&gt;0,"",CONCATENATE('Statement of Marks'!GU114,'Statement of Marks'!GW114))</f>
        <v xml:space="preserve">           </v>
      </c>
      <c r="BG111" s="17">
        <f>IFERROR(VLOOKUP(B111,'Statement of Marks'!$B$8:'Statement of Marks'!$HI$207,41,0),"")</f>
        <v>15</v>
      </c>
      <c r="BH111" s="17" t="str">
        <f>IFERROR(VLOOKUP(B111,'Statement of Marks'!$B$8:'Statement of Marks'!$HI$207,66,0),"")</f>
        <v/>
      </c>
      <c r="BI111" s="17">
        <f>IFERROR(VLOOKUP(B111,'Statement of Marks'!$B$8:'Statement of Marks'!$HI$207,91,0),"")</f>
        <v>60</v>
      </c>
      <c r="BJ111" s="17" t="str">
        <f>IFERROR(VLOOKUP(B111,'Statement of Marks'!$B$8:'Statement of Marks'!$HI$207,117,0),"")</f>
        <v/>
      </c>
    </row>
    <row r="112" spans="1:62" ht="24.95" customHeight="1">
      <c r="A112" s="284">
        <f>IF('Statement of Marks'!A115="","",'Statement of Marks'!A115)</f>
        <v>108</v>
      </c>
      <c r="B112" s="284" t="str">
        <f>IF('Statement of Marks'!B115="","",'Statement of Marks'!B115)</f>
        <v/>
      </c>
      <c r="C112" s="284" t="str">
        <f>IF('Statement of Marks'!C115="","",'Statement of Marks'!C115)</f>
        <v/>
      </c>
      <c r="D112" s="426" t="str">
        <f>IF('Statement of Marks'!D115="","",'Statement of Marks'!D115)</f>
        <v/>
      </c>
      <c r="E112" s="427" t="str">
        <f>IF('Statement of Marks'!E115="","",'Statement of Marks'!E115)</f>
        <v/>
      </c>
      <c r="F112" s="427" t="str">
        <f>IF('Statement of Marks'!F115="","",'Statement of Marks'!F115)</f>
        <v/>
      </c>
      <c r="G112" s="427" t="str">
        <f>IF('Statement of Marks'!G115="","",'Statement of Marks'!G115)</f>
        <v/>
      </c>
      <c r="H112" s="428" t="str">
        <f>IF(B112="","",IF('Statement of Marks'!GY115="","",'Statement of Marks'!GY115))</f>
        <v/>
      </c>
      <c r="I112" s="287" t="str">
        <f>IF(B112="","",IF('Statement of Marks'!HB115="","",'Statement of Marks'!HB115))</f>
        <v/>
      </c>
      <c r="J112" s="429" t="str">
        <f>IF(B112="","",IF('Statement of Marks'!HC115="","",'Statement of Marks'!HC115))</f>
        <v/>
      </c>
      <c r="K112" s="296" t="str">
        <f>IF(B112="","",'Statement of Marks'!FJ115)</f>
        <v/>
      </c>
      <c r="L112" s="296" t="str">
        <f>IF(B112="","",'Statement of Marks'!FM115)</f>
        <v/>
      </c>
      <c r="M112" s="296" t="str">
        <f>IF(B112="","",'Statement of Marks'!FP115)</f>
        <v/>
      </c>
      <c r="N112" s="296" t="str">
        <f>IF(B112="","",'Statement of Marks'!FW115)</f>
        <v/>
      </c>
      <c r="O112" s="296" t="str">
        <f>IF(B112="","",'Statement of Marks'!GD115)</f>
        <v/>
      </c>
      <c r="P112" s="296" t="str">
        <f>IF(B112="","",'Statement of Marks'!GK115)</f>
        <v/>
      </c>
      <c r="Q112" s="296" t="str">
        <f>IF(B112="","",'Statement of Marks'!GR115)</f>
        <v/>
      </c>
      <c r="R112" s="296" t="str">
        <f>IF(B112="","",'Statement of Marks'!FF115)</f>
        <v/>
      </c>
      <c r="S112" s="430" t="str">
        <f>IFERROR(IF(B112="","",CONCATENATE(IF(AND('Marks Entry'!U115="A"),'Marks Entry'!$U$2,IF(AND('Marks Entry'!U115="B"),'Marks Entry'!$Y$2,IF(AND('Marks Entry'!U115="C"),'Marks Entry'!$AA$2,""))),", ",IF(AND('Marks Entry'!AC115="A"),'Marks Entry'!$AC$2,IF(AND('Marks Entry'!AC115="B"),'Marks Entry'!$AG$2,IF(AND('Marks Entry'!AC115="C"),'Marks Entry'!$AI$2,""))),", ",IF(AND('Marks Entry'!AK115="A"),'Marks Entry'!$AK$2,IF(AND('Marks Entry'!AK115="B"),'Marks Entry'!$AO$2,IF(AND('Marks Entry'!AK115="C"),'Marks Entry'!$AQ$2,""))),", ",IF(AND('Statement of Marks'!DD115=""),"",IF(AND('Statement of Marks'!DD115="A"),'Marks Entry'!$AS$2,IF(AND('Statement of Marks'!DD115="B"),'Marks Entry'!$AW$2,IF(AND('Statement of Marks'!DD115="C"),'Marks Entry'!$AY$2,"")))))),"")</f>
        <v/>
      </c>
      <c r="T112" s="431" t="str">
        <f>IF(COUNTIF(K112:R112,"F")&gt;0,"",CONCATENATE('Statement of Marks'!GU115,'Statement of Marks'!GW115))</f>
        <v xml:space="preserve">           </v>
      </c>
      <c r="BG112" s="17">
        <f>IFERROR(VLOOKUP(B112,'Statement of Marks'!$B$8:'Statement of Marks'!$HI$207,41,0),"")</f>
        <v>15</v>
      </c>
      <c r="BH112" s="17" t="str">
        <f>IFERROR(VLOOKUP(B112,'Statement of Marks'!$B$8:'Statement of Marks'!$HI$207,66,0),"")</f>
        <v/>
      </c>
      <c r="BI112" s="17">
        <f>IFERROR(VLOOKUP(B112,'Statement of Marks'!$B$8:'Statement of Marks'!$HI$207,91,0),"")</f>
        <v>60</v>
      </c>
      <c r="BJ112" s="17" t="str">
        <f>IFERROR(VLOOKUP(B112,'Statement of Marks'!$B$8:'Statement of Marks'!$HI$207,117,0),"")</f>
        <v/>
      </c>
    </row>
    <row r="113" spans="1:62" ht="24.95" customHeight="1">
      <c r="A113" s="284">
        <f>IF('Statement of Marks'!A116="","",'Statement of Marks'!A116)</f>
        <v>109</v>
      </c>
      <c r="B113" s="284" t="str">
        <f>IF('Statement of Marks'!B116="","",'Statement of Marks'!B116)</f>
        <v/>
      </c>
      <c r="C113" s="284" t="str">
        <f>IF('Statement of Marks'!C116="","",'Statement of Marks'!C116)</f>
        <v/>
      </c>
      <c r="D113" s="426" t="str">
        <f>IF('Statement of Marks'!D116="","",'Statement of Marks'!D116)</f>
        <v/>
      </c>
      <c r="E113" s="427" t="str">
        <f>IF('Statement of Marks'!E116="","",'Statement of Marks'!E116)</f>
        <v/>
      </c>
      <c r="F113" s="427" t="str">
        <f>IF('Statement of Marks'!F116="","",'Statement of Marks'!F116)</f>
        <v/>
      </c>
      <c r="G113" s="427" t="str">
        <f>IF('Statement of Marks'!G116="","",'Statement of Marks'!G116)</f>
        <v/>
      </c>
      <c r="H113" s="428" t="str">
        <f>IF(B113="","",IF('Statement of Marks'!GY116="","",'Statement of Marks'!GY116))</f>
        <v/>
      </c>
      <c r="I113" s="287" t="str">
        <f>IF(B113="","",IF('Statement of Marks'!HB116="","",'Statement of Marks'!HB116))</f>
        <v/>
      </c>
      <c r="J113" s="429" t="str">
        <f>IF(B113="","",IF('Statement of Marks'!HC116="","",'Statement of Marks'!HC116))</f>
        <v/>
      </c>
      <c r="K113" s="296" t="str">
        <f>IF(B113="","",'Statement of Marks'!FJ116)</f>
        <v/>
      </c>
      <c r="L113" s="296" t="str">
        <f>IF(B113="","",'Statement of Marks'!FM116)</f>
        <v/>
      </c>
      <c r="M113" s="296" t="str">
        <f>IF(B113="","",'Statement of Marks'!FP116)</f>
        <v/>
      </c>
      <c r="N113" s="296" t="str">
        <f>IF(B113="","",'Statement of Marks'!FW116)</f>
        <v/>
      </c>
      <c r="O113" s="296" t="str">
        <f>IF(B113="","",'Statement of Marks'!GD116)</f>
        <v/>
      </c>
      <c r="P113" s="296" t="str">
        <f>IF(B113="","",'Statement of Marks'!GK116)</f>
        <v/>
      </c>
      <c r="Q113" s="296" t="str">
        <f>IF(B113="","",'Statement of Marks'!GR116)</f>
        <v/>
      </c>
      <c r="R113" s="296" t="str">
        <f>IF(B113="","",'Statement of Marks'!FF116)</f>
        <v/>
      </c>
      <c r="S113" s="430" t="str">
        <f>IFERROR(IF(B113="","",CONCATENATE(IF(AND('Marks Entry'!U116="A"),'Marks Entry'!$U$2,IF(AND('Marks Entry'!U116="B"),'Marks Entry'!$Y$2,IF(AND('Marks Entry'!U116="C"),'Marks Entry'!$AA$2,""))),", ",IF(AND('Marks Entry'!AC116="A"),'Marks Entry'!$AC$2,IF(AND('Marks Entry'!AC116="B"),'Marks Entry'!$AG$2,IF(AND('Marks Entry'!AC116="C"),'Marks Entry'!$AI$2,""))),", ",IF(AND('Marks Entry'!AK116="A"),'Marks Entry'!$AK$2,IF(AND('Marks Entry'!AK116="B"),'Marks Entry'!$AO$2,IF(AND('Marks Entry'!AK116="C"),'Marks Entry'!$AQ$2,""))),", ",IF(AND('Statement of Marks'!DD116=""),"",IF(AND('Statement of Marks'!DD116="A"),'Marks Entry'!$AS$2,IF(AND('Statement of Marks'!DD116="B"),'Marks Entry'!$AW$2,IF(AND('Statement of Marks'!DD116="C"),'Marks Entry'!$AY$2,"")))))),"")</f>
        <v/>
      </c>
      <c r="T113" s="431" t="str">
        <f>IF(COUNTIF(K113:R113,"F")&gt;0,"",CONCATENATE('Statement of Marks'!GU116,'Statement of Marks'!GW116))</f>
        <v xml:space="preserve">           </v>
      </c>
      <c r="BG113" s="17">
        <f>IFERROR(VLOOKUP(B113,'Statement of Marks'!$B$8:'Statement of Marks'!$HI$207,41,0),"")</f>
        <v>15</v>
      </c>
      <c r="BH113" s="17" t="str">
        <f>IFERROR(VLOOKUP(B113,'Statement of Marks'!$B$8:'Statement of Marks'!$HI$207,66,0),"")</f>
        <v/>
      </c>
      <c r="BI113" s="17">
        <f>IFERROR(VLOOKUP(B113,'Statement of Marks'!$B$8:'Statement of Marks'!$HI$207,91,0),"")</f>
        <v>60</v>
      </c>
      <c r="BJ113" s="17" t="str">
        <f>IFERROR(VLOOKUP(B113,'Statement of Marks'!$B$8:'Statement of Marks'!$HI$207,117,0),"")</f>
        <v/>
      </c>
    </row>
    <row r="114" spans="1:62" ht="24.95" customHeight="1">
      <c r="A114" s="284">
        <f>IF('Statement of Marks'!A117="","",'Statement of Marks'!A117)</f>
        <v>110</v>
      </c>
      <c r="B114" s="284" t="str">
        <f>IF('Statement of Marks'!B117="","",'Statement of Marks'!B117)</f>
        <v/>
      </c>
      <c r="C114" s="284" t="str">
        <f>IF('Statement of Marks'!C117="","",'Statement of Marks'!C117)</f>
        <v/>
      </c>
      <c r="D114" s="426" t="str">
        <f>IF('Statement of Marks'!D117="","",'Statement of Marks'!D117)</f>
        <v/>
      </c>
      <c r="E114" s="427" t="str">
        <f>IF('Statement of Marks'!E117="","",'Statement of Marks'!E117)</f>
        <v/>
      </c>
      <c r="F114" s="427" t="str">
        <f>IF('Statement of Marks'!F117="","",'Statement of Marks'!F117)</f>
        <v/>
      </c>
      <c r="G114" s="427" t="str">
        <f>IF('Statement of Marks'!G117="","",'Statement of Marks'!G117)</f>
        <v/>
      </c>
      <c r="H114" s="428" t="str">
        <f>IF(B114="","",IF('Statement of Marks'!GY117="","",'Statement of Marks'!GY117))</f>
        <v/>
      </c>
      <c r="I114" s="287" t="str">
        <f>IF(B114="","",IF('Statement of Marks'!HB117="","",'Statement of Marks'!HB117))</f>
        <v/>
      </c>
      <c r="J114" s="429" t="str">
        <f>IF(B114="","",IF('Statement of Marks'!HC117="","",'Statement of Marks'!HC117))</f>
        <v/>
      </c>
      <c r="K114" s="296" t="str">
        <f>IF(B114="","",'Statement of Marks'!FJ117)</f>
        <v/>
      </c>
      <c r="L114" s="296" t="str">
        <f>IF(B114="","",'Statement of Marks'!FM117)</f>
        <v/>
      </c>
      <c r="M114" s="296" t="str">
        <f>IF(B114="","",'Statement of Marks'!FP117)</f>
        <v/>
      </c>
      <c r="N114" s="296" t="str">
        <f>IF(B114="","",'Statement of Marks'!FW117)</f>
        <v/>
      </c>
      <c r="O114" s="296" t="str">
        <f>IF(B114="","",'Statement of Marks'!GD117)</f>
        <v/>
      </c>
      <c r="P114" s="296" t="str">
        <f>IF(B114="","",'Statement of Marks'!GK117)</f>
        <v/>
      </c>
      <c r="Q114" s="296" t="str">
        <f>IF(B114="","",'Statement of Marks'!GR117)</f>
        <v/>
      </c>
      <c r="R114" s="296" t="str">
        <f>IF(B114="","",'Statement of Marks'!FF117)</f>
        <v/>
      </c>
      <c r="S114" s="430" t="str">
        <f>IFERROR(IF(B114="","",CONCATENATE(IF(AND('Marks Entry'!U117="A"),'Marks Entry'!$U$2,IF(AND('Marks Entry'!U117="B"),'Marks Entry'!$Y$2,IF(AND('Marks Entry'!U117="C"),'Marks Entry'!$AA$2,""))),", ",IF(AND('Marks Entry'!AC117="A"),'Marks Entry'!$AC$2,IF(AND('Marks Entry'!AC117="B"),'Marks Entry'!$AG$2,IF(AND('Marks Entry'!AC117="C"),'Marks Entry'!$AI$2,""))),", ",IF(AND('Marks Entry'!AK117="A"),'Marks Entry'!$AK$2,IF(AND('Marks Entry'!AK117="B"),'Marks Entry'!$AO$2,IF(AND('Marks Entry'!AK117="C"),'Marks Entry'!$AQ$2,""))),", ",IF(AND('Statement of Marks'!DD117=""),"",IF(AND('Statement of Marks'!DD117="A"),'Marks Entry'!$AS$2,IF(AND('Statement of Marks'!DD117="B"),'Marks Entry'!$AW$2,IF(AND('Statement of Marks'!DD117="C"),'Marks Entry'!$AY$2,"")))))),"")</f>
        <v/>
      </c>
      <c r="T114" s="431" t="str">
        <f>IF(COUNTIF(K114:R114,"F")&gt;0,"",CONCATENATE('Statement of Marks'!GU117,'Statement of Marks'!GW117))</f>
        <v xml:space="preserve">           </v>
      </c>
      <c r="BG114" s="17">
        <f>IFERROR(VLOOKUP(B114,'Statement of Marks'!$B$8:'Statement of Marks'!$HI$207,41,0),"")</f>
        <v>15</v>
      </c>
      <c r="BH114" s="17" t="str">
        <f>IFERROR(VLOOKUP(B114,'Statement of Marks'!$B$8:'Statement of Marks'!$HI$207,66,0),"")</f>
        <v/>
      </c>
      <c r="BI114" s="17">
        <f>IFERROR(VLOOKUP(B114,'Statement of Marks'!$B$8:'Statement of Marks'!$HI$207,91,0),"")</f>
        <v>60</v>
      </c>
      <c r="BJ114" s="17" t="str">
        <f>IFERROR(VLOOKUP(B114,'Statement of Marks'!$B$8:'Statement of Marks'!$HI$207,117,0),"")</f>
        <v/>
      </c>
    </row>
    <row r="115" spans="1:62" ht="24.95" customHeight="1">
      <c r="A115" s="284">
        <f>IF('Statement of Marks'!A118="","",'Statement of Marks'!A118)</f>
        <v>111</v>
      </c>
      <c r="B115" s="284" t="str">
        <f>IF('Statement of Marks'!B118="","",'Statement of Marks'!B118)</f>
        <v/>
      </c>
      <c r="C115" s="284" t="str">
        <f>IF('Statement of Marks'!C118="","",'Statement of Marks'!C118)</f>
        <v/>
      </c>
      <c r="D115" s="426" t="str">
        <f>IF('Statement of Marks'!D118="","",'Statement of Marks'!D118)</f>
        <v/>
      </c>
      <c r="E115" s="427" t="str">
        <f>IF('Statement of Marks'!E118="","",'Statement of Marks'!E118)</f>
        <v/>
      </c>
      <c r="F115" s="427" t="str">
        <f>IF('Statement of Marks'!F118="","",'Statement of Marks'!F118)</f>
        <v/>
      </c>
      <c r="G115" s="427" t="str">
        <f>IF('Statement of Marks'!G118="","",'Statement of Marks'!G118)</f>
        <v/>
      </c>
      <c r="H115" s="428" t="str">
        <f>IF(B115="","",IF('Statement of Marks'!GY118="","",'Statement of Marks'!GY118))</f>
        <v/>
      </c>
      <c r="I115" s="287" t="str">
        <f>IF(B115="","",IF('Statement of Marks'!HB118="","",'Statement of Marks'!HB118))</f>
        <v/>
      </c>
      <c r="J115" s="429" t="str">
        <f>IF(B115="","",IF('Statement of Marks'!HC118="","",'Statement of Marks'!HC118))</f>
        <v/>
      </c>
      <c r="K115" s="296" t="str">
        <f>IF(B115="","",'Statement of Marks'!FJ118)</f>
        <v/>
      </c>
      <c r="L115" s="296" t="str">
        <f>IF(B115="","",'Statement of Marks'!FM118)</f>
        <v/>
      </c>
      <c r="M115" s="296" t="str">
        <f>IF(B115="","",'Statement of Marks'!FP118)</f>
        <v/>
      </c>
      <c r="N115" s="296" t="str">
        <f>IF(B115="","",'Statement of Marks'!FW118)</f>
        <v/>
      </c>
      <c r="O115" s="296" t="str">
        <f>IF(B115="","",'Statement of Marks'!GD118)</f>
        <v/>
      </c>
      <c r="P115" s="296" t="str">
        <f>IF(B115="","",'Statement of Marks'!GK118)</f>
        <v/>
      </c>
      <c r="Q115" s="296" t="str">
        <f>IF(B115="","",'Statement of Marks'!GR118)</f>
        <v/>
      </c>
      <c r="R115" s="296" t="str">
        <f>IF(B115="","",'Statement of Marks'!FF118)</f>
        <v/>
      </c>
      <c r="S115" s="430" t="str">
        <f>IFERROR(IF(B115="","",CONCATENATE(IF(AND('Marks Entry'!U118="A"),'Marks Entry'!$U$2,IF(AND('Marks Entry'!U118="B"),'Marks Entry'!$Y$2,IF(AND('Marks Entry'!U118="C"),'Marks Entry'!$AA$2,""))),", ",IF(AND('Marks Entry'!AC118="A"),'Marks Entry'!$AC$2,IF(AND('Marks Entry'!AC118="B"),'Marks Entry'!$AG$2,IF(AND('Marks Entry'!AC118="C"),'Marks Entry'!$AI$2,""))),", ",IF(AND('Marks Entry'!AK118="A"),'Marks Entry'!$AK$2,IF(AND('Marks Entry'!AK118="B"),'Marks Entry'!$AO$2,IF(AND('Marks Entry'!AK118="C"),'Marks Entry'!$AQ$2,""))),", ",IF(AND('Statement of Marks'!DD118=""),"",IF(AND('Statement of Marks'!DD118="A"),'Marks Entry'!$AS$2,IF(AND('Statement of Marks'!DD118="B"),'Marks Entry'!$AW$2,IF(AND('Statement of Marks'!DD118="C"),'Marks Entry'!$AY$2,"")))))),"")</f>
        <v/>
      </c>
      <c r="T115" s="431" t="str">
        <f>IF(COUNTIF(K115:R115,"F")&gt;0,"",CONCATENATE('Statement of Marks'!GU118,'Statement of Marks'!GW118))</f>
        <v xml:space="preserve">           </v>
      </c>
      <c r="BG115" s="17">
        <f>IFERROR(VLOOKUP(B115,'Statement of Marks'!$B$8:'Statement of Marks'!$HI$207,41,0),"")</f>
        <v>15</v>
      </c>
      <c r="BH115" s="17" t="str">
        <f>IFERROR(VLOOKUP(B115,'Statement of Marks'!$B$8:'Statement of Marks'!$HI$207,66,0),"")</f>
        <v/>
      </c>
      <c r="BI115" s="17">
        <f>IFERROR(VLOOKUP(B115,'Statement of Marks'!$B$8:'Statement of Marks'!$HI$207,91,0),"")</f>
        <v>60</v>
      </c>
      <c r="BJ115" s="17" t="str">
        <f>IFERROR(VLOOKUP(B115,'Statement of Marks'!$B$8:'Statement of Marks'!$HI$207,117,0),"")</f>
        <v/>
      </c>
    </row>
    <row r="116" spans="1:62" ht="24.95" customHeight="1">
      <c r="A116" s="284">
        <f>IF('Statement of Marks'!A119="","",'Statement of Marks'!A119)</f>
        <v>112</v>
      </c>
      <c r="B116" s="284" t="str">
        <f>IF('Statement of Marks'!B119="","",'Statement of Marks'!B119)</f>
        <v/>
      </c>
      <c r="C116" s="284" t="str">
        <f>IF('Statement of Marks'!C119="","",'Statement of Marks'!C119)</f>
        <v/>
      </c>
      <c r="D116" s="426" t="str">
        <f>IF('Statement of Marks'!D119="","",'Statement of Marks'!D119)</f>
        <v/>
      </c>
      <c r="E116" s="427" t="str">
        <f>IF('Statement of Marks'!E119="","",'Statement of Marks'!E119)</f>
        <v/>
      </c>
      <c r="F116" s="427" t="str">
        <f>IF('Statement of Marks'!F119="","",'Statement of Marks'!F119)</f>
        <v/>
      </c>
      <c r="G116" s="427" t="str">
        <f>IF('Statement of Marks'!G119="","",'Statement of Marks'!G119)</f>
        <v/>
      </c>
      <c r="H116" s="428" t="str">
        <f>IF(B116="","",IF('Statement of Marks'!GY119="","",'Statement of Marks'!GY119))</f>
        <v/>
      </c>
      <c r="I116" s="287" t="str">
        <f>IF(B116="","",IF('Statement of Marks'!HB119="","",'Statement of Marks'!HB119))</f>
        <v/>
      </c>
      <c r="J116" s="429" t="str">
        <f>IF(B116="","",IF('Statement of Marks'!HC119="","",'Statement of Marks'!HC119))</f>
        <v/>
      </c>
      <c r="K116" s="296" t="str">
        <f>IF(B116="","",'Statement of Marks'!FJ119)</f>
        <v/>
      </c>
      <c r="L116" s="296" t="str">
        <f>IF(B116="","",'Statement of Marks'!FM119)</f>
        <v/>
      </c>
      <c r="M116" s="296" t="str">
        <f>IF(B116="","",'Statement of Marks'!FP119)</f>
        <v/>
      </c>
      <c r="N116" s="296" t="str">
        <f>IF(B116="","",'Statement of Marks'!FW119)</f>
        <v/>
      </c>
      <c r="O116" s="296" t="str">
        <f>IF(B116="","",'Statement of Marks'!GD119)</f>
        <v/>
      </c>
      <c r="P116" s="296" t="str">
        <f>IF(B116="","",'Statement of Marks'!GK119)</f>
        <v/>
      </c>
      <c r="Q116" s="296" t="str">
        <f>IF(B116="","",'Statement of Marks'!GR119)</f>
        <v/>
      </c>
      <c r="R116" s="296" t="str">
        <f>IF(B116="","",'Statement of Marks'!FF119)</f>
        <v/>
      </c>
      <c r="S116" s="430" t="str">
        <f>IFERROR(IF(B116="","",CONCATENATE(IF(AND('Marks Entry'!U119="A"),'Marks Entry'!$U$2,IF(AND('Marks Entry'!U119="B"),'Marks Entry'!$Y$2,IF(AND('Marks Entry'!U119="C"),'Marks Entry'!$AA$2,""))),", ",IF(AND('Marks Entry'!AC119="A"),'Marks Entry'!$AC$2,IF(AND('Marks Entry'!AC119="B"),'Marks Entry'!$AG$2,IF(AND('Marks Entry'!AC119="C"),'Marks Entry'!$AI$2,""))),", ",IF(AND('Marks Entry'!AK119="A"),'Marks Entry'!$AK$2,IF(AND('Marks Entry'!AK119="B"),'Marks Entry'!$AO$2,IF(AND('Marks Entry'!AK119="C"),'Marks Entry'!$AQ$2,""))),", ",IF(AND('Statement of Marks'!DD119=""),"",IF(AND('Statement of Marks'!DD119="A"),'Marks Entry'!$AS$2,IF(AND('Statement of Marks'!DD119="B"),'Marks Entry'!$AW$2,IF(AND('Statement of Marks'!DD119="C"),'Marks Entry'!$AY$2,"")))))),"")</f>
        <v/>
      </c>
      <c r="T116" s="431" t="str">
        <f>IF(COUNTIF(K116:R116,"F")&gt;0,"",CONCATENATE('Statement of Marks'!GU119,'Statement of Marks'!GW119))</f>
        <v xml:space="preserve">           </v>
      </c>
      <c r="BG116" s="17">
        <f>IFERROR(VLOOKUP(B116,'Statement of Marks'!$B$8:'Statement of Marks'!$HI$207,41,0),"")</f>
        <v>15</v>
      </c>
      <c r="BH116" s="17" t="str">
        <f>IFERROR(VLOOKUP(B116,'Statement of Marks'!$B$8:'Statement of Marks'!$HI$207,66,0),"")</f>
        <v/>
      </c>
      <c r="BI116" s="17">
        <f>IFERROR(VLOOKUP(B116,'Statement of Marks'!$B$8:'Statement of Marks'!$HI$207,91,0),"")</f>
        <v>60</v>
      </c>
      <c r="BJ116" s="17" t="str">
        <f>IFERROR(VLOOKUP(B116,'Statement of Marks'!$B$8:'Statement of Marks'!$HI$207,117,0),"")</f>
        <v/>
      </c>
    </row>
    <row r="117" spans="1:62" ht="24.95" customHeight="1">
      <c r="A117" s="284">
        <f>IF('Statement of Marks'!A120="","",'Statement of Marks'!A120)</f>
        <v>113</v>
      </c>
      <c r="B117" s="284" t="str">
        <f>IF('Statement of Marks'!B120="","",'Statement of Marks'!B120)</f>
        <v/>
      </c>
      <c r="C117" s="284" t="str">
        <f>IF('Statement of Marks'!C120="","",'Statement of Marks'!C120)</f>
        <v/>
      </c>
      <c r="D117" s="426" t="str">
        <f>IF('Statement of Marks'!D120="","",'Statement of Marks'!D120)</f>
        <v/>
      </c>
      <c r="E117" s="427" t="str">
        <f>IF('Statement of Marks'!E120="","",'Statement of Marks'!E120)</f>
        <v/>
      </c>
      <c r="F117" s="427" t="str">
        <f>IF('Statement of Marks'!F120="","",'Statement of Marks'!F120)</f>
        <v/>
      </c>
      <c r="G117" s="427" t="str">
        <f>IF('Statement of Marks'!G120="","",'Statement of Marks'!G120)</f>
        <v/>
      </c>
      <c r="H117" s="428" t="str">
        <f>IF(B117="","",IF('Statement of Marks'!GY120="","",'Statement of Marks'!GY120))</f>
        <v/>
      </c>
      <c r="I117" s="287" t="str">
        <f>IF(B117="","",IF('Statement of Marks'!HB120="","",'Statement of Marks'!HB120))</f>
        <v/>
      </c>
      <c r="J117" s="429" t="str">
        <f>IF(B117="","",IF('Statement of Marks'!HC120="","",'Statement of Marks'!HC120))</f>
        <v/>
      </c>
      <c r="K117" s="296" t="str">
        <f>IF(B117="","",'Statement of Marks'!FJ120)</f>
        <v/>
      </c>
      <c r="L117" s="296" t="str">
        <f>IF(B117="","",'Statement of Marks'!FM120)</f>
        <v/>
      </c>
      <c r="M117" s="296" t="str">
        <f>IF(B117="","",'Statement of Marks'!FP120)</f>
        <v/>
      </c>
      <c r="N117" s="296" t="str">
        <f>IF(B117="","",'Statement of Marks'!FW120)</f>
        <v/>
      </c>
      <c r="O117" s="296" t="str">
        <f>IF(B117="","",'Statement of Marks'!GD120)</f>
        <v/>
      </c>
      <c r="P117" s="296" t="str">
        <f>IF(B117="","",'Statement of Marks'!GK120)</f>
        <v/>
      </c>
      <c r="Q117" s="296" t="str">
        <f>IF(B117="","",'Statement of Marks'!GR120)</f>
        <v/>
      </c>
      <c r="R117" s="296" t="str">
        <f>IF(B117="","",'Statement of Marks'!FF120)</f>
        <v/>
      </c>
      <c r="S117" s="430" t="str">
        <f>IFERROR(IF(B117="","",CONCATENATE(IF(AND('Marks Entry'!U120="A"),'Marks Entry'!$U$2,IF(AND('Marks Entry'!U120="B"),'Marks Entry'!$Y$2,IF(AND('Marks Entry'!U120="C"),'Marks Entry'!$AA$2,""))),", ",IF(AND('Marks Entry'!AC120="A"),'Marks Entry'!$AC$2,IF(AND('Marks Entry'!AC120="B"),'Marks Entry'!$AG$2,IF(AND('Marks Entry'!AC120="C"),'Marks Entry'!$AI$2,""))),", ",IF(AND('Marks Entry'!AK120="A"),'Marks Entry'!$AK$2,IF(AND('Marks Entry'!AK120="B"),'Marks Entry'!$AO$2,IF(AND('Marks Entry'!AK120="C"),'Marks Entry'!$AQ$2,""))),", ",IF(AND('Statement of Marks'!DD120=""),"",IF(AND('Statement of Marks'!DD120="A"),'Marks Entry'!$AS$2,IF(AND('Statement of Marks'!DD120="B"),'Marks Entry'!$AW$2,IF(AND('Statement of Marks'!DD120="C"),'Marks Entry'!$AY$2,"")))))),"")</f>
        <v/>
      </c>
      <c r="T117" s="431" t="str">
        <f>IF(COUNTIF(K117:R117,"F")&gt;0,"",CONCATENATE('Statement of Marks'!GU120,'Statement of Marks'!GW120))</f>
        <v xml:space="preserve">           </v>
      </c>
      <c r="BG117" s="17">
        <f>IFERROR(VLOOKUP(B117,'Statement of Marks'!$B$8:'Statement of Marks'!$HI$207,41,0),"")</f>
        <v>15</v>
      </c>
      <c r="BH117" s="17" t="str">
        <f>IFERROR(VLOOKUP(B117,'Statement of Marks'!$B$8:'Statement of Marks'!$HI$207,66,0),"")</f>
        <v/>
      </c>
      <c r="BI117" s="17">
        <f>IFERROR(VLOOKUP(B117,'Statement of Marks'!$B$8:'Statement of Marks'!$HI$207,91,0),"")</f>
        <v>60</v>
      </c>
      <c r="BJ117" s="17" t="str">
        <f>IFERROR(VLOOKUP(B117,'Statement of Marks'!$B$8:'Statement of Marks'!$HI$207,117,0),"")</f>
        <v/>
      </c>
    </row>
    <row r="118" spans="1:62" ht="24.95" customHeight="1">
      <c r="A118" s="284">
        <f>IF('Statement of Marks'!A121="","",'Statement of Marks'!A121)</f>
        <v>114</v>
      </c>
      <c r="B118" s="284" t="str">
        <f>IF('Statement of Marks'!B121="","",'Statement of Marks'!B121)</f>
        <v/>
      </c>
      <c r="C118" s="284" t="str">
        <f>IF('Statement of Marks'!C121="","",'Statement of Marks'!C121)</f>
        <v/>
      </c>
      <c r="D118" s="426" t="str">
        <f>IF('Statement of Marks'!D121="","",'Statement of Marks'!D121)</f>
        <v/>
      </c>
      <c r="E118" s="427" t="str">
        <f>IF('Statement of Marks'!E121="","",'Statement of Marks'!E121)</f>
        <v/>
      </c>
      <c r="F118" s="427" t="str">
        <f>IF('Statement of Marks'!F121="","",'Statement of Marks'!F121)</f>
        <v/>
      </c>
      <c r="G118" s="427" t="str">
        <f>IF('Statement of Marks'!G121="","",'Statement of Marks'!G121)</f>
        <v/>
      </c>
      <c r="H118" s="428" t="str">
        <f>IF(B118="","",IF('Statement of Marks'!GY121="","",'Statement of Marks'!GY121))</f>
        <v/>
      </c>
      <c r="I118" s="287" t="str">
        <f>IF(B118="","",IF('Statement of Marks'!HB121="","",'Statement of Marks'!HB121))</f>
        <v/>
      </c>
      <c r="J118" s="429" t="str">
        <f>IF(B118="","",IF('Statement of Marks'!HC121="","",'Statement of Marks'!HC121))</f>
        <v/>
      </c>
      <c r="K118" s="296" t="str">
        <f>IF(B118="","",'Statement of Marks'!FJ121)</f>
        <v/>
      </c>
      <c r="L118" s="296" t="str">
        <f>IF(B118="","",'Statement of Marks'!FM121)</f>
        <v/>
      </c>
      <c r="M118" s="296" t="str">
        <f>IF(B118="","",'Statement of Marks'!FP121)</f>
        <v/>
      </c>
      <c r="N118" s="296" t="str">
        <f>IF(B118="","",'Statement of Marks'!FW121)</f>
        <v/>
      </c>
      <c r="O118" s="296" t="str">
        <f>IF(B118="","",'Statement of Marks'!GD121)</f>
        <v/>
      </c>
      <c r="P118" s="296" t="str">
        <f>IF(B118="","",'Statement of Marks'!GK121)</f>
        <v/>
      </c>
      <c r="Q118" s="296" t="str">
        <f>IF(B118="","",'Statement of Marks'!GR121)</f>
        <v/>
      </c>
      <c r="R118" s="296" t="str">
        <f>IF(B118="","",'Statement of Marks'!FF121)</f>
        <v/>
      </c>
      <c r="S118" s="430" t="str">
        <f>IFERROR(IF(B118="","",CONCATENATE(IF(AND('Marks Entry'!U121="A"),'Marks Entry'!$U$2,IF(AND('Marks Entry'!U121="B"),'Marks Entry'!$Y$2,IF(AND('Marks Entry'!U121="C"),'Marks Entry'!$AA$2,""))),", ",IF(AND('Marks Entry'!AC121="A"),'Marks Entry'!$AC$2,IF(AND('Marks Entry'!AC121="B"),'Marks Entry'!$AG$2,IF(AND('Marks Entry'!AC121="C"),'Marks Entry'!$AI$2,""))),", ",IF(AND('Marks Entry'!AK121="A"),'Marks Entry'!$AK$2,IF(AND('Marks Entry'!AK121="B"),'Marks Entry'!$AO$2,IF(AND('Marks Entry'!AK121="C"),'Marks Entry'!$AQ$2,""))),", ",IF(AND('Statement of Marks'!DD121=""),"",IF(AND('Statement of Marks'!DD121="A"),'Marks Entry'!$AS$2,IF(AND('Statement of Marks'!DD121="B"),'Marks Entry'!$AW$2,IF(AND('Statement of Marks'!DD121="C"),'Marks Entry'!$AY$2,"")))))),"")</f>
        <v/>
      </c>
      <c r="T118" s="431" t="str">
        <f>IF(COUNTIF(K118:R118,"F")&gt;0,"",CONCATENATE('Statement of Marks'!GU121,'Statement of Marks'!GW121))</f>
        <v xml:space="preserve">           </v>
      </c>
      <c r="BG118" s="17">
        <f>IFERROR(VLOOKUP(B118,'Statement of Marks'!$B$8:'Statement of Marks'!$HI$207,41,0),"")</f>
        <v>15</v>
      </c>
      <c r="BH118" s="17" t="str">
        <f>IFERROR(VLOOKUP(B118,'Statement of Marks'!$B$8:'Statement of Marks'!$HI$207,66,0),"")</f>
        <v/>
      </c>
      <c r="BI118" s="17">
        <f>IFERROR(VLOOKUP(B118,'Statement of Marks'!$B$8:'Statement of Marks'!$HI$207,91,0),"")</f>
        <v>60</v>
      </c>
      <c r="BJ118" s="17" t="str">
        <f>IFERROR(VLOOKUP(B118,'Statement of Marks'!$B$8:'Statement of Marks'!$HI$207,117,0),"")</f>
        <v/>
      </c>
    </row>
    <row r="119" spans="1:62" ht="24.95" customHeight="1">
      <c r="A119" s="284">
        <f>IF('Statement of Marks'!A122="","",'Statement of Marks'!A122)</f>
        <v>115</v>
      </c>
      <c r="B119" s="284" t="str">
        <f>IF('Statement of Marks'!B122="","",'Statement of Marks'!B122)</f>
        <v/>
      </c>
      <c r="C119" s="284" t="str">
        <f>IF('Statement of Marks'!C122="","",'Statement of Marks'!C122)</f>
        <v/>
      </c>
      <c r="D119" s="426" t="str">
        <f>IF('Statement of Marks'!D122="","",'Statement of Marks'!D122)</f>
        <v/>
      </c>
      <c r="E119" s="427" t="str">
        <f>IF('Statement of Marks'!E122="","",'Statement of Marks'!E122)</f>
        <v/>
      </c>
      <c r="F119" s="427" t="str">
        <f>IF('Statement of Marks'!F122="","",'Statement of Marks'!F122)</f>
        <v/>
      </c>
      <c r="G119" s="427" t="str">
        <f>IF('Statement of Marks'!G122="","",'Statement of Marks'!G122)</f>
        <v/>
      </c>
      <c r="H119" s="428" t="str">
        <f>IF(B119="","",IF('Statement of Marks'!GY122="","",'Statement of Marks'!GY122))</f>
        <v/>
      </c>
      <c r="I119" s="287" t="str">
        <f>IF(B119="","",IF('Statement of Marks'!HB122="","",'Statement of Marks'!HB122))</f>
        <v/>
      </c>
      <c r="J119" s="429" t="str">
        <f>IF(B119="","",IF('Statement of Marks'!HC122="","",'Statement of Marks'!HC122))</f>
        <v/>
      </c>
      <c r="K119" s="296" t="str">
        <f>IF(B119="","",'Statement of Marks'!FJ122)</f>
        <v/>
      </c>
      <c r="L119" s="296" t="str">
        <f>IF(B119="","",'Statement of Marks'!FM122)</f>
        <v/>
      </c>
      <c r="M119" s="296" t="str">
        <f>IF(B119="","",'Statement of Marks'!FP122)</f>
        <v/>
      </c>
      <c r="N119" s="296" t="str">
        <f>IF(B119="","",'Statement of Marks'!FW122)</f>
        <v/>
      </c>
      <c r="O119" s="296" t="str">
        <f>IF(B119="","",'Statement of Marks'!GD122)</f>
        <v/>
      </c>
      <c r="P119" s="296" t="str">
        <f>IF(B119="","",'Statement of Marks'!GK122)</f>
        <v/>
      </c>
      <c r="Q119" s="296" t="str">
        <f>IF(B119="","",'Statement of Marks'!GR122)</f>
        <v/>
      </c>
      <c r="R119" s="296" t="str">
        <f>IF(B119="","",'Statement of Marks'!FF122)</f>
        <v/>
      </c>
      <c r="S119" s="430" t="str">
        <f>IFERROR(IF(B119="","",CONCATENATE(IF(AND('Marks Entry'!U122="A"),'Marks Entry'!$U$2,IF(AND('Marks Entry'!U122="B"),'Marks Entry'!$Y$2,IF(AND('Marks Entry'!U122="C"),'Marks Entry'!$AA$2,""))),", ",IF(AND('Marks Entry'!AC122="A"),'Marks Entry'!$AC$2,IF(AND('Marks Entry'!AC122="B"),'Marks Entry'!$AG$2,IF(AND('Marks Entry'!AC122="C"),'Marks Entry'!$AI$2,""))),", ",IF(AND('Marks Entry'!AK122="A"),'Marks Entry'!$AK$2,IF(AND('Marks Entry'!AK122="B"),'Marks Entry'!$AO$2,IF(AND('Marks Entry'!AK122="C"),'Marks Entry'!$AQ$2,""))),", ",IF(AND('Statement of Marks'!DD122=""),"",IF(AND('Statement of Marks'!DD122="A"),'Marks Entry'!$AS$2,IF(AND('Statement of Marks'!DD122="B"),'Marks Entry'!$AW$2,IF(AND('Statement of Marks'!DD122="C"),'Marks Entry'!$AY$2,"")))))),"")</f>
        <v/>
      </c>
      <c r="T119" s="431" t="str">
        <f>IF(COUNTIF(K119:R119,"F")&gt;0,"",CONCATENATE('Statement of Marks'!GU122,'Statement of Marks'!GW122))</f>
        <v xml:space="preserve">           </v>
      </c>
      <c r="BG119" s="17">
        <f>IFERROR(VLOOKUP(B119,'Statement of Marks'!$B$8:'Statement of Marks'!$HI$207,41,0),"")</f>
        <v>15</v>
      </c>
      <c r="BH119" s="17" t="str">
        <f>IFERROR(VLOOKUP(B119,'Statement of Marks'!$B$8:'Statement of Marks'!$HI$207,66,0),"")</f>
        <v/>
      </c>
      <c r="BI119" s="17">
        <f>IFERROR(VLOOKUP(B119,'Statement of Marks'!$B$8:'Statement of Marks'!$HI$207,91,0),"")</f>
        <v>60</v>
      </c>
      <c r="BJ119" s="17" t="str">
        <f>IFERROR(VLOOKUP(B119,'Statement of Marks'!$B$8:'Statement of Marks'!$HI$207,117,0),"")</f>
        <v/>
      </c>
    </row>
    <row r="120" spans="1:62" ht="24.95" customHeight="1">
      <c r="A120" s="284">
        <f>IF('Statement of Marks'!A123="","",'Statement of Marks'!A123)</f>
        <v>116</v>
      </c>
      <c r="B120" s="284" t="str">
        <f>IF('Statement of Marks'!B123="","",'Statement of Marks'!B123)</f>
        <v/>
      </c>
      <c r="C120" s="284" t="str">
        <f>IF('Statement of Marks'!C123="","",'Statement of Marks'!C123)</f>
        <v/>
      </c>
      <c r="D120" s="426" t="str">
        <f>IF('Statement of Marks'!D123="","",'Statement of Marks'!D123)</f>
        <v/>
      </c>
      <c r="E120" s="427" t="str">
        <f>IF('Statement of Marks'!E123="","",'Statement of Marks'!E123)</f>
        <v/>
      </c>
      <c r="F120" s="427" t="str">
        <f>IF('Statement of Marks'!F123="","",'Statement of Marks'!F123)</f>
        <v/>
      </c>
      <c r="G120" s="427" t="str">
        <f>IF('Statement of Marks'!G123="","",'Statement of Marks'!G123)</f>
        <v/>
      </c>
      <c r="H120" s="428" t="str">
        <f>IF(B120="","",IF('Statement of Marks'!GY123="","",'Statement of Marks'!GY123))</f>
        <v/>
      </c>
      <c r="I120" s="287" t="str">
        <f>IF(B120="","",IF('Statement of Marks'!HB123="","",'Statement of Marks'!HB123))</f>
        <v/>
      </c>
      <c r="J120" s="429" t="str">
        <f>IF(B120="","",IF('Statement of Marks'!HC123="","",'Statement of Marks'!HC123))</f>
        <v/>
      </c>
      <c r="K120" s="296" t="str">
        <f>IF(B120="","",'Statement of Marks'!FJ123)</f>
        <v/>
      </c>
      <c r="L120" s="296" t="str">
        <f>IF(B120="","",'Statement of Marks'!FM123)</f>
        <v/>
      </c>
      <c r="M120" s="296" t="str">
        <f>IF(B120="","",'Statement of Marks'!FP123)</f>
        <v/>
      </c>
      <c r="N120" s="296" t="str">
        <f>IF(B120="","",'Statement of Marks'!FW123)</f>
        <v/>
      </c>
      <c r="O120" s="296" t="str">
        <f>IF(B120="","",'Statement of Marks'!GD123)</f>
        <v/>
      </c>
      <c r="P120" s="296" t="str">
        <f>IF(B120="","",'Statement of Marks'!GK123)</f>
        <v/>
      </c>
      <c r="Q120" s="296" t="str">
        <f>IF(B120="","",'Statement of Marks'!GR123)</f>
        <v/>
      </c>
      <c r="R120" s="296" t="str">
        <f>IF(B120="","",'Statement of Marks'!FF123)</f>
        <v/>
      </c>
      <c r="S120" s="430" t="str">
        <f>IFERROR(IF(B120="","",CONCATENATE(IF(AND('Marks Entry'!U123="A"),'Marks Entry'!$U$2,IF(AND('Marks Entry'!U123="B"),'Marks Entry'!$Y$2,IF(AND('Marks Entry'!U123="C"),'Marks Entry'!$AA$2,""))),", ",IF(AND('Marks Entry'!AC123="A"),'Marks Entry'!$AC$2,IF(AND('Marks Entry'!AC123="B"),'Marks Entry'!$AG$2,IF(AND('Marks Entry'!AC123="C"),'Marks Entry'!$AI$2,""))),", ",IF(AND('Marks Entry'!AK123="A"),'Marks Entry'!$AK$2,IF(AND('Marks Entry'!AK123="B"),'Marks Entry'!$AO$2,IF(AND('Marks Entry'!AK123="C"),'Marks Entry'!$AQ$2,""))),", ",IF(AND('Statement of Marks'!DD123=""),"",IF(AND('Statement of Marks'!DD123="A"),'Marks Entry'!$AS$2,IF(AND('Statement of Marks'!DD123="B"),'Marks Entry'!$AW$2,IF(AND('Statement of Marks'!DD123="C"),'Marks Entry'!$AY$2,"")))))),"")</f>
        <v/>
      </c>
      <c r="T120" s="431" t="str">
        <f>IF(COUNTIF(K120:R120,"F")&gt;0,"",CONCATENATE('Statement of Marks'!GU123,'Statement of Marks'!GW123))</f>
        <v xml:space="preserve">           </v>
      </c>
      <c r="BG120" s="17">
        <f>IFERROR(VLOOKUP(B120,'Statement of Marks'!$B$8:'Statement of Marks'!$HI$207,41,0),"")</f>
        <v>15</v>
      </c>
      <c r="BH120" s="17" t="str">
        <f>IFERROR(VLOOKUP(B120,'Statement of Marks'!$B$8:'Statement of Marks'!$HI$207,66,0),"")</f>
        <v/>
      </c>
      <c r="BI120" s="17">
        <f>IFERROR(VLOOKUP(B120,'Statement of Marks'!$B$8:'Statement of Marks'!$HI$207,91,0),"")</f>
        <v>60</v>
      </c>
      <c r="BJ120" s="17" t="str">
        <f>IFERROR(VLOOKUP(B120,'Statement of Marks'!$B$8:'Statement of Marks'!$HI$207,117,0),"")</f>
        <v/>
      </c>
    </row>
    <row r="121" spans="1:62" ht="24.95" customHeight="1">
      <c r="A121" s="284">
        <f>IF('Statement of Marks'!A124="","",'Statement of Marks'!A124)</f>
        <v>117</v>
      </c>
      <c r="B121" s="284" t="str">
        <f>IF('Statement of Marks'!B124="","",'Statement of Marks'!B124)</f>
        <v/>
      </c>
      <c r="C121" s="284" t="str">
        <f>IF('Statement of Marks'!C124="","",'Statement of Marks'!C124)</f>
        <v/>
      </c>
      <c r="D121" s="426" t="str">
        <f>IF('Statement of Marks'!D124="","",'Statement of Marks'!D124)</f>
        <v/>
      </c>
      <c r="E121" s="427" t="str">
        <f>IF('Statement of Marks'!E124="","",'Statement of Marks'!E124)</f>
        <v/>
      </c>
      <c r="F121" s="427" t="str">
        <f>IF('Statement of Marks'!F124="","",'Statement of Marks'!F124)</f>
        <v/>
      </c>
      <c r="G121" s="427" t="str">
        <f>IF('Statement of Marks'!G124="","",'Statement of Marks'!G124)</f>
        <v/>
      </c>
      <c r="H121" s="428" t="str">
        <f>IF(B121="","",IF('Statement of Marks'!GY124="","",'Statement of Marks'!GY124))</f>
        <v/>
      </c>
      <c r="I121" s="287" t="str">
        <f>IF(B121="","",IF('Statement of Marks'!HB124="","",'Statement of Marks'!HB124))</f>
        <v/>
      </c>
      <c r="J121" s="429" t="str">
        <f>IF(B121="","",IF('Statement of Marks'!HC124="","",'Statement of Marks'!HC124))</f>
        <v/>
      </c>
      <c r="K121" s="296" t="str">
        <f>IF(B121="","",'Statement of Marks'!FJ124)</f>
        <v/>
      </c>
      <c r="L121" s="296" t="str">
        <f>IF(B121="","",'Statement of Marks'!FM124)</f>
        <v/>
      </c>
      <c r="M121" s="296" t="str">
        <f>IF(B121="","",'Statement of Marks'!FP124)</f>
        <v/>
      </c>
      <c r="N121" s="296" t="str">
        <f>IF(B121="","",'Statement of Marks'!FW124)</f>
        <v/>
      </c>
      <c r="O121" s="296" t="str">
        <f>IF(B121="","",'Statement of Marks'!GD124)</f>
        <v/>
      </c>
      <c r="P121" s="296" t="str">
        <f>IF(B121="","",'Statement of Marks'!GK124)</f>
        <v/>
      </c>
      <c r="Q121" s="296" t="str">
        <f>IF(B121="","",'Statement of Marks'!GR124)</f>
        <v/>
      </c>
      <c r="R121" s="296" t="str">
        <f>IF(B121="","",'Statement of Marks'!FF124)</f>
        <v/>
      </c>
      <c r="S121" s="430" t="str">
        <f>IFERROR(IF(B121="","",CONCATENATE(IF(AND('Marks Entry'!U124="A"),'Marks Entry'!$U$2,IF(AND('Marks Entry'!U124="B"),'Marks Entry'!$Y$2,IF(AND('Marks Entry'!U124="C"),'Marks Entry'!$AA$2,""))),", ",IF(AND('Marks Entry'!AC124="A"),'Marks Entry'!$AC$2,IF(AND('Marks Entry'!AC124="B"),'Marks Entry'!$AG$2,IF(AND('Marks Entry'!AC124="C"),'Marks Entry'!$AI$2,""))),", ",IF(AND('Marks Entry'!AK124="A"),'Marks Entry'!$AK$2,IF(AND('Marks Entry'!AK124="B"),'Marks Entry'!$AO$2,IF(AND('Marks Entry'!AK124="C"),'Marks Entry'!$AQ$2,""))),", ",IF(AND('Statement of Marks'!DD124=""),"",IF(AND('Statement of Marks'!DD124="A"),'Marks Entry'!$AS$2,IF(AND('Statement of Marks'!DD124="B"),'Marks Entry'!$AW$2,IF(AND('Statement of Marks'!DD124="C"),'Marks Entry'!$AY$2,"")))))),"")</f>
        <v/>
      </c>
      <c r="T121" s="431" t="str">
        <f>IF(COUNTIF(K121:R121,"F")&gt;0,"",CONCATENATE('Statement of Marks'!GU124,'Statement of Marks'!GW124))</f>
        <v xml:space="preserve">           </v>
      </c>
      <c r="BG121" s="17">
        <f>IFERROR(VLOOKUP(B121,'Statement of Marks'!$B$8:'Statement of Marks'!$HI$207,41,0),"")</f>
        <v>15</v>
      </c>
      <c r="BH121" s="17" t="str">
        <f>IFERROR(VLOOKUP(B121,'Statement of Marks'!$B$8:'Statement of Marks'!$HI$207,66,0),"")</f>
        <v/>
      </c>
      <c r="BI121" s="17">
        <f>IFERROR(VLOOKUP(B121,'Statement of Marks'!$B$8:'Statement of Marks'!$HI$207,91,0),"")</f>
        <v>60</v>
      </c>
      <c r="BJ121" s="17" t="str">
        <f>IFERROR(VLOOKUP(B121,'Statement of Marks'!$B$8:'Statement of Marks'!$HI$207,117,0),"")</f>
        <v/>
      </c>
    </row>
    <row r="122" spans="1:62" ht="24.95" customHeight="1">
      <c r="A122" s="284">
        <f>IF('Statement of Marks'!A125="","",'Statement of Marks'!A125)</f>
        <v>118</v>
      </c>
      <c r="B122" s="284" t="str">
        <f>IF('Statement of Marks'!B125="","",'Statement of Marks'!B125)</f>
        <v/>
      </c>
      <c r="C122" s="284" t="str">
        <f>IF('Statement of Marks'!C125="","",'Statement of Marks'!C125)</f>
        <v/>
      </c>
      <c r="D122" s="426" t="str">
        <f>IF('Statement of Marks'!D125="","",'Statement of Marks'!D125)</f>
        <v/>
      </c>
      <c r="E122" s="427" t="str">
        <f>IF('Statement of Marks'!E125="","",'Statement of Marks'!E125)</f>
        <v/>
      </c>
      <c r="F122" s="427" t="str">
        <f>IF('Statement of Marks'!F125="","",'Statement of Marks'!F125)</f>
        <v/>
      </c>
      <c r="G122" s="427" t="str">
        <f>IF('Statement of Marks'!G125="","",'Statement of Marks'!G125)</f>
        <v/>
      </c>
      <c r="H122" s="428" t="str">
        <f>IF(B122="","",IF('Statement of Marks'!GY125="","",'Statement of Marks'!GY125))</f>
        <v/>
      </c>
      <c r="I122" s="287" t="str">
        <f>IF(B122="","",IF('Statement of Marks'!HB125="","",'Statement of Marks'!HB125))</f>
        <v/>
      </c>
      <c r="J122" s="429" t="str">
        <f>IF(B122="","",IF('Statement of Marks'!HC125="","",'Statement of Marks'!HC125))</f>
        <v/>
      </c>
      <c r="K122" s="296" t="str">
        <f>IF(B122="","",'Statement of Marks'!FJ125)</f>
        <v/>
      </c>
      <c r="L122" s="296" t="str">
        <f>IF(B122="","",'Statement of Marks'!FM125)</f>
        <v/>
      </c>
      <c r="M122" s="296" t="str">
        <f>IF(B122="","",'Statement of Marks'!FP125)</f>
        <v/>
      </c>
      <c r="N122" s="296" t="str">
        <f>IF(B122="","",'Statement of Marks'!FW125)</f>
        <v/>
      </c>
      <c r="O122" s="296" t="str">
        <f>IF(B122="","",'Statement of Marks'!GD125)</f>
        <v/>
      </c>
      <c r="P122" s="296" t="str">
        <f>IF(B122="","",'Statement of Marks'!GK125)</f>
        <v/>
      </c>
      <c r="Q122" s="296" t="str">
        <f>IF(B122="","",'Statement of Marks'!GR125)</f>
        <v/>
      </c>
      <c r="R122" s="296" t="str">
        <f>IF(B122="","",'Statement of Marks'!FF125)</f>
        <v/>
      </c>
      <c r="S122" s="430" t="str">
        <f>IFERROR(IF(B122="","",CONCATENATE(IF(AND('Marks Entry'!U125="A"),'Marks Entry'!$U$2,IF(AND('Marks Entry'!U125="B"),'Marks Entry'!$Y$2,IF(AND('Marks Entry'!U125="C"),'Marks Entry'!$AA$2,""))),", ",IF(AND('Marks Entry'!AC125="A"),'Marks Entry'!$AC$2,IF(AND('Marks Entry'!AC125="B"),'Marks Entry'!$AG$2,IF(AND('Marks Entry'!AC125="C"),'Marks Entry'!$AI$2,""))),", ",IF(AND('Marks Entry'!AK125="A"),'Marks Entry'!$AK$2,IF(AND('Marks Entry'!AK125="B"),'Marks Entry'!$AO$2,IF(AND('Marks Entry'!AK125="C"),'Marks Entry'!$AQ$2,""))),", ",IF(AND('Statement of Marks'!DD125=""),"",IF(AND('Statement of Marks'!DD125="A"),'Marks Entry'!$AS$2,IF(AND('Statement of Marks'!DD125="B"),'Marks Entry'!$AW$2,IF(AND('Statement of Marks'!DD125="C"),'Marks Entry'!$AY$2,"")))))),"")</f>
        <v/>
      </c>
      <c r="T122" s="431" t="str">
        <f>IF(COUNTIF(K122:R122,"F")&gt;0,"",CONCATENATE('Statement of Marks'!GU125,'Statement of Marks'!GW125))</f>
        <v xml:space="preserve">           </v>
      </c>
      <c r="BG122" s="17">
        <f>IFERROR(VLOOKUP(B122,'Statement of Marks'!$B$8:'Statement of Marks'!$HI$207,41,0),"")</f>
        <v>15</v>
      </c>
      <c r="BH122" s="17" t="str">
        <f>IFERROR(VLOOKUP(B122,'Statement of Marks'!$B$8:'Statement of Marks'!$HI$207,66,0),"")</f>
        <v/>
      </c>
      <c r="BI122" s="17">
        <f>IFERROR(VLOOKUP(B122,'Statement of Marks'!$B$8:'Statement of Marks'!$HI$207,91,0),"")</f>
        <v>60</v>
      </c>
      <c r="BJ122" s="17" t="str">
        <f>IFERROR(VLOOKUP(B122,'Statement of Marks'!$B$8:'Statement of Marks'!$HI$207,117,0),"")</f>
        <v/>
      </c>
    </row>
    <row r="123" spans="1:62" ht="24.95" customHeight="1">
      <c r="A123" s="284">
        <f>IF('Statement of Marks'!A126="","",'Statement of Marks'!A126)</f>
        <v>119</v>
      </c>
      <c r="B123" s="284" t="str">
        <f>IF('Statement of Marks'!B126="","",'Statement of Marks'!B126)</f>
        <v/>
      </c>
      <c r="C123" s="284" t="str">
        <f>IF('Statement of Marks'!C126="","",'Statement of Marks'!C126)</f>
        <v/>
      </c>
      <c r="D123" s="426" t="str">
        <f>IF('Statement of Marks'!D126="","",'Statement of Marks'!D126)</f>
        <v/>
      </c>
      <c r="E123" s="427" t="str">
        <f>IF('Statement of Marks'!E126="","",'Statement of Marks'!E126)</f>
        <v/>
      </c>
      <c r="F123" s="427" t="str">
        <f>IF('Statement of Marks'!F126="","",'Statement of Marks'!F126)</f>
        <v/>
      </c>
      <c r="G123" s="427" t="str">
        <f>IF('Statement of Marks'!G126="","",'Statement of Marks'!G126)</f>
        <v/>
      </c>
      <c r="H123" s="428" t="str">
        <f>IF(B123="","",IF('Statement of Marks'!GY126="","",'Statement of Marks'!GY126))</f>
        <v/>
      </c>
      <c r="I123" s="287" t="str">
        <f>IF(B123="","",IF('Statement of Marks'!HB126="","",'Statement of Marks'!HB126))</f>
        <v/>
      </c>
      <c r="J123" s="429" t="str">
        <f>IF(B123="","",IF('Statement of Marks'!HC126="","",'Statement of Marks'!HC126))</f>
        <v/>
      </c>
      <c r="K123" s="296" t="str">
        <f>IF(B123="","",'Statement of Marks'!FJ126)</f>
        <v/>
      </c>
      <c r="L123" s="296" t="str">
        <f>IF(B123="","",'Statement of Marks'!FM126)</f>
        <v/>
      </c>
      <c r="M123" s="296" t="str">
        <f>IF(B123="","",'Statement of Marks'!FP126)</f>
        <v/>
      </c>
      <c r="N123" s="296" t="str">
        <f>IF(B123="","",'Statement of Marks'!FW126)</f>
        <v/>
      </c>
      <c r="O123" s="296" t="str">
        <f>IF(B123="","",'Statement of Marks'!GD126)</f>
        <v/>
      </c>
      <c r="P123" s="296" t="str">
        <f>IF(B123="","",'Statement of Marks'!GK126)</f>
        <v/>
      </c>
      <c r="Q123" s="296" t="str">
        <f>IF(B123="","",'Statement of Marks'!GR126)</f>
        <v/>
      </c>
      <c r="R123" s="296" t="str">
        <f>IF(B123="","",'Statement of Marks'!FF126)</f>
        <v/>
      </c>
      <c r="S123" s="430" t="str">
        <f>IFERROR(IF(B123="","",CONCATENATE(IF(AND('Marks Entry'!U126="A"),'Marks Entry'!$U$2,IF(AND('Marks Entry'!U126="B"),'Marks Entry'!$Y$2,IF(AND('Marks Entry'!U126="C"),'Marks Entry'!$AA$2,""))),", ",IF(AND('Marks Entry'!AC126="A"),'Marks Entry'!$AC$2,IF(AND('Marks Entry'!AC126="B"),'Marks Entry'!$AG$2,IF(AND('Marks Entry'!AC126="C"),'Marks Entry'!$AI$2,""))),", ",IF(AND('Marks Entry'!AK126="A"),'Marks Entry'!$AK$2,IF(AND('Marks Entry'!AK126="B"),'Marks Entry'!$AO$2,IF(AND('Marks Entry'!AK126="C"),'Marks Entry'!$AQ$2,""))),", ",IF(AND('Statement of Marks'!DD126=""),"",IF(AND('Statement of Marks'!DD126="A"),'Marks Entry'!$AS$2,IF(AND('Statement of Marks'!DD126="B"),'Marks Entry'!$AW$2,IF(AND('Statement of Marks'!DD126="C"),'Marks Entry'!$AY$2,"")))))),"")</f>
        <v/>
      </c>
      <c r="T123" s="431" t="str">
        <f>IF(COUNTIF(K123:R123,"F")&gt;0,"",CONCATENATE('Statement of Marks'!GU126,'Statement of Marks'!GW126))</f>
        <v xml:space="preserve">           </v>
      </c>
      <c r="BG123" s="17">
        <f>IFERROR(VLOOKUP(B123,'Statement of Marks'!$B$8:'Statement of Marks'!$HI$207,41,0),"")</f>
        <v>15</v>
      </c>
      <c r="BH123" s="17" t="str">
        <f>IFERROR(VLOOKUP(B123,'Statement of Marks'!$B$8:'Statement of Marks'!$HI$207,66,0),"")</f>
        <v/>
      </c>
      <c r="BI123" s="17">
        <f>IFERROR(VLOOKUP(B123,'Statement of Marks'!$B$8:'Statement of Marks'!$HI$207,91,0),"")</f>
        <v>60</v>
      </c>
      <c r="BJ123" s="17" t="str">
        <f>IFERROR(VLOOKUP(B123,'Statement of Marks'!$B$8:'Statement of Marks'!$HI$207,117,0),"")</f>
        <v/>
      </c>
    </row>
    <row r="124" spans="1:62" ht="24.95" customHeight="1">
      <c r="A124" s="284">
        <f>IF('Statement of Marks'!A127="","",'Statement of Marks'!A127)</f>
        <v>120</v>
      </c>
      <c r="B124" s="284" t="str">
        <f>IF('Statement of Marks'!B127="","",'Statement of Marks'!B127)</f>
        <v/>
      </c>
      <c r="C124" s="284" t="str">
        <f>IF('Statement of Marks'!C127="","",'Statement of Marks'!C127)</f>
        <v/>
      </c>
      <c r="D124" s="426" t="str">
        <f>IF('Statement of Marks'!D127="","",'Statement of Marks'!D127)</f>
        <v/>
      </c>
      <c r="E124" s="427" t="str">
        <f>IF('Statement of Marks'!E127="","",'Statement of Marks'!E127)</f>
        <v/>
      </c>
      <c r="F124" s="427" t="str">
        <f>IF('Statement of Marks'!F127="","",'Statement of Marks'!F127)</f>
        <v/>
      </c>
      <c r="G124" s="427" t="str">
        <f>IF('Statement of Marks'!G127="","",'Statement of Marks'!G127)</f>
        <v/>
      </c>
      <c r="H124" s="428" t="str">
        <f>IF(B124="","",IF('Statement of Marks'!GY127="","",'Statement of Marks'!GY127))</f>
        <v/>
      </c>
      <c r="I124" s="287" t="str">
        <f>IF(B124="","",IF('Statement of Marks'!HB127="","",'Statement of Marks'!HB127))</f>
        <v/>
      </c>
      <c r="J124" s="429" t="str">
        <f>IF(B124="","",IF('Statement of Marks'!HC127="","",'Statement of Marks'!HC127))</f>
        <v/>
      </c>
      <c r="K124" s="296" t="str">
        <f>IF(B124="","",'Statement of Marks'!FJ127)</f>
        <v/>
      </c>
      <c r="L124" s="296" t="str">
        <f>IF(B124="","",'Statement of Marks'!FM127)</f>
        <v/>
      </c>
      <c r="M124" s="296" t="str">
        <f>IF(B124="","",'Statement of Marks'!FP127)</f>
        <v/>
      </c>
      <c r="N124" s="296" t="str">
        <f>IF(B124="","",'Statement of Marks'!FW127)</f>
        <v/>
      </c>
      <c r="O124" s="296" t="str">
        <f>IF(B124="","",'Statement of Marks'!GD127)</f>
        <v/>
      </c>
      <c r="P124" s="296" t="str">
        <f>IF(B124="","",'Statement of Marks'!GK127)</f>
        <v/>
      </c>
      <c r="Q124" s="296" t="str">
        <f>IF(B124="","",'Statement of Marks'!GR127)</f>
        <v/>
      </c>
      <c r="R124" s="296" t="str">
        <f>IF(B124="","",'Statement of Marks'!FF127)</f>
        <v/>
      </c>
      <c r="S124" s="430" t="str">
        <f>IFERROR(IF(B124="","",CONCATENATE(IF(AND('Marks Entry'!U127="A"),'Marks Entry'!$U$2,IF(AND('Marks Entry'!U127="B"),'Marks Entry'!$Y$2,IF(AND('Marks Entry'!U127="C"),'Marks Entry'!$AA$2,""))),", ",IF(AND('Marks Entry'!AC127="A"),'Marks Entry'!$AC$2,IF(AND('Marks Entry'!AC127="B"),'Marks Entry'!$AG$2,IF(AND('Marks Entry'!AC127="C"),'Marks Entry'!$AI$2,""))),", ",IF(AND('Marks Entry'!AK127="A"),'Marks Entry'!$AK$2,IF(AND('Marks Entry'!AK127="B"),'Marks Entry'!$AO$2,IF(AND('Marks Entry'!AK127="C"),'Marks Entry'!$AQ$2,""))),", ",IF(AND('Statement of Marks'!DD127=""),"",IF(AND('Statement of Marks'!DD127="A"),'Marks Entry'!$AS$2,IF(AND('Statement of Marks'!DD127="B"),'Marks Entry'!$AW$2,IF(AND('Statement of Marks'!DD127="C"),'Marks Entry'!$AY$2,"")))))),"")</f>
        <v/>
      </c>
      <c r="T124" s="431" t="str">
        <f>IF(COUNTIF(K124:R124,"F")&gt;0,"",CONCATENATE('Statement of Marks'!GU127,'Statement of Marks'!GW127))</f>
        <v xml:space="preserve">           </v>
      </c>
      <c r="BG124" s="17">
        <f>IFERROR(VLOOKUP(B124,'Statement of Marks'!$B$8:'Statement of Marks'!$HI$207,41,0),"")</f>
        <v>15</v>
      </c>
      <c r="BH124" s="17" t="str">
        <f>IFERROR(VLOOKUP(B124,'Statement of Marks'!$B$8:'Statement of Marks'!$HI$207,66,0),"")</f>
        <v/>
      </c>
      <c r="BI124" s="17">
        <f>IFERROR(VLOOKUP(B124,'Statement of Marks'!$B$8:'Statement of Marks'!$HI$207,91,0),"")</f>
        <v>60</v>
      </c>
      <c r="BJ124" s="17" t="str">
        <f>IFERROR(VLOOKUP(B124,'Statement of Marks'!$B$8:'Statement of Marks'!$HI$207,117,0),"")</f>
        <v/>
      </c>
    </row>
    <row r="125" spans="1:62" ht="24.95" customHeight="1">
      <c r="A125" s="284">
        <f>IF('Statement of Marks'!A128="","",'Statement of Marks'!A128)</f>
        <v>121</v>
      </c>
      <c r="B125" s="284" t="str">
        <f>IF('Statement of Marks'!B128="","",'Statement of Marks'!B128)</f>
        <v/>
      </c>
      <c r="C125" s="284" t="str">
        <f>IF('Statement of Marks'!C128="","",'Statement of Marks'!C128)</f>
        <v/>
      </c>
      <c r="D125" s="426" t="str">
        <f>IF('Statement of Marks'!D128="","",'Statement of Marks'!D128)</f>
        <v/>
      </c>
      <c r="E125" s="427" t="str">
        <f>IF('Statement of Marks'!E128="","",'Statement of Marks'!E128)</f>
        <v/>
      </c>
      <c r="F125" s="427" t="str">
        <f>IF('Statement of Marks'!F128="","",'Statement of Marks'!F128)</f>
        <v/>
      </c>
      <c r="G125" s="427" t="str">
        <f>IF('Statement of Marks'!G128="","",'Statement of Marks'!G128)</f>
        <v/>
      </c>
      <c r="H125" s="428" t="str">
        <f>IF(B125="","",IF('Statement of Marks'!GY128="","",'Statement of Marks'!GY128))</f>
        <v/>
      </c>
      <c r="I125" s="287" t="str">
        <f>IF(B125="","",IF('Statement of Marks'!HB128="","",'Statement of Marks'!HB128))</f>
        <v/>
      </c>
      <c r="J125" s="429" t="str">
        <f>IF(B125="","",IF('Statement of Marks'!HC128="","",'Statement of Marks'!HC128))</f>
        <v/>
      </c>
      <c r="K125" s="296" t="str">
        <f>IF(B125="","",'Statement of Marks'!FJ128)</f>
        <v/>
      </c>
      <c r="L125" s="296" t="str">
        <f>IF(B125="","",'Statement of Marks'!FM128)</f>
        <v/>
      </c>
      <c r="M125" s="296" t="str">
        <f>IF(B125="","",'Statement of Marks'!FP128)</f>
        <v/>
      </c>
      <c r="N125" s="296" t="str">
        <f>IF(B125="","",'Statement of Marks'!FW128)</f>
        <v/>
      </c>
      <c r="O125" s="296" t="str">
        <f>IF(B125="","",'Statement of Marks'!GD128)</f>
        <v/>
      </c>
      <c r="P125" s="296" t="str">
        <f>IF(B125="","",'Statement of Marks'!GK128)</f>
        <v/>
      </c>
      <c r="Q125" s="296" t="str">
        <f>IF(B125="","",'Statement of Marks'!GR128)</f>
        <v/>
      </c>
      <c r="R125" s="296" t="str">
        <f>IF(B125="","",'Statement of Marks'!FF128)</f>
        <v/>
      </c>
      <c r="S125" s="430" t="str">
        <f>IFERROR(IF(B125="","",CONCATENATE(IF(AND('Marks Entry'!U128="A"),'Marks Entry'!$U$2,IF(AND('Marks Entry'!U128="B"),'Marks Entry'!$Y$2,IF(AND('Marks Entry'!U128="C"),'Marks Entry'!$AA$2,""))),", ",IF(AND('Marks Entry'!AC128="A"),'Marks Entry'!$AC$2,IF(AND('Marks Entry'!AC128="B"),'Marks Entry'!$AG$2,IF(AND('Marks Entry'!AC128="C"),'Marks Entry'!$AI$2,""))),", ",IF(AND('Marks Entry'!AK128="A"),'Marks Entry'!$AK$2,IF(AND('Marks Entry'!AK128="B"),'Marks Entry'!$AO$2,IF(AND('Marks Entry'!AK128="C"),'Marks Entry'!$AQ$2,""))),", ",IF(AND('Statement of Marks'!DD128=""),"",IF(AND('Statement of Marks'!DD128="A"),'Marks Entry'!$AS$2,IF(AND('Statement of Marks'!DD128="B"),'Marks Entry'!$AW$2,IF(AND('Statement of Marks'!DD128="C"),'Marks Entry'!$AY$2,"")))))),"")</f>
        <v/>
      </c>
      <c r="T125" s="431" t="str">
        <f>IF(COUNTIF(K125:R125,"F")&gt;0,"",CONCATENATE('Statement of Marks'!GU128,'Statement of Marks'!GW128))</f>
        <v xml:space="preserve">           </v>
      </c>
      <c r="BG125" s="17">
        <f>IFERROR(VLOOKUP(B125,'Statement of Marks'!$B$8:'Statement of Marks'!$HI$207,41,0),"")</f>
        <v>15</v>
      </c>
      <c r="BH125" s="17" t="str">
        <f>IFERROR(VLOOKUP(B125,'Statement of Marks'!$B$8:'Statement of Marks'!$HI$207,66,0),"")</f>
        <v/>
      </c>
      <c r="BI125" s="17">
        <f>IFERROR(VLOOKUP(B125,'Statement of Marks'!$B$8:'Statement of Marks'!$HI$207,91,0),"")</f>
        <v>60</v>
      </c>
      <c r="BJ125" s="17" t="str">
        <f>IFERROR(VLOOKUP(B125,'Statement of Marks'!$B$8:'Statement of Marks'!$HI$207,117,0),"")</f>
        <v/>
      </c>
    </row>
    <row r="126" spans="1:62" ht="24.95" customHeight="1">
      <c r="A126" s="284">
        <f>IF('Statement of Marks'!A129="","",'Statement of Marks'!A129)</f>
        <v>122</v>
      </c>
      <c r="B126" s="284" t="str">
        <f>IF('Statement of Marks'!B129="","",'Statement of Marks'!B129)</f>
        <v/>
      </c>
      <c r="C126" s="284" t="str">
        <f>IF('Statement of Marks'!C129="","",'Statement of Marks'!C129)</f>
        <v/>
      </c>
      <c r="D126" s="426" t="str">
        <f>IF('Statement of Marks'!D129="","",'Statement of Marks'!D129)</f>
        <v/>
      </c>
      <c r="E126" s="427" t="str">
        <f>IF('Statement of Marks'!E129="","",'Statement of Marks'!E129)</f>
        <v/>
      </c>
      <c r="F126" s="427" t="str">
        <f>IF('Statement of Marks'!F129="","",'Statement of Marks'!F129)</f>
        <v/>
      </c>
      <c r="G126" s="427" t="str">
        <f>IF('Statement of Marks'!G129="","",'Statement of Marks'!G129)</f>
        <v/>
      </c>
      <c r="H126" s="428" t="str">
        <f>IF(B126="","",IF('Statement of Marks'!GY129="","",'Statement of Marks'!GY129))</f>
        <v/>
      </c>
      <c r="I126" s="287" t="str">
        <f>IF(B126="","",IF('Statement of Marks'!HB129="","",'Statement of Marks'!HB129))</f>
        <v/>
      </c>
      <c r="J126" s="429" t="str">
        <f>IF(B126="","",IF('Statement of Marks'!HC129="","",'Statement of Marks'!HC129))</f>
        <v/>
      </c>
      <c r="K126" s="296" t="str">
        <f>IF(B126="","",'Statement of Marks'!FJ129)</f>
        <v/>
      </c>
      <c r="L126" s="296" t="str">
        <f>IF(B126="","",'Statement of Marks'!FM129)</f>
        <v/>
      </c>
      <c r="M126" s="296" t="str">
        <f>IF(B126="","",'Statement of Marks'!FP129)</f>
        <v/>
      </c>
      <c r="N126" s="296" t="str">
        <f>IF(B126="","",'Statement of Marks'!FW129)</f>
        <v/>
      </c>
      <c r="O126" s="296" t="str">
        <f>IF(B126="","",'Statement of Marks'!GD129)</f>
        <v/>
      </c>
      <c r="P126" s="296" t="str">
        <f>IF(B126="","",'Statement of Marks'!GK129)</f>
        <v/>
      </c>
      <c r="Q126" s="296" t="str">
        <f>IF(B126="","",'Statement of Marks'!GR129)</f>
        <v/>
      </c>
      <c r="R126" s="296" t="str">
        <f>IF(B126="","",'Statement of Marks'!FF129)</f>
        <v/>
      </c>
      <c r="S126" s="430" t="str">
        <f>IFERROR(IF(B126="","",CONCATENATE(IF(AND('Marks Entry'!U129="A"),'Marks Entry'!$U$2,IF(AND('Marks Entry'!U129="B"),'Marks Entry'!$Y$2,IF(AND('Marks Entry'!U129="C"),'Marks Entry'!$AA$2,""))),", ",IF(AND('Marks Entry'!AC129="A"),'Marks Entry'!$AC$2,IF(AND('Marks Entry'!AC129="B"),'Marks Entry'!$AG$2,IF(AND('Marks Entry'!AC129="C"),'Marks Entry'!$AI$2,""))),", ",IF(AND('Marks Entry'!AK129="A"),'Marks Entry'!$AK$2,IF(AND('Marks Entry'!AK129="B"),'Marks Entry'!$AO$2,IF(AND('Marks Entry'!AK129="C"),'Marks Entry'!$AQ$2,""))),", ",IF(AND('Statement of Marks'!DD129=""),"",IF(AND('Statement of Marks'!DD129="A"),'Marks Entry'!$AS$2,IF(AND('Statement of Marks'!DD129="B"),'Marks Entry'!$AW$2,IF(AND('Statement of Marks'!DD129="C"),'Marks Entry'!$AY$2,"")))))),"")</f>
        <v/>
      </c>
      <c r="T126" s="431" t="str">
        <f>IF(COUNTIF(K126:R126,"F")&gt;0,"",CONCATENATE('Statement of Marks'!GU129,'Statement of Marks'!GW129))</f>
        <v xml:space="preserve">           </v>
      </c>
      <c r="BG126" s="17">
        <f>IFERROR(VLOOKUP(B126,'Statement of Marks'!$B$8:'Statement of Marks'!$HI$207,41,0),"")</f>
        <v>15</v>
      </c>
      <c r="BH126" s="17" t="str">
        <f>IFERROR(VLOOKUP(B126,'Statement of Marks'!$B$8:'Statement of Marks'!$HI$207,66,0),"")</f>
        <v/>
      </c>
      <c r="BI126" s="17">
        <f>IFERROR(VLOOKUP(B126,'Statement of Marks'!$B$8:'Statement of Marks'!$HI$207,91,0),"")</f>
        <v>60</v>
      </c>
      <c r="BJ126" s="17" t="str">
        <f>IFERROR(VLOOKUP(B126,'Statement of Marks'!$B$8:'Statement of Marks'!$HI$207,117,0),"")</f>
        <v/>
      </c>
    </row>
    <row r="127" spans="1:62" ht="24.95" customHeight="1">
      <c r="A127" s="284">
        <f>IF('Statement of Marks'!A130="","",'Statement of Marks'!A130)</f>
        <v>123</v>
      </c>
      <c r="B127" s="284" t="str">
        <f>IF('Statement of Marks'!B130="","",'Statement of Marks'!B130)</f>
        <v/>
      </c>
      <c r="C127" s="284" t="str">
        <f>IF('Statement of Marks'!C130="","",'Statement of Marks'!C130)</f>
        <v/>
      </c>
      <c r="D127" s="426" t="str">
        <f>IF('Statement of Marks'!D130="","",'Statement of Marks'!D130)</f>
        <v/>
      </c>
      <c r="E127" s="427" t="str">
        <f>IF('Statement of Marks'!E130="","",'Statement of Marks'!E130)</f>
        <v/>
      </c>
      <c r="F127" s="427" t="str">
        <f>IF('Statement of Marks'!F130="","",'Statement of Marks'!F130)</f>
        <v/>
      </c>
      <c r="G127" s="427" t="str">
        <f>IF('Statement of Marks'!G130="","",'Statement of Marks'!G130)</f>
        <v/>
      </c>
      <c r="H127" s="428" t="str">
        <f>IF(B127="","",IF('Statement of Marks'!GY130="","",'Statement of Marks'!GY130))</f>
        <v/>
      </c>
      <c r="I127" s="287" t="str">
        <f>IF(B127="","",IF('Statement of Marks'!HB130="","",'Statement of Marks'!HB130))</f>
        <v/>
      </c>
      <c r="J127" s="429" t="str">
        <f>IF(B127="","",IF('Statement of Marks'!HC130="","",'Statement of Marks'!HC130))</f>
        <v/>
      </c>
      <c r="K127" s="296" t="str">
        <f>IF(B127="","",'Statement of Marks'!FJ130)</f>
        <v/>
      </c>
      <c r="L127" s="296" t="str">
        <f>IF(B127="","",'Statement of Marks'!FM130)</f>
        <v/>
      </c>
      <c r="M127" s="296" t="str">
        <f>IF(B127="","",'Statement of Marks'!FP130)</f>
        <v/>
      </c>
      <c r="N127" s="296" t="str">
        <f>IF(B127="","",'Statement of Marks'!FW130)</f>
        <v/>
      </c>
      <c r="O127" s="296" t="str">
        <f>IF(B127="","",'Statement of Marks'!GD130)</f>
        <v/>
      </c>
      <c r="P127" s="296" t="str">
        <f>IF(B127="","",'Statement of Marks'!GK130)</f>
        <v/>
      </c>
      <c r="Q127" s="296" t="str">
        <f>IF(B127="","",'Statement of Marks'!GR130)</f>
        <v/>
      </c>
      <c r="R127" s="296" t="str">
        <f>IF(B127="","",'Statement of Marks'!FF130)</f>
        <v/>
      </c>
      <c r="S127" s="430" t="str">
        <f>IFERROR(IF(B127="","",CONCATENATE(IF(AND('Marks Entry'!U130="A"),'Marks Entry'!$U$2,IF(AND('Marks Entry'!U130="B"),'Marks Entry'!$Y$2,IF(AND('Marks Entry'!U130="C"),'Marks Entry'!$AA$2,""))),", ",IF(AND('Marks Entry'!AC130="A"),'Marks Entry'!$AC$2,IF(AND('Marks Entry'!AC130="B"),'Marks Entry'!$AG$2,IF(AND('Marks Entry'!AC130="C"),'Marks Entry'!$AI$2,""))),", ",IF(AND('Marks Entry'!AK130="A"),'Marks Entry'!$AK$2,IF(AND('Marks Entry'!AK130="B"),'Marks Entry'!$AO$2,IF(AND('Marks Entry'!AK130="C"),'Marks Entry'!$AQ$2,""))),", ",IF(AND('Statement of Marks'!DD130=""),"",IF(AND('Statement of Marks'!DD130="A"),'Marks Entry'!$AS$2,IF(AND('Statement of Marks'!DD130="B"),'Marks Entry'!$AW$2,IF(AND('Statement of Marks'!DD130="C"),'Marks Entry'!$AY$2,"")))))),"")</f>
        <v/>
      </c>
      <c r="T127" s="431" t="str">
        <f>IF(COUNTIF(K127:R127,"F")&gt;0,"",CONCATENATE('Statement of Marks'!GU130,'Statement of Marks'!GW130))</f>
        <v xml:space="preserve">           </v>
      </c>
      <c r="BG127" s="17">
        <f>IFERROR(VLOOKUP(B127,'Statement of Marks'!$B$8:'Statement of Marks'!$HI$207,41,0),"")</f>
        <v>15</v>
      </c>
      <c r="BH127" s="17" t="str">
        <f>IFERROR(VLOOKUP(B127,'Statement of Marks'!$B$8:'Statement of Marks'!$HI$207,66,0),"")</f>
        <v/>
      </c>
      <c r="BI127" s="17">
        <f>IFERROR(VLOOKUP(B127,'Statement of Marks'!$B$8:'Statement of Marks'!$HI$207,91,0),"")</f>
        <v>60</v>
      </c>
      <c r="BJ127" s="17" t="str">
        <f>IFERROR(VLOOKUP(B127,'Statement of Marks'!$B$8:'Statement of Marks'!$HI$207,117,0),"")</f>
        <v/>
      </c>
    </row>
    <row r="128" spans="1:62" ht="24.95" customHeight="1">
      <c r="A128" s="284">
        <f>IF('Statement of Marks'!A131="","",'Statement of Marks'!A131)</f>
        <v>124</v>
      </c>
      <c r="B128" s="284" t="str">
        <f>IF('Statement of Marks'!B131="","",'Statement of Marks'!B131)</f>
        <v/>
      </c>
      <c r="C128" s="284" t="str">
        <f>IF('Statement of Marks'!C131="","",'Statement of Marks'!C131)</f>
        <v/>
      </c>
      <c r="D128" s="426" t="str">
        <f>IF('Statement of Marks'!D131="","",'Statement of Marks'!D131)</f>
        <v/>
      </c>
      <c r="E128" s="427" t="str">
        <f>IF('Statement of Marks'!E131="","",'Statement of Marks'!E131)</f>
        <v/>
      </c>
      <c r="F128" s="427" t="str">
        <f>IF('Statement of Marks'!F131="","",'Statement of Marks'!F131)</f>
        <v/>
      </c>
      <c r="G128" s="427" t="str">
        <f>IF('Statement of Marks'!G131="","",'Statement of Marks'!G131)</f>
        <v/>
      </c>
      <c r="H128" s="428" t="str">
        <f>IF(B128="","",IF('Statement of Marks'!GY131="","",'Statement of Marks'!GY131))</f>
        <v/>
      </c>
      <c r="I128" s="287" t="str">
        <f>IF(B128="","",IF('Statement of Marks'!HB131="","",'Statement of Marks'!HB131))</f>
        <v/>
      </c>
      <c r="J128" s="429" t="str">
        <f>IF(B128="","",IF('Statement of Marks'!HC131="","",'Statement of Marks'!HC131))</f>
        <v/>
      </c>
      <c r="K128" s="296" t="str">
        <f>IF(B128="","",'Statement of Marks'!FJ131)</f>
        <v/>
      </c>
      <c r="L128" s="296" t="str">
        <f>IF(B128="","",'Statement of Marks'!FM131)</f>
        <v/>
      </c>
      <c r="M128" s="296" t="str">
        <f>IF(B128="","",'Statement of Marks'!FP131)</f>
        <v/>
      </c>
      <c r="N128" s="296" t="str">
        <f>IF(B128="","",'Statement of Marks'!FW131)</f>
        <v/>
      </c>
      <c r="O128" s="296" t="str">
        <f>IF(B128="","",'Statement of Marks'!GD131)</f>
        <v/>
      </c>
      <c r="P128" s="296" t="str">
        <f>IF(B128="","",'Statement of Marks'!GK131)</f>
        <v/>
      </c>
      <c r="Q128" s="296" t="str">
        <f>IF(B128="","",'Statement of Marks'!GR131)</f>
        <v/>
      </c>
      <c r="R128" s="296" t="str">
        <f>IF(B128="","",'Statement of Marks'!FF131)</f>
        <v/>
      </c>
      <c r="S128" s="430" t="str">
        <f>IFERROR(IF(B128="","",CONCATENATE(IF(AND('Marks Entry'!U131="A"),'Marks Entry'!$U$2,IF(AND('Marks Entry'!U131="B"),'Marks Entry'!$Y$2,IF(AND('Marks Entry'!U131="C"),'Marks Entry'!$AA$2,""))),", ",IF(AND('Marks Entry'!AC131="A"),'Marks Entry'!$AC$2,IF(AND('Marks Entry'!AC131="B"),'Marks Entry'!$AG$2,IF(AND('Marks Entry'!AC131="C"),'Marks Entry'!$AI$2,""))),", ",IF(AND('Marks Entry'!AK131="A"),'Marks Entry'!$AK$2,IF(AND('Marks Entry'!AK131="B"),'Marks Entry'!$AO$2,IF(AND('Marks Entry'!AK131="C"),'Marks Entry'!$AQ$2,""))),", ",IF(AND('Statement of Marks'!DD131=""),"",IF(AND('Statement of Marks'!DD131="A"),'Marks Entry'!$AS$2,IF(AND('Statement of Marks'!DD131="B"),'Marks Entry'!$AW$2,IF(AND('Statement of Marks'!DD131="C"),'Marks Entry'!$AY$2,"")))))),"")</f>
        <v/>
      </c>
      <c r="T128" s="431" t="str">
        <f>IF(COUNTIF(K128:R128,"F")&gt;0,"",CONCATENATE('Statement of Marks'!GU131,'Statement of Marks'!GW131))</f>
        <v xml:space="preserve">           </v>
      </c>
      <c r="BG128" s="17">
        <f>IFERROR(VLOOKUP(B128,'Statement of Marks'!$B$8:'Statement of Marks'!$HI$207,41,0),"")</f>
        <v>15</v>
      </c>
      <c r="BH128" s="17" t="str">
        <f>IFERROR(VLOOKUP(B128,'Statement of Marks'!$B$8:'Statement of Marks'!$HI$207,66,0),"")</f>
        <v/>
      </c>
      <c r="BI128" s="17">
        <f>IFERROR(VLOOKUP(B128,'Statement of Marks'!$B$8:'Statement of Marks'!$HI$207,91,0),"")</f>
        <v>60</v>
      </c>
      <c r="BJ128" s="17" t="str">
        <f>IFERROR(VLOOKUP(B128,'Statement of Marks'!$B$8:'Statement of Marks'!$HI$207,117,0),"")</f>
        <v/>
      </c>
    </row>
    <row r="129" spans="1:62" ht="24.95" customHeight="1">
      <c r="A129" s="284">
        <f>IF('Statement of Marks'!A132="","",'Statement of Marks'!A132)</f>
        <v>125</v>
      </c>
      <c r="B129" s="284" t="str">
        <f>IF('Statement of Marks'!B132="","",'Statement of Marks'!B132)</f>
        <v/>
      </c>
      <c r="C129" s="284" t="str">
        <f>IF('Statement of Marks'!C132="","",'Statement of Marks'!C132)</f>
        <v/>
      </c>
      <c r="D129" s="426" t="str">
        <f>IF('Statement of Marks'!D132="","",'Statement of Marks'!D132)</f>
        <v/>
      </c>
      <c r="E129" s="427" t="str">
        <f>IF('Statement of Marks'!E132="","",'Statement of Marks'!E132)</f>
        <v/>
      </c>
      <c r="F129" s="427" t="str">
        <f>IF('Statement of Marks'!F132="","",'Statement of Marks'!F132)</f>
        <v/>
      </c>
      <c r="G129" s="427" t="str">
        <f>IF('Statement of Marks'!G132="","",'Statement of Marks'!G132)</f>
        <v/>
      </c>
      <c r="H129" s="428" t="str">
        <f>IF(B129="","",IF('Statement of Marks'!GY132="","",'Statement of Marks'!GY132))</f>
        <v/>
      </c>
      <c r="I129" s="287" t="str">
        <f>IF(B129="","",IF('Statement of Marks'!HB132="","",'Statement of Marks'!HB132))</f>
        <v/>
      </c>
      <c r="J129" s="429" t="str">
        <f>IF(B129="","",IF('Statement of Marks'!HC132="","",'Statement of Marks'!HC132))</f>
        <v/>
      </c>
      <c r="K129" s="296" t="str">
        <f>IF(B129="","",'Statement of Marks'!FJ132)</f>
        <v/>
      </c>
      <c r="L129" s="296" t="str">
        <f>IF(B129="","",'Statement of Marks'!FM132)</f>
        <v/>
      </c>
      <c r="M129" s="296" t="str">
        <f>IF(B129="","",'Statement of Marks'!FP132)</f>
        <v/>
      </c>
      <c r="N129" s="296" t="str">
        <f>IF(B129="","",'Statement of Marks'!FW132)</f>
        <v/>
      </c>
      <c r="O129" s="296" t="str">
        <f>IF(B129="","",'Statement of Marks'!GD132)</f>
        <v/>
      </c>
      <c r="P129" s="296" t="str">
        <f>IF(B129="","",'Statement of Marks'!GK132)</f>
        <v/>
      </c>
      <c r="Q129" s="296" t="str">
        <f>IF(B129="","",'Statement of Marks'!GR132)</f>
        <v/>
      </c>
      <c r="R129" s="296" t="str">
        <f>IF(B129="","",'Statement of Marks'!FF132)</f>
        <v/>
      </c>
      <c r="S129" s="430" t="str">
        <f>IFERROR(IF(B129="","",CONCATENATE(IF(AND('Marks Entry'!U132="A"),'Marks Entry'!$U$2,IF(AND('Marks Entry'!U132="B"),'Marks Entry'!$Y$2,IF(AND('Marks Entry'!U132="C"),'Marks Entry'!$AA$2,""))),", ",IF(AND('Marks Entry'!AC132="A"),'Marks Entry'!$AC$2,IF(AND('Marks Entry'!AC132="B"),'Marks Entry'!$AG$2,IF(AND('Marks Entry'!AC132="C"),'Marks Entry'!$AI$2,""))),", ",IF(AND('Marks Entry'!AK132="A"),'Marks Entry'!$AK$2,IF(AND('Marks Entry'!AK132="B"),'Marks Entry'!$AO$2,IF(AND('Marks Entry'!AK132="C"),'Marks Entry'!$AQ$2,""))),", ",IF(AND('Statement of Marks'!DD132=""),"",IF(AND('Statement of Marks'!DD132="A"),'Marks Entry'!$AS$2,IF(AND('Statement of Marks'!DD132="B"),'Marks Entry'!$AW$2,IF(AND('Statement of Marks'!DD132="C"),'Marks Entry'!$AY$2,"")))))),"")</f>
        <v/>
      </c>
      <c r="T129" s="431" t="str">
        <f>IF(COUNTIF(K129:R129,"F")&gt;0,"",CONCATENATE('Statement of Marks'!GU132,'Statement of Marks'!GW132))</f>
        <v xml:space="preserve">           </v>
      </c>
      <c r="BG129" s="17">
        <f>IFERROR(VLOOKUP(B129,'Statement of Marks'!$B$8:'Statement of Marks'!$HI$207,41,0),"")</f>
        <v>15</v>
      </c>
      <c r="BH129" s="17" t="str">
        <f>IFERROR(VLOOKUP(B129,'Statement of Marks'!$B$8:'Statement of Marks'!$HI$207,66,0),"")</f>
        <v/>
      </c>
      <c r="BI129" s="17">
        <f>IFERROR(VLOOKUP(B129,'Statement of Marks'!$B$8:'Statement of Marks'!$HI$207,91,0),"")</f>
        <v>60</v>
      </c>
      <c r="BJ129" s="17" t="str">
        <f>IFERROR(VLOOKUP(B129,'Statement of Marks'!$B$8:'Statement of Marks'!$HI$207,117,0),"")</f>
        <v/>
      </c>
    </row>
    <row r="130" spans="1:62" ht="24.95" customHeight="1">
      <c r="A130" s="284">
        <f>IF('Statement of Marks'!A133="","",'Statement of Marks'!A133)</f>
        <v>126</v>
      </c>
      <c r="B130" s="284" t="str">
        <f>IF('Statement of Marks'!B133="","",'Statement of Marks'!B133)</f>
        <v/>
      </c>
      <c r="C130" s="284" t="str">
        <f>IF('Statement of Marks'!C133="","",'Statement of Marks'!C133)</f>
        <v/>
      </c>
      <c r="D130" s="426" t="str">
        <f>IF('Statement of Marks'!D133="","",'Statement of Marks'!D133)</f>
        <v/>
      </c>
      <c r="E130" s="427" t="str">
        <f>IF('Statement of Marks'!E133="","",'Statement of Marks'!E133)</f>
        <v/>
      </c>
      <c r="F130" s="427" t="str">
        <f>IF('Statement of Marks'!F133="","",'Statement of Marks'!F133)</f>
        <v/>
      </c>
      <c r="G130" s="427" t="str">
        <f>IF('Statement of Marks'!G133="","",'Statement of Marks'!G133)</f>
        <v/>
      </c>
      <c r="H130" s="428" t="str">
        <f>IF(B130="","",IF('Statement of Marks'!GY133="","",'Statement of Marks'!GY133))</f>
        <v/>
      </c>
      <c r="I130" s="287" t="str">
        <f>IF(B130="","",IF('Statement of Marks'!HB133="","",'Statement of Marks'!HB133))</f>
        <v/>
      </c>
      <c r="J130" s="429" t="str">
        <f>IF(B130="","",IF('Statement of Marks'!HC133="","",'Statement of Marks'!HC133))</f>
        <v/>
      </c>
      <c r="K130" s="296" t="str">
        <f>IF(B130="","",'Statement of Marks'!FJ133)</f>
        <v/>
      </c>
      <c r="L130" s="296" t="str">
        <f>IF(B130="","",'Statement of Marks'!FM133)</f>
        <v/>
      </c>
      <c r="M130" s="296" t="str">
        <f>IF(B130="","",'Statement of Marks'!FP133)</f>
        <v/>
      </c>
      <c r="N130" s="296" t="str">
        <f>IF(B130="","",'Statement of Marks'!FW133)</f>
        <v/>
      </c>
      <c r="O130" s="296" t="str">
        <f>IF(B130="","",'Statement of Marks'!GD133)</f>
        <v/>
      </c>
      <c r="P130" s="296" t="str">
        <f>IF(B130="","",'Statement of Marks'!GK133)</f>
        <v/>
      </c>
      <c r="Q130" s="296" t="str">
        <f>IF(B130="","",'Statement of Marks'!GR133)</f>
        <v/>
      </c>
      <c r="R130" s="296" t="str">
        <f>IF(B130="","",'Statement of Marks'!FF133)</f>
        <v/>
      </c>
      <c r="S130" s="430" t="str">
        <f>IFERROR(IF(B130="","",CONCATENATE(IF(AND('Marks Entry'!U133="A"),'Marks Entry'!$U$2,IF(AND('Marks Entry'!U133="B"),'Marks Entry'!$Y$2,IF(AND('Marks Entry'!U133="C"),'Marks Entry'!$AA$2,""))),", ",IF(AND('Marks Entry'!AC133="A"),'Marks Entry'!$AC$2,IF(AND('Marks Entry'!AC133="B"),'Marks Entry'!$AG$2,IF(AND('Marks Entry'!AC133="C"),'Marks Entry'!$AI$2,""))),", ",IF(AND('Marks Entry'!AK133="A"),'Marks Entry'!$AK$2,IF(AND('Marks Entry'!AK133="B"),'Marks Entry'!$AO$2,IF(AND('Marks Entry'!AK133="C"),'Marks Entry'!$AQ$2,""))),", ",IF(AND('Statement of Marks'!DD133=""),"",IF(AND('Statement of Marks'!DD133="A"),'Marks Entry'!$AS$2,IF(AND('Statement of Marks'!DD133="B"),'Marks Entry'!$AW$2,IF(AND('Statement of Marks'!DD133="C"),'Marks Entry'!$AY$2,"")))))),"")</f>
        <v/>
      </c>
      <c r="T130" s="431" t="str">
        <f>IF(COUNTIF(K130:R130,"F")&gt;0,"",CONCATENATE('Statement of Marks'!GU133,'Statement of Marks'!GW133))</f>
        <v xml:space="preserve">           </v>
      </c>
      <c r="BG130" s="17">
        <f>IFERROR(VLOOKUP(B130,'Statement of Marks'!$B$8:'Statement of Marks'!$HI$207,41,0),"")</f>
        <v>15</v>
      </c>
      <c r="BH130" s="17" t="str">
        <f>IFERROR(VLOOKUP(B130,'Statement of Marks'!$B$8:'Statement of Marks'!$HI$207,66,0),"")</f>
        <v/>
      </c>
      <c r="BI130" s="17">
        <f>IFERROR(VLOOKUP(B130,'Statement of Marks'!$B$8:'Statement of Marks'!$HI$207,91,0),"")</f>
        <v>60</v>
      </c>
      <c r="BJ130" s="17" t="str">
        <f>IFERROR(VLOOKUP(B130,'Statement of Marks'!$B$8:'Statement of Marks'!$HI$207,117,0),"")</f>
        <v/>
      </c>
    </row>
    <row r="131" spans="1:62" ht="24.95" customHeight="1">
      <c r="A131" s="284">
        <f>IF('Statement of Marks'!A134="","",'Statement of Marks'!A134)</f>
        <v>127</v>
      </c>
      <c r="B131" s="284" t="str">
        <f>IF('Statement of Marks'!B134="","",'Statement of Marks'!B134)</f>
        <v/>
      </c>
      <c r="C131" s="284" t="str">
        <f>IF('Statement of Marks'!C134="","",'Statement of Marks'!C134)</f>
        <v/>
      </c>
      <c r="D131" s="426" t="str">
        <f>IF('Statement of Marks'!D134="","",'Statement of Marks'!D134)</f>
        <v/>
      </c>
      <c r="E131" s="427" t="str">
        <f>IF('Statement of Marks'!E134="","",'Statement of Marks'!E134)</f>
        <v/>
      </c>
      <c r="F131" s="427" t="str">
        <f>IF('Statement of Marks'!F134="","",'Statement of Marks'!F134)</f>
        <v/>
      </c>
      <c r="G131" s="427" t="str">
        <f>IF('Statement of Marks'!G134="","",'Statement of Marks'!G134)</f>
        <v/>
      </c>
      <c r="H131" s="428" t="str">
        <f>IF(B131="","",IF('Statement of Marks'!GY134="","",'Statement of Marks'!GY134))</f>
        <v/>
      </c>
      <c r="I131" s="287" t="str">
        <f>IF(B131="","",IF('Statement of Marks'!HB134="","",'Statement of Marks'!HB134))</f>
        <v/>
      </c>
      <c r="J131" s="429" t="str">
        <f>IF(B131="","",IF('Statement of Marks'!HC134="","",'Statement of Marks'!HC134))</f>
        <v/>
      </c>
      <c r="K131" s="296" t="str">
        <f>IF(B131="","",'Statement of Marks'!FJ134)</f>
        <v/>
      </c>
      <c r="L131" s="296" t="str">
        <f>IF(B131="","",'Statement of Marks'!FM134)</f>
        <v/>
      </c>
      <c r="M131" s="296" t="str">
        <f>IF(B131="","",'Statement of Marks'!FP134)</f>
        <v/>
      </c>
      <c r="N131" s="296" t="str">
        <f>IF(B131="","",'Statement of Marks'!FW134)</f>
        <v/>
      </c>
      <c r="O131" s="296" t="str">
        <f>IF(B131="","",'Statement of Marks'!GD134)</f>
        <v/>
      </c>
      <c r="P131" s="296" t="str">
        <f>IF(B131="","",'Statement of Marks'!GK134)</f>
        <v/>
      </c>
      <c r="Q131" s="296" t="str">
        <f>IF(B131="","",'Statement of Marks'!GR134)</f>
        <v/>
      </c>
      <c r="R131" s="296" t="str">
        <f>IF(B131="","",'Statement of Marks'!FF134)</f>
        <v/>
      </c>
      <c r="S131" s="430" t="str">
        <f>IFERROR(IF(B131="","",CONCATENATE(IF(AND('Marks Entry'!U134="A"),'Marks Entry'!$U$2,IF(AND('Marks Entry'!U134="B"),'Marks Entry'!$Y$2,IF(AND('Marks Entry'!U134="C"),'Marks Entry'!$AA$2,""))),", ",IF(AND('Marks Entry'!AC134="A"),'Marks Entry'!$AC$2,IF(AND('Marks Entry'!AC134="B"),'Marks Entry'!$AG$2,IF(AND('Marks Entry'!AC134="C"),'Marks Entry'!$AI$2,""))),", ",IF(AND('Marks Entry'!AK134="A"),'Marks Entry'!$AK$2,IF(AND('Marks Entry'!AK134="B"),'Marks Entry'!$AO$2,IF(AND('Marks Entry'!AK134="C"),'Marks Entry'!$AQ$2,""))),", ",IF(AND('Statement of Marks'!DD134=""),"",IF(AND('Statement of Marks'!DD134="A"),'Marks Entry'!$AS$2,IF(AND('Statement of Marks'!DD134="B"),'Marks Entry'!$AW$2,IF(AND('Statement of Marks'!DD134="C"),'Marks Entry'!$AY$2,"")))))),"")</f>
        <v/>
      </c>
      <c r="T131" s="431" t="str">
        <f>IF(COUNTIF(K131:R131,"F")&gt;0,"",CONCATENATE('Statement of Marks'!GU134,'Statement of Marks'!GW134))</f>
        <v xml:space="preserve">           </v>
      </c>
      <c r="BG131" s="17">
        <f>IFERROR(VLOOKUP(B131,'Statement of Marks'!$B$8:'Statement of Marks'!$HI$207,41,0),"")</f>
        <v>15</v>
      </c>
      <c r="BH131" s="17" t="str">
        <f>IFERROR(VLOOKUP(B131,'Statement of Marks'!$B$8:'Statement of Marks'!$HI$207,66,0),"")</f>
        <v/>
      </c>
      <c r="BI131" s="17">
        <f>IFERROR(VLOOKUP(B131,'Statement of Marks'!$B$8:'Statement of Marks'!$HI$207,91,0),"")</f>
        <v>60</v>
      </c>
      <c r="BJ131" s="17" t="str">
        <f>IFERROR(VLOOKUP(B131,'Statement of Marks'!$B$8:'Statement of Marks'!$HI$207,117,0),"")</f>
        <v/>
      </c>
    </row>
    <row r="132" spans="1:62" ht="24.95" customHeight="1">
      <c r="A132" s="284">
        <f>IF('Statement of Marks'!A135="","",'Statement of Marks'!A135)</f>
        <v>128</v>
      </c>
      <c r="B132" s="284" t="str">
        <f>IF('Statement of Marks'!B135="","",'Statement of Marks'!B135)</f>
        <v/>
      </c>
      <c r="C132" s="284" t="str">
        <f>IF('Statement of Marks'!C135="","",'Statement of Marks'!C135)</f>
        <v/>
      </c>
      <c r="D132" s="426" t="str">
        <f>IF('Statement of Marks'!D135="","",'Statement of Marks'!D135)</f>
        <v/>
      </c>
      <c r="E132" s="427" t="str">
        <f>IF('Statement of Marks'!E135="","",'Statement of Marks'!E135)</f>
        <v/>
      </c>
      <c r="F132" s="427" t="str">
        <f>IF('Statement of Marks'!F135="","",'Statement of Marks'!F135)</f>
        <v/>
      </c>
      <c r="G132" s="427" t="str">
        <f>IF('Statement of Marks'!G135="","",'Statement of Marks'!G135)</f>
        <v/>
      </c>
      <c r="H132" s="428" t="str">
        <f>IF(B132="","",IF('Statement of Marks'!GY135="","",'Statement of Marks'!GY135))</f>
        <v/>
      </c>
      <c r="I132" s="287" t="str">
        <f>IF(B132="","",IF('Statement of Marks'!HB135="","",'Statement of Marks'!HB135))</f>
        <v/>
      </c>
      <c r="J132" s="429" t="str">
        <f>IF(B132="","",IF('Statement of Marks'!HC135="","",'Statement of Marks'!HC135))</f>
        <v/>
      </c>
      <c r="K132" s="296" t="str">
        <f>IF(B132="","",'Statement of Marks'!FJ135)</f>
        <v/>
      </c>
      <c r="L132" s="296" t="str">
        <f>IF(B132="","",'Statement of Marks'!FM135)</f>
        <v/>
      </c>
      <c r="M132" s="296" t="str">
        <f>IF(B132="","",'Statement of Marks'!FP135)</f>
        <v/>
      </c>
      <c r="N132" s="296" t="str">
        <f>IF(B132="","",'Statement of Marks'!FW135)</f>
        <v/>
      </c>
      <c r="O132" s="296" t="str">
        <f>IF(B132="","",'Statement of Marks'!GD135)</f>
        <v/>
      </c>
      <c r="P132" s="296" t="str">
        <f>IF(B132="","",'Statement of Marks'!GK135)</f>
        <v/>
      </c>
      <c r="Q132" s="296" t="str">
        <f>IF(B132="","",'Statement of Marks'!GR135)</f>
        <v/>
      </c>
      <c r="R132" s="296" t="str">
        <f>IF(B132="","",'Statement of Marks'!FF135)</f>
        <v/>
      </c>
      <c r="S132" s="430" t="str">
        <f>IFERROR(IF(B132="","",CONCATENATE(IF(AND('Marks Entry'!U135="A"),'Marks Entry'!$U$2,IF(AND('Marks Entry'!U135="B"),'Marks Entry'!$Y$2,IF(AND('Marks Entry'!U135="C"),'Marks Entry'!$AA$2,""))),", ",IF(AND('Marks Entry'!AC135="A"),'Marks Entry'!$AC$2,IF(AND('Marks Entry'!AC135="B"),'Marks Entry'!$AG$2,IF(AND('Marks Entry'!AC135="C"),'Marks Entry'!$AI$2,""))),", ",IF(AND('Marks Entry'!AK135="A"),'Marks Entry'!$AK$2,IF(AND('Marks Entry'!AK135="B"),'Marks Entry'!$AO$2,IF(AND('Marks Entry'!AK135="C"),'Marks Entry'!$AQ$2,""))),", ",IF(AND('Statement of Marks'!DD135=""),"",IF(AND('Statement of Marks'!DD135="A"),'Marks Entry'!$AS$2,IF(AND('Statement of Marks'!DD135="B"),'Marks Entry'!$AW$2,IF(AND('Statement of Marks'!DD135="C"),'Marks Entry'!$AY$2,"")))))),"")</f>
        <v/>
      </c>
      <c r="T132" s="431" t="str">
        <f>IF(COUNTIF(K132:R132,"F")&gt;0,"",CONCATENATE('Statement of Marks'!GU135,'Statement of Marks'!GW135))</f>
        <v xml:space="preserve">           </v>
      </c>
      <c r="BG132" s="17">
        <f>IFERROR(VLOOKUP(B132,'Statement of Marks'!$B$8:'Statement of Marks'!$HI$207,41,0),"")</f>
        <v>15</v>
      </c>
      <c r="BH132" s="17" t="str">
        <f>IFERROR(VLOOKUP(B132,'Statement of Marks'!$B$8:'Statement of Marks'!$HI$207,66,0),"")</f>
        <v/>
      </c>
      <c r="BI132" s="17">
        <f>IFERROR(VLOOKUP(B132,'Statement of Marks'!$B$8:'Statement of Marks'!$HI$207,91,0),"")</f>
        <v>60</v>
      </c>
      <c r="BJ132" s="17" t="str">
        <f>IFERROR(VLOOKUP(B132,'Statement of Marks'!$B$8:'Statement of Marks'!$HI$207,117,0),"")</f>
        <v/>
      </c>
    </row>
    <row r="133" spans="1:62" ht="24.95" customHeight="1">
      <c r="A133" s="284">
        <f>IF('Statement of Marks'!A136="","",'Statement of Marks'!A136)</f>
        <v>129</v>
      </c>
      <c r="B133" s="284" t="str">
        <f>IF('Statement of Marks'!B136="","",'Statement of Marks'!B136)</f>
        <v/>
      </c>
      <c r="C133" s="284" t="str">
        <f>IF('Statement of Marks'!C136="","",'Statement of Marks'!C136)</f>
        <v/>
      </c>
      <c r="D133" s="426" t="str">
        <f>IF('Statement of Marks'!D136="","",'Statement of Marks'!D136)</f>
        <v/>
      </c>
      <c r="E133" s="427" t="str">
        <f>IF('Statement of Marks'!E136="","",'Statement of Marks'!E136)</f>
        <v/>
      </c>
      <c r="F133" s="427" t="str">
        <f>IF('Statement of Marks'!F136="","",'Statement of Marks'!F136)</f>
        <v/>
      </c>
      <c r="G133" s="427" t="str">
        <f>IF('Statement of Marks'!G136="","",'Statement of Marks'!G136)</f>
        <v/>
      </c>
      <c r="H133" s="428" t="str">
        <f>IF(B133="","",IF('Statement of Marks'!GY136="","",'Statement of Marks'!GY136))</f>
        <v/>
      </c>
      <c r="I133" s="287" t="str">
        <f>IF(B133="","",IF('Statement of Marks'!HB136="","",'Statement of Marks'!HB136))</f>
        <v/>
      </c>
      <c r="J133" s="429" t="str">
        <f>IF(B133="","",IF('Statement of Marks'!HC136="","",'Statement of Marks'!HC136))</f>
        <v/>
      </c>
      <c r="K133" s="296" t="str">
        <f>IF(B133="","",'Statement of Marks'!FJ136)</f>
        <v/>
      </c>
      <c r="L133" s="296" t="str">
        <f>IF(B133="","",'Statement of Marks'!FM136)</f>
        <v/>
      </c>
      <c r="M133" s="296" t="str">
        <f>IF(B133="","",'Statement of Marks'!FP136)</f>
        <v/>
      </c>
      <c r="N133" s="296" t="str">
        <f>IF(B133="","",'Statement of Marks'!FW136)</f>
        <v/>
      </c>
      <c r="O133" s="296" t="str">
        <f>IF(B133="","",'Statement of Marks'!GD136)</f>
        <v/>
      </c>
      <c r="P133" s="296" t="str">
        <f>IF(B133="","",'Statement of Marks'!GK136)</f>
        <v/>
      </c>
      <c r="Q133" s="296" t="str">
        <f>IF(B133="","",'Statement of Marks'!GR136)</f>
        <v/>
      </c>
      <c r="R133" s="296" t="str">
        <f>IF(B133="","",'Statement of Marks'!FF136)</f>
        <v/>
      </c>
      <c r="S133" s="430" t="str">
        <f>IFERROR(IF(B133="","",CONCATENATE(IF(AND('Marks Entry'!U136="A"),'Marks Entry'!$U$2,IF(AND('Marks Entry'!U136="B"),'Marks Entry'!$Y$2,IF(AND('Marks Entry'!U136="C"),'Marks Entry'!$AA$2,""))),", ",IF(AND('Marks Entry'!AC136="A"),'Marks Entry'!$AC$2,IF(AND('Marks Entry'!AC136="B"),'Marks Entry'!$AG$2,IF(AND('Marks Entry'!AC136="C"),'Marks Entry'!$AI$2,""))),", ",IF(AND('Marks Entry'!AK136="A"),'Marks Entry'!$AK$2,IF(AND('Marks Entry'!AK136="B"),'Marks Entry'!$AO$2,IF(AND('Marks Entry'!AK136="C"),'Marks Entry'!$AQ$2,""))),", ",IF(AND('Statement of Marks'!DD136=""),"",IF(AND('Statement of Marks'!DD136="A"),'Marks Entry'!$AS$2,IF(AND('Statement of Marks'!DD136="B"),'Marks Entry'!$AW$2,IF(AND('Statement of Marks'!DD136="C"),'Marks Entry'!$AY$2,"")))))),"")</f>
        <v/>
      </c>
      <c r="T133" s="431" t="str">
        <f>IF(COUNTIF(K133:R133,"F")&gt;0,"",CONCATENATE('Statement of Marks'!GU136,'Statement of Marks'!GW136))</f>
        <v xml:space="preserve">           </v>
      </c>
      <c r="BG133" s="17">
        <f>IFERROR(VLOOKUP(B133,'Statement of Marks'!$B$8:'Statement of Marks'!$HI$207,41,0),"")</f>
        <v>15</v>
      </c>
      <c r="BH133" s="17" t="str">
        <f>IFERROR(VLOOKUP(B133,'Statement of Marks'!$B$8:'Statement of Marks'!$HI$207,66,0),"")</f>
        <v/>
      </c>
      <c r="BI133" s="17">
        <f>IFERROR(VLOOKUP(B133,'Statement of Marks'!$B$8:'Statement of Marks'!$HI$207,91,0),"")</f>
        <v>60</v>
      </c>
      <c r="BJ133" s="17" t="str">
        <f>IFERROR(VLOOKUP(B133,'Statement of Marks'!$B$8:'Statement of Marks'!$HI$207,117,0),"")</f>
        <v/>
      </c>
    </row>
    <row r="134" spans="1:62" ht="24.95" customHeight="1">
      <c r="A134" s="284">
        <f>IF('Statement of Marks'!A137="","",'Statement of Marks'!A137)</f>
        <v>130</v>
      </c>
      <c r="B134" s="284" t="str">
        <f>IF('Statement of Marks'!B137="","",'Statement of Marks'!B137)</f>
        <v/>
      </c>
      <c r="C134" s="284" t="str">
        <f>IF('Statement of Marks'!C137="","",'Statement of Marks'!C137)</f>
        <v/>
      </c>
      <c r="D134" s="426" t="str">
        <f>IF('Statement of Marks'!D137="","",'Statement of Marks'!D137)</f>
        <v/>
      </c>
      <c r="E134" s="427" t="str">
        <f>IF('Statement of Marks'!E137="","",'Statement of Marks'!E137)</f>
        <v/>
      </c>
      <c r="F134" s="427" t="str">
        <f>IF('Statement of Marks'!F137="","",'Statement of Marks'!F137)</f>
        <v/>
      </c>
      <c r="G134" s="427" t="str">
        <f>IF('Statement of Marks'!G137="","",'Statement of Marks'!G137)</f>
        <v/>
      </c>
      <c r="H134" s="428" t="str">
        <f>IF(B134="","",IF('Statement of Marks'!GY137="","",'Statement of Marks'!GY137))</f>
        <v/>
      </c>
      <c r="I134" s="287" t="str">
        <f>IF(B134="","",IF('Statement of Marks'!HB137="","",'Statement of Marks'!HB137))</f>
        <v/>
      </c>
      <c r="J134" s="429" t="str">
        <f>IF(B134="","",IF('Statement of Marks'!HC137="","",'Statement of Marks'!HC137))</f>
        <v/>
      </c>
      <c r="K134" s="296" t="str">
        <f>IF(B134="","",'Statement of Marks'!FJ137)</f>
        <v/>
      </c>
      <c r="L134" s="296" t="str">
        <f>IF(B134="","",'Statement of Marks'!FM137)</f>
        <v/>
      </c>
      <c r="M134" s="296" t="str">
        <f>IF(B134="","",'Statement of Marks'!FP137)</f>
        <v/>
      </c>
      <c r="N134" s="296" t="str">
        <f>IF(B134="","",'Statement of Marks'!FW137)</f>
        <v/>
      </c>
      <c r="O134" s="296" t="str">
        <f>IF(B134="","",'Statement of Marks'!GD137)</f>
        <v/>
      </c>
      <c r="P134" s="296" t="str">
        <f>IF(B134="","",'Statement of Marks'!GK137)</f>
        <v/>
      </c>
      <c r="Q134" s="296" t="str">
        <f>IF(B134="","",'Statement of Marks'!GR137)</f>
        <v/>
      </c>
      <c r="R134" s="296" t="str">
        <f>IF(B134="","",'Statement of Marks'!FF137)</f>
        <v/>
      </c>
      <c r="S134" s="430" t="str">
        <f>IFERROR(IF(B134="","",CONCATENATE(IF(AND('Marks Entry'!U137="A"),'Marks Entry'!$U$2,IF(AND('Marks Entry'!U137="B"),'Marks Entry'!$Y$2,IF(AND('Marks Entry'!U137="C"),'Marks Entry'!$AA$2,""))),", ",IF(AND('Marks Entry'!AC137="A"),'Marks Entry'!$AC$2,IF(AND('Marks Entry'!AC137="B"),'Marks Entry'!$AG$2,IF(AND('Marks Entry'!AC137="C"),'Marks Entry'!$AI$2,""))),", ",IF(AND('Marks Entry'!AK137="A"),'Marks Entry'!$AK$2,IF(AND('Marks Entry'!AK137="B"),'Marks Entry'!$AO$2,IF(AND('Marks Entry'!AK137="C"),'Marks Entry'!$AQ$2,""))),", ",IF(AND('Statement of Marks'!DD137=""),"",IF(AND('Statement of Marks'!DD137="A"),'Marks Entry'!$AS$2,IF(AND('Statement of Marks'!DD137="B"),'Marks Entry'!$AW$2,IF(AND('Statement of Marks'!DD137="C"),'Marks Entry'!$AY$2,"")))))),"")</f>
        <v/>
      </c>
      <c r="T134" s="431" t="str">
        <f>IF(COUNTIF(K134:R134,"F")&gt;0,"",CONCATENATE('Statement of Marks'!GU137,'Statement of Marks'!GW137))</f>
        <v xml:space="preserve">           </v>
      </c>
      <c r="BG134" s="17">
        <f>IFERROR(VLOOKUP(B134,'Statement of Marks'!$B$8:'Statement of Marks'!$HI$207,41,0),"")</f>
        <v>15</v>
      </c>
      <c r="BH134" s="17" t="str">
        <f>IFERROR(VLOOKUP(B134,'Statement of Marks'!$B$8:'Statement of Marks'!$HI$207,66,0),"")</f>
        <v/>
      </c>
      <c r="BI134" s="17">
        <f>IFERROR(VLOOKUP(B134,'Statement of Marks'!$B$8:'Statement of Marks'!$HI$207,91,0),"")</f>
        <v>60</v>
      </c>
      <c r="BJ134" s="17" t="str">
        <f>IFERROR(VLOOKUP(B134,'Statement of Marks'!$B$8:'Statement of Marks'!$HI$207,117,0),"")</f>
        <v/>
      </c>
    </row>
    <row r="135" spans="1:62" ht="24.95" customHeight="1">
      <c r="A135" s="284">
        <f>IF('Statement of Marks'!A138="","",'Statement of Marks'!A138)</f>
        <v>131</v>
      </c>
      <c r="B135" s="284" t="str">
        <f>IF('Statement of Marks'!B138="","",'Statement of Marks'!B138)</f>
        <v/>
      </c>
      <c r="C135" s="284" t="str">
        <f>IF('Statement of Marks'!C138="","",'Statement of Marks'!C138)</f>
        <v/>
      </c>
      <c r="D135" s="426" t="str">
        <f>IF('Statement of Marks'!D138="","",'Statement of Marks'!D138)</f>
        <v/>
      </c>
      <c r="E135" s="427" t="str">
        <f>IF('Statement of Marks'!E138="","",'Statement of Marks'!E138)</f>
        <v/>
      </c>
      <c r="F135" s="427" t="str">
        <f>IF('Statement of Marks'!F138="","",'Statement of Marks'!F138)</f>
        <v/>
      </c>
      <c r="G135" s="427" t="str">
        <f>IF('Statement of Marks'!G138="","",'Statement of Marks'!G138)</f>
        <v/>
      </c>
      <c r="H135" s="428" t="str">
        <f>IF(B135="","",IF('Statement of Marks'!GY138="","",'Statement of Marks'!GY138))</f>
        <v/>
      </c>
      <c r="I135" s="287" t="str">
        <f>IF(B135="","",IF('Statement of Marks'!HB138="","",'Statement of Marks'!HB138))</f>
        <v/>
      </c>
      <c r="J135" s="429" t="str">
        <f>IF(B135="","",IF('Statement of Marks'!HC138="","",'Statement of Marks'!HC138))</f>
        <v/>
      </c>
      <c r="K135" s="296" t="str">
        <f>IF(B135="","",'Statement of Marks'!FJ138)</f>
        <v/>
      </c>
      <c r="L135" s="296" t="str">
        <f>IF(B135="","",'Statement of Marks'!FM138)</f>
        <v/>
      </c>
      <c r="M135" s="296" t="str">
        <f>IF(B135="","",'Statement of Marks'!FP138)</f>
        <v/>
      </c>
      <c r="N135" s="296" t="str">
        <f>IF(B135="","",'Statement of Marks'!FW138)</f>
        <v/>
      </c>
      <c r="O135" s="296" t="str">
        <f>IF(B135="","",'Statement of Marks'!GD138)</f>
        <v/>
      </c>
      <c r="P135" s="296" t="str">
        <f>IF(B135="","",'Statement of Marks'!GK138)</f>
        <v/>
      </c>
      <c r="Q135" s="296" t="str">
        <f>IF(B135="","",'Statement of Marks'!GR138)</f>
        <v/>
      </c>
      <c r="R135" s="296" t="str">
        <f>IF(B135="","",'Statement of Marks'!FF138)</f>
        <v/>
      </c>
      <c r="S135" s="430" t="str">
        <f>IFERROR(IF(B135="","",CONCATENATE(IF(AND('Marks Entry'!U138="A"),'Marks Entry'!$U$2,IF(AND('Marks Entry'!U138="B"),'Marks Entry'!$Y$2,IF(AND('Marks Entry'!U138="C"),'Marks Entry'!$AA$2,""))),", ",IF(AND('Marks Entry'!AC138="A"),'Marks Entry'!$AC$2,IF(AND('Marks Entry'!AC138="B"),'Marks Entry'!$AG$2,IF(AND('Marks Entry'!AC138="C"),'Marks Entry'!$AI$2,""))),", ",IF(AND('Marks Entry'!AK138="A"),'Marks Entry'!$AK$2,IF(AND('Marks Entry'!AK138="B"),'Marks Entry'!$AO$2,IF(AND('Marks Entry'!AK138="C"),'Marks Entry'!$AQ$2,""))),", ",IF(AND('Statement of Marks'!DD138=""),"",IF(AND('Statement of Marks'!DD138="A"),'Marks Entry'!$AS$2,IF(AND('Statement of Marks'!DD138="B"),'Marks Entry'!$AW$2,IF(AND('Statement of Marks'!DD138="C"),'Marks Entry'!$AY$2,"")))))),"")</f>
        <v/>
      </c>
      <c r="T135" s="431" t="str">
        <f>IF(COUNTIF(K135:R135,"F")&gt;0,"",CONCATENATE('Statement of Marks'!GU138,'Statement of Marks'!GW138))</f>
        <v xml:space="preserve">           </v>
      </c>
      <c r="BG135" s="17">
        <f>IFERROR(VLOOKUP(B135,'Statement of Marks'!$B$8:'Statement of Marks'!$HI$207,41,0),"")</f>
        <v>15</v>
      </c>
      <c r="BH135" s="17" t="str">
        <f>IFERROR(VLOOKUP(B135,'Statement of Marks'!$B$8:'Statement of Marks'!$HI$207,66,0),"")</f>
        <v/>
      </c>
      <c r="BI135" s="17">
        <f>IFERROR(VLOOKUP(B135,'Statement of Marks'!$B$8:'Statement of Marks'!$HI$207,91,0),"")</f>
        <v>60</v>
      </c>
      <c r="BJ135" s="17" t="str">
        <f>IFERROR(VLOOKUP(B135,'Statement of Marks'!$B$8:'Statement of Marks'!$HI$207,117,0),"")</f>
        <v/>
      </c>
    </row>
    <row r="136" spans="1:62" ht="24.95" customHeight="1">
      <c r="A136" s="284">
        <f>IF('Statement of Marks'!A139="","",'Statement of Marks'!A139)</f>
        <v>132</v>
      </c>
      <c r="B136" s="284" t="str">
        <f>IF('Statement of Marks'!B139="","",'Statement of Marks'!B139)</f>
        <v/>
      </c>
      <c r="C136" s="284" t="str">
        <f>IF('Statement of Marks'!C139="","",'Statement of Marks'!C139)</f>
        <v/>
      </c>
      <c r="D136" s="426" t="str">
        <f>IF('Statement of Marks'!D139="","",'Statement of Marks'!D139)</f>
        <v/>
      </c>
      <c r="E136" s="427" t="str">
        <f>IF('Statement of Marks'!E139="","",'Statement of Marks'!E139)</f>
        <v/>
      </c>
      <c r="F136" s="427" t="str">
        <f>IF('Statement of Marks'!F139="","",'Statement of Marks'!F139)</f>
        <v/>
      </c>
      <c r="G136" s="427" t="str">
        <f>IF('Statement of Marks'!G139="","",'Statement of Marks'!G139)</f>
        <v/>
      </c>
      <c r="H136" s="428" t="str">
        <f>IF(B136="","",IF('Statement of Marks'!GY139="","",'Statement of Marks'!GY139))</f>
        <v/>
      </c>
      <c r="I136" s="287" t="str">
        <f>IF(B136="","",IF('Statement of Marks'!HB139="","",'Statement of Marks'!HB139))</f>
        <v/>
      </c>
      <c r="J136" s="429" t="str">
        <f>IF(B136="","",IF('Statement of Marks'!HC139="","",'Statement of Marks'!HC139))</f>
        <v/>
      </c>
      <c r="K136" s="296" t="str">
        <f>IF(B136="","",'Statement of Marks'!FJ139)</f>
        <v/>
      </c>
      <c r="L136" s="296" t="str">
        <f>IF(B136="","",'Statement of Marks'!FM139)</f>
        <v/>
      </c>
      <c r="M136" s="296" t="str">
        <f>IF(B136="","",'Statement of Marks'!FP139)</f>
        <v/>
      </c>
      <c r="N136" s="296" t="str">
        <f>IF(B136="","",'Statement of Marks'!FW139)</f>
        <v/>
      </c>
      <c r="O136" s="296" t="str">
        <f>IF(B136="","",'Statement of Marks'!GD139)</f>
        <v/>
      </c>
      <c r="P136" s="296" t="str">
        <f>IF(B136="","",'Statement of Marks'!GK139)</f>
        <v/>
      </c>
      <c r="Q136" s="296" t="str">
        <f>IF(B136="","",'Statement of Marks'!GR139)</f>
        <v/>
      </c>
      <c r="R136" s="296" t="str">
        <f>IF(B136="","",'Statement of Marks'!FF139)</f>
        <v/>
      </c>
      <c r="S136" s="430" t="str">
        <f>IFERROR(IF(B136="","",CONCATENATE(IF(AND('Marks Entry'!U139="A"),'Marks Entry'!$U$2,IF(AND('Marks Entry'!U139="B"),'Marks Entry'!$Y$2,IF(AND('Marks Entry'!U139="C"),'Marks Entry'!$AA$2,""))),", ",IF(AND('Marks Entry'!AC139="A"),'Marks Entry'!$AC$2,IF(AND('Marks Entry'!AC139="B"),'Marks Entry'!$AG$2,IF(AND('Marks Entry'!AC139="C"),'Marks Entry'!$AI$2,""))),", ",IF(AND('Marks Entry'!AK139="A"),'Marks Entry'!$AK$2,IF(AND('Marks Entry'!AK139="B"),'Marks Entry'!$AO$2,IF(AND('Marks Entry'!AK139="C"),'Marks Entry'!$AQ$2,""))),", ",IF(AND('Statement of Marks'!DD139=""),"",IF(AND('Statement of Marks'!DD139="A"),'Marks Entry'!$AS$2,IF(AND('Statement of Marks'!DD139="B"),'Marks Entry'!$AW$2,IF(AND('Statement of Marks'!DD139="C"),'Marks Entry'!$AY$2,"")))))),"")</f>
        <v/>
      </c>
      <c r="T136" s="431" t="str">
        <f>IF(COUNTIF(K136:R136,"F")&gt;0,"",CONCATENATE('Statement of Marks'!GU139,'Statement of Marks'!GW139))</f>
        <v xml:space="preserve">           </v>
      </c>
      <c r="BG136" s="17">
        <f>IFERROR(VLOOKUP(B136,'Statement of Marks'!$B$8:'Statement of Marks'!$HI$207,41,0),"")</f>
        <v>15</v>
      </c>
      <c r="BH136" s="17" t="str">
        <f>IFERROR(VLOOKUP(B136,'Statement of Marks'!$B$8:'Statement of Marks'!$HI$207,66,0),"")</f>
        <v/>
      </c>
      <c r="BI136" s="17">
        <f>IFERROR(VLOOKUP(B136,'Statement of Marks'!$B$8:'Statement of Marks'!$HI$207,91,0),"")</f>
        <v>60</v>
      </c>
      <c r="BJ136" s="17" t="str">
        <f>IFERROR(VLOOKUP(B136,'Statement of Marks'!$B$8:'Statement of Marks'!$HI$207,117,0),"")</f>
        <v/>
      </c>
    </row>
    <row r="137" spans="1:62" ht="24.95" customHeight="1">
      <c r="A137" s="284">
        <f>IF('Statement of Marks'!A140="","",'Statement of Marks'!A140)</f>
        <v>133</v>
      </c>
      <c r="B137" s="284" t="str">
        <f>IF('Statement of Marks'!B140="","",'Statement of Marks'!B140)</f>
        <v/>
      </c>
      <c r="C137" s="284" t="str">
        <f>IF('Statement of Marks'!C140="","",'Statement of Marks'!C140)</f>
        <v/>
      </c>
      <c r="D137" s="426" t="str">
        <f>IF('Statement of Marks'!D140="","",'Statement of Marks'!D140)</f>
        <v/>
      </c>
      <c r="E137" s="427" t="str">
        <f>IF('Statement of Marks'!E140="","",'Statement of Marks'!E140)</f>
        <v/>
      </c>
      <c r="F137" s="427" t="str">
        <f>IF('Statement of Marks'!F140="","",'Statement of Marks'!F140)</f>
        <v/>
      </c>
      <c r="G137" s="427" t="str">
        <f>IF('Statement of Marks'!G140="","",'Statement of Marks'!G140)</f>
        <v/>
      </c>
      <c r="H137" s="428" t="str">
        <f>IF(B137="","",IF('Statement of Marks'!GY140="","",'Statement of Marks'!GY140))</f>
        <v/>
      </c>
      <c r="I137" s="287" t="str">
        <f>IF(B137="","",IF('Statement of Marks'!HB140="","",'Statement of Marks'!HB140))</f>
        <v/>
      </c>
      <c r="J137" s="429" t="str">
        <f>IF(B137="","",IF('Statement of Marks'!HC140="","",'Statement of Marks'!HC140))</f>
        <v/>
      </c>
      <c r="K137" s="296" t="str">
        <f>IF(B137="","",'Statement of Marks'!FJ140)</f>
        <v/>
      </c>
      <c r="L137" s="296" t="str">
        <f>IF(B137="","",'Statement of Marks'!FM140)</f>
        <v/>
      </c>
      <c r="M137" s="296" t="str">
        <f>IF(B137="","",'Statement of Marks'!FP140)</f>
        <v/>
      </c>
      <c r="N137" s="296" t="str">
        <f>IF(B137="","",'Statement of Marks'!FW140)</f>
        <v/>
      </c>
      <c r="O137" s="296" t="str">
        <f>IF(B137="","",'Statement of Marks'!GD140)</f>
        <v/>
      </c>
      <c r="P137" s="296" t="str">
        <f>IF(B137="","",'Statement of Marks'!GK140)</f>
        <v/>
      </c>
      <c r="Q137" s="296" t="str">
        <f>IF(B137="","",'Statement of Marks'!GR140)</f>
        <v/>
      </c>
      <c r="R137" s="296" t="str">
        <f>IF(B137="","",'Statement of Marks'!FF140)</f>
        <v/>
      </c>
      <c r="S137" s="430" t="str">
        <f>IFERROR(IF(B137="","",CONCATENATE(IF(AND('Marks Entry'!U140="A"),'Marks Entry'!$U$2,IF(AND('Marks Entry'!U140="B"),'Marks Entry'!$Y$2,IF(AND('Marks Entry'!U140="C"),'Marks Entry'!$AA$2,""))),", ",IF(AND('Marks Entry'!AC140="A"),'Marks Entry'!$AC$2,IF(AND('Marks Entry'!AC140="B"),'Marks Entry'!$AG$2,IF(AND('Marks Entry'!AC140="C"),'Marks Entry'!$AI$2,""))),", ",IF(AND('Marks Entry'!AK140="A"),'Marks Entry'!$AK$2,IF(AND('Marks Entry'!AK140="B"),'Marks Entry'!$AO$2,IF(AND('Marks Entry'!AK140="C"),'Marks Entry'!$AQ$2,""))),", ",IF(AND('Statement of Marks'!DD140=""),"",IF(AND('Statement of Marks'!DD140="A"),'Marks Entry'!$AS$2,IF(AND('Statement of Marks'!DD140="B"),'Marks Entry'!$AW$2,IF(AND('Statement of Marks'!DD140="C"),'Marks Entry'!$AY$2,"")))))),"")</f>
        <v/>
      </c>
      <c r="T137" s="431" t="str">
        <f>IF(COUNTIF(K137:R137,"F")&gt;0,"",CONCATENATE('Statement of Marks'!GU140,'Statement of Marks'!GW140))</f>
        <v xml:space="preserve">           </v>
      </c>
      <c r="BG137" s="17">
        <f>IFERROR(VLOOKUP(B137,'Statement of Marks'!$B$8:'Statement of Marks'!$HI$207,41,0),"")</f>
        <v>15</v>
      </c>
      <c r="BH137" s="17" t="str">
        <f>IFERROR(VLOOKUP(B137,'Statement of Marks'!$B$8:'Statement of Marks'!$HI$207,66,0),"")</f>
        <v/>
      </c>
      <c r="BI137" s="17">
        <f>IFERROR(VLOOKUP(B137,'Statement of Marks'!$B$8:'Statement of Marks'!$HI$207,91,0),"")</f>
        <v>60</v>
      </c>
      <c r="BJ137" s="17" t="str">
        <f>IFERROR(VLOOKUP(B137,'Statement of Marks'!$B$8:'Statement of Marks'!$HI$207,117,0),"")</f>
        <v/>
      </c>
    </row>
    <row r="138" spans="1:62" ht="24.95" customHeight="1">
      <c r="A138" s="284">
        <f>IF('Statement of Marks'!A141="","",'Statement of Marks'!A141)</f>
        <v>134</v>
      </c>
      <c r="B138" s="284" t="str">
        <f>IF('Statement of Marks'!B141="","",'Statement of Marks'!B141)</f>
        <v/>
      </c>
      <c r="C138" s="284" t="str">
        <f>IF('Statement of Marks'!C141="","",'Statement of Marks'!C141)</f>
        <v/>
      </c>
      <c r="D138" s="426" t="str">
        <f>IF('Statement of Marks'!D141="","",'Statement of Marks'!D141)</f>
        <v/>
      </c>
      <c r="E138" s="427" t="str">
        <f>IF('Statement of Marks'!E141="","",'Statement of Marks'!E141)</f>
        <v/>
      </c>
      <c r="F138" s="427" t="str">
        <f>IF('Statement of Marks'!F141="","",'Statement of Marks'!F141)</f>
        <v/>
      </c>
      <c r="G138" s="427" t="str">
        <f>IF('Statement of Marks'!G141="","",'Statement of Marks'!G141)</f>
        <v/>
      </c>
      <c r="H138" s="428" t="str">
        <f>IF(B138="","",IF('Statement of Marks'!GY141="","",'Statement of Marks'!GY141))</f>
        <v/>
      </c>
      <c r="I138" s="287" t="str">
        <f>IF(B138="","",IF('Statement of Marks'!HB141="","",'Statement of Marks'!HB141))</f>
        <v/>
      </c>
      <c r="J138" s="429" t="str">
        <f>IF(B138="","",IF('Statement of Marks'!HC141="","",'Statement of Marks'!HC141))</f>
        <v/>
      </c>
      <c r="K138" s="296" t="str">
        <f>IF(B138="","",'Statement of Marks'!FJ141)</f>
        <v/>
      </c>
      <c r="L138" s="296" t="str">
        <f>IF(B138="","",'Statement of Marks'!FM141)</f>
        <v/>
      </c>
      <c r="M138" s="296" t="str">
        <f>IF(B138="","",'Statement of Marks'!FP141)</f>
        <v/>
      </c>
      <c r="N138" s="296" t="str">
        <f>IF(B138="","",'Statement of Marks'!FW141)</f>
        <v/>
      </c>
      <c r="O138" s="296" t="str">
        <f>IF(B138="","",'Statement of Marks'!GD141)</f>
        <v/>
      </c>
      <c r="P138" s="296" t="str">
        <f>IF(B138="","",'Statement of Marks'!GK141)</f>
        <v/>
      </c>
      <c r="Q138" s="296" t="str">
        <f>IF(B138="","",'Statement of Marks'!GR141)</f>
        <v/>
      </c>
      <c r="R138" s="296" t="str">
        <f>IF(B138="","",'Statement of Marks'!FF141)</f>
        <v/>
      </c>
      <c r="S138" s="430" t="str">
        <f>IFERROR(IF(B138="","",CONCATENATE(IF(AND('Marks Entry'!U141="A"),'Marks Entry'!$U$2,IF(AND('Marks Entry'!U141="B"),'Marks Entry'!$Y$2,IF(AND('Marks Entry'!U141="C"),'Marks Entry'!$AA$2,""))),", ",IF(AND('Marks Entry'!AC141="A"),'Marks Entry'!$AC$2,IF(AND('Marks Entry'!AC141="B"),'Marks Entry'!$AG$2,IF(AND('Marks Entry'!AC141="C"),'Marks Entry'!$AI$2,""))),", ",IF(AND('Marks Entry'!AK141="A"),'Marks Entry'!$AK$2,IF(AND('Marks Entry'!AK141="B"),'Marks Entry'!$AO$2,IF(AND('Marks Entry'!AK141="C"),'Marks Entry'!$AQ$2,""))),", ",IF(AND('Statement of Marks'!DD141=""),"",IF(AND('Statement of Marks'!DD141="A"),'Marks Entry'!$AS$2,IF(AND('Statement of Marks'!DD141="B"),'Marks Entry'!$AW$2,IF(AND('Statement of Marks'!DD141="C"),'Marks Entry'!$AY$2,"")))))),"")</f>
        <v/>
      </c>
      <c r="T138" s="431" t="str">
        <f>IF(COUNTIF(K138:R138,"F")&gt;0,"",CONCATENATE('Statement of Marks'!GU141,'Statement of Marks'!GW141))</f>
        <v xml:space="preserve">           </v>
      </c>
      <c r="BG138" s="17">
        <f>IFERROR(VLOOKUP(B138,'Statement of Marks'!$B$8:'Statement of Marks'!$HI$207,41,0),"")</f>
        <v>15</v>
      </c>
      <c r="BH138" s="17" t="str">
        <f>IFERROR(VLOOKUP(B138,'Statement of Marks'!$B$8:'Statement of Marks'!$HI$207,66,0),"")</f>
        <v/>
      </c>
      <c r="BI138" s="17">
        <f>IFERROR(VLOOKUP(B138,'Statement of Marks'!$B$8:'Statement of Marks'!$HI$207,91,0),"")</f>
        <v>60</v>
      </c>
      <c r="BJ138" s="17" t="str">
        <f>IFERROR(VLOOKUP(B138,'Statement of Marks'!$B$8:'Statement of Marks'!$HI$207,117,0),"")</f>
        <v/>
      </c>
    </row>
    <row r="139" spans="1:62" ht="24.95" customHeight="1">
      <c r="A139" s="284">
        <f>IF('Statement of Marks'!A142="","",'Statement of Marks'!A142)</f>
        <v>135</v>
      </c>
      <c r="B139" s="284" t="str">
        <f>IF('Statement of Marks'!B142="","",'Statement of Marks'!B142)</f>
        <v/>
      </c>
      <c r="C139" s="284" t="str">
        <f>IF('Statement of Marks'!C142="","",'Statement of Marks'!C142)</f>
        <v/>
      </c>
      <c r="D139" s="426" t="str">
        <f>IF('Statement of Marks'!D142="","",'Statement of Marks'!D142)</f>
        <v/>
      </c>
      <c r="E139" s="427" t="str">
        <f>IF('Statement of Marks'!E142="","",'Statement of Marks'!E142)</f>
        <v/>
      </c>
      <c r="F139" s="427" t="str">
        <f>IF('Statement of Marks'!F142="","",'Statement of Marks'!F142)</f>
        <v/>
      </c>
      <c r="G139" s="427" t="str">
        <f>IF('Statement of Marks'!G142="","",'Statement of Marks'!G142)</f>
        <v/>
      </c>
      <c r="H139" s="428" t="str">
        <f>IF(B139="","",IF('Statement of Marks'!GY142="","",'Statement of Marks'!GY142))</f>
        <v/>
      </c>
      <c r="I139" s="287" t="str">
        <f>IF(B139="","",IF('Statement of Marks'!HB142="","",'Statement of Marks'!HB142))</f>
        <v/>
      </c>
      <c r="J139" s="429" t="str">
        <f>IF(B139="","",IF('Statement of Marks'!HC142="","",'Statement of Marks'!HC142))</f>
        <v/>
      </c>
      <c r="K139" s="296" t="str">
        <f>IF(B139="","",'Statement of Marks'!FJ142)</f>
        <v/>
      </c>
      <c r="L139" s="296" t="str">
        <f>IF(B139="","",'Statement of Marks'!FM142)</f>
        <v/>
      </c>
      <c r="M139" s="296" t="str">
        <f>IF(B139="","",'Statement of Marks'!FP142)</f>
        <v/>
      </c>
      <c r="N139" s="296" t="str">
        <f>IF(B139="","",'Statement of Marks'!FW142)</f>
        <v/>
      </c>
      <c r="O139" s="296" t="str">
        <f>IF(B139="","",'Statement of Marks'!GD142)</f>
        <v/>
      </c>
      <c r="P139" s="296" t="str">
        <f>IF(B139="","",'Statement of Marks'!GK142)</f>
        <v/>
      </c>
      <c r="Q139" s="296" t="str">
        <f>IF(B139="","",'Statement of Marks'!GR142)</f>
        <v/>
      </c>
      <c r="R139" s="296" t="str">
        <f>IF(B139="","",'Statement of Marks'!FF142)</f>
        <v/>
      </c>
      <c r="S139" s="430" t="str">
        <f>IFERROR(IF(B139="","",CONCATENATE(IF(AND('Marks Entry'!U142="A"),'Marks Entry'!$U$2,IF(AND('Marks Entry'!U142="B"),'Marks Entry'!$Y$2,IF(AND('Marks Entry'!U142="C"),'Marks Entry'!$AA$2,""))),", ",IF(AND('Marks Entry'!AC142="A"),'Marks Entry'!$AC$2,IF(AND('Marks Entry'!AC142="B"),'Marks Entry'!$AG$2,IF(AND('Marks Entry'!AC142="C"),'Marks Entry'!$AI$2,""))),", ",IF(AND('Marks Entry'!AK142="A"),'Marks Entry'!$AK$2,IF(AND('Marks Entry'!AK142="B"),'Marks Entry'!$AO$2,IF(AND('Marks Entry'!AK142="C"),'Marks Entry'!$AQ$2,""))),", ",IF(AND('Statement of Marks'!DD142=""),"",IF(AND('Statement of Marks'!DD142="A"),'Marks Entry'!$AS$2,IF(AND('Statement of Marks'!DD142="B"),'Marks Entry'!$AW$2,IF(AND('Statement of Marks'!DD142="C"),'Marks Entry'!$AY$2,"")))))),"")</f>
        <v/>
      </c>
      <c r="T139" s="431" t="str">
        <f>IF(COUNTIF(K139:R139,"F")&gt;0,"",CONCATENATE('Statement of Marks'!GU142,'Statement of Marks'!GW142))</f>
        <v xml:space="preserve">           </v>
      </c>
      <c r="BG139" s="17">
        <f>IFERROR(VLOOKUP(B139,'Statement of Marks'!$B$8:'Statement of Marks'!$HI$207,41,0),"")</f>
        <v>15</v>
      </c>
      <c r="BH139" s="17" t="str">
        <f>IFERROR(VLOOKUP(B139,'Statement of Marks'!$B$8:'Statement of Marks'!$HI$207,66,0),"")</f>
        <v/>
      </c>
      <c r="BI139" s="17">
        <f>IFERROR(VLOOKUP(B139,'Statement of Marks'!$B$8:'Statement of Marks'!$HI$207,91,0),"")</f>
        <v>60</v>
      </c>
      <c r="BJ139" s="17" t="str">
        <f>IFERROR(VLOOKUP(B139,'Statement of Marks'!$B$8:'Statement of Marks'!$HI$207,117,0),"")</f>
        <v/>
      </c>
    </row>
    <row r="140" spans="1:62" ht="24.95" customHeight="1">
      <c r="A140" s="284">
        <f>IF('Statement of Marks'!A143="","",'Statement of Marks'!A143)</f>
        <v>136</v>
      </c>
      <c r="B140" s="284" t="str">
        <f>IF('Statement of Marks'!B143="","",'Statement of Marks'!B143)</f>
        <v/>
      </c>
      <c r="C140" s="284" t="str">
        <f>IF('Statement of Marks'!C143="","",'Statement of Marks'!C143)</f>
        <v/>
      </c>
      <c r="D140" s="426" t="str">
        <f>IF('Statement of Marks'!D143="","",'Statement of Marks'!D143)</f>
        <v/>
      </c>
      <c r="E140" s="427" t="str">
        <f>IF('Statement of Marks'!E143="","",'Statement of Marks'!E143)</f>
        <v/>
      </c>
      <c r="F140" s="427" t="str">
        <f>IF('Statement of Marks'!F143="","",'Statement of Marks'!F143)</f>
        <v/>
      </c>
      <c r="G140" s="427" t="str">
        <f>IF('Statement of Marks'!G143="","",'Statement of Marks'!G143)</f>
        <v/>
      </c>
      <c r="H140" s="428" t="str">
        <f>IF(B140="","",IF('Statement of Marks'!GY143="","",'Statement of Marks'!GY143))</f>
        <v/>
      </c>
      <c r="I140" s="287" t="str">
        <f>IF(B140="","",IF('Statement of Marks'!HB143="","",'Statement of Marks'!HB143))</f>
        <v/>
      </c>
      <c r="J140" s="429" t="str">
        <f>IF(B140="","",IF('Statement of Marks'!HC143="","",'Statement of Marks'!HC143))</f>
        <v/>
      </c>
      <c r="K140" s="296" t="str">
        <f>IF(B140="","",'Statement of Marks'!FJ143)</f>
        <v/>
      </c>
      <c r="L140" s="296" t="str">
        <f>IF(B140="","",'Statement of Marks'!FM143)</f>
        <v/>
      </c>
      <c r="M140" s="296" t="str">
        <f>IF(B140="","",'Statement of Marks'!FP143)</f>
        <v/>
      </c>
      <c r="N140" s="296" t="str">
        <f>IF(B140="","",'Statement of Marks'!FW143)</f>
        <v/>
      </c>
      <c r="O140" s="296" t="str">
        <f>IF(B140="","",'Statement of Marks'!GD143)</f>
        <v/>
      </c>
      <c r="P140" s="296" t="str">
        <f>IF(B140="","",'Statement of Marks'!GK143)</f>
        <v/>
      </c>
      <c r="Q140" s="296" t="str">
        <f>IF(B140="","",'Statement of Marks'!GR143)</f>
        <v/>
      </c>
      <c r="R140" s="296" t="str">
        <f>IF(B140="","",'Statement of Marks'!FF143)</f>
        <v/>
      </c>
      <c r="S140" s="430" t="str">
        <f>IFERROR(IF(B140="","",CONCATENATE(IF(AND('Marks Entry'!U143="A"),'Marks Entry'!$U$2,IF(AND('Marks Entry'!U143="B"),'Marks Entry'!$Y$2,IF(AND('Marks Entry'!U143="C"),'Marks Entry'!$AA$2,""))),", ",IF(AND('Marks Entry'!AC143="A"),'Marks Entry'!$AC$2,IF(AND('Marks Entry'!AC143="B"),'Marks Entry'!$AG$2,IF(AND('Marks Entry'!AC143="C"),'Marks Entry'!$AI$2,""))),", ",IF(AND('Marks Entry'!AK143="A"),'Marks Entry'!$AK$2,IF(AND('Marks Entry'!AK143="B"),'Marks Entry'!$AO$2,IF(AND('Marks Entry'!AK143="C"),'Marks Entry'!$AQ$2,""))),", ",IF(AND('Statement of Marks'!DD143=""),"",IF(AND('Statement of Marks'!DD143="A"),'Marks Entry'!$AS$2,IF(AND('Statement of Marks'!DD143="B"),'Marks Entry'!$AW$2,IF(AND('Statement of Marks'!DD143="C"),'Marks Entry'!$AY$2,"")))))),"")</f>
        <v/>
      </c>
      <c r="T140" s="431" t="str">
        <f>IF(COUNTIF(K140:R140,"F")&gt;0,"",CONCATENATE('Statement of Marks'!GU143,'Statement of Marks'!GW143))</f>
        <v xml:space="preserve">           </v>
      </c>
      <c r="BG140" s="17">
        <f>IFERROR(VLOOKUP(B140,'Statement of Marks'!$B$8:'Statement of Marks'!$HI$207,41,0),"")</f>
        <v>15</v>
      </c>
      <c r="BH140" s="17" t="str">
        <f>IFERROR(VLOOKUP(B140,'Statement of Marks'!$B$8:'Statement of Marks'!$HI$207,66,0),"")</f>
        <v/>
      </c>
      <c r="BI140" s="17">
        <f>IFERROR(VLOOKUP(B140,'Statement of Marks'!$B$8:'Statement of Marks'!$HI$207,91,0),"")</f>
        <v>60</v>
      </c>
      <c r="BJ140" s="17" t="str">
        <f>IFERROR(VLOOKUP(B140,'Statement of Marks'!$B$8:'Statement of Marks'!$HI$207,117,0),"")</f>
        <v/>
      </c>
    </row>
    <row r="141" spans="1:62" ht="24.95" customHeight="1">
      <c r="A141" s="284">
        <f>IF('Statement of Marks'!A144="","",'Statement of Marks'!A144)</f>
        <v>137</v>
      </c>
      <c r="B141" s="284" t="str">
        <f>IF('Statement of Marks'!B144="","",'Statement of Marks'!B144)</f>
        <v/>
      </c>
      <c r="C141" s="284" t="str">
        <f>IF('Statement of Marks'!C144="","",'Statement of Marks'!C144)</f>
        <v/>
      </c>
      <c r="D141" s="426" t="str">
        <f>IF('Statement of Marks'!D144="","",'Statement of Marks'!D144)</f>
        <v/>
      </c>
      <c r="E141" s="427" t="str">
        <f>IF('Statement of Marks'!E144="","",'Statement of Marks'!E144)</f>
        <v/>
      </c>
      <c r="F141" s="427" t="str">
        <f>IF('Statement of Marks'!F144="","",'Statement of Marks'!F144)</f>
        <v/>
      </c>
      <c r="G141" s="427" t="str">
        <f>IF('Statement of Marks'!G144="","",'Statement of Marks'!G144)</f>
        <v/>
      </c>
      <c r="H141" s="428" t="str">
        <f>IF(B141="","",IF('Statement of Marks'!GY144="","",'Statement of Marks'!GY144))</f>
        <v/>
      </c>
      <c r="I141" s="287" t="str">
        <f>IF(B141="","",IF('Statement of Marks'!HB144="","",'Statement of Marks'!HB144))</f>
        <v/>
      </c>
      <c r="J141" s="429" t="str">
        <f>IF(B141="","",IF('Statement of Marks'!HC144="","",'Statement of Marks'!HC144))</f>
        <v/>
      </c>
      <c r="K141" s="296" t="str">
        <f>IF(B141="","",'Statement of Marks'!FJ144)</f>
        <v/>
      </c>
      <c r="L141" s="296" t="str">
        <f>IF(B141="","",'Statement of Marks'!FM144)</f>
        <v/>
      </c>
      <c r="M141" s="296" t="str">
        <f>IF(B141="","",'Statement of Marks'!FP144)</f>
        <v/>
      </c>
      <c r="N141" s="296" t="str">
        <f>IF(B141="","",'Statement of Marks'!FW144)</f>
        <v/>
      </c>
      <c r="O141" s="296" t="str">
        <f>IF(B141="","",'Statement of Marks'!GD144)</f>
        <v/>
      </c>
      <c r="P141" s="296" t="str">
        <f>IF(B141="","",'Statement of Marks'!GK144)</f>
        <v/>
      </c>
      <c r="Q141" s="296" t="str">
        <f>IF(B141="","",'Statement of Marks'!GR144)</f>
        <v/>
      </c>
      <c r="R141" s="296" t="str">
        <f>IF(B141="","",'Statement of Marks'!FF144)</f>
        <v/>
      </c>
      <c r="S141" s="430" t="str">
        <f>IFERROR(IF(B141="","",CONCATENATE(IF(AND('Marks Entry'!U144="A"),'Marks Entry'!$U$2,IF(AND('Marks Entry'!U144="B"),'Marks Entry'!$Y$2,IF(AND('Marks Entry'!U144="C"),'Marks Entry'!$AA$2,""))),", ",IF(AND('Marks Entry'!AC144="A"),'Marks Entry'!$AC$2,IF(AND('Marks Entry'!AC144="B"),'Marks Entry'!$AG$2,IF(AND('Marks Entry'!AC144="C"),'Marks Entry'!$AI$2,""))),", ",IF(AND('Marks Entry'!AK144="A"),'Marks Entry'!$AK$2,IF(AND('Marks Entry'!AK144="B"),'Marks Entry'!$AO$2,IF(AND('Marks Entry'!AK144="C"),'Marks Entry'!$AQ$2,""))),", ",IF(AND('Statement of Marks'!DD144=""),"",IF(AND('Statement of Marks'!DD144="A"),'Marks Entry'!$AS$2,IF(AND('Statement of Marks'!DD144="B"),'Marks Entry'!$AW$2,IF(AND('Statement of Marks'!DD144="C"),'Marks Entry'!$AY$2,"")))))),"")</f>
        <v/>
      </c>
      <c r="T141" s="431" t="str">
        <f>IF(COUNTIF(K141:R141,"F")&gt;0,"",CONCATENATE('Statement of Marks'!GU144,'Statement of Marks'!GW144))</f>
        <v xml:space="preserve">           </v>
      </c>
      <c r="BG141" s="17">
        <f>IFERROR(VLOOKUP(B141,'Statement of Marks'!$B$8:'Statement of Marks'!$HI$207,41,0),"")</f>
        <v>15</v>
      </c>
      <c r="BH141" s="17" t="str">
        <f>IFERROR(VLOOKUP(B141,'Statement of Marks'!$B$8:'Statement of Marks'!$HI$207,66,0),"")</f>
        <v/>
      </c>
      <c r="BI141" s="17">
        <f>IFERROR(VLOOKUP(B141,'Statement of Marks'!$B$8:'Statement of Marks'!$HI$207,91,0),"")</f>
        <v>60</v>
      </c>
      <c r="BJ141" s="17" t="str">
        <f>IFERROR(VLOOKUP(B141,'Statement of Marks'!$B$8:'Statement of Marks'!$HI$207,117,0),"")</f>
        <v/>
      </c>
    </row>
    <row r="142" spans="1:62" ht="24.95" customHeight="1">
      <c r="A142" s="284">
        <f>IF('Statement of Marks'!A145="","",'Statement of Marks'!A145)</f>
        <v>138</v>
      </c>
      <c r="B142" s="284" t="str">
        <f>IF('Statement of Marks'!B145="","",'Statement of Marks'!B145)</f>
        <v/>
      </c>
      <c r="C142" s="284" t="str">
        <f>IF('Statement of Marks'!C145="","",'Statement of Marks'!C145)</f>
        <v/>
      </c>
      <c r="D142" s="426" t="str">
        <f>IF('Statement of Marks'!D145="","",'Statement of Marks'!D145)</f>
        <v/>
      </c>
      <c r="E142" s="427" t="str">
        <f>IF('Statement of Marks'!E145="","",'Statement of Marks'!E145)</f>
        <v/>
      </c>
      <c r="F142" s="427" t="str">
        <f>IF('Statement of Marks'!F145="","",'Statement of Marks'!F145)</f>
        <v/>
      </c>
      <c r="G142" s="427" t="str">
        <f>IF('Statement of Marks'!G145="","",'Statement of Marks'!G145)</f>
        <v/>
      </c>
      <c r="H142" s="428" t="str">
        <f>IF(B142="","",IF('Statement of Marks'!GY145="","",'Statement of Marks'!GY145))</f>
        <v/>
      </c>
      <c r="I142" s="287" t="str">
        <f>IF(B142="","",IF('Statement of Marks'!HB145="","",'Statement of Marks'!HB145))</f>
        <v/>
      </c>
      <c r="J142" s="429" t="str">
        <f>IF(B142="","",IF('Statement of Marks'!HC145="","",'Statement of Marks'!HC145))</f>
        <v/>
      </c>
      <c r="K142" s="296" t="str">
        <f>IF(B142="","",'Statement of Marks'!FJ145)</f>
        <v/>
      </c>
      <c r="L142" s="296" t="str">
        <f>IF(B142="","",'Statement of Marks'!FM145)</f>
        <v/>
      </c>
      <c r="M142" s="296" t="str">
        <f>IF(B142="","",'Statement of Marks'!FP145)</f>
        <v/>
      </c>
      <c r="N142" s="296" t="str">
        <f>IF(B142="","",'Statement of Marks'!FW145)</f>
        <v/>
      </c>
      <c r="O142" s="296" t="str">
        <f>IF(B142="","",'Statement of Marks'!GD145)</f>
        <v/>
      </c>
      <c r="P142" s="296" t="str">
        <f>IF(B142="","",'Statement of Marks'!GK145)</f>
        <v/>
      </c>
      <c r="Q142" s="296" t="str">
        <f>IF(B142="","",'Statement of Marks'!GR145)</f>
        <v/>
      </c>
      <c r="R142" s="296" t="str">
        <f>IF(B142="","",'Statement of Marks'!FF145)</f>
        <v/>
      </c>
      <c r="S142" s="430" t="str">
        <f>IFERROR(IF(B142="","",CONCATENATE(IF(AND('Marks Entry'!U145="A"),'Marks Entry'!$U$2,IF(AND('Marks Entry'!U145="B"),'Marks Entry'!$Y$2,IF(AND('Marks Entry'!U145="C"),'Marks Entry'!$AA$2,""))),", ",IF(AND('Marks Entry'!AC145="A"),'Marks Entry'!$AC$2,IF(AND('Marks Entry'!AC145="B"),'Marks Entry'!$AG$2,IF(AND('Marks Entry'!AC145="C"),'Marks Entry'!$AI$2,""))),", ",IF(AND('Marks Entry'!AK145="A"),'Marks Entry'!$AK$2,IF(AND('Marks Entry'!AK145="B"),'Marks Entry'!$AO$2,IF(AND('Marks Entry'!AK145="C"),'Marks Entry'!$AQ$2,""))),", ",IF(AND('Statement of Marks'!DD145=""),"",IF(AND('Statement of Marks'!DD145="A"),'Marks Entry'!$AS$2,IF(AND('Statement of Marks'!DD145="B"),'Marks Entry'!$AW$2,IF(AND('Statement of Marks'!DD145="C"),'Marks Entry'!$AY$2,"")))))),"")</f>
        <v/>
      </c>
      <c r="T142" s="431" t="str">
        <f>IF(COUNTIF(K142:R142,"F")&gt;0,"",CONCATENATE('Statement of Marks'!GU145,'Statement of Marks'!GW145))</f>
        <v xml:space="preserve">           </v>
      </c>
      <c r="BG142" s="17">
        <f>IFERROR(VLOOKUP(B142,'Statement of Marks'!$B$8:'Statement of Marks'!$HI$207,41,0),"")</f>
        <v>15</v>
      </c>
      <c r="BH142" s="17" t="str">
        <f>IFERROR(VLOOKUP(B142,'Statement of Marks'!$B$8:'Statement of Marks'!$HI$207,66,0),"")</f>
        <v/>
      </c>
      <c r="BI142" s="17">
        <f>IFERROR(VLOOKUP(B142,'Statement of Marks'!$B$8:'Statement of Marks'!$HI$207,91,0),"")</f>
        <v>60</v>
      </c>
      <c r="BJ142" s="17" t="str">
        <f>IFERROR(VLOOKUP(B142,'Statement of Marks'!$B$8:'Statement of Marks'!$HI$207,117,0),"")</f>
        <v/>
      </c>
    </row>
    <row r="143" spans="1:62" ht="24.95" customHeight="1">
      <c r="A143" s="284">
        <f>IF('Statement of Marks'!A146="","",'Statement of Marks'!A146)</f>
        <v>139</v>
      </c>
      <c r="B143" s="284" t="str">
        <f>IF('Statement of Marks'!B146="","",'Statement of Marks'!B146)</f>
        <v/>
      </c>
      <c r="C143" s="284" t="str">
        <f>IF('Statement of Marks'!C146="","",'Statement of Marks'!C146)</f>
        <v/>
      </c>
      <c r="D143" s="426" t="str">
        <f>IF('Statement of Marks'!D146="","",'Statement of Marks'!D146)</f>
        <v/>
      </c>
      <c r="E143" s="427" t="str">
        <f>IF('Statement of Marks'!E146="","",'Statement of Marks'!E146)</f>
        <v/>
      </c>
      <c r="F143" s="427" t="str">
        <f>IF('Statement of Marks'!F146="","",'Statement of Marks'!F146)</f>
        <v/>
      </c>
      <c r="G143" s="427" t="str">
        <f>IF('Statement of Marks'!G146="","",'Statement of Marks'!G146)</f>
        <v/>
      </c>
      <c r="H143" s="428" t="str">
        <f>IF(B143="","",IF('Statement of Marks'!GY146="","",'Statement of Marks'!GY146))</f>
        <v/>
      </c>
      <c r="I143" s="287" t="str">
        <f>IF(B143="","",IF('Statement of Marks'!HB146="","",'Statement of Marks'!HB146))</f>
        <v/>
      </c>
      <c r="J143" s="429" t="str">
        <f>IF(B143="","",IF('Statement of Marks'!HC146="","",'Statement of Marks'!HC146))</f>
        <v/>
      </c>
      <c r="K143" s="296" t="str">
        <f>IF(B143="","",'Statement of Marks'!FJ146)</f>
        <v/>
      </c>
      <c r="L143" s="296" t="str">
        <f>IF(B143="","",'Statement of Marks'!FM146)</f>
        <v/>
      </c>
      <c r="M143" s="296" t="str">
        <f>IF(B143="","",'Statement of Marks'!FP146)</f>
        <v/>
      </c>
      <c r="N143" s="296" t="str">
        <f>IF(B143="","",'Statement of Marks'!FW146)</f>
        <v/>
      </c>
      <c r="O143" s="296" t="str">
        <f>IF(B143="","",'Statement of Marks'!GD146)</f>
        <v/>
      </c>
      <c r="P143" s="296" t="str">
        <f>IF(B143="","",'Statement of Marks'!GK146)</f>
        <v/>
      </c>
      <c r="Q143" s="296" t="str">
        <f>IF(B143="","",'Statement of Marks'!GR146)</f>
        <v/>
      </c>
      <c r="R143" s="296" t="str">
        <f>IF(B143="","",'Statement of Marks'!FF146)</f>
        <v/>
      </c>
      <c r="S143" s="430" t="str">
        <f>IFERROR(IF(B143="","",CONCATENATE(IF(AND('Marks Entry'!U146="A"),'Marks Entry'!$U$2,IF(AND('Marks Entry'!U146="B"),'Marks Entry'!$Y$2,IF(AND('Marks Entry'!U146="C"),'Marks Entry'!$AA$2,""))),", ",IF(AND('Marks Entry'!AC146="A"),'Marks Entry'!$AC$2,IF(AND('Marks Entry'!AC146="B"),'Marks Entry'!$AG$2,IF(AND('Marks Entry'!AC146="C"),'Marks Entry'!$AI$2,""))),", ",IF(AND('Marks Entry'!AK146="A"),'Marks Entry'!$AK$2,IF(AND('Marks Entry'!AK146="B"),'Marks Entry'!$AO$2,IF(AND('Marks Entry'!AK146="C"),'Marks Entry'!$AQ$2,""))),", ",IF(AND('Statement of Marks'!DD146=""),"",IF(AND('Statement of Marks'!DD146="A"),'Marks Entry'!$AS$2,IF(AND('Statement of Marks'!DD146="B"),'Marks Entry'!$AW$2,IF(AND('Statement of Marks'!DD146="C"),'Marks Entry'!$AY$2,"")))))),"")</f>
        <v/>
      </c>
      <c r="T143" s="431" t="str">
        <f>IF(COUNTIF(K143:R143,"F")&gt;0,"",CONCATENATE('Statement of Marks'!GU146,'Statement of Marks'!GW146))</f>
        <v xml:space="preserve">           </v>
      </c>
      <c r="BG143" s="17">
        <f>IFERROR(VLOOKUP(B143,'Statement of Marks'!$B$8:'Statement of Marks'!$HI$207,41,0),"")</f>
        <v>15</v>
      </c>
      <c r="BH143" s="17" t="str">
        <f>IFERROR(VLOOKUP(B143,'Statement of Marks'!$B$8:'Statement of Marks'!$HI$207,66,0),"")</f>
        <v/>
      </c>
      <c r="BI143" s="17">
        <f>IFERROR(VLOOKUP(B143,'Statement of Marks'!$B$8:'Statement of Marks'!$HI$207,91,0),"")</f>
        <v>60</v>
      </c>
      <c r="BJ143" s="17" t="str">
        <f>IFERROR(VLOOKUP(B143,'Statement of Marks'!$B$8:'Statement of Marks'!$HI$207,117,0),"")</f>
        <v/>
      </c>
    </row>
    <row r="144" spans="1:62" ht="24.95" customHeight="1">
      <c r="A144" s="284">
        <f>IF('Statement of Marks'!A147="","",'Statement of Marks'!A147)</f>
        <v>140</v>
      </c>
      <c r="B144" s="284" t="str">
        <f>IF('Statement of Marks'!B147="","",'Statement of Marks'!B147)</f>
        <v/>
      </c>
      <c r="C144" s="284" t="str">
        <f>IF('Statement of Marks'!C147="","",'Statement of Marks'!C147)</f>
        <v/>
      </c>
      <c r="D144" s="426" t="str">
        <f>IF('Statement of Marks'!D147="","",'Statement of Marks'!D147)</f>
        <v/>
      </c>
      <c r="E144" s="427" t="str">
        <f>IF('Statement of Marks'!E147="","",'Statement of Marks'!E147)</f>
        <v/>
      </c>
      <c r="F144" s="427" t="str">
        <f>IF('Statement of Marks'!F147="","",'Statement of Marks'!F147)</f>
        <v/>
      </c>
      <c r="G144" s="427" t="str">
        <f>IF('Statement of Marks'!G147="","",'Statement of Marks'!G147)</f>
        <v/>
      </c>
      <c r="H144" s="428" t="str">
        <f>IF(B144="","",IF('Statement of Marks'!GY147="","",'Statement of Marks'!GY147))</f>
        <v/>
      </c>
      <c r="I144" s="287" t="str">
        <f>IF(B144="","",IF('Statement of Marks'!HB147="","",'Statement of Marks'!HB147))</f>
        <v/>
      </c>
      <c r="J144" s="429" t="str">
        <f>IF(B144="","",IF('Statement of Marks'!HC147="","",'Statement of Marks'!HC147))</f>
        <v/>
      </c>
      <c r="K144" s="296" t="str">
        <f>IF(B144="","",'Statement of Marks'!FJ147)</f>
        <v/>
      </c>
      <c r="L144" s="296" t="str">
        <f>IF(B144="","",'Statement of Marks'!FM147)</f>
        <v/>
      </c>
      <c r="M144" s="296" t="str">
        <f>IF(B144="","",'Statement of Marks'!FP147)</f>
        <v/>
      </c>
      <c r="N144" s="296" t="str">
        <f>IF(B144="","",'Statement of Marks'!FW147)</f>
        <v/>
      </c>
      <c r="O144" s="296" t="str">
        <f>IF(B144="","",'Statement of Marks'!GD147)</f>
        <v/>
      </c>
      <c r="P144" s="296" t="str">
        <f>IF(B144="","",'Statement of Marks'!GK147)</f>
        <v/>
      </c>
      <c r="Q144" s="296" t="str">
        <f>IF(B144="","",'Statement of Marks'!GR147)</f>
        <v/>
      </c>
      <c r="R144" s="296" t="str">
        <f>IF(B144="","",'Statement of Marks'!FF147)</f>
        <v/>
      </c>
      <c r="S144" s="430" t="str">
        <f>IFERROR(IF(B144="","",CONCATENATE(IF(AND('Marks Entry'!U147="A"),'Marks Entry'!$U$2,IF(AND('Marks Entry'!U147="B"),'Marks Entry'!$Y$2,IF(AND('Marks Entry'!U147="C"),'Marks Entry'!$AA$2,""))),", ",IF(AND('Marks Entry'!AC147="A"),'Marks Entry'!$AC$2,IF(AND('Marks Entry'!AC147="B"),'Marks Entry'!$AG$2,IF(AND('Marks Entry'!AC147="C"),'Marks Entry'!$AI$2,""))),", ",IF(AND('Marks Entry'!AK147="A"),'Marks Entry'!$AK$2,IF(AND('Marks Entry'!AK147="B"),'Marks Entry'!$AO$2,IF(AND('Marks Entry'!AK147="C"),'Marks Entry'!$AQ$2,""))),", ",IF(AND('Statement of Marks'!DD147=""),"",IF(AND('Statement of Marks'!DD147="A"),'Marks Entry'!$AS$2,IF(AND('Statement of Marks'!DD147="B"),'Marks Entry'!$AW$2,IF(AND('Statement of Marks'!DD147="C"),'Marks Entry'!$AY$2,"")))))),"")</f>
        <v/>
      </c>
      <c r="T144" s="431" t="str">
        <f>IF(COUNTIF(K144:R144,"F")&gt;0,"",CONCATENATE('Statement of Marks'!GU147,'Statement of Marks'!GW147))</f>
        <v xml:space="preserve">           </v>
      </c>
      <c r="BG144" s="17">
        <f>IFERROR(VLOOKUP(B144,'Statement of Marks'!$B$8:'Statement of Marks'!$HI$207,41,0),"")</f>
        <v>15</v>
      </c>
      <c r="BH144" s="17" t="str">
        <f>IFERROR(VLOOKUP(B144,'Statement of Marks'!$B$8:'Statement of Marks'!$HI$207,66,0),"")</f>
        <v/>
      </c>
      <c r="BI144" s="17">
        <f>IFERROR(VLOOKUP(B144,'Statement of Marks'!$B$8:'Statement of Marks'!$HI$207,91,0),"")</f>
        <v>60</v>
      </c>
      <c r="BJ144" s="17" t="str">
        <f>IFERROR(VLOOKUP(B144,'Statement of Marks'!$B$8:'Statement of Marks'!$HI$207,117,0),"")</f>
        <v/>
      </c>
    </row>
    <row r="145" spans="1:62" ht="24.95" customHeight="1">
      <c r="A145" s="284">
        <f>IF('Statement of Marks'!A148="","",'Statement of Marks'!A148)</f>
        <v>141</v>
      </c>
      <c r="B145" s="284" t="str">
        <f>IF('Statement of Marks'!B148="","",'Statement of Marks'!B148)</f>
        <v/>
      </c>
      <c r="C145" s="284" t="str">
        <f>IF('Statement of Marks'!C148="","",'Statement of Marks'!C148)</f>
        <v/>
      </c>
      <c r="D145" s="426" t="str">
        <f>IF('Statement of Marks'!D148="","",'Statement of Marks'!D148)</f>
        <v/>
      </c>
      <c r="E145" s="427" t="str">
        <f>IF('Statement of Marks'!E148="","",'Statement of Marks'!E148)</f>
        <v/>
      </c>
      <c r="F145" s="427" t="str">
        <f>IF('Statement of Marks'!F148="","",'Statement of Marks'!F148)</f>
        <v/>
      </c>
      <c r="G145" s="427" t="str">
        <f>IF('Statement of Marks'!G148="","",'Statement of Marks'!G148)</f>
        <v/>
      </c>
      <c r="H145" s="428" t="str">
        <f>IF(B145="","",IF('Statement of Marks'!GY148="","",'Statement of Marks'!GY148))</f>
        <v/>
      </c>
      <c r="I145" s="287" t="str">
        <f>IF(B145="","",IF('Statement of Marks'!HB148="","",'Statement of Marks'!HB148))</f>
        <v/>
      </c>
      <c r="J145" s="429" t="str">
        <f>IF(B145="","",IF('Statement of Marks'!HC148="","",'Statement of Marks'!HC148))</f>
        <v/>
      </c>
      <c r="K145" s="296" t="str">
        <f>IF(B145="","",'Statement of Marks'!FJ148)</f>
        <v/>
      </c>
      <c r="L145" s="296" t="str">
        <f>IF(B145="","",'Statement of Marks'!FM148)</f>
        <v/>
      </c>
      <c r="M145" s="296" t="str">
        <f>IF(B145="","",'Statement of Marks'!FP148)</f>
        <v/>
      </c>
      <c r="N145" s="296" t="str">
        <f>IF(B145="","",'Statement of Marks'!FW148)</f>
        <v/>
      </c>
      <c r="O145" s="296" t="str">
        <f>IF(B145="","",'Statement of Marks'!GD148)</f>
        <v/>
      </c>
      <c r="P145" s="296" t="str">
        <f>IF(B145="","",'Statement of Marks'!GK148)</f>
        <v/>
      </c>
      <c r="Q145" s="296" t="str">
        <f>IF(B145="","",'Statement of Marks'!GR148)</f>
        <v/>
      </c>
      <c r="R145" s="296" t="str">
        <f>IF(B145="","",'Statement of Marks'!FF148)</f>
        <v/>
      </c>
      <c r="S145" s="430" t="str">
        <f>IFERROR(IF(B145="","",CONCATENATE(IF(AND('Marks Entry'!U148="A"),'Marks Entry'!$U$2,IF(AND('Marks Entry'!U148="B"),'Marks Entry'!$Y$2,IF(AND('Marks Entry'!U148="C"),'Marks Entry'!$AA$2,""))),", ",IF(AND('Marks Entry'!AC148="A"),'Marks Entry'!$AC$2,IF(AND('Marks Entry'!AC148="B"),'Marks Entry'!$AG$2,IF(AND('Marks Entry'!AC148="C"),'Marks Entry'!$AI$2,""))),", ",IF(AND('Marks Entry'!AK148="A"),'Marks Entry'!$AK$2,IF(AND('Marks Entry'!AK148="B"),'Marks Entry'!$AO$2,IF(AND('Marks Entry'!AK148="C"),'Marks Entry'!$AQ$2,""))),", ",IF(AND('Statement of Marks'!DD148=""),"",IF(AND('Statement of Marks'!DD148="A"),'Marks Entry'!$AS$2,IF(AND('Statement of Marks'!DD148="B"),'Marks Entry'!$AW$2,IF(AND('Statement of Marks'!DD148="C"),'Marks Entry'!$AY$2,"")))))),"")</f>
        <v/>
      </c>
      <c r="T145" s="431" t="str">
        <f>IF(COUNTIF(K145:R145,"F")&gt;0,"",CONCATENATE('Statement of Marks'!GU148,'Statement of Marks'!GW148))</f>
        <v xml:space="preserve">           </v>
      </c>
      <c r="BG145" s="17">
        <f>IFERROR(VLOOKUP(B145,'Statement of Marks'!$B$8:'Statement of Marks'!$HI$207,41,0),"")</f>
        <v>15</v>
      </c>
      <c r="BH145" s="17" t="str">
        <f>IFERROR(VLOOKUP(B145,'Statement of Marks'!$B$8:'Statement of Marks'!$HI$207,66,0),"")</f>
        <v/>
      </c>
      <c r="BI145" s="17">
        <f>IFERROR(VLOOKUP(B145,'Statement of Marks'!$B$8:'Statement of Marks'!$HI$207,91,0),"")</f>
        <v>60</v>
      </c>
      <c r="BJ145" s="17" t="str">
        <f>IFERROR(VLOOKUP(B145,'Statement of Marks'!$B$8:'Statement of Marks'!$HI$207,117,0),"")</f>
        <v/>
      </c>
    </row>
    <row r="146" spans="1:62" ht="24.95" customHeight="1">
      <c r="A146" s="284">
        <f>IF('Statement of Marks'!A149="","",'Statement of Marks'!A149)</f>
        <v>142</v>
      </c>
      <c r="B146" s="284" t="str">
        <f>IF('Statement of Marks'!B149="","",'Statement of Marks'!B149)</f>
        <v/>
      </c>
      <c r="C146" s="284" t="str">
        <f>IF('Statement of Marks'!C149="","",'Statement of Marks'!C149)</f>
        <v/>
      </c>
      <c r="D146" s="426" t="str">
        <f>IF('Statement of Marks'!D149="","",'Statement of Marks'!D149)</f>
        <v/>
      </c>
      <c r="E146" s="427" t="str">
        <f>IF('Statement of Marks'!E149="","",'Statement of Marks'!E149)</f>
        <v/>
      </c>
      <c r="F146" s="427" t="str">
        <f>IF('Statement of Marks'!F149="","",'Statement of Marks'!F149)</f>
        <v/>
      </c>
      <c r="G146" s="427" t="str">
        <f>IF('Statement of Marks'!G149="","",'Statement of Marks'!G149)</f>
        <v/>
      </c>
      <c r="H146" s="428" t="str">
        <f>IF(B146="","",IF('Statement of Marks'!GY149="","",'Statement of Marks'!GY149))</f>
        <v/>
      </c>
      <c r="I146" s="287" t="str">
        <f>IF(B146="","",IF('Statement of Marks'!HB149="","",'Statement of Marks'!HB149))</f>
        <v/>
      </c>
      <c r="J146" s="429" t="str">
        <f>IF(B146="","",IF('Statement of Marks'!HC149="","",'Statement of Marks'!HC149))</f>
        <v/>
      </c>
      <c r="K146" s="296" t="str">
        <f>IF(B146="","",'Statement of Marks'!FJ149)</f>
        <v/>
      </c>
      <c r="L146" s="296" t="str">
        <f>IF(B146="","",'Statement of Marks'!FM149)</f>
        <v/>
      </c>
      <c r="M146" s="296" t="str">
        <f>IF(B146="","",'Statement of Marks'!FP149)</f>
        <v/>
      </c>
      <c r="N146" s="296" t="str">
        <f>IF(B146="","",'Statement of Marks'!FW149)</f>
        <v/>
      </c>
      <c r="O146" s="296" t="str">
        <f>IF(B146="","",'Statement of Marks'!GD149)</f>
        <v/>
      </c>
      <c r="P146" s="296" t="str">
        <f>IF(B146="","",'Statement of Marks'!GK149)</f>
        <v/>
      </c>
      <c r="Q146" s="296" t="str">
        <f>IF(B146="","",'Statement of Marks'!GR149)</f>
        <v/>
      </c>
      <c r="R146" s="296" t="str">
        <f>IF(B146="","",'Statement of Marks'!FF149)</f>
        <v/>
      </c>
      <c r="S146" s="430" t="str">
        <f>IFERROR(IF(B146="","",CONCATENATE(IF(AND('Marks Entry'!U149="A"),'Marks Entry'!$U$2,IF(AND('Marks Entry'!U149="B"),'Marks Entry'!$Y$2,IF(AND('Marks Entry'!U149="C"),'Marks Entry'!$AA$2,""))),", ",IF(AND('Marks Entry'!AC149="A"),'Marks Entry'!$AC$2,IF(AND('Marks Entry'!AC149="B"),'Marks Entry'!$AG$2,IF(AND('Marks Entry'!AC149="C"),'Marks Entry'!$AI$2,""))),", ",IF(AND('Marks Entry'!AK149="A"),'Marks Entry'!$AK$2,IF(AND('Marks Entry'!AK149="B"),'Marks Entry'!$AO$2,IF(AND('Marks Entry'!AK149="C"),'Marks Entry'!$AQ$2,""))),", ",IF(AND('Statement of Marks'!DD149=""),"",IF(AND('Statement of Marks'!DD149="A"),'Marks Entry'!$AS$2,IF(AND('Statement of Marks'!DD149="B"),'Marks Entry'!$AW$2,IF(AND('Statement of Marks'!DD149="C"),'Marks Entry'!$AY$2,"")))))),"")</f>
        <v/>
      </c>
      <c r="T146" s="431" t="str">
        <f>IF(COUNTIF(K146:R146,"F")&gt;0,"",CONCATENATE('Statement of Marks'!GU149,'Statement of Marks'!GW149))</f>
        <v xml:space="preserve">           </v>
      </c>
      <c r="BG146" s="17">
        <f>IFERROR(VLOOKUP(B146,'Statement of Marks'!$B$8:'Statement of Marks'!$HI$207,41,0),"")</f>
        <v>15</v>
      </c>
      <c r="BH146" s="17" t="str">
        <f>IFERROR(VLOOKUP(B146,'Statement of Marks'!$B$8:'Statement of Marks'!$HI$207,66,0),"")</f>
        <v/>
      </c>
      <c r="BI146" s="17">
        <f>IFERROR(VLOOKUP(B146,'Statement of Marks'!$B$8:'Statement of Marks'!$HI$207,91,0),"")</f>
        <v>60</v>
      </c>
      <c r="BJ146" s="17" t="str">
        <f>IFERROR(VLOOKUP(B146,'Statement of Marks'!$B$8:'Statement of Marks'!$HI$207,117,0),"")</f>
        <v/>
      </c>
    </row>
    <row r="147" spans="1:62" ht="24.95" customHeight="1">
      <c r="A147" s="284">
        <f>IF('Statement of Marks'!A150="","",'Statement of Marks'!A150)</f>
        <v>143</v>
      </c>
      <c r="B147" s="284" t="str">
        <f>IF('Statement of Marks'!B150="","",'Statement of Marks'!B150)</f>
        <v/>
      </c>
      <c r="C147" s="284" t="str">
        <f>IF('Statement of Marks'!C150="","",'Statement of Marks'!C150)</f>
        <v/>
      </c>
      <c r="D147" s="426" t="str">
        <f>IF('Statement of Marks'!D150="","",'Statement of Marks'!D150)</f>
        <v/>
      </c>
      <c r="E147" s="427" t="str">
        <f>IF('Statement of Marks'!E150="","",'Statement of Marks'!E150)</f>
        <v/>
      </c>
      <c r="F147" s="427" t="str">
        <f>IF('Statement of Marks'!F150="","",'Statement of Marks'!F150)</f>
        <v/>
      </c>
      <c r="G147" s="427" t="str">
        <f>IF('Statement of Marks'!G150="","",'Statement of Marks'!G150)</f>
        <v/>
      </c>
      <c r="H147" s="428" t="str">
        <f>IF(B147="","",IF('Statement of Marks'!GY150="","",'Statement of Marks'!GY150))</f>
        <v/>
      </c>
      <c r="I147" s="287" t="str">
        <f>IF(B147="","",IF('Statement of Marks'!HB150="","",'Statement of Marks'!HB150))</f>
        <v/>
      </c>
      <c r="J147" s="429" t="str">
        <f>IF(B147="","",IF('Statement of Marks'!HC150="","",'Statement of Marks'!HC150))</f>
        <v/>
      </c>
      <c r="K147" s="296" t="str">
        <f>IF(B147="","",'Statement of Marks'!FJ150)</f>
        <v/>
      </c>
      <c r="L147" s="296" t="str">
        <f>IF(B147="","",'Statement of Marks'!FM150)</f>
        <v/>
      </c>
      <c r="M147" s="296" t="str">
        <f>IF(B147="","",'Statement of Marks'!FP150)</f>
        <v/>
      </c>
      <c r="N147" s="296" t="str">
        <f>IF(B147="","",'Statement of Marks'!FW150)</f>
        <v/>
      </c>
      <c r="O147" s="296" t="str">
        <f>IF(B147="","",'Statement of Marks'!GD150)</f>
        <v/>
      </c>
      <c r="P147" s="296" t="str">
        <f>IF(B147="","",'Statement of Marks'!GK150)</f>
        <v/>
      </c>
      <c r="Q147" s="296" t="str">
        <f>IF(B147="","",'Statement of Marks'!GR150)</f>
        <v/>
      </c>
      <c r="R147" s="296" t="str">
        <f>IF(B147="","",'Statement of Marks'!FF150)</f>
        <v/>
      </c>
      <c r="S147" s="430" t="str">
        <f>IFERROR(IF(B147="","",CONCATENATE(IF(AND('Marks Entry'!U150="A"),'Marks Entry'!$U$2,IF(AND('Marks Entry'!U150="B"),'Marks Entry'!$Y$2,IF(AND('Marks Entry'!U150="C"),'Marks Entry'!$AA$2,""))),", ",IF(AND('Marks Entry'!AC150="A"),'Marks Entry'!$AC$2,IF(AND('Marks Entry'!AC150="B"),'Marks Entry'!$AG$2,IF(AND('Marks Entry'!AC150="C"),'Marks Entry'!$AI$2,""))),", ",IF(AND('Marks Entry'!AK150="A"),'Marks Entry'!$AK$2,IF(AND('Marks Entry'!AK150="B"),'Marks Entry'!$AO$2,IF(AND('Marks Entry'!AK150="C"),'Marks Entry'!$AQ$2,""))),", ",IF(AND('Statement of Marks'!DD150=""),"",IF(AND('Statement of Marks'!DD150="A"),'Marks Entry'!$AS$2,IF(AND('Statement of Marks'!DD150="B"),'Marks Entry'!$AW$2,IF(AND('Statement of Marks'!DD150="C"),'Marks Entry'!$AY$2,"")))))),"")</f>
        <v/>
      </c>
      <c r="T147" s="431" t="str">
        <f>IF(COUNTIF(K147:R147,"F")&gt;0,"",CONCATENATE('Statement of Marks'!GU150,'Statement of Marks'!GW150))</f>
        <v xml:space="preserve">           </v>
      </c>
      <c r="BG147" s="17">
        <f>IFERROR(VLOOKUP(B147,'Statement of Marks'!$B$8:'Statement of Marks'!$HI$207,41,0),"")</f>
        <v>15</v>
      </c>
      <c r="BH147" s="17" t="str">
        <f>IFERROR(VLOOKUP(B147,'Statement of Marks'!$B$8:'Statement of Marks'!$HI$207,66,0),"")</f>
        <v/>
      </c>
      <c r="BI147" s="17">
        <f>IFERROR(VLOOKUP(B147,'Statement of Marks'!$B$8:'Statement of Marks'!$HI$207,91,0),"")</f>
        <v>60</v>
      </c>
      <c r="BJ147" s="17" t="str">
        <f>IFERROR(VLOOKUP(B147,'Statement of Marks'!$B$8:'Statement of Marks'!$HI$207,117,0),"")</f>
        <v/>
      </c>
    </row>
    <row r="148" spans="1:62" ht="24.95" customHeight="1">
      <c r="A148" s="284">
        <f>IF('Statement of Marks'!A151="","",'Statement of Marks'!A151)</f>
        <v>144</v>
      </c>
      <c r="B148" s="284" t="str">
        <f>IF('Statement of Marks'!B151="","",'Statement of Marks'!B151)</f>
        <v/>
      </c>
      <c r="C148" s="284" t="str">
        <f>IF('Statement of Marks'!C151="","",'Statement of Marks'!C151)</f>
        <v/>
      </c>
      <c r="D148" s="426" t="str">
        <f>IF('Statement of Marks'!D151="","",'Statement of Marks'!D151)</f>
        <v/>
      </c>
      <c r="E148" s="427" t="str">
        <f>IF('Statement of Marks'!E151="","",'Statement of Marks'!E151)</f>
        <v/>
      </c>
      <c r="F148" s="427" t="str">
        <f>IF('Statement of Marks'!F151="","",'Statement of Marks'!F151)</f>
        <v/>
      </c>
      <c r="G148" s="427" t="str">
        <f>IF('Statement of Marks'!G151="","",'Statement of Marks'!G151)</f>
        <v/>
      </c>
      <c r="H148" s="428" t="str">
        <f>IF(B148="","",IF('Statement of Marks'!GY151="","",'Statement of Marks'!GY151))</f>
        <v/>
      </c>
      <c r="I148" s="287" t="str">
        <f>IF(B148="","",IF('Statement of Marks'!HB151="","",'Statement of Marks'!HB151))</f>
        <v/>
      </c>
      <c r="J148" s="429" t="str">
        <f>IF(B148="","",IF('Statement of Marks'!HC151="","",'Statement of Marks'!HC151))</f>
        <v/>
      </c>
      <c r="K148" s="296" t="str">
        <f>IF(B148="","",'Statement of Marks'!FJ151)</f>
        <v/>
      </c>
      <c r="L148" s="296" t="str">
        <f>IF(B148="","",'Statement of Marks'!FM151)</f>
        <v/>
      </c>
      <c r="M148" s="296" t="str">
        <f>IF(B148="","",'Statement of Marks'!FP151)</f>
        <v/>
      </c>
      <c r="N148" s="296" t="str">
        <f>IF(B148="","",'Statement of Marks'!FW151)</f>
        <v/>
      </c>
      <c r="O148" s="296" t="str">
        <f>IF(B148="","",'Statement of Marks'!GD151)</f>
        <v/>
      </c>
      <c r="P148" s="296" t="str">
        <f>IF(B148="","",'Statement of Marks'!GK151)</f>
        <v/>
      </c>
      <c r="Q148" s="296" t="str">
        <f>IF(B148="","",'Statement of Marks'!GR151)</f>
        <v/>
      </c>
      <c r="R148" s="296" t="str">
        <f>IF(B148="","",'Statement of Marks'!FF151)</f>
        <v/>
      </c>
      <c r="S148" s="430" t="str">
        <f>IFERROR(IF(B148="","",CONCATENATE(IF(AND('Marks Entry'!U151="A"),'Marks Entry'!$U$2,IF(AND('Marks Entry'!U151="B"),'Marks Entry'!$Y$2,IF(AND('Marks Entry'!U151="C"),'Marks Entry'!$AA$2,""))),", ",IF(AND('Marks Entry'!AC151="A"),'Marks Entry'!$AC$2,IF(AND('Marks Entry'!AC151="B"),'Marks Entry'!$AG$2,IF(AND('Marks Entry'!AC151="C"),'Marks Entry'!$AI$2,""))),", ",IF(AND('Marks Entry'!AK151="A"),'Marks Entry'!$AK$2,IF(AND('Marks Entry'!AK151="B"),'Marks Entry'!$AO$2,IF(AND('Marks Entry'!AK151="C"),'Marks Entry'!$AQ$2,""))),", ",IF(AND('Statement of Marks'!DD151=""),"",IF(AND('Statement of Marks'!DD151="A"),'Marks Entry'!$AS$2,IF(AND('Statement of Marks'!DD151="B"),'Marks Entry'!$AW$2,IF(AND('Statement of Marks'!DD151="C"),'Marks Entry'!$AY$2,"")))))),"")</f>
        <v/>
      </c>
      <c r="T148" s="431" t="str">
        <f>IF(COUNTIF(K148:R148,"F")&gt;0,"",CONCATENATE('Statement of Marks'!GU151,'Statement of Marks'!GW151))</f>
        <v xml:space="preserve">           </v>
      </c>
      <c r="BG148" s="17">
        <f>IFERROR(VLOOKUP(B148,'Statement of Marks'!$B$8:'Statement of Marks'!$HI$207,41,0),"")</f>
        <v>15</v>
      </c>
      <c r="BH148" s="17" t="str">
        <f>IFERROR(VLOOKUP(B148,'Statement of Marks'!$B$8:'Statement of Marks'!$HI$207,66,0),"")</f>
        <v/>
      </c>
      <c r="BI148" s="17">
        <f>IFERROR(VLOOKUP(B148,'Statement of Marks'!$B$8:'Statement of Marks'!$HI$207,91,0),"")</f>
        <v>60</v>
      </c>
      <c r="BJ148" s="17" t="str">
        <f>IFERROR(VLOOKUP(B148,'Statement of Marks'!$B$8:'Statement of Marks'!$HI$207,117,0),"")</f>
        <v/>
      </c>
    </row>
    <row r="149" spans="1:62" ht="24.95" customHeight="1">
      <c r="A149" s="284">
        <f>IF('Statement of Marks'!A152="","",'Statement of Marks'!A152)</f>
        <v>145</v>
      </c>
      <c r="B149" s="284" t="str">
        <f>IF('Statement of Marks'!B152="","",'Statement of Marks'!B152)</f>
        <v/>
      </c>
      <c r="C149" s="284" t="str">
        <f>IF('Statement of Marks'!C152="","",'Statement of Marks'!C152)</f>
        <v/>
      </c>
      <c r="D149" s="426" t="str">
        <f>IF('Statement of Marks'!D152="","",'Statement of Marks'!D152)</f>
        <v/>
      </c>
      <c r="E149" s="427" t="str">
        <f>IF('Statement of Marks'!E152="","",'Statement of Marks'!E152)</f>
        <v/>
      </c>
      <c r="F149" s="427" t="str">
        <f>IF('Statement of Marks'!F152="","",'Statement of Marks'!F152)</f>
        <v/>
      </c>
      <c r="G149" s="427" t="str">
        <f>IF('Statement of Marks'!G152="","",'Statement of Marks'!G152)</f>
        <v/>
      </c>
      <c r="H149" s="428" t="str">
        <f>IF(B149="","",IF('Statement of Marks'!GY152="","",'Statement of Marks'!GY152))</f>
        <v/>
      </c>
      <c r="I149" s="287" t="str">
        <f>IF(B149="","",IF('Statement of Marks'!HB152="","",'Statement of Marks'!HB152))</f>
        <v/>
      </c>
      <c r="J149" s="429" t="str">
        <f>IF(B149="","",IF('Statement of Marks'!HC152="","",'Statement of Marks'!HC152))</f>
        <v/>
      </c>
      <c r="K149" s="296" t="str">
        <f>IF(B149="","",'Statement of Marks'!FJ152)</f>
        <v/>
      </c>
      <c r="L149" s="296" t="str">
        <f>IF(B149="","",'Statement of Marks'!FM152)</f>
        <v/>
      </c>
      <c r="M149" s="296" t="str">
        <f>IF(B149="","",'Statement of Marks'!FP152)</f>
        <v/>
      </c>
      <c r="N149" s="296" t="str">
        <f>IF(B149="","",'Statement of Marks'!FW152)</f>
        <v/>
      </c>
      <c r="O149" s="296" t="str">
        <f>IF(B149="","",'Statement of Marks'!GD152)</f>
        <v/>
      </c>
      <c r="P149" s="296" t="str">
        <f>IF(B149="","",'Statement of Marks'!GK152)</f>
        <v/>
      </c>
      <c r="Q149" s="296" t="str">
        <f>IF(B149="","",'Statement of Marks'!GR152)</f>
        <v/>
      </c>
      <c r="R149" s="296" t="str">
        <f>IF(B149="","",'Statement of Marks'!FF152)</f>
        <v/>
      </c>
      <c r="S149" s="430" t="str">
        <f>IFERROR(IF(B149="","",CONCATENATE(IF(AND('Marks Entry'!U152="A"),'Marks Entry'!$U$2,IF(AND('Marks Entry'!U152="B"),'Marks Entry'!$Y$2,IF(AND('Marks Entry'!U152="C"),'Marks Entry'!$AA$2,""))),", ",IF(AND('Marks Entry'!AC152="A"),'Marks Entry'!$AC$2,IF(AND('Marks Entry'!AC152="B"),'Marks Entry'!$AG$2,IF(AND('Marks Entry'!AC152="C"),'Marks Entry'!$AI$2,""))),", ",IF(AND('Marks Entry'!AK152="A"),'Marks Entry'!$AK$2,IF(AND('Marks Entry'!AK152="B"),'Marks Entry'!$AO$2,IF(AND('Marks Entry'!AK152="C"),'Marks Entry'!$AQ$2,""))),", ",IF(AND('Statement of Marks'!DD152=""),"",IF(AND('Statement of Marks'!DD152="A"),'Marks Entry'!$AS$2,IF(AND('Statement of Marks'!DD152="B"),'Marks Entry'!$AW$2,IF(AND('Statement of Marks'!DD152="C"),'Marks Entry'!$AY$2,"")))))),"")</f>
        <v/>
      </c>
      <c r="T149" s="431" t="str">
        <f>IF(COUNTIF(K149:R149,"F")&gt;0,"",CONCATENATE('Statement of Marks'!GU152,'Statement of Marks'!GW152))</f>
        <v xml:space="preserve">           </v>
      </c>
      <c r="BG149" s="17">
        <f>IFERROR(VLOOKUP(B149,'Statement of Marks'!$B$8:'Statement of Marks'!$HI$207,41,0),"")</f>
        <v>15</v>
      </c>
      <c r="BH149" s="17" t="str">
        <f>IFERROR(VLOOKUP(B149,'Statement of Marks'!$B$8:'Statement of Marks'!$HI$207,66,0),"")</f>
        <v/>
      </c>
      <c r="BI149" s="17">
        <f>IFERROR(VLOOKUP(B149,'Statement of Marks'!$B$8:'Statement of Marks'!$HI$207,91,0),"")</f>
        <v>60</v>
      </c>
      <c r="BJ149" s="17" t="str">
        <f>IFERROR(VLOOKUP(B149,'Statement of Marks'!$B$8:'Statement of Marks'!$HI$207,117,0),"")</f>
        <v/>
      </c>
    </row>
    <row r="150" spans="1:62" ht="24.95" customHeight="1">
      <c r="A150" s="284">
        <f>IF('Statement of Marks'!A153="","",'Statement of Marks'!A153)</f>
        <v>146</v>
      </c>
      <c r="B150" s="284" t="str">
        <f>IF('Statement of Marks'!B153="","",'Statement of Marks'!B153)</f>
        <v/>
      </c>
      <c r="C150" s="284" t="str">
        <f>IF('Statement of Marks'!C153="","",'Statement of Marks'!C153)</f>
        <v/>
      </c>
      <c r="D150" s="426" t="str">
        <f>IF('Statement of Marks'!D153="","",'Statement of Marks'!D153)</f>
        <v/>
      </c>
      <c r="E150" s="427" t="str">
        <f>IF('Statement of Marks'!E153="","",'Statement of Marks'!E153)</f>
        <v/>
      </c>
      <c r="F150" s="427" t="str">
        <f>IF('Statement of Marks'!F153="","",'Statement of Marks'!F153)</f>
        <v/>
      </c>
      <c r="G150" s="427" t="str">
        <f>IF('Statement of Marks'!G153="","",'Statement of Marks'!G153)</f>
        <v/>
      </c>
      <c r="H150" s="428" t="str">
        <f>IF(B150="","",IF('Statement of Marks'!GY153="","",'Statement of Marks'!GY153))</f>
        <v/>
      </c>
      <c r="I150" s="287" t="str">
        <f>IF(B150="","",IF('Statement of Marks'!HB153="","",'Statement of Marks'!HB153))</f>
        <v/>
      </c>
      <c r="J150" s="429" t="str">
        <f>IF(B150="","",IF('Statement of Marks'!HC153="","",'Statement of Marks'!HC153))</f>
        <v/>
      </c>
      <c r="K150" s="296" t="str">
        <f>IF(B150="","",'Statement of Marks'!FJ153)</f>
        <v/>
      </c>
      <c r="L150" s="296" t="str">
        <f>IF(B150="","",'Statement of Marks'!FM153)</f>
        <v/>
      </c>
      <c r="M150" s="296" t="str">
        <f>IF(B150="","",'Statement of Marks'!FP153)</f>
        <v/>
      </c>
      <c r="N150" s="296" t="str">
        <f>IF(B150="","",'Statement of Marks'!FW153)</f>
        <v/>
      </c>
      <c r="O150" s="296" t="str">
        <f>IF(B150="","",'Statement of Marks'!GD153)</f>
        <v/>
      </c>
      <c r="P150" s="296" t="str">
        <f>IF(B150="","",'Statement of Marks'!GK153)</f>
        <v/>
      </c>
      <c r="Q150" s="296" t="str">
        <f>IF(B150="","",'Statement of Marks'!GR153)</f>
        <v/>
      </c>
      <c r="R150" s="296" t="str">
        <f>IF(B150="","",'Statement of Marks'!FF153)</f>
        <v/>
      </c>
      <c r="S150" s="430" t="str">
        <f>IFERROR(IF(B150="","",CONCATENATE(IF(AND('Marks Entry'!U153="A"),'Marks Entry'!$U$2,IF(AND('Marks Entry'!U153="B"),'Marks Entry'!$Y$2,IF(AND('Marks Entry'!U153="C"),'Marks Entry'!$AA$2,""))),", ",IF(AND('Marks Entry'!AC153="A"),'Marks Entry'!$AC$2,IF(AND('Marks Entry'!AC153="B"),'Marks Entry'!$AG$2,IF(AND('Marks Entry'!AC153="C"),'Marks Entry'!$AI$2,""))),", ",IF(AND('Marks Entry'!AK153="A"),'Marks Entry'!$AK$2,IF(AND('Marks Entry'!AK153="B"),'Marks Entry'!$AO$2,IF(AND('Marks Entry'!AK153="C"),'Marks Entry'!$AQ$2,""))),", ",IF(AND('Statement of Marks'!DD153=""),"",IF(AND('Statement of Marks'!DD153="A"),'Marks Entry'!$AS$2,IF(AND('Statement of Marks'!DD153="B"),'Marks Entry'!$AW$2,IF(AND('Statement of Marks'!DD153="C"),'Marks Entry'!$AY$2,"")))))),"")</f>
        <v/>
      </c>
      <c r="T150" s="431" t="str">
        <f>IF(COUNTIF(K150:R150,"F")&gt;0,"",CONCATENATE('Statement of Marks'!GU153,'Statement of Marks'!GW153))</f>
        <v xml:space="preserve">           </v>
      </c>
      <c r="BG150" s="17">
        <f>IFERROR(VLOOKUP(B150,'Statement of Marks'!$B$8:'Statement of Marks'!$HI$207,41,0),"")</f>
        <v>15</v>
      </c>
      <c r="BH150" s="17" t="str">
        <f>IFERROR(VLOOKUP(B150,'Statement of Marks'!$B$8:'Statement of Marks'!$HI$207,66,0),"")</f>
        <v/>
      </c>
      <c r="BI150" s="17">
        <f>IFERROR(VLOOKUP(B150,'Statement of Marks'!$B$8:'Statement of Marks'!$HI$207,91,0),"")</f>
        <v>60</v>
      </c>
      <c r="BJ150" s="17" t="str">
        <f>IFERROR(VLOOKUP(B150,'Statement of Marks'!$B$8:'Statement of Marks'!$HI$207,117,0),"")</f>
        <v/>
      </c>
    </row>
    <row r="151" spans="1:62" ht="24.95" customHeight="1">
      <c r="A151" s="284">
        <f>IF('Statement of Marks'!A154="","",'Statement of Marks'!A154)</f>
        <v>147</v>
      </c>
      <c r="B151" s="284" t="str">
        <f>IF('Statement of Marks'!B154="","",'Statement of Marks'!B154)</f>
        <v/>
      </c>
      <c r="C151" s="284" t="str">
        <f>IF('Statement of Marks'!C154="","",'Statement of Marks'!C154)</f>
        <v/>
      </c>
      <c r="D151" s="426" t="str">
        <f>IF('Statement of Marks'!D154="","",'Statement of Marks'!D154)</f>
        <v/>
      </c>
      <c r="E151" s="427" t="str">
        <f>IF('Statement of Marks'!E154="","",'Statement of Marks'!E154)</f>
        <v/>
      </c>
      <c r="F151" s="427" t="str">
        <f>IF('Statement of Marks'!F154="","",'Statement of Marks'!F154)</f>
        <v/>
      </c>
      <c r="G151" s="427" t="str">
        <f>IF('Statement of Marks'!G154="","",'Statement of Marks'!G154)</f>
        <v/>
      </c>
      <c r="H151" s="428" t="str">
        <f>IF(B151="","",IF('Statement of Marks'!GY154="","",'Statement of Marks'!GY154))</f>
        <v/>
      </c>
      <c r="I151" s="287" t="str">
        <f>IF(B151="","",IF('Statement of Marks'!HB154="","",'Statement of Marks'!HB154))</f>
        <v/>
      </c>
      <c r="J151" s="429" t="str">
        <f>IF(B151="","",IF('Statement of Marks'!HC154="","",'Statement of Marks'!HC154))</f>
        <v/>
      </c>
      <c r="K151" s="296" t="str">
        <f>IF(B151="","",'Statement of Marks'!FJ154)</f>
        <v/>
      </c>
      <c r="L151" s="296" t="str">
        <f>IF(B151="","",'Statement of Marks'!FM154)</f>
        <v/>
      </c>
      <c r="M151" s="296" t="str">
        <f>IF(B151="","",'Statement of Marks'!FP154)</f>
        <v/>
      </c>
      <c r="N151" s="296" t="str">
        <f>IF(B151="","",'Statement of Marks'!FW154)</f>
        <v/>
      </c>
      <c r="O151" s="296" t="str">
        <f>IF(B151="","",'Statement of Marks'!GD154)</f>
        <v/>
      </c>
      <c r="P151" s="296" t="str">
        <f>IF(B151="","",'Statement of Marks'!GK154)</f>
        <v/>
      </c>
      <c r="Q151" s="296" t="str">
        <f>IF(B151="","",'Statement of Marks'!GR154)</f>
        <v/>
      </c>
      <c r="R151" s="296" t="str">
        <f>IF(B151="","",'Statement of Marks'!FF154)</f>
        <v/>
      </c>
      <c r="S151" s="430" t="str">
        <f>IFERROR(IF(B151="","",CONCATENATE(IF(AND('Marks Entry'!U154="A"),'Marks Entry'!$U$2,IF(AND('Marks Entry'!U154="B"),'Marks Entry'!$Y$2,IF(AND('Marks Entry'!U154="C"),'Marks Entry'!$AA$2,""))),", ",IF(AND('Marks Entry'!AC154="A"),'Marks Entry'!$AC$2,IF(AND('Marks Entry'!AC154="B"),'Marks Entry'!$AG$2,IF(AND('Marks Entry'!AC154="C"),'Marks Entry'!$AI$2,""))),", ",IF(AND('Marks Entry'!AK154="A"),'Marks Entry'!$AK$2,IF(AND('Marks Entry'!AK154="B"),'Marks Entry'!$AO$2,IF(AND('Marks Entry'!AK154="C"),'Marks Entry'!$AQ$2,""))),", ",IF(AND('Statement of Marks'!DD154=""),"",IF(AND('Statement of Marks'!DD154="A"),'Marks Entry'!$AS$2,IF(AND('Statement of Marks'!DD154="B"),'Marks Entry'!$AW$2,IF(AND('Statement of Marks'!DD154="C"),'Marks Entry'!$AY$2,"")))))),"")</f>
        <v/>
      </c>
      <c r="T151" s="431" t="str">
        <f>IF(COUNTIF(K151:R151,"F")&gt;0,"",CONCATENATE('Statement of Marks'!GU154,'Statement of Marks'!GW154))</f>
        <v xml:space="preserve">           </v>
      </c>
      <c r="BG151" s="17">
        <f>IFERROR(VLOOKUP(B151,'Statement of Marks'!$B$8:'Statement of Marks'!$HI$207,41,0),"")</f>
        <v>15</v>
      </c>
      <c r="BH151" s="17" t="str">
        <f>IFERROR(VLOOKUP(B151,'Statement of Marks'!$B$8:'Statement of Marks'!$HI$207,66,0),"")</f>
        <v/>
      </c>
      <c r="BI151" s="17">
        <f>IFERROR(VLOOKUP(B151,'Statement of Marks'!$B$8:'Statement of Marks'!$HI$207,91,0),"")</f>
        <v>60</v>
      </c>
      <c r="BJ151" s="17" t="str">
        <f>IFERROR(VLOOKUP(B151,'Statement of Marks'!$B$8:'Statement of Marks'!$HI$207,117,0),"")</f>
        <v/>
      </c>
    </row>
    <row r="152" spans="1:62" ht="24.95" customHeight="1">
      <c r="A152" s="284">
        <f>IF('Statement of Marks'!A155="","",'Statement of Marks'!A155)</f>
        <v>148</v>
      </c>
      <c r="B152" s="284" t="str">
        <f>IF('Statement of Marks'!B155="","",'Statement of Marks'!B155)</f>
        <v/>
      </c>
      <c r="C152" s="284" t="str">
        <f>IF('Statement of Marks'!C155="","",'Statement of Marks'!C155)</f>
        <v/>
      </c>
      <c r="D152" s="426" t="str">
        <f>IF('Statement of Marks'!D155="","",'Statement of Marks'!D155)</f>
        <v/>
      </c>
      <c r="E152" s="427" t="str">
        <f>IF('Statement of Marks'!E155="","",'Statement of Marks'!E155)</f>
        <v/>
      </c>
      <c r="F152" s="427" t="str">
        <f>IF('Statement of Marks'!F155="","",'Statement of Marks'!F155)</f>
        <v/>
      </c>
      <c r="G152" s="427" t="str">
        <f>IF('Statement of Marks'!G155="","",'Statement of Marks'!G155)</f>
        <v/>
      </c>
      <c r="H152" s="428" t="str">
        <f>IF(B152="","",IF('Statement of Marks'!GY155="","",'Statement of Marks'!GY155))</f>
        <v/>
      </c>
      <c r="I152" s="287" t="str">
        <f>IF(B152="","",IF('Statement of Marks'!HB155="","",'Statement of Marks'!HB155))</f>
        <v/>
      </c>
      <c r="J152" s="429" t="str">
        <f>IF(B152="","",IF('Statement of Marks'!HC155="","",'Statement of Marks'!HC155))</f>
        <v/>
      </c>
      <c r="K152" s="296" t="str">
        <f>IF(B152="","",'Statement of Marks'!FJ155)</f>
        <v/>
      </c>
      <c r="L152" s="296" t="str">
        <f>IF(B152="","",'Statement of Marks'!FM155)</f>
        <v/>
      </c>
      <c r="M152" s="296" t="str">
        <f>IF(B152="","",'Statement of Marks'!FP155)</f>
        <v/>
      </c>
      <c r="N152" s="296" t="str">
        <f>IF(B152="","",'Statement of Marks'!FW155)</f>
        <v/>
      </c>
      <c r="O152" s="296" t="str">
        <f>IF(B152="","",'Statement of Marks'!GD155)</f>
        <v/>
      </c>
      <c r="P152" s="296" t="str">
        <f>IF(B152="","",'Statement of Marks'!GK155)</f>
        <v/>
      </c>
      <c r="Q152" s="296" t="str">
        <f>IF(B152="","",'Statement of Marks'!GR155)</f>
        <v/>
      </c>
      <c r="R152" s="296" t="str">
        <f>IF(B152="","",'Statement of Marks'!FF155)</f>
        <v/>
      </c>
      <c r="S152" s="430" t="str">
        <f>IFERROR(IF(B152="","",CONCATENATE(IF(AND('Marks Entry'!U155="A"),'Marks Entry'!$U$2,IF(AND('Marks Entry'!U155="B"),'Marks Entry'!$Y$2,IF(AND('Marks Entry'!U155="C"),'Marks Entry'!$AA$2,""))),", ",IF(AND('Marks Entry'!AC155="A"),'Marks Entry'!$AC$2,IF(AND('Marks Entry'!AC155="B"),'Marks Entry'!$AG$2,IF(AND('Marks Entry'!AC155="C"),'Marks Entry'!$AI$2,""))),", ",IF(AND('Marks Entry'!AK155="A"),'Marks Entry'!$AK$2,IF(AND('Marks Entry'!AK155="B"),'Marks Entry'!$AO$2,IF(AND('Marks Entry'!AK155="C"),'Marks Entry'!$AQ$2,""))),", ",IF(AND('Statement of Marks'!DD155=""),"",IF(AND('Statement of Marks'!DD155="A"),'Marks Entry'!$AS$2,IF(AND('Statement of Marks'!DD155="B"),'Marks Entry'!$AW$2,IF(AND('Statement of Marks'!DD155="C"),'Marks Entry'!$AY$2,"")))))),"")</f>
        <v/>
      </c>
      <c r="T152" s="431" t="str">
        <f>IF(COUNTIF(K152:R152,"F")&gt;0,"",CONCATENATE('Statement of Marks'!GU155,'Statement of Marks'!GW155))</f>
        <v xml:space="preserve">           </v>
      </c>
      <c r="BG152" s="17">
        <f>IFERROR(VLOOKUP(B152,'Statement of Marks'!$B$8:'Statement of Marks'!$HI$207,41,0),"")</f>
        <v>15</v>
      </c>
      <c r="BH152" s="17" t="str">
        <f>IFERROR(VLOOKUP(B152,'Statement of Marks'!$B$8:'Statement of Marks'!$HI$207,66,0),"")</f>
        <v/>
      </c>
      <c r="BI152" s="17">
        <f>IFERROR(VLOOKUP(B152,'Statement of Marks'!$B$8:'Statement of Marks'!$HI$207,91,0),"")</f>
        <v>60</v>
      </c>
      <c r="BJ152" s="17" t="str">
        <f>IFERROR(VLOOKUP(B152,'Statement of Marks'!$B$8:'Statement of Marks'!$HI$207,117,0),"")</f>
        <v/>
      </c>
    </row>
    <row r="153" spans="1:62" ht="24.95" customHeight="1">
      <c r="A153" s="284">
        <f>IF('Statement of Marks'!A156="","",'Statement of Marks'!A156)</f>
        <v>149</v>
      </c>
      <c r="B153" s="284" t="str">
        <f>IF('Statement of Marks'!B156="","",'Statement of Marks'!B156)</f>
        <v/>
      </c>
      <c r="C153" s="284" t="str">
        <f>IF('Statement of Marks'!C156="","",'Statement of Marks'!C156)</f>
        <v/>
      </c>
      <c r="D153" s="426" t="str">
        <f>IF('Statement of Marks'!D156="","",'Statement of Marks'!D156)</f>
        <v/>
      </c>
      <c r="E153" s="427" t="str">
        <f>IF('Statement of Marks'!E156="","",'Statement of Marks'!E156)</f>
        <v/>
      </c>
      <c r="F153" s="427" t="str">
        <f>IF('Statement of Marks'!F156="","",'Statement of Marks'!F156)</f>
        <v/>
      </c>
      <c r="G153" s="427" t="str">
        <f>IF('Statement of Marks'!G156="","",'Statement of Marks'!G156)</f>
        <v/>
      </c>
      <c r="H153" s="428" t="str">
        <f>IF(B153="","",IF('Statement of Marks'!GY156="","",'Statement of Marks'!GY156))</f>
        <v/>
      </c>
      <c r="I153" s="287" t="str">
        <f>IF(B153="","",IF('Statement of Marks'!HB156="","",'Statement of Marks'!HB156))</f>
        <v/>
      </c>
      <c r="J153" s="429" t="str">
        <f>IF(B153="","",IF('Statement of Marks'!HC156="","",'Statement of Marks'!HC156))</f>
        <v/>
      </c>
      <c r="K153" s="296" t="str">
        <f>IF(B153="","",'Statement of Marks'!FJ156)</f>
        <v/>
      </c>
      <c r="L153" s="296" t="str">
        <f>IF(B153="","",'Statement of Marks'!FM156)</f>
        <v/>
      </c>
      <c r="M153" s="296" t="str">
        <f>IF(B153="","",'Statement of Marks'!FP156)</f>
        <v/>
      </c>
      <c r="N153" s="296" t="str">
        <f>IF(B153="","",'Statement of Marks'!FW156)</f>
        <v/>
      </c>
      <c r="O153" s="296" t="str">
        <f>IF(B153="","",'Statement of Marks'!GD156)</f>
        <v/>
      </c>
      <c r="P153" s="296" t="str">
        <f>IF(B153="","",'Statement of Marks'!GK156)</f>
        <v/>
      </c>
      <c r="Q153" s="296" t="str">
        <f>IF(B153="","",'Statement of Marks'!GR156)</f>
        <v/>
      </c>
      <c r="R153" s="296" t="str">
        <f>IF(B153="","",'Statement of Marks'!FF156)</f>
        <v/>
      </c>
      <c r="S153" s="430" t="str">
        <f>IFERROR(IF(B153="","",CONCATENATE(IF(AND('Marks Entry'!U156="A"),'Marks Entry'!$U$2,IF(AND('Marks Entry'!U156="B"),'Marks Entry'!$Y$2,IF(AND('Marks Entry'!U156="C"),'Marks Entry'!$AA$2,""))),", ",IF(AND('Marks Entry'!AC156="A"),'Marks Entry'!$AC$2,IF(AND('Marks Entry'!AC156="B"),'Marks Entry'!$AG$2,IF(AND('Marks Entry'!AC156="C"),'Marks Entry'!$AI$2,""))),", ",IF(AND('Marks Entry'!AK156="A"),'Marks Entry'!$AK$2,IF(AND('Marks Entry'!AK156="B"),'Marks Entry'!$AO$2,IF(AND('Marks Entry'!AK156="C"),'Marks Entry'!$AQ$2,""))),", ",IF(AND('Statement of Marks'!DD156=""),"",IF(AND('Statement of Marks'!DD156="A"),'Marks Entry'!$AS$2,IF(AND('Statement of Marks'!DD156="B"),'Marks Entry'!$AW$2,IF(AND('Statement of Marks'!DD156="C"),'Marks Entry'!$AY$2,"")))))),"")</f>
        <v/>
      </c>
      <c r="T153" s="431" t="str">
        <f>IF(COUNTIF(K153:R153,"F")&gt;0,"",CONCATENATE('Statement of Marks'!GU156,'Statement of Marks'!GW156))</f>
        <v xml:space="preserve">           </v>
      </c>
      <c r="BG153" s="17">
        <f>IFERROR(VLOOKUP(B153,'Statement of Marks'!$B$8:'Statement of Marks'!$HI$207,41,0),"")</f>
        <v>15</v>
      </c>
      <c r="BH153" s="17" t="str">
        <f>IFERROR(VLOOKUP(B153,'Statement of Marks'!$B$8:'Statement of Marks'!$HI$207,66,0),"")</f>
        <v/>
      </c>
      <c r="BI153" s="17">
        <f>IFERROR(VLOOKUP(B153,'Statement of Marks'!$B$8:'Statement of Marks'!$HI$207,91,0),"")</f>
        <v>60</v>
      </c>
      <c r="BJ153" s="17" t="str">
        <f>IFERROR(VLOOKUP(B153,'Statement of Marks'!$B$8:'Statement of Marks'!$HI$207,117,0),"")</f>
        <v/>
      </c>
    </row>
    <row r="154" spans="1:62" ht="24.95" customHeight="1">
      <c r="A154" s="284">
        <f>IF('Statement of Marks'!A157="","",'Statement of Marks'!A157)</f>
        <v>150</v>
      </c>
      <c r="B154" s="284" t="str">
        <f>IF('Statement of Marks'!B157="","",'Statement of Marks'!B157)</f>
        <v/>
      </c>
      <c r="C154" s="284" t="str">
        <f>IF('Statement of Marks'!C157="","",'Statement of Marks'!C157)</f>
        <v/>
      </c>
      <c r="D154" s="426" t="str">
        <f>IF('Statement of Marks'!D157="","",'Statement of Marks'!D157)</f>
        <v/>
      </c>
      <c r="E154" s="427" t="str">
        <f>IF('Statement of Marks'!E157="","",'Statement of Marks'!E157)</f>
        <v/>
      </c>
      <c r="F154" s="427" t="str">
        <f>IF('Statement of Marks'!F157="","",'Statement of Marks'!F157)</f>
        <v/>
      </c>
      <c r="G154" s="427" t="str">
        <f>IF('Statement of Marks'!G157="","",'Statement of Marks'!G157)</f>
        <v/>
      </c>
      <c r="H154" s="428" t="str">
        <f>IF(B154="","",IF('Statement of Marks'!GY157="","",'Statement of Marks'!GY157))</f>
        <v/>
      </c>
      <c r="I154" s="287" t="str">
        <f>IF(B154="","",IF('Statement of Marks'!HB157="","",'Statement of Marks'!HB157))</f>
        <v/>
      </c>
      <c r="J154" s="429" t="str">
        <f>IF(B154="","",IF('Statement of Marks'!HC157="","",'Statement of Marks'!HC157))</f>
        <v/>
      </c>
      <c r="K154" s="296" t="str">
        <f>IF(B154="","",'Statement of Marks'!FJ157)</f>
        <v/>
      </c>
      <c r="L154" s="296" t="str">
        <f>IF(B154="","",'Statement of Marks'!FM157)</f>
        <v/>
      </c>
      <c r="M154" s="296" t="str">
        <f>IF(B154="","",'Statement of Marks'!FP157)</f>
        <v/>
      </c>
      <c r="N154" s="296" t="str">
        <f>IF(B154="","",'Statement of Marks'!FW157)</f>
        <v/>
      </c>
      <c r="O154" s="296" t="str">
        <f>IF(B154="","",'Statement of Marks'!GD157)</f>
        <v/>
      </c>
      <c r="P154" s="296" t="str">
        <f>IF(B154="","",'Statement of Marks'!GK157)</f>
        <v/>
      </c>
      <c r="Q154" s="296" t="str">
        <f>IF(B154="","",'Statement of Marks'!GR157)</f>
        <v/>
      </c>
      <c r="R154" s="296" t="str">
        <f>IF(B154="","",'Statement of Marks'!FF157)</f>
        <v/>
      </c>
      <c r="S154" s="430" t="str">
        <f>IFERROR(IF(B154="","",CONCATENATE(IF(AND('Marks Entry'!U157="A"),'Marks Entry'!$U$2,IF(AND('Marks Entry'!U157="B"),'Marks Entry'!$Y$2,IF(AND('Marks Entry'!U157="C"),'Marks Entry'!$AA$2,""))),", ",IF(AND('Marks Entry'!AC157="A"),'Marks Entry'!$AC$2,IF(AND('Marks Entry'!AC157="B"),'Marks Entry'!$AG$2,IF(AND('Marks Entry'!AC157="C"),'Marks Entry'!$AI$2,""))),", ",IF(AND('Marks Entry'!AK157="A"),'Marks Entry'!$AK$2,IF(AND('Marks Entry'!AK157="B"),'Marks Entry'!$AO$2,IF(AND('Marks Entry'!AK157="C"),'Marks Entry'!$AQ$2,""))),", ",IF(AND('Statement of Marks'!DD157=""),"",IF(AND('Statement of Marks'!DD157="A"),'Marks Entry'!$AS$2,IF(AND('Statement of Marks'!DD157="B"),'Marks Entry'!$AW$2,IF(AND('Statement of Marks'!DD157="C"),'Marks Entry'!$AY$2,"")))))),"")</f>
        <v/>
      </c>
      <c r="T154" s="431" t="str">
        <f>IF(COUNTIF(K154:R154,"F")&gt;0,"",CONCATENATE('Statement of Marks'!GU157,'Statement of Marks'!GW157))</f>
        <v xml:space="preserve">           </v>
      </c>
      <c r="BG154" s="17">
        <f>IFERROR(VLOOKUP(B154,'Statement of Marks'!$B$8:'Statement of Marks'!$HI$207,41,0),"")</f>
        <v>15</v>
      </c>
      <c r="BH154" s="17" t="str">
        <f>IFERROR(VLOOKUP(B154,'Statement of Marks'!$B$8:'Statement of Marks'!$HI$207,66,0),"")</f>
        <v/>
      </c>
      <c r="BI154" s="17">
        <f>IFERROR(VLOOKUP(B154,'Statement of Marks'!$B$8:'Statement of Marks'!$HI$207,91,0),"")</f>
        <v>60</v>
      </c>
      <c r="BJ154" s="17" t="str">
        <f>IFERROR(VLOOKUP(B154,'Statement of Marks'!$B$8:'Statement of Marks'!$HI$207,117,0),"")</f>
        <v/>
      </c>
    </row>
    <row r="155" spans="1:62" ht="24.95" customHeight="1">
      <c r="A155" s="284">
        <f>IF('Statement of Marks'!A158="","",'Statement of Marks'!A158)</f>
        <v>151</v>
      </c>
      <c r="B155" s="284" t="str">
        <f>IF('Statement of Marks'!B158="","",'Statement of Marks'!B158)</f>
        <v/>
      </c>
      <c r="C155" s="284" t="str">
        <f>IF('Statement of Marks'!C158="","",'Statement of Marks'!C158)</f>
        <v/>
      </c>
      <c r="D155" s="426" t="str">
        <f>IF('Statement of Marks'!D158="","",'Statement of Marks'!D158)</f>
        <v/>
      </c>
      <c r="E155" s="427" t="str">
        <f>IF('Statement of Marks'!E158="","",'Statement of Marks'!E158)</f>
        <v/>
      </c>
      <c r="F155" s="427" t="str">
        <f>IF('Statement of Marks'!F158="","",'Statement of Marks'!F158)</f>
        <v/>
      </c>
      <c r="G155" s="427" t="str">
        <f>IF('Statement of Marks'!G158="","",'Statement of Marks'!G158)</f>
        <v/>
      </c>
      <c r="H155" s="428" t="str">
        <f>IF(B155="","",IF('Statement of Marks'!GY158="","",'Statement of Marks'!GY158))</f>
        <v/>
      </c>
      <c r="I155" s="287" t="str">
        <f>IF(B155="","",IF('Statement of Marks'!HB158="","",'Statement of Marks'!HB158))</f>
        <v/>
      </c>
      <c r="J155" s="429" t="str">
        <f>IF(B155="","",IF('Statement of Marks'!HC158="","",'Statement of Marks'!HC158))</f>
        <v/>
      </c>
      <c r="K155" s="296" t="str">
        <f>IF(B155="","",'Statement of Marks'!FJ158)</f>
        <v/>
      </c>
      <c r="L155" s="296" t="str">
        <f>IF(B155="","",'Statement of Marks'!FM158)</f>
        <v/>
      </c>
      <c r="M155" s="296" t="str">
        <f>IF(B155="","",'Statement of Marks'!FP158)</f>
        <v/>
      </c>
      <c r="N155" s="296" t="str">
        <f>IF(B155="","",'Statement of Marks'!FW158)</f>
        <v/>
      </c>
      <c r="O155" s="296" t="str">
        <f>IF(B155="","",'Statement of Marks'!GD158)</f>
        <v/>
      </c>
      <c r="P155" s="296" t="str">
        <f>IF(B155="","",'Statement of Marks'!GK158)</f>
        <v/>
      </c>
      <c r="Q155" s="296" t="str">
        <f>IF(B155="","",'Statement of Marks'!GR158)</f>
        <v/>
      </c>
      <c r="R155" s="296" t="str">
        <f>IF(B155="","",'Statement of Marks'!FF158)</f>
        <v/>
      </c>
      <c r="S155" s="430" t="str">
        <f>IFERROR(IF(B155="","",CONCATENATE(IF(AND('Marks Entry'!U158="A"),'Marks Entry'!$U$2,IF(AND('Marks Entry'!U158="B"),'Marks Entry'!$Y$2,IF(AND('Marks Entry'!U158="C"),'Marks Entry'!$AA$2,""))),", ",IF(AND('Marks Entry'!AC158="A"),'Marks Entry'!$AC$2,IF(AND('Marks Entry'!AC158="B"),'Marks Entry'!$AG$2,IF(AND('Marks Entry'!AC158="C"),'Marks Entry'!$AI$2,""))),", ",IF(AND('Marks Entry'!AK158="A"),'Marks Entry'!$AK$2,IF(AND('Marks Entry'!AK158="B"),'Marks Entry'!$AO$2,IF(AND('Marks Entry'!AK158="C"),'Marks Entry'!$AQ$2,""))),", ",IF(AND('Statement of Marks'!DD158=""),"",IF(AND('Statement of Marks'!DD158="A"),'Marks Entry'!$AS$2,IF(AND('Statement of Marks'!DD158="B"),'Marks Entry'!$AW$2,IF(AND('Statement of Marks'!DD158="C"),'Marks Entry'!$AY$2,"")))))),"")</f>
        <v/>
      </c>
      <c r="T155" s="431" t="str">
        <f>IF(COUNTIF(K155:R155,"F")&gt;0,"",CONCATENATE('Statement of Marks'!GU158,'Statement of Marks'!GW158))</f>
        <v xml:space="preserve">           </v>
      </c>
      <c r="BG155" s="17">
        <f>IFERROR(VLOOKUP(B155,'Statement of Marks'!$B$8:'Statement of Marks'!$HI$207,41,0),"")</f>
        <v>15</v>
      </c>
      <c r="BH155" s="17" t="str">
        <f>IFERROR(VLOOKUP(B155,'Statement of Marks'!$B$8:'Statement of Marks'!$HI$207,66,0),"")</f>
        <v/>
      </c>
      <c r="BI155" s="17">
        <f>IFERROR(VLOOKUP(B155,'Statement of Marks'!$B$8:'Statement of Marks'!$HI$207,91,0),"")</f>
        <v>60</v>
      </c>
      <c r="BJ155" s="17" t="str">
        <f>IFERROR(VLOOKUP(B155,'Statement of Marks'!$B$8:'Statement of Marks'!$HI$207,117,0),"")</f>
        <v/>
      </c>
    </row>
    <row r="156" spans="1:62" ht="24.95" customHeight="1">
      <c r="A156" s="284">
        <f>IF('Statement of Marks'!A159="","",'Statement of Marks'!A159)</f>
        <v>152</v>
      </c>
      <c r="B156" s="284" t="str">
        <f>IF('Statement of Marks'!B159="","",'Statement of Marks'!B159)</f>
        <v/>
      </c>
      <c r="C156" s="284" t="str">
        <f>IF('Statement of Marks'!C159="","",'Statement of Marks'!C159)</f>
        <v/>
      </c>
      <c r="D156" s="426" t="str">
        <f>IF('Statement of Marks'!D159="","",'Statement of Marks'!D159)</f>
        <v/>
      </c>
      <c r="E156" s="427" t="str">
        <f>IF('Statement of Marks'!E159="","",'Statement of Marks'!E159)</f>
        <v/>
      </c>
      <c r="F156" s="427" t="str">
        <f>IF('Statement of Marks'!F159="","",'Statement of Marks'!F159)</f>
        <v/>
      </c>
      <c r="G156" s="427" t="str">
        <f>IF('Statement of Marks'!G159="","",'Statement of Marks'!G159)</f>
        <v/>
      </c>
      <c r="H156" s="428" t="str">
        <f>IF(B156="","",IF('Statement of Marks'!GY159="","",'Statement of Marks'!GY159))</f>
        <v/>
      </c>
      <c r="I156" s="287" t="str">
        <f>IF(B156="","",IF('Statement of Marks'!HB159="","",'Statement of Marks'!HB159))</f>
        <v/>
      </c>
      <c r="J156" s="429" t="str">
        <f>IF(B156="","",IF('Statement of Marks'!HC159="","",'Statement of Marks'!HC159))</f>
        <v/>
      </c>
      <c r="K156" s="296" t="str">
        <f>IF(B156="","",'Statement of Marks'!FJ159)</f>
        <v/>
      </c>
      <c r="L156" s="296" t="str">
        <f>IF(B156="","",'Statement of Marks'!FM159)</f>
        <v/>
      </c>
      <c r="M156" s="296" t="str">
        <f>IF(B156="","",'Statement of Marks'!FP159)</f>
        <v/>
      </c>
      <c r="N156" s="296" t="str">
        <f>IF(B156="","",'Statement of Marks'!FW159)</f>
        <v/>
      </c>
      <c r="O156" s="296" t="str">
        <f>IF(B156="","",'Statement of Marks'!GD159)</f>
        <v/>
      </c>
      <c r="P156" s="296" t="str">
        <f>IF(B156="","",'Statement of Marks'!GK159)</f>
        <v/>
      </c>
      <c r="Q156" s="296" t="str">
        <f>IF(B156="","",'Statement of Marks'!GR159)</f>
        <v/>
      </c>
      <c r="R156" s="296" t="str">
        <f>IF(B156="","",'Statement of Marks'!FF159)</f>
        <v/>
      </c>
      <c r="S156" s="430" t="str">
        <f>IFERROR(IF(B156="","",CONCATENATE(IF(AND('Marks Entry'!U159="A"),'Marks Entry'!$U$2,IF(AND('Marks Entry'!U159="B"),'Marks Entry'!$Y$2,IF(AND('Marks Entry'!U159="C"),'Marks Entry'!$AA$2,""))),", ",IF(AND('Marks Entry'!AC159="A"),'Marks Entry'!$AC$2,IF(AND('Marks Entry'!AC159="B"),'Marks Entry'!$AG$2,IF(AND('Marks Entry'!AC159="C"),'Marks Entry'!$AI$2,""))),", ",IF(AND('Marks Entry'!AK159="A"),'Marks Entry'!$AK$2,IF(AND('Marks Entry'!AK159="B"),'Marks Entry'!$AO$2,IF(AND('Marks Entry'!AK159="C"),'Marks Entry'!$AQ$2,""))),", ",IF(AND('Statement of Marks'!DD159=""),"",IF(AND('Statement of Marks'!DD159="A"),'Marks Entry'!$AS$2,IF(AND('Statement of Marks'!DD159="B"),'Marks Entry'!$AW$2,IF(AND('Statement of Marks'!DD159="C"),'Marks Entry'!$AY$2,"")))))),"")</f>
        <v/>
      </c>
      <c r="T156" s="431" t="str">
        <f>IF(COUNTIF(K156:R156,"F")&gt;0,"",CONCATENATE('Statement of Marks'!GU159,'Statement of Marks'!GW159))</f>
        <v xml:space="preserve">           </v>
      </c>
      <c r="BG156" s="17">
        <f>IFERROR(VLOOKUP(B156,'Statement of Marks'!$B$8:'Statement of Marks'!$HI$207,41,0),"")</f>
        <v>15</v>
      </c>
      <c r="BH156" s="17" t="str">
        <f>IFERROR(VLOOKUP(B156,'Statement of Marks'!$B$8:'Statement of Marks'!$HI$207,66,0),"")</f>
        <v/>
      </c>
      <c r="BI156" s="17">
        <f>IFERROR(VLOOKUP(B156,'Statement of Marks'!$B$8:'Statement of Marks'!$HI$207,91,0),"")</f>
        <v>60</v>
      </c>
      <c r="BJ156" s="17" t="str">
        <f>IFERROR(VLOOKUP(B156,'Statement of Marks'!$B$8:'Statement of Marks'!$HI$207,117,0),"")</f>
        <v/>
      </c>
    </row>
    <row r="157" spans="1:62" ht="24.95" customHeight="1">
      <c r="A157" s="284">
        <f>IF('Statement of Marks'!A160="","",'Statement of Marks'!A160)</f>
        <v>153</v>
      </c>
      <c r="B157" s="284" t="str">
        <f>IF('Statement of Marks'!B160="","",'Statement of Marks'!B160)</f>
        <v/>
      </c>
      <c r="C157" s="284" t="str">
        <f>IF('Statement of Marks'!C160="","",'Statement of Marks'!C160)</f>
        <v/>
      </c>
      <c r="D157" s="426" t="str">
        <f>IF('Statement of Marks'!D160="","",'Statement of Marks'!D160)</f>
        <v/>
      </c>
      <c r="E157" s="427" t="str">
        <f>IF('Statement of Marks'!E160="","",'Statement of Marks'!E160)</f>
        <v/>
      </c>
      <c r="F157" s="427" t="str">
        <f>IF('Statement of Marks'!F160="","",'Statement of Marks'!F160)</f>
        <v/>
      </c>
      <c r="G157" s="427" t="str">
        <f>IF('Statement of Marks'!G160="","",'Statement of Marks'!G160)</f>
        <v/>
      </c>
      <c r="H157" s="428" t="str">
        <f>IF(B157="","",IF('Statement of Marks'!GY160="","",'Statement of Marks'!GY160))</f>
        <v/>
      </c>
      <c r="I157" s="287" t="str">
        <f>IF(B157="","",IF('Statement of Marks'!HB160="","",'Statement of Marks'!HB160))</f>
        <v/>
      </c>
      <c r="J157" s="429" t="str">
        <f>IF(B157="","",IF('Statement of Marks'!HC160="","",'Statement of Marks'!HC160))</f>
        <v/>
      </c>
      <c r="K157" s="296" t="str">
        <f>IF(B157="","",'Statement of Marks'!FJ160)</f>
        <v/>
      </c>
      <c r="L157" s="296" t="str">
        <f>IF(B157="","",'Statement of Marks'!FM160)</f>
        <v/>
      </c>
      <c r="M157" s="296" t="str">
        <f>IF(B157="","",'Statement of Marks'!FP160)</f>
        <v/>
      </c>
      <c r="N157" s="296" t="str">
        <f>IF(B157="","",'Statement of Marks'!FW160)</f>
        <v/>
      </c>
      <c r="O157" s="296" t="str">
        <f>IF(B157="","",'Statement of Marks'!GD160)</f>
        <v/>
      </c>
      <c r="P157" s="296" t="str">
        <f>IF(B157="","",'Statement of Marks'!GK160)</f>
        <v/>
      </c>
      <c r="Q157" s="296" t="str">
        <f>IF(B157="","",'Statement of Marks'!GR160)</f>
        <v/>
      </c>
      <c r="R157" s="296" t="str">
        <f>IF(B157="","",'Statement of Marks'!FF160)</f>
        <v/>
      </c>
      <c r="S157" s="430" t="str">
        <f>IFERROR(IF(B157="","",CONCATENATE(IF(AND('Marks Entry'!U160="A"),'Marks Entry'!$U$2,IF(AND('Marks Entry'!U160="B"),'Marks Entry'!$Y$2,IF(AND('Marks Entry'!U160="C"),'Marks Entry'!$AA$2,""))),", ",IF(AND('Marks Entry'!AC160="A"),'Marks Entry'!$AC$2,IF(AND('Marks Entry'!AC160="B"),'Marks Entry'!$AG$2,IF(AND('Marks Entry'!AC160="C"),'Marks Entry'!$AI$2,""))),", ",IF(AND('Marks Entry'!AK160="A"),'Marks Entry'!$AK$2,IF(AND('Marks Entry'!AK160="B"),'Marks Entry'!$AO$2,IF(AND('Marks Entry'!AK160="C"),'Marks Entry'!$AQ$2,""))),", ",IF(AND('Statement of Marks'!DD160=""),"",IF(AND('Statement of Marks'!DD160="A"),'Marks Entry'!$AS$2,IF(AND('Statement of Marks'!DD160="B"),'Marks Entry'!$AW$2,IF(AND('Statement of Marks'!DD160="C"),'Marks Entry'!$AY$2,"")))))),"")</f>
        <v/>
      </c>
      <c r="T157" s="431" t="str">
        <f>IF(COUNTIF(K157:R157,"F")&gt;0,"",CONCATENATE('Statement of Marks'!GU160,'Statement of Marks'!GW160))</f>
        <v xml:space="preserve">           </v>
      </c>
      <c r="BG157" s="17">
        <f>IFERROR(VLOOKUP(B157,'Statement of Marks'!$B$8:'Statement of Marks'!$HI$207,41,0),"")</f>
        <v>15</v>
      </c>
      <c r="BH157" s="17" t="str">
        <f>IFERROR(VLOOKUP(B157,'Statement of Marks'!$B$8:'Statement of Marks'!$HI$207,66,0),"")</f>
        <v/>
      </c>
      <c r="BI157" s="17">
        <f>IFERROR(VLOOKUP(B157,'Statement of Marks'!$B$8:'Statement of Marks'!$HI$207,91,0),"")</f>
        <v>60</v>
      </c>
      <c r="BJ157" s="17" t="str">
        <f>IFERROR(VLOOKUP(B157,'Statement of Marks'!$B$8:'Statement of Marks'!$HI$207,117,0),"")</f>
        <v/>
      </c>
    </row>
    <row r="158" spans="1:62" ht="24.95" customHeight="1">
      <c r="A158" s="284">
        <f>IF('Statement of Marks'!A161="","",'Statement of Marks'!A161)</f>
        <v>154</v>
      </c>
      <c r="B158" s="284" t="str">
        <f>IF('Statement of Marks'!B161="","",'Statement of Marks'!B161)</f>
        <v/>
      </c>
      <c r="C158" s="284" t="str">
        <f>IF('Statement of Marks'!C161="","",'Statement of Marks'!C161)</f>
        <v/>
      </c>
      <c r="D158" s="426" t="str">
        <f>IF('Statement of Marks'!D161="","",'Statement of Marks'!D161)</f>
        <v/>
      </c>
      <c r="E158" s="427" t="str">
        <f>IF('Statement of Marks'!E161="","",'Statement of Marks'!E161)</f>
        <v/>
      </c>
      <c r="F158" s="427" t="str">
        <f>IF('Statement of Marks'!F161="","",'Statement of Marks'!F161)</f>
        <v/>
      </c>
      <c r="G158" s="427" t="str">
        <f>IF('Statement of Marks'!G161="","",'Statement of Marks'!G161)</f>
        <v/>
      </c>
      <c r="H158" s="428" t="str">
        <f>IF(B158="","",IF('Statement of Marks'!GY161="","",'Statement of Marks'!GY161))</f>
        <v/>
      </c>
      <c r="I158" s="287" t="str">
        <f>IF(B158="","",IF('Statement of Marks'!HB161="","",'Statement of Marks'!HB161))</f>
        <v/>
      </c>
      <c r="J158" s="429" t="str">
        <f>IF(B158="","",IF('Statement of Marks'!HC161="","",'Statement of Marks'!HC161))</f>
        <v/>
      </c>
      <c r="K158" s="296" t="str">
        <f>IF(B158="","",'Statement of Marks'!FJ161)</f>
        <v/>
      </c>
      <c r="L158" s="296" t="str">
        <f>IF(B158="","",'Statement of Marks'!FM161)</f>
        <v/>
      </c>
      <c r="M158" s="296" t="str">
        <f>IF(B158="","",'Statement of Marks'!FP161)</f>
        <v/>
      </c>
      <c r="N158" s="296" t="str">
        <f>IF(B158="","",'Statement of Marks'!FW161)</f>
        <v/>
      </c>
      <c r="O158" s="296" t="str">
        <f>IF(B158="","",'Statement of Marks'!GD161)</f>
        <v/>
      </c>
      <c r="P158" s="296" t="str">
        <f>IF(B158="","",'Statement of Marks'!GK161)</f>
        <v/>
      </c>
      <c r="Q158" s="296" t="str">
        <f>IF(B158="","",'Statement of Marks'!GR161)</f>
        <v/>
      </c>
      <c r="R158" s="296" t="str">
        <f>IF(B158="","",'Statement of Marks'!FF161)</f>
        <v/>
      </c>
      <c r="S158" s="430" t="str">
        <f>IFERROR(IF(B158="","",CONCATENATE(IF(AND('Marks Entry'!U161="A"),'Marks Entry'!$U$2,IF(AND('Marks Entry'!U161="B"),'Marks Entry'!$Y$2,IF(AND('Marks Entry'!U161="C"),'Marks Entry'!$AA$2,""))),", ",IF(AND('Marks Entry'!AC161="A"),'Marks Entry'!$AC$2,IF(AND('Marks Entry'!AC161="B"),'Marks Entry'!$AG$2,IF(AND('Marks Entry'!AC161="C"),'Marks Entry'!$AI$2,""))),", ",IF(AND('Marks Entry'!AK161="A"),'Marks Entry'!$AK$2,IF(AND('Marks Entry'!AK161="B"),'Marks Entry'!$AO$2,IF(AND('Marks Entry'!AK161="C"),'Marks Entry'!$AQ$2,""))),", ",IF(AND('Statement of Marks'!DD161=""),"",IF(AND('Statement of Marks'!DD161="A"),'Marks Entry'!$AS$2,IF(AND('Statement of Marks'!DD161="B"),'Marks Entry'!$AW$2,IF(AND('Statement of Marks'!DD161="C"),'Marks Entry'!$AY$2,"")))))),"")</f>
        <v/>
      </c>
      <c r="T158" s="431" t="str">
        <f>IF(COUNTIF(K158:R158,"F")&gt;0,"",CONCATENATE('Statement of Marks'!GU161,'Statement of Marks'!GW161))</f>
        <v xml:space="preserve">           </v>
      </c>
      <c r="BG158" s="17">
        <f>IFERROR(VLOOKUP(B158,'Statement of Marks'!$B$8:'Statement of Marks'!$HI$207,41,0),"")</f>
        <v>15</v>
      </c>
      <c r="BH158" s="17" t="str">
        <f>IFERROR(VLOOKUP(B158,'Statement of Marks'!$B$8:'Statement of Marks'!$HI$207,66,0),"")</f>
        <v/>
      </c>
      <c r="BI158" s="17">
        <f>IFERROR(VLOOKUP(B158,'Statement of Marks'!$B$8:'Statement of Marks'!$HI$207,91,0),"")</f>
        <v>60</v>
      </c>
      <c r="BJ158" s="17" t="str">
        <f>IFERROR(VLOOKUP(B158,'Statement of Marks'!$B$8:'Statement of Marks'!$HI$207,117,0),"")</f>
        <v/>
      </c>
    </row>
    <row r="159" spans="1:62" ht="24.95" customHeight="1">
      <c r="A159" s="284">
        <f>IF('Statement of Marks'!A162="","",'Statement of Marks'!A162)</f>
        <v>155</v>
      </c>
      <c r="B159" s="284" t="str">
        <f>IF('Statement of Marks'!B162="","",'Statement of Marks'!B162)</f>
        <v/>
      </c>
      <c r="C159" s="284" t="str">
        <f>IF('Statement of Marks'!C162="","",'Statement of Marks'!C162)</f>
        <v/>
      </c>
      <c r="D159" s="426" t="str">
        <f>IF('Statement of Marks'!D162="","",'Statement of Marks'!D162)</f>
        <v/>
      </c>
      <c r="E159" s="427" t="str">
        <f>IF('Statement of Marks'!E162="","",'Statement of Marks'!E162)</f>
        <v/>
      </c>
      <c r="F159" s="427" t="str">
        <f>IF('Statement of Marks'!F162="","",'Statement of Marks'!F162)</f>
        <v/>
      </c>
      <c r="G159" s="427" t="str">
        <f>IF('Statement of Marks'!G162="","",'Statement of Marks'!G162)</f>
        <v/>
      </c>
      <c r="H159" s="428" t="str">
        <f>IF(B159="","",IF('Statement of Marks'!GY162="","",'Statement of Marks'!GY162))</f>
        <v/>
      </c>
      <c r="I159" s="287" t="str">
        <f>IF(B159="","",IF('Statement of Marks'!HB162="","",'Statement of Marks'!HB162))</f>
        <v/>
      </c>
      <c r="J159" s="429" t="str">
        <f>IF(B159="","",IF('Statement of Marks'!HC162="","",'Statement of Marks'!HC162))</f>
        <v/>
      </c>
      <c r="K159" s="296" t="str">
        <f>IF(B159="","",'Statement of Marks'!FJ162)</f>
        <v/>
      </c>
      <c r="L159" s="296" t="str">
        <f>IF(B159="","",'Statement of Marks'!FM162)</f>
        <v/>
      </c>
      <c r="M159" s="296" t="str">
        <f>IF(B159="","",'Statement of Marks'!FP162)</f>
        <v/>
      </c>
      <c r="N159" s="296" t="str">
        <f>IF(B159="","",'Statement of Marks'!FW162)</f>
        <v/>
      </c>
      <c r="O159" s="296" t="str">
        <f>IF(B159="","",'Statement of Marks'!GD162)</f>
        <v/>
      </c>
      <c r="P159" s="296" t="str">
        <f>IF(B159="","",'Statement of Marks'!GK162)</f>
        <v/>
      </c>
      <c r="Q159" s="296" t="str">
        <f>IF(B159="","",'Statement of Marks'!GR162)</f>
        <v/>
      </c>
      <c r="R159" s="296" t="str">
        <f>IF(B159="","",'Statement of Marks'!FF162)</f>
        <v/>
      </c>
      <c r="S159" s="430" t="str">
        <f>IFERROR(IF(B159="","",CONCATENATE(IF(AND('Marks Entry'!U162="A"),'Marks Entry'!$U$2,IF(AND('Marks Entry'!U162="B"),'Marks Entry'!$Y$2,IF(AND('Marks Entry'!U162="C"),'Marks Entry'!$AA$2,""))),", ",IF(AND('Marks Entry'!AC162="A"),'Marks Entry'!$AC$2,IF(AND('Marks Entry'!AC162="B"),'Marks Entry'!$AG$2,IF(AND('Marks Entry'!AC162="C"),'Marks Entry'!$AI$2,""))),", ",IF(AND('Marks Entry'!AK162="A"),'Marks Entry'!$AK$2,IF(AND('Marks Entry'!AK162="B"),'Marks Entry'!$AO$2,IF(AND('Marks Entry'!AK162="C"),'Marks Entry'!$AQ$2,""))),", ",IF(AND('Statement of Marks'!DD162=""),"",IF(AND('Statement of Marks'!DD162="A"),'Marks Entry'!$AS$2,IF(AND('Statement of Marks'!DD162="B"),'Marks Entry'!$AW$2,IF(AND('Statement of Marks'!DD162="C"),'Marks Entry'!$AY$2,"")))))),"")</f>
        <v/>
      </c>
      <c r="T159" s="431" t="str">
        <f>IF(COUNTIF(K159:R159,"F")&gt;0,"",CONCATENATE('Statement of Marks'!GU162,'Statement of Marks'!GW162))</f>
        <v xml:space="preserve">           </v>
      </c>
      <c r="BG159" s="17">
        <f>IFERROR(VLOOKUP(B159,'Statement of Marks'!$B$8:'Statement of Marks'!$HI$207,41,0),"")</f>
        <v>15</v>
      </c>
      <c r="BH159" s="17" t="str">
        <f>IFERROR(VLOOKUP(B159,'Statement of Marks'!$B$8:'Statement of Marks'!$HI$207,66,0),"")</f>
        <v/>
      </c>
      <c r="BI159" s="17">
        <f>IFERROR(VLOOKUP(B159,'Statement of Marks'!$B$8:'Statement of Marks'!$HI$207,91,0),"")</f>
        <v>60</v>
      </c>
      <c r="BJ159" s="17" t="str">
        <f>IFERROR(VLOOKUP(B159,'Statement of Marks'!$B$8:'Statement of Marks'!$HI$207,117,0),"")</f>
        <v/>
      </c>
    </row>
    <row r="160" spans="1:62" ht="24.95" customHeight="1">
      <c r="A160" s="284">
        <f>IF('Statement of Marks'!A163="","",'Statement of Marks'!A163)</f>
        <v>156</v>
      </c>
      <c r="B160" s="284" t="str">
        <f>IF('Statement of Marks'!B163="","",'Statement of Marks'!B163)</f>
        <v/>
      </c>
      <c r="C160" s="284" t="str">
        <f>IF('Statement of Marks'!C163="","",'Statement of Marks'!C163)</f>
        <v/>
      </c>
      <c r="D160" s="426" t="str">
        <f>IF('Statement of Marks'!D163="","",'Statement of Marks'!D163)</f>
        <v/>
      </c>
      <c r="E160" s="427" t="str">
        <f>IF('Statement of Marks'!E163="","",'Statement of Marks'!E163)</f>
        <v/>
      </c>
      <c r="F160" s="427" t="str">
        <f>IF('Statement of Marks'!F163="","",'Statement of Marks'!F163)</f>
        <v/>
      </c>
      <c r="G160" s="427" t="str">
        <f>IF('Statement of Marks'!G163="","",'Statement of Marks'!G163)</f>
        <v/>
      </c>
      <c r="H160" s="428" t="str">
        <f>IF(B160="","",IF('Statement of Marks'!GY163="","",'Statement of Marks'!GY163))</f>
        <v/>
      </c>
      <c r="I160" s="287" t="str">
        <f>IF(B160="","",IF('Statement of Marks'!HB163="","",'Statement of Marks'!HB163))</f>
        <v/>
      </c>
      <c r="J160" s="429" t="str">
        <f>IF(B160="","",IF('Statement of Marks'!HC163="","",'Statement of Marks'!HC163))</f>
        <v/>
      </c>
      <c r="K160" s="296" t="str">
        <f>IF(B160="","",'Statement of Marks'!FJ163)</f>
        <v/>
      </c>
      <c r="L160" s="296" t="str">
        <f>IF(B160="","",'Statement of Marks'!FM163)</f>
        <v/>
      </c>
      <c r="M160" s="296" t="str">
        <f>IF(B160="","",'Statement of Marks'!FP163)</f>
        <v/>
      </c>
      <c r="N160" s="296" t="str">
        <f>IF(B160="","",'Statement of Marks'!FW163)</f>
        <v/>
      </c>
      <c r="O160" s="296" t="str">
        <f>IF(B160="","",'Statement of Marks'!GD163)</f>
        <v/>
      </c>
      <c r="P160" s="296" t="str">
        <f>IF(B160="","",'Statement of Marks'!GK163)</f>
        <v/>
      </c>
      <c r="Q160" s="296" t="str">
        <f>IF(B160="","",'Statement of Marks'!GR163)</f>
        <v/>
      </c>
      <c r="R160" s="296" t="str">
        <f>IF(B160="","",'Statement of Marks'!FF163)</f>
        <v/>
      </c>
      <c r="S160" s="430" t="str">
        <f>IFERROR(IF(B160="","",CONCATENATE(IF(AND('Marks Entry'!U163="A"),'Marks Entry'!$U$2,IF(AND('Marks Entry'!U163="B"),'Marks Entry'!$Y$2,IF(AND('Marks Entry'!U163="C"),'Marks Entry'!$AA$2,""))),", ",IF(AND('Marks Entry'!AC163="A"),'Marks Entry'!$AC$2,IF(AND('Marks Entry'!AC163="B"),'Marks Entry'!$AG$2,IF(AND('Marks Entry'!AC163="C"),'Marks Entry'!$AI$2,""))),", ",IF(AND('Marks Entry'!AK163="A"),'Marks Entry'!$AK$2,IF(AND('Marks Entry'!AK163="B"),'Marks Entry'!$AO$2,IF(AND('Marks Entry'!AK163="C"),'Marks Entry'!$AQ$2,""))),", ",IF(AND('Statement of Marks'!DD163=""),"",IF(AND('Statement of Marks'!DD163="A"),'Marks Entry'!$AS$2,IF(AND('Statement of Marks'!DD163="B"),'Marks Entry'!$AW$2,IF(AND('Statement of Marks'!DD163="C"),'Marks Entry'!$AY$2,"")))))),"")</f>
        <v/>
      </c>
      <c r="T160" s="431" t="str">
        <f>IF(COUNTIF(K160:R160,"F")&gt;0,"",CONCATENATE('Statement of Marks'!GU163,'Statement of Marks'!GW163))</f>
        <v xml:space="preserve">           </v>
      </c>
      <c r="BG160" s="17">
        <f>IFERROR(VLOOKUP(B160,'Statement of Marks'!$B$8:'Statement of Marks'!$HI$207,41,0),"")</f>
        <v>15</v>
      </c>
      <c r="BH160" s="17" t="str">
        <f>IFERROR(VLOOKUP(B160,'Statement of Marks'!$B$8:'Statement of Marks'!$HI$207,66,0),"")</f>
        <v/>
      </c>
      <c r="BI160" s="17">
        <f>IFERROR(VLOOKUP(B160,'Statement of Marks'!$B$8:'Statement of Marks'!$HI$207,91,0),"")</f>
        <v>60</v>
      </c>
      <c r="BJ160" s="17" t="str">
        <f>IFERROR(VLOOKUP(B160,'Statement of Marks'!$B$8:'Statement of Marks'!$HI$207,117,0),"")</f>
        <v/>
      </c>
    </row>
    <row r="161" spans="1:62" ht="24.95" customHeight="1">
      <c r="A161" s="284">
        <f>IF('Statement of Marks'!A164="","",'Statement of Marks'!A164)</f>
        <v>157</v>
      </c>
      <c r="B161" s="284" t="str">
        <f>IF('Statement of Marks'!B164="","",'Statement of Marks'!B164)</f>
        <v/>
      </c>
      <c r="C161" s="284" t="str">
        <f>IF('Statement of Marks'!C164="","",'Statement of Marks'!C164)</f>
        <v/>
      </c>
      <c r="D161" s="426" t="str">
        <f>IF('Statement of Marks'!D164="","",'Statement of Marks'!D164)</f>
        <v/>
      </c>
      <c r="E161" s="427" t="str">
        <f>IF('Statement of Marks'!E164="","",'Statement of Marks'!E164)</f>
        <v/>
      </c>
      <c r="F161" s="427" t="str">
        <f>IF('Statement of Marks'!F164="","",'Statement of Marks'!F164)</f>
        <v/>
      </c>
      <c r="G161" s="427" t="str">
        <f>IF('Statement of Marks'!G164="","",'Statement of Marks'!G164)</f>
        <v/>
      </c>
      <c r="H161" s="428" t="str">
        <f>IF(B161="","",IF('Statement of Marks'!GY164="","",'Statement of Marks'!GY164))</f>
        <v/>
      </c>
      <c r="I161" s="287" t="str">
        <f>IF(B161="","",IF('Statement of Marks'!HB164="","",'Statement of Marks'!HB164))</f>
        <v/>
      </c>
      <c r="J161" s="429" t="str">
        <f>IF(B161="","",IF('Statement of Marks'!HC164="","",'Statement of Marks'!HC164))</f>
        <v/>
      </c>
      <c r="K161" s="296" t="str">
        <f>IF(B161="","",'Statement of Marks'!FJ164)</f>
        <v/>
      </c>
      <c r="L161" s="296" t="str">
        <f>IF(B161="","",'Statement of Marks'!FM164)</f>
        <v/>
      </c>
      <c r="M161" s="296" t="str">
        <f>IF(B161="","",'Statement of Marks'!FP164)</f>
        <v/>
      </c>
      <c r="N161" s="296" t="str">
        <f>IF(B161="","",'Statement of Marks'!FW164)</f>
        <v/>
      </c>
      <c r="O161" s="296" t="str">
        <f>IF(B161="","",'Statement of Marks'!GD164)</f>
        <v/>
      </c>
      <c r="P161" s="296" t="str">
        <f>IF(B161="","",'Statement of Marks'!GK164)</f>
        <v/>
      </c>
      <c r="Q161" s="296" t="str">
        <f>IF(B161="","",'Statement of Marks'!GR164)</f>
        <v/>
      </c>
      <c r="R161" s="296" t="str">
        <f>IF(B161="","",'Statement of Marks'!FF164)</f>
        <v/>
      </c>
      <c r="S161" s="430" t="str">
        <f>IFERROR(IF(B161="","",CONCATENATE(IF(AND('Marks Entry'!U164="A"),'Marks Entry'!$U$2,IF(AND('Marks Entry'!U164="B"),'Marks Entry'!$Y$2,IF(AND('Marks Entry'!U164="C"),'Marks Entry'!$AA$2,""))),", ",IF(AND('Marks Entry'!AC164="A"),'Marks Entry'!$AC$2,IF(AND('Marks Entry'!AC164="B"),'Marks Entry'!$AG$2,IF(AND('Marks Entry'!AC164="C"),'Marks Entry'!$AI$2,""))),", ",IF(AND('Marks Entry'!AK164="A"),'Marks Entry'!$AK$2,IF(AND('Marks Entry'!AK164="B"),'Marks Entry'!$AO$2,IF(AND('Marks Entry'!AK164="C"),'Marks Entry'!$AQ$2,""))),", ",IF(AND('Statement of Marks'!DD164=""),"",IF(AND('Statement of Marks'!DD164="A"),'Marks Entry'!$AS$2,IF(AND('Statement of Marks'!DD164="B"),'Marks Entry'!$AW$2,IF(AND('Statement of Marks'!DD164="C"),'Marks Entry'!$AY$2,"")))))),"")</f>
        <v/>
      </c>
      <c r="T161" s="431" t="str">
        <f>IF(COUNTIF(K161:R161,"F")&gt;0,"",CONCATENATE('Statement of Marks'!GU164,'Statement of Marks'!GW164))</f>
        <v xml:space="preserve">           </v>
      </c>
      <c r="BG161" s="17">
        <f>IFERROR(VLOOKUP(B161,'Statement of Marks'!$B$8:'Statement of Marks'!$HI$207,41,0),"")</f>
        <v>15</v>
      </c>
      <c r="BH161" s="17" t="str">
        <f>IFERROR(VLOOKUP(B161,'Statement of Marks'!$B$8:'Statement of Marks'!$HI$207,66,0),"")</f>
        <v/>
      </c>
      <c r="BI161" s="17">
        <f>IFERROR(VLOOKUP(B161,'Statement of Marks'!$B$8:'Statement of Marks'!$HI$207,91,0),"")</f>
        <v>60</v>
      </c>
      <c r="BJ161" s="17" t="str">
        <f>IFERROR(VLOOKUP(B161,'Statement of Marks'!$B$8:'Statement of Marks'!$HI$207,117,0),"")</f>
        <v/>
      </c>
    </row>
    <row r="162" spans="1:62" ht="24.95" customHeight="1">
      <c r="A162" s="284">
        <f>IF('Statement of Marks'!A165="","",'Statement of Marks'!A165)</f>
        <v>158</v>
      </c>
      <c r="B162" s="284" t="str">
        <f>IF('Statement of Marks'!B165="","",'Statement of Marks'!B165)</f>
        <v/>
      </c>
      <c r="C162" s="284" t="str">
        <f>IF('Statement of Marks'!C165="","",'Statement of Marks'!C165)</f>
        <v/>
      </c>
      <c r="D162" s="426" t="str">
        <f>IF('Statement of Marks'!D165="","",'Statement of Marks'!D165)</f>
        <v/>
      </c>
      <c r="E162" s="427" t="str">
        <f>IF('Statement of Marks'!E165="","",'Statement of Marks'!E165)</f>
        <v/>
      </c>
      <c r="F162" s="427" t="str">
        <f>IF('Statement of Marks'!F165="","",'Statement of Marks'!F165)</f>
        <v/>
      </c>
      <c r="G162" s="427" t="str">
        <f>IF('Statement of Marks'!G165="","",'Statement of Marks'!G165)</f>
        <v/>
      </c>
      <c r="H162" s="428" t="str">
        <f>IF(B162="","",IF('Statement of Marks'!GY165="","",'Statement of Marks'!GY165))</f>
        <v/>
      </c>
      <c r="I162" s="287" t="str">
        <f>IF(B162="","",IF('Statement of Marks'!HB165="","",'Statement of Marks'!HB165))</f>
        <v/>
      </c>
      <c r="J162" s="429" t="str">
        <f>IF(B162="","",IF('Statement of Marks'!HC165="","",'Statement of Marks'!HC165))</f>
        <v/>
      </c>
      <c r="K162" s="296" t="str">
        <f>IF(B162="","",'Statement of Marks'!FJ165)</f>
        <v/>
      </c>
      <c r="L162" s="296" t="str">
        <f>IF(B162="","",'Statement of Marks'!FM165)</f>
        <v/>
      </c>
      <c r="M162" s="296" t="str">
        <f>IF(B162="","",'Statement of Marks'!FP165)</f>
        <v/>
      </c>
      <c r="N162" s="296" t="str">
        <f>IF(B162="","",'Statement of Marks'!FW165)</f>
        <v/>
      </c>
      <c r="O162" s="296" t="str">
        <f>IF(B162="","",'Statement of Marks'!GD165)</f>
        <v/>
      </c>
      <c r="P162" s="296" t="str">
        <f>IF(B162="","",'Statement of Marks'!GK165)</f>
        <v/>
      </c>
      <c r="Q162" s="296" t="str">
        <f>IF(B162="","",'Statement of Marks'!GR165)</f>
        <v/>
      </c>
      <c r="R162" s="296" t="str">
        <f>IF(B162="","",'Statement of Marks'!FF165)</f>
        <v/>
      </c>
      <c r="S162" s="430" t="str">
        <f>IFERROR(IF(B162="","",CONCATENATE(IF(AND('Marks Entry'!U165="A"),'Marks Entry'!$U$2,IF(AND('Marks Entry'!U165="B"),'Marks Entry'!$Y$2,IF(AND('Marks Entry'!U165="C"),'Marks Entry'!$AA$2,""))),", ",IF(AND('Marks Entry'!AC165="A"),'Marks Entry'!$AC$2,IF(AND('Marks Entry'!AC165="B"),'Marks Entry'!$AG$2,IF(AND('Marks Entry'!AC165="C"),'Marks Entry'!$AI$2,""))),", ",IF(AND('Marks Entry'!AK165="A"),'Marks Entry'!$AK$2,IF(AND('Marks Entry'!AK165="B"),'Marks Entry'!$AO$2,IF(AND('Marks Entry'!AK165="C"),'Marks Entry'!$AQ$2,""))),", ",IF(AND('Statement of Marks'!DD165=""),"",IF(AND('Statement of Marks'!DD165="A"),'Marks Entry'!$AS$2,IF(AND('Statement of Marks'!DD165="B"),'Marks Entry'!$AW$2,IF(AND('Statement of Marks'!DD165="C"),'Marks Entry'!$AY$2,"")))))),"")</f>
        <v/>
      </c>
      <c r="T162" s="431" t="str">
        <f>IF(COUNTIF(K162:R162,"F")&gt;0,"",CONCATENATE('Statement of Marks'!GU165,'Statement of Marks'!GW165))</f>
        <v xml:space="preserve">           </v>
      </c>
      <c r="BG162" s="17">
        <f>IFERROR(VLOOKUP(B162,'Statement of Marks'!$B$8:'Statement of Marks'!$HI$207,41,0),"")</f>
        <v>15</v>
      </c>
      <c r="BH162" s="17" t="str">
        <f>IFERROR(VLOOKUP(B162,'Statement of Marks'!$B$8:'Statement of Marks'!$HI$207,66,0),"")</f>
        <v/>
      </c>
      <c r="BI162" s="17">
        <f>IFERROR(VLOOKUP(B162,'Statement of Marks'!$B$8:'Statement of Marks'!$HI$207,91,0),"")</f>
        <v>60</v>
      </c>
      <c r="BJ162" s="17" t="str">
        <f>IFERROR(VLOOKUP(B162,'Statement of Marks'!$B$8:'Statement of Marks'!$HI$207,117,0),"")</f>
        <v/>
      </c>
    </row>
    <row r="163" spans="1:62" ht="24.95" customHeight="1">
      <c r="A163" s="284">
        <f>IF('Statement of Marks'!A166="","",'Statement of Marks'!A166)</f>
        <v>159</v>
      </c>
      <c r="B163" s="284" t="str">
        <f>IF('Statement of Marks'!B166="","",'Statement of Marks'!B166)</f>
        <v/>
      </c>
      <c r="C163" s="284" t="str">
        <f>IF('Statement of Marks'!C166="","",'Statement of Marks'!C166)</f>
        <v/>
      </c>
      <c r="D163" s="426" t="str">
        <f>IF('Statement of Marks'!D166="","",'Statement of Marks'!D166)</f>
        <v/>
      </c>
      <c r="E163" s="427" t="str">
        <f>IF('Statement of Marks'!E166="","",'Statement of Marks'!E166)</f>
        <v/>
      </c>
      <c r="F163" s="427" t="str">
        <f>IF('Statement of Marks'!F166="","",'Statement of Marks'!F166)</f>
        <v/>
      </c>
      <c r="G163" s="427" t="str">
        <f>IF('Statement of Marks'!G166="","",'Statement of Marks'!G166)</f>
        <v/>
      </c>
      <c r="H163" s="428" t="str">
        <f>IF(B163="","",IF('Statement of Marks'!GY166="","",'Statement of Marks'!GY166))</f>
        <v/>
      </c>
      <c r="I163" s="287" t="str">
        <f>IF(B163="","",IF('Statement of Marks'!HB166="","",'Statement of Marks'!HB166))</f>
        <v/>
      </c>
      <c r="J163" s="429" t="str">
        <f>IF(B163="","",IF('Statement of Marks'!HC166="","",'Statement of Marks'!HC166))</f>
        <v/>
      </c>
      <c r="K163" s="296" t="str">
        <f>IF(B163="","",'Statement of Marks'!FJ166)</f>
        <v/>
      </c>
      <c r="L163" s="296" t="str">
        <f>IF(B163="","",'Statement of Marks'!FM166)</f>
        <v/>
      </c>
      <c r="M163" s="296" t="str">
        <f>IF(B163="","",'Statement of Marks'!FP166)</f>
        <v/>
      </c>
      <c r="N163" s="296" t="str">
        <f>IF(B163="","",'Statement of Marks'!FW166)</f>
        <v/>
      </c>
      <c r="O163" s="296" t="str">
        <f>IF(B163="","",'Statement of Marks'!GD166)</f>
        <v/>
      </c>
      <c r="P163" s="296" t="str">
        <f>IF(B163="","",'Statement of Marks'!GK166)</f>
        <v/>
      </c>
      <c r="Q163" s="296" t="str">
        <f>IF(B163="","",'Statement of Marks'!GR166)</f>
        <v/>
      </c>
      <c r="R163" s="296" t="str">
        <f>IF(B163="","",'Statement of Marks'!FF166)</f>
        <v/>
      </c>
      <c r="S163" s="430" t="str">
        <f>IFERROR(IF(B163="","",CONCATENATE(IF(AND('Marks Entry'!U166="A"),'Marks Entry'!$U$2,IF(AND('Marks Entry'!U166="B"),'Marks Entry'!$Y$2,IF(AND('Marks Entry'!U166="C"),'Marks Entry'!$AA$2,""))),", ",IF(AND('Marks Entry'!AC166="A"),'Marks Entry'!$AC$2,IF(AND('Marks Entry'!AC166="B"),'Marks Entry'!$AG$2,IF(AND('Marks Entry'!AC166="C"),'Marks Entry'!$AI$2,""))),", ",IF(AND('Marks Entry'!AK166="A"),'Marks Entry'!$AK$2,IF(AND('Marks Entry'!AK166="B"),'Marks Entry'!$AO$2,IF(AND('Marks Entry'!AK166="C"),'Marks Entry'!$AQ$2,""))),", ",IF(AND('Statement of Marks'!DD166=""),"",IF(AND('Statement of Marks'!DD166="A"),'Marks Entry'!$AS$2,IF(AND('Statement of Marks'!DD166="B"),'Marks Entry'!$AW$2,IF(AND('Statement of Marks'!DD166="C"),'Marks Entry'!$AY$2,"")))))),"")</f>
        <v/>
      </c>
      <c r="T163" s="431" t="str">
        <f>IF(COUNTIF(K163:R163,"F")&gt;0,"",CONCATENATE('Statement of Marks'!GU166,'Statement of Marks'!GW166))</f>
        <v xml:space="preserve">           </v>
      </c>
      <c r="BG163" s="17">
        <f>IFERROR(VLOOKUP(B163,'Statement of Marks'!$B$8:'Statement of Marks'!$HI$207,41,0),"")</f>
        <v>15</v>
      </c>
      <c r="BH163" s="17" t="str">
        <f>IFERROR(VLOOKUP(B163,'Statement of Marks'!$B$8:'Statement of Marks'!$HI$207,66,0),"")</f>
        <v/>
      </c>
      <c r="BI163" s="17">
        <f>IFERROR(VLOOKUP(B163,'Statement of Marks'!$B$8:'Statement of Marks'!$HI$207,91,0),"")</f>
        <v>60</v>
      </c>
      <c r="BJ163" s="17" t="str">
        <f>IFERROR(VLOOKUP(B163,'Statement of Marks'!$B$8:'Statement of Marks'!$HI$207,117,0),"")</f>
        <v/>
      </c>
    </row>
    <row r="164" spans="1:62" ht="24.95" customHeight="1">
      <c r="A164" s="284">
        <f>IF('Statement of Marks'!A167="","",'Statement of Marks'!A167)</f>
        <v>160</v>
      </c>
      <c r="B164" s="284" t="str">
        <f>IF('Statement of Marks'!B167="","",'Statement of Marks'!B167)</f>
        <v/>
      </c>
      <c r="C164" s="284" t="str">
        <f>IF('Statement of Marks'!C167="","",'Statement of Marks'!C167)</f>
        <v/>
      </c>
      <c r="D164" s="426" t="str">
        <f>IF('Statement of Marks'!D167="","",'Statement of Marks'!D167)</f>
        <v/>
      </c>
      <c r="E164" s="427" t="str">
        <f>IF('Statement of Marks'!E167="","",'Statement of Marks'!E167)</f>
        <v/>
      </c>
      <c r="F164" s="427" t="str">
        <f>IF('Statement of Marks'!F167="","",'Statement of Marks'!F167)</f>
        <v/>
      </c>
      <c r="G164" s="427" t="str">
        <f>IF('Statement of Marks'!G167="","",'Statement of Marks'!G167)</f>
        <v/>
      </c>
      <c r="H164" s="428" t="str">
        <f>IF(B164="","",IF('Statement of Marks'!GY167="","",'Statement of Marks'!GY167))</f>
        <v/>
      </c>
      <c r="I164" s="287" t="str">
        <f>IF(B164="","",IF('Statement of Marks'!HB167="","",'Statement of Marks'!HB167))</f>
        <v/>
      </c>
      <c r="J164" s="429" t="str">
        <f>IF(B164="","",IF('Statement of Marks'!HC167="","",'Statement of Marks'!HC167))</f>
        <v/>
      </c>
      <c r="K164" s="296" t="str">
        <f>IF(B164="","",'Statement of Marks'!FJ167)</f>
        <v/>
      </c>
      <c r="L164" s="296" t="str">
        <f>IF(B164="","",'Statement of Marks'!FM167)</f>
        <v/>
      </c>
      <c r="M164" s="296" t="str">
        <f>IF(B164="","",'Statement of Marks'!FP167)</f>
        <v/>
      </c>
      <c r="N164" s="296" t="str">
        <f>IF(B164="","",'Statement of Marks'!FW167)</f>
        <v/>
      </c>
      <c r="O164" s="296" t="str">
        <f>IF(B164="","",'Statement of Marks'!GD167)</f>
        <v/>
      </c>
      <c r="P164" s="296" t="str">
        <f>IF(B164="","",'Statement of Marks'!GK167)</f>
        <v/>
      </c>
      <c r="Q164" s="296" t="str">
        <f>IF(B164="","",'Statement of Marks'!GR167)</f>
        <v/>
      </c>
      <c r="R164" s="296" t="str">
        <f>IF(B164="","",'Statement of Marks'!FF167)</f>
        <v/>
      </c>
      <c r="S164" s="430" t="str">
        <f>IFERROR(IF(B164="","",CONCATENATE(IF(AND('Marks Entry'!U167="A"),'Marks Entry'!$U$2,IF(AND('Marks Entry'!U167="B"),'Marks Entry'!$Y$2,IF(AND('Marks Entry'!U167="C"),'Marks Entry'!$AA$2,""))),", ",IF(AND('Marks Entry'!AC167="A"),'Marks Entry'!$AC$2,IF(AND('Marks Entry'!AC167="B"),'Marks Entry'!$AG$2,IF(AND('Marks Entry'!AC167="C"),'Marks Entry'!$AI$2,""))),", ",IF(AND('Marks Entry'!AK167="A"),'Marks Entry'!$AK$2,IF(AND('Marks Entry'!AK167="B"),'Marks Entry'!$AO$2,IF(AND('Marks Entry'!AK167="C"),'Marks Entry'!$AQ$2,""))),", ",IF(AND('Statement of Marks'!DD167=""),"",IF(AND('Statement of Marks'!DD167="A"),'Marks Entry'!$AS$2,IF(AND('Statement of Marks'!DD167="B"),'Marks Entry'!$AW$2,IF(AND('Statement of Marks'!DD167="C"),'Marks Entry'!$AY$2,"")))))),"")</f>
        <v/>
      </c>
      <c r="T164" s="431" t="str">
        <f>IF(COUNTIF(K164:R164,"F")&gt;0,"",CONCATENATE('Statement of Marks'!GU167,'Statement of Marks'!GW167))</f>
        <v xml:space="preserve">           </v>
      </c>
      <c r="BG164" s="17">
        <f>IFERROR(VLOOKUP(B164,'Statement of Marks'!$B$8:'Statement of Marks'!$HI$207,41,0),"")</f>
        <v>15</v>
      </c>
      <c r="BH164" s="17" t="str">
        <f>IFERROR(VLOOKUP(B164,'Statement of Marks'!$B$8:'Statement of Marks'!$HI$207,66,0),"")</f>
        <v/>
      </c>
      <c r="BI164" s="17">
        <f>IFERROR(VLOOKUP(B164,'Statement of Marks'!$B$8:'Statement of Marks'!$HI$207,91,0),"")</f>
        <v>60</v>
      </c>
      <c r="BJ164" s="17" t="str">
        <f>IFERROR(VLOOKUP(B164,'Statement of Marks'!$B$8:'Statement of Marks'!$HI$207,117,0),"")</f>
        <v/>
      </c>
    </row>
    <row r="165" spans="1:62" ht="24.95" customHeight="1">
      <c r="A165" s="284">
        <f>IF('Statement of Marks'!A168="","",'Statement of Marks'!A168)</f>
        <v>161</v>
      </c>
      <c r="B165" s="284" t="str">
        <f>IF('Statement of Marks'!B168="","",'Statement of Marks'!B168)</f>
        <v/>
      </c>
      <c r="C165" s="284" t="str">
        <f>IF('Statement of Marks'!C168="","",'Statement of Marks'!C168)</f>
        <v/>
      </c>
      <c r="D165" s="426" t="str">
        <f>IF('Statement of Marks'!D168="","",'Statement of Marks'!D168)</f>
        <v/>
      </c>
      <c r="E165" s="427" t="str">
        <f>IF('Statement of Marks'!E168="","",'Statement of Marks'!E168)</f>
        <v/>
      </c>
      <c r="F165" s="427" t="str">
        <f>IF('Statement of Marks'!F168="","",'Statement of Marks'!F168)</f>
        <v/>
      </c>
      <c r="G165" s="427" t="str">
        <f>IF('Statement of Marks'!G168="","",'Statement of Marks'!G168)</f>
        <v/>
      </c>
      <c r="H165" s="428" t="str">
        <f>IF(B165="","",IF('Statement of Marks'!GY168="","",'Statement of Marks'!GY168))</f>
        <v/>
      </c>
      <c r="I165" s="287" t="str">
        <f>IF(B165="","",IF('Statement of Marks'!HB168="","",'Statement of Marks'!HB168))</f>
        <v/>
      </c>
      <c r="J165" s="429" t="str">
        <f>IF(B165="","",IF('Statement of Marks'!HC168="","",'Statement of Marks'!HC168))</f>
        <v/>
      </c>
      <c r="K165" s="296" t="str">
        <f>IF(B165="","",'Statement of Marks'!FJ168)</f>
        <v/>
      </c>
      <c r="L165" s="296" t="str">
        <f>IF(B165="","",'Statement of Marks'!FM168)</f>
        <v/>
      </c>
      <c r="M165" s="296" t="str">
        <f>IF(B165="","",'Statement of Marks'!FP168)</f>
        <v/>
      </c>
      <c r="N165" s="296" t="str">
        <f>IF(B165="","",'Statement of Marks'!FW168)</f>
        <v/>
      </c>
      <c r="O165" s="296" t="str">
        <f>IF(B165="","",'Statement of Marks'!GD168)</f>
        <v/>
      </c>
      <c r="P165" s="296" t="str">
        <f>IF(B165="","",'Statement of Marks'!GK168)</f>
        <v/>
      </c>
      <c r="Q165" s="296" t="str">
        <f>IF(B165="","",'Statement of Marks'!GR168)</f>
        <v/>
      </c>
      <c r="R165" s="296" t="str">
        <f>IF(B165="","",'Statement of Marks'!FF168)</f>
        <v/>
      </c>
      <c r="S165" s="430" t="str">
        <f>IFERROR(IF(B165="","",CONCATENATE(IF(AND('Marks Entry'!U168="A"),'Marks Entry'!$U$2,IF(AND('Marks Entry'!U168="B"),'Marks Entry'!$Y$2,IF(AND('Marks Entry'!U168="C"),'Marks Entry'!$AA$2,""))),", ",IF(AND('Marks Entry'!AC168="A"),'Marks Entry'!$AC$2,IF(AND('Marks Entry'!AC168="B"),'Marks Entry'!$AG$2,IF(AND('Marks Entry'!AC168="C"),'Marks Entry'!$AI$2,""))),", ",IF(AND('Marks Entry'!AK168="A"),'Marks Entry'!$AK$2,IF(AND('Marks Entry'!AK168="B"),'Marks Entry'!$AO$2,IF(AND('Marks Entry'!AK168="C"),'Marks Entry'!$AQ$2,""))),", ",IF(AND('Statement of Marks'!DD168=""),"",IF(AND('Statement of Marks'!DD168="A"),'Marks Entry'!$AS$2,IF(AND('Statement of Marks'!DD168="B"),'Marks Entry'!$AW$2,IF(AND('Statement of Marks'!DD168="C"),'Marks Entry'!$AY$2,"")))))),"")</f>
        <v/>
      </c>
      <c r="T165" s="431" t="str">
        <f>IF(COUNTIF(K165:R165,"F")&gt;0,"",CONCATENATE('Statement of Marks'!GU168,'Statement of Marks'!GW168))</f>
        <v xml:space="preserve">           </v>
      </c>
      <c r="BG165" s="17">
        <f>IFERROR(VLOOKUP(B165,'Statement of Marks'!$B$8:'Statement of Marks'!$HI$207,41,0),"")</f>
        <v>15</v>
      </c>
      <c r="BH165" s="17" t="str">
        <f>IFERROR(VLOOKUP(B165,'Statement of Marks'!$B$8:'Statement of Marks'!$HI$207,66,0),"")</f>
        <v/>
      </c>
      <c r="BI165" s="17">
        <f>IFERROR(VLOOKUP(B165,'Statement of Marks'!$B$8:'Statement of Marks'!$HI$207,91,0),"")</f>
        <v>60</v>
      </c>
      <c r="BJ165" s="17" t="str">
        <f>IFERROR(VLOOKUP(B165,'Statement of Marks'!$B$8:'Statement of Marks'!$HI$207,117,0),"")</f>
        <v/>
      </c>
    </row>
    <row r="166" spans="1:62" ht="24.95" customHeight="1">
      <c r="A166" s="284">
        <f>IF('Statement of Marks'!A169="","",'Statement of Marks'!A169)</f>
        <v>162</v>
      </c>
      <c r="B166" s="284" t="str">
        <f>IF('Statement of Marks'!B169="","",'Statement of Marks'!B169)</f>
        <v/>
      </c>
      <c r="C166" s="284" t="str">
        <f>IF('Statement of Marks'!C169="","",'Statement of Marks'!C169)</f>
        <v/>
      </c>
      <c r="D166" s="426" t="str">
        <f>IF('Statement of Marks'!D169="","",'Statement of Marks'!D169)</f>
        <v/>
      </c>
      <c r="E166" s="427" t="str">
        <f>IF('Statement of Marks'!E169="","",'Statement of Marks'!E169)</f>
        <v/>
      </c>
      <c r="F166" s="427" t="str">
        <f>IF('Statement of Marks'!F169="","",'Statement of Marks'!F169)</f>
        <v/>
      </c>
      <c r="G166" s="427" t="str">
        <f>IF('Statement of Marks'!G169="","",'Statement of Marks'!G169)</f>
        <v/>
      </c>
      <c r="H166" s="428" t="str">
        <f>IF(B166="","",IF('Statement of Marks'!GY169="","",'Statement of Marks'!GY169))</f>
        <v/>
      </c>
      <c r="I166" s="287" t="str">
        <f>IF(B166="","",IF('Statement of Marks'!HB169="","",'Statement of Marks'!HB169))</f>
        <v/>
      </c>
      <c r="J166" s="429" t="str">
        <f>IF(B166="","",IF('Statement of Marks'!HC169="","",'Statement of Marks'!HC169))</f>
        <v/>
      </c>
      <c r="K166" s="296" t="str">
        <f>IF(B166="","",'Statement of Marks'!FJ169)</f>
        <v/>
      </c>
      <c r="L166" s="296" t="str">
        <f>IF(B166="","",'Statement of Marks'!FM169)</f>
        <v/>
      </c>
      <c r="M166" s="296" t="str">
        <f>IF(B166="","",'Statement of Marks'!FP169)</f>
        <v/>
      </c>
      <c r="N166" s="296" t="str">
        <f>IF(B166="","",'Statement of Marks'!FW169)</f>
        <v/>
      </c>
      <c r="O166" s="296" t="str">
        <f>IF(B166="","",'Statement of Marks'!GD169)</f>
        <v/>
      </c>
      <c r="P166" s="296" t="str">
        <f>IF(B166="","",'Statement of Marks'!GK169)</f>
        <v/>
      </c>
      <c r="Q166" s="296" t="str">
        <f>IF(B166="","",'Statement of Marks'!GR169)</f>
        <v/>
      </c>
      <c r="R166" s="296" t="str">
        <f>IF(B166="","",'Statement of Marks'!FF169)</f>
        <v/>
      </c>
      <c r="S166" s="430" t="str">
        <f>IFERROR(IF(B166="","",CONCATENATE(IF(AND('Marks Entry'!U169="A"),'Marks Entry'!$U$2,IF(AND('Marks Entry'!U169="B"),'Marks Entry'!$Y$2,IF(AND('Marks Entry'!U169="C"),'Marks Entry'!$AA$2,""))),", ",IF(AND('Marks Entry'!AC169="A"),'Marks Entry'!$AC$2,IF(AND('Marks Entry'!AC169="B"),'Marks Entry'!$AG$2,IF(AND('Marks Entry'!AC169="C"),'Marks Entry'!$AI$2,""))),", ",IF(AND('Marks Entry'!AK169="A"),'Marks Entry'!$AK$2,IF(AND('Marks Entry'!AK169="B"),'Marks Entry'!$AO$2,IF(AND('Marks Entry'!AK169="C"),'Marks Entry'!$AQ$2,""))),", ",IF(AND('Statement of Marks'!DD169=""),"",IF(AND('Statement of Marks'!DD169="A"),'Marks Entry'!$AS$2,IF(AND('Statement of Marks'!DD169="B"),'Marks Entry'!$AW$2,IF(AND('Statement of Marks'!DD169="C"),'Marks Entry'!$AY$2,"")))))),"")</f>
        <v/>
      </c>
      <c r="T166" s="431" t="str">
        <f>IF(COUNTIF(K166:R166,"F")&gt;0,"",CONCATENATE('Statement of Marks'!GU169,'Statement of Marks'!GW169))</f>
        <v xml:space="preserve">           </v>
      </c>
      <c r="BG166" s="17">
        <f>IFERROR(VLOOKUP(B166,'Statement of Marks'!$B$8:'Statement of Marks'!$HI$207,41,0),"")</f>
        <v>15</v>
      </c>
      <c r="BH166" s="17" t="str">
        <f>IFERROR(VLOOKUP(B166,'Statement of Marks'!$B$8:'Statement of Marks'!$HI$207,66,0),"")</f>
        <v/>
      </c>
      <c r="BI166" s="17">
        <f>IFERROR(VLOOKUP(B166,'Statement of Marks'!$B$8:'Statement of Marks'!$HI$207,91,0),"")</f>
        <v>60</v>
      </c>
      <c r="BJ166" s="17" t="str">
        <f>IFERROR(VLOOKUP(B166,'Statement of Marks'!$B$8:'Statement of Marks'!$HI$207,117,0),"")</f>
        <v/>
      </c>
    </row>
    <row r="167" spans="1:62" ht="24.95" customHeight="1">
      <c r="A167" s="284">
        <f>IF('Statement of Marks'!A170="","",'Statement of Marks'!A170)</f>
        <v>163</v>
      </c>
      <c r="B167" s="284" t="str">
        <f>IF('Statement of Marks'!B170="","",'Statement of Marks'!B170)</f>
        <v/>
      </c>
      <c r="C167" s="284" t="str">
        <f>IF('Statement of Marks'!C170="","",'Statement of Marks'!C170)</f>
        <v/>
      </c>
      <c r="D167" s="426" t="str">
        <f>IF('Statement of Marks'!D170="","",'Statement of Marks'!D170)</f>
        <v/>
      </c>
      <c r="E167" s="427" t="str">
        <f>IF('Statement of Marks'!E170="","",'Statement of Marks'!E170)</f>
        <v/>
      </c>
      <c r="F167" s="427" t="str">
        <f>IF('Statement of Marks'!F170="","",'Statement of Marks'!F170)</f>
        <v/>
      </c>
      <c r="G167" s="427" t="str">
        <f>IF('Statement of Marks'!G170="","",'Statement of Marks'!G170)</f>
        <v/>
      </c>
      <c r="H167" s="428" t="str">
        <f>IF(B167="","",IF('Statement of Marks'!GY170="","",'Statement of Marks'!GY170))</f>
        <v/>
      </c>
      <c r="I167" s="287" t="str">
        <f>IF(B167="","",IF('Statement of Marks'!HB170="","",'Statement of Marks'!HB170))</f>
        <v/>
      </c>
      <c r="J167" s="429" t="str">
        <f>IF(B167="","",IF('Statement of Marks'!HC170="","",'Statement of Marks'!HC170))</f>
        <v/>
      </c>
      <c r="K167" s="296" t="str">
        <f>IF(B167="","",'Statement of Marks'!FJ170)</f>
        <v/>
      </c>
      <c r="L167" s="296" t="str">
        <f>IF(B167="","",'Statement of Marks'!FM170)</f>
        <v/>
      </c>
      <c r="M167" s="296" t="str">
        <f>IF(B167="","",'Statement of Marks'!FP170)</f>
        <v/>
      </c>
      <c r="N167" s="296" t="str">
        <f>IF(B167="","",'Statement of Marks'!FW170)</f>
        <v/>
      </c>
      <c r="O167" s="296" t="str">
        <f>IF(B167="","",'Statement of Marks'!GD170)</f>
        <v/>
      </c>
      <c r="P167" s="296" t="str">
        <f>IF(B167="","",'Statement of Marks'!GK170)</f>
        <v/>
      </c>
      <c r="Q167" s="296" t="str">
        <f>IF(B167="","",'Statement of Marks'!GR170)</f>
        <v/>
      </c>
      <c r="R167" s="296" t="str">
        <f>IF(B167="","",'Statement of Marks'!FF170)</f>
        <v/>
      </c>
      <c r="S167" s="430" t="str">
        <f>IFERROR(IF(B167="","",CONCATENATE(IF(AND('Marks Entry'!U170="A"),'Marks Entry'!$U$2,IF(AND('Marks Entry'!U170="B"),'Marks Entry'!$Y$2,IF(AND('Marks Entry'!U170="C"),'Marks Entry'!$AA$2,""))),", ",IF(AND('Marks Entry'!AC170="A"),'Marks Entry'!$AC$2,IF(AND('Marks Entry'!AC170="B"),'Marks Entry'!$AG$2,IF(AND('Marks Entry'!AC170="C"),'Marks Entry'!$AI$2,""))),", ",IF(AND('Marks Entry'!AK170="A"),'Marks Entry'!$AK$2,IF(AND('Marks Entry'!AK170="B"),'Marks Entry'!$AO$2,IF(AND('Marks Entry'!AK170="C"),'Marks Entry'!$AQ$2,""))),", ",IF(AND('Statement of Marks'!DD170=""),"",IF(AND('Statement of Marks'!DD170="A"),'Marks Entry'!$AS$2,IF(AND('Statement of Marks'!DD170="B"),'Marks Entry'!$AW$2,IF(AND('Statement of Marks'!DD170="C"),'Marks Entry'!$AY$2,"")))))),"")</f>
        <v/>
      </c>
      <c r="T167" s="431" t="str">
        <f>IF(COUNTIF(K167:R167,"F")&gt;0,"",CONCATENATE('Statement of Marks'!GU170,'Statement of Marks'!GW170))</f>
        <v xml:space="preserve">           </v>
      </c>
      <c r="BG167" s="17">
        <f>IFERROR(VLOOKUP(B167,'Statement of Marks'!$B$8:'Statement of Marks'!$HI$207,41,0),"")</f>
        <v>15</v>
      </c>
      <c r="BH167" s="17" t="str">
        <f>IFERROR(VLOOKUP(B167,'Statement of Marks'!$B$8:'Statement of Marks'!$HI$207,66,0),"")</f>
        <v/>
      </c>
      <c r="BI167" s="17">
        <f>IFERROR(VLOOKUP(B167,'Statement of Marks'!$B$8:'Statement of Marks'!$HI$207,91,0),"")</f>
        <v>60</v>
      </c>
      <c r="BJ167" s="17" t="str">
        <f>IFERROR(VLOOKUP(B167,'Statement of Marks'!$B$8:'Statement of Marks'!$HI$207,117,0),"")</f>
        <v/>
      </c>
    </row>
    <row r="168" spans="1:62" ht="24.95" customHeight="1">
      <c r="A168" s="284">
        <f>IF('Statement of Marks'!A171="","",'Statement of Marks'!A171)</f>
        <v>164</v>
      </c>
      <c r="B168" s="284" t="str">
        <f>IF('Statement of Marks'!B171="","",'Statement of Marks'!B171)</f>
        <v/>
      </c>
      <c r="C168" s="284" t="str">
        <f>IF('Statement of Marks'!C171="","",'Statement of Marks'!C171)</f>
        <v/>
      </c>
      <c r="D168" s="426" t="str">
        <f>IF('Statement of Marks'!D171="","",'Statement of Marks'!D171)</f>
        <v/>
      </c>
      <c r="E168" s="427" t="str">
        <f>IF('Statement of Marks'!E171="","",'Statement of Marks'!E171)</f>
        <v/>
      </c>
      <c r="F168" s="427" t="str">
        <f>IF('Statement of Marks'!F171="","",'Statement of Marks'!F171)</f>
        <v/>
      </c>
      <c r="G168" s="427" t="str">
        <f>IF('Statement of Marks'!G171="","",'Statement of Marks'!G171)</f>
        <v/>
      </c>
      <c r="H168" s="428" t="str">
        <f>IF(B168="","",IF('Statement of Marks'!GY171="","",'Statement of Marks'!GY171))</f>
        <v/>
      </c>
      <c r="I168" s="287" t="str">
        <f>IF(B168="","",IF('Statement of Marks'!HB171="","",'Statement of Marks'!HB171))</f>
        <v/>
      </c>
      <c r="J168" s="429" t="str">
        <f>IF(B168="","",IF('Statement of Marks'!HC171="","",'Statement of Marks'!HC171))</f>
        <v/>
      </c>
      <c r="K168" s="296" t="str">
        <f>IF(B168="","",'Statement of Marks'!FJ171)</f>
        <v/>
      </c>
      <c r="L168" s="296" t="str">
        <f>IF(B168="","",'Statement of Marks'!FM171)</f>
        <v/>
      </c>
      <c r="M168" s="296" t="str">
        <f>IF(B168="","",'Statement of Marks'!FP171)</f>
        <v/>
      </c>
      <c r="N168" s="296" t="str">
        <f>IF(B168="","",'Statement of Marks'!FW171)</f>
        <v/>
      </c>
      <c r="O168" s="296" t="str">
        <f>IF(B168="","",'Statement of Marks'!GD171)</f>
        <v/>
      </c>
      <c r="P168" s="296" t="str">
        <f>IF(B168="","",'Statement of Marks'!GK171)</f>
        <v/>
      </c>
      <c r="Q168" s="296" t="str">
        <f>IF(B168="","",'Statement of Marks'!GR171)</f>
        <v/>
      </c>
      <c r="R168" s="296" t="str">
        <f>IF(B168="","",'Statement of Marks'!FF171)</f>
        <v/>
      </c>
      <c r="S168" s="430" t="str">
        <f>IFERROR(IF(B168="","",CONCATENATE(IF(AND('Marks Entry'!U171="A"),'Marks Entry'!$U$2,IF(AND('Marks Entry'!U171="B"),'Marks Entry'!$Y$2,IF(AND('Marks Entry'!U171="C"),'Marks Entry'!$AA$2,""))),", ",IF(AND('Marks Entry'!AC171="A"),'Marks Entry'!$AC$2,IF(AND('Marks Entry'!AC171="B"),'Marks Entry'!$AG$2,IF(AND('Marks Entry'!AC171="C"),'Marks Entry'!$AI$2,""))),", ",IF(AND('Marks Entry'!AK171="A"),'Marks Entry'!$AK$2,IF(AND('Marks Entry'!AK171="B"),'Marks Entry'!$AO$2,IF(AND('Marks Entry'!AK171="C"),'Marks Entry'!$AQ$2,""))),", ",IF(AND('Statement of Marks'!DD171=""),"",IF(AND('Statement of Marks'!DD171="A"),'Marks Entry'!$AS$2,IF(AND('Statement of Marks'!DD171="B"),'Marks Entry'!$AW$2,IF(AND('Statement of Marks'!DD171="C"),'Marks Entry'!$AY$2,"")))))),"")</f>
        <v/>
      </c>
      <c r="T168" s="431" t="str">
        <f>IF(COUNTIF(K168:R168,"F")&gt;0,"",CONCATENATE('Statement of Marks'!GU171,'Statement of Marks'!GW171))</f>
        <v xml:space="preserve">           </v>
      </c>
      <c r="BG168" s="17">
        <f>IFERROR(VLOOKUP(B168,'Statement of Marks'!$B$8:'Statement of Marks'!$HI$207,41,0),"")</f>
        <v>15</v>
      </c>
      <c r="BH168" s="17" t="str">
        <f>IFERROR(VLOOKUP(B168,'Statement of Marks'!$B$8:'Statement of Marks'!$HI$207,66,0),"")</f>
        <v/>
      </c>
      <c r="BI168" s="17">
        <f>IFERROR(VLOOKUP(B168,'Statement of Marks'!$B$8:'Statement of Marks'!$HI$207,91,0),"")</f>
        <v>60</v>
      </c>
      <c r="BJ168" s="17" t="str">
        <f>IFERROR(VLOOKUP(B168,'Statement of Marks'!$B$8:'Statement of Marks'!$HI$207,117,0),"")</f>
        <v/>
      </c>
    </row>
    <row r="169" spans="1:62" ht="24.95" customHeight="1">
      <c r="A169" s="284">
        <f>IF('Statement of Marks'!A172="","",'Statement of Marks'!A172)</f>
        <v>165</v>
      </c>
      <c r="B169" s="284" t="str">
        <f>IF('Statement of Marks'!B172="","",'Statement of Marks'!B172)</f>
        <v/>
      </c>
      <c r="C169" s="284" t="str">
        <f>IF('Statement of Marks'!C172="","",'Statement of Marks'!C172)</f>
        <v/>
      </c>
      <c r="D169" s="426" t="str">
        <f>IF('Statement of Marks'!D172="","",'Statement of Marks'!D172)</f>
        <v/>
      </c>
      <c r="E169" s="427" t="str">
        <f>IF('Statement of Marks'!E172="","",'Statement of Marks'!E172)</f>
        <v/>
      </c>
      <c r="F169" s="427" t="str">
        <f>IF('Statement of Marks'!F172="","",'Statement of Marks'!F172)</f>
        <v/>
      </c>
      <c r="G169" s="427" t="str">
        <f>IF('Statement of Marks'!G172="","",'Statement of Marks'!G172)</f>
        <v/>
      </c>
      <c r="H169" s="428" t="str">
        <f>IF(B169="","",IF('Statement of Marks'!GY172="","",'Statement of Marks'!GY172))</f>
        <v/>
      </c>
      <c r="I169" s="287" t="str">
        <f>IF(B169="","",IF('Statement of Marks'!HB172="","",'Statement of Marks'!HB172))</f>
        <v/>
      </c>
      <c r="J169" s="429" t="str">
        <f>IF(B169="","",IF('Statement of Marks'!HC172="","",'Statement of Marks'!HC172))</f>
        <v/>
      </c>
      <c r="K169" s="296" t="str">
        <f>IF(B169="","",'Statement of Marks'!FJ172)</f>
        <v/>
      </c>
      <c r="L169" s="296" t="str">
        <f>IF(B169="","",'Statement of Marks'!FM172)</f>
        <v/>
      </c>
      <c r="M169" s="296" t="str">
        <f>IF(B169="","",'Statement of Marks'!FP172)</f>
        <v/>
      </c>
      <c r="N169" s="296" t="str">
        <f>IF(B169="","",'Statement of Marks'!FW172)</f>
        <v/>
      </c>
      <c r="O169" s="296" t="str">
        <f>IF(B169="","",'Statement of Marks'!GD172)</f>
        <v/>
      </c>
      <c r="P169" s="296" t="str">
        <f>IF(B169="","",'Statement of Marks'!GK172)</f>
        <v/>
      </c>
      <c r="Q169" s="296" t="str">
        <f>IF(B169="","",'Statement of Marks'!GR172)</f>
        <v/>
      </c>
      <c r="R169" s="296" t="str">
        <f>IF(B169="","",'Statement of Marks'!FF172)</f>
        <v/>
      </c>
      <c r="S169" s="430" t="str">
        <f>IFERROR(IF(B169="","",CONCATENATE(IF(AND('Marks Entry'!U172="A"),'Marks Entry'!$U$2,IF(AND('Marks Entry'!U172="B"),'Marks Entry'!$Y$2,IF(AND('Marks Entry'!U172="C"),'Marks Entry'!$AA$2,""))),", ",IF(AND('Marks Entry'!AC172="A"),'Marks Entry'!$AC$2,IF(AND('Marks Entry'!AC172="B"),'Marks Entry'!$AG$2,IF(AND('Marks Entry'!AC172="C"),'Marks Entry'!$AI$2,""))),", ",IF(AND('Marks Entry'!AK172="A"),'Marks Entry'!$AK$2,IF(AND('Marks Entry'!AK172="B"),'Marks Entry'!$AO$2,IF(AND('Marks Entry'!AK172="C"),'Marks Entry'!$AQ$2,""))),", ",IF(AND('Statement of Marks'!DD172=""),"",IF(AND('Statement of Marks'!DD172="A"),'Marks Entry'!$AS$2,IF(AND('Statement of Marks'!DD172="B"),'Marks Entry'!$AW$2,IF(AND('Statement of Marks'!DD172="C"),'Marks Entry'!$AY$2,"")))))),"")</f>
        <v/>
      </c>
      <c r="T169" s="431" t="str">
        <f>IF(COUNTIF(K169:R169,"F")&gt;0,"",CONCATENATE('Statement of Marks'!GU172,'Statement of Marks'!GW172))</f>
        <v xml:space="preserve">           </v>
      </c>
      <c r="BG169" s="17">
        <f>IFERROR(VLOOKUP(B169,'Statement of Marks'!$B$8:'Statement of Marks'!$HI$207,41,0),"")</f>
        <v>15</v>
      </c>
      <c r="BH169" s="17" t="str">
        <f>IFERROR(VLOOKUP(B169,'Statement of Marks'!$B$8:'Statement of Marks'!$HI$207,66,0),"")</f>
        <v/>
      </c>
      <c r="BI169" s="17">
        <f>IFERROR(VLOOKUP(B169,'Statement of Marks'!$B$8:'Statement of Marks'!$HI$207,91,0),"")</f>
        <v>60</v>
      </c>
      <c r="BJ169" s="17" t="str">
        <f>IFERROR(VLOOKUP(B169,'Statement of Marks'!$B$8:'Statement of Marks'!$HI$207,117,0),"")</f>
        <v/>
      </c>
    </row>
    <row r="170" spans="1:62" ht="24.95" customHeight="1">
      <c r="A170" s="284">
        <f>IF('Statement of Marks'!A173="","",'Statement of Marks'!A173)</f>
        <v>166</v>
      </c>
      <c r="B170" s="284" t="str">
        <f>IF('Statement of Marks'!B173="","",'Statement of Marks'!B173)</f>
        <v/>
      </c>
      <c r="C170" s="284" t="str">
        <f>IF('Statement of Marks'!C173="","",'Statement of Marks'!C173)</f>
        <v/>
      </c>
      <c r="D170" s="426" t="str">
        <f>IF('Statement of Marks'!D173="","",'Statement of Marks'!D173)</f>
        <v/>
      </c>
      <c r="E170" s="427" t="str">
        <f>IF('Statement of Marks'!E173="","",'Statement of Marks'!E173)</f>
        <v/>
      </c>
      <c r="F170" s="427" t="str">
        <f>IF('Statement of Marks'!F173="","",'Statement of Marks'!F173)</f>
        <v/>
      </c>
      <c r="G170" s="427" t="str">
        <f>IF('Statement of Marks'!G173="","",'Statement of Marks'!G173)</f>
        <v/>
      </c>
      <c r="H170" s="428" t="str">
        <f>IF(B170="","",IF('Statement of Marks'!GY173="","",'Statement of Marks'!GY173))</f>
        <v/>
      </c>
      <c r="I170" s="287" t="str">
        <f>IF(B170="","",IF('Statement of Marks'!HB173="","",'Statement of Marks'!HB173))</f>
        <v/>
      </c>
      <c r="J170" s="429" t="str">
        <f>IF(B170="","",IF('Statement of Marks'!HC173="","",'Statement of Marks'!HC173))</f>
        <v/>
      </c>
      <c r="K170" s="296" t="str">
        <f>IF(B170="","",'Statement of Marks'!FJ173)</f>
        <v/>
      </c>
      <c r="L170" s="296" t="str">
        <f>IF(B170="","",'Statement of Marks'!FM173)</f>
        <v/>
      </c>
      <c r="M170" s="296" t="str">
        <f>IF(B170="","",'Statement of Marks'!FP173)</f>
        <v/>
      </c>
      <c r="N170" s="296" t="str">
        <f>IF(B170="","",'Statement of Marks'!FW173)</f>
        <v/>
      </c>
      <c r="O170" s="296" t="str">
        <f>IF(B170="","",'Statement of Marks'!GD173)</f>
        <v/>
      </c>
      <c r="P170" s="296" t="str">
        <f>IF(B170="","",'Statement of Marks'!GK173)</f>
        <v/>
      </c>
      <c r="Q170" s="296" t="str">
        <f>IF(B170="","",'Statement of Marks'!GR173)</f>
        <v/>
      </c>
      <c r="R170" s="296" t="str">
        <f>IF(B170="","",'Statement of Marks'!FF173)</f>
        <v/>
      </c>
      <c r="S170" s="430" t="str">
        <f>IFERROR(IF(B170="","",CONCATENATE(IF(AND('Marks Entry'!U173="A"),'Marks Entry'!$U$2,IF(AND('Marks Entry'!U173="B"),'Marks Entry'!$Y$2,IF(AND('Marks Entry'!U173="C"),'Marks Entry'!$AA$2,""))),", ",IF(AND('Marks Entry'!AC173="A"),'Marks Entry'!$AC$2,IF(AND('Marks Entry'!AC173="B"),'Marks Entry'!$AG$2,IF(AND('Marks Entry'!AC173="C"),'Marks Entry'!$AI$2,""))),", ",IF(AND('Marks Entry'!AK173="A"),'Marks Entry'!$AK$2,IF(AND('Marks Entry'!AK173="B"),'Marks Entry'!$AO$2,IF(AND('Marks Entry'!AK173="C"),'Marks Entry'!$AQ$2,""))),", ",IF(AND('Statement of Marks'!DD173=""),"",IF(AND('Statement of Marks'!DD173="A"),'Marks Entry'!$AS$2,IF(AND('Statement of Marks'!DD173="B"),'Marks Entry'!$AW$2,IF(AND('Statement of Marks'!DD173="C"),'Marks Entry'!$AY$2,"")))))),"")</f>
        <v/>
      </c>
      <c r="T170" s="431" t="str">
        <f>IF(COUNTIF(K170:R170,"F")&gt;0,"",CONCATENATE('Statement of Marks'!GU173,'Statement of Marks'!GW173))</f>
        <v xml:space="preserve">           </v>
      </c>
      <c r="BG170" s="17">
        <f>IFERROR(VLOOKUP(B170,'Statement of Marks'!$B$8:'Statement of Marks'!$HI$207,41,0),"")</f>
        <v>15</v>
      </c>
      <c r="BH170" s="17" t="str">
        <f>IFERROR(VLOOKUP(B170,'Statement of Marks'!$B$8:'Statement of Marks'!$HI$207,66,0),"")</f>
        <v/>
      </c>
      <c r="BI170" s="17">
        <f>IFERROR(VLOOKUP(B170,'Statement of Marks'!$B$8:'Statement of Marks'!$HI$207,91,0),"")</f>
        <v>60</v>
      </c>
      <c r="BJ170" s="17" t="str">
        <f>IFERROR(VLOOKUP(B170,'Statement of Marks'!$B$8:'Statement of Marks'!$HI$207,117,0),"")</f>
        <v/>
      </c>
    </row>
    <row r="171" spans="1:62" ht="24.95" customHeight="1">
      <c r="A171" s="284">
        <f>IF('Statement of Marks'!A174="","",'Statement of Marks'!A174)</f>
        <v>167</v>
      </c>
      <c r="B171" s="284" t="str">
        <f>IF('Statement of Marks'!B174="","",'Statement of Marks'!B174)</f>
        <v/>
      </c>
      <c r="C171" s="284" t="str">
        <f>IF('Statement of Marks'!C174="","",'Statement of Marks'!C174)</f>
        <v/>
      </c>
      <c r="D171" s="426" t="str">
        <f>IF('Statement of Marks'!D174="","",'Statement of Marks'!D174)</f>
        <v/>
      </c>
      <c r="E171" s="427" t="str">
        <f>IF('Statement of Marks'!E174="","",'Statement of Marks'!E174)</f>
        <v/>
      </c>
      <c r="F171" s="427" t="str">
        <f>IF('Statement of Marks'!F174="","",'Statement of Marks'!F174)</f>
        <v/>
      </c>
      <c r="G171" s="427" t="str">
        <f>IF('Statement of Marks'!G174="","",'Statement of Marks'!G174)</f>
        <v/>
      </c>
      <c r="H171" s="428" t="str">
        <f>IF(B171="","",IF('Statement of Marks'!GY174="","",'Statement of Marks'!GY174))</f>
        <v/>
      </c>
      <c r="I171" s="287" t="str">
        <f>IF(B171="","",IF('Statement of Marks'!HB174="","",'Statement of Marks'!HB174))</f>
        <v/>
      </c>
      <c r="J171" s="429" t="str">
        <f>IF(B171="","",IF('Statement of Marks'!HC174="","",'Statement of Marks'!HC174))</f>
        <v/>
      </c>
      <c r="K171" s="296" t="str">
        <f>IF(B171="","",'Statement of Marks'!FJ174)</f>
        <v/>
      </c>
      <c r="L171" s="296" t="str">
        <f>IF(B171="","",'Statement of Marks'!FM174)</f>
        <v/>
      </c>
      <c r="M171" s="296" t="str">
        <f>IF(B171="","",'Statement of Marks'!FP174)</f>
        <v/>
      </c>
      <c r="N171" s="296" t="str">
        <f>IF(B171="","",'Statement of Marks'!FW174)</f>
        <v/>
      </c>
      <c r="O171" s="296" t="str">
        <f>IF(B171="","",'Statement of Marks'!GD174)</f>
        <v/>
      </c>
      <c r="P171" s="296" t="str">
        <f>IF(B171="","",'Statement of Marks'!GK174)</f>
        <v/>
      </c>
      <c r="Q171" s="296" t="str">
        <f>IF(B171="","",'Statement of Marks'!GR174)</f>
        <v/>
      </c>
      <c r="R171" s="296" t="str">
        <f>IF(B171="","",'Statement of Marks'!FF174)</f>
        <v/>
      </c>
      <c r="S171" s="430" t="str">
        <f>IFERROR(IF(B171="","",CONCATENATE(IF(AND('Marks Entry'!U174="A"),'Marks Entry'!$U$2,IF(AND('Marks Entry'!U174="B"),'Marks Entry'!$Y$2,IF(AND('Marks Entry'!U174="C"),'Marks Entry'!$AA$2,""))),", ",IF(AND('Marks Entry'!AC174="A"),'Marks Entry'!$AC$2,IF(AND('Marks Entry'!AC174="B"),'Marks Entry'!$AG$2,IF(AND('Marks Entry'!AC174="C"),'Marks Entry'!$AI$2,""))),", ",IF(AND('Marks Entry'!AK174="A"),'Marks Entry'!$AK$2,IF(AND('Marks Entry'!AK174="B"),'Marks Entry'!$AO$2,IF(AND('Marks Entry'!AK174="C"),'Marks Entry'!$AQ$2,""))),", ",IF(AND('Statement of Marks'!DD174=""),"",IF(AND('Statement of Marks'!DD174="A"),'Marks Entry'!$AS$2,IF(AND('Statement of Marks'!DD174="B"),'Marks Entry'!$AW$2,IF(AND('Statement of Marks'!DD174="C"),'Marks Entry'!$AY$2,"")))))),"")</f>
        <v/>
      </c>
      <c r="T171" s="431" t="str">
        <f>IF(COUNTIF(K171:R171,"F")&gt;0,"",CONCATENATE('Statement of Marks'!GU174,'Statement of Marks'!GW174))</f>
        <v xml:space="preserve">           </v>
      </c>
      <c r="BG171" s="17">
        <f>IFERROR(VLOOKUP(B171,'Statement of Marks'!$B$8:'Statement of Marks'!$HI$207,41,0),"")</f>
        <v>15</v>
      </c>
      <c r="BH171" s="17" t="str">
        <f>IFERROR(VLOOKUP(B171,'Statement of Marks'!$B$8:'Statement of Marks'!$HI$207,66,0),"")</f>
        <v/>
      </c>
      <c r="BI171" s="17">
        <f>IFERROR(VLOOKUP(B171,'Statement of Marks'!$B$8:'Statement of Marks'!$HI$207,91,0),"")</f>
        <v>60</v>
      </c>
      <c r="BJ171" s="17" t="str">
        <f>IFERROR(VLOOKUP(B171,'Statement of Marks'!$B$8:'Statement of Marks'!$HI$207,117,0),"")</f>
        <v/>
      </c>
    </row>
    <row r="172" spans="1:62" ht="24.95" customHeight="1">
      <c r="A172" s="284">
        <f>IF('Statement of Marks'!A175="","",'Statement of Marks'!A175)</f>
        <v>168</v>
      </c>
      <c r="B172" s="284" t="str">
        <f>IF('Statement of Marks'!B175="","",'Statement of Marks'!B175)</f>
        <v/>
      </c>
      <c r="C172" s="284" t="str">
        <f>IF('Statement of Marks'!C175="","",'Statement of Marks'!C175)</f>
        <v/>
      </c>
      <c r="D172" s="426" t="str">
        <f>IF('Statement of Marks'!D175="","",'Statement of Marks'!D175)</f>
        <v/>
      </c>
      <c r="E172" s="427" t="str">
        <f>IF('Statement of Marks'!E175="","",'Statement of Marks'!E175)</f>
        <v/>
      </c>
      <c r="F172" s="427" t="str">
        <f>IF('Statement of Marks'!F175="","",'Statement of Marks'!F175)</f>
        <v/>
      </c>
      <c r="G172" s="427" t="str">
        <f>IF('Statement of Marks'!G175="","",'Statement of Marks'!G175)</f>
        <v/>
      </c>
      <c r="H172" s="428" t="str">
        <f>IF(B172="","",IF('Statement of Marks'!GY175="","",'Statement of Marks'!GY175))</f>
        <v/>
      </c>
      <c r="I172" s="287" t="str">
        <f>IF(B172="","",IF('Statement of Marks'!HB175="","",'Statement of Marks'!HB175))</f>
        <v/>
      </c>
      <c r="J172" s="429" t="str">
        <f>IF(B172="","",IF('Statement of Marks'!HC175="","",'Statement of Marks'!HC175))</f>
        <v/>
      </c>
      <c r="K172" s="296" t="str">
        <f>IF(B172="","",'Statement of Marks'!FJ175)</f>
        <v/>
      </c>
      <c r="L172" s="296" t="str">
        <f>IF(B172="","",'Statement of Marks'!FM175)</f>
        <v/>
      </c>
      <c r="M172" s="296" t="str">
        <f>IF(B172="","",'Statement of Marks'!FP175)</f>
        <v/>
      </c>
      <c r="N172" s="296" t="str">
        <f>IF(B172="","",'Statement of Marks'!FW175)</f>
        <v/>
      </c>
      <c r="O172" s="296" t="str">
        <f>IF(B172="","",'Statement of Marks'!GD175)</f>
        <v/>
      </c>
      <c r="P172" s="296" t="str">
        <f>IF(B172="","",'Statement of Marks'!GK175)</f>
        <v/>
      </c>
      <c r="Q172" s="296" t="str">
        <f>IF(B172="","",'Statement of Marks'!GR175)</f>
        <v/>
      </c>
      <c r="R172" s="296" t="str">
        <f>IF(B172="","",'Statement of Marks'!FF175)</f>
        <v/>
      </c>
      <c r="S172" s="430" t="str">
        <f>IFERROR(IF(B172="","",CONCATENATE(IF(AND('Marks Entry'!U175="A"),'Marks Entry'!$U$2,IF(AND('Marks Entry'!U175="B"),'Marks Entry'!$Y$2,IF(AND('Marks Entry'!U175="C"),'Marks Entry'!$AA$2,""))),", ",IF(AND('Marks Entry'!AC175="A"),'Marks Entry'!$AC$2,IF(AND('Marks Entry'!AC175="B"),'Marks Entry'!$AG$2,IF(AND('Marks Entry'!AC175="C"),'Marks Entry'!$AI$2,""))),", ",IF(AND('Marks Entry'!AK175="A"),'Marks Entry'!$AK$2,IF(AND('Marks Entry'!AK175="B"),'Marks Entry'!$AO$2,IF(AND('Marks Entry'!AK175="C"),'Marks Entry'!$AQ$2,""))),", ",IF(AND('Statement of Marks'!DD175=""),"",IF(AND('Statement of Marks'!DD175="A"),'Marks Entry'!$AS$2,IF(AND('Statement of Marks'!DD175="B"),'Marks Entry'!$AW$2,IF(AND('Statement of Marks'!DD175="C"),'Marks Entry'!$AY$2,"")))))),"")</f>
        <v/>
      </c>
      <c r="T172" s="431" t="str">
        <f>IF(COUNTIF(K172:R172,"F")&gt;0,"",CONCATENATE('Statement of Marks'!GU175,'Statement of Marks'!GW175))</f>
        <v xml:space="preserve">           </v>
      </c>
      <c r="BG172" s="17">
        <f>IFERROR(VLOOKUP(B172,'Statement of Marks'!$B$8:'Statement of Marks'!$HI$207,41,0),"")</f>
        <v>15</v>
      </c>
      <c r="BH172" s="17" t="str">
        <f>IFERROR(VLOOKUP(B172,'Statement of Marks'!$B$8:'Statement of Marks'!$HI$207,66,0),"")</f>
        <v/>
      </c>
      <c r="BI172" s="17">
        <f>IFERROR(VLOOKUP(B172,'Statement of Marks'!$B$8:'Statement of Marks'!$HI$207,91,0),"")</f>
        <v>60</v>
      </c>
      <c r="BJ172" s="17" t="str">
        <f>IFERROR(VLOOKUP(B172,'Statement of Marks'!$B$8:'Statement of Marks'!$HI$207,117,0),"")</f>
        <v/>
      </c>
    </row>
    <row r="173" spans="1:62" ht="24.95" customHeight="1">
      <c r="A173" s="284">
        <f>IF('Statement of Marks'!A176="","",'Statement of Marks'!A176)</f>
        <v>169</v>
      </c>
      <c r="B173" s="284" t="str">
        <f>IF('Statement of Marks'!B176="","",'Statement of Marks'!B176)</f>
        <v/>
      </c>
      <c r="C173" s="284" t="str">
        <f>IF('Statement of Marks'!C176="","",'Statement of Marks'!C176)</f>
        <v/>
      </c>
      <c r="D173" s="426" t="str">
        <f>IF('Statement of Marks'!D176="","",'Statement of Marks'!D176)</f>
        <v/>
      </c>
      <c r="E173" s="427" t="str">
        <f>IF('Statement of Marks'!E176="","",'Statement of Marks'!E176)</f>
        <v/>
      </c>
      <c r="F173" s="427" t="str">
        <f>IF('Statement of Marks'!F176="","",'Statement of Marks'!F176)</f>
        <v/>
      </c>
      <c r="G173" s="427" t="str">
        <f>IF('Statement of Marks'!G176="","",'Statement of Marks'!G176)</f>
        <v/>
      </c>
      <c r="H173" s="428" t="str">
        <f>IF(B173="","",IF('Statement of Marks'!GY176="","",'Statement of Marks'!GY176))</f>
        <v/>
      </c>
      <c r="I173" s="287" t="str">
        <f>IF(B173="","",IF('Statement of Marks'!HB176="","",'Statement of Marks'!HB176))</f>
        <v/>
      </c>
      <c r="J173" s="429" t="str">
        <f>IF(B173="","",IF('Statement of Marks'!HC176="","",'Statement of Marks'!HC176))</f>
        <v/>
      </c>
      <c r="K173" s="296" t="str">
        <f>IF(B173="","",'Statement of Marks'!FJ176)</f>
        <v/>
      </c>
      <c r="L173" s="296" t="str">
        <f>IF(B173="","",'Statement of Marks'!FM176)</f>
        <v/>
      </c>
      <c r="M173" s="296" t="str">
        <f>IF(B173="","",'Statement of Marks'!FP176)</f>
        <v/>
      </c>
      <c r="N173" s="296" t="str">
        <f>IF(B173="","",'Statement of Marks'!FW176)</f>
        <v/>
      </c>
      <c r="O173" s="296" t="str">
        <f>IF(B173="","",'Statement of Marks'!GD176)</f>
        <v/>
      </c>
      <c r="P173" s="296" t="str">
        <f>IF(B173="","",'Statement of Marks'!GK176)</f>
        <v/>
      </c>
      <c r="Q173" s="296" t="str">
        <f>IF(B173="","",'Statement of Marks'!GR176)</f>
        <v/>
      </c>
      <c r="R173" s="296" t="str">
        <f>IF(B173="","",'Statement of Marks'!FF176)</f>
        <v/>
      </c>
      <c r="S173" s="430" t="str">
        <f>IFERROR(IF(B173="","",CONCATENATE(IF(AND('Marks Entry'!U176="A"),'Marks Entry'!$U$2,IF(AND('Marks Entry'!U176="B"),'Marks Entry'!$Y$2,IF(AND('Marks Entry'!U176="C"),'Marks Entry'!$AA$2,""))),", ",IF(AND('Marks Entry'!AC176="A"),'Marks Entry'!$AC$2,IF(AND('Marks Entry'!AC176="B"),'Marks Entry'!$AG$2,IF(AND('Marks Entry'!AC176="C"),'Marks Entry'!$AI$2,""))),", ",IF(AND('Marks Entry'!AK176="A"),'Marks Entry'!$AK$2,IF(AND('Marks Entry'!AK176="B"),'Marks Entry'!$AO$2,IF(AND('Marks Entry'!AK176="C"),'Marks Entry'!$AQ$2,""))),", ",IF(AND('Statement of Marks'!DD176=""),"",IF(AND('Statement of Marks'!DD176="A"),'Marks Entry'!$AS$2,IF(AND('Statement of Marks'!DD176="B"),'Marks Entry'!$AW$2,IF(AND('Statement of Marks'!DD176="C"),'Marks Entry'!$AY$2,"")))))),"")</f>
        <v/>
      </c>
      <c r="T173" s="431" t="str">
        <f>IF(COUNTIF(K173:R173,"F")&gt;0,"",CONCATENATE('Statement of Marks'!GU176,'Statement of Marks'!GW176))</f>
        <v xml:space="preserve">           </v>
      </c>
      <c r="BG173" s="17">
        <f>IFERROR(VLOOKUP(B173,'Statement of Marks'!$B$8:'Statement of Marks'!$HI$207,41,0),"")</f>
        <v>15</v>
      </c>
      <c r="BH173" s="17" t="str">
        <f>IFERROR(VLOOKUP(B173,'Statement of Marks'!$B$8:'Statement of Marks'!$HI$207,66,0),"")</f>
        <v/>
      </c>
      <c r="BI173" s="17">
        <f>IFERROR(VLOOKUP(B173,'Statement of Marks'!$B$8:'Statement of Marks'!$HI$207,91,0),"")</f>
        <v>60</v>
      </c>
      <c r="BJ173" s="17" t="str">
        <f>IFERROR(VLOOKUP(B173,'Statement of Marks'!$B$8:'Statement of Marks'!$HI$207,117,0),"")</f>
        <v/>
      </c>
    </row>
    <row r="174" spans="1:62" ht="24.95" customHeight="1">
      <c r="A174" s="284">
        <f>IF('Statement of Marks'!A177="","",'Statement of Marks'!A177)</f>
        <v>170</v>
      </c>
      <c r="B174" s="284" t="str">
        <f>IF('Statement of Marks'!B177="","",'Statement of Marks'!B177)</f>
        <v/>
      </c>
      <c r="C174" s="284" t="str">
        <f>IF('Statement of Marks'!C177="","",'Statement of Marks'!C177)</f>
        <v/>
      </c>
      <c r="D174" s="426" t="str">
        <f>IF('Statement of Marks'!D177="","",'Statement of Marks'!D177)</f>
        <v/>
      </c>
      <c r="E174" s="427" t="str">
        <f>IF('Statement of Marks'!E177="","",'Statement of Marks'!E177)</f>
        <v/>
      </c>
      <c r="F174" s="427" t="str">
        <f>IF('Statement of Marks'!F177="","",'Statement of Marks'!F177)</f>
        <v/>
      </c>
      <c r="G174" s="427" t="str">
        <f>IF('Statement of Marks'!G177="","",'Statement of Marks'!G177)</f>
        <v/>
      </c>
      <c r="H174" s="428" t="str">
        <f>IF(B174="","",IF('Statement of Marks'!GY177="","",'Statement of Marks'!GY177))</f>
        <v/>
      </c>
      <c r="I174" s="287" t="str">
        <f>IF(B174="","",IF('Statement of Marks'!HB177="","",'Statement of Marks'!HB177))</f>
        <v/>
      </c>
      <c r="J174" s="429" t="str">
        <f>IF(B174="","",IF('Statement of Marks'!HC177="","",'Statement of Marks'!HC177))</f>
        <v/>
      </c>
      <c r="K174" s="296" t="str">
        <f>IF(B174="","",'Statement of Marks'!FJ177)</f>
        <v/>
      </c>
      <c r="L174" s="296" t="str">
        <f>IF(B174="","",'Statement of Marks'!FM177)</f>
        <v/>
      </c>
      <c r="M174" s="296" t="str">
        <f>IF(B174="","",'Statement of Marks'!FP177)</f>
        <v/>
      </c>
      <c r="N174" s="296" t="str">
        <f>IF(B174="","",'Statement of Marks'!FW177)</f>
        <v/>
      </c>
      <c r="O174" s="296" t="str">
        <f>IF(B174="","",'Statement of Marks'!GD177)</f>
        <v/>
      </c>
      <c r="P174" s="296" t="str">
        <f>IF(B174="","",'Statement of Marks'!GK177)</f>
        <v/>
      </c>
      <c r="Q174" s="296" t="str">
        <f>IF(B174="","",'Statement of Marks'!GR177)</f>
        <v/>
      </c>
      <c r="R174" s="296" t="str">
        <f>IF(B174="","",'Statement of Marks'!FF177)</f>
        <v/>
      </c>
      <c r="S174" s="430" t="str">
        <f>IFERROR(IF(B174="","",CONCATENATE(IF(AND('Marks Entry'!U177="A"),'Marks Entry'!$U$2,IF(AND('Marks Entry'!U177="B"),'Marks Entry'!$Y$2,IF(AND('Marks Entry'!U177="C"),'Marks Entry'!$AA$2,""))),", ",IF(AND('Marks Entry'!AC177="A"),'Marks Entry'!$AC$2,IF(AND('Marks Entry'!AC177="B"),'Marks Entry'!$AG$2,IF(AND('Marks Entry'!AC177="C"),'Marks Entry'!$AI$2,""))),", ",IF(AND('Marks Entry'!AK177="A"),'Marks Entry'!$AK$2,IF(AND('Marks Entry'!AK177="B"),'Marks Entry'!$AO$2,IF(AND('Marks Entry'!AK177="C"),'Marks Entry'!$AQ$2,""))),", ",IF(AND('Statement of Marks'!DD177=""),"",IF(AND('Statement of Marks'!DD177="A"),'Marks Entry'!$AS$2,IF(AND('Statement of Marks'!DD177="B"),'Marks Entry'!$AW$2,IF(AND('Statement of Marks'!DD177="C"),'Marks Entry'!$AY$2,"")))))),"")</f>
        <v/>
      </c>
      <c r="T174" s="431" t="str">
        <f>IF(COUNTIF(K174:R174,"F")&gt;0,"",CONCATENATE('Statement of Marks'!GU177,'Statement of Marks'!GW177))</f>
        <v xml:space="preserve">           </v>
      </c>
      <c r="BG174" s="17">
        <f>IFERROR(VLOOKUP(B174,'Statement of Marks'!$B$8:'Statement of Marks'!$HI$207,41,0),"")</f>
        <v>15</v>
      </c>
      <c r="BH174" s="17" t="str">
        <f>IFERROR(VLOOKUP(B174,'Statement of Marks'!$B$8:'Statement of Marks'!$HI$207,66,0),"")</f>
        <v/>
      </c>
      <c r="BI174" s="17">
        <f>IFERROR(VLOOKUP(B174,'Statement of Marks'!$B$8:'Statement of Marks'!$HI$207,91,0),"")</f>
        <v>60</v>
      </c>
      <c r="BJ174" s="17" t="str">
        <f>IFERROR(VLOOKUP(B174,'Statement of Marks'!$B$8:'Statement of Marks'!$HI$207,117,0),"")</f>
        <v/>
      </c>
    </row>
    <row r="175" spans="1:62" ht="24.95" customHeight="1">
      <c r="A175" s="284">
        <f>IF('Statement of Marks'!A178="","",'Statement of Marks'!A178)</f>
        <v>171</v>
      </c>
      <c r="B175" s="284" t="str">
        <f>IF('Statement of Marks'!B178="","",'Statement of Marks'!B178)</f>
        <v/>
      </c>
      <c r="C175" s="284" t="str">
        <f>IF('Statement of Marks'!C178="","",'Statement of Marks'!C178)</f>
        <v/>
      </c>
      <c r="D175" s="426" t="str">
        <f>IF('Statement of Marks'!D178="","",'Statement of Marks'!D178)</f>
        <v/>
      </c>
      <c r="E175" s="427" t="str">
        <f>IF('Statement of Marks'!E178="","",'Statement of Marks'!E178)</f>
        <v/>
      </c>
      <c r="F175" s="427" t="str">
        <f>IF('Statement of Marks'!F178="","",'Statement of Marks'!F178)</f>
        <v/>
      </c>
      <c r="G175" s="427" t="str">
        <f>IF('Statement of Marks'!G178="","",'Statement of Marks'!G178)</f>
        <v/>
      </c>
      <c r="H175" s="428" t="str">
        <f>IF(B175="","",IF('Statement of Marks'!GY178="","",'Statement of Marks'!GY178))</f>
        <v/>
      </c>
      <c r="I175" s="287" t="str">
        <f>IF(B175="","",IF('Statement of Marks'!HB178="","",'Statement of Marks'!HB178))</f>
        <v/>
      </c>
      <c r="J175" s="429" t="str">
        <f>IF(B175="","",IF('Statement of Marks'!HC178="","",'Statement of Marks'!HC178))</f>
        <v/>
      </c>
      <c r="K175" s="296" t="str">
        <f>IF(B175="","",'Statement of Marks'!FJ178)</f>
        <v/>
      </c>
      <c r="L175" s="296" t="str">
        <f>IF(B175="","",'Statement of Marks'!FM178)</f>
        <v/>
      </c>
      <c r="M175" s="296" t="str">
        <f>IF(B175="","",'Statement of Marks'!FP178)</f>
        <v/>
      </c>
      <c r="N175" s="296" t="str">
        <f>IF(B175="","",'Statement of Marks'!FW178)</f>
        <v/>
      </c>
      <c r="O175" s="296" t="str">
        <f>IF(B175="","",'Statement of Marks'!GD178)</f>
        <v/>
      </c>
      <c r="P175" s="296" t="str">
        <f>IF(B175="","",'Statement of Marks'!GK178)</f>
        <v/>
      </c>
      <c r="Q175" s="296" t="str">
        <f>IF(B175="","",'Statement of Marks'!GR178)</f>
        <v/>
      </c>
      <c r="R175" s="296" t="str">
        <f>IF(B175="","",'Statement of Marks'!FF178)</f>
        <v/>
      </c>
      <c r="S175" s="430" t="str">
        <f>IFERROR(IF(B175="","",CONCATENATE(IF(AND('Marks Entry'!U178="A"),'Marks Entry'!$U$2,IF(AND('Marks Entry'!U178="B"),'Marks Entry'!$Y$2,IF(AND('Marks Entry'!U178="C"),'Marks Entry'!$AA$2,""))),", ",IF(AND('Marks Entry'!AC178="A"),'Marks Entry'!$AC$2,IF(AND('Marks Entry'!AC178="B"),'Marks Entry'!$AG$2,IF(AND('Marks Entry'!AC178="C"),'Marks Entry'!$AI$2,""))),", ",IF(AND('Marks Entry'!AK178="A"),'Marks Entry'!$AK$2,IF(AND('Marks Entry'!AK178="B"),'Marks Entry'!$AO$2,IF(AND('Marks Entry'!AK178="C"),'Marks Entry'!$AQ$2,""))),", ",IF(AND('Statement of Marks'!DD178=""),"",IF(AND('Statement of Marks'!DD178="A"),'Marks Entry'!$AS$2,IF(AND('Statement of Marks'!DD178="B"),'Marks Entry'!$AW$2,IF(AND('Statement of Marks'!DD178="C"),'Marks Entry'!$AY$2,"")))))),"")</f>
        <v/>
      </c>
      <c r="T175" s="431" t="str">
        <f>IF(COUNTIF(K175:R175,"F")&gt;0,"",CONCATENATE('Statement of Marks'!GU178,'Statement of Marks'!GW178))</f>
        <v xml:space="preserve">           </v>
      </c>
      <c r="BG175" s="17">
        <f>IFERROR(VLOOKUP(B175,'Statement of Marks'!$B$8:'Statement of Marks'!$HI$207,41,0),"")</f>
        <v>15</v>
      </c>
      <c r="BH175" s="17" t="str">
        <f>IFERROR(VLOOKUP(B175,'Statement of Marks'!$B$8:'Statement of Marks'!$HI$207,66,0),"")</f>
        <v/>
      </c>
      <c r="BI175" s="17">
        <f>IFERROR(VLOOKUP(B175,'Statement of Marks'!$B$8:'Statement of Marks'!$HI$207,91,0),"")</f>
        <v>60</v>
      </c>
      <c r="BJ175" s="17" t="str">
        <f>IFERROR(VLOOKUP(B175,'Statement of Marks'!$B$8:'Statement of Marks'!$HI$207,117,0),"")</f>
        <v/>
      </c>
    </row>
    <row r="176" spans="1:62" ht="24.95" customHeight="1">
      <c r="A176" s="284">
        <f>IF('Statement of Marks'!A179="","",'Statement of Marks'!A179)</f>
        <v>172</v>
      </c>
      <c r="B176" s="284" t="str">
        <f>IF('Statement of Marks'!B179="","",'Statement of Marks'!B179)</f>
        <v/>
      </c>
      <c r="C176" s="284" t="str">
        <f>IF('Statement of Marks'!C179="","",'Statement of Marks'!C179)</f>
        <v/>
      </c>
      <c r="D176" s="426" t="str">
        <f>IF('Statement of Marks'!D179="","",'Statement of Marks'!D179)</f>
        <v/>
      </c>
      <c r="E176" s="427" t="str">
        <f>IF('Statement of Marks'!E179="","",'Statement of Marks'!E179)</f>
        <v/>
      </c>
      <c r="F176" s="427" t="str">
        <f>IF('Statement of Marks'!F179="","",'Statement of Marks'!F179)</f>
        <v/>
      </c>
      <c r="G176" s="427" t="str">
        <f>IF('Statement of Marks'!G179="","",'Statement of Marks'!G179)</f>
        <v/>
      </c>
      <c r="H176" s="428" t="str">
        <f>IF(B176="","",IF('Statement of Marks'!GY179="","",'Statement of Marks'!GY179))</f>
        <v/>
      </c>
      <c r="I176" s="287" t="str">
        <f>IF(B176="","",IF('Statement of Marks'!HB179="","",'Statement of Marks'!HB179))</f>
        <v/>
      </c>
      <c r="J176" s="429" t="str">
        <f>IF(B176="","",IF('Statement of Marks'!HC179="","",'Statement of Marks'!HC179))</f>
        <v/>
      </c>
      <c r="K176" s="296" t="str">
        <f>IF(B176="","",'Statement of Marks'!FJ179)</f>
        <v/>
      </c>
      <c r="L176" s="296" t="str">
        <f>IF(B176="","",'Statement of Marks'!FM179)</f>
        <v/>
      </c>
      <c r="M176" s="296" t="str">
        <f>IF(B176="","",'Statement of Marks'!FP179)</f>
        <v/>
      </c>
      <c r="N176" s="296" t="str">
        <f>IF(B176="","",'Statement of Marks'!FW179)</f>
        <v/>
      </c>
      <c r="O176" s="296" t="str">
        <f>IF(B176="","",'Statement of Marks'!GD179)</f>
        <v/>
      </c>
      <c r="P176" s="296" t="str">
        <f>IF(B176="","",'Statement of Marks'!GK179)</f>
        <v/>
      </c>
      <c r="Q176" s="296" t="str">
        <f>IF(B176="","",'Statement of Marks'!GR179)</f>
        <v/>
      </c>
      <c r="R176" s="296" t="str">
        <f>IF(B176="","",'Statement of Marks'!FF179)</f>
        <v/>
      </c>
      <c r="S176" s="430" t="str">
        <f>IFERROR(IF(B176="","",CONCATENATE(IF(AND('Marks Entry'!U179="A"),'Marks Entry'!$U$2,IF(AND('Marks Entry'!U179="B"),'Marks Entry'!$Y$2,IF(AND('Marks Entry'!U179="C"),'Marks Entry'!$AA$2,""))),", ",IF(AND('Marks Entry'!AC179="A"),'Marks Entry'!$AC$2,IF(AND('Marks Entry'!AC179="B"),'Marks Entry'!$AG$2,IF(AND('Marks Entry'!AC179="C"),'Marks Entry'!$AI$2,""))),", ",IF(AND('Marks Entry'!AK179="A"),'Marks Entry'!$AK$2,IF(AND('Marks Entry'!AK179="B"),'Marks Entry'!$AO$2,IF(AND('Marks Entry'!AK179="C"),'Marks Entry'!$AQ$2,""))),", ",IF(AND('Statement of Marks'!DD179=""),"",IF(AND('Statement of Marks'!DD179="A"),'Marks Entry'!$AS$2,IF(AND('Statement of Marks'!DD179="B"),'Marks Entry'!$AW$2,IF(AND('Statement of Marks'!DD179="C"),'Marks Entry'!$AY$2,"")))))),"")</f>
        <v/>
      </c>
      <c r="T176" s="431" t="str">
        <f>IF(COUNTIF(K176:R176,"F")&gt;0,"",CONCATENATE('Statement of Marks'!GU179,'Statement of Marks'!GW179))</f>
        <v xml:space="preserve">           </v>
      </c>
      <c r="BG176" s="17">
        <f>IFERROR(VLOOKUP(B176,'Statement of Marks'!$B$8:'Statement of Marks'!$HI$207,41,0),"")</f>
        <v>15</v>
      </c>
      <c r="BH176" s="17" t="str">
        <f>IFERROR(VLOOKUP(B176,'Statement of Marks'!$B$8:'Statement of Marks'!$HI$207,66,0),"")</f>
        <v/>
      </c>
      <c r="BI176" s="17">
        <f>IFERROR(VLOOKUP(B176,'Statement of Marks'!$B$8:'Statement of Marks'!$HI$207,91,0),"")</f>
        <v>60</v>
      </c>
      <c r="BJ176" s="17" t="str">
        <f>IFERROR(VLOOKUP(B176,'Statement of Marks'!$B$8:'Statement of Marks'!$HI$207,117,0),"")</f>
        <v/>
      </c>
    </row>
    <row r="177" spans="1:62" ht="24.95" customHeight="1">
      <c r="A177" s="284">
        <f>IF('Statement of Marks'!A180="","",'Statement of Marks'!A180)</f>
        <v>173</v>
      </c>
      <c r="B177" s="284" t="str">
        <f>IF('Statement of Marks'!B180="","",'Statement of Marks'!B180)</f>
        <v/>
      </c>
      <c r="C177" s="284" t="str">
        <f>IF('Statement of Marks'!C180="","",'Statement of Marks'!C180)</f>
        <v/>
      </c>
      <c r="D177" s="426" t="str">
        <f>IF('Statement of Marks'!D180="","",'Statement of Marks'!D180)</f>
        <v/>
      </c>
      <c r="E177" s="427" t="str">
        <f>IF('Statement of Marks'!E180="","",'Statement of Marks'!E180)</f>
        <v/>
      </c>
      <c r="F177" s="427" t="str">
        <f>IF('Statement of Marks'!F180="","",'Statement of Marks'!F180)</f>
        <v/>
      </c>
      <c r="G177" s="427" t="str">
        <f>IF('Statement of Marks'!G180="","",'Statement of Marks'!G180)</f>
        <v/>
      </c>
      <c r="H177" s="428" t="str">
        <f>IF(B177="","",IF('Statement of Marks'!GY180="","",'Statement of Marks'!GY180))</f>
        <v/>
      </c>
      <c r="I177" s="287" t="str">
        <f>IF(B177="","",IF('Statement of Marks'!HB180="","",'Statement of Marks'!HB180))</f>
        <v/>
      </c>
      <c r="J177" s="429" t="str">
        <f>IF(B177="","",IF('Statement of Marks'!HC180="","",'Statement of Marks'!HC180))</f>
        <v/>
      </c>
      <c r="K177" s="296" t="str">
        <f>IF(B177="","",'Statement of Marks'!FJ180)</f>
        <v/>
      </c>
      <c r="L177" s="296" t="str">
        <f>IF(B177="","",'Statement of Marks'!FM180)</f>
        <v/>
      </c>
      <c r="M177" s="296" t="str">
        <f>IF(B177="","",'Statement of Marks'!FP180)</f>
        <v/>
      </c>
      <c r="N177" s="296" t="str">
        <f>IF(B177="","",'Statement of Marks'!FW180)</f>
        <v/>
      </c>
      <c r="O177" s="296" t="str">
        <f>IF(B177="","",'Statement of Marks'!GD180)</f>
        <v/>
      </c>
      <c r="P177" s="296" t="str">
        <f>IF(B177="","",'Statement of Marks'!GK180)</f>
        <v/>
      </c>
      <c r="Q177" s="296" t="str">
        <f>IF(B177="","",'Statement of Marks'!GR180)</f>
        <v/>
      </c>
      <c r="R177" s="296" t="str">
        <f>IF(B177="","",'Statement of Marks'!FF180)</f>
        <v/>
      </c>
      <c r="S177" s="430" t="str">
        <f>IFERROR(IF(B177="","",CONCATENATE(IF(AND('Marks Entry'!U180="A"),'Marks Entry'!$U$2,IF(AND('Marks Entry'!U180="B"),'Marks Entry'!$Y$2,IF(AND('Marks Entry'!U180="C"),'Marks Entry'!$AA$2,""))),", ",IF(AND('Marks Entry'!AC180="A"),'Marks Entry'!$AC$2,IF(AND('Marks Entry'!AC180="B"),'Marks Entry'!$AG$2,IF(AND('Marks Entry'!AC180="C"),'Marks Entry'!$AI$2,""))),", ",IF(AND('Marks Entry'!AK180="A"),'Marks Entry'!$AK$2,IF(AND('Marks Entry'!AK180="B"),'Marks Entry'!$AO$2,IF(AND('Marks Entry'!AK180="C"),'Marks Entry'!$AQ$2,""))),", ",IF(AND('Statement of Marks'!DD180=""),"",IF(AND('Statement of Marks'!DD180="A"),'Marks Entry'!$AS$2,IF(AND('Statement of Marks'!DD180="B"),'Marks Entry'!$AW$2,IF(AND('Statement of Marks'!DD180="C"),'Marks Entry'!$AY$2,"")))))),"")</f>
        <v/>
      </c>
      <c r="T177" s="431" t="str">
        <f>IF(COUNTIF(K177:R177,"F")&gt;0,"",CONCATENATE('Statement of Marks'!GU180,'Statement of Marks'!GW180))</f>
        <v xml:space="preserve">           </v>
      </c>
      <c r="BG177" s="17">
        <f>IFERROR(VLOOKUP(B177,'Statement of Marks'!$B$8:'Statement of Marks'!$HI$207,41,0),"")</f>
        <v>15</v>
      </c>
      <c r="BH177" s="17" t="str">
        <f>IFERROR(VLOOKUP(B177,'Statement of Marks'!$B$8:'Statement of Marks'!$HI$207,66,0),"")</f>
        <v/>
      </c>
      <c r="BI177" s="17">
        <f>IFERROR(VLOOKUP(B177,'Statement of Marks'!$B$8:'Statement of Marks'!$HI$207,91,0),"")</f>
        <v>60</v>
      </c>
      <c r="BJ177" s="17" t="str">
        <f>IFERROR(VLOOKUP(B177,'Statement of Marks'!$B$8:'Statement of Marks'!$HI$207,117,0),"")</f>
        <v/>
      </c>
    </row>
    <row r="178" spans="1:62" ht="24.95" customHeight="1">
      <c r="A178" s="284">
        <f>IF('Statement of Marks'!A181="","",'Statement of Marks'!A181)</f>
        <v>174</v>
      </c>
      <c r="B178" s="284" t="str">
        <f>IF('Statement of Marks'!B181="","",'Statement of Marks'!B181)</f>
        <v/>
      </c>
      <c r="C178" s="284" t="str">
        <f>IF('Statement of Marks'!C181="","",'Statement of Marks'!C181)</f>
        <v/>
      </c>
      <c r="D178" s="426" t="str">
        <f>IF('Statement of Marks'!D181="","",'Statement of Marks'!D181)</f>
        <v/>
      </c>
      <c r="E178" s="427" t="str">
        <f>IF('Statement of Marks'!E181="","",'Statement of Marks'!E181)</f>
        <v/>
      </c>
      <c r="F178" s="427" t="str">
        <f>IF('Statement of Marks'!F181="","",'Statement of Marks'!F181)</f>
        <v/>
      </c>
      <c r="G178" s="427" t="str">
        <f>IF('Statement of Marks'!G181="","",'Statement of Marks'!G181)</f>
        <v/>
      </c>
      <c r="H178" s="428" t="str">
        <f>IF(B178="","",IF('Statement of Marks'!GY181="","",'Statement of Marks'!GY181))</f>
        <v/>
      </c>
      <c r="I178" s="287" t="str">
        <f>IF(B178="","",IF('Statement of Marks'!HB181="","",'Statement of Marks'!HB181))</f>
        <v/>
      </c>
      <c r="J178" s="429" t="str">
        <f>IF(B178="","",IF('Statement of Marks'!HC181="","",'Statement of Marks'!HC181))</f>
        <v/>
      </c>
      <c r="K178" s="296" t="str">
        <f>IF(B178="","",'Statement of Marks'!FJ181)</f>
        <v/>
      </c>
      <c r="L178" s="296" t="str">
        <f>IF(B178="","",'Statement of Marks'!FM181)</f>
        <v/>
      </c>
      <c r="M178" s="296" t="str">
        <f>IF(B178="","",'Statement of Marks'!FP181)</f>
        <v/>
      </c>
      <c r="N178" s="296" t="str">
        <f>IF(B178="","",'Statement of Marks'!FW181)</f>
        <v/>
      </c>
      <c r="O178" s="296" t="str">
        <f>IF(B178="","",'Statement of Marks'!GD181)</f>
        <v/>
      </c>
      <c r="P178" s="296" t="str">
        <f>IF(B178="","",'Statement of Marks'!GK181)</f>
        <v/>
      </c>
      <c r="Q178" s="296" t="str">
        <f>IF(B178="","",'Statement of Marks'!GR181)</f>
        <v/>
      </c>
      <c r="R178" s="296" t="str">
        <f>IF(B178="","",'Statement of Marks'!FF181)</f>
        <v/>
      </c>
      <c r="S178" s="430" t="str">
        <f>IFERROR(IF(B178="","",CONCATENATE(IF(AND('Marks Entry'!U181="A"),'Marks Entry'!$U$2,IF(AND('Marks Entry'!U181="B"),'Marks Entry'!$Y$2,IF(AND('Marks Entry'!U181="C"),'Marks Entry'!$AA$2,""))),", ",IF(AND('Marks Entry'!AC181="A"),'Marks Entry'!$AC$2,IF(AND('Marks Entry'!AC181="B"),'Marks Entry'!$AG$2,IF(AND('Marks Entry'!AC181="C"),'Marks Entry'!$AI$2,""))),", ",IF(AND('Marks Entry'!AK181="A"),'Marks Entry'!$AK$2,IF(AND('Marks Entry'!AK181="B"),'Marks Entry'!$AO$2,IF(AND('Marks Entry'!AK181="C"),'Marks Entry'!$AQ$2,""))),", ",IF(AND('Statement of Marks'!DD181=""),"",IF(AND('Statement of Marks'!DD181="A"),'Marks Entry'!$AS$2,IF(AND('Statement of Marks'!DD181="B"),'Marks Entry'!$AW$2,IF(AND('Statement of Marks'!DD181="C"),'Marks Entry'!$AY$2,"")))))),"")</f>
        <v/>
      </c>
      <c r="T178" s="431" t="str">
        <f>IF(COUNTIF(K178:R178,"F")&gt;0,"",CONCATENATE('Statement of Marks'!GU181,'Statement of Marks'!GW181))</f>
        <v xml:space="preserve">           </v>
      </c>
      <c r="BG178" s="17">
        <f>IFERROR(VLOOKUP(B178,'Statement of Marks'!$B$8:'Statement of Marks'!$HI$207,41,0),"")</f>
        <v>15</v>
      </c>
      <c r="BH178" s="17" t="str">
        <f>IFERROR(VLOOKUP(B178,'Statement of Marks'!$B$8:'Statement of Marks'!$HI$207,66,0),"")</f>
        <v/>
      </c>
      <c r="BI178" s="17">
        <f>IFERROR(VLOOKUP(B178,'Statement of Marks'!$B$8:'Statement of Marks'!$HI$207,91,0),"")</f>
        <v>60</v>
      </c>
      <c r="BJ178" s="17" t="str">
        <f>IFERROR(VLOOKUP(B178,'Statement of Marks'!$B$8:'Statement of Marks'!$HI$207,117,0),"")</f>
        <v/>
      </c>
    </row>
    <row r="179" spans="1:62" ht="24.95" customHeight="1">
      <c r="A179" s="284">
        <f>IF('Statement of Marks'!A182="","",'Statement of Marks'!A182)</f>
        <v>175</v>
      </c>
      <c r="B179" s="284" t="str">
        <f>IF('Statement of Marks'!B182="","",'Statement of Marks'!B182)</f>
        <v/>
      </c>
      <c r="C179" s="284" t="str">
        <f>IF('Statement of Marks'!C182="","",'Statement of Marks'!C182)</f>
        <v/>
      </c>
      <c r="D179" s="426" t="str">
        <f>IF('Statement of Marks'!D182="","",'Statement of Marks'!D182)</f>
        <v/>
      </c>
      <c r="E179" s="427" t="str">
        <f>IF('Statement of Marks'!E182="","",'Statement of Marks'!E182)</f>
        <v/>
      </c>
      <c r="F179" s="427" t="str">
        <f>IF('Statement of Marks'!F182="","",'Statement of Marks'!F182)</f>
        <v/>
      </c>
      <c r="G179" s="427" t="str">
        <f>IF('Statement of Marks'!G182="","",'Statement of Marks'!G182)</f>
        <v/>
      </c>
      <c r="H179" s="428" t="str">
        <f>IF(B179="","",IF('Statement of Marks'!GY182="","",'Statement of Marks'!GY182))</f>
        <v/>
      </c>
      <c r="I179" s="287" t="str">
        <f>IF(B179="","",IF('Statement of Marks'!HB182="","",'Statement of Marks'!HB182))</f>
        <v/>
      </c>
      <c r="J179" s="429" t="str">
        <f>IF(B179="","",IF('Statement of Marks'!HC182="","",'Statement of Marks'!HC182))</f>
        <v/>
      </c>
      <c r="K179" s="296" t="str">
        <f>IF(B179="","",'Statement of Marks'!FJ182)</f>
        <v/>
      </c>
      <c r="L179" s="296" t="str">
        <f>IF(B179="","",'Statement of Marks'!FM182)</f>
        <v/>
      </c>
      <c r="M179" s="296" t="str">
        <f>IF(B179="","",'Statement of Marks'!FP182)</f>
        <v/>
      </c>
      <c r="N179" s="296" t="str">
        <f>IF(B179="","",'Statement of Marks'!FW182)</f>
        <v/>
      </c>
      <c r="O179" s="296" t="str">
        <f>IF(B179="","",'Statement of Marks'!GD182)</f>
        <v/>
      </c>
      <c r="P179" s="296" t="str">
        <f>IF(B179="","",'Statement of Marks'!GK182)</f>
        <v/>
      </c>
      <c r="Q179" s="296" t="str">
        <f>IF(B179="","",'Statement of Marks'!GR182)</f>
        <v/>
      </c>
      <c r="R179" s="296" t="str">
        <f>IF(B179="","",'Statement of Marks'!FF182)</f>
        <v/>
      </c>
      <c r="S179" s="430" t="str">
        <f>IFERROR(IF(B179="","",CONCATENATE(IF(AND('Marks Entry'!U182="A"),'Marks Entry'!$U$2,IF(AND('Marks Entry'!U182="B"),'Marks Entry'!$Y$2,IF(AND('Marks Entry'!U182="C"),'Marks Entry'!$AA$2,""))),", ",IF(AND('Marks Entry'!AC182="A"),'Marks Entry'!$AC$2,IF(AND('Marks Entry'!AC182="B"),'Marks Entry'!$AG$2,IF(AND('Marks Entry'!AC182="C"),'Marks Entry'!$AI$2,""))),", ",IF(AND('Marks Entry'!AK182="A"),'Marks Entry'!$AK$2,IF(AND('Marks Entry'!AK182="B"),'Marks Entry'!$AO$2,IF(AND('Marks Entry'!AK182="C"),'Marks Entry'!$AQ$2,""))),", ",IF(AND('Statement of Marks'!DD182=""),"",IF(AND('Statement of Marks'!DD182="A"),'Marks Entry'!$AS$2,IF(AND('Statement of Marks'!DD182="B"),'Marks Entry'!$AW$2,IF(AND('Statement of Marks'!DD182="C"),'Marks Entry'!$AY$2,"")))))),"")</f>
        <v/>
      </c>
      <c r="T179" s="431" t="str">
        <f>IF(COUNTIF(K179:R179,"F")&gt;0,"",CONCATENATE('Statement of Marks'!GU182,'Statement of Marks'!GW182))</f>
        <v xml:space="preserve">           </v>
      </c>
      <c r="BG179" s="17">
        <f>IFERROR(VLOOKUP(B179,'Statement of Marks'!$B$8:'Statement of Marks'!$HI$207,41,0),"")</f>
        <v>15</v>
      </c>
      <c r="BH179" s="17" t="str">
        <f>IFERROR(VLOOKUP(B179,'Statement of Marks'!$B$8:'Statement of Marks'!$HI$207,66,0),"")</f>
        <v/>
      </c>
      <c r="BI179" s="17">
        <f>IFERROR(VLOOKUP(B179,'Statement of Marks'!$B$8:'Statement of Marks'!$HI$207,91,0),"")</f>
        <v>60</v>
      </c>
      <c r="BJ179" s="17" t="str">
        <f>IFERROR(VLOOKUP(B179,'Statement of Marks'!$B$8:'Statement of Marks'!$HI$207,117,0),"")</f>
        <v/>
      </c>
    </row>
    <row r="180" spans="1:62" ht="24.95" customHeight="1">
      <c r="A180" s="284">
        <f>IF('Statement of Marks'!A183="","",'Statement of Marks'!A183)</f>
        <v>176</v>
      </c>
      <c r="B180" s="284" t="str">
        <f>IF('Statement of Marks'!B183="","",'Statement of Marks'!B183)</f>
        <v/>
      </c>
      <c r="C180" s="284" t="str">
        <f>IF('Statement of Marks'!C183="","",'Statement of Marks'!C183)</f>
        <v/>
      </c>
      <c r="D180" s="426" t="str">
        <f>IF('Statement of Marks'!D183="","",'Statement of Marks'!D183)</f>
        <v/>
      </c>
      <c r="E180" s="427" t="str">
        <f>IF('Statement of Marks'!E183="","",'Statement of Marks'!E183)</f>
        <v/>
      </c>
      <c r="F180" s="427" t="str">
        <f>IF('Statement of Marks'!F183="","",'Statement of Marks'!F183)</f>
        <v/>
      </c>
      <c r="G180" s="427" t="str">
        <f>IF('Statement of Marks'!G183="","",'Statement of Marks'!G183)</f>
        <v/>
      </c>
      <c r="H180" s="428" t="str">
        <f>IF(B180="","",IF('Statement of Marks'!GY183="","",'Statement of Marks'!GY183))</f>
        <v/>
      </c>
      <c r="I180" s="287" t="str">
        <f>IF(B180="","",IF('Statement of Marks'!HB183="","",'Statement of Marks'!HB183))</f>
        <v/>
      </c>
      <c r="J180" s="429" t="str">
        <f>IF(B180="","",IF('Statement of Marks'!HC183="","",'Statement of Marks'!HC183))</f>
        <v/>
      </c>
      <c r="K180" s="296" t="str">
        <f>IF(B180="","",'Statement of Marks'!FJ183)</f>
        <v/>
      </c>
      <c r="L180" s="296" t="str">
        <f>IF(B180="","",'Statement of Marks'!FM183)</f>
        <v/>
      </c>
      <c r="M180" s="296" t="str">
        <f>IF(B180="","",'Statement of Marks'!FP183)</f>
        <v/>
      </c>
      <c r="N180" s="296" t="str">
        <f>IF(B180="","",'Statement of Marks'!FW183)</f>
        <v/>
      </c>
      <c r="O180" s="296" t="str">
        <f>IF(B180="","",'Statement of Marks'!GD183)</f>
        <v/>
      </c>
      <c r="P180" s="296" t="str">
        <f>IF(B180="","",'Statement of Marks'!GK183)</f>
        <v/>
      </c>
      <c r="Q180" s="296" t="str">
        <f>IF(B180="","",'Statement of Marks'!GR183)</f>
        <v/>
      </c>
      <c r="R180" s="296" t="str">
        <f>IF(B180="","",'Statement of Marks'!FF183)</f>
        <v/>
      </c>
      <c r="S180" s="430" t="str">
        <f>IFERROR(IF(B180="","",CONCATENATE(IF(AND('Marks Entry'!U183="A"),'Marks Entry'!$U$2,IF(AND('Marks Entry'!U183="B"),'Marks Entry'!$Y$2,IF(AND('Marks Entry'!U183="C"),'Marks Entry'!$AA$2,""))),", ",IF(AND('Marks Entry'!AC183="A"),'Marks Entry'!$AC$2,IF(AND('Marks Entry'!AC183="B"),'Marks Entry'!$AG$2,IF(AND('Marks Entry'!AC183="C"),'Marks Entry'!$AI$2,""))),", ",IF(AND('Marks Entry'!AK183="A"),'Marks Entry'!$AK$2,IF(AND('Marks Entry'!AK183="B"),'Marks Entry'!$AO$2,IF(AND('Marks Entry'!AK183="C"),'Marks Entry'!$AQ$2,""))),", ",IF(AND('Statement of Marks'!DD183=""),"",IF(AND('Statement of Marks'!DD183="A"),'Marks Entry'!$AS$2,IF(AND('Statement of Marks'!DD183="B"),'Marks Entry'!$AW$2,IF(AND('Statement of Marks'!DD183="C"),'Marks Entry'!$AY$2,"")))))),"")</f>
        <v/>
      </c>
      <c r="T180" s="431" t="str">
        <f>IF(COUNTIF(K180:R180,"F")&gt;0,"",CONCATENATE('Statement of Marks'!GU183,'Statement of Marks'!GW183))</f>
        <v xml:space="preserve">           </v>
      </c>
      <c r="BG180" s="17">
        <f>IFERROR(VLOOKUP(B180,'Statement of Marks'!$B$8:'Statement of Marks'!$HI$207,41,0),"")</f>
        <v>15</v>
      </c>
      <c r="BH180" s="17" t="str">
        <f>IFERROR(VLOOKUP(B180,'Statement of Marks'!$B$8:'Statement of Marks'!$HI$207,66,0),"")</f>
        <v/>
      </c>
      <c r="BI180" s="17">
        <f>IFERROR(VLOOKUP(B180,'Statement of Marks'!$B$8:'Statement of Marks'!$HI$207,91,0),"")</f>
        <v>60</v>
      </c>
      <c r="BJ180" s="17" t="str">
        <f>IFERROR(VLOOKUP(B180,'Statement of Marks'!$B$8:'Statement of Marks'!$HI$207,117,0),"")</f>
        <v/>
      </c>
    </row>
    <row r="181" spans="1:62" ht="24.95" customHeight="1">
      <c r="A181" s="284">
        <f>IF('Statement of Marks'!A184="","",'Statement of Marks'!A184)</f>
        <v>177</v>
      </c>
      <c r="B181" s="284" t="str">
        <f>IF('Statement of Marks'!B184="","",'Statement of Marks'!B184)</f>
        <v/>
      </c>
      <c r="C181" s="284" t="str">
        <f>IF('Statement of Marks'!C184="","",'Statement of Marks'!C184)</f>
        <v/>
      </c>
      <c r="D181" s="426" t="str">
        <f>IF('Statement of Marks'!D184="","",'Statement of Marks'!D184)</f>
        <v/>
      </c>
      <c r="E181" s="427" t="str">
        <f>IF('Statement of Marks'!E184="","",'Statement of Marks'!E184)</f>
        <v/>
      </c>
      <c r="F181" s="427" t="str">
        <f>IF('Statement of Marks'!F184="","",'Statement of Marks'!F184)</f>
        <v/>
      </c>
      <c r="G181" s="427" t="str">
        <f>IF('Statement of Marks'!G184="","",'Statement of Marks'!G184)</f>
        <v/>
      </c>
      <c r="H181" s="428" t="str">
        <f>IF(B181="","",IF('Statement of Marks'!GY184="","",'Statement of Marks'!GY184))</f>
        <v/>
      </c>
      <c r="I181" s="287" t="str">
        <f>IF(B181="","",IF('Statement of Marks'!HB184="","",'Statement of Marks'!HB184))</f>
        <v/>
      </c>
      <c r="J181" s="429" t="str">
        <f>IF(B181="","",IF('Statement of Marks'!HC184="","",'Statement of Marks'!HC184))</f>
        <v/>
      </c>
      <c r="K181" s="296" t="str">
        <f>IF(B181="","",'Statement of Marks'!FJ184)</f>
        <v/>
      </c>
      <c r="L181" s="296" t="str">
        <f>IF(B181="","",'Statement of Marks'!FM184)</f>
        <v/>
      </c>
      <c r="M181" s="296" t="str">
        <f>IF(B181="","",'Statement of Marks'!FP184)</f>
        <v/>
      </c>
      <c r="N181" s="296" t="str">
        <f>IF(B181="","",'Statement of Marks'!FW184)</f>
        <v/>
      </c>
      <c r="O181" s="296" t="str">
        <f>IF(B181="","",'Statement of Marks'!GD184)</f>
        <v/>
      </c>
      <c r="P181" s="296" t="str">
        <f>IF(B181="","",'Statement of Marks'!GK184)</f>
        <v/>
      </c>
      <c r="Q181" s="296" t="str">
        <f>IF(B181="","",'Statement of Marks'!GR184)</f>
        <v/>
      </c>
      <c r="R181" s="296" t="str">
        <f>IF(B181="","",'Statement of Marks'!FF184)</f>
        <v/>
      </c>
      <c r="S181" s="430" t="str">
        <f>IFERROR(IF(B181="","",CONCATENATE(IF(AND('Marks Entry'!U184="A"),'Marks Entry'!$U$2,IF(AND('Marks Entry'!U184="B"),'Marks Entry'!$Y$2,IF(AND('Marks Entry'!U184="C"),'Marks Entry'!$AA$2,""))),", ",IF(AND('Marks Entry'!AC184="A"),'Marks Entry'!$AC$2,IF(AND('Marks Entry'!AC184="B"),'Marks Entry'!$AG$2,IF(AND('Marks Entry'!AC184="C"),'Marks Entry'!$AI$2,""))),", ",IF(AND('Marks Entry'!AK184="A"),'Marks Entry'!$AK$2,IF(AND('Marks Entry'!AK184="B"),'Marks Entry'!$AO$2,IF(AND('Marks Entry'!AK184="C"),'Marks Entry'!$AQ$2,""))),", ",IF(AND('Statement of Marks'!DD184=""),"",IF(AND('Statement of Marks'!DD184="A"),'Marks Entry'!$AS$2,IF(AND('Statement of Marks'!DD184="B"),'Marks Entry'!$AW$2,IF(AND('Statement of Marks'!DD184="C"),'Marks Entry'!$AY$2,"")))))),"")</f>
        <v/>
      </c>
      <c r="T181" s="431" t="str">
        <f>IF(COUNTIF(K181:R181,"F")&gt;0,"",CONCATENATE('Statement of Marks'!GU184,'Statement of Marks'!GW184))</f>
        <v xml:space="preserve">           </v>
      </c>
      <c r="BG181" s="17">
        <f>IFERROR(VLOOKUP(B181,'Statement of Marks'!$B$8:'Statement of Marks'!$HI$207,41,0),"")</f>
        <v>15</v>
      </c>
      <c r="BH181" s="17" t="str">
        <f>IFERROR(VLOOKUP(B181,'Statement of Marks'!$B$8:'Statement of Marks'!$HI$207,66,0),"")</f>
        <v/>
      </c>
      <c r="BI181" s="17">
        <f>IFERROR(VLOOKUP(B181,'Statement of Marks'!$B$8:'Statement of Marks'!$HI$207,91,0),"")</f>
        <v>60</v>
      </c>
      <c r="BJ181" s="17" t="str">
        <f>IFERROR(VLOOKUP(B181,'Statement of Marks'!$B$8:'Statement of Marks'!$HI$207,117,0),"")</f>
        <v/>
      </c>
    </row>
    <row r="182" spans="1:62" ht="24.95" customHeight="1">
      <c r="A182" s="284">
        <f>IF('Statement of Marks'!A185="","",'Statement of Marks'!A185)</f>
        <v>178</v>
      </c>
      <c r="B182" s="284" t="str">
        <f>IF('Statement of Marks'!B185="","",'Statement of Marks'!B185)</f>
        <v/>
      </c>
      <c r="C182" s="284" t="str">
        <f>IF('Statement of Marks'!C185="","",'Statement of Marks'!C185)</f>
        <v/>
      </c>
      <c r="D182" s="426" t="str">
        <f>IF('Statement of Marks'!D185="","",'Statement of Marks'!D185)</f>
        <v/>
      </c>
      <c r="E182" s="427" t="str">
        <f>IF('Statement of Marks'!E185="","",'Statement of Marks'!E185)</f>
        <v/>
      </c>
      <c r="F182" s="427" t="str">
        <f>IF('Statement of Marks'!F185="","",'Statement of Marks'!F185)</f>
        <v/>
      </c>
      <c r="G182" s="427" t="str">
        <f>IF('Statement of Marks'!G185="","",'Statement of Marks'!G185)</f>
        <v/>
      </c>
      <c r="H182" s="428" t="str">
        <f>IF(B182="","",IF('Statement of Marks'!GY185="","",'Statement of Marks'!GY185))</f>
        <v/>
      </c>
      <c r="I182" s="287" t="str">
        <f>IF(B182="","",IF('Statement of Marks'!HB185="","",'Statement of Marks'!HB185))</f>
        <v/>
      </c>
      <c r="J182" s="429" t="str">
        <f>IF(B182="","",IF('Statement of Marks'!HC185="","",'Statement of Marks'!HC185))</f>
        <v/>
      </c>
      <c r="K182" s="296" t="str">
        <f>IF(B182="","",'Statement of Marks'!FJ185)</f>
        <v/>
      </c>
      <c r="L182" s="296" t="str">
        <f>IF(B182="","",'Statement of Marks'!FM185)</f>
        <v/>
      </c>
      <c r="M182" s="296" t="str">
        <f>IF(B182="","",'Statement of Marks'!FP185)</f>
        <v/>
      </c>
      <c r="N182" s="296" t="str">
        <f>IF(B182="","",'Statement of Marks'!FW185)</f>
        <v/>
      </c>
      <c r="O182" s="296" t="str">
        <f>IF(B182="","",'Statement of Marks'!GD185)</f>
        <v/>
      </c>
      <c r="P182" s="296" t="str">
        <f>IF(B182="","",'Statement of Marks'!GK185)</f>
        <v/>
      </c>
      <c r="Q182" s="296" t="str">
        <f>IF(B182="","",'Statement of Marks'!GR185)</f>
        <v/>
      </c>
      <c r="R182" s="296" t="str">
        <f>IF(B182="","",'Statement of Marks'!FF185)</f>
        <v/>
      </c>
      <c r="S182" s="430" t="str">
        <f>IFERROR(IF(B182="","",CONCATENATE(IF(AND('Marks Entry'!U185="A"),'Marks Entry'!$U$2,IF(AND('Marks Entry'!U185="B"),'Marks Entry'!$Y$2,IF(AND('Marks Entry'!U185="C"),'Marks Entry'!$AA$2,""))),", ",IF(AND('Marks Entry'!AC185="A"),'Marks Entry'!$AC$2,IF(AND('Marks Entry'!AC185="B"),'Marks Entry'!$AG$2,IF(AND('Marks Entry'!AC185="C"),'Marks Entry'!$AI$2,""))),", ",IF(AND('Marks Entry'!AK185="A"),'Marks Entry'!$AK$2,IF(AND('Marks Entry'!AK185="B"),'Marks Entry'!$AO$2,IF(AND('Marks Entry'!AK185="C"),'Marks Entry'!$AQ$2,""))),", ",IF(AND('Statement of Marks'!DD185=""),"",IF(AND('Statement of Marks'!DD185="A"),'Marks Entry'!$AS$2,IF(AND('Statement of Marks'!DD185="B"),'Marks Entry'!$AW$2,IF(AND('Statement of Marks'!DD185="C"),'Marks Entry'!$AY$2,"")))))),"")</f>
        <v/>
      </c>
      <c r="T182" s="431" t="str">
        <f>IF(COUNTIF(K182:R182,"F")&gt;0,"",CONCATENATE('Statement of Marks'!GU185,'Statement of Marks'!GW185))</f>
        <v xml:space="preserve">           </v>
      </c>
      <c r="BG182" s="17">
        <f>IFERROR(VLOOKUP(B182,'Statement of Marks'!$B$8:'Statement of Marks'!$HI$207,41,0),"")</f>
        <v>15</v>
      </c>
      <c r="BH182" s="17" t="str">
        <f>IFERROR(VLOOKUP(B182,'Statement of Marks'!$B$8:'Statement of Marks'!$HI$207,66,0),"")</f>
        <v/>
      </c>
      <c r="BI182" s="17">
        <f>IFERROR(VLOOKUP(B182,'Statement of Marks'!$B$8:'Statement of Marks'!$HI$207,91,0),"")</f>
        <v>60</v>
      </c>
      <c r="BJ182" s="17" t="str">
        <f>IFERROR(VLOOKUP(B182,'Statement of Marks'!$B$8:'Statement of Marks'!$HI$207,117,0),"")</f>
        <v/>
      </c>
    </row>
    <row r="183" spans="1:62" ht="24.95" customHeight="1">
      <c r="A183" s="284">
        <f>IF('Statement of Marks'!A186="","",'Statement of Marks'!A186)</f>
        <v>179</v>
      </c>
      <c r="B183" s="284" t="str">
        <f>IF('Statement of Marks'!B186="","",'Statement of Marks'!B186)</f>
        <v/>
      </c>
      <c r="C183" s="284" t="str">
        <f>IF('Statement of Marks'!C186="","",'Statement of Marks'!C186)</f>
        <v/>
      </c>
      <c r="D183" s="426" t="str">
        <f>IF('Statement of Marks'!D186="","",'Statement of Marks'!D186)</f>
        <v/>
      </c>
      <c r="E183" s="427" t="str">
        <f>IF('Statement of Marks'!E186="","",'Statement of Marks'!E186)</f>
        <v/>
      </c>
      <c r="F183" s="427" t="str">
        <f>IF('Statement of Marks'!F186="","",'Statement of Marks'!F186)</f>
        <v/>
      </c>
      <c r="G183" s="427" t="str">
        <f>IF('Statement of Marks'!G186="","",'Statement of Marks'!G186)</f>
        <v/>
      </c>
      <c r="H183" s="428" t="str">
        <f>IF(B183="","",IF('Statement of Marks'!GY186="","",'Statement of Marks'!GY186))</f>
        <v/>
      </c>
      <c r="I183" s="287" t="str">
        <f>IF(B183="","",IF('Statement of Marks'!HB186="","",'Statement of Marks'!HB186))</f>
        <v/>
      </c>
      <c r="J183" s="429" t="str">
        <f>IF(B183="","",IF('Statement of Marks'!HC186="","",'Statement of Marks'!HC186))</f>
        <v/>
      </c>
      <c r="K183" s="296" t="str">
        <f>IF(B183="","",'Statement of Marks'!FJ186)</f>
        <v/>
      </c>
      <c r="L183" s="296" t="str">
        <f>IF(B183="","",'Statement of Marks'!FM186)</f>
        <v/>
      </c>
      <c r="M183" s="296" t="str">
        <f>IF(B183="","",'Statement of Marks'!FP186)</f>
        <v/>
      </c>
      <c r="N183" s="296" t="str">
        <f>IF(B183="","",'Statement of Marks'!FW186)</f>
        <v/>
      </c>
      <c r="O183" s="296" t="str">
        <f>IF(B183="","",'Statement of Marks'!GD186)</f>
        <v/>
      </c>
      <c r="P183" s="296" t="str">
        <f>IF(B183="","",'Statement of Marks'!GK186)</f>
        <v/>
      </c>
      <c r="Q183" s="296" t="str">
        <f>IF(B183="","",'Statement of Marks'!GR186)</f>
        <v/>
      </c>
      <c r="R183" s="296" t="str">
        <f>IF(B183="","",'Statement of Marks'!FF186)</f>
        <v/>
      </c>
      <c r="S183" s="430" t="str">
        <f>IFERROR(IF(B183="","",CONCATENATE(IF(AND('Marks Entry'!U186="A"),'Marks Entry'!$U$2,IF(AND('Marks Entry'!U186="B"),'Marks Entry'!$Y$2,IF(AND('Marks Entry'!U186="C"),'Marks Entry'!$AA$2,""))),", ",IF(AND('Marks Entry'!AC186="A"),'Marks Entry'!$AC$2,IF(AND('Marks Entry'!AC186="B"),'Marks Entry'!$AG$2,IF(AND('Marks Entry'!AC186="C"),'Marks Entry'!$AI$2,""))),", ",IF(AND('Marks Entry'!AK186="A"),'Marks Entry'!$AK$2,IF(AND('Marks Entry'!AK186="B"),'Marks Entry'!$AO$2,IF(AND('Marks Entry'!AK186="C"),'Marks Entry'!$AQ$2,""))),", ",IF(AND('Statement of Marks'!DD186=""),"",IF(AND('Statement of Marks'!DD186="A"),'Marks Entry'!$AS$2,IF(AND('Statement of Marks'!DD186="B"),'Marks Entry'!$AW$2,IF(AND('Statement of Marks'!DD186="C"),'Marks Entry'!$AY$2,"")))))),"")</f>
        <v/>
      </c>
      <c r="T183" s="431" t="str">
        <f>IF(COUNTIF(K183:R183,"F")&gt;0,"",CONCATENATE('Statement of Marks'!GU186,'Statement of Marks'!GW186))</f>
        <v xml:space="preserve">           </v>
      </c>
      <c r="BG183" s="17">
        <f>IFERROR(VLOOKUP(B183,'Statement of Marks'!$B$8:'Statement of Marks'!$HI$207,41,0),"")</f>
        <v>15</v>
      </c>
      <c r="BH183" s="17" t="str">
        <f>IFERROR(VLOOKUP(B183,'Statement of Marks'!$B$8:'Statement of Marks'!$HI$207,66,0),"")</f>
        <v/>
      </c>
      <c r="BI183" s="17">
        <f>IFERROR(VLOOKUP(B183,'Statement of Marks'!$B$8:'Statement of Marks'!$HI$207,91,0),"")</f>
        <v>60</v>
      </c>
      <c r="BJ183" s="17" t="str">
        <f>IFERROR(VLOOKUP(B183,'Statement of Marks'!$B$8:'Statement of Marks'!$HI$207,117,0),"")</f>
        <v/>
      </c>
    </row>
    <row r="184" spans="1:62" ht="24.95" customHeight="1">
      <c r="A184" s="284">
        <f>IF('Statement of Marks'!A187="","",'Statement of Marks'!A187)</f>
        <v>180</v>
      </c>
      <c r="B184" s="284" t="str">
        <f>IF('Statement of Marks'!B187="","",'Statement of Marks'!B187)</f>
        <v/>
      </c>
      <c r="C184" s="284" t="str">
        <f>IF('Statement of Marks'!C187="","",'Statement of Marks'!C187)</f>
        <v/>
      </c>
      <c r="D184" s="426" t="str">
        <f>IF('Statement of Marks'!D187="","",'Statement of Marks'!D187)</f>
        <v/>
      </c>
      <c r="E184" s="427" t="str">
        <f>IF('Statement of Marks'!E187="","",'Statement of Marks'!E187)</f>
        <v/>
      </c>
      <c r="F184" s="427" t="str">
        <f>IF('Statement of Marks'!F187="","",'Statement of Marks'!F187)</f>
        <v/>
      </c>
      <c r="G184" s="427" t="str">
        <f>IF('Statement of Marks'!G187="","",'Statement of Marks'!G187)</f>
        <v/>
      </c>
      <c r="H184" s="428" t="str">
        <f>IF(B184="","",IF('Statement of Marks'!GY187="","",'Statement of Marks'!GY187))</f>
        <v/>
      </c>
      <c r="I184" s="287" t="str">
        <f>IF(B184="","",IF('Statement of Marks'!HB187="","",'Statement of Marks'!HB187))</f>
        <v/>
      </c>
      <c r="J184" s="429" t="str">
        <f>IF(B184="","",IF('Statement of Marks'!HC187="","",'Statement of Marks'!HC187))</f>
        <v/>
      </c>
      <c r="K184" s="296" t="str">
        <f>IF(B184="","",'Statement of Marks'!FJ187)</f>
        <v/>
      </c>
      <c r="L184" s="296" t="str">
        <f>IF(B184="","",'Statement of Marks'!FM187)</f>
        <v/>
      </c>
      <c r="M184" s="296" t="str">
        <f>IF(B184="","",'Statement of Marks'!FP187)</f>
        <v/>
      </c>
      <c r="N184" s="296" t="str">
        <f>IF(B184="","",'Statement of Marks'!FW187)</f>
        <v/>
      </c>
      <c r="O184" s="296" t="str">
        <f>IF(B184="","",'Statement of Marks'!GD187)</f>
        <v/>
      </c>
      <c r="P184" s="296" t="str">
        <f>IF(B184="","",'Statement of Marks'!GK187)</f>
        <v/>
      </c>
      <c r="Q184" s="296" t="str">
        <f>IF(B184="","",'Statement of Marks'!GR187)</f>
        <v/>
      </c>
      <c r="R184" s="296" t="str">
        <f>IF(B184="","",'Statement of Marks'!FF187)</f>
        <v/>
      </c>
      <c r="S184" s="430" t="str">
        <f>IFERROR(IF(B184="","",CONCATENATE(IF(AND('Marks Entry'!U187="A"),'Marks Entry'!$U$2,IF(AND('Marks Entry'!U187="B"),'Marks Entry'!$Y$2,IF(AND('Marks Entry'!U187="C"),'Marks Entry'!$AA$2,""))),", ",IF(AND('Marks Entry'!AC187="A"),'Marks Entry'!$AC$2,IF(AND('Marks Entry'!AC187="B"),'Marks Entry'!$AG$2,IF(AND('Marks Entry'!AC187="C"),'Marks Entry'!$AI$2,""))),", ",IF(AND('Marks Entry'!AK187="A"),'Marks Entry'!$AK$2,IF(AND('Marks Entry'!AK187="B"),'Marks Entry'!$AO$2,IF(AND('Marks Entry'!AK187="C"),'Marks Entry'!$AQ$2,""))),", ",IF(AND('Statement of Marks'!DD187=""),"",IF(AND('Statement of Marks'!DD187="A"),'Marks Entry'!$AS$2,IF(AND('Statement of Marks'!DD187="B"),'Marks Entry'!$AW$2,IF(AND('Statement of Marks'!DD187="C"),'Marks Entry'!$AY$2,"")))))),"")</f>
        <v/>
      </c>
      <c r="T184" s="431" t="str">
        <f>IF(COUNTIF(K184:R184,"F")&gt;0,"",CONCATENATE('Statement of Marks'!GU187,'Statement of Marks'!GW187))</f>
        <v xml:space="preserve">           </v>
      </c>
      <c r="BG184" s="17">
        <f>IFERROR(VLOOKUP(B184,'Statement of Marks'!$B$8:'Statement of Marks'!$HI$207,41,0),"")</f>
        <v>15</v>
      </c>
      <c r="BH184" s="17" t="str">
        <f>IFERROR(VLOOKUP(B184,'Statement of Marks'!$B$8:'Statement of Marks'!$HI$207,66,0),"")</f>
        <v/>
      </c>
      <c r="BI184" s="17">
        <f>IFERROR(VLOOKUP(B184,'Statement of Marks'!$B$8:'Statement of Marks'!$HI$207,91,0),"")</f>
        <v>60</v>
      </c>
      <c r="BJ184" s="17" t="str">
        <f>IFERROR(VLOOKUP(B184,'Statement of Marks'!$B$8:'Statement of Marks'!$HI$207,117,0),"")</f>
        <v/>
      </c>
    </row>
    <row r="185" spans="1:62" ht="24.95" customHeight="1">
      <c r="A185" s="284">
        <f>IF('Statement of Marks'!A188="","",'Statement of Marks'!A188)</f>
        <v>181</v>
      </c>
      <c r="B185" s="284" t="str">
        <f>IF('Statement of Marks'!B188="","",'Statement of Marks'!B188)</f>
        <v/>
      </c>
      <c r="C185" s="284" t="str">
        <f>IF('Statement of Marks'!C188="","",'Statement of Marks'!C188)</f>
        <v/>
      </c>
      <c r="D185" s="426" t="str">
        <f>IF('Statement of Marks'!D188="","",'Statement of Marks'!D188)</f>
        <v/>
      </c>
      <c r="E185" s="427" t="str">
        <f>IF('Statement of Marks'!E188="","",'Statement of Marks'!E188)</f>
        <v/>
      </c>
      <c r="F185" s="427" t="str">
        <f>IF('Statement of Marks'!F188="","",'Statement of Marks'!F188)</f>
        <v/>
      </c>
      <c r="G185" s="427" t="str">
        <f>IF('Statement of Marks'!G188="","",'Statement of Marks'!G188)</f>
        <v/>
      </c>
      <c r="H185" s="428" t="str">
        <f>IF(B185="","",IF('Statement of Marks'!GY188="","",'Statement of Marks'!GY188))</f>
        <v/>
      </c>
      <c r="I185" s="287" t="str">
        <f>IF(B185="","",IF('Statement of Marks'!HB188="","",'Statement of Marks'!HB188))</f>
        <v/>
      </c>
      <c r="J185" s="429" t="str">
        <f>IF(B185="","",IF('Statement of Marks'!HC188="","",'Statement of Marks'!HC188))</f>
        <v/>
      </c>
      <c r="K185" s="296" t="str">
        <f>IF(B185="","",'Statement of Marks'!FJ188)</f>
        <v/>
      </c>
      <c r="L185" s="296" t="str">
        <f>IF(B185="","",'Statement of Marks'!FM188)</f>
        <v/>
      </c>
      <c r="M185" s="296" t="str">
        <f>IF(B185="","",'Statement of Marks'!FP188)</f>
        <v/>
      </c>
      <c r="N185" s="296" t="str">
        <f>IF(B185="","",'Statement of Marks'!FW188)</f>
        <v/>
      </c>
      <c r="O185" s="296" t="str">
        <f>IF(B185="","",'Statement of Marks'!GD188)</f>
        <v/>
      </c>
      <c r="P185" s="296" t="str">
        <f>IF(B185="","",'Statement of Marks'!GK188)</f>
        <v/>
      </c>
      <c r="Q185" s="296" t="str">
        <f>IF(B185="","",'Statement of Marks'!GR188)</f>
        <v/>
      </c>
      <c r="R185" s="296" t="str">
        <f>IF(B185="","",'Statement of Marks'!FF188)</f>
        <v/>
      </c>
      <c r="S185" s="430" t="str">
        <f>IFERROR(IF(B185="","",CONCATENATE(IF(AND('Marks Entry'!U188="A"),'Marks Entry'!$U$2,IF(AND('Marks Entry'!U188="B"),'Marks Entry'!$Y$2,IF(AND('Marks Entry'!U188="C"),'Marks Entry'!$AA$2,""))),", ",IF(AND('Marks Entry'!AC188="A"),'Marks Entry'!$AC$2,IF(AND('Marks Entry'!AC188="B"),'Marks Entry'!$AG$2,IF(AND('Marks Entry'!AC188="C"),'Marks Entry'!$AI$2,""))),", ",IF(AND('Marks Entry'!AK188="A"),'Marks Entry'!$AK$2,IF(AND('Marks Entry'!AK188="B"),'Marks Entry'!$AO$2,IF(AND('Marks Entry'!AK188="C"),'Marks Entry'!$AQ$2,""))),", ",IF(AND('Statement of Marks'!DD188=""),"",IF(AND('Statement of Marks'!DD188="A"),'Marks Entry'!$AS$2,IF(AND('Statement of Marks'!DD188="B"),'Marks Entry'!$AW$2,IF(AND('Statement of Marks'!DD188="C"),'Marks Entry'!$AY$2,"")))))),"")</f>
        <v/>
      </c>
      <c r="T185" s="431" t="str">
        <f>IF(COUNTIF(K185:R185,"F")&gt;0,"",CONCATENATE('Statement of Marks'!GU188,'Statement of Marks'!GW188))</f>
        <v xml:space="preserve">           </v>
      </c>
      <c r="BG185" s="17">
        <f>IFERROR(VLOOKUP(B185,'Statement of Marks'!$B$8:'Statement of Marks'!$HI$207,41,0),"")</f>
        <v>15</v>
      </c>
      <c r="BH185" s="17" t="str">
        <f>IFERROR(VLOOKUP(B185,'Statement of Marks'!$B$8:'Statement of Marks'!$HI$207,66,0),"")</f>
        <v/>
      </c>
      <c r="BI185" s="17">
        <f>IFERROR(VLOOKUP(B185,'Statement of Marks'!$B$8:'Statement of Marks'!$HI$207,91,0),"")</f>
        <v>60</v>
      </c>
      <c r="BJ185" s="17" t="str">
        <f>IFERROR(VLOOKUP(B185,'Statement of Marks'!$B$8:'Statement of Marks'!$HI$207,117,0),"")</f>
        <v/>
      </c>
    </row>
    <row r="186" spans="1:62" ht="24.95" customHeight="1">
      <c r="A186" s="284">
        <f>IF('Statement of Marks'!A189="","",'Statement of Marks'!A189)</f>
        <v>182</v>
      </c>
      <c r="B186" s="284" t="str">
        <f>IF('Statement of Marks'!B189="","",'Statement of Marks'!B189)</f>
        <v/>
      </c>
      <c r="C186" s="284" t="str">
        <f>IF('Statement of Marks'!C189="","",'Statement of Marks'!C189)</f>
        <v/>
      </c>
      <c r="D186" s="426" t="str">
        <f>IF('Statement of Marks'!D189="","",'Statement of Marks'!D189)</f>
        <v/>
      </c>
      <c r="E186" s="427" t="str">
        <f>IF('Statement of Marks'!E189="","",'Statement of Marks'!E189)</f>
        <v/>
      </c>
      <c r="F186" s="427" t="str">
        <f>IF('Statement of Marks'!F189="","",'Statement of Marks'!F189)</f>
        <v/>
      </c>
      <c r="G186" s="427" t="str">
        <f>IF('Statement of Marks'!G189="","",'Statement of Marks'!G189)</f>
        <v/>
      </c>
      <c r="H186" s="428" t="str">
        <f>IF(B186="","",IF('Statement of Marks'!GY189="","",'Statement of Marks'!GY189))</f>
        <v/>
      </c>
      <c r="I186" s="287" t="str">
        <f>IF(B186="","",IF('Statement of Marks'!HB189="","",'Statement of Marks'!HB189))</f>
        <v/>
      </c>
      <c r="J186" s="429" t="str">
        <f>IF(B186="","",IF('Statement of Marks'!HC189="","",'Statement of Marks'!HC189))</f>
        <v/>
      </c>
      <c r="K186" s="296" t="str">
        <f>IF(B186="","",'Statement of Marks'!FJ189)</f>
        <v/>
      </c>
      <c r="L186" s="296" t="str">
        <f>IF(B186="","",'Statement of Marks'!FM189)</f>
        <v/>
      </c>
      <c r="M186" s="296" t="str">
        <f>IF(B186="","",'Statement of Marks'!FP189)</f>
        <v/>
      </c>
      <c r="N186" s="296" t="str">
        <f>IF(B186="","",'Statement of Marks'!FW189)</f>
        <v/>
      </c>
      <c r="O186" s="296" t="str">
        <f>IF(B186="","",'Statement of Marks'!GD189)</f>
        <v/>
      </c>
      <c r="P186" s="296" t="str">
        <f>IF(B186="","",'Statement of Marks'!GK189)</f>
        <v/>
      </c>
      <c r="Q186" s="296" t="str">
        <f>IF(B186="","",'Statement of Marks'!GR189)</f>
        <v/>
      </c>
      <c r="R186" s="296" t="str">
        <f>IF(B186="","",'Statement of Marks'!FF189)</f>
        <v/>
      </c>
      <c r="S186" s="430" t="str">
        <f>IFERROR(IF(B186="","",CONCATENATE(IF(AND('Marks Entry'!U189="A"),'Marks Entry'!$U$2,IF(AND('Marks Entry'!U189="B"),'Marks Entry'!$Y$2,IF(AND('Marks Entry'!U189="C"),'Marks Entry'!$AA$2,""))),", ",IF(AND('Marks Entry'!AC189="A"),'Marks Entry'!$AC$2,IF(AND('Marks Entry'!AC189="B"),'Marks Entry'!$AG$2,IF(AND('Marks Entry'!AC189="C"),'Marks Entry'!$AI$2,""))),", ",IF(AND('Marks Entry'!AK189="A"),'Marks Entry'!$AK$2,IF(AND('Marks Entry'!AK189="B"),'Marks Entry'!$AO$2,IF(AND('Marks Entry'!AK189="C"),'Marks Entry'!$AQ$2,""))),", ",IF(AND('Statement of Marks'!DD189=""),"",IF(AND('Statement of Marks'!DD189="A"),'Marks Entry'!$AS$2,IF(AND('Statement of Marks'!DD189="B"),'Marks Entry'!$AW$2,IF(AND('Statement of Marks'!DD189="C"),'Marks Entry'!$AY$2,"")))))),"")</f>
        <v/>
      </c>
      <c r="T186" s="431" t="str">
        <f>IF(COUNTIF(K186:R186,"F")&gt;0,"",CONCATENATE('Statement of Marks'!GU189,'Statement of Marks'!GW189))</f>
        <v xml:space="preserve">           </v>
      </c>
      <c r="BG186" s="17">
        <f>IFERROR(VLOOKUP(B186,'Statement of Marks'!$B$8:'Statement of Marks'!$HI$207,41,0),"")</f>
        <v>15</v>
      </c>
      <c r="BH186" s="17" t="str">
        <f>IFERROR(VLOOKUP(B186,'Statement of Marks'!$B$8:'Statement of Marks'!$HI$207,66,0),"")</f>
        <v/>
      </c>
      <c r="BI186" s="17">
        <f>IFERROR(VLOOKUP(B186,'Statement of Marks'!$B$8:'Statement of Marks'!$HI$207,91,0),"")</f>
        <v>60</v>
      </c>
      <c r="BJ186" s="17" t="str">
        <f>IFERROR(VLOOKUP(B186,'Statement of Marks'!$B$8:'Statement of Marks'!$HI$207,117,0),"")</f>
        <v/>
      </c>
    </row>
    <row r="187" spans="1:62" ht="24.95" customHeight="1">
      <c r="A187" s="284">
        <f>IF('Statement of Marks'!A190="","",'Statement of Marks'!A190)</f>
        <v>183</v>
      </c>
      <c r="B187" s="284" t="str">
        <f>IF('Statement of Marks'!B190="","",'Statement of Marks'!B190)</f>
        <v/>
      </c>
      <c r="C187" s="284" t="str">
        <f>IF('Statement of Marks'!C190="","",'Statement of Marks'!C190)</f>
        <v/>
      </c>
      <c r="D187" s="426" t="str">
        <f>IF('Statement of Marks'!D190="","",'Statement of Marks'!D190)</f>
        <v/>
      </c>
      <c r="E187" s="427" t="str">
        <f>IF('Statement of Marks'!E190="","",'Statement of Marks'!E190)</f>
        <v/>
      </c>
      <c r="F187" s="427" t="str">
        <f>IF('Statement of Marks'!F190="","",'Statement of Marks'!F190)</f>
        <v/>
      </c>
      <c r="G187" s="427" t="str">
        <f>IF('Statement of Marks'!G190="","",'Statement of Marks'!G190)</f>
        <v/>
      </c>
      <c r="H187" s="428" t="str">
        <f>IF(B187="","",IF('Statement of Marks'!GY190="","",'Statement of Marks'!GY190))</f>
        <v/>
      </c>
      <c r="I187" s="287" t="str">
        <f>IF(B187="","",IF('Statement of Marks'!HB190="","",'Statement of Marks'!HB190))</f>
        <v/>
      </c>
      <c r="J187" s="429" t="str">
        <f>IF(B187="","",IF('Statement of Marks'!HC190="","",'Statement of Marks'!HC190))</f>
        <v/>
      </c>
      <c r="K187" s="296" t="str">
        <f>IF(B187="","",'Statement of Marks'!FJ190)</f>
        <v/>
      </c>
      <c r="L187" s="296" t="str">
        <f>IF(B187="","",'Statement of Marks'!FM190)</f>
        <v/>
      </c>
      <c r="M187" s="296" t="str">
        <f>IF(B187="","",'Statement of Marks'!FP190)</f>
        <v/>
      </c>
      <c r="N187" s="296" t="str">
        <f>IF(B187="","",'Statement of Marks'!FW190)</f>
        <v/>
      </c>
      <c r="O187" s="296" t="str">
        <f>IF(B187="","",'Statement of Marks'!GD190)</f>
        <v/>
      </c>
      <c r="P187" s="296" t="str">
        <f>IF(B187="","",'Statement of Marks'!GK190)</f>
        <v/>
      </c>
      <c r="Q187" s="296" t="str">
        <f>IF(B187="","",'Statement of Marks'!GR190)</f>
        <v/>
      </c>
      <c r="R187" s="296" t="str">
        <f>IF(B187="","",'Statement of Marks'!FF190)</f>
        <v/>
      </c>
      <c r="S187" s="430" t="str">
        <f>IFERROR(IF(B187="","",CONCATENATE(IF(AND('Marks Entry'!U190="A"),'Marks Entry'!$U$2,IF(AND('Marks Entry'!U190="B"),'Marks Entry'!$Y$2,IF(AND('Marks Entry'!U190="C"),'Marks Entry'!$AA$2,""))),", ",IF(AND('Marks Entry'!AC190="A"),'Marks Entry'!$AC$2,IF(AND('Marks Entry'!AC190="B"),'Marks Entry'!$AG$2,IF(AND('Marks Entry'!AC190="C"),'Marks Entry'!$AI$2,""))),", ",IF(AND('Marks Entry'!AK190="A"),'Marks Entry'!$AK$2,IF(AND('Marks Entry'!AK190="B"),'Marks Entry'!$AO$2,IF(AND('Marks Entry'!AK190="C"),'Marks Entry'!$AQ$2,""))),", ",IF(AND('Statement of Marks'!DD190=""),"",IF(AND('Statement of Marks'!DD190="A"),'Marks Entry'!$AS$2,IF(AND('Statement of Marks'!DD190="B"),'Marks Entry'!$AW$2,IF(AND('Statement of Marks'!DD190="C"),'Marks Entry'!$AY$2,"")))))),"")</f>
        <v/>
      </c>
      <c r="T187" s="431" t="str">
        <f>IF(COUNTIF(K187:R187,"F")&gt;0,"",CONCATENATE('Statement of Marks'!GU190,'Statement of Marks'!GW190))</f>
        <v xml:space="preserve">           </v>
      </c>
      <c r="BG187" s="17">
        <f>IFERROR(VLOOKUP(B187,'Statement of Marks'!$B$8:'Statement of Marks'!$HI$207,41,0),"")</f>
        <v>15</v>
      </c>
      <c r="BH187" s="17" t="str">
        <f>IFERROR(VLOOKUP(B187,'Statement of Marks'!$B$8:'Statement of Marks'!$HI$207,66,0),"")</f>
        <v/>
      </c>
      <c r="BI187" s="17">
        <f>IFERROR(VLOOKUP(B187,'Statement of Marks'!$B$8:'Statement of Marks'!$HI$207,91,0),"")</f>
        <v>60</v>
      </c>
      <c r="BJ187" s="17" t="str">
        <f>IFERROR(VLOOKUP(B187,'Statement of Marks'!$B$8:'Statement of Marks'!$HI$207,117,0),"")</f>
        <v/>
      </c>
    </row>
    <row r="188" spans="1:62" ht="24.95" customHeight="1">
      <c r="A188" s="284">
        <f>IF('Statement of Marks'!A191="","",'Statement of Marks'!A191)</f>
        <v>184</v>
      </c>
      <c r="B188" s="284" t="str">
        <f>IF('Statement of Marks'!B191="","",'Statement of Marks'!B191)</f>
        <v/>
      </c>
      <c r="C188" s="284" t="str">
        <f>IF('Statement of Marks'!C191="","",'Statement of Marks'!C191)</f>
        <v/>
      </c>
      <c r="D188" s="426" t="str">
        <f>IF('Statement of Marks'!D191="","",'Statement of Marks'!D191)</f>
        <v/>
      </c>
      <c r="E188" s="427" t="str">
        <f>IF('Statement of Marks'!E191="","",'Statement of Marks'!E191)</f>
        <v/>
      </c>
      <c r="F188" s="427" t="str">
        <f>IF('Statement of Marks'!F191="","",'Statement of Marks'!F191)</f>
        <v/>
      </c>
      <c r="G188" s="427" t="str">
        <f>IF('Statement of Marks'!G191="","",'Statement of Marks'!G191)</f>
        <v/>
      </c>
      <c r="H188" s="428" t="str">
        <f>IF(B188="","",IF('Statement of Marks'!GY191="","",'Statement of Marks'!GY191))</f>
        <v/>
      </c>
      <c r="I188" s="287" t="str">
        <f>IF(B188="","",IF('Statement of Marks'!HB191="","",'Statement of Marks'!HB191))</f>
        <v/>
      </c>
      <c r="J188" s="429" t="str">
        <f>IF(B188="","",IF('Statement of Marks'!HC191="","",'Statement of Marks'!HC191))</f>
        <v/>
      </c>
      <c r="K188" s="296" t="str">
        <f>IF(B188="","",'Statement of Marks'!FJ191)</f>
        <v/>
      </c>
      <c r="L188" s="296" t="str">
        <f>IF(B188="","",'Statement of Marks'!FM191)</f>
        <v/>
      </c>
      <c r="M188" s="296" t="str">
        <f>IF(B188="","",'Statement of Marks'!FP191)</f>
        <v/>
      </c>
      <c r="N188" s="296" t="str">
        <f>IF(B188="","",'Statement of Marks'!FW191)</f>
        <v/>
      </c>
      <c r="O188" s="296" t="str">
        <f>IF(B188="","",'Statement of Marks'!GD191)</f>
        <v/>
      </c>
      <c r="P188" s="296" t="str">
        <f>IF(B188="","",'Statement of Marks'!GK191)</f>
        <v/>
      </c>
      <c r="Q188" s="296" t="str">
        <f>IF(B188="","",'Statement of Marks'!GR191)</f>
        <v/>
      </c>
      <c r="R188" s="296" t="str">
        <f>IF(B188="","",'Statement of Marks'!FF191)</f>
        <v/>
      </c>
      <c r="S188" s="430" t="str">
        <f>IFERROR(IF(B188="","",CONCATENATE(IF(AND('Marks Entry'!U191="A"),'Marks Entry'!$U$2,IF(AND('Marks Entry'!U191="B"),'Marks Entry'!$Y$2,IF(AND('Marks Entry'!U191="C"),'Marks Entry'!$AA$2,""))),", ",IF(AND('Marks Entry'!AC191="A"),'Marks Entry'!$AC$2,IF(AND('Marks Entry'!AC191="B"),'Marks Entry'!$AG$2,IF(AND('Marks Entry'!AC191="C"),'Marks Entry'!$AI$2,""))),", ",IF(AND('Marks Entry'!AK191="A"),'Marks Entry'!$AK$2,IF(AND('Marks Entry'!AK191="B"),'Marks Entry'!$AO$2,IF(AND('Marks Entry'!AK191="C"),'Marks Entry'!$AQ$2,""))),", ",IF(AND('Statement of Marks'!DD191=""),"",IF(AND('Statement of Marks'!DD191="A"),'Marks Entry'!$AS$2,IF(AND('Statement of Marks'!DD191="B"),'Marks Entry'!$AW$2,IF(AND('Statement of Marks'!DD191="C"),'Marks Entry'!$AY$2,"")))))),"")</f>
        <v/>
      </c>
      <c r="T188" s="431" t="str">
        <f>IF(COUNTIF(K188:R188,"F")&gt;0,"",CONCATENATE('Statement of Marks'!GU191,'Statement of Marks'!GW191))</f>
        <v xml:space="preserve">           </v>
      </c>
      <c r="BG188" s="17">
        <f>IFERROR(VLOOKUP(B188,'Statement of Marks'!$B$8:'Statement of Marks'!$HI$207,41,0),"")</f>
        <v>15</v>
      </c>
      <c r="BH188" s="17" t="str">
        <f>IFERROR(VLOOKUP(B188,'Statement of Marks'!$B$8:'Statement of Marks'!$HI$207,66,0),"")</f>
        <v/>
      </c>
      <c r="BI188" s="17">
        <f>IFERROR(VLOOKUP(B188,'Statement of Marks'!$B$8:'Statement of Marks'!$HI$207,91,0),"")</f>
        <v>60</v>
      </c>
      <c r="BJ188" s="17" t="str">
        <f>IFERROR(VLOOKUP(B188,'Statement of Marks'!$B$8:'Statement of Marks'!$HI$207,117,0),"")</f>
        <v/>
      </c>
    </row>
    <row r="189" spans="1:62" ht="24.95" customHeight="1">
      <c r="A189" s="284">
        <f>IF('Statement of Marks'!A192="","",'Statement of Marks'!A192)</f>
        <v>185</v>
      </c>
      <c r="B189" s="284" t="str">
        <f>IF('Statement of Marks'!B192="","",'Statement of Marks'!B192)</f>
        <v/>
      </c>
      <c r="C189" s="284" t="str">
        <f>IF('Statement of Marks'!C192="","",'Statement of Marks'!C192)</f>
        <v/>
      </c>
      <c r="D189" s="426" t="str">
        <f>IF('Statement of Marks'!D192="","",'Statement of Marks'!D192)</f>
        <v/>
      </c>
      <c r="E189" s="427" t="str">
        <f>IF('Statement of Marks'!E192="","",'Statement of Marks'!E192)</f>
        <v/>
      </c>
      <c r="F189" s="427" t="str">
        <f>IF('Statement of Marks'!F192="","",'Statement of Marks'!F192)</f>
        <v/>
      </c>
      <c r="G189" s="427" t="str">
        <f>IF('Statement of Marks'!G192="","",'Statement of Marks'!G192)</f>
        <v/>
      </c>
      <c r="H189" s="428" t="str">
        <f>IF(B189="","",IF('Statement of Marks'!GY192="","",'Statement of Marks'!GY192))</f>
        <v/>
      </c>
      <c r="I189" s="287" t="str">
        <f>IF(B189="","",IF('Statement of Marks'!HB192="","",'Statement of Marks'!HB192))</f>
        <v/>
      </c>
      <c r="J189" s="429" t="str">
        <f>IF(B189="","",IF('Statement of Marks'!HC192="","",'Statement of Marks'!HC192))</f>
        <v/>
      </c>
      <c r="K189" s="296" t="str">
        <f>IF(B189="","",'Statement of Marks'!FJ192)</f>
        <v/>
      </c>
      <c r="L189" s="296" t="str">
        <f>IF(B189="","",'Statement of Marks'!FM192)</f>
        <v/>
      </c>
      <c r="M189" s="296" t="str">
        <f>IF(B189="","",'Statement of Marks'!FP192)</f>
        <v/>
      </c>
      <c r="N189" s="296" t="str">
        <f>IF(B189="","",'Statement of Marks'!FW192)</f>
        <v/>
      </c>
      <c r="O189" s="296" t="str">
        <f>IF(B189="","",'Statement of Marks'!GD192)</f>
        <v/>
      </c>
      <c r="P189" s="296" t="str">
        <f>IF(B189="","",'Statement of Marks'!GK192)</f>
        <v/>
      </c>
      <c r="Q189" s="296" t="str">
        <f>IF(B189="","",'Statement of Marks'!GR192)</f>
        <v/>
      </c>
      <c r="R189" s="296" t="str">
        <f>IF(B189="","",'Statement of Marks'!FF192)</f>
        <v/>
      </c>
      <c r="S189" s="430" t="str">
        <f>IFERROR(IF(B189="","",CONCATENATE(IF(AND('Marks Entry'!U192="A"),'Marks Entry'!$U$2,IF(AND('Marks Entry'!U192="B"),'Marks Entry'!$Y$2,IF(AND('Marks Entry'!U192="C"),'Marks Entry'!$AA$2,""))),", ",IF(AND('Marks Entry'!AC192="A"),'Marks Entry'!$AC$2,IF(AND('Marks Entry'!AC192="B"),'Marks Entry'!$AG$2,IF(AND('Marks Entry'!AC192="C"),'Marks Entry'!$AI$2,""))),", ",IF(AND('Marks Entry'!AK192="A"),'Marks Entry'!$AK$2,IF(AND('Marks Entry'!AK192="B"),'Marks Entry'!$AO$2,IF(AND('Marks Entry'!AK192="C"),'Marks Entry'!$AQ$2,""))),", ",IF(AND('Statement of Marks'!DD192=""),"",IF(AND('Statement of Marks'!DD192="A"),'Marks Entry'!$AS$2,IF(AND('Statement of Marks'!DD192="B"),'Marks Entry'!$AW$2,IF(AND('Statement of Marks'!DD192="C"),'Marks Entry'!$AY$2,"")))))),"")</f>
        <v/>
      </c>
      <c r="T189" s="431" t="str">
        <f>IF(COUNTIF(K189:R189,"F")&gt;0,"",CONCATENATE('Statement of Marks'!GU192,'Statement of Marks'!GW192))</f>
        <v xml:space="preserve">           </v>
      </c>
      <c r="BG189" s="17">
        <f>IFERROR(VLOOKUP(B189,'Statement of Marks'!$B$8:'Statement of Marks'!$HI$207,41,0),"")</f>
        <v>15</v>
      </c>
      <c r="BH189" s="17" t="str">
        <f>IFERROR(VLOOKUP(B189,'Statement of Marks'!$B$8:'Statement of Marks'!$HI$207,66,0),"")</f>
        <v/>
      </c>
      <c r="BI189" s="17">
        <f>IFERROR(VLOOKUP(B189,'Statement of Marks'!$B$8:'Statement of Marks'!$HI$207,91,0),"")</f>
        <v>60</v>
      </c>
      <c r="BJ189" s="17" t="str">
        <f>IFERROR(VLOOKUP(B189,'Statement of Marks'!$B$8:'Statement of Marks'!$HI$207,117,0),"")</f>
        <v/>
      </c>
    </row>
    <row r="190" spans="1:62" ht="24.95" customHeight="1">
      <c r="A190" s="284">
        <f>IF('Statement of Marks'!A193="","",'Statement of Marks'!A193)</f>
        <v>186</v>
      </c>
      <c r="B190" s="284" t="str">
        <f>IF('Statement of Marks'!B193="","",'Statement of Marks'!B193)</f>
        <v/>
      </c>
      <c r="C190" s="284" t="str">
        <f>IF('Statement of Marks'!C193="","",'Statement of Marks'!C193)</f>
        <v/>
      </c>
      <c r="D190" s="426" t="str">
        <f>IF('Statement of Marks'!D193="","",'Statement of Marks'!D193)</f>
        <v/>
      </c>
      <c r="E190" s="427" t="str">
        <f>IF('Statement of Marks'!E193="","",'Statement of Marks'!E193)</f>
        <v/>
      </c>
      <c r="F190" s="427" t="str">
        <f>IF('Statement of Marks'!F193="","",'Statement of Marks'!F193)</f>
        <v/>
      </c>
      <c r="G190" s="427" t="str">
        <f>IF('Statement of Marks'!G193="","",'Statement of Marks'!G193)</f>
        <v/>
      </c>
      <c r="H190" s="428" t="str">
        <f>IF(B190="","",IF('Statement of Marks'!GY193="","",'Statement of Marks'!GY193))</f>
        <v/>
      </c>
      <c r="I190" s="287" t="str">
        <f>IF(B190="","",IF('Statement of Marks'!HB193="","",'Statement of Marks'!HB193))</f>
        <v/>
      </c>
      <c r="J190" s="429" t="str">
        <f>IF(B190="","",IF('Statement of Marks'!HC193="","",'Statement of Marks'!HC193))</f>
        <v/>
      </c>
      <c r="K190" s="296" t="str">
        <f>IF(B190="","",'Statement of Marks'!FJ193)</f>
        <v/>
      </c>
      <c r="L190" s="296" t="str">
        <f>IF(B190="","",'Statement of Marks'!FM193)</f>
        <v/>
      </c>
      <c r="M190" s="296" t="str">
        <f>IF(B190="","",'Statement of Marks'!FP193)</f>
        <v/>
      </c>
      <c r="N190" s="296" t="str">
        <f>IF(B190="","",'Statement of Marks'!FW193)</f>
        <v/>
      </c>
      <c r="O190" s="296" t="str">
        <f>IF(B190="","",'Statement of Marks'!GD193)</f>
        <v/>
      </c>
      <c r="P190" s="296" t="str">
        <f>IF(B190="","",'Statement of Marks'!GK193)</f>
        <v/>
      </c>
      <c r="Q190" s="296" t="str">
        <f>IF(B190="","",'Statement of Marks'!GR193)</f>
        <v/>
      </c>
      <c r="R190" s="296" t="str">
        <f>IF(B190="","",'Statement of Marks'!FF193)</f>
        <v/>
      </c>
      <c r="S190" s="430" t="str">
        <f>IFERROR(IF(B190="","",CONCATENATE(IF(AND('Marks Entry'!U193="A"),'Marks Entry'!$U$2,IF(AND('Marks Entry'!U193="B"),'Marks Entry'!$Y$2,IF(AND('Marks Entry'!U193="C"),'Marks Entry'!$AA$2,""))),", ",IF(AND('Marks Entry'!AC193="A"),'Marks Entry'!$AC$2,IF(AND('Marks Entry'!AC193="B"),'Marks Entry'!$AG$2,IF(AND('Marks Entry'!AC193="C"),'Marks Entry'!$AI$2,""))),", ",IF(AND('Marks Entry'!AK193="A"),'Marks Entry'!$AK$2,IF(AND('Marks Entry'!AK193="B"),'Marks Entry'!$AO$2,IF(AND('Marks Entry'!AK193="C"),'Marks Entry'!$AQ$2,""))),", ",IF(AND('Statement of Marks'!DD193=""),"",IF(AND('Statement of Marks'!DD193="A"),'Marks Entry'!$AS$2,IF(AND('Statement of Marks'!DD193="B"),'Marks Entry'!$AW$2,IF(AND('Statement of Marks'!DD193="C"),'Marks Entry'!$AY$2,"")))))),"")</f>
        <v/>
      </c>
      <c r="T190" s="431" t="str">
        <f>IF(COUNTIF(K190:R190,"F")&gt;0,"",CONCATENATE('Statement of Marks'!GU193,'Statement of Marks'!GW193))</f>
        <v xml:space="preserve">           </v>
      </c>
      <c r="BG190" s="17">
        <f>IFERROR(VLOOKUP(B190,'Statement of Marks'!$B$8:'Statement of Marks'!$HI$207,41,0),"")</f>
        <v>15</v>
      </c>
      <c r="BH190" s="17" t="str">
        <f>IFERROR(VLOOKUP(B190,'Statement of Marks'!$B$8:'Statement of Marks'!$HI$207,66,0),"")</f>
        <v/>
      </c>
      <c r="BI190" s="17">
        <f>IFERROR(VLOOKUP(B190,'Statement of Marks'!$B$8:'Statement of Marks'!$HI$207,91,0),"")</f>
        <v>60</v>
      </c>
      <c r="BJ190" s="17" t="str">
        <f>IFERROR(VLOOKUP(B190,'Statement of Marks'!$B$8:'Statement of Marks'!$HI$207,117,0),"")</f>
        <v/>
      </c>
    </row>
    <row r="191" spans="1:62" ht="24.95" customHeight="1">
      <c r="A191" s="284">
        <f>IF('Statement of Marks'!A194="","",'Statement of Marks'!A194)</f>
        <v>187</v>
      </c>
      <c r="B191" s="284" t="str">
        <f>IF('Statement of Marks'!B194="","",'Statement of Marks'!B194)</f>
        <v/>
      </c>
      <c r="C191" s="284" t="str">
        <f>IF('Statement of Marks'!C194="","",'Statement of Marks'!C194)</f>
        <v/>
      </c>
      <c r="D191" s="426" t="str">
        <f>IF('Statement of Marks'!D194="","",'Statement of Marks'!D194)</f>
        <v/>
      </c>
      <c r="E191" s="427" t="str">
        <f>IF('Statement of Marks'!E194="","",'Statement of Marks'!E194)</f>
        <v/>
      </c>
      <c r="F191" s="427" t="str">
        <f>IF('Statement of Marks'!F194="","",'Statement of Marks'!F194)</f>
        <v/>
      </c>
      <c r="G191" s="427" t="str">
        <f>IF('Statement of Marks'!G194="","",'Statement of Marks'!G194)</f>
        <v/>
      </c>
      <c r="H191" s="428" t="str">
        <f>IF(B191="","",IF('Statement of Marks'!GY194="","",'Statement of Marks'!GY194))</f>
        <v/>
      </c>
      <c r="I191" s="287" t="str">
        <f>IF(B191="","",IF('Statement of Marks'!HB194="","",'Statement of Marks'!HB194))</f>
        <v/>
      </c>
      <c r="J191" s="429" t="str">
        <f>IF(B191="","",IF('Statement of Marks'!HC194="","",'Statement of Marks'!HC194))</f>
        <v/>
      </c>
      <c r="K191" s="296" t="str">
        <f>IF(B191="","",'Statement of Marks'!FJ194)</f>
        <v/>
      </c>
      <c r="L191" s="296" t="str">
        <f>IF(B191="","",'Statement of Marks'!FM194)</f>
        <v/>
      </c>
      <c r="M191" s="296" t="str">
        <f>IF(B191="","",'Statement of Marks'!FP194)</f>
        <v/>
      </c>
      <c r="N191" s="296" t="str">
        <f>IF(B191="","",'Statement of Marks'!FW194)</f>
        <v/>
      </c>
      <c r="O191" s="296" t="str">
        <f>IF(B191="","",'Statement of Marks'!GD194)</f>
        <v/>
      </c>
      <c r="P191" s="296" t="str">
        <f>IF(B191="","",'Statement of Marks'!GK194)</f>
        <v/>
      </c>
      <c r="Q191" s="296" t="str">
        <f>IF(B191="","",'Statement of Marks'!GR194)</f>
        <v/>
      </c>
      <c r="R191" s="296" t="str">
        <f>IF(B191="","",'Statement of Marks'!FF194)</f>
        <v/>
      </c>
      <c r="S191" s="430" t="str">
        <f>IFERROR(IF(B191="","",CONCATENATE(IF(AND('Marks Entry'!U194="A"),'Marks Entry'!$U$2,IF(AND('Marks Entry'!U194="B"),'Marks Entry'!$Y$2,IF(AND('Marks Entry'!U194="C"),'Marks Entry'!$AA$2,""))),", ",IF(AND('Marks Entry'!AC194="A"),'Marks Entry'!$AC$2,IF(AND('Marks Entry'!AC194="B"),'Marks Entry'!$AG$2,IF(AND('Marks Entry'!AC194="C"),'Marks Entry'!$AI$2,""))),", ",IF(AND('Marks Entry'!AK194="A"),'Marks Entry'!$AK$2,IF(AND('Marks Entry'!AK194="B"),'Marks Entry'!$AO$2,IF(AND('Marks Entry'!AK194="C"),'Marks Entry'!$AQ$2,""))),", ",IF(AND('Statement of Marks'!DD194=""),"",IF(AND('Statement of Marks'!DD194="A"),'Marks Entry'!$AS$2,IF(AND('Statement of Marks'!DD194="B"),'Marks Entry'!$AW$2,IF(AND('Statement of Marks'!DD194="C"),'Marks Entry'!$AY$2,"")))))),"")</f>
        <v/>
      </c>
      <c r="T191" s="431" t="str">
        <f>IF(COUNTIF(K191:R191,"F")&gt;0,"",CONCATENATE('Statement of Marks'!GU194,'Statement of Marks'!GW194))</f>
        <v xml:space="preserve">           </v>
      </c>
      <c r="BG191" s="17">
        <f>IFERROR(VLOOKUP(B191,'Statement of Marks'!$B$8:'Statement of Marks'!$HI$207,41,0),"")</f>
        <v>15</v>
      </c>
      <c r="BH191" s="17" t="str">
        <f>IFERROR(VLOOKUP(B191,'Statement of Marks'!$B$8:'Statement of Marks'!$HI$207,66,0),"")</f>
        <v/>
      </c>
      <c r="BI191" s="17">
        <f>IFERROR(VLOOKUP(B191,'Statement of Marks'!$B$8:'Statement of Marks'!$HI$207,91,0),"")</f>
        <v>60</v>
      </c>
      <c r="BJ191" s="17" t="str">
        <f>IFERROR(VLOOKUP(B191,'Statement of Marks'!$B$8:'Statement of Marks'!$HI$207,117,0),"")</f>
        <v/>
      </c>
    </row>
    <row r="192" spans="1:62" ht="24.95" customHeight="1">
      <c r="A192" s="284">
        <f>IF('Statement of Marks'!A195="","",'Statement of Marks'!A195)</f>
        <v>188</v>
      </c>
      <c r="B192" s="284" t="str">
        <f>IF('Statement of Marks'!B195="","",'Statement of Marks'!B195)</f>
        <v/>
      </c>
      <c r="C192" s="284" t="str">
        <f>IF('Statement of Marks'!C195="","",'Statement of Marks'!C195)</f>
        <v/>
      </c>
      <c r="D192" s="426" t="str">
        <f>IF('Statement of Marks'!D195="","",'Statement of Marks'!D195)</f>
        <v/>
      </c>
      <c r="E192" s="427" t="str">
        <f>IF('Statement of Marks'!E195="","",'Statement of Marks'!E195)</f>
        <v/>
      </c>
      <c r="F192" s="427" t="str">
        <f>IF('Statement of Marks'!F195="","",'Statement of Marks'!F195)</f>
        <v/>
      </c>
      <c r="G192" s="427" t="str">
        <f>IF('Statement of Marks'!G195="","",'Statement of Marks'!G195)</f>
        <v/>
      </c>
      <c r="H192" s="428" t="str">
        <f>IF(B192="","",IF('Statement of Marks'!GY195="","",'Statement of Marks'!GY195))</f>
        <v/>
      </c>
      <c r="I192" s="287" t="str">
        <f>IF(B192="","",IF('Statement of Marks'!HB195="","",'Statement of Marks'!HB195))</f>
        <v/>
      </c>
      <c r="J192" s="429" t="str">
        <f>IF(B192="","",IF('Statement of Marks'!HC195="","",'Statement of Marks'!HC195))</f>
        <v/>
      </c>
      <c r="K192" s="296" t="str">
        <f>IF(B192="","",'Statement of Marks'!FJ195)</f>
        <v/>
      </c>
      <c r="L192" s="296" t="str">
        <f>IF(B192="","",'Statement of Marks'!FM195)</f>
        <v/>
      </c>
      <c r="M192" s="296" t="str">
        <f>IF(B192="","",'Statement of Marks'!FP195)</f>
        <v/>
      </c>
      <c r="N192" s="296" t="str">
        <f>IF(B192="","",'Statement of Marks'!FW195)</f>
        <v/>
      </c>
      <c r="O192" s="296" t="str">
        <f>IF(B192="","",'Statement of Marks'!GD195)</f>
        <v/>
      </c>
      <c r="P192" s="296" t="str">
        <f>IF(B192="","",'Statement of Marks'!GK195)</f>
        <v/>
      </c>
      <c r="Q192" s="296" t="str">
        <f>IF(B192="","",'Statement of Marks'!GR195)</f>
        <v/>
      </c>
      <c r="R192" s="296" t="str">
        <f>IF(B192="","",'Statement of Marks'!FF195)</f>
        <v/>
      </c>
      <c r="S192" s="430" t="str">
        <f>IFERROR(IF(B192="","",CONCATENATE(IF(AND('Marks Entry'!U195="A"),'Marks Entry'!$U$2,IF(AND('Marks Entry'!U195="B"),'Marks Entry'!$Y$2,IF(AND('Marks Entry'!U195="C"),'Marks Entry'!$AA$2,""))),", ",IF(AND('Marks Entry'!AC195="A"),'Marks Entry'!$AC$2,IF(AND('Marks Entry'!AC195="B"),'Marks Entry'!$AG$2,IF(AND('Marks Entry'!AC195="C"),'Marks Entry'!$AI$2,""))),", ",IF(AND('Marks Entry'!AK195="A"),'Marks Entry'!$AK$2,IF(AND('Marks Entry'!AK195="B"),'Marks Entry'!$AO$2,IF(AND('Marks Entry'!AK195="C"),'Marks Entry'!$AQ$2,""))),", ",IF(AND('Statement of Marks'!DD195=""),"",IF(AND('Statement of Marks'!DD195="A"),'Marks Entry'!$AS$2,IF(AND('Statement of Marks'!DD195="B"),'Marks Entry'!$AW$2,IF(AND('Statement of Marks'!DD195="C"),'Marks Entry'!$AY$2,"")))))),"")</f>
        <v/>
      </c>
      <c r="T192" s="431" t="str">
        <f>IF(COUNTIF(K192:R192,"F")&gt;0,"",CONCATENATE('Statement of Marks'!GU195,'Statement of Marks'!GW195))</f>
        <v xml:space="preserve">           </v>
      </c>
      <c r="BG192" s="17">
        <f>IFERROR(VLOOKUP(B192,'Statement of Marks'!$B$8:'Statement of Marks'!$HI$207,41,0),"")</f>
        <v>15</v>
      </c>
      <c r="BH192" s="17" t="str">
        <f>IFERROR(VLOOKUP(B192,'Statement of Marks'!$B$8:'Statement of Marks'!$HI$207,66,0),"")</f>
        <v/>
      </c>
      <c r="BI192" s="17">
        <f>IFERROR(VLOOKUP(B192,'Statement of Marks'!$B$8:'Statement of Marks'!$HI$207,91,0),"")</f>
        <v>60</v>
      </c>
      <c r="BJ192" s="17" t="str">
        <f>IFERROR(VLOOKUP(B192,'Statement of Marks'!$B$8:'Statement of Marks'!$HI$207,117,0),"")</f>
        <v/>
      </c>
    </row>
    <row r="193" spans="1:62" ht="24.95" customHeight="1">
      <c r="A193" s="284">
        <f>IF('Statement of Marks'!A196="","",'Statement of Marks'!A196)</f>
        <v>189</v>
      </c>
      <c r="B193" s="284" t="str">
        <f>IF('Statement of Marks'!B196="","",'Statement of Marks'!B196)</f>
        <v/>
      </c>
      <c r="C193" s="284" t="str">
        <f>IF('Statement of Marks'!C196="","",'Statement of Marks'!C196)</f>
        <v/>
      </c>
      <c r="D193" s="426" t="str">
        <f>IF('Statement of Marks'!D196="","",'Statement of Marks'!D196)</f>
        <v/>
      </c>
      <c r="E193" s="427" t="str">
        <f>IF('Statement of Marks'!E196="","",'Statement of Marks'!E196)</f>
        <v/>
      </c>
      <c r="F193" s="427" t="str">
        <f>IF('Statement of Marks'!F196="","",'Statement of Marks'!F196)</f>
        <v/>
      </c>
      <c r="G193" s="427" t="str">
        <f>IF('Statement of Marks'!G196="","",'Statement of Marks'!G196)</f>
        <v/>
      </c>
      <c r="H193" s="428" t="str">
        <f>IF(B193="","",IF('Statement of Marks'!GY196="","",'Statement of Marks'!GY196))</f>
        <v/>
      </c>
      <c r="I193" s="287" t="str">
        <f>IF(B193="","",IF('Statement of Marks'!HB196="","",'Statement of Marks'!HB196))</f>
        <v/>
      </c>
      <c r="J193" s="429" t="str">
        <f>IF(B193="","",IF('Statement of Marks'!HC196="","",'Statement of Marks'!HC196))</f>
        <v/>
      </c>
      <c r="K193" s="296" t="str">
        <f>IF(B193="","",'Statement of Marks'!FJ196)</f>
        <v/>
      </c>
      <c r="L193" s="296" t="str">
        <f>IF(B193="","",'Statement of Marks'!FM196)</f>
        <v/>
      </c>
      <c r="M193" s="296" t="str">
        <f>IF(B193="","",'Statement of Marks'!FP196)</f>
        <v/>
      </c>
      <c r="N193" s="296" t="str">
        <f>IF(B193="","",'Statement of Marks'!FW196)</f>
        <v/>
      </c>
      <c r="O193" s="296" t="str">
        <f>IF(B193="","",'Statement of Marks'!GD196)</f>
        <v/>
      </c>
      <c r="P193" s="296" t="str">
        <f>IF(B193="","",'Statement of Marks'!GK196)</f>
        <v/>
      </c>
      <c r="Q193" s="296" t="str">
        <f>IF(B193="","",'Statement of Marks'!GR196)</f>
        <v/>
      </c>
      <c r="R193" s="296" t="str">
        <f>IF(B193="","",'Statement of Marks'!FF196)</f>
        <v/>
      </c>
      <c r="S193" s="430" t="str">
        <f>IFERROR(IF(B193="","",CONCATENATE(IF(AND('Marks Entry'!U196="A"),'Marks Entry'!$U$2,IF(AND('Marks Entry'!U196="B"),'Marks Entry'!$Y$2,IF(AND('Marks Entry'!U196="C"),'Marks Entry'!$AA$2,""))),", ",IF(AND('Marks Entry'!AC196="A"),'Marks Entry'!$AC$2,IF(AND('Marks Entry'!AC196="B"),'Marks Entry'!$AG$2,IF(AND('Marks Entry'!AC196="C"),'Marks Entry'!$AI$2,""))),", ",IF(AND('Marks Entry'!AK196="A"),'Marks Entry'!$AK$2,IF(AND('Marks Entry'!AK196="B"),'Marks Entry'!$AO$2,IF(AND('Marks Entry'!AK196="C"),'Marks Entry'!$AQ$2,""))),", ",IF(AND('Statement of Marks'!DD196=""),"",IF(AND('Statement of Marks'!DD196="A"),'Marks Entry'!$AS$2,IF(AND('Statement of Marks'!DD196="B"),'Marks Entry'!$AW$2,IF(AND('Statement of Marks'!DD196="C"),'Marks Entry'!$AY$2,"")))))),"")</f>
        <v/>
      </c>
      <c r="T193" s="431" t="str">
        <f>IF(COUNTIF(K193:R193,"F")&gt;0,"",CONCATENATE('Statement of Marks'!GU196,'Statement of Marks'!GW196))</f>
        <v xml:space="preserve">           </v>
      </c>
      <c r="BG193" s="17">
        <f>IFERROR(VLOOKUP(B193,'Statement of Marks'!$B$8:'Statement of Marks'!$HI$207,41,0),"")</f>
        <v>15</v>
      </c>
      <c r="BH193" s="17" t="str">
        <f>IFERROR(VLOOKUP(B193,'Statement of Marks'!$B$8:'Statement of Marks'!$HI$207,66,0),"")</f>
        <v/>
      </c>
      <c r="BI193" s="17">
        <f>IFERROR(VLOOKUP(B193,'Statement of Marks'!$B$8:'Statement of Marks'!$HI$207,91,0),"")</f>
        <v>60</v>
      </c>
      <c r="BJ193" s="17" t="str">
        <f>IFERROR(VLOOKUP(B193,'Statement of Marks'!$B$8:'Statement of Marks'!$HI$207,117,0),"")</f>
        <v/>
      </c>
    </row>
    <row r="194" spans="1:62" ht="24.95" customHeight="1">
      <c r="A194" s="284">
        <f>IF('Statement of Marks'!A197="","",'Statement of Marks'!A197)</f>
        <v>190</v>
      </c>
      <c r="B194" s="284" t="str">
        <f>IF('Statement of Marks'!B197="","",'Statement of Marks'!B197)</f>
        <v/>
      </c>
      <c r="C194" s="284" t="str">
        <f>IF('Statement of Marks'!C197="","",'Statement of Marks'!C197)</f>
        <v/>
      </c>
      <c r="D194" s="426" t="str">
        <f>IF('Statement of Marks'!D197="","",'Statement of Marks'!D197)</f>
        <v/>
      </c>
      <c r="E194" s="427" t="str">
        <f>IF('Statement of Marks'!E197="","",'Statement of Marks'!E197)</f>
        <v/>
      </c>
      <c r="F194" s="427" t="str">
        <f>IF('Statement of Marks'!F197="","",'Statement of Marks'!F197)</f>
        <v/>
      </c>
      <c r="G194" s="427" t="str">
        <f>IF('Statement of Marks'!G197="","",'Statement of Marks'!G197)</f>
        <v/>
      </c>
      <c r="H194" s="428" t="str">
        <f>IF(B194="","",IF('Statement of Marks'!GY197="","",'Statement of Marks'!GY197))</f>
        <v/>
      </c>
      <c r="I194" s="287" t="str">
        <f>IF(B194="","",IF('Statement of Marks'!HB197="","",'Statement of Marks'!HB197))</f>
        <v/>
      </c>
      <c r="J194" s="429" t="str">
        <f>IF(B194="","",IF('Statement of Marks'!HC197="","",'Statement of Marks'!HC197))</f>
        <v/>
      </c>
      <c r="K194" s="296" t="str">
        <f>IF(B194="","",'Statement of Marks'!FJ197)</f>
        <v/>
      </c>
      <c r="L194" s="296" t="str">
        <f>IF(B194="","",'Statement of Marks'!FM197)</f>
        <v/>
      </c>
      <c r="M194" s="296" t="str">
        <f>IF(B194="","",'Statement of Marks'!FP197)</f>
        <v/>
      </c>
      <c r="N194" s="296" t="str">
        <f>IF(B194="","",'Statement of Marks'!FW197)</f>
        <v/>
      </c>
      <c r="O194" s="296" t="str">
        <f>IF(B194="","",'Statement of Marks'!GD197)</f>
        <v/>
      </c>
      <c r="P194" s="296" t="str">
        <f>IF(B194="","",'Statement of Marks'!GK197)</f>
        <v/>
      </c>
      <c r="Q194" s="296" t="str">
        <f>IF(B194="","",'Statement of Marks'!GR197)</f>
        <v/>
      </c>
      <c r="R194" s="296" t="str">
        <f>IF(B194="","",'Statement of Marks'!FF197)</f>
        <v/>
      </c>
      <c r="S194" s="430" t="str">
        <f>IFERROR(IF(B194="","",CONCATENATE(IF(AND('Marks Entry'!U197="A"),'Marks Entry'!$U$2,IF(AND('Marks Entry'!U197="B"),'Marks Entry'!$Y$2,IF(AND('Marks Entry'!U197="C"),'Marks Entry'!$AA$2,""))),", ",IF(AND('Marks Entry'!AC197="A"),'Marks Entry'!$AC$2,IF(AND('Marks Entry'!AC197="B"),'Marks Entry'!$AG$2,IF(AND('Marks Entry'!AC197="C"),'Marks Entry'!$AI$2,""))),", ",IF(AND('Marks Entry'!AK197="A"),'Marks Entry'!$AK$2,IF(AND('Marks Entry'!AK197="B"),'Marks Entry'!$AO$2,IF(AND('Marks Entry'!AK197="C"),'Marks Entry'!$AQ$2,""))),", ",IF(AND('Statement of Marks'!DD197=""),"",IF(AND('Statement of Marks'!DD197="A"),'Marks Entry'!$AS$2,IF(AND('Statement of Marks'!DD197="B"),'Marks Entry'!$AW$2,IF(AND('Statement of Marks'!DD197="C"),'Marks Entry'!$AY$2,"")))))),"")</f>
        <v/>
      </c>
      <c r="T194" s="431" t="str">
        <f>IF(COUNTIF(K194:R194,"F")&gt;0,"",CONCATENATE('Statement of Marks'!GU197,'Statement of Marks'!GW197))</f>
        <v xml:space="preserve">           </v>
      </c>
      <c r="BG194" s="17">
        <f>IFERROR(VLOOKUP(B194,'Statement of Marks'!$B$8:'Statement of Marks'!$HI$207,41,0),"")</f>
        <v>15</v>
      </c>
      <c r="BH194" s="17" t="str">
        <f>IFERROR(VLOOKUP(B194,'Statement of Marks'!$B$8:'Statement of Marks'!$HI$207,66,0),"")</f>
        <v/>
      </c>
      <c r="BI194" s="17">
        <f>IFERROR(VLOOKUP(B194,'Statement of Marks'!$B$8:'Statement of Marks'!$HI$207,91,0),"")</f>
        <v>60</v>
      </c>
      <c r="BJ194" s="17" t="str">
        <f>IFERROR(VLOOKUP(B194,'Statement of Marks'!$B$8:'Statement of Marks'!$HI$207,117,0),"")</f>
        <v/>
      </c>
    </row>
    <row r="195" spans="1:62" ht="24.95" customHeight="1">
      <c r="A195" s="284">
        <f>IF('Statement of Marks'!A198="","",'Statement of Marks'!A198)</f>
        <v>191</v>
      </c>
      <c r="B195" s="284" t="str">
        <f>IF('Statement of Marks'!B198="","",'Statement of Marks'!B198)</f>
        <v/>
      </c>
      <c r="C195" s="284" t="str">
        <f>IF('Statement of Marks'!C198="","",'Statement of Marks'!C198)</f>
        <v/>
      </c>
      <c r="D195" s="426" t="str">
        <f>IF('Statement of Marks'!D198="","",'Statement of Marks'!D198)</f>
        <v/>
      </c>
      <c r="E195" s="427" t="str">
        <f>IF('Statement of Marks'!E198="","",'Statement of Marks'!E198)</f>
        <v/>
      </c>
      <c r="F195" s="427" t="str">
        <f>IF('Statement of Marks'!F198="","",'Statement of Marks'!F198)</f>
        <v/>
      </c>
      <c r="G195" s="427" t="str">
        <f>IF('Statement of Marks'!G198="","",'Statement of Marks'!G198)</f>
        <v/>
      </c>
      <c r="H195" s="428" t="str">
        <f>IF(B195="","",IF('Statement of Marks'!GY198="","",'Statement of Marks'!GY198))</f>
        <v/>
      </c>
      <c r="I195" s="287" t="str">
        <f>IF(B195="","",IF('Statement of Marks'!HB198="","",'Statement of Marks'!HB198))</f>
        <v/>
      </c>
      <c r="J195" s="429" t="str">
        <f>IF(B195="","",IF('Statement of Marks'!HC198="","",'Statement of Marks'!HC198))</f>
        <v/>
      </c>
      <c r="K195" s="296" t="str">
        <f>IF(B195="","",'Statement of Marks'!FJ198)</f>
        <v/>
      </c>
      <c r="L195" s="296" t="str">
        <f>IF(B195="","",'Statement of Marks'!FM198)</f>
        <v/>
      </c>
      <c r="M195" s="296" t="str">
        <f>IF(B195="","",'Statement of Marks'!FP198)</f>
        <v/>
      </c>
      <c r="N195" s="296" t="str">
        <f>IF(B195="","",'Statement of Marks'!FW198)</f>
        <v/>
      </c>
      <c r="O195" s="296" t="str">
        <f>IF(B195="","",'Statement of Marks'!GD198)</f>
        <v/>
      </c>
      <c r="P195" s="296" t="str">
        <f>IF(B195="","",'Statement of Marks'!GK198)</f>
        <v/>
      </c>
      <c r="Q195" s="296" t="str">
        <f>IF(B195="","",'Statement of Marks'!GR198)</f>
        <v/>
      </c>
      <c r="R195" s="296" t="str">
        <f>IF(B195="","",'Statement of Marks'!FF198)</f>
        <v/>
      </c>
      <c r="S195" s="430" t="str">
        <f>IFERROR(IF(B195="","",CONCATENATE(IF(AND('Marks Entry'!U198="A"),'Marks Entry'!$U$2,IF(AND('Marks Entry'!U198="B"),'Marks Entry'!$Y$2,IF(AND('Marks Entry'!U198="C"),'Marks Entry'!$AA$2,""))),", ",IF(AND('Marks Entry'!AC198="A"),'Marks Entry'!$AC$2,IF(AND('Marks Entry'!AC198="B"),'Marks Entry'!$AG$2,IF(AND('Marks Entry'!AC198="C"),'Marks Entry'!$AI$2,""))),", ",IF(AND('Marks Entry'!AK198="A"),'Marks Entry'!$AK$2,IF(AND('Marks Entry'!AK198="B"),'Marks Entry'!$AO$2,IF(AND('Marks Entry'!AK198="C"),'Marks Entry'!$AQ$2,""))),", ",IF(AND('Statement of Marks'!DD198=""),"",IF(AND('Statement of Marks'!DD198="A"),'Marks Entry'!$AS$2,IF(AND('Statement of Marks'!DD198="B"),'Marks Entry'!$AW$2,IF(AND('Statement of Marks'!DD198="C"),'Marks Entry'!$AY$2,"")))))),"")</f>
        <v/>
      </c>
      <c r="T195" s="431" t="str">
        <f>IF(COUNTIF(K195:R195,"F")&gt;0,"",CONCATENATE('Statement of Marks'!GU198,'Statement of Marks'!GW198))</f>
        <v xml:space="preserve">           </v>
      </c>
      <c r="BG195" s="17">
        <f>IFERROR(VLOOKUP(B195,'Statement of Marks'!$B$8:'Statement of Marks'!$HI$207,41,0),"")</f>
        <v>15</v>
      </c>
      <c r="BH195" s="17" t="str">
        <f>IFERROR(VLOOKUP(B195,'Statement of Marks'!$B$8:'Statement of Marks'!$HI$207,66,0),"")</f>
        <v/>
      </c>
      <c r="BI195" s="17">
        <f>IFERROR(VLOOKUP(B195,'Statement of Marks'!$B$8:'Statement of Marks'!$HI$207,91,0),"")</f>
        <v>60</v>
      </c>
      <c r="BJ195" s="17" t="str">
        <f>IFERROR(VLOOKUP(B195,'Statement of Marks'!$B$8:'Statement of Marks'!$HI$207,117,0),"")</f>
        <v/>
      </c>
    </row>
    <row r="196" spans="1:62" ht="24.95" customHeight="1">
      <c r="A196" s="284">
        <f>IF('Statement of Marks'!A199="","",'Statement of Marks'!A199)</f>
        <v>192</v>
      </c>
      <c r="B196" s="284" t="str">
        <f>IF('Statement of Marks'!B199="","",'Statement of Marks'!B199)</f>
        <v/>
      </c>
      <c r="C196" s="284" t="str">
        <f>IF('Statement of Marks'!C199="","",'Statement of Marks'!C199)</f>
        <v/>
      </c>
      <c r="D196" s="426" t="str">
        <f>IF('Statement of Marks'!D199="","",'Statement of Marks'!D199)</f>
        <v/>
      </c>
      <c r="E196" s="427" t="str">
        <f>IF('Statement of Marks'!E199="","",'Statement of Marks'!E199)</f>
        <v/>
      </c>
      <c r="F196" s="427" t="str">
        <f>IF('Statement of Marks'!F199="","",'Statement of Marks'!F199)</f>
        <v/>
      </c>
      <c r="G196" s="427" t="str">
        <f>IF('Statement of Marks'!G199="","",'Statement of Marks'!G199)</f>
        <v/>
      </c>
      <c r="H196" s="428" t="str">
        <f>IF(B196="","",IF('Statement of Marks'!GY199="","",'Statement of Marks'!GY199))</f>
        <v/>
      </c>
      <c r="I196" s="287" t="str">
        <f>IF(B196="","",IF('Statement of Marks'!HB199="","",'Statement of Marks'!HB199))</f>
        <v/>
      </c>
      <c r="J196" s="429" t="str">
        <f>IF(B196="","",IF('Statement of Marks'!HC199="","",'Statement of Marks'!HC199))</f>
        <v/>
      </c>
      <c r="K196" s="296" t="str">
        <f>IF(B196="","",'Statement of Marks'!FJ199)</f>
        <v/>
      </c>
      <c r="L196" s="296" t="str">
        <f>IF(B196="","",'Statement of Marks'!FM199)</f>
        <v/>
      </c>
      <c r="M196" s="296" t="str">
        <f>IF(B196="","",'Statement of Marks'!FP199)</f>
        <v/>
      </c>
      <c r="N196" s="296" t="str">
        <f>IF(B196="","",'Statement of Marks'!FW199)</f>
        <v/>
      </c>
      <c r="O196" s="296" t="str">
        <f>IF(B196="","",'Statement of Marks'!GD199)</f>
        <v/>
      </c>
      <c r="P196" s="296" t="str">
        <f>IF(B196="","",'Statement of Marks'!GK199)</f>
        <v/>
      </c>
      <c r="Q196" s="296" t="str">
        <f>IF(B196="","",'Statement of Marks'!GR199)</f>
        <v/>
      </c>
      <c r="R196" s="296" t="str">
        <f>IF(B196="","",'Statement of Marks'!FF199)</f>
        <v/>
      </c>
      <c r="S196" s="430" t="str">
        <f>IFERROR(IF(B196="","",CONCATENATE(IF(AND('Marks Entry'!U199="A"),'Marks Entry'!$U$2,IF(AND('Marks Entry'!U199="B"),'Marks Entry'!$Y$2,IF(AND('Marks Entry'!U199="C"),'Marks Entry'!$AA$2,""))),", ",IF(AND('Marks Entry'!AC199="A"),'Marks Entry'!$AC$2,IF(AND('Marks Entry'!AC199="B"),'Marks Entry'!$AG$2,IF(AND('Marks Entry'!AC199="C"),'Marks Entry'!$AI$2,""))),", ",IF(AND('Marks Entry'!AK199="A"),'Marks Entry'!$AK$2,IF(AND('Marks Entry'!AK199="B"),'Marks Entry'!$AO$2,IF(AND('Marks Entry'!AK199="C"),'Marks Entry'!$AQ$2,""))),", ",IF(AND('Statement of Marks'!DD199=""),"",IF(AND('Statement of Marks'!DD199="A"),'Marks Entry'!$AS$2,IF(AND('Statement of Marks'!DD199="B"),'Marks Entry'!$AW$2,IF(AND('Statement of Marks'!DD199="C"),'Marks Entry'!$AY$2,"")))))),"")</f>
        <v/>
      </c>
      <c r="T196" s="431" t="str">
        <f>IF(COUNTIF(K196:R196,"F")&gt;0,"",CONCATENATE('Statement of Marks'!GU199,'Statement of Marks'!GW199))</f>
        <v xml:space="preserve">           </v>
      </c>
      <c r="BG196" s="17">
        <f>IFERROR(VLOOKUP(B196,'Statement of Marks'!$B$8:'Statement of Marks'!$HI$207,41,0),"")</f>
        <v>15</v>
      </c>
      <c r="BH196" s="17" t="str">
        <f>IFERROR(VLOOKUP(B196,'Statement of Marks'!$B$8:'Statement of Marks'!$HI$207,66,0),"")</f>
        <v/>
      </c>
      <c r="BI196" s="17">
        <f>IFERROR(VLOOKUP(B196,'Statement of Marks'!$B$8:'Statement of Marks'!$HI$207,91,0),"")</f>
        <v>60</v>
      </c>
      <c r="BJ196" s="17" t="str">
        <f>IFERROR(VLOOKUP(B196,'Statement of Marks'!$B$8:'Statement of Marks'!$HI$207,117,0),"")</f>
        <v/>
      </c>
    </row>
    <row r="197" spans="1:62" ht="24.95" customHeight="1">
      <c r="A197" s="284">
        <f>IF('Statement of Marks'!A200="","",'Statement of Marks'!A200)</f>
        <v>193</v>
      </c>
      <c r="B197" s="284" t="str">
        <f>IF('Statement of Marks'!B200="","",'Statement of Marks'!B200)</f>
        <v/>
      </c>
      <c r="C197" s="284" t="str">
        <f>IF('Statement of Marks'!C200="","",'Statement of Marks'!C200)</f>
        <v/>
      </c>
      <c r="D197" s="426" t="str">
        <f>IF('Statement of Marks'!D200="","",'Statement of Marks'!D200)</f>
        <v/>
      </c>
      <c r="E197" s="427" t="str">
        <f>IF('Statement of Marks'!E200="","",'Statement of Marks'!E200)</f>
        <v/>
      </c>
      <c r="F197" s="427" t="str">
        <f>IF('Statement of Marks'!F200="","",'Statement of Marks'!F200)</f>
        <v/>
      </c>
      <c r="G197" s="427" t="str">
        <f>IF('Statement of Marks'!G200="","",'Statement of Marks'!G200)</f>
        <v/>
      </c>
      <c r="H197" s="428" t="str">
        <f>IF(B197="","",IF('Statement of Marks'!GY200="","",'Statement of Marks'!GY200))</f>
        <v/>
      </c>
      <c r="I197" s="287" t="str">
        <f>IF(B197="","",IF('Statement of Marks'!HB200="","",'Statement of Marks'!HB200))</f>
        <v/>
      </c>
      <c r="J197" s="429" t="str">
        <f>IF(B197="","",IF('Statement of Marks'!HC200="","",'Statement of Marks'!HC200))</f>
        <v/>
      </c>
      <c r="K197" s="296" t="str">
        <f>IF(B197="","",'Statement of Marks'!FJ200)</f>
        <v/>
      </c>
      <c r="L197" s="296" t="str">
        <f>IF(B197="","",'Statement of Marks'!FM200)</f>
        <v/>
      </c>
      <c r="M197" s="296" t="str">
        <f>IF(B197="","",'Statement of Marks'!FP200)</f>
        <v/>
      </c>
      <c r="N197" s="296" t="str">
        <f>IF(B197="","",'Statement of Marks'!FW200)</f>
        <v/>
      </c>
      <c r="O197" s="296" t="str">
        <f>IF(B197="","",'Statement of Marks'!GD200)</f>
        <v/>
      </c>
      <c r="P197" s="296" t="str">
        <f>IF(B197="","",'Statement of Marks'!GK200)</f>
        <v/>
      </c>
      <c r="Q197" s="296" t="str">
        <f>IF(B197="","",'Statement of Marks'!GR200)</f>
        <v/>
      </c>
      <c r="R197" s="296" t="str">
        <f>IF(B197="","",'Statement of Marks'!FF200)</f>
        <v/>
      </c>
      <c r="S197" s="430" t="str">
        <f>IFERROR(IF(B197="","",CONCATENATE(IF(AND('Marks Entry'!U200="A"),'Marks Entry'!$U$2,IF(AND('Marks Entry'!U200="B"),'Marks Entry'!$Y$2,IF(AND('Marks Entry'!U200="C"),'Marks Entry'!$AA$2,""))),", ",IF(AND('Marks Entry'!AC200="A"),'Marks Entry'!$AC$2,IF(AND('Marks Entry'!AC200="B"),'Marks Entry'!$AG$2,IF(AND('Marks Entry'!AC200="C"),'Marks Entry'!$AI$2,""))),", ",IF(AND('Marks Entry'!AK200="A"),'Marks Entry'!$AK$2,IF(AND('Marks Entry'!AK200="B"),'Marks Entry'!$AO$2,IF(AND('Marks Entry'!AK200="C"),'Marks Entry'!$AQ$2,""))),", ",IF(AND('Statement of Marks'!DD200=""),"",IF(AND('Statement of Marks'!DD200="A"),'Marks Entry'!$AS$2,IF(AND('Statement of Marks'!DD200="B"),'Marks Entry'!$AW$2,IF(AND('Statement of Marks'!DD200="C"),'Marks Entry'!$AY$2,"")))))),"")</f>
        <v/>
      </c>
      <c r="T197" s="431" t="str">
        <f>IF(COUNTIF(K197:R197,"F")&gt;0,"",CONCATENATE('Statement of Marks'!GU200,'Statement of Marks'!GW200))</f>
        <v xml:space="preserve">           </v>
      </c>
      <c r="BG197" s="17">
        <f>IFERROR(VLOOKUP(B197,'Statement of Marks'!$B$8:'Statement of Marks'!$HI$207,41,0),"")</f>
        <v>15</v>
      </c>
      <c r="BH197" s="17" t="str">
        <f>IFERROR(VLOOKUP(B197,'Statement of Marks'!$B$8:'Statement of Marks'!$HI$207,66,0),"")</f>
        <v/>
      </c>
      <c r="BI197" s="17">
        <f>IFERROR(VLOOKUP(B197,'Statement of Marks'!$B$8:'Statement of Marks'!$HI$207,91,0),"")</f>
        <v>60</v>
      </c>
      <c r="BJ197" s="17" t="str">
        <f>IFERROR(VLOOKUP(B197,'Statement of Marks'!$B$8:'Statement of Marks'!$HI$207,117,0),"")</f>
        <v/>
      </c>
    </row>
    <row r="198" spans="1:62" ht="24.95" customHeight="1">
      <c r="A198" s="284">
        <f>IF('Statement of Marks'!A201="","",'Statement of Marks'!A201)</f>
        <v>194</v>
      </c>
      <c r="B198" s="284" t="str">
        <f>IF('Statement of Marks'!B201="","",'Statement of Marks'!B201)</f>
        <v/>
      </c>
      <c r="C198" s="284" t="str">
        <f>IF('Statement of Marks'!C201="","",'Statement of Marks'!C201)</f>
        <v/>
      </c>
      <c r="D198" s="426" t="str">
        <f>IF('Statement of Marks'!D201="","",'Statement of Marks'!D201)</f>
        <v/>
      </c>
      <c r="E198" s="427" t="str">
        <f>IF('Statement of Marks'!E201="","",'Statement of Marks'!E201)</f>
        <v/>
      </c>
      <c r="F198" s="427" t="str">
        <f>IF('Statement of Marks'!F201="","",'Statement of Marks'!F201)</f>
        <v/>
      </c>
      <c r="G198" s="427" t="str">
        <f>IF('Statement of Marks'!G201="","",'Statement of Marks'!G201)</f>
        <v/>
      </c>
      <c r="H198" s="428" t="str">
        <f>IF(B198="","",IF('Statement of Marks'!GY201="","",'Statement of Marks'!GY201))</f>
        <v/>
      </c>
      <c r="I198" s="287" t="str">
        <f>IF(B198="","",IF('Statement of Marks'!HB201="","",'Statement of Marks'!HB201))</f>
        <v/>
      </c>
      <c r="J198" s="429" t="str">
        <f>IF(B198="","",IF('Statement of Marks'!HC201="","",'Statement of Marks'!HC201))</f>
        <v/>
      </c>
      <c r="K198" s="296" t="str">
        <f>IF(B198="","",'Statement of Marks'!FJ201)</f>
        <v/>
      </c>
      <c r="L198" s="296" t="str">
        <f>IF(B198="","",'Statement of Marks'!FM201)</f>
        <v/>
      </c>
      <c r="M198" s="296" t="str">
        <f>IF(B198="","",'Statement of Marks'!FP201)</f>
        <v/>
      </c>
      <c r="N198" s="296" t="str">
        <f>IF(B198="","",'Statement of Marks'!FW201)</f>
        <v/>
      </c>
      <c r="O198" s="296" t="str">
        <f>IF(B198="","",'Statement of Marks'!GD201)</f>
        <v/>
      </c>
      <c r="P198" s="296" t="str">
        <f>IF(B198="","",'Statement of Marks'!GK201)</f>
        <v/>
      </c>
      <c r="Q198" s="296" t="str">
        <f>IF(B198="","",'Statement of Marks'!GR201)</f>
        <v/>
      </c>
      <c r="R198" s="296" t="str">
        <f>IF(B198="","",'Statement of Marks'!FF201)</f>
        <v/>
      </c>
      <c r="S198" s="430" t="str">
        <f>IFERROR(IF(B198="","",CONCATENATE(IF(AND('Marks Entry'!U201="A"),'Marks Entry'!$U$2,IF(AND('Marks Entry'!U201="B"),'Marks Entry'!$Y$2,IF(AND('Marks Entry'!U201="C"),'Marks Entry'!$AA$2,""))),", ",IF(AND('Marks Entry'!AC201="A"),'Marks Entry'!$AC$2,IF(AND('Marks Entry'!AC201="B"),'Marks Entry'!$AG$2,IF(AND('Marks Entry'!AC201="C"),'Marks Entry'!$AI$2,""))),", ",IF(AND('Marks Entry'!AK201="A"),'Marks Entry'!$AK$2,IF(AND('Marks Entry'!AK201="B"),'Marks Entry'!$AO$2,IF(AND('Marks Entry'!AK201="C"),'Marks Entry'!$AQ$2,""))),", ",IF(AND('Statement of Marks'!DD201=""),"",IF(AND('Statement of Marks'!DD201="A"),'Marks Entry'!$AS$2,IF(AND('Statement of Marks'!DD201="B"),'Marks Entry'!$AW$2,IF(AND('Statement of Marks'!DD201="C"),'Marks Entry'!$AY$2,"")))))),"")</f>
        <v/>
      </c>
      <c r="T198" s="431" t="str">
        <f>IF(COUNTIF(K198:R198,"F")&gt;0,"",CONCATENATE('Statement of Marks'!GU201,'Statement of Marks'!GW201))</f>
        <v xml:space="preserve">           </v>
      </c>
      <c r="BG198" s="17">
        <f>IFERROR(VLOOKUP(B198,'Statement of Marks'!$B$8:'Statement of Marks'!$HI$207,41,0),"")</f>
        <v>15</v>
      </c>
      <c r="BH198" s="17" t="str">
        <f>IFERROR(VLOOKUP(B198,'Statement of Marks'!$B$8:'Statement of Marks'!$HI$207,66,0),"")</f>
        <v/>
      </c>
      <c r="BI198" s="17">
        <f>IFERROR(VLOOKUP(B198,'Statement of Marks'!$B$8:'Statement of Marks'!$HI$207,91,0),"")</f>
        <v>60</v>
      </c>
      <c r="BJ198" s="17" t="str">
        <f>IFERROR(VLOOKUP(B198,'Statement of Marks'!$B$8:'Statement of Marks'!$HI$207,117,0),"")</f>
        <v/>
      </c>
    </row>
    <row r="199" spans="1:62" ht="24.95" customHeight="1">
      <c r="A199" s="284">
        <f>IF('Statement of Marks'!A202="","",'Statement of Marks'!A202)</f>
        <v>195</v>
      </c>
      <c r="B199" s="284" t="str">
        <f>IF('Statement of Marks'!B202="","",'Statement of Marks'!B202)</f>
        <v/>
      </c>
      <c r="C199" s="284" t="str">
        <f>IF('Statement of Marks'!C202="","",'Statement of Marks'!C202)</f>
        <v/>
      </c>
      <c r="D199" s="426" t="str">
        <f>IF('Statement of Marks'!D202="","",'Statement of Marks'!D202)</f>
        <v/>
      </c>
      <c r="E199" s="427" t="str">
        <f>IF('Statement of Marks'!E202="","",'Statement of Marks'!E202)</f>
        <v/>
      </c>
      <c r="F199" s="427" t="str">
        <f>IF('Statement of Marks'!F202="","",'Statement of Marks'!F202)</f>
        <v/>
      </c>
      <c r="G199" s="427" t="str">
        <f>IF('Statement of Marks'!G202="","",'Statement of Marks'!G202)</f>
        <v/>
      </c>
      <c r="H199" s="428" t="str">
        <f>IF(B199="","",IF('Statement of Marks'!GY202="","",'Statement of Marks'!GY202))</f>
        <v/>
      </c>
      <c r="I199" s="287" t="str">
        <f>IF(B199="","",IF('Statement of Marks'!HB202="","",'Statement of Marks'!HB202))</f>
        <v/>
      </c>
      <c r="J199" s="429" t="str">
        <f>IF(B199="","",IF('Statement of Marks'!HC202="","",'Statement of Marks'!HC202))</f>
        <v/>
      </c>
      <c r="K199" s="296" t="str">
        <f>IF(B199="","",'Statement of Marks'!FJ202)</f>
        <v/>
      </c>
      <c r="L199" s="296" t="str">
        <f>IF(B199="","",'Statement of Marks'!FM202)</f>
        <v/>
      </c>
      <c r="M199" s="296" t="str">
        <f>IF(B199="","",'Statement of Marks'!FP202)</f>
        <v/>
      </c>
      <c r="N199" s="296" t="str">
        <f>IF(B199="","",'Statement of Marks'!FW202)</f>
        <v/>
      </c>
      <c r="O199" s="296" t="str">
        <f>IF(B199="","",'Statement of Marks'!GD202)</f>
        <v/>
      </c>
      <c r="P199" s="296" t="str">
        <f>IF(B199="","",'Statement of Marks'!GK202)</f>
        <v/>
      </c>
      <c r="Q199" s="296" t="str">
        <f>IF(B199="","",'Statement of Marks'!GR202)</f>
        <v/>
      </c>
      <c r="R199" s="296" t="str">
        <f>IF(B199="","",'Statement of Marks'!FF202)</f>
        <v/>
      </c>
      <c r="S199" s="430" t="str">
        <f>IFERROR(IF(B199="","",CONCATENATE(IF(AND('Marks Entry'!U202="A"),'Marks Entry'!$U$2,IF(AND('Marks Entry'!U202="B"),'Marks Entry'!$Y$2,IF(AND('Marks Entry'!U202="C"),'Marks Entry'!$AA$2,""))),", ",IF(AND('Marks Entry'!AC202="A"),'Marks Entry'!$AC$2,IF(AND('Marks Entry'!AC202="B"),'Marks Entry'!$AG$2,IF(AND('Marks Entry'!AC202="C"),'Marks Entry'!$AI$2,""))),", ",IF(AND('Marks Entry'!AK202="A"),'Marks Entry'!$AK$2,IF(AND('Marks Entry'!AK202="B"),'Marks Entry'!$AO$2,IF(AND('Marks Entry'!AK202="C"),'Marks Entry'!$AQ$2,""))),", ",IF(AND('Statement of Marks'!DD202=""),"",IF(AND('Statement of Marks'!DD202="A"),'Marks Entry'!$AS$2,IF(AND('Statement of Marks'!DD202="B"),'Marks Entry'!$AW$2,IF(AND('Statement of Marks'!DD202="C"),'Marks Entry'!$AY$2,"")))))),"")</f>
        <v/>
      </c>
      <c r="T199" s="431" t="str">
        <f>IF(COUNTIF(K199:R199,"F")&gt;0,"",CONCATENATE('Statement of Marks'!GU202,'Statement of Marks'!GW202))</f>
        <v xml:space="preserve">           </v>
      </c>
      <c r="BG199" s="17">
        <f>IFERROR(VLOOKUP(B199,'Statement of Marks'!$B$8:'Statement of Marks'!$HI$207,41,0),"")</f>
        <v>15</v>
      </c>
      <c r="BH199" s="17" t="str">
        <f>IFERROR(VLOOKUP(B199,'Statement of Marks'!$B$8:'Statement of Marks'!$HI$207,66,0),"")</f>
        <v/>
      </c>
      <c r="BI199" s="17">
        <f>IFERROR(VLOOKUP(B199,'Statement of Marks'!$B$8:'Statement of Marks'!$HI$207,91,0),"")</f>
        <v>60</v>
      </c>
      <c r="BJ199" s="17" t="str">
        <f>IFERROR(VLOOKUP(B199,'Statement of Marks'!$B$8:'Statement of Marks'!$HI$207,117,0),"")</f>
        <v/>
      </c>
    </row>
    <row r="200" spans="1:62" ht="24.95" customHeight="1">
      <c r="A200" s="284">
        <f>IF('Statement of Marks'!A203="","",'Statement of Marks'!A203)</f>
        <v>196</v>
      </c>
      <c r="B200" s="284" t="str">
        <f>IF('Statement of Marks'!B203="","",'Statement of Marks'!B203)</f>
        <v/>
      </c>
      <c r="C200" s="284" t="str">
        <f>IF('Statement of Marks'!C203="","",'Statement of Marks'!C203)</f>
        <v/>
      </c>
      <c r="D200" s="426" t="str">
        <f>IF('Statement of Marks'!D203="","",'Statement of Marks'!D203)</f>
        <v/>
      </c>
      <c r="E200" s="427" t="str">
        <f>IF('Statement of Marks'!E203="","",'Statement of Marks'!E203)</f>
        <v/>
      </c>
      <c r="F200" s="427" t="str">
        <f>IF('Statement of Marks'!F203="","",'Statement of Marks'!F203)</f>
        <v/>
      </c>
      <c r="G200" s="427" t="str">
        <f>IF('Statement of Marks'!G203="","",'Statement of Marks'!G203)</f>
        <v/>
      </c>
      <c r="H200" s="428" t="str">
        <f>IF(B200="","",IF('Statement of Marks'!GY203="","",'Statement of Marks'!GY203))</f>
        <v/>
      </c>
      <c r="I200" s="287" t="str">
        <f>IF(B200="","",IF('Statement of Marks'!HB203="","",'Statement of Marks'!HB203))</f>
        <v/>
      </c>
      <c r="J200" s="429" t="str">
        <f>IF(B200="","",IF('Statement of Marks'!HC203="","",'Statement of Marks'!HC203))</f>
        <v/>
      </c>
      <c r="K200" s="296" t="str">
        <f>IF(B200="","",'Statement of Marks'!FJ203)</f>
        <v/>
      </c>
      <c r="L200" s="296" t="str">
        <f>IF(B200="","",'Statement of Marks'!FM203)</f>
        <v/>
      </c>
      <c r="M200" s="296" t="str">
        <f>IF(B200="","",'Statement of Marks'!FP203)</f>
        <v/>
      </c>
      <c r="N200" s="296" t="str">
        <f>IF(B200="","",'Statement of Marks'!FW203)</f>
        <v/>
      </c>
      <c r="O200" s="296" t="str">
        <f>IF(B200="","",'Statement of Marks'!GD203)</f>
        <v/>
      </c>
      <c r="P200" s="296" t="str">
        <f>IF(B200="","",'Statement of Marks'!GK203)</f>
        <v/>
      </c>
      <c r="Q200" s="296" t="str">
        <f>IF(B200="","",'Statement of Marks'!GR203)</f>
        <v/>
      </c>
      <c r="R200" s="296" t="str">
        <f>IF(B200="","",'Statement of Marks'!FF203)</f>
        <v/>
      </c>
      <c r="S200" s="430" t="str">
        <f>IFERROR(IF(B200="","",CONCATENATE(IF(AND('Marks Entry'!U203="A"),'Marks Entry'!$U$2,IF(AND('Marks Entry'!U203="B"),'Marks Entry'!$Y$2,IF(AND('Marks Entry'!U203="C"),'Marks Entry'!$AA$2,""))),", ",IF(AND('Marks Entry'!AC203="A"),'Marks Entry'!$AC$2,IF(AND('Marks Entry'!AC203="B"),'Marks Entry'!$AG$2,IF(AND('Marks Entry'!AC203="C"),'Marks Entry'!$AI$2,""))),", ",IF(AND('Marks Entry'!AK203="A"),'Marks Entry'!$AK$2,IF(AND('Marks Entry'!AK203="B"),'Marks Entry'!$AO$2,IF(AND('Marks Entry'!AK203="C"),'Marks Entry'!$AQ$2,""))),", ",IF(AND('Statement of Marks'!DD203=""),"",IF(AND('Statement of Marks'!DD203="A"),'Marks Entry'!$AS$2,IF(AND('Statement of Marks'!DD203="B"),'Marks Entry'!$AW$2,IF(AND('Statement of Marks'!DD203="C"),'Marks Entry'!$AY$2,"")))))),"")</f>
        <v/>
      </c>
      <c r="T200" s="431" t="str">
        <f>IF(COUNTIF(K200:R200,"F")&gt;0,"",CONCATENATE('Statement of Marks'!GU203,'Statement of Marks'!GW203))</f>
        <v xml:space="preserve">           </v>
      </c>
      <c r="BG200" s="17">
        <f>IFERROR(VLOOKUP(B200,'Statement of Marks'!$B$8:'Statement of Marks'!$HI$207,41,0),"")</f>
        <v>15</v>
      </c>
      <c r="BH200" s="17" t="str">
        <f>IFERROR(VLOOKUP(B200,'Statement of Marks'!$B$8:'Statement of Marks'!$HI$207,66,0),"")</f>
        <v/>
      </c>
      <c r="BI200" s="17">
        <f>IFERROR(VLOOKUP(B200,'Statement of Marks'!$B$8:'Statement of Marks'!$HI$207,91,0),"")</f>
        <v>60</v>
      </c>
      <c r="BJ200" s="17" t="str">
        <f>IFERROR(VLOOKUP(B200,'Statement of Marks'!$B$8:'Statement of Marks'!$HI$207,117,0),"")</f>
        <v/>
      </c>
    </row>
    <row r="201" spans="1:62" ht="24.95" customHeight="1">
      <c r="A201" s="284">
        <f>IF('Statement of Marks'!A204="","",'Statement of Marks'!A204)</f>
        <v>197</v>
      </c>
      <c r="B201" s="284" t="str">
        <f>IF('Statement of Marks'!B204="","",'Statement of Marks'!B204)</f>
        <v/>
      </c>
      <c r="C201" s="284" t="str">
        <f>IF('Statement of Marks'!C204="","",'Statement of Marks'!C204)</f>
        <v/>
      </c>
      <c r="D201" s="426" t="str">
        <f>IF('Statement of Marks'!D204="","",'Statement of Marks'!D204)</f>
        <v/>
      </c>
      <c r="E201" s="427" t="str">
        <f>IF('Statement of Marks'!E204="","",'Statement of Marks'!E204)</f>
        <v/>
      </c>
      <c r="F201" s="427" t="str">
        <f>IF('Statement of Marks'!F204="","",'Statement of Marks'!F204)</f>
        <v/>
      </c>
      <c r="G201" s="427" t="str">
        <f>IF('Statement of Marks'!G204="","",'Statement of Marks'!G204)</f>
        <v/>
      </c>
      <c r="H201" s="428" t="str">
        <f>IF(B201="","",IF('Statement of Marks'!GY204="","",'Statement of Marks'!GY204))</f>
        <v/>
      </c>
      <c r="I201" s="287" t="str">
        <f>IF(B201="","",IF('Statement of Marks'!HB204="","",'Statement of Marks'!HB204))</f>
        <v/>
      </c>
      <c r="J201" s="429" t="str">
        <f>IF(B201="","",IF('Statement of Marks'!HC204="","",'Statement of Marks'!HC204))</f>
        <v/>
      </c>
      <c r="K201" s="296" t="str">
        <f>IF(B201="","",'Statement of Marks'!FJ204)</f>
        <v/>
      </c>
      <c r="L201" s="296" t="str">
        <f>IF(B201="","",'Statement of Marks'!FM204)</f>
        <v/>
      </c>
      <c r="M201" s="296" t="str">
        <f>IF(B201="","",'Statement of Marks'!FP204)</f>
        <v/>
      </c>
      <c r="N201" s="296" t="str">
        <f>IF(B201="","",'Statement of Marks'!FW204)</f>
        <v/>
      </c>
      <c r="O201" s="296" t="str">
        <f>IF(B201="","",'Statement of Marks'!GD204)</f>
        <v/>
      </c>
      <c r="P201" s="296" t="str">
        <f>IF(B201="","",'Statement of Marks'!GK204)</f>
        <v/>
      </c>
      <c r="Q201" s="296" t="str">
        <f>IF(B201="","",'Statement of Marks'!GR204)</f>
        <v/>
      </c>
      <c r="R201" s="296" t="str">
        <f>IF(B201="","",'Statement of Marks'!FF204)</f>
        <v/>
      </c>
      <c r="S201" s="430" t="str">
        <f>IFERROR(IF(B201="","",CONCATENATE(IF(AND('Marks Entry'!U204="A"),'Marks Entry'!$U$2,IF(AND('Marks Entry'!U204="B"),'Marks Entry'!$Y$2,IF(AND('Marks Entry'!U204="C"),'Marks Entry'!$AA$2,""))),", ",IF(AND('Marks Entry'!AC204="A"),'Marks Entry'!$AC$2,IF(AND('Marks Entry'!AC204="B"),'Marks Entry'!$AG$2,IF(AND('Marks Entry'!AC204="C"),'Marks Entry'!$AI$2,""))),", ",IF(AND('Marks Entry'!AK204="A"),'Marks Entry'!$AK$2,IF(AND('Marks Entry'!AK204="B"),'Marks Entry'!$AO$2,IF(AND('Marks Entry'!AK204="C"),'Marks Entry'!$AQ$2,""))),", ",IF(AND('Statement of Marks'!DD204=""),"",IF(AND('Statement of Marks'!DD204="A"),'Marks Entry'!$AS$2,IF(AND('Statement of Marks'!DD204="B"),'Marks Entry'!$AW$2,IF(AND('Statement of Marks'!DD204="C"),'Marks Entry'!$AY$2,"")))))),"")</f>
        <v/>
      </c>
      <c r="T201" s="431" t="str">
        <f>IF(COUNTIF(K201:R201,"F")&gt;0,"",CONCATENATE('Statement of Marks'!GU204,'Statement of Marks'!GW204))</f>
        <v xml:space="preserve">           </v>
      </c>
      <c r="BG201" s="17">
        <f>IFERROR(VLOOKUP(B201,'Statement of Marks'!$B$8:'Statement of Marks'!$HI$207,41,0),"")</f>
        <v>15</v>
      </c>
      <c r="BH201" s="17" t="str">
        <f>IFERROR(VLOOKUP(B201,'Statement of Marks'!$B$8:'Statement of Marks'!$HI$207,66,0),"")</f>
        <v/>
      </c>
      <c r="BI201" s="17">
        <f>IFERROR(VLOOKUP(B201,'Statement of Marks'!$B$8:'Statement of Marks'!$HI$207,91,0),"")</f>
        <v>60</v>
      </c>
      <c r="BJ201" s="17" t="str">
        <f>IFERROR(VLOOKUP(B201,'Statement of Marks'!$B$8:'Statement of Marks'!$HI$207,117,0),"")</f>
        <v/>
      </c>
    </row>
    <row r="202" spans="1:62" ht="24.95" customHeight="1">
      <c r="A202" s="284">
        <f>IF('Statement of Marks'!A205="","",'Statement of Marks'!A205)</f>
        <v>198</v>
      </c>
      <c r="B202" s="284" t="str">
        <f>IF('Statement of Marks'!B205="","",'Statement of Marks'!B205)</f>
        <v/>
      </c>
      <c r="C202" s="284" t="str">
        <f>IF('Statement of Marks'!C205="","",'Statement of Marks'!C205)</f>
        <v/>
      </c>
      <c r="D202" s="426" t="str">
        <f>IF('Statement of Marks'!D205="","",'Statement of Marks'!D205)</f>
        <v/>
      </c>
      <c r="E202" s="427" t="str">
        <f>IF('Statement of Marks'!E205="","",'Statement of Marks'!E205)</f>
        <v/>
      </c>
      <c r="F202" s="427" t="str">
        <f>IF('Statement of Marks'!F205="","",'Statement of Marks'!F205)</f>
        <v/>
      </c>
      <c r="G202" s="427" t="str">
        <f>IF('Statement of Marks'!G205="","",'Statement of Marks'!G205)</f>
        <v/>
      </c>
      <c r="H202" s="428" t="str">
        <f>IF(B202="","",IF('Statement of Marks'!GY205="","",'Statement of Marks'!GY205))</f>
        <v/>
      </c>
      <c r="I202" s="287" t="str">
        <f>IF(B202="","",IF('Statement of Marks'!HB205="","",'Statement of Marks'!HB205))</f>
        <v/>
      </c>
      <c r="J202" s="429" t="str">
        <f>IF(B202="","",IF('Statement of Marks'!HC205="","",'Statement of Marks'!HC205))</f>
        <v/>
      </c>
      <c r="K202" s="296" t="str">
        <f>IF(B202="","",'Statement of Marks'!FJ205)</f>
        <v/>
      </c>
      <c r="L202" s="296" t="str">
        <f>IF(B202="","",'Statement of Marks'!FM205)</f>
        <v/>
      </c>
      <c r="M202" s="296" t="str">
        <f>IF(B202="","",'Statement of Marks'!FP205)</f>
        <v/>
      </c>
      <c r="N202" s="296" t="str">
        <f>IF(B202="","",'Statement of Marks'!FW205)</f>
        <v/>
      </c>
      <c r="O202" s="296" t="str">
        <f>IF(B202="","",'Statement of Marks'!GD205)</f>
        <v/>
      </c>
      <c r="P202" s="296" t="str">
        <f>IF(B202="","",'Statement of Marks'!GK205)</f>
        <v/>
      </c>
      <c r="Q202" s="296" t="str">
        <f>IF(B202="","",'Statement of Marks'!GR205)</f>
        <v/>
      </c>
      <c r="R202" s="296" t="str">
        <f>IF(B202="","",'Statement of Marks'!FF205)</f>
        <v/>
      </c>
      <c r="S202" s="430" t="str">
        <f>IFERROR(IF(B202="","",CONCATENATE(IF(AND('Marks Entry'!U205="A"),'Marks Entry'!$U$2,IF(AND('Marks Entry'!U205="B"),'Marks Entry'!$Y$2,IF(AND('Marks Entry'!U205="C"),'Marks Entry'!$AA$2,""))),", ",IF(AND('Marks Entry'!AC205="A"),'Marks Entry'!$AC$2,IF(AND('Marks Entry'!AC205="B"),'Marks Entry'!$AG$2,IF(AND('Marks Entry'!AC205="C"),'Marks Entry'!$AI$2,""))),", ",IF(AND('Marks Entry'!AK205="A"),'Marks Entry'!$AK$2,IF(AND('Marks Entry'!AK205="B"),'Marks Entry'!$AO$2,IF(AND('Marks Entry'!AK205="C"),'Marks Entry'!$AQ$2,""))),", ",IF(AND('Statement of Marks'!DD205=""),"",IF(AND('Statement of Marks'!DD205="A"),'Marks Entry'!$AS$2,IF(AND('Statement of Marks'!DD205="B"),'Marks Entry'!$AW$2,IF(AND('Statement of Marks'!DD205="C"),'Marks Entry'!$AY$2,"")))))),"")</f>
        <v/>
      </c>
      <c r="T202" s="431" t="str">
        <f>IF(COUNTIF(K202:R202,"F")&gt;0,"",CONCATENATE('Statement of Marks'!GU205,'Statement of Marks'!GW205))</f>
        <v xml:space="preserve">           </v>
      </c>
      <c r="BG202" s="17">
        <f>IFERROR(VLOOKUP(B202,'Statement of Marks'!$B$8:'Statement of Marks'!$HI$207,41,0),"")</f>
        <v>15</v>
      </c>
      <c r="BH202" s="17" t="str">
        <f>IFERROR(VLOOKUP(B202,'Statement of Marks'!$B$8:'Statement of Marks'!$HI$207,66,0),"")</f>
        <v/>
      </c>
      <c r="BI202" s="17">
        <f>IFERROR(VLOOKUP(B202,'Statement of Marks'!$B$8:'Statement of Marks'!$HI$207,91,0),"")</f>
        <v>60</v>
      </c>
      <c r="BJ202" s="17" t="str">
        <f>IFERROR(VLOOKUP(B202,'Statement of Marks'!$B$8:'Statement of Marks'!$HI$207,117,0),"")</f>
        <v/>
      </c>
    </row>
    <row r="203" spans="1:62" ht="24.95" customHeight="1">
      <c r="A203" s="284">
        <f>IF('Statement of Marks'!A206="","",'Statement of Marks'!A206)</f>
        <v>199</v>
      </c>
      <c r="B203" s="284" t="str">
        <f>IF('Statement of Marks'!B206="","",'Statement of Marks'!B206)</f>
        <v/>
      </c>
      <c r="C203" s="284" t="str">
        <f>IF('Statement of Marks'!C206="","",'Statement of Marks'!C206)</f>
        <v/>
      </c>
      <c r="D203" s="426" t="str">
        <f>IF('Statement of Marks'!D206="","",'Statement of Marks'!D206)</f>
        <v/>
      </c>
      <c r="E203" s="427" t="str">
        <f>IF('Statement of Marks'!E206="","",'Statement of Marks'!E206)</f>
        <v/>
      </c>
      <c r="F203" s="427" t="str">
        <f>IF('Statement of Marks'!F206="","",'Statement of Marks'!F206)</f>
        <v/>
      </c>
      <c r="G203" s="427" t="str">
        <f>IF('Statement of Marks'!G206="","",'Statement of Marks'!G206)</f>
        <v/>
      </c>
      <c r="H203" s="428" t="str">
        <f>IF(B203="","",IF('Statement of Marks'!GY206="","",'Statement of Marks'!GY206))</f>
        <v/>
      </c>
      <c r="I203" s="287" t="str">
        <f>IF(B203="","",IF('Statement of Marks'!HB206="","",'Statement of Marks'!HB206))</f>
        <v/>
      </c>
      <c r="J203" s="429" t="str">
        <f>IF(B203="","",IF('Statement of Marks'!HC206="","",'Statement of Marks'!HC206))</f>
        <v/>
      </c>
      <c r="K203" s="296" t="str">
        <f>IF(B203="","",'Statement of Marks'!FJ206)</f>
        <v/>
      </c>
      <c r="L203" s="296" t="str">
        <f>IF(B203="","",'Statement of Marks'!FM206)</f>
        <v/>
      </c>
      <c r="M203" s="296" t="str">
        <f>IF(B203="","",'Statement of Marks'!FP206)</f>
        <v/>
      </c>
      <c r="N203" s="296" t="str">
        <f>IF(B203="","",'Statement of Marks'!FW206)</f>
        <v/>
      </c>
      <c r="O203" s="296" t="str">
        <f>IF(B203="","",'Statement of Marks'!GD206)</f>
        <v/>
      </c>
      <c r="P203" s="296" t="str">
        <f>IF(B203="","",'Statement of Marks'!GK206)</f>
        <v/>
      </c>
      <c r="Q203" s="296" t="str">
        <f>IF(B203="","",'Statement of Marks'!GR206)</f>
        <v/>
      </c>
      <c r="R203" s="296" t="str">
        <f>IF(B203="","",'Statement of Marks'!FF206)</f>
        <v/>
      </c>
      <c r="S203" s="430" t="str">
        <f>IFERROR(IF(B203="","",CONCATENATE(IF(AND('Marks Entry'!U206="A"),'Marks Entry'!$U$2,IF(AND('Marks Entry'!U206="B"),'Marks Entry'!$Y$2,IF(AND('Marks Entry'!U206="C"),'Marks Entry'!$AA$2,""))),", ",IF(AND('Marks Entry'!AC206="A"),'Marks Entry'!$AC$2,IF(AND('Marks Entry'!AC206="B"),'Marks Entry'!$AG$2,IF(AND('Marks Entry'!AC206="C"),'Marks Entry'!$AI$2,""))),", ",IF(AND('Marks Entry'!AK206="A"),'Marks Entry'!$AK$2,IF(AND('Marks Entry'!AK206="B"),'Marks Entry'!$AO$2,IF(AND('Marks Entry'!AK206="C"),'Marks Entry'!$AQ$2,""))),", ",IF(AND('Statement of Marks'!DD206=""),"",IF(AND('Statement of Marks'!DD206="A"),'Marks Entry'!$AS$2,IF(AND('Statement of Marks'!DD206="B"),'Marks Entry'!$AW$2,IF(AND('Statement of Marks'!DD206="C"),'Marks Entry'!$AY$2,"")))))),"")</f>
        <v/>
      </c>
      <c r="T203" s="431" t="str">
        <f>IF(COUNTIF(K203:R203,"F")&gt;0,"",CONCATENATE('Statement of Marks'!GU206,'Statement of Marks'!GW206))</f>
        <v xml:space="preserve">           </v>
      </c>
      <c r="BG203" s="17">
        <f>IFERROR(VLOOKUP(B203,'Statement of Marks'!$B$8:'Statement of Marks'!$HI$207,41,0),"")</f>
        <v>15</v>
      </c>
      <c r="BH203" s="17" t="str">
        <f>IFERROR(VLOOKUP(B203,'Statement of Marks'!$B$8:'Statement of Marks'!$HI$207,66,0),"")</f>
        <v/>
      </c>
      <c r="BI203" s="17">
        <f>IFERROR(VLOOKUP(B203,'Statement of Marks'!$B$8:'Statement of Marks'!$HI$207,91,0),"")</f>
        <v>60</v>
      </c>
      <c r="BJ203" s="17" t="str">
        <f>IFERROR(VLOOKUP(B203,'Statement of Marks'!$B$8:'Statement of Marks'!$HI$207,117,0),"")</f>
        <v/>
      </c>
    </row>
    <row r="204" spans="1:62" ht="24.95" customHeight="1" thickBot="1">
      <c r="A204" s="695">
        <f>IF('Statement of Marks'!A207="","",'Statement of Marks'!A207)</f>
        <v>200</v>
      </c>
      <c r="B204" s="284" t="str">
        <f>IF('Statement of Marks'!B207="","",'Statement of Marks'!B207)</f>
        <v/>
      </c>
      <c r="C204" s="284" t="str">
        <f>IF('Statement of Marks'!C207="","",'Statement of Marks'!C207)</f>
        <v/>
      </c>
      <c r="D204" s="426" t="str">
        <f>IF('Statement of Marks'!D207="","",'Statement of Marks'!D207)</f>
        <v/>
      </c>
      <c r="E204" s="427" t="str">
        <f>IF('Statement of Marks'!E207="","",'Statement of Marks'!E207)</f>
        <v/>
      </c>
      <c r="F204" s="427" t="str">
        <f>IF('Statement of Marks'!F207="","",'Statement of Marks'!F207)</f>
        <v/>
      </c>
      <c r="G204" s="427" t="str">
        <f>IF('Statement of Marks'!G207="","",'Statement of Marks'!G207)</f>
        <v/>
      </c>
      <c r="H204" s="428" t="str">
        <f>IF(B204="","",IF('Statement of Marks'!GY207="","",'Statement of Marks'!GY207))</f>
        <v/>
      </c>
      <c r="I204" s="287" t="str">
        <f>IF(B204="","",IF('Statement of Marks'!HB207="","",'Statement of Marks'!HB207))</f>
        <v/>
      </c>
      <c r="J204" s="429" t="str">
        <f>IF(B204="","",IF('Statement of Marks'!HC207="","",'Statement of Marks'!HC207))</f>
        <v/>
      </c>
      <c r="K204" s="296" t="str">
        <f>IF(B204="","",'Statement of Marks'!FJ207)</f>
        <v/>
      </c>
      <c r="L204" s="296" t="str">
        <f>IF(B204="","",'Statement of Marks'!FM207)</f>
        <v/>
      </c>
      <c r="M204" s="296" t="str">
        <f>IF(B204="","",'Statement of Marks'!FP207)</f>
        <v/>
      </c>
      <c r="N204" s="296" t="str">
        <f>IF(B204="","",'Statement of Marks'!FW207)</f>
        <v/>
      </c>
      <c r="O204" s="296" t="str">
        <f>IF(B204="","",'Statement of Marks'!GD207)</f>
        <v/>
      </c>
      <c r="P204" s="296" t="str">
        <f>IF(B204="","",'Statement of Marks'!GK207)</f>
        <v/>
      </c>
      <c r="Q204" s="296" t="str">
        <f>IF(B204="","",'Statement of Marks'!GR207)</f>
        <v/>
      </c>
      <c r="R204" s="296" t="str">
        <f>IF(B204="","",'Statement of Marks'!FF207)</f>
        <v/>
      </c>
      <c r="S204" s="430" t="str">
        <f>IFERROR(IF(B204="","",CONCATENATE(IF(AND('Marks Entry'!U207="A"),'Marks Entry'!$U$2,IF(AND('Marks Entry'!U207="B"),'Marks Entry'!$Y$2,IF(AND('Marks Entry'!U207="C"),'Marks Entry'!$AA$2,""))),", ",IF(AND('Marks Entry'!AC207="A"),'Marks Entry'!$AC$2,IF(AND('Marks Entry'!AC207="B"),'Marks Entry'!$AG$2,IF(AND('Marks Entry'!AC207="C"),'Marks Entry'!$AI$2,""))),", ",IF(AND('Marks Entry'!AK207="A"),'Marks Entry'!$AK$2,IF(AND('Marks Entry'!AK207="B"),'Marks Entry'!$AO$2,IF(AND('Marks Entry'!AK207="C"),'Marks Entry'!$AQ$2,""))),", ",IF(AND('Statement of Marks'!DD207=""),"",IF(AND('Statement of Marks'!DD207="A"),'Marks Entry'!$AS$2,IF(AND('Statement of Marks'!DD207="B"),'Marks Entry'!$AW$2,IF(AND('Statement of Marks'!DD207="C"),'Marks Entry'!$AY$2,"")))))),"")</f>
        <v/>
      </c>
      <c r="T204" s="431" t="str">
        <f>IF(COUNTIF(K204:R204,"F")&gt;0,"",CONCATENATE('Statement of Marks'!GU207,'Statement of Marks'!GW207))</f>
        <v xml:space="preserve">           </v>
      </c>
      <c r="BG204" s="17">
        <f>IFERROR(VLOOKUP(B204,'Statement of Marks'!$B$8:'Statement of Marks'!$HI$207,41,0),"")</f>
        <v>15</v>
      </c>
      <c r="BH204" s="17" t="str">
        <f>IFERROR(VLOOKUP(B204,'Statement of Marks'!$B$8:'Statement of Marks'!$HI$207,66,0),"")</f>
        <v/>
      </c>
      <c r="BI204" s="17">
        <f>IFERROR(VLOOKUP(B204,'Statement of Marks'!$B$8:'Statement of Marks'!$HI$207,91,0),"")</f>
        <v>60</v>
      </c>
      <c r="BJ204" s="17" t="str">
        <f>IFERROR(VLOOKUP(B204,'Statement of Marks'!$B$8:'Statement of Marks'!$HI$207,117,0),"")</f>
        <v/>
      </c>
    </row>
    <row r="205" spans="1:62" ht="24" customHeight="1" thickTop="1" thickBot="1">
      <c r="A205" s="696"/>
      <c r="B205" s="1545" t="str">
        <f>IF('Master Sheet'!$D$11="Hindi","समग्र परिणाम","All Results")</f>
        <v>समग्र परिणाम</v>
      </c>
      <c r="C205" s="1546"/>
      <c r="D205" s="1546"/>
      <c r="E205" s="1546"/>
      <c r="F205" s="1547"/>
      <c r="G205" s="693"/>
      <c r="H205" s="1548" t="str">
        <f>IF('Master Sheet'!D11="Hindi","विषयवार परीक्षा परिणाम कक्षा -11th","Subject-wise Result Class 11th")</f>
        <v>विषयवार परीक्षा परिणाम कक्षा -11th</v>
      </c>
      <c r="I205" s="1549"/>
      <c r="J205" s="1549"/>
      <c r="K205" s="1549"/>
      <c r="L205" s="1549"/>
      <c r="M205" s="1549"/>
      <c r="N205" s="1549"/>
      <c r="O205" s="1549"/>
      <c r="P205" s="1549"/>
      <c r="Q205" s="1549"/>
      <c r="R205" s="1549"/>
      <c r="S205" s="1549"/>
      <c r="T205" s="1550"/>
      <c r="V205" s="694"/>
      <c r="BG205" s="17" t="str">
        <f>IFERROR(VLOOKUP(B205,'Statement of Marks'!$B$8:'Statement of Marks'!$HI$207,41,0),"")</f>
        <v/>
      </c>
      <c r="BH205" s="17" t="str">
        <f>IFERROR(VLOOKUP(B205,'Statement of Marks'!$B$8:'Statement of Marks'!$HI$207,66,0),"")</f>
        <v/>
      </c>
      <c r="BI205" s="17" t="str">
        <f>IFERROR(VLOOKUP(B205,'Statement of Marks'!$B$8:'Statement of Marks'!$HI$207,91,0),"")</f>
        <v/>
      </c>
      <c r="BJ205" s="17" t="str">
        <f>IFERROR(VLOOKUP(B205,'Statement of Marks'!$B$8:'Statement of Marks'!$HI$207,117,0),"")</f>
        <v/>
      </c>
    </row>
    <row r="206" spans="1:62" ht="21" customHeight="1" thickTop="1">
      <c r="A206" s="433"/>
      <c r="B206" s="1528" t="str">
        <f>IF('Master Sheet'!$D$11="Hindi","विवरण","Details")</f>
        <v>विवरण</v>
      </c>
      <c r="C206" s="1529"/>
      <c r="D206" s="1529"/>
      <c r="E206" s="1532" t="str">
        <f>IF('Master Sheet'!$D$11="Hindi","मुख्य परीक्षा","Main Exam")</f>
        <v>मुख्य परीक्षा</v>
      </c>
      <c r="F206" s="1533"/>
      <c r="G206" s="432"/>
      <c r="H206" s="1544" t="str">
        <f>IF('Master Sheet'!$D$11="Hindi","कुल प्रविष्ट","Total appeared")</f>
        <v>कुल प्रविष्ट</v>
      </c>
      <c r="I206" s="1544"/>
      <c r="J206" s="1544"/>
      <c r="K206" s="698">
        <f>SUM(K211,K213,K214,K215)</f>
        <v>11</v>
      </c>
      <c r="L206" s="698">
        <f t="shared" ref="L206:P206" si="0">SUM(L211,L213,L214,L215)</f>
        <v>11</v>
      </c>
      <c r="M206" s="698">
        <f t="shared" si="0"/>
        <v>11</v>
      </c>
      <c r="N206" s="698">
        <f t="shared" si="0"/>
        <v>11</v>
      </c>
      <c r="O206" s="698">
        <f>SUM(O211,O213,O214,O215)</f>
        <v>11</v>
      </c>
      <c r="P206" s="698">
        <f t="shared" si="0"/>
        <v>0</v>
      </c>
      <c r="Q206" s="698">
        <f>SUM(Q211,Q213,Q214,Q215)</f>
        <v>11</v>
      </c>
      <c r="R206" s="698">
        <f>SUM(R211,R213,R214,R215)</f>
        <v>11</v>
      </c>
      <c r="S206" s="1539" t="str">
        <f>IF('Master Sheet'!D11="Hindi","हस्ताक्षर कक्षाध्यापक","Signature of the class teacher")</f>
        <v>हस्ताक्षर कक्षाध्यापक</v>
      </c>
      <c r="T206" s="1530" t="str">
        <f>CONCATENATE("( ",UPPER('Master Sheet'!D17)," )")</f>
        <v>( YOGESH )</v>
      </c>
    </row>
    <row r="207" spans="1:62" ht="21" customHeight="1">
      <c r="A207" s="433"/>
      <c r="B207" s="1534" t="str">
        <f>IF('Master Sheet'!$D$11="Hindi","कुल प्रविष्ट","Total appeared")</f>
        <v>कुल प्रविष्ट</v>
      </c>
      <c r="C207" s="1535"/>
      <c r="D207" s="1535"/>
      <c r="E207" s="1536"/>
      <c r="F207" s="434">
        <f>COUNTA(B5:B204)-COUNTIF(B5:B204,"nso")-COUNTBLANK(B5:B204)</f>
        <v>11</v>
      </c>
      <c r="G207" s="435"/>
      <c r="H207" s="1333" t="str">
        <f>IF('Master Sheet'!$D$11="Hindi","विशेष योग्यता","Distinction Marks")</f>
        <v>विशेष योग्यता</v>
      </c>
      <c r="I207" s="1333"/>
      <c r="J207" s="1333"/>
      <c r="K207" s="309">
        <f>COUNTIF(K5:K204,"D")</f>
        <v>0</v>
      </c>
      <c r="L207" s="309">
        <f t="shared" ref="L207:P207" si="1">COUNTIF(L5:L204,"D")</f>
        <v>0</v>
      </c>
      <c r="M207" s="309">
        <f t="shared" si="1"/>
        <v>0</v>
      </c>
      <c r="N207" s="309">
        <f t="shared" si="1"/>
        <v>2</v>
      </c>
      <c r="O207" s="309">
        <f t="shared" si="1"/>
        <v>2</v>
      </c>
      <c r="P207" s="309">
        <f t="shared" si="1"/>
        <v>0</v>
      </c>
      <c r="Q207" s="309">
        <f>COUNTIF(Q5:Q204,"A")</f>
        <v>11</v>
      </c>
      <c r="R207" s="309">
        <f>COUNTIF(R5:R204,"A")</f>
        <v>1</v>
      </c>
      <c r="S207" s="1374"/>
      <c r="T207" s="1531"/>
    </row>
    <row r="208" spans="1:62" ht="21" customHeight="1">
      <c r="A208" s="433"/>
      <c r="B208" s="1390" t="str">
        <f>IF('Master Sheet'!$D$11="Hindi","प्रथम श्रेणी","1st Div.")</f>
        <v>प्रथम श्रेणी</v>
      </c>
      <c r="C208" s="1537"/>
      <c r="D208" s="1537"/>
      <c r="E208" s="1538"/>
      <c r="F208" s="434">
        <f>COUNTIF(I5:I204,"I")</f>
        <v>4</v>
      </c>
      <c r="G208" s="436"/>
      <c r="H208" s="1333" t="str">
        <f>IF('Master Sheet'!$D$11="Hindi","प्रथम श्रेणी","1st Div.")</f>
        <v>प्रथम श्रेणी</v>
      </c>
      <c r="I208" s="1333"/>
      <c r="J208" s="1333"/>
      <c r="K208" s="314">
        <f>COUNTIF(K5:K204,"I")</f>
        <v>3</v>
      </c>
      <c r="L208" s="314">
        <f t="shared" ref="L208:P208" si="2">COUNTIF(L5:L204,"I")</f>
        <v>8</v>
      </c>
      <c r="M208" s="314">
        <f t="shared" si="2"/>
        <v>4</v>
      </c>
      <c r="N208" s="314">
        <f t="shared" si="2"/>
        <v>5</v>
      </c>
      <c r="O208" s="314">
        <f t="shared" si="2"/>
        <v>1</v>
      </c>
      <c r="P208" s="314">
        <f t="shared" si="2"/>
        <v>0</v>
      </c>
      <c r="Q208" s="314">
        <f>COUNTIF(Q5:Q204,"B")</f>
        <v>0</v>
      </c>
      <c r="R208" s="314">
        <f>COUNTIF(R5:R204,"B")</f>
        <v>10</v>
      </c>
      <c r="S208" s="1374"/>
      <c r="T208" s="1531"/>
    </row>
    <row r="209" spans="1:20" ht="21" customHeight="1">
      <c r="A209" s="437"/>
      <c r="B209" s="1390" t="str">
        <f>IF('Master Sheet'!$D$11="Hindi","द्वितीय श्रेणी","2nd Div.")</f>
        <v>द्वितीय श्रेणी</v>
      </c>
      <c r="C209" s="1537"/>
      <c r="D209" s="1537"/>
      <c r="E209" s="1538"/>
      <c r="F209" s="434">
        <f>COUNTIF(I5:I204,"II")</f>
        <v>2</v>
      </c>
      <c r="G209" s="436"/>
      <c r="H209" s="1333" t="str">
        <f>IF('Master Sheet'!$D$11="Hindi","द्वितीय श्रेणी","2nd Div.")</f>
        <v>द्वितीय श्रेणी</v>
      </c>
      <c r="I209" s="1333"/>
      <c r="J209" s="1333"/>
      <c r="K209" s="314">
        <f>COUNTIF(K5:K204,"II")</f>
        <v>7</v>
      </c>
      <c r="L209" s="314">
        <f t="shared" ref="L209:P209" si="3">COUNTIF(L5:L204,"II")</f>
        <v>3</v>
      </c>
      <c r="M209" s="314">
        <f t="shared" si="3"/>
        <v>1</v>
      </c>
      <c r="N209" s="314">
        <f t="shared" si="3"/>
        <v>2</v>
      </c>
      <c r="O209" s="314">
        <f t="shared" si="3"/>
        <v>5</v>
      </c>
      <c r="P209" s="314">
        <f t="shared" si="3"/>
        <v>0</v>
      </c>
      <c r="Q209" s="314">
        <f>COUNTIF(Q5:Q204,"C")</f>
        <v>0</v>
      </c>
      <c r="R209" s="314">
        <f>COUNTIF(R5:R204,"C")</f>
        <v>0</v>
      </c>
      <c r="S209" s="1374" t="str">
        <f>IF('Master Sheet'!D11="Hindi","हस्ताक्षर जांचकर्ता","Signature of the checker")</f>
        <v>हस्ताक्षर जांचकर्ता</v>
      </c>
      <c r="T209" s="1531" t="str">
        <f>CONCATENATE("( ",UPPER('Master Sheet'!D15)," )")</f>
        <v>( RAKESH KUMAR )</v>
      </c>
    </row>
    <row r="210" spans="1:20" ht="21" customHeight="1">
      <c r="A210" s="438"/>
      <c r="B210" s="1390" t="str">
        <f>IF('Master Sheet'!$D$11="Hindi","तृतीय श्रेणी","3rd Div.")</f>
        <v>तृतीय श्रेणी</v>
      </c>
      <c r="C210" s="1537"/>
      <c r="D210" s="1537"/>
      <c r="E210" s="1538"/>
      <c r="F210" s="434">
        <f>COUNTIF(I5:I204,"III")</f>
        <v>2</v>
      </c>
      <c r="G210" s="436"/>
      <c r="H210" s="1333" t="str">
        <f>IF('Master Sheet'!$D$11="Hindi","तृतीय श्रेणी","3rd Div.")</f>
        <v>तृतीय श्रेणी</v>
      </c>
      <c r="I210" s="1333"/>
      <c r="J210" s="1333"/>
      <c r="K210" s="318">
        <f>COUNTIF(K5:K204,"III")+COUNTIF(K5:K204,"G")</f>
        <v>1</v>
      </c>
      <c r="L210" s="318">
        <f t="shared" ref="L210:P210" si="4">COUNTIF(L5:L204,"III")+COUNTIF(L5:L204,"G")</f>
        <v>0</v>
      </c>
      <c r="M210" s="318">
        <f t="shared" si="4"/>
        <v>3</v>
      </c>
      <c r="N210" s="318">
        <f t="shared" si="4"/>
        <v>2</v>
      </c>
      <c r="O210" s="318">
        <f t="shared" si="4"/>
        <v>2</v>
      </c>
      <c r="P210" s="318">
        <f t="shared" si="4"/>
        <v>0</v>
      </c>
      <c r="Q210" s="318">
        <f>COUNTIF(Q5:Q204,"III")+COUNTIF(Q5:Q204,"D")</f>
        <v>0</v>
      </c>
      <c r="R210" s="318">
        <f>COUNTIF(R5:R204,"III")+COUNTIF(R5:R204,"D")</f>
        <v>0</v>
      </c>
      <c r="S210" s="1374"/>
      <c r="T210" s="1531"/>
    </row>
    <row r="211" spans="1:20" ht="21" customHeight="1">
      <c r="A211" s="439"/>
      <c r="B211" s="1390" t="str">
        <f>IF('Master Sheet'!$D$11="Hindi","उतीर्ण","Pass")</f>
        <v>उतीर्ण</v>
      </c>
      <c r="C211" s="1537"/>
      <c r="D211" s="1537"/>
      <c r="E211" s="1538"/>
      <c r="F211" s="434">
        <f>COUNTIF(H5:H204,"PASS")+COUNTIF(H5:H204,"BY GRACE PASS")</f>
        <v>8</v>
      </c>
      <c r="G211" s="436"/>
      <c r="H211" s="1333" t="str">
        <f>IF('Master Sheet'!$D$11="Hindi","उतीर्ण","Pass")</f>
        <v>उतीर्ण</v>
      </c>
      <c r="I211" s="1333"/>
      <c r="J211" s="1333"/>
      <c r="K211" s="318">
        <f>SUM(K207,K208,K209,K210)</f>
        <v>11</v>
      </c>
      <c r="L211" s="318">
        <f t="shared" ref="L211:Q211" si="5">SUM(L207,L208,L209,L210)</f>
        <v>11</v>
      </c>
      <c r="M211" s="318">
        <f t="shared" si="5"/>
        <v>8</v>
      </c>
      <c r="N211" s="318">
        <f t="shared" si="5"/>
        <v>11</v>
      </c>
      <c r="O211" s="318">
        <f t="shared" si="5"/>
        <v>10</v>
      </c>
      <c r="P211" s="318">
        <f t="shared" si="5"/>
        <v>0</v>
      </c>
      <c r="Q211" s="318">
        <f t="shared" si="5"/>
        <v>11</v>
      </c>
      <c r="R211" s="318">
        <f>SUM(R207,R208,R209,R210)</f>
        <v>11</v>
      </c>
      <c r="S211" s="1374"/>
      <c r="T211" s="1531"/>
    </row>
    <row r="212" spans="1:20" ht="36" customHeight="1">
      <c r="A212" s="439"/>
      <c r="B212" s="1390" t="str">
        <f>IF('Master Sheet'!$D$11="Hindi","उतीर्ण प्रतिशत","Pass %")</f>
        <v>उतीर्ण प्रतिशत</v>
      </c>
      <c r="C212" s="1537"/>
      <c r="D212" s="1537"/>
      <c r="E212" s="1538"/>
      <c r="F212" s="321">
        <f>IF(F207=0,"",F211/F207*100)</f>
        <v>72.727272727272734</v>
      </c>
      <c r="G212" s="440"/>
      <c r="H212" s="1333" t="str">
        <f>IF('Master Sheet'!$D$11="Hindi","उतीर्ण प्रतिशत","Pass %")</f>
        <v>उतीर्ण प्रतिशत</v>
      </c>
      <c r="I212" s="1333"/>
      <c r="J212" s="1333"/>
      <c r="K212" s="699">
        <f>IF(K206=0,"",K211/K206*100)</f>
        <v>100</v>
      </c>
      <c r="L212" s="699">
        <f t="shared" ref="L212:R212" si="6">IF(L206=0,"",L211/L206*100)</f>
        <v>100</v>
      </c>
      <c r="M212" s="699">
        <f t="shared" si="6"/>
        <v>72.727272727272734</v>
      </c>
      <c r="N212" s="699">
        <f t="shared" si="6"/>
        <v>100</v>
      </c>
      <c r="O212" s="699">
        <f t="shared" si="6"/>
        <v>90.909090909090907</v>
      </c>
      <c r="P212" s="699" t="str">
        <f t="shared" si="6"/>
        <v/>
      </c>
      <c r="Q212" s="699">
        <f t="shared" si="6"/>
        <v>100</v>
      </c>
      <c r="R212" s="699">
        <f t="shared" si="6"/>
        <v>100</v>
      </c>
      <c r="S212" s="1374" t="str">
        <f>IF('Master Sheet'!D11="Hindi","हस्ताक्षर परीक्षा प्रभारी","Signature of the exam. Incharge")</f>
        <v>हस्ताक्षर परीक्षा प्रभारी</v>
      </c>
      <c r="T212" s="1531" t="str">
        <f>CONCATENATE("( ",UPPER('Master Sheet'!D14)," )")</f>
        <v>( HEERALAL JAT )</v>
      </c>
    </row>
    <row r="213" spans="1:20" ht="21" customHeight="1">
      <c r="A213" s="439"/>
      <c r="B213" s="1390" t="str">
        <f>IF('Master Sheet'!$D$11="Hindi","अनुतीर्ण","Failed")</f>
        <v>अनुतीर्ण</v>
      </c>
      <c r="C213" s="1537"/>
      <c r="D213" s="1537"/>
      <c r="E213" s="1538"/>
      <c r="F213" s="434">
        <f>COUNTIF(H5:H204,"FAIL")</f>
        <v>1</v>
      </c>
      <c r="G213" s="441"/>
      <c r="H213" s="1543" t="str">
        <f>IF('Master Sheet'!$D$11="Hindi","पूरक","Supp.")</f>
        <v>पूरक</v>
      </c>
      <c r="I213" s="1543"/>
      <c r="J213" s="1543"/>
      <c r="K213" s="326">
        <f>COUNTIF(K5:K204,"S")</f>
        <v>0</v>
      </c>
      <c r="L213" s="326">
        <f t="shared" ref="L213:Q213" si="7">COUNTIF(L5:L204,"S")</f>
        <v>0</v>
      </c>
      <c r="M213" s="326">
        <f t="shared" si="7"/>
        <v>2</v>
      </c>
      <c r="N213" s="326">
        <f t="shared" si="7"/>
        <v>0</v>
      </c>
      <c r="O213" s="326">
        <f t="shared" si="7"/>
        <v>1</v>
      </c>
      <c r="P213" s="326">
        <f t="shared" si="7"/>
        <v>0</v>
      </c>
      <c r="Q213" s="326">
        <f t="shared" si="7"/>
        <v>0</v>
      </c>
      <c r="R213" s="326">
        <f t="shared" ref="R213" si="8">COUNTIF(R5:R204,"S")</f>
        <v>0</v>
      </c>
      <c r="S213" s="1374"/>
      <c r="T213" s="1531"/>
    </row>
    <row r="214" spans="1:20" ht="21" customHeight="1">
      <c r="A214" s="439"/>
      <c r="B214" s="1390" t="str">
        <f>IF('Master Sheet'!$D$11="Hindi","पूरक","Supp.")</f>
        <v>पूरक</v>
      </c>
      <c r="C214" s="1537"/>
      <c r="D214" s="1537"/>
      <c r="E214" s="1538"/>
      <c r="F214" s="434">
        <f>COUNTIF(H5:H204,"SUPPLEMENTARY")</f>
        <v>2</v>
      </c>
      <c r="G214" s="442"/>
      <c r="H214" s="1543" t="str">
        <f>IF('Master Sheet'!$D$11="Hindi","अनुतीर्ण","Failed")</f>
        <v>अनुतीर्ण</v>
      </c>
      <c r="I214" s="1543"/>
      <c r="J214" s="1543"/>
      <c r="K214" s="443">
        <f>COUNTIF(K5:K204,"F")+COUNTIF(K5:K204,"FP")</f>
        <v>0</v>
      </c>
      <c r="L214" s="443">
        <f t="shared" ref="L214:Q214" si="9">COUNTIF(L5:L204,"F")+COUNTIF(L5:L204,"FP")</f>
        <v>0</v>
      </c>
      <c r="M214" s="443">
        <f t="shared" si="9"/>
        <v>1</v>
      </c>
      <c r="N214" s="443">
        <f t="shared" si="9"/>
        <v>0</v>
      </c>
      <c r="O214" s="443">
        <f t="shared" si="9"/>
        <v>0</v>
      </c>
      <c r="P214" s="443">
        <f t="shared" si="9"/>
        <v>0</v>
      </c>
      <c r="Q214" s="443">
        <f t="shared" si="9"/>
        <v>0</v>
      </c>
      <c r="R214" s="443">
        <f t="shared" ref="R214" si="10">COUNTIF(R5:R204,"F")+COUNTIF(R5:R204,"FP")</f>
        <v>0</v>
      </c>
      <c r="S214" s="1374" t="str">
        <f>IF('Master Sheet'!D11="Hindi","हस्ताक्षर संस्था प्रधान","Head of Institute's Signature")</f>
        <v>हस्ताक्षर संस्था प्रधान</v>
      </c>
      <c r="T214" s="1540" t="str">
        <f>CONCATENATE("( ",UPPER('Master Sheet'!D12)," )")</f>
        <v>( DEWANANAD )</v>
      </c>
    </row>
    <row r="215" spans="1:20" ht="21" customHeight="1">
      <c r="A215" s="433"/>
      <c r="B215" s="1534" t="str">
        <f>IF('Master Sheet'!$D$11="Hindi","परीक्षा परिणाम घोषित दिनांक :-","Date of Result declaration :-")</f>
        <v>परीक्षा परिणाम घोषित दिनांक :-</v>
      </c>
      <c r="C215" s="1535"/>
      <c r="D215" s="1535"/>
      <c r="E215" s="1536"/>
      <c r="F215" s="697">
        <f>'Master Sheet'!D10</f>
        <v>46106</v>
      </c>
      <c r="G215" s="444"/>
      <c r="H215" s="1543" t="str">
        <f>IF('Master Sheet'!$D$11="Hindi","पुनः परीक्षा","Re-Exam")</f>
        <v>पुनः परीक्षा</v>
      </c>
      <c r="I215" s="1543"/>
      <c r="J215" s="1543"/>
      <c r="K215" s="326">
        <f t="shared" ref="K215" si="11">COUNTIF(K5:K204,"RE")</f>
        <v>0</v>
      </c>
      <c r="L215" s="326">
        <f t="shared" ref="L215:Q215" si="12">COUNTIF(L5:L204,"RE")</f>
        <v>0</v>
      </c>
      <c r="M215" s="326">
        <f t="shared" si="12"/>
        <v>0</v>
      </c>
      <c r="N215" s="326">
        <f t="shared" si="12"/>
        <v>0</v>
      </c>
      <c r="O215" s="326">
        <f t="shared" si="12"/>
        <v>0</v>
      </c>
      <c r="P215" s="326">
        <f t="shared" si="12"/>
        <v>0</v>
      </c>
      <c r="Q215" s="326">
        <f t="shared" si="12"/>
        <v>0</v>
      </c>
      <c r="R215" s="326">
        <f t="shared" ref="R215" si="13">COUNTIF(R5:R204,"RE")</f>
        <v>0</v>
      </c>
      <c r="S215" s="1374"/>
      <c r="T215" s="1541"/>
    </row>
    <row r="216" spans="1:20" ht="21" customHeight="1">
      <c r="A216" s="433"/>
      <c r="B216" s="444"/>
      <c r="C216" s="444"/>
      <c r="D216" s="444"/>
      <c r="E216" s="444"/>
      <c r="F216" s="444"/>
      <c r="G216" s="444"/>
      <c r="H216" s="1543" t="str">
        <f>IF('Master Sheet'!$D$11="Hindi","अनुपस्थित","Absent")</f>
        <v>अनुपस्थित</v>
      </c>
      <c r="I216" s="1543"/>
      <c r="J216" s="1543"/>
      <c r="K216" s="326">
        <f t="shared" ref="K216" si="14">COUNTIF(K5:K204,"AB")</f>
        <v>0</v>
      </c>
      <c r="L216" s="326">
        <f t="shared" ref="L216:Q216" si="15">COUNTIF(L5:L204,"AB")</f>
        <v>0</v>
      </c>
      <c r="M216" s="326">
        <f t="shared" si="15"/>
        <v>0</v>
      </c>
      <c r="N216" s="326">
        <f t="shared" si="15"/>
        <v>0</v>
      </c>
      <c r="O216" s="326">
        <f t="shared" si="15"/>
        <v>0</v>
      </c>
      <c r="P216" s="326">
        <f t="shared" si="15"/>
        <v>0</v>
      </c>
      <c r="Q216" s="326">
        <f t="shared" si="15"/>
        <v>0</v>
      </c>
      <c r="R216" s="326">
        <f t="shared" ref="R216" si="16">COUNTIF(R5:R204,"AB")</f>
        <v>0</v>
      </c>
      <c r="S216" s="1374"/>
      <c r="T216" s="1542"/>
    </row>
    <row r="217" spans="1:20" ht="15.75" thickBot="1">
      <c r="A217" s="445"/>
      <c r="B217" s="446"/>
      <c r="C217" s="446"/>
      <c r="D217" s="446"/>
      <c r="E217" s="446"/>
      <c r="F217" s="446"/>
      <c r="G217" s="446"/>
      <c r="H217" s="446"/>
      <c r="I217" s="446"/>
      <c r="J217" s="446"/>
      <c r="K217" s="446"/>
      <c r="L217" s="446"/>
      <c r="M217" s="446"/>
      <c r="N217" s="446"/>
      <c r="O217" s="446"/>
      <c r="P217" s="446"/>
      <c r="Q217" s="446"/>
      <c r="R217" s="446"/>
      <c r="S217" s="447"/>
      <c r="T217" s="448"/>
    </row>
    <row r="218" spans="1:20" ht="19.5" thickTop="1">
      <c r="D218" s="333"/>
    </row>
  </sheetData>
  <sheetProtection password="D1E2" sheet="1" objects="1" scenarios="1" formatCells="0" formatColumns="0" formatRows="0"/>
  <protectedRanges>
    <protectedRange password="DC77" sqref="H211 J206:J207 H206:H207 J211" name="Range1"/>
    <protectedRange password="DC77" sqref="J208:J210 H208:H210" name="Range1_1"/>
    <protectedRange password="DC77" sqref="H212 J212" name="Range1_2"/>
    <protectedRange password="DC77" sqref="H213 J213" name="Range1_3"/>
    <protectedRange password="DC77" sqref="H214 J214" name="Range1_4"/>
    <protectedRange password="DC77" sqref="J215:J216 H215:H216" name="Range1_5"/>
  </protectedRanges>
  <mergeCells count="41">
    <mergeCell ref="B214:E214"/>
    <mergeCell ref="B215:E215"/>
    <mergeCell ref="H214:J214"/>
    <mergeCell ref="B209:E209"/>
    <mergeCell ref="B210:E210"/>
    <mergeCell ref="H211:J211"/>
    <mergeCell ref="H212:J212"/>
    <mergeCell ref="H213:J213"/>
    <mergeCell ref="B212:E212"/>
    <mergeCell ref="B213:E213"/>
    <mergeCell ref="H209:J209"/>
    <mergeCell ref="H210:J210"/>
    <mergeCell ref="B211:E211"/>
    <mergeCell ref="H208:J208"/>
    <mergeCell ref="B205:F205"/>
    <mergeCell ref="H205:T205"/>
    <mergeCell ref="K1:T1"/>
    <mergeCell ref="A1:J1"/>
    <mergeCell ref="A2:B3"/>
    <mergeCell ref="G2:G3"/>
    <mergeCell ref="C2:F3"/>
    <mergeCell ref="H2:J3"/>
    <mergeCell ref="T2:T4"/>
    <mergeCell ref="S2:S4"/>
    <mergeCell ref="K2:R3"/>
    <mergeCell ref="S209:S211"/>
    <mergeCell ref="S212:S213"/>
    <mergeCell ref="S214:S216"/>
    <mergeCell ref="B206:D206"/>
    <mergeCell ref="T206:T208"/>
    <mergeCell ref="E206:F206"/>
    <mergeCell ref="B207:E207"/>
    <mergeCell ref="B208:E208"/>
    <mergeCell ref="S206:S208"/>
    <mergeCell ref="T212:T213"/>
    <mergeCell ref="T214:T216"/>
    <mergeCell ref="T209:T211"/>
    <mergeCell ref="H215:J215"/>
    <mergeCell ref="H216:J216"/>
    <mergeCell ref="H206:J206"/>
    <mergeCell ref="H207:J207"/>
  </mergeCells>
  <conditionalFormatting sqref="O208:P209 A5:A205 E206 G206:G213 T206 H2 A1:A2 C2 T214 T212 K2 A4:R4 K206:R207 B5:T204">
    <cfRule type="cellIs" dxfId="11" priority="32" stopIfTrue="1" operator="equal">
      <formula>0</formula>
    </cfRule>
  </conditionalFormatting>
  <conditionalFormatting sqref="G206 E206 O208:P208 H217:H65569 H2 K206:R206">
    <cfRule type="containsText" dxfId="10" priority="31" stopIfTrue="1" operator="containsText" text="iwjd">
      <formula>NOT(ISERROR(SEARCH("iwjd",E2)))</formula>
    </cfRule>
  </conditionalFormatting>
  <conditionalFormatting sqref="H5:H204">
    <cfRule type="containsText" dxfId="9" priority="30" stopIfTrue="1" operator="containsText" text="iwjd">
      <formula>NOT(ISERROR(SEARCH("iwjd",H5)))</formula>
    </cfRule>
  </conditionalFormatting>
  <conditionalFormatting sqref="K206:R216">
    <cfRule type="cellIs" dxfId="8" priority="25" stopIfTrue="1" operator="equal">
      <formula>0</formula>
    </cfRule>
  </conditionalFormatting>
  <conditionalFormatting sqref="H5:H204">
    <cfRule type="containsText" dxfId="7" priority="19" operator="containsText" text="iqu% ijh{kk">
      <formula>NOT(ISERROR(SEARCH("iqu% ijh{kk",H5)))</formula>
    </cfRule>
  </conditionalFormatting>
  <conditionalFormatting sqref="J5:J204">
    <cfRule type="expression" dxfId="6" priority="8">
      <formula>J5=""</formula>
    </cfRule>
    <cfRule type="top10" dxfId="5" priority="61" stopIfTrue="1" rank="3"/>
    <cfRule type="top10" dxfId="4" priority="62" stopIfTrue="1" percent="1" rank="3"/>
  </conditionalFormatting>
  <conditionalFormatting sqref="E206">
    <cfRule type="cellIs" dxfId="3" priority="2" stopIfTrue="1" operator="equal">
      <formula>0</formula>
    </cfRule>
  </conditionalFormatting>
  <conditionalFormatting sqref="E206">
    <cfRule type="containsText" dxfId="2" priority="1" stopIfTrue="1" operator="containsText" text="iwjd">
      <formula>NOT(ISERROR(SEARCH("iwjd",E206)))</formula>
    </cfRule>
  </conditionalFormatting>
  <pageMargins left="0.45" right="0.2" top="0.5" bottom="0.25" header="0.3" footer="0.3"/>
  <pageSetup paperSize="9" scale="77"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codeName="Sheet10">
    <pageSetUpPr fitToPage="1"/>
  </sheetPr>
  <dimension ref="A1:AQ26"/>
  <sheetViews>
    <sheetView showGridLines="0" view="pageBreakPreview" zoomScaleSheetLayoutView="100" workbookViewId="0">
      <selection activeCell="AS13" sqref="AS13"/>
    </sheetView>
  </sheetViews>
  <sheetFormatPr defaultRowHeight="15"/>
  <cols>
    <col min="1" max="2" width="9.625" style="116" customWidth="1"/>
    <col min="3" max="6" width="5.875" style="116" customWidth="1"/>
    <col min="7" max="7" width="7.25" style="116" customWidth="1"/>
    <col min="8" max="8" width="6.875" style="116" customWidth="1"/>
    <col min="9" max="9" width="5.875" style="116" customWidth="1"/>
    <col min="10" max="10" width="7.125" style="116" customWidth="1"/>
    <col min="11" max="11" width="7.75" style="116" customWidth="1"/>
    <col min="12" max="12" width="5.875" style="116" customWidth="1"/>
    <col min="13" max="13" width="5.625" style="116" customWidth="1"/>
    <col min="14" max="14" width="6.875" style="17" customWidth="1"/>
    <col min="15" max="15" width="7.125" style="116" customWidth="1"/>
    <col min="16" max="16" width="8" style="116" customWidth="1"/>
    <col min="17" max="20" width="8.625" style="116" customWidth="1"/>
    <col min="21" max="28" width="6.75" style="17" customWidth="1"/>
    <col min="29" max="31" width="9" style="17"/>
    <col min="32" max="32" width="9" hidden="1" customWidth="1"/>
    <col min="33" max="33" width="10.125" hidden="1" customWidth="1"/>
    <col min="34" max="34" width="9" hidden="1" customWidth="1"/>
    <col min="35" max="38" width="9" style="17" hidden="1" customWidth="1"/>
    <col min="39" max="42" width="9" style="17" customWidth="1"/>
    <col min="43" max="43" width="9" style="17" hidden="1" customWidth="1"/>
    <col min="44" max="48" width="9" style="17" customWidth="1"/>
    <col min="49" max="16384" width="9" style="17"/>
  </cols>
  <sheetData>
    <row r="1" spans="1:43" ht="20.25" customHeight="1">
      <c r="A1" s="74"/>
      <c r="B1" s="74"/>
      <c r="C1" s="74"/>
      <c r="D1" s="74"/>
      <c r="E1" s="74"/>
      <c r="F1" s="74"/>
      <c r="G1" s="1670" t="str">
        <f>IF('Master Sheet'!D11="Hindi","वार्षिक रिपोर्ट कार्ड ","Report Card")</f>
        <v xml:space="preserve">वार्षिक रिपोर्ट कार्ड </v>
      </c>
      <c r="H1" s="1670"/>
      <c r="I1" s="1670"/>
      <c r="J1" s="1670"/>
      <c r="K1" s="1670"/>
      <c r="L1" s="1670"/>
      <c r="M1" s="1670"/>
      <c r="N1" s="1670"/>
      <c r="O1" s="1670"/>
      <c r="P1" s="74"/>
      <c r="Q1" s="74"/>
      <c r="R1" s="74"/>
      <c r="S1" s="74"/>
      <c r="T1" s="74"/>
    </row>
    <row r="2" spans="1:43" ht="18.75" customHeight="1" thickBot="1">
      <c r="A2" s="74"/>
      <c r="B2" s="74"/>
      <c r="C2" s="74"/>
      <c r="D2" s="1671" t="str">
        <f>IF('Master Sheet'!D11="Hindi","शिक्षा विभाग, राजस्थान सरकार","Education Department, Rajasthan Government")</f>
        <v>शिक्षा विभाग, राजस्थान सरकार</v>
      </c>
      <c r="E2" s="1671"/>
      <c r="F2" s="1671"/>
      <c r="G2" s="1671"/>
      <c r="H2" s="1671"/>
      <c r="I2" s="1671"/>
      <c r="J2" s="1671"/>
      <c r="K2" s="1671"/>
      <c r="L2" s="1671"/>
      <c r="M2" s="1671"/>
      <c r="N2" s="1671"/>
      <c r="O2" s="1671"/>
      <c r="P2" s="1671"/>
      <c r="Q2" s="1671"/>
      <c r="R2" s="74"/>
      <c r="S2" s="74"/>
      <c r="T2" s="74"/>
    </row>
    <row r="3" spans="1:43" ht="21" customHeight="1">
      <c r="A3" s="1661" t="str">
        <f>IF('Master Sheet'!D11="Hindi",CONCATENATE("विद्यालय का नाम :-","  ",'Master Sheet'!D8),CONCATENATE("School Name :-","  ",'Master Sheet'!D7))</f>
        <v xml:space="preserve">विद्यालय का नाम :-  महात्मा गाँधी राजकीय विद्यालय (अंग्रेजी माध्यम) बर, पाली </v>
      </c>
      <c r="B3" s="1661"/>
      <c r="C3" s="1661"/>
      <c r="D3" s="1661"/>
      <c r="E3" s="1661"/>
      <c r="F3" s="1661"/>
      <c r="G3" s="1661"/>
      <c r="H3" s="1661"/>
      <c r="I3" s="1661"/>
      <c r="J3" s="1661"/>
      <c r="K3" s="1661"/>
      <c r="L3" s="1661"/>
      <c r="M3" s="1661"/>
      <c r="N3" s="1661"/>
      <c r="O3" s="1661"/>
      <c r="P3" s="1661"/>
      <c r="Q3" s="1661"/>
      <c r="R3" s="1661"/>
      <c r="S3" s="1661"/>
      <c r="T3" s="1661"/>
      <c r="AA3" s="1650" t="s">
        <v>102</v>
      </c>
      <c r="AB3" s="1651"/>
      <c r="AC3" s="1652"/>
      <c r="AF3" s="756"/>
      <c r="AG3" s="756"/>
      <c r="AH3" s="756"/>
    </row>
    <row r="4" spans="1:43" ht="21" customHeight="1">
      <c r="A4" s="706"/>
      <c r="B4" s="706"/>
      <c r="C4" s="706"/>
      <c r="D4" s="706"/>
      <c r="E4" s="706"/>
      <c r="F4" s="706"/>
      <c r="G4" s="1662" t="str">
        <f>IF(AND(N6=""),"",IF(AND('Master Sheet'!D6=""),"",IF('Master Sheet'!D11="Hindi",CONCATENATE("(विद्यालय मान्यता क्रमांक व वर्ष : ","  ",'Master Sheet'!D6),CONCATENATE("(School Recognition Number &amp; Years : ","  ",'Master Sheet'!D6))))</f>
        <v>(विद्यालय मान्यता क्रमांक व वर्ष :   शिक्षा/पाली/1995/2001</v>
      </c>
      <c r="H4" s="1662"/>
      <c r="I4" s="1662"/>
      <c r="J4" s="1662"/>
      <c r="K4" s="1662"/>
      <c r="L4" s="1662"/>
      <c r="M4" s="1662"/>
      <c r="N4" s="1662"/>
      <c r="O4" s="1662"/>
      <c r="P4" s="452"/>
      <c r="Q4" s="842"/>
      <c r="R4" s="706"/>
      <c r="S4" s="450"/>
      <c r="T4" s="450"/>
      <c r="AA4" s="1653"/>
      <c r="AB4" s="1654"/>
      <c r="AC4" s="1655"/>
    </row>
    <row r="5" spans="1:43" ht="19.5" customHeight="1">
      <c r="A5" s="1663" t="str">
        <f>IF('Master Sheet'!D11="Hindi","सत्र  :-","Session :-")</f>
        <v>सत्र  :-</v>
      </c>
      <c r="B5" s="1663"/>
      <c r="C5" s="1663"/>
      <c r="D5" s="1635" t="str">
        <f>'Marks Entry'!H1</f>
        <v>2025-2026</v>
      </c>
      <c r="E5" s="1635"/>
      <c r="F5" s="1635"/>
      <c r="G5" s="1635"/>
      <c r="H5" s="1639" t="str">
        <f>IF('Master Sheet'!$D$11="Hindi","संकाय :-","Faculty :-")</f>
        <v>संकाय :-</v>
      </c>
      <c r="I5" s="1639"/>
      <c r="J5" s="1666" t="str">
        <f>IF(N6="","",IF('Marks Entry'!H3="","",'Marks Entry'!H3))</f>
        <v>Arts</v>
      </c>
      <c r="K5" s="1666"/>
      <c r="L5" s="1663" t="str">
        <f>IF('Master Sheet'!D11="Hindi","कक्षा  :-","CLASS :- ")</f>
        <v>कक्षा  :-</v>
      </c>
      <c r="M5" s="1663"/>
      <c r="N5" s="1643" t="str">
        <f>IFERROR(CONCATENATE(VLOOKUP($N$6,'Student DATA Entry'!$B$4:$F$203,2,0),"  '",VLOOKUP($N$6,'Student DATA Entry'!$B$4:$F$203,3,0)),"")</f>
        <v>11  'A</v>
      </c>
      <c r="O5" s="1643"/>
      <c r="P5" s="452"/>
      <c r="Q5" s="452"/>
      <c r="R5" s="450"/>
      <c r="S5" s="450"/>
      <c r="T5" s="450"/>
      <c r="AA5" s="1653"/>
      <c r="AB5" s="1654"/>
      <c r="AC5" s="1655"/>
      <c r="AG5" s="757">
        <f>N8</f>
        <v>40065</v>
      </c>
    </row>
    <row r="6" spans="1:43" ht="19.5" customHeight="1">
      <c r="A6" s="1633" t="str">
        <f>IF('Master Sheet'!D11="Hindi","विद्यार्थी का नाम :-","Student's Name :-")</f>
        <v>विद्यार्थी का नाम :-</v>
      </c>
      <c r="B6" s="1633"/>
      <c r="C6" s="1633"/>
      <c r="D6" s="1635" t="str">
        <f>IFERROR(VLOOKUP($N$6,'Statement of Marks'!$B$8:'Statement of Marks'!$HI$207,4,0),"")</f>
        <v>G</v>
      </c>
      <c r="E6" s="1635"/>
      <c r="F6" s="1635"/>
      <c r="G6" s="1635"/>
      <c r="H6" s="1635"/>
      <c r="I6" s="1635"/>
      <c r="J6" s="1635"/>
      <c r="K6" s="1635"/>
      <c r="L6" s="1634" t="str">
        <f>IF('Master Sheet'!D11="Hindi","रोल नंबर :-","Roll No. :")</f>
        <v>रोल नंबर :-</v>
      </c>
      <c r="M6" s="1634"/>
      <c r="N6" s="1640">
        <v>1107</v>
      </c>
      <c r="O6" s="1640"/>
      <c r="P6" s="452"/>
      <c r="Q6" s="452"/>
      <c r="R6" s="450"/>
      <c r="S6" s="450"/>
      <c r="T6" s="450"/>
      <c r="AA6" s="1653"/>
      <c r="AB6" s="1654"/>
      <c r="AC6" s="1655"/>
      <c r="AF6">
        <f>YEAR(AG5)</f>
        <v>2009</v>
      </c>
      <c r="AG6">
        <f>MONTH(AG5)</f>
        <v>9</v>
      </c>
      <c r="AH6">
        <f>DAY(AG5)</f>
        <v>9</v>
      </c>
    </row>
    <row r="7" spans="1:43" ht="18.75" customHeight="1">
      <c r="A7" s="1633" t="str">
        <f>IF('Master Sheet'!D11="Hindi","पिता का नाम :-","Father's Name :-")</f>
        <v>पिता का नाम :-</v>
      </c>
      <c r="B7" s="1633"/>
      <c r="C7" s="1633"/>
      <c r="D7" s="1635" t="str">
        <f>IFERROR(VLOOKUP($N$6,'Statement of Marks'!$B$8:'Statement of Marks'!$HI$207,5,0),"")</f>
        <v>T</v>
      </c>
      <c r="E7" s="1635"/>
      <c r="F7" s="1635"/>
      <c r="G7" s="1635"/>
      <c r="H7" s="1635"/>
      <c r="I7" s="1635"/>
      <c r="J7" s="1635"/>
      <c r="K7" s="1635"/>
      <c r="L7" s="1634" t="str">
        <f>IF('Master Sheet'!D11="Hindi","प्रवेशांक :","SR. NO. :")</f>
        <v>प्रवेशांक :</v>
      </c>
      <c r="M7" s="1634"/>
      <c r="N7" s="1660">
        <f>IFERROR(VLOOKUP($N$6,'Statement of Marks'!$B$8:'Statement of Marks'!$HI$207,2,0),"")</f>
        <v>222</v>
      </c>
      <c r="O7" s="1660"/>
      <c r="P7" s="453"/>
      <c r="Q7" s="453"/>
      <c r="R7" s="450"/>
      <c r="S7" s="450"/>
      <c r="T7" s="450"/>
      <c r="AA7" s="1653"/>
      <c r="AB7" s="1654"/>
      <c r="AC7" s="1655"/>
      <c r="AF7" t="str">
        <f>IF(AF6=2000,"दो हजार",IF(AF6=2001,"दो हजार एक",IF(AF6=2002,"दो हजार दो",IF(AF6=2003,"दो हजार तीन",IF(AF6=2004,"दो हजार चार",IF(AF6=2005,"दो हजार पांच",IF(AF6=2006,"दो हजार छः",IF(AF6=2007,"दो हजार सात",IF(AF6=2008,"दो हजार आठ",IF(AF6=2009,"दो हजार नौ",IF(AF6=2010,"दो हजार दस",IF(AF6=2011,"दो हजार ग्यारह",IF(AF6=2012,"दो हजार बारह",IF(AF6=2013,"दो हजार तेरह",IF(AF6=2014,"दो हजार चौदह",IF(AF6=2015,"दो हजार पंद्रह",IF(AF6=2016,"दो हजार सोलह",IF(AF6=2017,"दो हजार सत्रह",IF(AF6=2018,"दो हजार अठारह",IF(AF6=2019,"दो हजार उन्नीस",IF(AF6=2020,"दो हजार बीस",IF(AF6=2021,"दो हजार इक्कीस",IF(AF6=2022,"दो हजार बाइस","")))))))))))))))))))))))</f>
        <v>दो हजार नौ</v>
      </c>
      <c r="AG7" t="str">
        <f>IF(AG6=1,"जनवरी",IF(AG6=2,"फरवरी",IF(AG6=3,"मार्च",IF(AG6=4,"अप्रैल",IF(AG6=5,"मई",IF(AG6=6,"जून",IF(AG6=7,"जुलाई",IF(AG6=8,"अगस्त",IF(AG6=9,"सितम्बर",IF(AG6=10,"अक्टूबर",IF(AG6=11,"नवम्बर",IF(AG6=12,"दिसम्बर",""))))))))))))</f>
        <v>सितम्बर</v>
      </c>
      <c r="AH7" t="str">
        <f>IF(AH6=1,"एक",IF(AH6=2,"दो",IF(AH6=3,"तीन",IF(AH6=4,"चार",IF(AH6=5,"पांच",IF(AH6=6,"छः",IF(AH6=7,"सात",IF(AH6=8,"आठ",IF(AH6=9,"नौ",IF(AH6=10,"दस",IF(AH6=11,"ग्यारह",IF(AH6=12,"बारह",IF(AH6=13,"तेरह",IF(AH6=14,"चौदह",IF(AH6=15,"पंद्रह",IF(AH6=16,"सोलह",IF(AH6=17,"सत्रह",IF(AH6=18,"अठारह",IF(AH6=19,"उन्नीस",IF(AH6=20,"बीस",IF(AH6=21,"इक्कीस",IF(AH6=22,"बाइस",IF(AH6=23,"तेईस",IF(AH6=24,"चौबीस",IF(AH6=25,"पचीस",IF(AH6=26,"छबीस",IF(AH6=27,"सताईस",IF(AH6=28,"अठाइस",IF(AH6=29,"उन्नतीस",IF(AH6=30,"तीस",IF(AH6=31,"इकतीस","")))))))))))))))))))))))))))))))</f>
        <v>नौ</v>
      </c>
    </row>
    <row r="8" spans="1:43" ht="18.75" customHeight="1">
      <c r="A8" s="1633" t="str">
        <f>IF('Master Sheet'!D11="Hindi","माता का नाम :-","Mother's Name :-")</f>
        <v>माता का नाम :-</v>
      </c>
      <c r="B8" s="1633"/>
      <c r="C8" s="1633"/>
      <c r="D8" s="1635" t="str">
        <f>IFERROR(VLOOKUP($N$6,'Statement of Marks'!$B$8:'Statement of Marks'!$HI$207,6,0),"")</f>
        <v>S</v>
      </c>
      <c r="E8" s="1635"/>
      <c r="F8" s="1635"/>
      <c r="G8" s="1635"/>
      <c r="H8" s="1635"/>
      <c r="I8" s="1635"/>
      <c r="J8" s="1635"/>
      <c r="K8" s="1635"/>
      <c r="L8" s="1634" t="str">
        <f>IF('Master Sheet'!D11="Hindi","जन्म तिथि :","Date of Birth :")</f>
        <v>जन्म तिथि :</v>
      </c>
      <c r="M8" s="1634"/>
      <c r="N8" s="1659">
        <f>IFERROR(VLOOKUP($N$6,'Statement of Marks'!$B$8:'Statement of Marks'!$HI$207,3,0),"")</f>
        <v>40065</v>
      </c>
      <c r="O8" s="1659"/>
      <c r="P8" s="1659"/>
      <c r="Q8" s="1659"/>
      <c r="R8" s="450"/>
      <c r="S8" s="450"/>
      <c r="T8" s="450"/>
      <c r="AA8" s="1653"/>
      <c r="AB8" s="1654"/>
      <c r="AC8" s="1655"/>
      <c r="AG8" t="str">
        <f>CONCATENATE(AH7," ",AG7," ",AF7)</f>
        <v>नौ सितम्बर दो हजार नौ</v>
      </c>
    </row>
    <row r="9" spans="1:43" ht="18.75" customHeight="1">
      <c r="A9" s="662"/>
      <c r="B9" s="662"/>
      <c r="C9" s="662"/>
      <c r="D9" s="661"/>
      <c r="E9" s="661"/>
      <c r="F9" s="661"/>
      <c r="G9" s="661"/>
      <c r="H9" s="661"/>
      <c r="I9" s="661"/>
      <c r="J9" s="661"/>
      <c r="K9" s="1634" t="str">
        <f>IF('Master Sheet'!D11="Hindi","जन्मतिथि शब्दों में :","Date of Birth in Words :")</f>
        <v>जन्मतिथि शब्दों में :</v>
      </c>
      <c r="L9" s="1634"/>
      <c r="M9" s="1634"/>
      <c r="N9" s="1566" t="str">
        <f>IF('Master Sheet'!$D$11="Hindi",AG8,AG10)</f>
        <v>नौ सितम्बर दो हजार नौ</v>
      </c>
      <c r="O9" s="1566"/>
      <c r="P9" s="1566"/>
      <c r="Q9" s="1566"/>
      <c r="R9" s="1566"/>
      <c r="S9" s="1566"/>
      <c r="T9" s="450"/>
      <c r="AA9" s="1653"/>
      <c r="AB9" s="1654"/>
      <c r="AC9" s="1655"/>
      <c r="AF9" t="str">
        <f>IF(AF6=1961,"NINETEEN SIXTY ONE",IF(AF6=1962,"NINETEEN SIXTY TWO",IF(AF6=1963,"NINETEEN SIXTY THREE",IF(AF6=1964,"NINETEEN SIXTY FOUR",IF(AF6=1965,"NINETEEN SIXTY FIVE",IF(AF6=1966,"NINETEEN SIXTY SIX",IF(AF6=1967,"NINETEEN SIXTY SEVEN",IF(AF6=1968,"NINETEEN SIXTY EIGHT",IF(AF6=1969,"NINETEEN SIXTY NINE",IF(AF6=1970,"NINETEEN SEVENTY",IF(AF6=1971,"NINETEEN SEVENTY ONE",IF(AF6=1972,"NINETEEN SEVENTY TWO",IF(AF6=1973,"NINETEEN SEVENTY THREE",IF(AF6=1974,"NINETEEN SEVENTY FOUR",IF(AF6=1975,"NINETEEN SEVENTY FIVE",IF(AF6=1976,"NINETEEN SEVENTY SIX",IF(AF6=1977,"NINETEEN SEVENTY SEVEN",IF(AF6=1978,"NINETEEN SEVENTY EIGHT",IF(AF6=1979,"NINETEEN SEVENTY NINE",IF(AF6=1980,"NINETEEN EIGHTY",IF(AF6=1981,"NINETEEN EIGHTY ONE",IF(AF6=1982,"NINETEEN EIGHTY TWO",IF(AF6=1983,"NINETEEN EIGHTY THREE",IF(AF6=1984,"NINETEEN EIGHTY FOUR",IF(AF6=1985,"NINETEEN EIGHTY FIVE",IF(AF6=1986,"NINETEEN EIGHTY SIX",IF(AF6=1987,"NINETEEN EIGHTY SEVEN",IF(AF6=1988,"NINETEEN EIGHTY EIGHT",IF(AF6=1989,"NINETEEN EIGHTY NINE",IF(AF6=1990,"NINETEEN NINETY",IF(AF6=1991,"NINETEEN NINETY ONE",IF(AF6=1992,"NINETEEN NINETY TWO",IF(AF6=1993,"NINETEEN NINETY THREE",IF(AF6=1994,"NINETEEN NINETY FOUR",IF(AF6=1995,"NINETEEN NINETY FIVE",IF(AF6=1996,"NINETEEN NINETY SIX",IF(AF6=1997,"NINETEEN NINETY SEVEN",IF(AF6=1998,"NINETEEN NINETY EIGHT",IF(AF6=1999,"NINETEEN NINETY NINE",IF(AF6=2000,"TWO THOUSAND",IF(AF6=2001,"TWO THOUSAND ONE",IF(AF6=2002,"TWO THOUSAND TWO",IF(AF6=2003,"TWO THOUSAND THREE",IF(AF6=2004,"TWO THOUSAND FOUR",IF(AF6=2005,"TWO THOUSAND FIVE",IF(AF6=2006,"TWO THOUSAND SIX",IF(AF6=2007,"TWO THOUSAND SEVEN",IF(AF6=2008,"TWO THOUSAND EIGHT",IF(AF6=2009,"TWO THOUSAND NINE",IF(AF6=2010,"TWO THOUSAND TEN",IF(AF6=2011,"TWO THOUSAND ELEVEN",IF(AF6=2012,"TWO THOUSAND TWELVE",IF(AF6=2013,"TWO THOUSAND THIRTEEN",IF(AF6=2014,"TWO THOUSAND FOURTEEN",IF(AF6=2015,"TWO THOUSAND FIFTEEN",IF(AF6=2016,"TWO THOUSAND SIXTEEN",IF(AF6=2017,"TWO THOUSAND SEVENTEEN",IF(AF6=2018,"TWO THOUSAND EIGHTEEN",IF(AF6=2019,"TWO THOUSAND NINETEEN",IF(AF6=2020,"TWO THOUSAND TWENTY",IF(AF6=2021,"TWO THOUSAND TWENTY ONE",IF(AF6=2022,"TWO THOUSAND TWENTY TWO",IF(AF6=2023,"TWO THOUSAND TWENTY THREE",IF(AF6=2024,"TWO THOUSAND TWENTY FOUR",IF(AF6=2025,"TWO THOUSAND TWENTY FIVE","")))))))))))))))))))))))))))))))))))))))))))))))))))))))))))))))))</f>
        <v>TWO THOUSAND NINE</v>
      </c>
      <c r="AG9" t="str">
        <f>IF(AG6=1,"JANUARY",IF(AG6=2,"FEBUARY", IF(AG6=3,"MARCH",IF(AG6=4,"APRIL",IF(AG6=5,"MAY",IF(AG6=6,"JUNE",IF(AG6=7,"JULY",IF(AG6=8,"AUGUST",IF(AG6=9,"SEPTEMBER",IF(AG6=10,"OCTOBER",IF(AG6=11,"NOVEMBER",IF(AG6=12,"DECEMBER",""))))))))))))</f>
        <v>SEPTEMBER</v>
      </c>
      <c r="AH9" t="str">
        <f>IF(AH6=1,"1ST",IF(AH6=2,"2ND", IF(AH6=3,"3RD",IF(AH6=4,"FOURTH",IF(AH6=5,"FIFTH",IF(AH6=6,"SIXTH",IF(AH6=7,"7TH",IF(AH6=8,"8TH",IF(AH6=9,"9TH",IF(AH6=10,"10TH",IF(AH6=11,"11TH",IF(AH6=12,"12TH",IF(AH6=13,"13TH",IF(AH6=14,"14TH",IF(AH6=15,"FIFTEEN",IF(AH6=16,"SIXTEEN",IF(AH6=17,"SEVENTEEN",IF(AH6=18,"EIGHTEEN",IF(AH6=19,"NINETEEN",IF(AH6=20,"TWENTY",IF(AH6=21,"TWENTY FIRST",IF(AH6=22,"TWENTY SECOND",IF(AH6=23,"TWENTY THIRD",IF(AH6=24,"TWENTY FOURTH",IF(AH6=25,"TWENTY FIFTH",IF(AH6=26,"TWENTY SIX",IF(AH6=27,"TWENTY SEVEN",IF(AH6=28,"TWENTY EIGHT",IF(AH6=29,"TWENTY NINE",IF(AH6=30,"THIRTY",IF(AH6=31,"THIRTY FIRST","")))))))))))))))))))))))))))))))</f>
        <v>9TH</v>
      </c>
    </row>
    <row r="10" spans="1:43" ht="9" customHeight="1" thickBot="1">
      <c r="A10" s="454"/>
      <c r="B10" s="454"/>
      <c r="C10" s="454"/>
      <c r="D10" s="455"/>
      <c r="E10" s="661"/>
      <c r="F10" s="455"/>
      <c r="G10" s="455"/>
      <c r="H10" s="455"/>
      <c r="I10" s="455"/>
      <c r="J10" s="455"/>
      <c r="K10" s="455"/>
      <c r="L10" s="456"/>
      <c r="M10" s="456"/>
      <c r="N10" s="457"/>
      <c r="O10" s="457"/>
      <c r="P10" s="457"/>
      <c r="Q10" s="457"/>
      <c r="R10" s="450"/>
      <c r="S10" s="450"/>
      <c r="T10" s="450"/>
      <c r="AA10" s="1653"/>
      <c r="AB10" s="1654"/>
      <c r="AC10" s="1655"/>
      <c r="AG10" t="str">
        <f>CONCATENATE(AG9," ",AH9,", ",AF9)</f>
        <v>SEPTEMBER 9TH, TWO THOUSAND NINE</v>
      </c>
    </row>
    <row r="11" spans="1:43" ht="20.25" customHeight="1">
      <c r="A11" s="1644" t="str">
        <f>IF('Master Sheet'!D11="Hindi","विषय का नाम","Subject Name")</f>
        <v>विषय का नाम</v>
      </c>
      <c r="B11" s="1645"/>
      <c r="C11" s="1616" t="str">
        <f>IF('Master Sheet'!$D$11="Hindi","सामयिक परख","Seasonal Exam")</f>
        <v>सामयिक परख</v>
      </c>
      <c r="D11" s="1616"/>
      <c r="E11" s="1616"/>
      <c r="F11" s="1616"/>
      <c r="G11" s="1616" t="str">
        <f>IF('Master Sheet'!$D$11="Hindi","अर्द्धवार्षिक","Half Yearly")</f>
        <v>अर्द्धवार्षिक</v>
      </c>
      <c r="H11" s="1616"/>
      <c r="I11" s="1616"/>
      <c r="J11" s="1648" t="str">
        <f>IF('Master Sheet'!$D$11="Hindi","अर्द्ध वा. तक योग","Total Till H.Y.")</f>
        <v>अर्द्ध वा. तक योग</v>
      </c>
      <c r="K11" s="1616" t="str">
        <f>IF('Master Sheet'!$D$11="Hindi","वार्षिक","Yearly Exam")</f>
        <v>वार्षिक</v>
      </c>
      <c r="L11" s="1616"/>
      <c r="M11" s="1616"/>
      <c r="N11" s="1616"/>
      <c r="O11" s="1641" t="str">
        <f>IF('Master Sheet'!$D$11="Hindi","विषय कुल योग ","Subject Total")</f>
        <v xml:space="preserve">विषय कुल योग </v>
      </c>
      <c r="P11" s="1667" t="str">
        <f>IF('Master Sheet'!D11="Hindi","विषय परिणाम / विषय श्रेणी","Sub. Result /  Sub. Div.")</f>
        <v>विषय परिणाम / विषय श्रेणी</v>
      </c>
      <c r="Q11" s="1636" t="str">
        <f>IF('Master Sheet'!D11="Hindi","विशेष योग्यता प्राप्त विषय","Distinction Marks  Subject")</f>
        <v>विशेष योग्यता प्राप्त विषय</v>
      </c>
      <c r="R11" s="1636"/>
      <c r="S11" s="1636" t="str">
        <f>IF('Master Sheet'!D11="Hindi","पूरक विषय","Supplementary Subject")</f>
        <v>पूरक विषय</v>
      </c>
      <c r="T11" s="1664"/>
      <c r="AA11" s="1653"/>
      <c r="AB11" s="1654"/>
      <c r="AC11" s="1655"/>
    </row>
    <row r="12" spans="1:43" ht="69" customHeight="1">
      <c r="A12" s="1646"/>
      <c r="B12" s="1647"/>
      <c r="C12" s="723" t="str">
        <f>IF('Master Sheet'!$D$11="Hindi","प्रथम परख ","First Test")</f>
        <v xml:space="preserve">प्रथम परख </v>
      </c>
      <c r="D12" s="723" t="str">
        <f>IF('Master Sheet'!$D$11="Hindi","द्वितीय परख","Second Test")</f>
        <v>द्वितीय परख</v>
      </c>
      <c r="E12" s="723" t="str">
        <f>IF('Master Sheet'!$D$11="Hindi","तृतीय परख","Third Test")</f>
        <v>तृतीय परख</v>
      </c>
      <c r="F12" s="707" t="str">
        <f>IF('Master Sheet'!$D$11="Hindi","सा. परख योग","Test Total")</f>
        <v>सा. परख योग</v>
      </c>
      <c r="G12" s="723" t="str">
        <f>IF('Master Sheet'!$D$11="Hindi","सैद्धांतिक","Theoretical")</f>
        <v>सैद्धांतिक</v>
      </c>
      <c r="H12" s="723" t="str">
        <f>IF('Master Sheet'!$D$11="Hindi","प्रायोगिक","Practical")</f>
        <v>प्रायोगिक</v>
      </c>
      <c r="I12" s="783" t="str">
        <f>IF('Master Sheet'!$D$11="Hindi","अर्द्ध वा. योग","Total H.Y.")</f>
        <v>अर्द्ध वा. योग</v>
      </c>
      <c r="J12" s="1649"/>
      <c r="K12" s="723" t="str">
        <f>IF('Master Sheet'!$D$11="Hindi","सैद्धांतिक","Theoretical")</f>
        <v>सैद्धांतिक</v>
      </c>
      <c r="L12" s="723" t="str">
        <f>IF('Master Sheet'!$D$11="Hindi","प्रायोगिक","Practical")</f>
        <v>प्रायोगिक</v>
      </c>
      <c r="M12" s="723" t="str">
        <f>IF('Master Sheet'!$D$11="Hindi","पोर्टफोलियो","Portfolio")</f>
        <v>पोर्टफोलियो</v>
      </c>
      <c r="N12" s="783" t="str">
        <f>IF('Master Sheet'!$D$11="Hindi","वार्षिक योग","Total Yearly")</f>
        <v>वार्षिक योग</v>
      </c>
      <c r="O12" s="1642"/>
      <c r="P12" s="1668"/>
      <c r="Q12" s="1587"/>
      <c r="R12" s="1587"/>
      <c r="S12" s="1587"/>
      <c r="T12" s="1665"/>
      <c r="Y12" s="74"/>
      <c r="AA12" s="1653"/>
      <c r="AB12" s="1654"/>
      <c r="AC12" s="1655"/>
    </row>
    <row r="13" spans="1:43" ht="17.25" customHeight="1" thickBot="1">
      <c r="A13" s="1637" t="s">
        <v>230</v>
      </c>
      <c r="B13" s="1638"/>
      <c r="C13" s="719">
        <v>10</v>
      </c>
      <c r="D13" s="719">
        <v>10</v>
      </c>
      <c r="E13" s="719">
        <v>10</v>
      </c>
      <c r="F13" s="460">
        <v>30</v>
      </c>
      <c r="G13" s="459" t="s">
        <v>284</v>
      </c>
      <c r="H13" s="458" t="s">
        <v>285</v>
      </c>
      <c r="I13" s="786">
        <v>70</v>
      </c>
      <c r="J13" s="724">
        <v>100</v>
      </c>
      <c r="K13" s="459" t="s">
        <v>286</v>
      </c>
      <c r="L13" s="459" t="s">
        <v>143</v>
      </c>
      <c r="M13" s="720">
        <v>20</v>
      </c>
      <c r="N13" s="759">
        <v>100</v>
      </c>
      <c r="O13" s="702">
        <v>200</v>
      </c>
      <c r="P13" s="1669"/>
      <c r="Q13" s="1587"/>
      <c r="R13" s="1587"/>
      <c r="S13" s="1587"/>
      <c r="T13" s="1665"/>
      <c r="Y13" s="74"/>
      <c r="AA13" s="1656"/>
      <c r="AB13" s="1657"/>
      <c r="AC13" s="1658"/>
    </row>
    <row r="14" spans="1:43" ht="24.95" customHeight="1">
      <c r="A14" s="1605" t="str">
        <f>'Statement of Marks'!J3</f>
        <v>Com. Hindi</v>
      </c>
      <c r="B14" s="1606"/>
      <c r="C14" s="91">
        <f>IFERROR(VLOOKUP($N$6,'Statement of Marks'!$B$8:'Statement of Marks'!$HI$207,9,0),"")</f>
        <v>7</v>
      </c>
      <c r="D14" s="91">
        <f>IFERROR(VLOOKUP($N$6,'Statement of Marks'!$B$8:'Statement of Marks'!$HI$207,10,0),"")</f>
        <v>9</v>
      </c>
      <c r="E14" s="91">
        <f>IFERROR(VLOOKUP($N$6,'Statement of Marks'!$B$8:'Statement of Marks'!$HI$207,11,0),"")</f>
        <v>8</v>
      </c>
      <c r="F14" s="461">
        <f>IFERROR(VLOOKUP($N$6,'Statement of Marks'!$B$8:'Statement of Marks'!$HI$207,12,0),"")</f>
        <v>24</v>
      </c>
      <c r="G14" s="91">
        <f>IFERROR(VLOOKUP($N$6,'Statement of Marks'!$B$8:'Statement of Marks'!$HI$207,13,0),"")</f>
        <v>43</v>
      </c>
      <c r="H14" s="91"/>
      <c r="I14" s="787">
        <f>IFERROR(VLOOKUP($N$6,'Statement of Marks'!$B$8:'Statement of Marks'!$HI$207,13,0),"")</f>
        <v>43</v>
      </c>
      <c r="J14" s="724">
        <f>IFERROR(IF(AND($N$6="",A14="",F14="",I14=""),"",SUM(C14,D14,E14,G14,H14)),"")</f>
        <v>67</v>
      </c>
      <c r="K14" s="91">
        <f>IFERROR(VLOOKUP($N$6,'Statement of Marks'!$B$8:'Statement of Marks'!$HI$207,15,0),"")</f>
        <v>43</v>
      </c>
      <c r="L14" s="462"/>
      <c r="M14" s="721"/>
      <c r="N14" s="759">
        <f>IFERROR(VLOOKUP($N$6,'Statement of Marks'!$B$8:'Statement of Marks'!$HI$207,15,0),"")</f>
        <v>43</v>
      </c>
      <c r="O14" s="702">
        <f>IFERROR(VLOOKUP($N$6,'Statement of Marks'!$B$8:'Statement of Marks'!$HI$207,16,0),"")</f>
        <v>110</v>
      </c>
      <c r="P14" s="722" t="str">
        <f>IFERROR(IF(N14="","",IF(VLOOKUP($N$6,'Statement of Marks'!$B$8:'Statement of Marks'!$HI$207,165,0)="D","I",VLOOKUP($N$6,'Statement of Marks'!$B$8:'Statement of Marks'!$HI$207,165,0))),"")</f>
        <v>II</v>
      </c>
      <c r="Q14" s="1632" t="str">
        <f>IF(AND(O14=""),"",IF(AND(O14&gt;=($O$13-COUNTIF(C14:D14,"NA")*10)*75%),A14,""))</f>
        <v/>
      </c>
      <c r="R14" s="1632"/>
      <c r="S14" s="1626" t="str">
        <f>IFERROR(VLOOKUP($N$6,'Statement of Marks'!$B$8:'Statement of Marks'!$HI$207,202,0),"")</f>
        <v xml:space="preserve">  POLITICAL SCIENCE  </v>
      </c>
      <c r="T14" s="1627"/>
    </row>
    <row r="15" spans="1:43" ht="24.95" customHeight="1">
      <c r="A15" s="1605" t="str">
        <f>'Statement of Marks'!X3</f>
        <v>Com. English</v>
      </c>
      <c r="B15" s="1606"/>
      <c r="C15" s="91">
        <f>IFERROR(VLOOKUP($N$6,'Statement of Marks'!$B$8:'Statement of Marks'!$HI$207,23,0),"")</f>
        <v>10</v>
      </c>
      <c r="D15" s="91">
        <f>IFERROR(VLOOKUP($N$6,'Statement of Marks'!$B$8:'Statement of Marks'!$HI$207,24,0),"")</f>
        <v>6</v>
      </c>
      <c r="E15" s="91">
        <f>IFERROR(VLOOKUP($N$6,'Statement of Marks'!$B$8:'Statement of Marks'!$HI$207,25,0),"")</f>
        <v>9</v>
      </c>
      <c r="F15" s="461">
        <f>IFERROR(VLOOKUP($N$6,'Statement of Marks'!$B$8:'Statement of Marks'!$HI$207,26,0),"")</f>
        <v>25</v>
      </c>
      <c r="G15" s="91">
        <f>IFERROR(VLOOKUP($N$6,'Statement of Marks'!$B$8:'Statement of Marks'!$HI$207,27,0),"")</f>
        <v>41</v>
      </c>
      <c r="H15" s="91"/>
      <c r="I15" s="787">
        <f>IFERROR(VLOOKUP($N$6,'Statement of Marks'!$B$8:'Statement of Marks'!$HI$207,27,0),"")</f>
        <v>41</v>
      </c>
      <c r="J15" s="724">
        <f t="shared" ref="J15:J17" si="0">IFERROR(IF(AND($N$6="",A15="",F15="",I15=""),"",SUM(C15,D15,E15,G15,H15)),"")</f>
        <v>66</v>
      </c>
      <c r="K15" s="91">
        <f>IFERROR(VLOOKUP($N$6,'Statement of Marks'!$B$8:'Statement of Marks'!$HI$207,29,0),"")</f>
        <v>64</v>
      </c>
      <c r="L15" s="462"/>
      <c r="M15" s="721"/>
      <c r="N15" s="759">
        <f>IFERROR(VLOOKUP($N$6,'Statement of Marks'!$B$8:'Statement of Marks'!$HI$207,29,0),"")</f>
        <v>64</v>
      </c>
      <c r="O15" s="702">
        <f>IFERROR(VLOOKUP($N$6,'Statement of Marks'!$B$8:'Statement of Marks'!$HI$207,30,0),"")</f>
        <v>130</v>
      </c>
      <c r="P15" s="722" t="str">
        <f>IFERROR(IF(O15="","",IF(VLOOKUP($N$6,'Statement of Marks'!$B$8:'Statement of Marks'!$HI$207,168,0)="D","I",VLOOKUP($N$6,'Statement of Marks'!$B$8:'Statement of Marks'!$HI$207,168,0))),"")</f>
        <v>I</v>
      </c>
      <c r="Q15" s="1632" t="str">
        <f t="shared" ref="Q15:Q17" si="1">IF(AND(O15=""),"",IF(AND(O15&gt;=($O$13-COUNTIF(C15:D15,"NA")*10)*75%),A15,""))</f>
        <v/>
      </c>
      <c r="R15" s="1632"/>
      <c r="S15" s="1628"/>
      <c r="T15" s="1629"/>
      <c r="AQ15" s="17" t="str">
        <f>IFERROR(IF(VLOOKUP(N6,'Statement of Marks'!$B$7:'Statement of Marks'!$IC$206,206,0)="By Grace Pass","By Grace Pass and Promoted to Class 12th",IF(VLOOKUP(N6,'Statement of Marks'!$B$7:'Statement of Marks'!$IC$206,206,0)="PASS","PASS  and Promoted to Class 12th",IF(VLOOKUP(N6,'Statement of Marks'!$B$7:'Statement of Marks'!$IC$206,206,0)="SUPPLEMENTARY","Supplementary",IF(VLOOKUP(N6,'Statement of Marks'!$B$7:'Statement of Marks'!$IC$206,206,0)="Re-Exam","RE-EXAM",IF(VLOOKUP(N6,'Statement of Marks'!$B$7:'Statement of Marks'!$IC$206,206,0)="FAIL","FAIL",""))))),"")</f>
        <v>Supplementary</v>
      </c>
    </row>
    <row r="16" spans="1:43" ht="24.95" customHeight="1">
      <c r="A16" s="1617" t="str">
        <f>IFERROR(IF(AND(AI16="A"),'Marks Entry'!U2,IF(AND(AI16="B"),'Marks Entry'!Y2,IF(AND(AI16="C"),'Marks Entry'!AA2,""))),"")</f>
        <v>POLITICAL SCIENCE</v>
      </c>
      <c r="B16" s="1618"/>
      <c r="C16" s="91">
        <f>IFERROR(VLOOKUP($N$6,'Statement of Marks'!$B$8:'Statement of Marks'!$HI$207,38,0),"")</f>
        <v>7</v>
      </c>
      <c r="D16" s="91">
        <f>IFERROR(VLOOKUP($N$6,'Statement of Marks'!$B$8:'Statement of Marks'!$HI$207,39,0),"")</f>
        <v>4</v>
      </c>
      <c r="E16" s="91">
        <f>IFERROR(VLOOKUP($N$6,'Statement of Marks'!$B$8:'Statement of Marks'!$HI$207,40,0),"")</f>
        <v>6</v>
      </c>
      <c r="F16" s="461">
        <f>IFERROR(VLOOKUP($N$6,'Statement of Marks'!$B$8:'Statement of Marks'!$HI$207,41,0),"")</f>
        <v>17</v>
      </c>
      <c r="G16" s="91">
        <f>IFERROR(VLOOKUP($N$6,'Statement of Marks'!$B$8:'Statement of Marks'!$HI$207,42,0),"")</f>
        <v>14</v>
      </c>
      <c r="H16" s="91" t="str">
        <f>IFERROR(VLOOKUP($N$6,'Statement of Marks'!$B$8:'Statement of Marks'!$HI$207,43,0),"")</f>
        <v/>
      </c>
      <c r="I16" s="787">
        <f>IFERROR(VLOOKUP($N$6,'Statement of Marks'!$B$8:'Statement of Marks'!$HI$207,44,0),"")</f>
        <v>14</v>
      </c>
      <c r="J16" s="724">
        <f t="shared" si="0"/>
        <v>31</v>
      </c>
      <c r="K16" s="91">
        <f>IFERROR(VLOOKUP($N$6,'Statement of Marks'!$B$8:'Statement of Marks'!$HI$207,46,0),"")</f>
        <v>30</v>
      </c>
      <c r="L16" s="91" t="str">
        <f>IFERROR(VLOOKUP($N$6,'Statement of Marks'!$B$8:'Statement of Marks'!$HI$207,47,0),"")</f>
        <v/>
      </c>
      <c r="M16" s="721"/>
      <c r="N16" s="759">
        <f>IFERROR(VLOOKUP($N$6,'Statement of Marks'!$B$8:'Statement of Marks'!$HI$207,48,0),"")</f>
        <v>30</v>
      </c>
      <c r="O16" s="702">
        <f>IFERROR(VLOOKUP($N$6,'Statement of Marks'!$B$8:'Statement of Marks'!$HI$207,51,0),"")</f>
        <v>61</v>
      </c>
      <c r="P16" s="722" t="str">
        <f>IFERROR(IF(O16="","",IF(VLOOKUP($N$6,'Statement of Marks'!$B$8:'Statement of Marks'!$HI$207,171,0)="D","I",VLOOKUP($N$6,'Statement of Marks'!$B$8:'Statement of Marks'!$HI$207,171,0))),"")</f>
        <v>S</v>
      </c>
      <c r="Q16" s="1632" t="str">
        <f t="shared" si="1"/>
        <v/>
      </c>
      <c r="R16" s="1632"/>
      <c r="S16" s="1628"/>
      <c r="T16" s="1629"/>
      <c r="AI16" s="17" t="str">
        <f>IFERROR(VLOOKUP($N$6,'Statement of Marks'!$B$8:'Statement of Marks'!$HI$207,37,0),"")</f>
        <v>A</v>
      </c>
      <c r="AQ16" s="17" t="str">
        <f>IFERROR(IF(VLOOKUP(N6,'Statement of Marks'!$B$7:'Statement of Marks'!$IC$206,206,0)="By Grace Pass","सानुग्रह उतीर्ण एवं कक्षा 12 में क्रमोन्नत",IF(VLOOKUP(N6,'Statement of Marks'!$B$7:'Statement of Marks'!$IC$206,206,0)="PASS","उतीर्ण एवं कक्षा 12 में क्रमोन्नत",IF(VLOOKUP(N6,'Statement of Marks'!$B$7:'Statement of Marks'!$IC$206,206,0)="SUPPLEMENTARY","पूरक",IF(VLOOKUP(N6,'Statement of Marks'!$B$7:'Statement of Marks'!$IC$206,206,0)="Re-Exam","पुनः परीक्षा",IF(VLOOKUP(N6,'Statement of Marks'!$B$7:'Statement of Marks'!$IC$206,206,0)="FAIL","अनुतीर्ण",""))))),"")</f>
        <v>पूरक</v>
      </c>
    </row>
    <row r="17" spans="1:43" ht="24.95" customHeight="1">
      <c r="A17" s="1617" t="str">
        <f>IFERROR(IF(AND(AI17="A"),'Marks Entry'!AC2,IF(AND(AI17="B"),'Marks Entry'!AG2,IF(AND(AI17="C"),'Marks Entry'!AI2,""))),"")</f>
        <v>HISTORY</v>
      </c>
      <c r="B17" s="1618"/>
      <c r="C17" s="91">
        <f>IFERROR(VLOOKUP($N$6,'Statement of Marks'!$B$8:'Statement of Marks'!$HI$207,61,0),"")</f>
        <v>8</v>
      </c>
      <c r="D17" s="91">
        <f>IFERROR(VLOOKUP($N$6,'Statement of Marks'!$B$8:'Statement of Marks'!$HI$207,62,0),"")</f>
        <v>10</v>
      </c>
      <c r="E17" s="91">
        <f>IFERROR(VLOOKUP($N$6,'Statement of Marks'!$B$8:'Statement of Marks'!$HI$207,63,0),"")</f>
        <v>8</v>
      </c>
      <c r="F17" s="461">
        <f>IFERROR(VLOOKUP($N$6,'Statement of Marks'!$B$8:'Statement of Marks'!$HI$207,64,0),"")</f>
        <v>26</v>
      </c>
      <c r="G17" s="91">
        <f>IFERROR(VLOOKUP($N$6,'Statement of Marks'!$B$8:'Statement of Marks'!$HI$207,65,0),"")</f>
        <v>45</v>
      </c>
      <c r="H17" s="91" t="str">
        <f>IFERROR(VLOOKUP($N$6,'Statement of Marks'!$B$8:'Statement of Marks'!$HI$207,66,0),"")</f>
        <v/>
      </c>
      <c r="I17" s="787">
        <f>IFERROR(VLOOKUP($N$6,'Statement of Marks'!$B$8:'Statement of Marks'!$HI$207,67,0),"")</f>
        <v>45</v>
      </c>
      <c r="J17" s="724">
        <f t="shared" si="0"/>
        <v>71</v>
      </c>
      <c r="K17" s="91">
        <f>IFERROR(VLOOKUP($N$6,'Statement of Marks'!$B$8:'Statement of Marks'!$HI$207,69,0),"")</f>
        <v>54</v>
      </c>
      <c r="L17" s="91" t="str">
        <f>IFERROR(VLOOKUP($N$6,'Statement of Marks'!$B$8:'Statement of Marks'!$HI$207,70,0),"")</f>
        <v/>
      </c>
      <c r="M17" s="721"/>
      <c r="N17" s="759">
        <f>IFERROR(VLOOKUP($N$6,'Statement of Marks'!$B$8:'Statement of Marks'!$HI$207,71,0),"")</f>
        <v>54</v>
      </c>
      <c r="O17" s="702">
        <f>IFERROR(VLOOKUP($N$6,'Statement of Marks'!$B$8:'Statement of Marks'!$HI$207,74,0),"")</f>
        <v>125</v>
      </c>
      <c r="P17" s="722" t="str">
        <f>IFERROR(IF(O17="","",IF(VLOOKUP($N$6,'Statement of Marks'!$B$8:'Statement of Marks'!$HI$207,178,0)="D","I",VLOOKUP($N$6,'Statement of Marks'!$B$8:'Statement of Marks'!$HI$207,178,0))),"")</f>
        <v>I</v>
      </c>
      <c r="Q17" s="1632" t="str">
        <f t="shared" si="1"/>
        <v/>
      </c>
      <c r="R17" s="1632"/>
      <c r="S17" s="1628"/>
      <c r="T17" s="1629"/>
      <c r="AI17" s="17" t="str">
        <f>IFERROR(VLOOKUP($N$6,'Statement of Marks'!$B$8:'Statement of Marks'!$HI$207,60,0),"")</f>
        <v>A</v>
      </c>
      <c r="AQ17" s="17" t="str">
        <f>IF('Master Sheet'!$D$11="Hindi",AQ16,AQ15)</f>
        <v>पूरक</v>
      </c>
    </row>
    <row r="18" spans="1:43" ht="24.95" customHeight="1">
      <c r="A18" s="1617" t="str">
        <f>IFERROR(IF(AND(AI18="A"),'Marks Entry'!AK2,IF(AND(AI18="B"),'Marks Entry'!AO2,IF(AND(AI18="C"),'Marks Entry'!AQ2,""))),"")</f>
        <v>HOME SCIENCE</v>
      </c>
      <c r="B18" s="1618"/>
      <c r="C18" s="91">
        <f>IFERROR(VLOOKUP($N$6,'Statement of Marks'!$B$8:'Statement of Marks'!$HI$207,84,0),"")</f>
        <v>4</v>
      </c>
      <c r="D18" s="91">
        <f>IFERROR(VLOOKUP($N$6,'Statement of Marks'!$B$8:'Statement of Marks'!$HI$207,85,0),"")</f>
        <v>4</v>
      </c>
      <c r="E18" s="91">
        <f>IFERROR(VLOOKUP($N$6,'Statement of Marks'!$B$8:'Statement of Marks'!$HI$207,86,0),"")</f>
        <v>9</v>
      </c>
      <c r="F18" s="461">
        <f>IFERROR(VLOOKUP($N$6,'Statement of Marks'!$B$8:'Statement of Marks'!$HI$207,87,0),"")</f>
        <v>17</v>
      </c>
      <c r="G18" s="91">
        <f>IFERROR(VLOOKUP($N$6,'Statement of Marks'!$B$8:'Statement of Marks'!$HI$207,88,0),"")</f>
        <v>32</v>
      </c>
      <c r="H18" s="91" t="str">
        <f>IFERROR(VLOOKUP($N$6,'Statement of Marks'!$B$8:'Statement of Marks'!$HI$207,89,0),"")</f>
        <v/>
      </c>
      <c r="I18" s="787">
        <f>IFERROR(VLOOKUP($N$6,'Statement of Marks'!$B$8:'Statement of Marks'!$HI$207,90,0),"")</f>
        <v>32</v>
      </c>
      <c r="J18" s="724">
        <f>IFERROR(IF(AND($N$6="",A18="",F18="",I18=""),"",SUM(C18,D18,E18,G18,H18)),"")</f>
        <v>49</v>
      </c>
      <c r="K18" s="91">
        <f>IFERROR(VLOOKUP($N$6,'Statement of Marks'!$B$8:'Statement of Marks'!$HI$207,92,0),"")</f>
        <v>39</v>
      </c>
      <c r="L18" s="91" t="str">
        <f>IFERROR(VLOOKUP($N$6,'Statement of Marks'!$B$8:'Statement of Marks'!$HI$207,93,0),"")</f>
        <v/>
      </c>
      <c r="M18" s="721"/>
      <c r="N18" s="759">
        <f>IFERROR(VLOOKUP($N$6,'Statement of Marks'!$B$8:'Statement of Marks'!$HI$207,94,0),"")</f>
        <v>39</v>
      </c>
      <c r="O18" s="702">
        <f>IFERROR(VLOOKUP($N$6,'Statement of Marks'!$B$8:'Statement of Marks'!$HI$207,97,0),"")</f>
        <v>88</v>
      </c>
      <c r="P18" s="722" t="str">
        <f>IFERROR(IF(O18="","",IF(VLOOKUP($N$6,'Statement of Marks'!$B$8:'Statement of Marks'!$HI$207,185,0)="D","I",VLOOKUP($N$6,'Statement of Marks'!$B$8:'Statement of Marks'!$HI$207,185,0))),"")</f>
        <v>III</v>
      </c>
      <c r="Q18" s="1632" t="str">
        <f>IF(AND(O18=""),"",IF(AND(O18&gt;=($O$13-COUNTIF(C18:D18,"NA")*10)*75%),A18,""))</f>
        <v/>
      </c>
      <c r="R18" s="1632"/>
      <c r="S18" s="1630"/>
      <c r="T18" s="1631"/>
      <c r="AI18" s="17" t="str">
        <f>IFERROR(VLOOKUP($N$6,'Statement of Marks'!$B$8:'Statement of Marks'!$HI$207,83,0),"")</f>
        <v>B</v>
      </c>
    </row>
    <row r="19" spans="1:43" ht="20.25" customHeight="1">
      <c r="A19" s="1622" t="str">
        <f>IF('Master Sheet'!D11="Hindi","व्यावसायिक शिक्षा / अतिरिक्त विषय","Vocational Education / Additional Subject")</f>
        <v>व्यावसायिक शिक्षा / अतिरिक्त विषय</v>
      </c>
      <c r="B19" s="1623"/>
      <c r="C19" s="1623"/>
      <c r="D19" s="1623"/>
      <c r="E19" s="1623"/>
      <c r="F19" s="1623"/>
      <c r="G19" s="1623"/>
      <c r="H19" s="1623"/>
      <c r="I19" s="1623"/>
      <c r="J19" s="1623"/>
      <c r="K19" s="1623"/>
      <c r="L19" s="1623"/>
      <c r="M19" s="1623"/>
      <c r="N19" s="1624"/>
      <c r="O19" s="1624"/>
      <c r="P19" s="1623"/>
      <c r="Q19" s="1623"/>
      <c r="R19" s="1623"/>
      <c r="S19" s="1623"/>
      <c r="T19" s="1625"/>
      <c r="AI19" s="71"/>
      <c r="AJ19" s="71"/>
      <c r="AK19" s="71"/>
      <c r="AL19" s="71"/>
      <c r="AM19" s="71"/>
      <c r="AN19" s="71"/>
      <c r="AO19" s="71"/>
      <c r="AP19" s="70"/>
      <c r="AQ19" s="70"/>
    </row>
    <row r="20" spans="1:43" ht="24.95" customHeight="1">
      <c r="A20" s="1605" t="str">
        <f>IFERROR(IF(AND(AI20="A"),'Marks Entry'!AS2,IF(AND(AI20="B"),'Marks Entry'!AW2,IF(AND(AI20="C"),'Marks Entry'!AY2,""))),"")</f>
        <v/>
      </c>
      <c r="B20" s="1606"/>
      <c r="C20" s="91" t="str">
        <f>IFERROR(VLOOKUP($N$6,'Statement of Marks'!$B$8:'Statement of Marks'!$HI$207,108,0),"")</f>
        <v/>
      </c>
      <c r="D20" s="91" t="str">
        <f>IFERROR(VLOOKUP($N$6,'Statement of Marks'!$B$8:'Statement of Marks'!$HI$207,109,0),"")</f>
        <v/>
      </c>
      <c r="E20" s="91" t="str">
        <f>IFERROR(VLOOKUP($N$6,'Statement of Marks'!$B$8:'Statement of Marks'!$HI$207,110,0),"")</f>
        <v/>
      </c>
      <c r="F20" s="91" t="str">
        <f>IFERROR(VLOOKUP($N$6,'Statement of Marks'!$B$8:'Statement of Marks'!$HI$207,111,0),"")</f>
        <v/>
      </c>
      <c r="G20" s="92" t="str">
        <f>IFERROR(VLOOKUP($N$6,'Statement of Marks'!$B$8:'Statement of Marks'!$HI$207,112,0),"")</f>
        <v/>
      </c>
      <c r="H20" s="92" t="str">
        <f>IFERROR(VLOOKUP($N$6,'Statement of Marks'!$B$8:'Statement of Marks'!$HI$207,113,0),"")</f>
        <v/>
      </c>
      <c r="I20" s="461" t="str">
        <f>IFERROR(VLOOKUP($N$6,'Statement of Marks'!$B$8:'Statement of Marks'!$HI$207,114,0),"")</f>
        <v/>
      </c>
      <c r="J20" s="700" t="str">
        <f>IFERROR(IF(OR($N$6="",A20="",F20="",I20=""),"",SUM(C20,D20,E20,G20,H20)),"")</f>
        <v/>
      </c>
      <c r="K20" s="91" t="str">
        <f>IFERROR(VLOOKUP($N$6,'Statement of Marks'!$B$8:'Statement of Marks'!$HI$207,116,0),"")</f>
        <v/>
      </c>
      <c r="L20" s="91" t="str">
        <f>IFERROR(VLOOKUP($N$6,'Statement of Marks'!$B$8:'Statement of Marks'!$HI$207,118,0),"")</f>
        <v/>
      </c>
      <c r="M20" s="91" t="str">
        <f>IFERROR(VLOOKUP($N$6,'Statement of Marks'!$B$8:'Statement of Marks'!$HI$207,117,0),"")</f>
        <v/>
      </c>
      <c r="N20" s="460" t="str">
        <f>IFERROR(VLOOKUP($N$6,'Statement of Marks'!$B$8:'Statement of Marks'!$HI$207,119,0),"")</f>
        <v/>
      </c>
      <c r="O20" s="702" t="str">
        <f>IFERROR(VLOOKUP($N$6,'Statement of Marks'!$B$8:'Statement of Marks'!$HI$207,123,0),"")</f>
        <v/>
      </c>
      <c r="P20" s="463" t="str">
        <f>IFERROR(IF(O20="","",IF(VLOOKUP($N$6,'Statement of Marks'!$B$8:'Statement of Marks'!$HI$207,192,0)="D","I",VLOOKUP($N$6,'Statement of Marks'!$B$8:'Statement of Marks'!$HI$207,192,0))),"")</f>
        <v/>
      </c>
      <c r="Q20" s="1578" t="str">
        <f>IF(AND(O20=""),"",IF(AND(O20&gt;=($O$13-COUNTIF(C20:D20,"NA")*10)*75%),A20,""))</f>
        <v/>
      </c>
      <c r="R20" s="1578"/>
      <c r="S20" s="1579"/>
      <c r="T20" s="1580"/>
      <c r="AI20" s="70" t="str">
        <f>IFERROR(VLOOKUP($N$6,'Statement of Marks'!$B$8:'Statement of Marks'!$HI$207,107,0),"")</f>
        <v/>
      </c>
      <c r="AJ20" s="70"/>
      <c r="AK20" s="70"/>
      <c r="AL20" s="70"/>
      <c r="AM20" s="70"/>
      <c r="AN20" s="70"/>
      <c r="AO20" s="70"/>
      <c r="AP20" s="70"/>
      <c r="AQ20" s="70"/>
    </row>
    <row r="21" spans="1:43" ht="48" customHeight="1">
      <c r="A21" s="1611" t="str">
        <f>IF('Master Sheet'!D11="Hindi","प्राप्तांक","Marks Obtained")</f>
        <v>प्राप्तांक</v>
      </c>
      <c r="B21" s="1612"/>
      <c r="C21" s="701">
        <f>IF(AND($N$6=""),"",IF(AND(C14="",C15="",C16="",C17="",C18=""),"",SUM(C14:C18)))</f>
        <v>36</v>
      </c>
      <c r="D21" s="701">
        <f t="shared" ref="D21:I21" si="2">IF(AND($N$6=""),"",IF(AND(D14="",D15="",D16="",D17="",D18=""),"",SUM(D14:D18)))</f>
        <v>33</v>
      </c>
      <c r="E21" s="701">
        <f t="shared" si="2"/>
        <v>40</v>
      </c>
      <c r="F21" s="701">
        <f t="shared" si="2"/>
        <v>109</v>
      </c>
      <c r="G21" s="701">
        <f t="shared" si="2"/>
        <v>175</v>
      </c>
      <c r="H21" s="701" t="str">
        <f t="shared" si="2"/>
        <v/>
      </c>
      <c r="I21" s="701">
        <f t="shared" si="2"/>
        <v>175</v>
      </c>
      <c r="J21" s="701">
        <f>IF(AND($N$6=""),"",IF(AND(J14="",J15="",J16="",J17="",J18=""),"",SUM(J14:J18)))</f>
        <v>284</v>
      </c>
      <c r="K21" s="701">
        <f>IF(AND($N$6=""),"",IF(AND($K$18="",$L$18="",$M$18=""),SUM(K14,K15,K16,K17,K20),IF(AND('Master Sheet'!$D$19="YES",'Marks Entry'!$BA$1=1),SUM(K14,K15,K16,K17,K20),SUM(K14:K18))))</f>
        <v>230</v>
      </c>
      <c r="L21" s="760">
        <f>IF(AND($N$6=""),"",IF(AND($K$18="",$L$18="",$M$18=""),SUM(L14,L15,L16,L17,L20),IF(AND('Master Sheet'!$D$19="YES",'Marks Entry'!$BA$1=1),SUM(L14,L15,L16,L17,L20),SUM(L14:L18))))</f>
        <v>0</v>
      </c>
      <c r="M21" s="760">
        <f>IF(AND($N$6=""),"",IF(AND($K$18="",$L$18="",$M$18=""),SUM(M14,M15,M16,M17,M20),IF(AND('Master Sheet'!$D$19="YES",'Marks Entry'!$BA$1=1),SUM(M14,M15,M16,M17,M20),SUM(M14:M18))))</f>
        <v>0</v>
      </c>
      <c r="N21" s="760">
        <f>IF(AND($N$6=""),"",IF(AND($K$18="",$L$18="",$M$18=""),SUM(N14,N15,N16,N17,N20),IF(AND('Master Sheet'!$D$19="YES",'Marks Entry'!$BA$1=1),SUM(N14,N15,N16,N17,N20),SUM(N14:N18))))</f>
        <v>230</v>
      </c>
      <c r="O21" s="728">
        <f>IF(AND($N$6=""),"",IF(AND($K$18="",$L$18="",$M$18=""),SUM(O14,O15,O16,O17,O20),IF(AND('Master Sheet'!$D$19="YES",'Marks Entry'!$BA$1=1),SUM(O14,O15,O16,O17,O20),SUM(O14:O18))))</f>
        <v>514</v>
      </c>
      <c r="P21" s="729" t="str">
        <f>IFERROR(VLOOKUP($N$6,'Statement of Marks'!$B$8:'Statement of Marks'!$HI$207,210,0),"")</f>
        <v/>
      </c>
      <c r="Q21" s="1575" t="str">
        <f>IFERROR(CONCATENATE(IF('Master Sheet'!$D$11="Hindi","परीक्षा परिणाम","Exam Result")," 
",AQ17),"")</f>
        <v>परीक्षा परिणाम 
पूरक</v>
      </c>
      <c r="R21" s="1576"/>
      <c r="S21" s="1576"/>
      <c r="T21" s="1577"/>
      <c r="W21" s="726"/>
      <c r="X21" s="73"/>
      <c r="AI21" s="72"/>
      <c r="AJ21" s="72"/>
      <c r="AK21" s="72"/>
      <c r="AL21" s="72"/>
      <c r="AM21" s="72"/>
      <c r="AN21" s="72"/>
      <c r="AO21" s="72"/>
      <c r="AP21" s="72"/>
    </row>
    <row r="22" spans="1:43" ht="24.95" customHeight="1">
      <c r="A22" s="1592" t="str">
        <f>IF('Master Sheet'!D11="Hindi","विषय","Subject")</f>
        <v>विषय</v>
      </c>
      <c r="B22" s="1593"/>
      <c r="C22" s="1594"/>
      <c r="D22" s="1609" t="str">
        <f>IF('Master Sheet'!D11="Hindi","पूर्णांक","Max. Marks")</f>
        <v>पूर्णांक</v>
      </c>
      <c r="E22" s="1601"/>
      <c r="F22" s="1602"/>
      <c r="G22" s="1573" t="str">
        <f>IF('Master Sheet'!D11="Hindi","प्राप्तांक","Marks Obtained")</f>
        <v>प्राप्तांक</v>
      </c>
      <c r="H22" s="1574"/>
      <c r="I22" s="1567" t="str">
        <f>IF('Master Sheet'!$D$11="Hindi","विषय ग्रेड","Sub. Grade")</f>
        <v>विषय ग्रेड</v>
      </c>
      <c r="J22" s="1600"/>
      <c r="K22" s="1599" t="str">
        <f>IF('Master Sheet'!D11="Hindi","विषय","Subject")</f>
        <v>विषय</v>
      </c>
      <c r="L22" s="1599"/>
      <c r="M22" s="1599"/>
      <c r="N22" s="1599"/>
      <c r="O22" s="1601" t="str">
        <f>IF('Master Sheet'!D11="Hindi","पूर्णांक","Max. Marks")</f>
        <v>पूर्णांक</v>
      </c>
      <c r="P22" s="1602"/>
      <c r="Q22" s="1573" t="str">
        <f>IF('Master Sheet'!D11="Hindi","प्राप्तांक","Marks Obtained")</f>
        <v>प्राप्तांक</v>
      </c>
      <c r="R22" s="1574"/>
      <c r="S22" s="1567" t="str">
        <f>IF('Master Sheet'!$D$11="Hindi","विषय ग्रेड","Sub. Grade")</f>
        <v>विषय ग्रेड</v>
      </c>
      <c r="T22" s="1568"/>
      <c r="V22" s="73"/>
      <c r="AI22" s="72"/>
      <c r="AJ22" s="72"/>
      <c r="AK22" s="72"/>
      <c r="AL22" s="72"/>
      <c r="AM22" s="72"/>
      <c r="AN22" s="72"/>
      <c r="AO22" s="72"/>
      <c r="AP22" s="72"/>
    </row>
    <row r="23" spans="1:43" ht="24.95" customHeight="1">
      <c r="A23" s="1592" t="str">
        <f>'Statement of Marks'!EC4</f>
        <v>जीवन कौशल</v>
      </c>
      <c r="B23" s="1593"/>
      <c r="C23" s="1594"/>
      <c r="D23" s="1621">
        <f>IF(AND(N6=""),"",IF('Statement of Marks'!EF6="","",'Statement of Marks'!EF6))</f>
        <v>100</v>
      </c>
      <c r="E23" s="1603"/>
      <c r="F23" s="1604"/>
      <c r="G23" s="1571">
        <f>IFERROR(VLOOKUP($N$6,'Statement of Marks'!$B$8:'Statement of Marks'!$HI$207,135,0),"")</f>
        <v>85</v>
      </c>
      <c r="H23" s="1572"/>
      <c r="I23" s="1569" t="str">
        <f>IFERROR(VLOOKUP($N$6,'Statement of Marks'!$B$8:'Statement of Marks'!$HI$207,140,0),"")</f>
        <v>A</v>
      </c>
      <c r="J23" s="1595"/>
      <c r="K23" s="1599" t="str">
        <f>'Statement of Marks'!EY3</f>
        <v xml:space="preserve">आजादी के बाद का स्वर्णिम भारत </v>
      </c>
      <c r="L23" s="1599"/>
      <c r="M23" s="1599"/>
      <c r="N23" s="1599"/>
      <c r="O23" s="1603">
        <f>IF(AND(N6=""),"",IF('Statement of Marks'!FE6="","",'Statement of Marks'!FE6))</f>
        <v>200</v>
      </c>
      <c r="P23" s="1604"/>
      <c r="Q23" s="1571">
        <f>IFERROR(VLOOKUP($N$6,'Statement of Marks'!$B$8:'Statement of Marks'!$HI$207,160,0),"")</f>
        <v>149</v>
      </c>
      <c r="R23" s="1572"/>
      <c r="S23" s="1569" t="str">
        <f>IFERROR(VLOOKUP($N$6,'Statement of Marks'!$B$8:'Statement of Marks'!$HI$207,161,0),"")</f>
        <v>B</v>
      </c>
      <c r="T23" s="1570"/>
      <c r="V23" s="73"/>
      <c r="AI23" s="72"/>
      <c r="AJ23" s="72"/>
      <c r="AK23" s="72"/>
      <c r="AL23" s="72"/>
      <c r="AM23" s="72"/>
      <c r="AN23" s="72"/>
      <c r="AO23" s="72"/>
      <c r="AP23" s="72"/>
    </row>
    <row r="24" spans="1:43" ht="24.95" customHeight="1">
      <c r="A24" s="1607" t="str">
        <f>IF('Master Sheet'!$D$11="Hindi","परीक्षा परिणाम घोषित दिनांक :-","Date of Result declaration :-")</f>
        <v>परीक्षा परिणाम घोषित दिनांक :-</v>
      </c>
      <c r="B24" s="1608"/>
      <c r="C24" s="1608"/>
      <c r="D24" s="1610">
        <f>IF(AND(N6=""),"",IF('Master Sheet'!D10="","",'Master Sheet'!D10))</f>
        <v>46106</v>
      </c>
      <c r="E24" s="1610"/>
      <c r="F24" s="1610"/>
      <c r="G24" s="1596" t="str">
        <f>IF('Master Sheet'!D11="Hindi","कुल कार्य दिवस","Total Working Days")</f>
        <v>कुल कार्य दिवस</v>
      </c>
      <c r="H24" s="1596"/>
      <c r="I24" s="1596"/>
      <c r="J24" s="1597">
        <f>IFERROR(VLOOKUP($N$6,'Statement of Marks'!$B$8:'Statement of Marks'!$HI$207,162,0),"")</f>
        <v>380</v>
      </c>
      <c r="K24" s="1597"/>
      <c r="L24" s="1596" t="str">
        <f>IF('Master Sheet'!D11="Hindi","कुल उपस्थिति","Student's Attendance")</f>
        <v>कुल उपस्थिति</v>
      </c>
      <c r="M24" s="1596"/>
      <c r="N24" s="1596"/>
      <c r="O24" s="1598">
        <f>IFERROR(VLOOKUP($N$6,'Statement of Marks'!$B$8:'Statement of Marks'!$HI$207,163,0),"")</f>
        <v>370</v>
      </c>
      <c r="P24" s="1598"/>
      <c r="Q24" s="1587" t="str">
        <f>IF('Master Sheet'!D11="Hindi","कक्षा में स्थान","Position in the Class")</f>
        <v>कक्षा में स्थान</v>
      </c>
      <c r="R24" s="1587"/>
      <c r="S24" s="1588" t="str">
        <f>IFERROR(VLOOKUP($N$6,'Statement of Marks'!$B$8:'Statement of Marks'!$HI$207,211,0),"")</f>
        <v/>
      </c>
      <c r="T24" s="1589"/>
      <c r="U24" s="74"/>
      <c r="V24" s="73"/>
    </row>
    <row r="25" spans="1:43" ht="36" customHeight="1">
      <c r="A25" s="1613" t="str">
        <f>IF('Master Sheet'!D11="Hindi","हस्ताक्षर कक्षाध्यापक","Signature of the class teacher")</f>
        <v>हस्ताक्षर कक्षाध्यापक</v>
      </c>
      <c r="B25" s="1614"/>
      <c r="C25" s="1614"/>
      <c r="D25" s="1614"/>
      <c r="E25" s="1615"/>
      <c r="F25" s="1619" t="str">
        <f>IF(AND(N6=""),"",CONCATENATE("( ",UPPER('Master Sheet'!D17)," )"))</f>
        <v>( YOGESH )</v>
      </c>
      <c r="G25" s="1619"/>
      <c r="H25" s="1619"/>
      <c r="I25" s="1619"/>
      <c r="J25" s="1619"/>
      <c r="K25" s="1619"/>
      <c r="L25" s="1619"/>
      <c r="M25" s="1620"/>
      <c r="N25" s="1584" t="str">
        <f>IF(AND(N6=""),"",CONCATENATE("( ",UPPER('Master Sheet'!D12)," )"))</f>
        <v>( DEWANANAD )</v>
      </c>
      <c r="O25" s="1585"/>
      <c r="P25" s="1585"/>
      <c r="Q25" s="1585"/>
      <c r="R25" s="1585"/>
      <c r="S25" s="1585"/>
      <c r="T25" s="1586"/>
      <c r="V25" s="73"/>
    </row>
    <row r="26" spans="1:43" ht="30" customHeight="1" thickBot="1">
      <c r="A26" s="1563" t="str">
        <f>IF('Master Sheet'!D11="Hindi","हस्ताक्षर परीक्षा प्रभारी","Signature of the exam. Incharge")</f>
        <v>हस्ताक्षर परीक्षा प्रभारी</v>
      </c>
      <c r="B26" s="1564"/>
      <c r="C26" s="1564"/>
      <c r="D26" s="1564"/>
      <c r="E26" s="1565"/>
      <c r="F26" s="1590" t="str">
        <f>IF(AND(N6=""),"",CONCATENATE("( ",UPPER('Master Sheet'!D14)," )"))</f>
        <v>( HEERALAL JAT )</v>
      </c>
      <c r="G26" s="1590"/>
      <c r="H26" s="1590"/>
      <c r="I26" s="1590"/>
      <c r="J26" s="1590"/>
      <c r="K26" s="1590"/>
      <c r="L26" s="1590"/>
      <c r="M26" s="1591"/>
      <c r="N26" s="1581" t="str">
        <f>IF('Master Sheet'!D11="Hindi","हस्ताक्षर संस्था प्रधान","Head of Institute's Signature")</f>
        <v>हस्ताक्षर संस्था प्रधान</v>
      </c>
      <c r="O26" s="1582"/>
      <c r="P26" s="1582"/>
      <c r="Q26" s="1582"/>
      <c r="R26" s="1582"/>
      <c r="S26" s="1582"/>
      <c r="T26" s="1583"/>
    </row>
  </sheetData>
  <sheetProtection password="B18A" sheet="1" objects="1" scenarios="1" formatCells="0" formatColumns="0" formatRows="0"/>
  <protectedRanges>
    <protectedRange password="EA02" sqref="A16:B26 K22:L23" name="reports_2"/>
    <protectedRange password="DC77" sqref="J11" name="Range1"/>
    <protectedRange password="DC77" sqref="M12:N12" name="Range1_1"/>
  </protectedRanges>
  <mergeCells count="82">
    <mergeCell ref="G1:O1"/>
    <mergeCell ref="D2:Q2"/>
    <mergeCell ref="Q15:R15"/>
    <mergeCell ref="Q17:R17"/>
    <mergeCell ref="G22:H22"/>
    <mergeCell ref="AA3:AC13"/>
    <mergeCell ref="L6:M6"/>
    <mergeCell ref="L8:M8"/>
    <mergeCell ref="N8:Q8"/>
    <mergeCell ref="N7:O7"/>
    <mergeCell ref="A3:T3"/>
    <mergeCell ref="G4:O4"/>
    <mergeCell ref="K9:M9"/>
    <mergeCell ref="A6:C6"/>
    <mergeCell ref="D6:K6"/>
    <mergeCell ref="A5:C5"/>
    <mergeCell ref="L5:M5"/>
    <mergeCell ref="S11:T13"/>
    <mergeCell ref="J5:K5"/>
    <mergeCell ref="P11:P13"/>
    <mergeCell ref="A7:C7"/>
    <mergeCell ref="A8:C8"/>
    <mergeCell ref="L7:M7"/>
    <mergeCell ref="D5:G5"/>
    <mergeCell ref="Q11:R13"/>
    <mergeCell ref="D8:K8"/>
    <mergeCell ref="A13:B13"/>
    <mergeCell ref="H5:I5"/>
    <mergeCell ref="N6:O6"/>
    <mergeCell ref="O11:O12"/>
    <mergeCell ref="N5:O5"/>
    <mergeCell ref="D7:K7"/>
    <mergeCell ref="A11:B12"/>
    <mergeCell ref="J11:J12"/>
    <mergeCell ref="K11:N11"/>
    <mergeCell ref="A25:E25"/>
    <mergeCell ref="G11:I11"/>
    <mergeCell ref="A17:B17"/>
    <mergeCell ref="F25:M25"/>
    <mergeCell ref="L24:N24"/>
    <mergeCell ref="G23:H23"/>
    <mergeCell ref="D23:F23"/>
    <mergeCell ref="A18:B18"/>
    <mergeCell ref="C11:F11"/>
    <mergeCell ref="A19:T19"/>
    <mergeCell ref="S14:T18"/>
    <mergeCell ref="A16:B16"/>
    <mergeCell ref="Q18:R18"/>
    <mergeCell ref="Q14:R14"/>
    <mergeCell ref="Q16:R16"/>
    <mergeCell ref="A20:B20"/>
    <mergeCell ref="A15:B15"/>
    <mergeCell ref="A14:B14"/>
    <mergeCell ref="A24:C24"/>
    <mergeCell ref="A22:C22"/>
    <mergeCell ref="D22:F22"/>
    <mergeCell ref="D24:F24"/>
    <mergeCell ref="A21:B21"/>
    <mergeCell ref="G24:I24"/>
    <mergeCell ref="J24:K24"/>
    <mergeCell ref="O24:P24"/>
    <mergeCell ref="K22:N22"/>
    <mergeCell ref="I22:J22"/>
    <mergeCell ref="O22:P22"/>
    <mergeCell ref="O23:P23"/>
    <mergeCell ref="K23:N23"/>
    <mergeCell ref="A26:E26"/>
    <mergeCell ref="N9:S9"/>
    <mergeCell ref="S22:T22"/>
    <mergeCell ref="S23:T23"/>
    <mergeCell ref="Q23:R23"/>
    <mergeCell ref="Q22:R22"/>
    <mergeCell ref="Q21:T21"/>
    <mergeCell ref="Q20:R20"/>
    <mergeCell ref="S20:T20"/>
    <mergeCell ref="N26:T26"/>
    <mergeCell ref="N25:T25"/>
    <mergeCell ref="Q24:R24"/>
    <mergeCell ref="S24:T24"/>
    <mergeCell ref="F26:M26"/>
    <mergeCell ref="A23:C23"/>
    <mergeCell ref="I23:J23"/>
  </mergeCells>
  <conditionalFormatting sqref="B21 A21:A23 K22:K23">
    <cfRule type="expression" dxfId="1" priority="13">
      <formula>ISERROR(A21)</formula>
    </cfRule>
  </conditionalFormatting>
  <pageMargins left="0.8" right="0.3" top="0.25" bottom="0.25" header="0" footer="0"/>
  <pageSetup paperSize="9" scale="88"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K299"/>
  <sheetViews>
    <sheetView showGridLines="0" view="pageBreakPreview" zoomScaleNormal="98" zoomScaleSheetLayoutView="100" workbookViewId="0">
      <selection activeCell="BV12" sqref="BV12"/>
    </sheetView>
  </sheetViews>
  <sheetFormatPr defaultRowHeight="15"/>
  <cols>
    <col min="1" max="1" width="4.25" customWidth="1"/>
    <col min="2" max="2" width="17.375" customWidth="1"/>
    <col min="3" max="8" width="5.125" customWidth="1"/>
    <col min="9" max="9" width="5.25" customWidth="1"/>
    <col min="10" max="14" width="5.125" customWidth="1"/>
    <col min="15" max="15" width="5.625" customWidth="1"/>
    <col min="16" max="16" width="6.875" customWidth="1"/>
    <col min="17" max="17" width="4.625" customWidth="1"/>
    <col min="18" max="18" width="17.375" customWidth="1"/>
    <col min="19" max="29" width="5.125" customWidth="1"/>
    <col min="30" max="31" width="5.625" customWidth="1"/>
    <col min="32" max="32" width="6.5" customWidth="1"/>
    <col min="40" max="40" width="9" hidden="1" customWidth="1"/>
    <col min="42" max="42" width="9" customWidth="1"/>
    <col min="43" max="43" width="9" style="17" hidden="1" customWidth="1"/>
    <col min="44" max="44" width="9" hidden="1" customWidth="1"/>
    <col min="45" max="45" width="10.125" hidden="1" customWidth="1"/>
    <col min="46" max="50" width="9" hidden="1" customWidth="1"/>
    <col min="51" max="51" width="10.125" hidden="1" customWidth="1"/>
    <col min="52" max="56" width="9" hidden="1" customWidth="1"/>
    <col min="57" max="58" width="9" style="17" hidden="1" customWidth="1"/>
    <col min="59" max="61" width="9" hidden="1" customWidth="1"/>
    <col min="62" max="67" width="9" customWidth="1"/>
  </cols>
  <sheetData>
    <row r="1" spans="1:58" s="17" customFormat="1" ht="22.5" customHeight="1">
      <c r="A1" s="100"/>
      <c r="B1" s="93"/>
      <c r="C1" s="1670" t="str">
        <f>IF('Master Sheet'!$D$11="Hindi","वार्षिक रिपोर्ट कार्ड ","Report Card")</f>
        <v xml:space="preserve">वार्षिक रिपोर्ट कार्ड </v>
      </c>
      <c r="D1" s="1670"/>
      <c r="E1" s="1670"/>
      <c r="F1" s="1670"/>
      <c r="G1" s="1670"/>
      <c r="H1" s="1670"/>
      <c r="I1" s="1670"/>
      <c r="J1" s="1670"/>
      <c r="K1" s="1670"/>
      <c r="L1" s="1670"/>
      <c r="M1" s="1670"/>
      <c r="N1" s="1670"/>
      <c r="O1" s="464"/>
      <c r="P1" s="464"/>
      <c r="Q1" s="1722" t="s">
        <v>145</v>
      </c>
      <c r="R1" s="93"/>
      <c r="S1" s="1670" t="str">
        <f>IF('Master Sheet'!$D$11="Hindi","वार्षिक रिपोर्ट कार्ड ","Report Card")</f>
        <v xml:space="preserve">वार्षिक रिपोर्ट कार्ड </v>
      </c>
      <c r="T1" s="1670"/>
      <c r="U1" s="1670"/>
      <c r="V1" s="1670"/>
      <c r="W1" s="1670"/>
      <c r="X1" s="1670"/>
      <c r="Y1" s="1670"/>
      <c r="Z1" s="1670"/>
      <c r="AA1" s="1670"/>
      <c r="AB1" s="1670"/>
      <c r="AC1" s="1670"/>
      <c r="AD1" s="1670"/>
      <c r="AE1" s="464"/>
      <c r="AF1" s="464"/>
      <c r="AH1" s="76"/>
      <c r="AI1" s="1718" t="s">
        <v>288</v>
      </c>
      <c r="AJ1" s="1718"/>
      <c r="AK1" s="1718"/>
      <c r="AL1" s="76"/>
      <c r="AR1"/>
      <c r="AS1"/>
      <c r="AT1"/>
      <c r="AX1"/>
      <c r="AY1"/>
      <c r="AZ1"/>
    </row>
    <row r="2" spans="1:58" s="17" customFormat="1" ht="22.5" customHeight="1">
      <c r="A2" s="100"/>
      <c r="B2" s="93"/>
      <c r="C2" s="1719" t="str">
        <f>IF('Master Sheet'!$D$11="Hindi","शिक्षा विभाग, राजस्थान सरकार","Education Department, Rajasthan Government")</f>
        <v>शिक्षा विभाग, राजस्थान सरकार</v>
      </c>
      <c r="D2" s="1719"/>
      <c r="E2" s="1719"/>
      <c r="F2" s="1719"/>
      <c r="G2" s="1719"/>
      <c r="H2" s="1719"/>
      <c r="I2" s="1719"/>
      <c r="J2" s="1719"/>
      <c r="K2" s="1719"/>
      <c r="L2" s="1719"/>
      <c r="M2" s="1719"/>
      <c r="N2" s="1719"/>
      <c r="O2" s="464"/>
      <c r="P2" s="464"/>
      <c r="Q2" s="1722"/>
      <c r="R2" s="93"/>
      <c r="S2" s="1719" t="str">
        <f>IF('Master Sheet'!$D$11="Hindi","शिक्षा विभाग, राजस्थान सरकार","Education Department, Rajasthan Government")</f>
        <v>शिक्षा विभाग, राजस्थान सरकार</v>
      </c>
      <c r="T2" s="1719"/>
      <c r="U2" s="1719"/>
      <c r="V2" s="1719"/>
      <c r="W2" s="1719"/>
      <c r="X2" s="1719"/>
      <c r="Y2" s="1719"/>
      <c r="Z2" s="1719"/>
      <c r="AA2" s="1719"/>
      <c r="AB2" s="1719"/>
      <c r="AC2" s="1719"/>
      <c r="AD2" s="1719"/>
      <c r="AE2" s="464"/>
      <c r="AF2" s="464"/>
      <c r="AH2" s="76"/>
      <c r="AI2" s="1718"/>
      <c r="AJ2" s="1718"/>
      <c r="AK2" s="1718"/>
      <c r="AL2" s="76"/>
      <c r="AR2"/>
      <c r="AS2"/>
      <c r="AT2"/>
      <c r="AX2"/>
      <c r="AY2"/>
      <c r="AZ2"/>
    </row>
    <row r="3" spans="1:58" s="17" customFormat="1" ht="24.95" customHeight="1">
      <c r="A3" s="100"/>
      <c r="B3" s="1720" t="str">
        <f>IF('Master Sheet'!$D$11="Hindi",CONCATENATE("विद्यालय का नाम :-","  ",'Master Sheet'!$D$8),CONCATENATE("School Name :-","  ",'Master Sheet'!$D$7))</f>
        <v xml:space="preserve">विद्यालय का नाम :-  महात्मा गाँधी राजकीय विद्यालय (अंग्रेजी माध्यम) बर, पाली </v>
      </c>
      <c r="C3" s="1720"/>
      <c r="D3" s="1720"/>
      <c r="E3" s="1720"/>
      <c r="F3" s="1720"/>
      <c r="G3" s="1720"/>
      <c r="H3" s="1720"/>
      <c r="I3" s="1720"/>
      <c r="J3" s="1720"/>
      <c r="K3" s="1720"/>
      <c r="L3" s="1720"/>
      <c r="M3" s="1720"/>
      <c r="N3" s="1720"/>
      <c r="O3" s="1720"/>
      <c r="P3" s="1720"/>
      <c r="Q3" s="1722"/>
      <c r="R3" s="1720" t="str">
        <f>IF('Master Sheet'!$D$11="Hindi",CONCATENATE("विद्यालय का नाम :-","  ",'Master Sheet'!$D$8),CONCATENATE("School Name :-","  ",'Master Sheet'!$D$7))</f>
        <v xml:space="preserve">विद्यालय का नाम :-  महात्मा गाँधी राजकीय विद्यालय (अंग्रेजी माध्यम) बर, पाली </v>
      </c>
      <c r="S3" s="1720"/>
      <c r="T3" s="1720"/>
      <c r="U3" s="1720"/>
      <c r="V3" s="1720"/>
      <c r="W3" s="1720"/>
      <c r="X3" s="1720"/>
      <c r="Y3" s="1720"/>
      <c r="Z3" s="1720"/>
      <c r="AA3" s="1720"/>
      <c r="AB3" s="1720"/>
      <c r="AC3" s="1720"/>
      <c r="AD3" s="1720"/>
      <c r="AE3" s="1720"/>
      <c r="AF3" s="1720"/>
      <c r="AH3" s="76"/>
      <c r="AI3" s="1718"/>
      <c r="AJ3" s="1718"/>
      <c r="AK3" s="1718"/>
      <c r="AL3" s="76"/>
      <c r="AR3" s="756"/>
      <c r="AS3" s="756"/>
      <c r="AT3" s="756"/>
      <c r="AX3" s="756"/>
      <c r="AY3" s="756"/>
      <c r="AZ3" s="756"/>
    </row>
    <row r="4" spans="1:58" s="17" customFormat="1" ht="19.5" customHeight="1" thickBot="1">
      <c r="A4" s="100"/>
      <c r="B4" s="713"/>
      <c r="C4" s="1721" t="str">
        <f>IF(AND(L7=""),"",IF(AND('Master Sheet'!$D$6=""),"",IF('Master Sheet'!$D$11="Hindi",CONCATENATE("(विद्यालय मान्यता क्रमांक व वर्ष : ","  ",'Master Sheet'!$D$6),CONCATENATE("(School Recognition Number &amp; Years : ","  ",'Master Sheet'!$D$6))))</f>
        <v>(विद्यालय मान्यता क्रमांक व वर्ष :   शिक्षा/पाली/1995/2001</v>
      </c>
      <c r="D4" s="1721"/>
      <c r="E4" s="1721"/>
      <c r="F4" s="1721"/>
      <c r="G4" s="1721"/>
      <c r="H4" s="1721"/>
      <c r="I4" s="1721"/>
      <c r="J4" s="1721"/>
      <c r="K4" s="1721"/>
      <c r="L4" s="1721"/>
      <c r="M4" s="1721"/>
      <c r="N4" s="1721"/>
      <c r="O4" s="1721"/>
      <c r="P4" s="713"/>
      <c r="Q4" s="1722"/>
      <c r="R4" s="713"/>
      <c r="S4" s="1721" t="str">
        <f>IF(AND(AB7=""),"",IF(AND('Master Sheet'!$D$6=""),"",IF('Master Sheet'!$D$11="Hindi",CONCATENATE("(विद्यालय मान्यता क्रमांक व वर्ष : ","  ",'Master Sheet'!$D$6),CONCATENATE("(School Recognition Number &amp; Years : ","  ",'Master Sheet'!$D$6))))</f>
        <v>(विद्यालय मान्यता क्रमांक व वर्ष :   शिक्षा/पाली/1995/2001</v>
      </c>
      <c r="T4" s="1721"/>
      <c r="U4" s="1721"/>
      <c r="V4" s="1721"/>
      <c r="W4" s="1721"/>
      <c r="X4" s="1721"/>
      <c r="Y4" s="1721"/>
      <c r="Z4" s="1721"/>
      <c r="AA4" s="1721"/>
      <c r="AB4" s="1721"/>
      <c r="AC4" s="1721"/>
      <c r="AD4" s="1721"/>
      <c r="AE4" s="1721"/>
      <c r="AF4" s="713"/>
      <c r="AH4" s="76"/>
      <c r="AI4" s="76"/>
      <c r="AJ4" s="77"/>
      <c r="AK4" s="76"/>
      <c r="AL4" s="76"/>
      <c r="AR4"/>
      <c r="AS4"/>
      <c r="AT4"/>
      <c r="AX4"/>
      <c r="AY4"/>
      <c r="AZ4"/>
    </row>
    <row r="5" spans="1:58" s="467" customFormat="1" ht="21" customHeight="1" thickBot="1">
      <c r="A5" s="465"/>
      <c r="B5" s="733" t="str">
        <f>IF('Master Sheet'!$D$11="Hindi","सत्र  :-","Session :-")</f>
        <v>सत्र  :-</v>
      </c>
      <c r="C5" s="1693" t="str">
        <f>'Marks Entry'!$H$1</f>
        <v>2025-2026</v>
      </c>
      <c r="D5" s="1693"/>
      <c r="E5" s="1693"/>
      <c r="F5" s="1693"/>
      <c r="G5" s="1693"/>
      <c r="H5" s="1693"/>
      <c r="I5" s="1691" t="str">
        <f>IF('Master Sheet'!$D$11="Hindi","कक्षा  :-","CLASS :- ")</f>
        <v>कक्षा  :-</v>
      </c>
      <c r="J5" s="1691"/>
      <c r="K5" s="1691"/>
      <c r="L5" s="1694" t="str">
        <f>CONCATENATE('Marks Entry'!$H$2," '",'Marks Entry'!$H$3,"'")</f>
        <v>11 'Arts'</v>
      </c>
      <c r="M5" s="1694"/>
      <c r="N5" s="1694"/>
      <c r="O5" s="1694"/>
      <c r="P5" s="704"/>
      <c r="Q5" s="1722"/>
      <c r="R5" s="733" t="str">
        <f>IF('Master Sheet'!$D$11="Hindi","सत्र  :-","Session :-")</f>
        <v>सत्र  :-</v>
      </c>
      <c r="S5" s="1693" t="str">
        <f>'Marks Entry'!$H$1</f>
        <v>2025-2026</v>
      </c>
      <c r="T5" s="1693"/>
      <c r="U5" s="1693"/>
      <c r="V5" s="1693"/>
      <c r="W5" s="1693"/>
      <c r="X5" s="1693"/>
      <c r="Y5" s="1691" t="str">
        <f>IF('Master Sheet'!$D$11="Hindi","कक्षा  :-","CLASS :- ")</f>
        <v>कक्षा  :-</v>
      </c>
      <c r="Z5" s="1691"/>
      <c r="AA5" s="1691"/>
      <c r="AB5" s="1694" t="str">
        <f>CONCATENATE('Marks Entry'!$H$2," '",'Marks Entry'!$H$3,"'")</f>
        <v>11 'Arts'</v>
      </c>
      <c r="AC5" s="1694"/>
      <c r="AD5" s="1694"/>
      <c r="AE5" s="1694"/>
      <c r="AF5" s="714"/>
      <c r="AH5" s="76"/>
      <c r="AI5" s="78"/>
      <c r="AJ5" s="77" t="s">
        <v>146</v>
      </c>
      <c r="AK5" s="78"/>
      <c r="AL5" s="76"/>
      <c r="AQ5" s="17"/>
      <c r="AR5"/>
      <c r="AS5" s="757">
        <f>L8</f>
        <v>37622</v>
      </c>
      <c r="AT5"/>
      <c r="AX5"/>
      <c r="AY5" s="757">
        <f>AB8</f>
        <v>38090</v>
      </c>
      <c r="AZ5"/>
      <c r="BE5" s="17"/>
      <c r="BF5" s="17"/>
    </row>
    <row r="6" spans="1:58" s="467" customFormat="1" ht="21" customHeight="1" thickBot="1">
      <c r="A6" s="465"/>
      <c r="B6" s="734" t="str">
        <f>IF('Master Sheet'!$D$11="Hindi","विद्यार्थी का नाम :-","Student's Name :-")</f>
        <v>विद्यार्थी का नाम :-</v>
      </c>
      <c r="C6" s="1690" t="str">
        <f>IFERROR(VLOOKUP(L7,'Statement of Marks'!$B$8:'Statement of Marks'!$HI$207,4,0),"")</f>
        <v>A</v>
      </c>
      <c r="D6" s="1690"/>
      <c r="E6" s="1690"/>
      <c r="F6" s="1690"/>
      <c r="G6" s="1690"/>
      <c r="H6" s="1690"/>
      <c r="I6" s="1691" t="str">
        <f>IF('Master Sheet'!$D$11="Hindi","प्रवेशांक :","SR. NO. :")</f>
        <v>प्रवेशांक :</v>
      </c>
      <c r="J6" s="1691"/>
      <c r="K6" s="1691"/>
      <c r="L6" s="1726">
        <f>IFERROR(VLOOKUP(L7,'Statement of Marks'!$B$8:'Statement of Marks'!$HI$207,2,0),"")</f>
        <v>230</v>
      </c>
      <c r="M6" s="1726"/>
      <c r="N6" s="1726"/>
      <c r="O6" s="1726"/>
      <c r="P6" s="468"/>
      <c r="Q6" s="1722"/>
      <c r="R6" s="734" t="str">
        <f>IF('Master Sheet'!$D$11="Hindi","विद्यार्थी का नाम :-","Student's Name :-")</f>
        <v>विद्यार्थी का नाम :-</v>
      </c>
      <c r="S6" s="1690" t="str">
        <f>IFERROR(VLOOKUP(AB7,'Statement of Marks'!$B$8:'Statement of Marks'!$HI$207,4,0),"")</f>
        <v>B</v>
      </c>
      <c r="T6" s="1690"/>
      <c r="U6" s="1690"/>
      <c r="V6" s="1690"/>
      <c r="W6" s="1690"/>
      <c r="X6" s="1690"/>
      <c r="Y6" s="1691" t="str">
        <f>IF('Master Sheet'!$D$11="Hindi","प्रवेशांक :","SR. NO. :")</f>
        <v>प्रवेशांक :</v>
      </c>
      <c r="Z6" s="1691"/>
      <c r="AA6" s="1691"/>
      <c r="AB6" s="1726">
        <f>IFERROR(VLOOKUP(AB7,'Statement of Marks'!$B$8:'Statement of Marks'!$HI$207,2,0),"")</f>
        <v>231</v>
      </c>
      <c r="AC6" s="1726"/>
      <c r="AD6" s="1726"/>
      <c r="AE6" s="1726"/>
      <c r="AF6" s="468"/>
      <c r="AH6" s="76"/>
      <c r="AI6" s="76"/>
      <c r="AJ6" s="76"/>
      <c r="AK6" s="76"/>
      <c r="AL6" s="76"/>
      <c r="AQ6" s="17"/>
      <c r="AR6">
        <f>YEAR(AS5)</f>
        <v>2003</v>
      </c>
      <c r="AS6">
        <f>MONTH(AS5)</f>
        <v>1</v>
      </c>
      <c r="AT6">
        <f>DAY(AS5)</f>
        <v>1</v>
      </c>
      <c r="AU6" s="469"/>
      <c r="AX6">
        <f>YEAR(AY5)</f>
        <v>2004</v>
      </c>
      <c r="AY6">
        <f>MONTH(AY5)</f>
        <v>4</v>
      </c>
      <c r="AZ6">
        <f>DAY(AY5)</f>
        <v>13</v>
      </c>
      <c r="BE6" s="17"/>
      <c r="BF6" s="17"/>
    </row>
    <row r="7" spans="1:58" s="467" customFormat="1" ht="21" customHeight="1">
      <c r="A7" s="465"/>
      <c r="B7" s="734" t="str">
        <f>IF('Master Sheet'!$D$11="Hindi","पिता का नाम :-","Father's Name :-")</f>
        <v>पिता का नाम :-</v>
      </c>
      <c r="C7" s="1690" t="str">
        <f>IFERROR(VLOOKUP(L7,'Statement of Marks'!$B$8:'Statement of Marks'!$HI$207,5,0),"")</f>
        <v>X</v>
      </c>
      <c r="D7" s="1690"/>
      <c r="E7" s="1690"/>
      <c r="F7" s="1690"/>
      <c r="G7" s="1690"/>
      <c r="H7" s="1690"/>
      <c r="I7" s="1691" t="str">
        <f>IF('Master Sheet'!$D$11="Hindi","रोल नंबर :-","Roll No. :")</f>
        <v>रोल नंबर :-</v>
      </c>
      <c r="J7" s="1691"/>
      <c r="K7" s="1691"/>
      <c r="L7" s="1692">
        <f>IF(AN10="","",AN10)</f>
        <v>1101</v>
      </c>
      <c r="M7" s="1692"/>
      <c r="N7" s="1692"/>
      <c r="O7" s="711"/>
      <c r="P7" s="468"/>
      <c r="Q7" s="1722"/>
      <c r="R7" s="734" t="str">
        <f>IF('Master Sheet'!$D$11="Hindi","पिता का नाम :-","Father's Name :-")</f>
        <v>पिता का नाम :-</v>
      </c>
      <c r="S7" s="1690" t="str">
        <f>IFERROR(VLOOKUP(AB7,'Statement of Marks'!$B$8:'Statement of Marks'!$HI$207,5,0),"")</f>
        <v>Y</v>
      </c>
      <c r="T7" s="1690"/>
      <c r="U7" s="1690"/>
      <c r="V7" s="1690"/>
      <c r="W7" s="1690"/>
      <c r="X7" s="1690"/>
      <c r="Y7" s="1691" t="str">
        <f>IF('Master Sheet'!$D$11="Hindi","रोल नंबर :-","Roll No. :")</f>
        <v>रोल नंबर :-</v>
      </c>
      <c r="Z7" s="1691"/>
      <c r="AA7" s="1691"/>
      <c r="AB7" s="1692">
        <f>IF(L7="","",IF(AND(L7+1&gt;$AN$11),"",L7+1))</f>
        <v>1102</v>
      </c>
      <c r="AC7" s="1692"/>
      <c r="AD7" s="1692"/>
      <c r="AE7" s="711"/>
      <c r="AF7" s="468"/>
      <c r="AH7" s="1727" t="str">
        <f>IF('Master Sheet'!$D$11="Hindi",AN13,AN12)</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v>
      </c>
      <c r="AI7" s="1728"/>
      <c r="AJ7" s="1728"/>
      <c r="AK7" s="1728"/>
      <c r="AL7" s="1729"/>
      <c r="AQ7" s="17"/>
      <c r="AR7" t="str">
        <f>IF(AR6=2000,"दो हजार",IF(AR6=2001,"दो हजार एक",IF(AR6=2002,"दो हजार दो",IF(AR6=2003,"दो हजार तीन",IF(AR6=2004,"दो हजार चार",IF(AR6=2005,"दो हजार पांच",IF(AR6=2006,"दो हजार छः",IF(AR6=2007,"दो हजार सात",IF(AR6=2008,"दो हजार आठ",IF(AR6=2009,"दो हजार नौ",IF(AR6=2010,"दो हजार दस",IF(AR6=2011,"दो हजार ग्यारह",IF(AR6=2012,"दो हजार बारह",IF(AR6=2013,"दो हजार तेरह",IF(AR6=2014,"दो हजार चौदह",IF(AR6=2015,"दो हजार पंद्रह",IF(AR6=2016,"दो हजार सोलह",IF(AR6=2017,"दो हजार सत्रह",IF(AR6=2018,"दो हजार अठारह",IF(AR6=2019,"दो हजार उन्नीस",IF(AR6=2020,"दो हजार बीस",IF(AR6=2021,"दो हजार इक्कीस",IF(AR6=2022,"दो हजार बाइस","")))))))))))))))))))))))</f>
        <v>दो हजार तीन</v>
      </c>
      <c r="AS7" t="str">
        <f>IF(AS6=1,"जनवरी",IF(AS6=2,"फरवरी",IF(AS6=3,"मार्च",IF(AS6=4,"अप्रैल",IF(AS6=5,"मई",IF(AS6=6,"जून",IF(AS6=7,"जुलाई",IF(AS6=8,"अगस्त",IF(AS6=9,"सितम्बर",IF(AS6=10,"अक्टूबर",IF(AS6=11,"नवम्बर",IF(AS6=12,"दिसम्बर",""))))))))))))</f>
        <v>जनवरी</v>
      </c>
      <c r="AT7" t="str">
        <f>IF(AT6=1,"एक",IF(AT6=2,"दो",IF(AT6=3,"तीन",IF(AT6=4,"चार",IF(AT6=5,"पांच",IF(AT6=6,"छः",IF(AT6=7,"सात",IF(AT6=8,"आठ",IF(AT6=9,"नौ",IF(AT6=10,"दस",IF(AT6=11,"ग्यारह",IF(AT6=12,"बारह",IF(AT6=13,"तेरह",IF(AT6=14,"चौदह",IF(AT6=15,"पंद्रह",IF(AT6=16,"सोलह",IF(AT6=17,"सत्रह",IF(AT6=18,"अठारह",IF(AT6=19,"उन्नीस",IF(AT6=20,"बीस",IF(AT6=21,"इक्कीस",IF(AT6=22,"बाइस",IF(AT6=23,"तेईस",IF(AT6=24,"चौबीस",IF(AT6=25,"पचीस",IF(AT6=26,"छबीस",IF(AT6=27,"सताईस",IF(AT6=28,"अठाइस",IF(AT6=29,"उन्नतीस",IF(AT6=30,"तीस",IF(AT6=31,"इकतीस","")))))))))))))))))))))))))))))))</f>
        <v>एक</v>
      </c>
      <c r="AX7" t="str">
        <f>IF(AX6=2000,"दो हजार",IF(AX6=2001,"दो हजार एक",IF(AX6=2002,"दो हजार दो",IF(AX6=2003,"दो हजार तीन",IF(AX6=2004,"दो हजार चार",IF(AX6=2005,"दो हजार पांच",IF(AX6=2006,"दो हजार छः",IF(AX6=2007,"दो हजार सात",IF(AX6=2008,"दो हजार आठ",IF(AX6=2009,"दो हजार नौ",IF(AX6=2010,"दो हजार दस",IF(AX6=2011,"दो हजार ग्यारह",IF(AX6=2012,"दो हजार बारह",IF(AX6=2013,"दो हजार तेरह",IF(AX6=2014,"दो हजार चौदह",IF(AX6=2015,"दो हजार पंद्रह",IF(AX6=2016,"दो हजार सोलह",IF(AX6=2017,"दो हजार सत्रह",IF(AX6=2018,"दो हजार अठारह",IF(AX6=2019,"दो हजार उन्नीस",IF(AX6=2020,"दो हजार बीस",IF(AX6=2021,"दो हजार इक्कीस",IF(AX6=2022,"दो हजार बाइस","")))))))))))))))))))))))</f>
        <v>दो हजार चार</v>
      </c>
      <c r="AY7" t="str">
        <f>IF(AY6=1,"जनवरी",IF(AY6=2,"फरवरी",IF(AY6=3,"मार्च",IF(AY6=4,"अप्रैल",IF(AY6=5,"मई",IF(AY6=6,"जून",IF(AY6=7,"जुलाई",IF(AY6=8,"अगस्त",IF(AY6=9,"सितम्बर",IF(AY6=10,"अक्टूबर",IF(AY6=11,"नवम्बर",IF(AY6=12,"दिसम्बर",""))))))))))))</f>
        <v>अप्रैल</v>
      </c>
      <c r="AZ7" t="str">
        <f>IF(AZ6=1,"एक",IF(AZ6=2,"दो",IF(AZ6=3,"तीन",IF(AZ6=4,"चार",IF(AZ6=5,"पांच",IF(AZ6=6,"छः",IF(AZ6=7,"सात",IF(AZ6=8,"आठ",IF(AZ6=9,"नौ",IF(AZ6=10,"दस",IF(AZ6=11,"ग्यारह",IF(AZ6=12,"बारह",IF(AZ6=13,"तेरह",IF(AZ6=14,"चौदह",IF(AZ6=15,"पंद्रह",IF(AZ6=16,"सोलह",IF(AZ6=17,"सत्रह",IF(AZ6=18,"अठारह",IF(AZ6=19,"उन्नीस",IF(AZ6=20,"बीस",IF(AZ6=21,"इक्कीस",IF(AZ6=22,"बाइस",IF(AZ6=23,"तेईस",IF(AZ6=24,"चौबीस",IF(AZ6=25,"पचीस",IF(AZ6=26,"छबीस",IF(AZ6=27,"सताईस",IF(AZ6=28,"अठाइस",IF(AZ6=29,"उन्नतीस",IF(AZ6=30,"तीस",IF(AZ6=31,"इकतीस","")))))))))))))))))))))))))))))))</f>
        <v>तेरह</v>
      </c>
      <c r="BE7" s="17"/>
      <c r="BF7" s="17"/>
    </row>
    <row r="8" spans="1:58" s="467" customFormat="1" ht="21" customHeight="1">
      <c r="A8" s="465"/>
      <c r="B8" s="733" t="str">
        <f>IF('Master Sheet'!$D$11="Hindi","माता का नाम :-","Mother's Name :-")</f>
        <v>माता का नाम :-</v>
      </c>
      <c r="C8" s="1690" t="str">
        <f>IFERROR(VLOOKUP(L7,'Statement of Marks'!$B$8:'Statement of Marks'!$HI$207,6,0),"")</f>
        <v>M</v>
      </c>
      <c r="D8" s="1690"/>
      <c r="E8" s="1690"/>
      <c r="F8" s="1690"/>
      <c r="G8" s="1690"/>
      <c r="H8" s="1690"/>
      <c r="I8" s="1691" t="str">
        <f>IF('Master Sheet'!$D$11="Hindi","जन्म तिथि :","Date of Birth :")</f>
        <v>जन्म तिथि :</v>
      </c>
      <c r="J8" s="1691"/>
      <c r="K8" s="1691"/>
      <c r="L8" s="1723">
        <f>IFERROR(VLOOKUP(L7,'Statement of Marks'!$B$8:'Statement of Marks'!$HI$207,3,0),"")</f>
        <v>37622</v>
      </c>
      <c r="M8" s="1723"/>
      <c r="N8" s="1723"/>
      <c r="O8" s="1723"/>
      <c r="Q8" s="1722"/>
      <c r="R8" s="733" t="str">
        <f>IF('Master Sheet'!$D$11="Hindi","माता का नाम :-","Mother's Name :-")</f>
        <v>माता का नाम :-</v>
      </c>
      <c r="S8" s="1690" t="str">
        <f>IFERROR(VLOOKUP(AB7,'Statement of Marks'!$B$8:'Statement of Marks'!$HI$207,6,0),"")</f>
        <v>N</v>
      </c>
      <c r="T8" s="1690"/>
      <c r="U8" s="1690"/>
      <c r="V8" s="1690"/>
      <c r="W8" s="1690"/>
      <c r="X8" s="1690"/>
      <c r="Y8" s="1691" t="str">
        <f>IF('Master Sheet'!$D$11="Hindi","जन्म तिथि :","Date of Birth :")</f>
        <v>जन्म तिथि :</v>
      </c>
      <c r="Z8" s="1691"/>
      <c r="AA8" s="1691"/>
      <c r="AB8" s="1723">
        <f>IFERROR(VLOOKUP(AB7,'Statement of Marks'!$B$8:'Statement of Marks'!$HI$207,3,0),"")</f>
        <v>38090</v>
      </c>
      <c r="AC8" s="1723"/>
      <c r="AD8" s="1723"/>
      <c r="AE8" s="1723"/>
      <c r="AH8" s="1730"/>
      <c r="AI8" s="1731"/>
      <c r="AJ8" s="1731"/>
      <c r="AK8" s="1731"/>
      <c r="AL8" s="1732"/>
      <c r="AQ8" s="17"/>
      <c r="AR8"/>
      <c r="AS8" t="str">
        <f>CONCATENATE(AT7," ",AS7," ",AR7)</f>
        <v>एक जनवरी दो हजार तीन</v>
      </c>
      <c r="AT8"/>
      <c r="AX8"/>
      <c r="AY8" t="str">
        <f>CONCATENATE(AZ7," ",AY7," ",AX7)</f>
        <v>तेरह अप्रैल दो हजार चार</v>
      </c>
      <c r="AZ8"/>
      <c r="BE8" s="17"/>
      <c r="BF8" s="17"/>
    </row>
    <row r="9" spans="1:58" s="467" customFormat="1" ht="21" customHeight="1">
      <c r="A9" s="465"/>
      <c r="B9" s="466"/>
      <c r="C9" s="716"/>
      <c r="D9" s="716"/>
      <c r="E9" s="716"/>
      <c r="F9" s="716"/>
      <c r="G9" s="716"/>
      <c r="H9" s="716"/>
      <c r="I9" s="1691" t="str">
        <f>IF('Master Sheet'!$D$11="Hindi","जन्मतिथि शब्दों में :","Date of Birth in Words :")</f>
        <v>जन्मतिथि शब्दों में :</v>
      </c>
      <c r="J9" s="1691"/>
      <c r="K9" s="1691"/>
      <c r="L9" s="1724" t="str">
        <f>IF('Master Sheet'!$D$11="Hindi",AS8,AS10)</f>
        <v>एक जनवरी दो हजार तीन</v>
      </c>
      <c r="M9" s="1724"/>
      <c r="N9" s="1724"/>
      <c r="O9" s="1724"/>
      <c r="P9" s="1724"/>
      <c r="Q9" s="1722"/>
      <c r="R9" s="466"/>
      <c r="S9" s="716"/>
      <c r="T9" s="716"/>
      <c r="U9" s="716"/>
      <c r="V9" s="716"/>
      <c r="W9" s="716"/>
      <c r="X9" s="716"/>
      <c r="Y9" s="1691" t="str">
        <f>IF('Master Sheet'!$D$11="Hindi","जन्मतिथि शब्दों में :","Date of Birth in Words :")</f>
        <v>जन्मतिथि शब्दों में :</v>
      </c>
      <c r="Z9" s="1691"/>
      <c r="AA9" s="1691"/>
      <c r="AB9" s="1724" t="str">
        <f>IF('Master Sheet'!$D$11="Hindi",AY8,AY10)</f>
        <v>तेरह अप्रैल दो हजार चार</v>
      </c>
      <c r="AC9" s="1724"/>
      <c r="AD9" s="1724"/>
      <c r="AE9" s="1724"/>
      <c r="AF9" s="1724"/>
      <c r="AH9" s="1730"/>
      <c r="AI9" s="1731"/>
      <c r="AJ9" s="1731"/>
      <c r="AK9" s="1731"/>
      <c r="AL9" s="1732"/>
      <c r="AQ9" s="17"/>
      <c r="AR9" t="str">
        <f>IF(AR6=1961,"NINETEEN SIXTY ONE",IF(AR6=1962,"NINETEEN SIXTY TWO",IF(AR6=1963,"NINETEEN SIXTY THREE",IF(AR6=1964,"NINETEEN SIXTY FOUR",IF(AR6=1965,"NINETEEN SIXTY FIVE",IF(AR6=1966,"NINETEEN SIXTY SIX",IF(AR6=1967,"NINETEEN SIXTY SEVEN",IF(AR6=1968,"NINETEEN SIXTY EIGHT",IF(AR6=1969,"NINETEEN SIXTY NINE",IF(AR6=1970,"NINETEEN SEVENTY",IF(AR6=1971,"NINETEEN SEVENTY ONE",IF(AR6=1972,"NINETEEN SEVENTY TWO",IF(AR6=1973,"NINETEEN SEVENTY THREE",IF(AR6=1974,"NINETEEN SEVENTY FOUR",IF(AR6=1975,"NINETEEN SEVENTY FIVE",IF(AR6=1976,"NINETEEN SEVENTY SIX",IF(AR6=1977,"NINETEEN SEVENTY SEVEN",IF(AR6=1978,"NINETEEN SEVENTY EIGHT",IF(AR6=1979,"NINETEEN SEVENTY NINE",IF(AR6=1980,"NINETEEN EIGHTY",IF(AR6=1981,"NINETEEN EIGHTY ONE",IF(AR6=1982,"NINETEEN EIGHTY TWO",IF(AR6=1983,"NINETEEN EIGHTY THREE",IF(AR6=1984,"NINETEEN EIGHTY FOUR",IF(AR6=1985,"NINETEEN EIGHTY FIVE",IF(AR6=1986,"NINETEEN EIGHTY SIX",IF(AR6=1987,"NINETEEN EIGHTY SEVEN",IF(AR6=1988,"NINETEEN EIGHTY EIGHT",IF(AR6=1989,"NINETEEN EIGHTY NINE",IF(AR6=1990,"NINETEEN NINETY",IF(AR6=1991,"NINETEEN NINETY ONE",IF(AR6=1992,"NINETEEN NINETY TWO",IF(AR6=1993,"NINETEEN NINETY THREE",IF(AR6=1994,"NINETEEN NINETY FOUR",IF(AR6=1995,"NINETEEN NINETY FIVE",IF(AR6=1996,"NINETEEN NINETY SIX",IF(AR6=1997,"NINETEEN NINETY SEVEN",IF(AR6=1998,"NINETEEN NINETY EIGHT",IF(AR6=1999,"NINETEEN NINETY NINE",IF(AR6=2000,"TWO THOUSAND",IF(AR6=2001,"TWO THOUSAND ONE",IF(AR6=2002,"TWO THOUSAND TWO",IF(AR6=2003,"TWO THOUSAND THREE",IF(AR6=2004,"TWO THOUSAND FOUR",IF(AR6=2005,"TWO THOUSAND FIVE",IF(AR6=2006,"TWO THOUSAND SIX",IF(AR6=2007,"TWO THOUSAND SEVEN",IF(AR6=2008,"TWO THOUSAND EIGHT",IF(AR6=2009,"TWO THOUSAND NINE",IF(AR6=2010,"TWO THOUSAND TEN",IF(AR6=2011,"TWO THOUSAND ELEVEN",IF(AR6=2012,"TWO THOUSAND TWELVE",IF(AR6=2013,"TWO THOUSAND THIRTEEN",IF(AR6=2014,"TWO THOUSAND FOURTEEN",IF(AR6=2015,"TWO THOUSAND FIFTEEN",IF(AR6=2016,"TWO THOUSAND SIXTEEN",IF(AR6=2017,"TWO THOUSAND SEVENTEEN",IF(AR6=2018,"TWO THOUSAND EIGHTEEN",IF(AR6=2019,"TWO THOUSAND NINETEEN",IF(AR6=2020,"TWO THOUSAND TWENTY",IF(AR6=2021,"TWO THOUSAND TWENTY ONE",IF(AR6=2022,"TWO THOUSAND TWENTY TWO",IF(AR6=2023,"TWO THOUSAND TWENTY THREE",IF(AR6=2024,"TWO THOUSAND TWENTY FOUR",IF(AR6=2025,"TWO THOUSAND TWENTY FIVE","")))))))))))))))))))))))))))))))))))))))))))))))))))))))))))))))))</f>
        <v>TWO THOUSAND THREE</v>
      </c>
      <c r="AS9" t="str">
        <f>IF(AS6=1,"JANUARY",IF(AS6=2,"FEBUARY", IF(AS6=3,"MARCH",IF(AS6=4,"APRIL",IF(AS6=5,"MAY",IF(AS6=6,"JUNE",IF(AS6=7,"JULY",IF(AS6=8,"AUGUST",IF(AS6=9,"SEPTEMBER",IF(AS6=10,"OCTOBER",IF(AS6=11,"NOVEMBER",IF(AS6=12,"DECEMBER",""))))))))))))</f>
        <v>JANUARY</v>
      </c>
      <c r="AT9" t="str">
        <f>IF(AT6=1,"1ST",IF(AT6=2,"2ND", IF(AT6=3,"3RD",IF(AT6=4,"FOURTH",IF(AT6=5,"FIFTH",IF(AT6=6,"SIXTH",IF(AT6=7,"7TH",IF(AT6=8,"8TH",IF(AT6=9,"9TH",IF(AT6=10,"10TH",IF(AT6=11,"11TH",IF(AT6=12,"12TH",IF(AT6=13,"13TH",IF(AT6=14,"14TH",IF(AT6=15,"FIFTEEN",IF(AT6=16,"SIXTEEN",IF(AT6=17,"SEVENTEEN",IF(AT6=18,"EIGHTEEN",IF(AT6=19,"NINETEEN",IF(AT6=20,"TWENTY",IF(AT6=21,"TWENTY FIRST",IF(AT6=22,"TWENTY SECOND",IF(AT6=23,"TWENTY THIRD",IF(AT6=24,"TWENTY FOURTH",IF(AT6=25,"TWENTY FIFTH",IF(AT6=26,"TWENTY SIX",IF(AT6=27,"TWENTY SEVEN",IF(AT6=28,"TWENTY EIGHT",IF(AT6=29,"TWENTY NINE",IF(AT6=30,"THIRTY",IF(AT6=31,"THIRTY FIRST","")))))))))))))))))))))))))))))))</f>
        <v>1ST</v>
      </c>
      <c r="AX9" t="str">
        <f>IF(AX6=1961,"NINETEEN SIXTY ONE",IF(AX6=1962,"NINETEEN SIXTY TWO",IF(AX6=1963,"NINETEEN SIXTY THREE",IF(AX6=1964,"NINETEEN SIXTY FOUR",IF(AX6=1965,"NINETEEN SIXTY FIVE",IF(AX6=1966,"NINETEEN SIXTY SIX",IF(AX6=1967,"NINETEEN SIXTY SEVEN",IF(AX6=1968,"NINETEEN SIXTY EIGHT",IF(AX6=1969,"NINETEEN SIXTY NINE",IF(AX6=1970,"NINETEEN SEVENTY",IF(AX6=1971,"NINETEEN SEVENTY ONE",IF(AX6=1972,"NINETEEN SEVENTY TWO",IF(AX6=1973,"NINETEEN SEVENTY THREE",IF(AX6=1974,"NINETEEN SEVENTY FOUR",IF(AX6=1975,"NINETEEN SEVENTY FIVE",IF(AX6=1976,"NINETEEN SEVENTY SIX",IF(AX6=1977,"NINETEEN SEVENTY SEVEN",IF(AX6=1978,"NINETEEN SEVENTY EIGHT",IF(AX6=1979,"NINETEEN SEVENTY NINE",IF(AX6=1980,"NINETEEN EIGHTY",IF(AX6=1981,"NINETEEN EIGHTY ONE",IF(AX6=1982,"NINETEEN EIGHTY TWO",IF(AX6=1983,"NINETEEN EIGHTY THREE",IF(AX6=1984,"NINETEEN EIGHTY FOUR",IF(AX6=1985,"NINETEEN EIGHTY FIVE",IF(AX6=1986,"NINETEEN EIGHTY SIX",IF(AX6=1987,"NINETEEN EIGHTY SEVEN",IF(AX6=1988,"NINETEEN EIGHTY EIGHT",IF(AX6=1989,"NINETEEN EIGHTY NINE",IF(AX6=1990,"NINETEEN NINETY",IF(AX6=1991,"NINETEEN NINETY ONE",IF(AX6=1992,"NINETEEN NINETY TWO",IF(AX6=1993,"NINETEEN NINETY THREE",IF(AX6=1994,"NINETEEN NINETY FOUR",IF(AX6=1995,"NINETEEN NINETY FIVE",IF(AX6=1996,"NINETEEN NINETY SIX",IF(AX6=1997,"NINETEEN NINETY SEVEN",IF(AX6=1998,"NINETEEN NINETY EIGHT",IF(AX6=1999,"NINETEEN NINETY NINE",IF(AX6=2000,"TWO THOUSAND",IF(AX6=2001,"TWO THOUSAND ONE",IF(AX6=2002,"TWO THOUSAND TWO",IF(AX6=2003,"TWO THOUSAND THREE",IF(AX6=2004,"TWO THOUSAND FOUR",IF(AX6=2005,"TWO THOUSAND FIVE",IF(AX6=2006,"TWO THOUSAND SIX",IF(AX6=2007,"TWO THOUSAND SEVEN",IF(AX6=2008,"TWO THOUSAND EIGHT",IF(AX6=2009,"TWO THOUSAND NINE",IF(AX6=2010,"TWO THOUSAND TEN",IF(AX6=2011,"TWO THOUSAND ELEVEN",IF(AX6=2012,"TWO THOUSAND TWELVE",IF(AX6=2013,"TWO THOUSAND THIRTEEN",IF(AX6=2014,"TWO THOUSAND FOURTEEN",IF(AX6=2015,"TWO THOUSAND FIFTEEN",IF(AX6=2016,"TWO THOUSAND SIXTEEN",IF(AX6=2017,"TWO THOUSAND SEVENTEEN",IF(AX6=2018,"TWO THOUSAND EIGHTEEN",IF(AX6=2019,"TWO THOUSAND NINETEEN",IF(AX6=2020,"TWO THOUSAND TWENTY",IF(AX6=2021,"TWO THOUSAND TWENTY ONE",IF(AX6=2022,"TWO THOUSAND TWENTY TWO",IF(AX6=2023,"TWO THOUSAND TWENTY THREE",IF(AX6=2024,"TWO THOUSAND TWENTY FOUR",IF(AX6=2025,"TWO THOUSAND TWENTY FIVE","")))))))))))))))))))))))))))))))))))))))))))))))))))))))))))))))))</f>
        <v>TWO THOUSAND FOUR</v>
      </c>
      <c r="AY9" t="str">
        <f>IF(AY6=1,"JANUARY",IF(AY6=2,"FEBUARY", IF(AY6=3,"MARCH",IF(AY6=4,"APRIL",IF(AY6=5,"MAY",IF(AY6=6,"JUNE",IF(AY6=7,"JULY",IF(AY6=8,"AUGUST",IF(AY6=9,"SEPTEMBER",IF(AY6=10,"OCTOBER",IF(AY6=11,"NOVEMBER",IF(AY6=12,"DECEMBER",""))))))))))))</f>
        <v>APRIL</v>
      </c>
      <c r="AZ9" t="str">
        <f>IF(AZ6=1,"1ST",IF(AZ6=2,"2ND", IF(AZ6=3,"3RD",IF(AZ6=4,"FOURTH",IF(AZ6=5,"FIFTH",IF(AZ6=6,"SIXTH",IF(AZ6=7,"7TH",IF(AZ6=8,"8TH",IF(AZ6=9,"9TH",IF(AZ6=10,"10TH",IF(AZ6=11,"11TH",IF(AZ6=12,"12TH",IF(AZ6=13,"13TH",IF(AZ6=14,"14TH",IF(AZ6=15,"FIFTEEN",IF(AZ6=16,"SIXTEEN",IF(AZ6=17,"SEVENTEEN",IF(AZ6=18,"EIGHTEEN",IF(AZ6=19,"NINETEEN",IF(AZ6=20,"TWENTY",IF(AZ6=21,"TWENTY FIRST",IF(AZ6=22,"TWENTY SECOND",IF(AZ6=23,"TWENTY THIRD",IF(AZ6=24,"TWENTY FOURTH",IF(AZ6=25,"TWENTY FIFTH",IF(AZ6=26,"TWENTY SIX",IF(AZ6=27,"TWENTY SEVEN",IF(AZ6=28,"TWENTY EIGHT",IF(AZ6=29,"TWENTY NINE",IF(AZ6=30,"THIRTY",IF(AZ6=31,"THIRTY FIRST","")))))))))))))))))))))))))))))))</f>
        <v>13TH</v>
      </c>
      <c r="BE9" s="17"/>
      <c r="BF9" s="17"/>
    </row>
    <row r="10" spans="1:58" s="467" customFormat="1" ht="9.75" customHeight="1">
      <c r="A10" s="465"/>
      <c r="B10" s="1712"/>
      <c r="C10" s="1712"/>
      <c r="D10" s="1712"/>
      <c r="E10" s="1712"/>
      <c r="F10" s="1712"/>
      <c r="G10" s="1712"/>
      <c r="H10" s="1712"/>
      <c r="I10" s="1712"/>
      <c r="J10" s="1712"/>
      <c r="K10" s="1712"/>
      <c r="L10" s="1712"/>
      <c r="M10" s="1712"/>
      <c r="N10" s="1712"/>
      <c r="O10" s="1712"/>
      <c r="P10" s="705"/>
      <c r="Q10" s="1722"/>
      <c r="R10" s="1713"/>
      <c r="S10" s="1713"/>
      <c r="T10" s="1713"/>
      <c r="U10" s="1713"/>
      <c r="V10" s="1713"/>
      <c r="W10" s="1713"/>
      <c r="X10" s="1713"/>
      <c r="Y10" s="1713"/>
      <c r="Z10" s="1713"/>
      <c r="AA10" s="1713"/>
      <c r="AB10" s="1713"/>
      <c r="AC10" s="1713"/>
      <c r="AD10" s="1713"/>
      <c r="AE10" s="1713"/>
      <c r="AF10" s="703"/>
      <c r="AH10" s="1730"/>
      <c r="AI10" s="1731"/>
      <c r="AJ10" s="1731"/>
      <c r="AK10" s="1731"/>
      <c r="AL10" s="1732"/>
      <c r="AN10" s="467">
        <f>IF(AI5="",MIN('Statement of Marks'!$B$8:$B$207),AI5)</f>
        <v>1101</v>
      </c>
      <c r="AQ10" s="17"/>
      <c r="AR10"/>
      <c r="AS10" t="str">
        <f>CONCATENATE(AS9," ",AT9,", ",AR9)</f>
        <v>JANUARY 1ST, TWO THOUSAND THREE</v>
      </c>
      <c r="AT10"/>
      <c r="AX10"/>
      <c r="AY10" t="str">
        <f>CONCATENATE(AY9," ",AZ9,", ",AX9)</f>
        <v>APRIL 13TH, TWO THOUSAND FOUR</v>
      </c>
      <c r="AZ10"/>
      <c r="BE10" s="17"/>
      <c r="BF10" s="17"/>
    </row>
    <row r="11" spans="1:58" s="467" customFormat="1" ht="27.75" customHeight="1">
      <c r="A11" s="465"/>
      <c r="B11" s="1685" t="str">
        <f>IF('Master Sheet'!$D$11="Hindi","विषय का नाम","Subject Name")</f>
        <v>विषय का नाम</v>
      </c>
      <c r="C11" s="1681" t="str">
        <f>IF('Master Sheet'!$D$11="Hindi","सामयिक परख","Seasonal Exam")</f>
        <v>सामयिक परख</v>
      </c>
      <c r="D11" s="1681"/>
      <c r="E11" s="1681"/>
      <c r="F11" s="1681"/>
      <c r="G11" s="1681" t="str">
        <f>IF('Master Sheet'!$D$11="Hindi","अर्द्धवार्षिक","Half Yearly")</f>
        <v>अर्द्धवार्षिक</v>
      </c>
      <c r="H11" s="1681"/>
      <c r="I11" s="1681"/>
      <c r="J11" s="1682" t="str">
        <f>IF('Master Sheet'!$D$11="Hindi","अर्द्ध वा. तक योग","Total Till H.Y.")</f>
        <v>अर्द्ध वा. तक योग</v>
      </c>
      <c r="K11" s="1681" t="str">
        <f>IF('Master Sheet'!$D$11="Hindi","वार्षिक","Yearly Exam")</f>
        <v>वार्षिक</v>
      </c>
      <c r="L11" s="1681"/>
      <c r="M11" s="1681"/>
      <c r="N11" s="1681"/>
      <c r="O11" s="1683" t="str">
        <f>IF('Master Sheet'!$D$11="Hindi","विषय कुल योग ","Subject Total")</f>
        <v xml:space="preserve">विषय कुल योग </v>
      </c>
      <c r="P11" s="1684" t="str">
        <f>IF('Master Sheet'!$D$11="Hindi","विषय परिणाम / विषय श्रेणी","Sub. Result /  Sub. Div.")</f>
        <v>विषय परिणाम / विषय श्रेणी</v>
      </c>
      <c r="Q11" s="1722"/>
      <c r="R11" s="1685" t="str">
        <f>IF('Master Sheet'!$D$11="Hindi","विषय का नाम","Subject Name")</f>
        <v>विषय का नाम</v>
      </c>
      <c r="S11" s="1681" t="str">
        <f>IF('Master Sheet'!$D$11="Hindi","सामयिक परख","Seasonal Exam")</f>
        <v>सामयिक परख</v>
      </c>
      <c r="T11" s="1681"/>
      <c r="U11" s="1681"/>
      <c r="V11" s="1681"/>
      <c r="W11" s="1681" t="str">
        <f>IF('Master Sheet'!$D$11="Hindi","अर्द्धवार्षिक","Half Yearly")</f>
        <v>अर्द्धवार्षिक</v>
      </c>
      <c r="X11" s="1681"/>
      <c r="Y11" s="1681"/>
      <c r="Z11" s="1682" t="str">
        <f>IF('Master Sheet'!$D$11="Hindi","अर्द्ध वा. तक योग","Total Till H.Y.")</f>
        <v>अर्द्ध वा. तक योग</v>
      </c>
      <c r="AA11" s="1681" t="str">
        <f>IF('Master Sheet'!$D$11="Hindi","वार्षिक","Yearly Exam")</f>
        <v>वार्षिक</v>
      </c>
      <c r="AB11" s="1681"/>
      <c r="AC11" s="1681"/>
      <c r="AD11" s="1681"/>
      <c r="AE11" s="1683" t="str">
        <f>IF('Master Sheet'!$D$11="Hindi","विषय कुल योग ","Subject Total")</f>
        <v xml:space="preserve">विषय कुल योग </v>
      </c>
      <c r="AF11" s="1684" t="str">
        <f>IF('Master Sheet'!$D$11="Hindi","विषय परिणाम / विषय श्रेणी","Sub. Result /  Sub. Div.")</f>
        <v>विषय परिणाम / विषय श्रेणी</v>
      </c>
      <c r="AH11" s="1730"/>
      <c r="AI11" s="1731"/>
      <c r="AJ11" s="1731"/>
      <c r="AK11" s="1731"/>
      <c r="AL11" s="1732"/>
      <c r="AN11" s="467">
        <f>IF(AK5="",MAX('Statement of Marks'!$B$8:$B$207),AK5)</f>
        <v>1111</v>
      </c>
      <c r="AQ11" s="17"/>
      <c r="AR11"/>
      <c r="AS11"/>
      <c r="AT11"/>
      <c r="AX11"/>
      <c r="AY11"/>
      <c r="AZ11"/>
      <c r="BE11" s="17"/>
      <c r="BF11" s="17"/>
    </row>
    <row r="12" spans="1:58" s="467" customFormat="1" ht="78.75" customHeight="1" thickBot="1">
      <c r="A12" s="465"/>
      <c r="B12" s="1685"/>
      <c r="C12" s="739" t="str">
        <f>IF('Master Sheet'!$D$11="Hindi","प्रथम परख ","First Test")</f>
        <v xml:space="preserve">प्रथम परख </v>
      </c>
      <c r="D12" s="739" t="str">
        <f>IF('Master Sheet'!$D$11="Hindi","द्वितीय परख","Second Test")</f>
        <v>द्वितीय परख</v>
      </c>
      <c r="E12" s="739" t="str">
        <f>IF('Master Sheet'!$D$11="Hindi","तृतीय परख","Third Test")</f>
        <v>तृतीय परख</v>
      </c>
      <c r="F12" s="740" t="str">
        <f>IF('Master Sheet'!$D$11="Hindi","सा. परख योग","Test Total")</f>
        <v>सा. परख योग</v>
      </c>
      <c r="G12" s="739" t="str">
        <f>IF('Master Sheet'!$D$11="Hindi","सैद्धांतिक","Theoretical")</f>
        <v>सैद्धांतिक</v>
      </c>
      <c r="H12" s="739" t="str">
        <f>IF('Master Sheet'!$D$11="Hindi","प्रायोगिक","Practical")</f>
        <v>प्रायोगिक</v>
      </c>
      <c r="I12" s="741" t="str">
        <f>IF('Master Sheet'!$D$11="Hindi","अर्द्ध वा. योग","Total H.Y.")</f>
        <v>अर्द्ध वा. योग</v>
      </c>
      <c r="J12" s="1682"/>
      <c r="K12" s="739" t="str">
        <f>IF('Master Sheet'!$D$11="Hindi","सैद्धांतिक","Theoretical")</f>
        <v>सैद्धांतिक</v>
      </c>
      <c r="L12" s="739" t="str">
        <f>IF('Master Sheet'!$D$11="Hindi","प्रायोगिक","Practical")</f>
        <v>प्रायोगिक</v>
      </c>
      <c r="M12" s="739" t="str">
        <f>IF('Master Sheet'!$D$11="Hindi","पोर्टफोलियो","Portfolio")</f>
        <v>पोर्टफोलियो</v>
      </c>
      <c r="N12" s="741" t="str">
        <f>IF('Master Sheet'!$D$11="Hindi","वार्षिक योग","Total Yearly")</f>
        <v>वार्षिक योग</v>
      </c>
      <c r="O12" s="1683"/>
      <c r="P12" s="1684"/>
      <c r="Q12" s="1722"/>
      <c r="R12" s="1685"/>
      <c r="S12" s="739" t="str">
        <f>IF('Master Sheet'!$D$11="Hindi","प्रथम परख ","First Test")</f>
        <v xml:space="preserve">प्रथम परख </v>
      </c>
      <c r="T12" s="739" t="str">
        <f>IF('Master Sheet'!$D$11="Hindi","द्वितीय परख","Second Test")</f>
        <v>द्वितीय परख</v>
      </c>
      <c r="U12" s="739" t="str">
        <f>IF('Master Sheet'!$D$11="Hindi","तृतीय परख","Third Test")</f>
        <v>तृतीय परख</v>
      </c>
      <c r="V12" s="740" t="str">
        <f>IF('Master Sheet'!$D$11="Hindi","सा. परख योग","Test Total")</f>
        <v>सा. परख योग</v>
      </c>
      <c r="W12" s="739" t="str">
        <f>IF('Master Sheet'!$D$11="Hindi","सैद्धांतिक","Theoretical")</f>
        <v>सैद्धांतिक</v>
      </c>
      <c r="X12" s="739" t="str">
        <f>IF('Master Sheet'!$D$11="Hindi","प्रायोगिक","Practical")</f>
        <v>प्रायोगिक</v>
      </c>
      <c r="Y12" s="741" t="str">
        <f>IF('Master Sheet'!$D$11="Hindi","अर्द्ध वा. योग","Total H.Y.")</f>
        <v>अर्द्ध वा. योग</v>
      </c>
      <c r="Z12" s="1682"/>
      <c r="AA12" s="739" t="str">
        <f>IF('Master Sheet'!$D$11="Hindi","सैद्धांतिक","Theoretical")</f>
        <v>सैद्धांतिक</v>
      </c>
      <c r="AB12" s="739" t="str">
        <f>IF('Master Sheet'!$D$11="Hindi","प्रायोगिक","Practical")</f>
        <v>प्रायोगिक</v>
      </c>
      <c r="AC12" s="739" t="str">
        <f>IF('Master Sheet'!$D$11="Hindi","पोर्टफोलियो","Portfolio")</f>
        <v>पोर्टफोलियो</v>
      </c>
      <c r="AD12" s="741" t="str">
        <f>IF('Master Sheet'!$D$11="Hindi","वार्षिक योग","Total Yearly")</f>
        <v>वार्षिक योग</v>
      </c>
      <c r="AE12" s="1683"/>
      <c r="AF12" s="1684"/>
      <c r="AH12" s="1733"/>
      <c r="AI12" s="1734"/>
      <c r="AJ12" s="1734"/>
      <c r="AK12" s="1734"/>
      <c r="AL12" s="1735"/>
      <c r="AN12" t="s">
        <v>290</v>
      </c>
      <c r="AQ12" s="17"/>
      <c r="AR12"/>
      <c r="AS12"/>
      <c r="AT12"/>
      <c r="AX12"/>
      <c r="AY12"/>
      <c r="AZ12"/>
      <c r="BE12" s="17"/>
      <c r="BF12" s="17"/>
    </row>
    <row r="13" spans="1:58" s="471" customFormat="1" ht="28.5" customHeight="1">
      <c r="A13" s="470"/>
      <c r="B13" s="1685"/>
      <c r="C13" s="736">
        <v>10</v>
      </c>
      <c r="D13" s="736">
        <v>10</v>
      </c>
      <c r="E13" s="736">
        <v>10</v>
      </c>
      <c r="F13" s="788">
        <v>30</v>
      </c>
      <c r="G13" s="737" t="s">
        <v>289</v>
      </c>
      <c r="H13" s="717" t="s">
        <v>285</v>
      </c>
      <c r="I13" s="738">
        <v>70</v>
      </c>
      <c r="J13" s="745">
        <v>100</v>
      </c>
      <c r="K13" s="737" t="s">
        <v>286</v>
      </c>
      <c r="L13" s="717" t="s">
        <v>143</v>
      </c>
      <c r="M13" s="736">
        <v>20</v>
      </c>
      <c r="N13" s="738">
        <v>100</v>
      </c>
      <c r="O13" s="746">
        <v>200</v>
      </c>
      <c r="P13" s="1684"/>
      <c r="Q13" s="1722"/>
      <c r="R13" s="1685"/>
      <c r="S13" s="736">
        <v>10</v>
      </c>
      <c r="T13" s="736">
        <v>10</v>
      </c>
      <c r="U13" s="736">
        <v>10</v>
      </c>
      <c r="V13" s="788">
        <v>30</v>
      </c>
      <c r="W13" s="737" t="s">
        <v>289</v>
      </c>
      <c r="X13" s="717" t="s">
        <v>285</v>
      </c>
      <c r="Y13" s="738">
        <v>70</v>
      </c>
      <c r="Z13" s="745">
        <v>100</v>
      </c>
      <c r="AA13" s="737" t="s">
        <v>286</v>
      </c>
      <c r="AB13" s="717" t="s">
        <v>143</v>
      </c>
      <c r="AC13" s="736">
        <v>20</v>
      </c>
      <c r="AD13" s="738">
        <v>100</v>
      </c>
      <c r="AE13" s="746">
        <v>200</v>
      </c>
      <c r="AF13" s="1684"/>
      <c r="AN13" t="s">
        <v>291</v>
      </c>
      <c r="AQ13" s="17"/>
      <c r="AR13"/>
      <c r="AS13"/>
      <c r="AT13"/>
      <c r="AX13"/>
      <c r="AY13"/>
      <c r="AZ13"/>
      <c r="BE13" s="17"/>
      <c r="BF13" s="17"/>
    </row>
    <row r="14" spans="1:58" s="467" customFormat="1" ht="22.5" customHeight="1">
      <c r="A14" s="465"/>
      <c r="B14" s="710" t="str">
        <f>'Statement of Marks'!$J$3</f>
        <v>Com. Hindi</v>
      </c>
      <c r="C14" s="91">
        <f>IFERROR(VLOOKUP(L7,'Statement of Marks'!$B$8:'Statement of Marks'!$HI$207,9,0),"")</f>
        <v>8</v>
      </c>
      <c r="D14" s="91">
        <f>IFERROR(VLOOKUP(L7,'Statement of Marks'!$B$8:'Statement of Marks'!$HI$207,10,0),"")</f>
        <v>8</v>
      </c>
      <c r="E14" s="91">
        <f>IFERROR(VLOOKUP(L7,'Statement of Marks'!$B$8:'Statement of Marks'!$HI$207,11,0),"")</f>
        <v>9</v>
      </c>
      <c r="F14" s="461">
        <f>IFERROR(VLOOKUP(L7,'Statement of Marks'!$B$8:'Statement of Marks'!$HI$207,12,0),"")</f>
        <v>25</v>
      </c>
      <c r="G14" s="91">
        <f>IFERROR(VLOOKUP(L7,'Statement of Marks'!$B$8:'Statement of Marks'!$HI$207,13,0),"")</f>
        <v>46</v>
      </c>
      <c r="H14" s="91"/>
      <c r="I14" s="787">
        <f>IFERROR(VLOOKUP(L7,'Statement of Marks'!$B$8:'Statement of Marks'!$HI$207,13,0),"")</f>
        <v>46</v>
      </c>
      <c r="J14" s="724">
        <f>IFERROR(IF(AND(L7="",A14="",F14="",I14=""),"",SUM(C14,D14,E14,G14,H14)),"")</f>
        <v>71</v>
      </c>
      <c r="K14" s="91">
        <f>IFERROR(VLOOKUP(L7,'Statement of Marks'!$B$8:'Statement of Marks'!$HI$207,15,0),"")</f>
        <v>70</v>
      </c>
      <c r="L14" s="462"/>
      <c r="M14" s="721"/>
      <c r="N14" s="759">
        <f>IFERROR(VLOOKUP(L7,'Statement of Marks'!$B$8:'Statement of Marks'!$HI$207,15,0),"")</f>
        <v>70</v>
      </c>
      <c r="O14" s="732">
        <f>IFERROR(VLOOKUP(L7,'Statement of Marks'!$B$8:'Statement of Marks'!$HI$207,16,0),"")</f>
        <v>141</v>
      </c>
      <c r="P14" s="722" t="str">
        <f>IFERROR(IF(N14="","",IF(VLOOKUP(L7,'Statement of Marks'!$B$8:'Statement of Marks'!$HI$207,165,0)="D","I",VLOOKUP(L7,'Statement of Marks'!$B$8:'Statement of Marks'!$HI$207,165,0))),"")</f>
        <v>I</v>
      </c>
      <c r="Q14" s="1722"/>
      <c r="R14" s="710" t="str">
        <f>'Statement of Marks'!$J$3</f>
        <v>Com. Hindi</v>
      </c>
      <c r="S14" s="91">
        <f>IFERROR(VLOOKUP(AB7,'Statement of Marks'!$B$8:'Statement of Marks'!$HI$207,9,0),"")</f>
        <v>8</v>
      </c>
      <c r="T14" s="91">
        <f>IFERROR(VLOOKUP(AB7,'Statement of Marks'!$B$8:'Statement of Marks'!$HI$207,10,0),"")</f>
        <v>9</v>
      </c>
      <c r="U14" s="91">
        <f>IFERROR(VLOOKUP(AB7,'Statement of Marks'!$B$8:'Statement of Marks'!$HI$207,11,0),"")</f>
        <v>7</v>
      </c>
      <c r="V14" s="461">
        <f>IFERROR(VLOOKUP(AB7,'Statement of Marks'!$B$8:'Statement of Marks'!$HI$207,12,0),"")</f>
        <v>24</v>
      </c>
      <c r="W14" s="91">
        <f>IFERROR(VLOOKUP(AB7,'Statement of Marks'!$B$8:'Statement of Marks'!$HI$207,13,0),"")</f>
        <v>46</v>
      </c>
      <c r="X14" s="91"/>
      <c r="Y14" s="787">
        <f>IFERROR(VLOOKUP(AB7,'Statement of Marks'!$B$8:'Statement of Marks'!$HI$207,13,0),"")</f>
        <v>46</v>
      </c>
      <c r="Z14" s="724">
        <f>IFERROR(IF(AND(AB7="",Q14="",V14="",Y14=""),"",SUM(S14,T14,U14,W14,X14)),"")</f>
        <v>70</v>
      </c>
      <c r="AA14" s="91">
        <f>IFERROR(VLOOKUP(AB7,'Statement of Marks'!$B$8:'Statement of Marks'!$HI$207,15,0),"")</f>
        <v>45</v>
      </c>
      <c r="AB14" s="462"/>
      <c r="AC14" s="721"/>
      <c r="AD14" s="759">
        <f>IFERROR(VLOOKUP(AB7,'Statement of Marks'!$B$8:'Statement of Marks'!$HI$207,15,0),"")</f>
        <v>45</v>
      </c>
      <c r="AE14" s="732">
        <f>IFERROR(VLOOKUP(AB7,'Statement of Marks'!$B$8:'Statement of Marks'!$HI$207,16,0),"")</f>
        <v>115</v>
      </c>
      <c r="AF14" s="722" t="str">
        <f>IFERROR(IF(AD14="","",IF(VLOOKUP(AB7,'Statement of Marks'!$B$8:'Statement of Marks'!$HI$207,165,0)="D","I",VLOOKUP(AB7,'Statement of Marks'!$B$8:'Statement of Marks'!$HI$207,165,0))),"")</f>
        <v>II</v>
      </c>
      <c r="AQ14" s="17"/>
      <c r="AR14"/>
      <c r="AS14"/>
      <c r="AT14"/>
      <c r="AX14"/>
      <c r="AY14"/>
      <c r="AZ14"/>
      <c r="BE14" s="17"/>
      <c r="BF14" s="17"/>
    </row>
    <row r="15" spans="1:58" s="467" customFormat="1" ht="22.5" customHeight="1">
      <c r="A15" s="465"/>
      <c r="B15" s="710" t="str">
        <f>'Statement of Marks'!$X$3</f>
        <v>Com. English</v>
      </c>
      <c r="C15" s="91">
        <f>IFERROR(VLOOKUP(L7,'Statement of Marks'!$B$8:'Statement of Marks'!$HI$207,23,0),"")</f>
        <v>8</v>
      </c>
      <c r="D15" s="91">
        <f>IFERROR(VLOOKUP(L7,'Statement of Marks'!$B$8:'Statement of Marks'!$HI$207,24,0),"")</f>
        <v>5</v>
      </c>
      <c r="E15" s="91">
        <f>IFERROR(VLOOKUP(L7,'Statement of Marks'!$B$8:'Statement of Marks'!$HI$207,25,0),"")</f>
        <v>8</v>
      </c>
      <c r="F15" s="461">
        <f>IFERROR(VLOOKUP(L7,'Statement of Marks'!$B$8:'Statement of Marks'!$HI$207,26,0),"")</f>
        <v>21</v>
      </c>
      <c r="G15" s="91">
        <f>IFERROR(VLOOKUP(L7,'Statement of Marks'!$B$8:'Statement of Marks'!$HI$207,27,0),"")</f>
        <v>48</v>
      </c>
      <c r="H15" s="91"/>
      <c r="I15" s="787">
        <f>IFERROR(VLOOKUP(L7,'Statement of Marks'!$B$8:'Statement of Marks'!$HI$207,27,0),"")</f>
        <v>48</v>
      </c>
      <c r="J15" s="724">
        <f>IFERROR(IF(AND(L7="",A15="",F15="",I15=""),"",SUM(C15,D15,E15,G15,H15)),"")</f>
        <v>69</v>
      </c>
      <c r="K15" s="91">
        <f>IFERROR(VLOOKUP(L7,'Statement of Marks'!$B$8:'Statement of Marks'!$HI$207,29,0),"")</f>
        <v>74</v>
      </c>
      <c r="L15" s="462"/>
      <c r="M15" s="721"/>
      <c r="N15" s="759">
        <f>IFERROR(VLOOKUP(L7,'Statement of Marks'!$B$8:'Statement of Marks'!$HI$207,29,0),"")</f>
        <v>74</v>
      </c>
      <c r="O15" s="732">
        <f>IFERROR(VLOOKUP(L7,'Statement of Marks'!$B$8:'Statement of Marks'!$HI$207,30,0),"")</f>
        <v>143</v>
      </c>
      <c r="P15" s="722" t="str">
        <f>IFERROR(IF(O15="","",IF(VLOOKUP(L7,'Statement of Marks'!$B$8:'Statement of Marks'!$HI$207,168,0)="D","I",VLOOKUP(L7,'Statement of Marks'!$B$8:'Statement of Marks'!$HI$207,168,0))),"")</f>
        <v>I</v>
      </c>
      <c r="Q15" s="1722"/>
      <c r="R15" s="710" t="str">
        <f>'Statement of Marks'!$X$3</f>
        <v>Com. English</v>
      </c>
      <c r="S15" s="91">
        <f>IFERROR(VLOOKUP(AB7,'Statement of Marks'!$B$8:'Statement of Marks'!$HI$207,23,0),"")</f>
        <v>9</v>
      </c>
      <c r="T15" s="91">
        <f>IFERROR(VLOOKUP(AB7,'Statement of Marks'!$B$8:'Statement of Marks'!$HI$207,24,0),"")</f>
        <v>5</v>
      </c>
      <c r="U15" s="91">
        <f>IFERROR(VLOOKUP(AB7,'Statement of Marks'!$B$8:'Statement of Marks'!$HI$207,25,0),"")</f>
        <v>7</v>
      </c>
      <c r="V15" s="461">
        <f>IFERROR(VLOOKUP(AB7,'Statement of Marks'!$B$8:'Statement of Marks'!$HI$207,26,0),"")</f>
        <v>21</v>
      </c>
      <c r="W15" s="91">
        <f>IFERROR(VLOOKUP(AB7,'Statement of Marks'!$B$8:'Statement of Marks'!$HI$207,27,0),"")</f>
        <v>41</v>
      </c>
      <c r="X15" s="91"/>
      <c r="Y15" s="787">
        <f>IFERROR(VLOOKUP(AB7,'Statement of Marks'!$B$8:'Statement of Marks'!$HI$207,27,0),"")</f>
        <v>41</v>
      </c>
      <c r="Z15" s="724">
        <f>IFERROR(IF(AND(AB7="",Q15="",V15="",Y15=""),"",SUM(S15,T15,U15,W15,X15)),"")</f>
        <v>62</v>
      </c>
      <c r="AA15" s="91">
        <f>IFERROR(VLOOKUP(AB7,'Statement of Marks'!$B$8:'Statement of Marks'!$HI$207,29,0),"")</f>
        <v>71</v>
      </c>
      <c r="AB15" s="462"/>
      <c r="AC15" s="721"/>
      <c r="AD15" s="759">
        <f>IFERROR(VLOOKUP(AB7,'Statement of Marks'!$B$8:'Statement of Marks'!$HI$207,29,0),"")</f>
        <v>71</v>
      </c>
      <c r="AE15" s="732">
        <f>IFERROR(VLOOKUP(AB7,'Statement of Marks'!$B$8:'Statement of Marks'!$HI$207,30,0),"")</f>
        <v>133</v>
      </c>
      <c r="AF15" s="722" t="str">
        <f>IFERROR(IF(AE15="","",IF(VLOOKUP(AB7,'Statement of Marks'!$B$8:'Statement of Marks'!$HI$207,168,0)="D","I",VLOOKUP(AB7,'Statement of Marks'!$B$8:'Statement of Marks'!$HI$207,168,0))),"")</f>
        <v>I</v>
      </c>
      <c r="AQ15" s="17"/>
      <c r="AR15"/>
      <c r="AS15"/>
      <c r="AT15"/>
      <c r="AU15" s="17" t="str">
        <f>IFERROR(VLOOKUP(L7,'Statement of Marks'!$B$8:'Statement of Marks'!$HI$207,37,0),"")</f>
        <v>A</v>
      </c>
      <c r="AV15" s="17" t="str">
        <f>IFERROR(VLOOKUP(AB7,'Statement of Marks'!$B$8:'Statement of Marks'!$HI$207,37,0),"")</f>
        <v>B</v>
      </c>
      <c r="AX15"/>
      <c r="AY15"/>
      <c r="AZ15"/>
      <c r="BE15" s="17" t="str">
        <f>IFERROR(IF(VLOOKUP(AB7,'Statement of Marks'!$B$7:'Statement of Marks'!$IC$206,206,0)="By Grace Pass","By Grace Pass and Promoted to Class 12th",IF(VLOOKUP(AB7,'Statement of Marks'!$B$7:'Statement of Marks'!$IC$206,206,0)="PASS","PASS  and Promoted to Class 12th",IF(VLOOKUP(AB7,'Statement of Marks'!$B$7:'Statement of Marks'!$IC$206,206,0)="SUPPLEMENTARY","Supplementary",IF(VLOOKUP(AB7,'Statement of Marks'!$B$7:'Statement of Marks'!$IC$206,206,0)="Re-Exam","RE-EXAM",IF(VLOOKUP(AB7,'Statement of Marks'!$B$7:'Statement of Marks'!$IC$206,206,0)="FAIL","FAIL",""))))),"")</f>
        <v>By Grace Pass and Promoted to Class 12th</v>
      </c>
      <c r="BF15" s="17" t="str">
        <f>IFERROR(IF(VLOOKUP(L7,'Statement of Marks'!$B$7:'Statement of Marks'!$IC$206,206,0)="By Grace Pass","By Grace Pass and Promoted to Class 12th",IF(VLOOKUP(L7,'Statement of Marks'!$B$7:'Statement of Marks'!$IC$206,206,0)="PASS","PASS  and Promoted to Class 12th",IF(VLOOKUP(L7,'Statement of Marks'!$B$7:'Statement of Marks'!$IC$206,206,0)="SUPPLEMENTARY","Supplementary",IF(VLOOKUP(L7,'Statement of Marks'!$B$7:'Statement of Marks'!$IC$206,206,0)="Re-Exam","RE-EXAM",IF(VLOOKUP(L7,'Statement of Marks'!$B$7:'Statement of Marks'!$IC$206,206,0)="FAIL","FAIL",""))))),"")</f>
        <v>PASS  and Promoted to Class 12th</v>
      </c>
    </row>
    <row r="16" spans="1:58" s="467" customFormat="1" ht="22.5" customHeight="1">
      <c r="A16" s="465"/>
      <c r="B16" s="473" t="str">
        <f>IFERROR(IF(AND(AU15="A"),'Marks Entry'!$U$2,IF(AND(AU15="B"),'Marks Entry'!$Y$2,IF(AND(AU15="C"),'Marks Entry'!$AA$2,""))),"")</f>
        <v>POLITICAL SCIENCE</v>
      </c>
      <c r="C16" s="91">
        <f>IFERROR(VLOOKUP(L7,'Statement of Marks'!$B$8:'Statement of Marks'!$HI$207,38,0),"")</f>
        <v>8</v>
      </c>
      <c r="D16" s="91">
        <f>IFERROR(VLOOKUP(L7,'Statement of Marks'!$B$8:'Statement of Marks'!$HI$207,39,0),"")</f>
        <v>9</v>
      </c>
      <c r="E16" s="91">
        <f>IFERROR(VLOOKUP(L7,'Statement of Marks'!$B$8:'Statement of Marks'!$HI$207,40,0),"")</f>
        <v>10</v>
      </c>
      <c r="F16" s="461">
        <f>IFERROR(VLOOKUP(L7,'Statement of Marks'!$B$8:'Statement of Marks'!$HI$207,41,0),"")</f>
        <v>27</v>
      </c>
      <c r="G16" s="91">
        <f>IFERROR(VLOOKUP(L7,'Statement of Marks'!$B$8:'Statement of Marks'!$HI$207,42,0),"")</f>
        <v>45</v>
      </c>
      <c r="H16" s="91" t="str">
        <f>IFERROR(VLOOKUP(L7,'Statement of Marks'!$B$8:'Statement of Marks'!$HI$207,43,0),"")</f>
        <v/>
      </c>
      <c r="I16" s="787">
        <f>IFERROR(VLOOKUP(L7,'Statement of Marks'!$B$8:'Statement of Marks'!$HI$207,44,0),"")</f>
        <v>45</v>
      </c>
      <c r="J16" s="724">
        <f>IFERROR(IF(AND(L7="",A16="",F16="",I16=""),"",SUM(C16,D16,E16,G16,H16)),"")</f>
        <v>72</v>
      </c>
      <c r="K16" s="91">
        <f>IFERROR(VLOOKUP(L7,'Statement of Marks'!$B$8:'Statement of Marks'!$HI$207,46,0),"")</f>
        <v>57</v>
      </c>
      <c r="L16" s="91" t="str">
        <f>IFERROR(VLOOKUP(L7,'Statement of Marks'!$B$8:'Statement of Marks'!$HI$207,47,0),"")</f>
        <v/>
      </c>
      <c r="M16" s="721"/>
      <c r="N16" s="759">
        <f>IFERROR(VLOOKUP(L7,'Statement of Marks'!$B$8:'Statement of Marks'!$HI$207,48,0),"")</f>
        <v>57</v>
      </c>
      <c r="O16" s="732">
        <f>IFERROR(VLOOKUP(L7,'Statement of Marks'!$B$8:'Statement of Marks'!$HI$207,51,0),"")</f>
        <v>129</v>
      </c>
      <c r="P16" s="722" t="str">
        <f>IFERROR(IF(O16="","",IF(VLOOKUP(L7,'Statement of Marks'!$B$8:'Statement of Marks'!$HI$207,171,0)="D","I",VLOOKUP(L7,'Statement of Marks'!$B$8:'Statement of Marks'!$HI$207,171,0))),"")</f>
        <v>I</v>
      </c>
      <c r="Q16" s="1722"/>
      <c r="R16" s="473" t="str">
        <f>IFERROR(IF(AND(AV15="A"),'Marks Entry'!$U$2,IF(AND(AV15="B"),'Marks Entry'!$Y$2,IF(AND(AV15="C"),'Marks Entry'!$AA$2,""))),"")</f>
        <v>BIOLOGY</v>
      </c>
      <c r="S16" s="91">
        <f>IFERROR(VLOOKUP(AB7,'Statement of Marks'!$B$8:'Statement of Marks'!$HI$207,38,0),"")</f>
        <v>9</v>
      </c>
      <c r="T16" s="91">
        <f>IFERROR(VLOOKUP(AB7,'Statement of Marks'!$B$8:'Statement of Marks'!$HI$207,39,0),"")</f>
        <v>10</v>
      </c>
      <c r="U16" s="91">
        <f>IFERROR(VLOOKUP(AB7,'Statement of Marks'!$B$8:'Statement of Marks'!$HI$207,40,0),"")</f>
        <v>8</v>
      </c>
      <c r="V16" s="461">
        <f>IFERROR(VLOOKUP(AB7,'Statement of Marks'!$B$8:'Statement of Marks'!$HI$207,41,0),"")</f>
        <v>27</v>
      </c>
      <c r="W16" s="91">
        <f>IFERROR(VLOOKUP(AB7,'Statement of Marks'!$B$8:'Statement of Marks'!$HI$207,42,0),"")</f>
        <v>34</v>
      </c>
      <c r="X16" s="91">
        <f>IFERROR(VLOOKUP(AB7,'Statement of Marks'!$B$8:'Statement of Marks'!$HI$207,43,0),"")</f>
        <v>8</v>
      </c>
      <c r="Y16" s="787">
        <f>IFERROR(VLOOKUP(AB7,'Statement of Marks'!$B$8:'Statement of Marks'!$HI$207,44,0),"")</f>
        <v>42</v>
      </c>
      <c r="Z16" s="724">
        <f>IFERROR(IF(AND(AB7="",Q16="",V16="",Y16=""),"",SUM(S16,T16,U16,W16,X16)),"")</f>
        <v>69</v>
      </c>
      <c r="AA16" s="91">
        <f>IFERROR(VLOOKUP(AB7,'Statement of Marks'!$B$8:'Statement of Marks'!$HI$207,46,0),"")</f>
        <v>53</v>
      </c>
      <c r="AB16" s="91">
        <f>IFERROR(VLOOKUP(AB7,'Statement of Marks'!$B$8:'Statement of Marks'!$HI$207,47,0),"")</f>
        <v>10</v>
      </c>
      <c r="AC16" s="721"/>
      <c r="AD16" s="759">
        <f>IFERROR(VLOOKUP(AB7,'Statement of Marks'!$B$8:'Statement of Marks'!$HI$207,48,0),"")</f>
        <v>63</v>
      </c>
      <c r="AE16" s="732">
        <f>IFERROR(VLOOKUP(AB7,'Statement of Marks'!$B$8:'Statement of Marks'!$HI$207,51,0),"")</f>
        <v>132</v>
      </c>
      <c r="AF16" s="722" t="str">
        <f>IFERROR(IF(AE16="","",IF(VLOOKUP(AB7,'Statement of Marks'!$B$8:'Statement of Marks'!$HI$207,171,0)="D","I",VLOOKUP(AB7,'Statement of Marks'!$B$8:'Statement of Marks'!$HI$207,171,0))),"")</f>
        <v>I</v>
      </c>
      <c r="AQ16" s="17"/>
      <c r="AR16"/>
      <c r="AS16"/>
      <c r="AT16"/>
      <c r="AU16" s="17" t="str">
        <f>IFERROR(VLOOKUP(L7,'Statement of Marks'!$B$8:'Statement of Marks'!$HI$207,60,0),"")</f>
        <v>A</v>
      </c>
      <c r="AV16" s="17" t="str">
        <f>IFERROR(VLOOKUP(AB7,'Statement of Marks'!$B$8:'Statement of Marks'!$HI$207,60,0),"")</f>
        <v>B</v>
      </c>
      <c r="AX16"/>
      <c r="AY16"/>
      <c r="AZ16"/>
      <c r="BE16" s="17" t="str">
        <f>IFERROR(IF(VLOOKUP(AB7,'Statement of Marks'!$B$7:'Statement of Marks'!$IC$206,206,0)="By Grace Pass","सानुग्रह उतीर्ण एवं कक्षा 12 में क्रमोन्नत",IF(VLOOKUP(AB7,'Statement of Marks'!$B$7:'Statement of Marks'!$IC$206,206,0)="PASS","उतीर्ण एवं कक्षा 12 में क्रमोन्नत",IF(VLOOKUP(AB7,'Statement of Marks'!$B$7:'Statement of Marks'!$IC$206,206,0)="SUPPLEMENTARY","पूरक",IF(VLOOKUP(AB7,'Statement of Marks'!$B$7:'Statement of Marks'!$IC$206,206,0)="Re-Exam","पुनः परीक्षा",IF(VLOOKUP(AB7,'Statement of Marks'!$B$7:'Statement of Marks'!$IC$206,206,0)="FAIL","अनुतीर्ण",""))))),"")</f>
        <v>सानुग्रह उतीर्ण एवं कक्षा 12 में क्रमोन्नत</v>
      </c>
      <c r="BF16" s="17" t="str">
        <f>IFERROR(IF(VLOOKUP(L7,'Statement of Marks'!$B$7:'Statement of Marks'!$IC$206,206,0)="By Grace Pass","सानुग्रह उतीर्ण एवं कक्षा 12 में क्रमोन्नत",IF(VLOOKUP(L7,'Statement of Marks'!$B$7:'Statement of Marks'!$IC$206,206,0)="PASS","उतीर्ण एवं कक्षा 12 में क्रमोन्नत",IF(VLOOKUP(L7,'Statement of Marks'!$B$7:'Statement of Marks'!$IC$206,206,0)="SUPPLEMENTARY","पूरक",IF(VLOOKUP(L7,'Statement of Marks'!$B$7:'Statement of Marks'!$IC$206,206,0)="Re-Exam","पुनः परीक्षा",IF(VLOOKUP(L7,'Statement of Marks'!$B$7:'Statement of Marks'!$IC$206,206,0)="FAIL","अनुतीर्ण",""))))),"")</f>
        <v>उतीर्ण एवं कक्षा 12 में क्रमोन्नत</v>
      </c>
    </row>
    <row r="17" spans="1:58" s="467" customFormat="1" ht="22.5" customHeight="1">
      <c r="A17" s="465"/>
      <c r="B17" s="473" t="str">
        <f>IFERROR(IF(AND(AU16="A"),'Marks Entry'!$AC$2,IF(AND(AU16="B"),'Marks Entry'!$AG$2,IF(AND(AU16="C"),'Marks Entry'!$AI$2,""))),"")</f>
        <v>HISTORY</v>
      </c>
      <c r="C17" s="91">
        <f>IFERROR(VLOOKUP(L7,'Statement of Marks'!$B$8:'Statement of Marks'!$HI$207,61,0),"")</f>
        <v>5</v>
      </c>
      <c r="D17" s="91">
        <f>IFERROR(VLOOKUP(L7,'Statement of Marks'!$B$8:'Statement of Marks'!$HI$207,62,0),"")</f>
        <v>9</v>
      </c>
      <c r="E17" s="91">
        <f>IFERROR(VLOOKUP(L7,'Statement of Marks'!$B$8:'Statement of Marks'!$HI$207,63,0),"")</f>
        <v>8</v>
      </c>
      <c r="F17" s="461">
        <f>IFERROR(VLOOKUP(L7,'Statement of Marks'!$B$8:'Statement of Marks'!$HI$207,64,0),"")</f>
        <v>22</v>
      </c>
      <c r="G17" s="91">
        <f>IFERROR(VLOOKUP(L7,'Statement of Marks'!$B$8:'Statement of Marks'!$HI$207,65,0),"")</f>
        <v>55</v>
      </c>
      <c r="H17" s="91" t="str">
        <f>IFERROR(VLOOKUP(L7,'Statement of Marks'!$B$8:'Statement of Marks'!$HI$207,66,0),"")</f>
        <v/>
      </c>
      <c r="I17" s="787">
        <f>IFERROR(VLOOKUP(L7,'Statement of Marks'!$B$8:'Statement of Marks'!$HI$207,67,0),"")</f>
        <v>55</v>
      </c>
      <c r="J17" s="724">
        <f>IFERROR(IF(AND(L7="",A17="",F17="",I17=""),"",SUM(C17,D17,E17,G17,H17)),"")</f>
        <v>77</v>
      </c>
      <c r="K17" s="91">
        <f>IFERROR(VLOOKUP(L7,'Statement of Marks'!$B$8:'Statement of Marks'!$HI$207,69,0),"")</f>
        <v>81</v>
      </c>
      <c r="L17" s="91" t="str">
        <f>IFERROR(VLOOKUP(L7,'Statement of Marks'!$B$8:'Statement of Marks'!$HI$207,70,0),"")</f>
        <v/>
      </c>
      <c r="M17" s="721"/>
      <c r="N17" s="759">
        <f>IFERROR(VLOOKUP(L7,'Statement of Marks'!$B$8:'Statement of Marks'!$HI$207,71,0),"")</f>
        <v>81</v>
      </c>
      <c r="O17" s="732">
        <f>IFERROR(VLOOKUP(L7,'Statement of Marks'!$B$8:'Statement of Marks'!$HI$207,74,0),"")</f>
        <v>158</v>
      </c>
      <c r="P17" s="722" t="str">
        <f>IFERROR(IF(O17="","",IF(VLOOKUP(L7,'Statement of Marks'!$B$8:'Statement of Marks'!$HI$207,178,0)="D","I",VLOOKUP(L7,'Statement of Marks'!$B$8:'Statement of Marks'!$HI$207,178,0))),"")</f>
        <v>I</v>
      </c>
      <c r="Q17" s="1722"/>
      <c r="R17" s="473" t="str">
        <f>IFERROR(IF(AND(AV16="A"),'Marks Entry'!$AC$2,IF(AND(AV16="B"),'Marks Entry'!$AG$2,IF(AND(AV16="C"),'Marks Entry'!$AI$2,""))),"")</f>
        <v>ACCOUNTANCY</v>
      </c>
      <c r="S17" s="91">
        <f>IFERROR(VLOOKUP(AB7,'Statement of Marks'!$B$8:'Statement of Marks'!$HI$207,61,0),"")</f>
        <v>8</v>
      </c>
      <c r="T17" s="91">
        <f>IFERROR(VLOOKUP(AB7,'Statement of Marks'!$B$8:'Statement of Marks'!$HI$207,62,0),"")</f>
        <v>10</v>
      </c>
      <c r="U17" s="91">
        <f>IFERROR(VLOOKUP(AB7,'Statement of Marks'!$B$8:'Statement of Marks'!$HI$207,63,0),"")</f>
        <v>9</v>
      </c>
      <c r="V17" s="461">
        <f>IFERROR(VLOOKUP(AB7,'Statement of Marks'!$B$8:'Statement of Marks'!$HI$207,64,0),"")</f>
        <v>27</v>
      </c>
      <c r="W17" s="91">
        <f>IFERROR(VLOOKUP(AB7,'Statement of Marks'!$B$8:'Statement of Marks'!$HI$207,65,0),"")</f>
        <v>45</v>
      </c>
      <c r="X17" s="91">
        <f>IFERROR(VLOOKUP(AB7,'Statement of Marks'!$B$8:'Statement of Marks'!$HI$207,66,0),"")</f>
        <v>16</v>
      </c>
      <c r="Y17" s="787">
        <f>IFERROR(VLOOKUP(AB7,'Statement of Marks'!$B$8:'Statement of Marks'!$HI$207,67,0),"")</f>
        <v>61</v>
      </c>
      <c r="Z17" s="724">
        <f>IFERROR(IF(AND(AB7="",Q17="",V17="",Y17=""),"",SUM(S17,T17,U17,W17,X17)),"")</f>
        <v>88</v>
      </c>
      <c r="AA17" s="91">
        <f>IFERROR(VLOOKUP(AB7,'Statement of Marks'!$B$8:'Statement of Marks'!$HI$207,69,0),"")</f>
        <v>42</v>
      </c>
      <c r="AB17" s="91">
        <f>IFERROR(VLOOKUP(AB7,'Statement of Marks'!$B$8:'Statement of Marks'!$HI$207,70,0),"")</f>
        <v>25</v>
      </c>
      <c r="AC17" s="721"/>
      <c r="AD17" s="759">
        <f>IFERROR(VLOOKUP(AB7,'Statement of Marks'!$B$8:'Statement of Marks'!$HI$207,71,0),"")</f>
        <v>67</v>
      </c>
      <c r="AE17" s="732">
        <f>IFERROR(VLOOKUP(AB7,'Statement of Marks'!$B$8:'Statement of Marks'!$HI$207,74,0),"")</f>
        <v>155</v>
      </c>
      <c r="AF17" s="722" t="str">
        <f>IFERROR(IF(AE17="","",IF(VLOOKUP(AB7,'Statement of Marks'!$B$8:'Statement of Marks'!$HI$207,178,0)="D","I",VLOOKUP(AB7,'Statement of Marks'!$B$8:'Statement of Marks'!$HI$207,178,0))),"")</f>
        <v>I</v>
      </c>
      <c r="AQ17" s="17"/>
      <c r="AR17"/>
      <c r="AS17"/>
      <c r="AT17"/>
      <c r="AU17" s="17" t="str">
        <f>IFERROR(VLOOKUP(L7,'Statement of Marks'!$B$8:'Statement of Marks'!$HI$207,83,0),"")</f>
        <v>A</v>
      </c>
      <c r="AV17" s="17" t="str">
        <f>IFERROR(VLOOKUP(AB7,'Statement of Marks'!$B$8:'Statement of Marks'!$HI$207,83,0),"")</f>
        <v>B</v>
      </c>
      <c r="AX17"/>
      <c r="AY17"/>
      <c r="AZ17"/>
      <c r="BE17" s="17" t="str">
        <f>IF('Master Sheet'!$D$11="Hindi",BE16,BE15)</f>
        <v>सानुग्रह उतीर्ण एवं कक्षा 12 में क्रमोन्नत</v>
      </c>
      <c r="BF17" s="17" t="str">
        <f>IF('Master Sheet'!$D$11="Hindi",BF16,BF15)</f>
        <v>उतीर्ण एवं कक्षा 12 में क्रमोन्नत</v>
      </c>
    </row>
    <row r="18" spans="1:58" s="467" customFormat="1" ht="22.5" customHeight="1">
      <c r="A18" s="465"/>
      <c r="B18" s="473" t="str">
        <f>IFERROR(IF(AND(AU17="A"),'Marks Entry'!$AK$2,IF(AND(AU17="B"),'Marks Entry'!$AO$2,IF(AND(AU17="C"),'Marks Entry'!$AQ$2,""))),"")</f>
        <v>GEOGRAPHY</v>
      </c>
      <c r="C18" s="91" t="str">
        <f>IFERROR(VLOOKUP(L7,'Statement of Marks'!$B$8:'Statement of Marks'!$HI$207,84,0),"")</f>
        <v>ml</v>
      </c>
      <c r="D18" s="91">
        <f>IFERROR(VLOOKUP(L7,'Statement of Marks'!$B$8:'Statement of Marks'!$HI$207,85,0),"")</f>
        <v>6</v>
      </c>
      <c r="E18" s="91">
        <f>IFERROR(VLOOKUP(L7,'Statement of Marks'!$B$8:'Statement of Marks'!$HI$207,86,0),"")</f>
        <v>8</v>
      </c>
      <c r="F18" s="461">
        <f>IFERROR(VLOOKUP(L7,'Statement of Marks'!$B$8:'Statement of Marks'!$HI$207,87,0),"")</f>
        <v>14</v>
      </c>
      <c r="G18" s="91">
        <f>IFERROR(VLOOKUP(L7,'Statement of Marks'!$B$8:'Statement of Marks'!$HI$207,88,0),"")</f>
        <v>40</v>
      </c>
      <c r="H18" s="91">
        <f>IFERROR(VLOOKUP(L7,'Statement of Marks'!$B$8:'Statement of Marks'!$HI$207,89,0),"")</f>
        <v>10</v>
      </c>
      <c r="I18" s="787">
        <f>IFERROR(VLOOKUP(L7,'Statement of Marks'!$B$8:'Statement of Marks'!$HI$207,90,0),"")</f>
        <v>50</v>
      </c>
      <c r="J18" s="724">
        <f>IFERROR(IF(AND(L7="",A18="",F18="",I18=""),"",SUM(C18,D18,E18,G18,H18)),"")</f>
        <v>64</v>
      </c>
      <c r="K18" s="91">
        <f>IFERROR(VLOOKUP(L7,'Statement of Marks'!$B$8:'Statement of Marks'!$HI$207,92,0),"")</f>
        <v>56</v>
      </c>
      <c r="L18" s="91">
        <f>IFERROR(VLOOKUP(L7,'Statement of Marks'!$B$8:'Statement of Marks'!$HI$207,93,0),"")</f>
        <v>11</v>
      </c>
      <c r="M18" s="721"/>
      <c r="N18" s="759">
        <f>IFERROR(VLOOKUP(L7,'Statement of Marks'!$B$8:'Statement of Marks'!$HI$207,94,0),"")</f>
        <v>67</v>
      </c>
      <c r="O18" s="732">
        <f>IFERROR(VLOOKUP(L7,'Statement of Marks'!$B$8:'Statement of Marks'!$HI$207,97,0),"")</f>
        <v>131</v>
      </c>
      <c r="P18" s="722" t="str">
        <f>IFERROR(IF(O18="","",IF(VLOOKUP(L7,'Statement of Marks'!$B$8:'Statement of Marks'!$HI$207,185,0)="D","I",VLOOKUP(L7,'Statement of Marks'!$B$8:'Statement of Marks'!$HI$207,185,0))),"")</f>
        <v>I</v>
      </c>
      <c r="Q18" s="1722"/>
      <c r="R18" s="473" t="str">
        <f>IFERROR(IF(AND(AV17="A"),'Marks Entry'!$AK$2,IF(AND(AV17="B"),'Marks Entry'!$AO$2,IF(AND(AV17="C"),'Marks Entry'!$AQ$2,""))),"")</f>
        <v>HOME SCIENCE</v>
      </c>
      <c r="S18" s="91">
        <f>IFERROR(VLOOKUP(AB7,'Statement of Marks'!$B$8:'Statement of Marks'!$HI$207,84,0),"")</f>
        <v>4</v>
      </c>
      <c r="T18" s="91">
        <f>IFERROR(VLOOKUP(AB7,'Statement of Marks'!$B$8:'Statement of Marks'!$HI$207,85,0),"")</f>
        <v>4</v>
      </c>
      <c r="U18" s="91">
        <f>IFERROR(VLOOKUP(AB7,'Statement of Marks'!$B$8:'Statement of Marks'!$HI$207,86,0),"")</f>
        <v>9</v>
      </c>
      <c r="V18" s="461">
        <f>IFERROR(VLOOKUP(AB7,'Statement of Marks'!$B$8:'Statement of Marks'!$HI$207,87,0),"")</f>
        <v>17</v>
      </c>
      <c r="W18" s="91">
        <f>IFERROR(VLOOKUP(AB7,'Statement of Marks'!$B$8:'Statement of Marks'!$HI$207,88,0),"")</f>
        <v>10</v>
      </c>
      <c r="X18" s="91" t="str">
        <f>IFERROR(VLOOKUP(AB7,'Statement of Marks'!$B$8:'Statement of Marks'!$HI$207,89,0),"")</f>
        <v/>
      </c>
      <c r="Y18" s="787">
        <f>IFERROR(VLOOKUP(AB7,'Statement of Marks'!$B$8:'Statement of Marks'!$HI$207,90,0),"")</f>
        <v>10</v>
      </c>
      <c r="Z18" s="724">
        <f>IFERROR(IF(AND(AB7="",Q18="",V18="",Y18=""),"",SUM(S18,T18,U18,W18,X18)),"")</f>
        <v>27</v>
      </c>
      <c r="AA18" s="91">
        <f>IFERROR(VLOOKUP(AB7,'Statement of Marks'!$B$8:'Statement of Marks'!$HI$207,92,0),"")</f>
        <v>35</v>
      </c>
      <c r="AB18" s="91" t="str">
        <f>IFERROR(VLOOKUP(AB7,'Statement of Marks'!$B$8:'Statement of Marks'!$HI$207,93,0),"")</f>
        <v/>
      </c>
      <c r="AC18" s="721"/>
      <c r="AD18" s="759">
        <f>IFERROR(VLOOKUP(AB7,'Statement of Marks'!$B$8:'Statement of Marks'!$HI$207,94,0),"")</f>
        <v>35</v>
      </c>
      <c r="AE18" s="732">
        <f>IFERROR(VLOOKUP(AB7,'Statement of Marks'!$B$8:'Statement of Marks'!$HI$207,97,0),"")</f>
        <v>62</v>
      </c>
      <c r="AF18" s="722" t="str">
        <f>IFERROR(IF(AE18="","",IF(VLOOKUP(AB7,'Statement of Marks'!$B$8:'Statement of Marks'!$HI$207,185,0)="D","I",VLOOKUP(AB7,'Statement of Marks'!$B$8:'Statement of Marks'!$HI$207,185,0))),"")</f>
        <v>G</v>
      </c>
      <c r="AQ18" s="17"/>
      <c r="AR18"/>
      <c r="AS18"/>
      <c r="AT18"/>
      <c r="AU18" s="467" t="s">
        <v>287</v>
      </c>
      <c r="AV18" s="467" t="s">
        <v>287</v>
      </c>
      <c r="AX18"/>
      <c r="AY18"/>
      <c r="AZ18"/>
      <c r="BE18" s="17"/>
      <c r="BF18" s="17"/>
    </row>
    <row r="19" spans="1:58" s="467" customFormat="1" ht="19.5" customHeight="1">
      <c r="A19" s="465"/>
      <c r="B19" s="1716" t="str">
        <f>IF('Master Sheet'!$D$11="Hindi","व्यावसायिक शिक्षा / अतिरिक्त विषय","Vocational Education / Additional Subject")</f>
        <v>व्यावसायिक शिक्षा / अतिरिक्त विषय</v>
      </c>
      <c r="C19" s="1716"/>
      <c r="D19" s="1716"/>
      <c r="E19" s="1716"/>
      <c r="F19" s="1716"/>
      <c r="G19" s="1716"/>
      <c r="H19" s="1716"/>
      <c r="I19" s="1716"/>
      <c r="J19" s="1716"/>
      <c r="K19" s="1716"/>
      <c r="L19" s="1716"/>
      <c r="M19" s="1716"/>
      <c r="N19" s="1716"/>
      <c r="O19" s="1716"/>
      <c r="P19" s="1716"/>
      <c r="Q19" s="1722"/>
      <c r="R19" s="1716" t="str">
        <f>IF('Master Sheet'!$D$11="Hindi","व्यावसायिक शिक्षा / अतिरिक्त विषय","Vocational Education / Additional Subject")</f>
        <v>व्यावसायिक शिक्षा / अतिरिक्त विषय</v>
      </c>
      <c r="S19" s="1716"/>
      <c r="T19" s="1716"/>
      <c r="U19" s="1716"/>
      <c r="V19" s="1716"/>
      <c r="W19" s="1716"/>
      <c r="X19" s="1716"/>
      <c r="Y19" s="1716"/>
      <c r="Z19" s="1716"/>
      <c r="AA19" s="1716"/>
      <c r="AB19" s="1716"/>
      <c r="AC19" s="1716"/>
      <c r="AD19" s="1716"/>
      <c r="AE19" s="1716"/>
      <c r="AF19" s="1716"/>
      <c r="AQ19" s="70"/>
      <c r="AR19"/>
      <c r="AS19"/>
      <c r="AT19"/>
      <c r="AX19"/>
      <c r="AY19"/>
      <c r="AZ19"/>
      <c r="BE19" s="70"/>
      <c r="BF19" s="70"/>
    </row>
    <row r="20" spans="1:58" s="467" customFormat="1" ht="22.5" customHeight="1">
      <c r="A20" s="465"/>
      <c r="B20" s="473" t="str">
        <f>IFERROR(IF(AND(AU20="A"),'Marks Entry'!$AS$2,IF(AND(AU20="B"),'Marks Entry'!$AW$2,IF(AND(AU20="C"),'Marks Entry'!$AY$2,""))),"")</f>
        <v/>
      </c>
      <c r="C20" s="742" t="str">
        <f>IFERROR(VLOOKUP(L7,'Statement of Marks'!$B$8:'Statement of Marks'!$HI$207,108,0),"")</f>
        <v/>
      </c>
      <c r="D20" s="742" t="str">
        <f>IFERROR(VLOOKUP(L7,'Statement of Marks'!$B$8:'Statement of Marks'!$HI$207,109,0),"")</f>
        <v/>
      </c>
      <c r="E20" s="742" t="str">
        <f>IFERROR(VLOOKUP(L7,'Statement of Marks'!$B$8:'Statement of Marks'!$HI$207,110,0),"")</f>
        <v/>
      </c>
      <c r="F20" s="742" t="str">
        <f>IFERROR(VLOOKUP(L7,'Statement of Marks'!$B$8:'Statement of Marks'!$HI$207,111,0),"")</f>
        <v/>
      </c>
      <c r="G20" s="744" t="str">
        <f>IFERROR(VLOOKUP(L7,'Statement of Marks'!$B$8:'Statement of Marks'!$HI$207,112,0),"")</f>
        <v/>
      </c>
      <c r="H20" s="744" t="str">
        <f>IFERROR(VLOOKUP(L7,'Statement of Marks'!$B$8:'Statement of Marks'!$HI$207,113,0),"")</f>
        <v/>
      </c>
      <c r="I20" s="748" t="str">
        <f>IFERROR(VLOOKUP(L7,'Statement of Marks'!$B$8:'Statement of Marks'!$HI$207,114,0),"")</f>
        <v/>
      </c>
      <c r="J20" s="743" t="str">
        <f>IFERROR(IF(OR(L7="",A20="",F20="",I20=""),"",SUM(C20,D20,E20,G20,H20)),"")</f>
        <v/>
      </c>
      <c r="K20" s="742" t="str">
        <f>IFERROR(VLOOKUP(L7,'Statement of Marks'!$B$8:'Statement of Marks'!$HI$207,116,0),"")</f>
        <v/>
      </c>
      <c r="L20" s="742" t="str">
        <f>IFERROR(VLOOKUP(L7,'Statement of Marks'!$B$8:'Statement of Marks'!$HI$207,118,0),"")</f>
        <v/>
      </c>
      <c r="M20" s="742" t="str">
        <f>IFERROR(VLOOKUP(L7,'Statement of Marks'!$B$8:'Statement of Marks'!$HI$207,117,0),"")</f>
        <v/>
      </c>
      <c r="N20" s="745" t="str">
        <f>IFERROR(VLOOKUP(L7,'Statement of Marks'!$B$8:'Statement of Marks'!$HI$207,119,0),"")</f>
        <v/>
      </c>
      <c r="O20" s="746" t="str">
        <f>IFERROR(VLOOKUP(L7,'Statement of Marks'!$B$8:'Statement of Marks'!$HI$207,123,0),"")</f>
        <v/>
      </c>
      <c r="P20" s="747" t="str">
        <f>IFERROR(IF(O20="","",IF(VLOOKUP(L7,'Statement of Marks'!$B$8:'Statement of Marks'!$HI$207,192,0)="D","I",VLOOKUP(L7,'Statement of Marks'!$B$8:'Statement of Marks'!$HI$207,192,0))),"")</f>
        <v/>
      </c>
      <c r="Q20" s="1722"/>
      <c r="R20" s="473" t="str">
        <f>IFERROR(IF(AND(AV20="A"),'Marks Entry'!$AS$2,IF(AND(AV20="B"),'Marks Entry'!$AW$2,IF(AND(AV20="C"),'Marks Entry'!$AY$2,""))),"")</f>
        <v/>
      </c>
      <c r="S20" s="742" t="str">
        <f>IFERROR(VLOOKUP(AB7,'Statement of Marks'!$B$8:'Statement of Marks'!$HI$207,108,0),"")</f>
        <v/>
      </c>
      <c r="T20" s="742" t="str">
        <f>IFERROR(VLOOKUP(AB7,'Statement of Marks'!$B$8:'Statement of Marks'!$HI$207,109,0),"")</f>
        <v/>
      </c>
      <c r="U20" s="742" t="str">
        <f>IFERROR(VLOOKUP(AB7,'Statement of Marks'!$B$8:'Statement of Marks'!$HI$207,110,0),"")</f>
        <v/>
      </c>
      <c r="V20" s="742" t="str">
        <f>IFERROR(VLOOKUP(AB7,'Statement of Marks'!$B$8:'Statement of Marks'!$HI$207,111,0),"")</f>
        <v/>
      </c>
      <c r="W20" s="744" t="str">
        <f>IFERROR(VLOOKUP(AB7,'Statement of Marks'!$B$8:'Statement of Marks'!$HI$207,112,0),"")</f>
        <v/>
      </c>
      <c r="X20" s="744" t="str">
        <f>IFERROR(VLOOKUP(AB7,'Statement of Marks'!$B$8:'Statement of Marks'!$HI$207,113,0),"")</f>
        <v/>
      </c>
      <c r="Y20" s="748" t="str">
        <f>IFERROR(VLOOKUP(AB7,'Statement of Marks'!$B$8:'Statement of Marks'!$HI$207,114,0),"")</f>
        <v/>
      </c>
      <c r="Z20" s="743" t="str">
        <f>IFERROR(IF(OR(AB7="",Q20="",V20="",Y20=""),"",SUM(S20,T20,U20,W20,X20)),"")</f>
        <v/>
      </c>
      <c r="AA20" s="742" t="str">
        <f>IFERROR(VLOOKUP(AB7,'Statement of Marks'!$B$8:'Statement of Marks'!$HI$207,116,0),"")</f>
        <v/>
      </c>
      <c r="AB20" s="742" t="str">
        <f>IFERROR(VLOOKUP(AB7,'Statement of Marks'!$B$8:'Statement of Marks'!$HI$207,118,0),"")</f>
        <v/>
      </c>
      <c r="AC20" s="742" t="str">
        <f>IFERROR(VLOOKUP(AB7,'Statement of Marks'!$B$8:'Statement of Marks'!$HI$207,117,0),"")</f>
        <v/>
      </c>
      <c r="AD20" s="745" t="str">
        <f>IFERROR(VLOOKUP(AB7,'Statement of Marks'!$B$8:'Statement of Marks'!$HI$207,119,0),"")</f>
        <v/>
      </c>
      <c r="AE20" s="746" t="str">
        <f>IFERROR(VLOOKUP(AB7,'Statement of Marks'!$B$8:'Statement of Marks'!$HI$207,123,0),"")</f>
        <v/>
      </c>
      <c r="AF20" s="747" t="str">
        <f>IFERROR(IF(AE20="","",IF(VLOOKUP(AB7,'Statement of Marks'!$B$8:'Statement of Marks'!$HI$207,192,0)="D","I",VLOOKUP(AB7,'Statement of Marks'!$B$8:'Statement of Marks'!$HI$207,192,0))),"")</f>
        <v/>
      </c>
      <c r="AQ20" s="70"/>
      <c r="AR20"/>
      <c r="AS20"/>
      <c r="AT20"/>
      <c r="AU20" s="467" t="str">
        <f>IFERROR(VLOOKUP(L7,'Statement of Marks'!$B$8:'Statement of Marks'!$HI$207,107,0),"")</f>
        <v/>
      </c>
      <c r="AV20" s="467" t="str">
        <f>IFERROR(VLOOKUP(AB7,'Statement of Marks'!$B$8:'Statement of Marks'!$HI$207,107,0),"")</f>
        <v/>
      </c>
      <c r="AX20"/>
      <c r="AY20"/>
      <c r="AZ20"/>
      <c r="BE20" s="70"/>
      <c r="BF20" s="70"/>
    </row>
    <row r="21" spans="1:58" s="467" customFormat="1" ht="25.5" customHeight="1">
      <c r="A21" s="465"/>
      <c r="B21" s="1717"/>
      <c r="C21" s="1717"/>
      <c r="D21" s="1717"/>
      <c r="E21" s="1717"/>
      <c r="F21" s="1717"/>
      <c r="G21" s="1717"/>
      <c r="H21" s="1717"/>
      <c r="I21" s="1717"/>
      <c r="J21" s="1717"/>
      <c r="K21" s="1717"/>
      <c r="L21" s="1714" t="str">
        <f>IF('Master Sheet'!$D$11="Hindi","महायोग :","Grand Total :")</f>
        <v>महायोग :</v>
      </c>
      <c r="M21" s="1715"/>
      <c r="N21" s="1715"/>
      <c r="O21" s="749">
        <f>IF(AND(O14="",O15="",O16="",O17="",O18=""),"",IF(AND($K$18="",$L$18="",$M$18=""),SUM(O14,O15,O16,O17,O20),IF(AND('Master Sheet'!$D$19="YES",'Marks Entry'!$BA$1=1),SUM(O14,O15,O16,O17,O20),SUM(O14:O18))))</f>
        <v>702</v>
      </c>
      <c r="P21" s="750">
        <f>IFERROR(VLOOKUP(L7,'Statement of Marks'!$B$8:'Statement of Marks'!$HI$207,210,0),"")</f>
        <v>70.909090909090907</v>
      </c>
      <c r="Q21" s="1722"/>
      <c r="R21" s="1717"/>
      <c r="S21" s="1717"/>
      <c r="T21" s="1717"/>
      <c r="U21" s="1717"/>
      <c r="V21" s="1717"/>
      <c r="W21" s="1717"/>
      <c r="X21" s="1717"/>
      <c r="Y21" s="1717"/>
      <c r="Z21" s="1717"/>
      <c r="AA21" s="1717"/>
      <c r="AB21" s="1714" t="str">
        <f>IF('Master Sheet'!$D$11="Hindi","महायोग :","Grand Total :")</f>
        <v>महायोग :</v>
      </c>
      <c r="AC21" s="1715"/>
      <c r="AD21" s="1715"/>
      <c r="AE21" s="749">
        <f>IF(AND(AE14="",AE15="",AE16="",AE17="",AE18=""),"",IF(AND($K$18="",$L$18="",$M$18=""),SUM(AE14,AE15,AE16,AE17,AE20),IF(AND('Master Sheet'!$D$19="YES",'Marks Entry'!$BA$1=1),SUM(AE14,AE15,AE16,AE17,AE20),SUM(AE14:AE18))))</f>
        <v>597</v>
      </c>
      <c r="AF21" s="750">
        <f>IFERROR(VLOOKUP(AB7,'Statement of Marks'!$B$8:'Statement of Marks'!$HI$207,210,0),"")</f>
        <v>59.699999999999996</v>
      </c>
      <c r="AQ21" s="17"/>
      <c r="AR21"/>
      <c r="AS21"/>
      <c r="AT21"/>
      <c r="AX21"/>
      <c r="AY21"/>
      <c r="AZ21"/>
      <c r="BE21" s="17"/>
      <c r="BF21" s="17"/>
    </row>
    <row r="22" spans="1:58" s="467" customFormat="1" ht="25.5" customHeight="1">
      <c r="A22" s="465"/>
      <c r="B22" s="474" t="str">
        <f>IF('Master Sheet'!$D$11="Hindi","विषय","Subject")</f>
        <v>विषय</v>
      </c>
      <c r="C22" s="1709" t="str">
        <f>IF('Master Sheet'!$D$11="Hindi","पूर्णांक","Max. Marks")</f>
        <v>पूर्णांक</v>
      </c>
      <c r="D22" s="1709"/>
      <c r="E22" s="1710" t="str">
        <f>IF('Master Sheet'!$D$11="Hindi","प्राप्तांक","Marks Obtained")</f>
        <v>प्राप्तांक</v>
      </c>
      <c r="F22" s="1710"/>
      <c r="G22" s="1725" t="str">
        <f>IF('Master Sheet'!$D$11="Hindi","विषय ग्रेड","Sub. Grade")</f>
        <v>विषय ग्रेड</v>
      </c>
      <c r="H22" s="1725"/>
      <c r="I22" s="1707" t="str">
        <f>IF('Master Sheet'!$D$11="Hindi","विषय","Subject")</f>
        <v>विषय</v>
      </c>
      <c r="J22" s="1708"/>
      <c r="K22" s="1708"/>
      <c r="L22" s="1709" t="str">
        <f>IF('Master Sheet'!$D$11="Hindi","पूर्णांक","Max. Marks")</f>
        <v>पूर्णांक</v>
      </c>
      <c r="M22" s="1709"/>
      <c r="N22" s="1710" t="str">
        <f>IF('Master Sheet'!$D$11="Hindi","प्राप्तांक","Marks Obtained")</f>
        <v>प्राप्तांक</v>
      </c>
      <c r="O22" s="1710"/>
      <c r="P22" s="751" t="str">
        <f>IF('Master Sheet'!$D$11="Hindi","विषय ग्रेड","Sub. Grade")</f>
        <v>विषय ग्रेड</v>
      </c>
      <c r="Q22" s="1722"/>
      <c r="R22" s="474" t="str">
        <f>IF('Master Sheet'!$D$11="Hindi","विषय","Subject")</f>
        <v>विषय</v>
      </c>
      <c r="S22" s="1709" t="str">
        <f>IF('Master Sheet'!$D$11="Hindi","पूर्णांक","Max. Marks")</f>
        <v>पूर्णांक</v>
      </c>
      <c r="T22" s="1709"/>
      <c r="U22" s="1710" t="str">
        <f>IF('Master Sheet'!$D$11="Hindi","प्राप्तांक","Marks Obtained")</f>
        <v>प्राप्तांक</v>
      </c>
      <c r="V22" s="1710"/>
      <c r="W22" s="1725" t="str">
        <f>IF('Master Sheet'!$D$11="Hindi","विषय ग्रेड","Sub. Grade")</f>
        <v>विषय ग्रेड</v>
      </c>
      <c r="X22" s="1725"/>
      <c r="Y22" s="1707" t="str">
        <f>IF('Master Sheet'!$D$11="Hindi","विषय","Subject")</f>
        <v>विषय</v>
      </c>
      <c r="Z22" s="1708"/>
      <c r="AA22" s="1708"/>
      <c r="AB22" s="1709" t="str">
        <f>IF('Master Sheet'!$D$11="Hindi","पूर्णांक","Max. Marks")</f>
        <v>पूर्णांक</v>
      </c>
      <c r="AC22" s="1709"/>
      <c r="AD22" s="1710" t="str">
        <f>IF('Master Sheet'!$D$11="Hindi","प्राप्तांक","Marks Obtained")</f>
        <v>प्राप्तांक</v>
      </c>
      <c r="AE22" s="1710"/>
      <c r="AF22" s="751" t="str">
        <f>IF('Master Sheet'!$D$11="Hindi","विषय ग्रेड","Sub. Grade")</f>
        <v>विषय ग्रेड</v>
      </c>
      <c r="AQ22" s="17"/>
      <c r="AR22"/>
      <c r="AS22"/>
      <c r="AT22"/>
      <c r="AX22"/>
      <c r="AY22"/>
      <c r="AZ22"/>
      <c r="BE22" s="17"/>
      <c r="BF22" s="17"/>
    </row>
    <row r="23" spans="1:58" s="467" customFormat="1" ht="30" customHeight="1">
      <c r="A23" s="465"/>
      <c r="B23" s="754" t="str">
        <f>'Statement of Marks'!$EC$4</f>
        <v>जीवन कौशल</v>
      </c>
      <c r="C23" s="1698">
        <f>IF(AND(L7=""),"",IF('Statement of Marks'!$EF$6="","",'Statement of Marks'!$EF$6))</f>
        <v>100</v>
      </c>
      <c r="D23" s="1698"/>
      <c r="E23" s="1702">
        <f>IFERROR(VLOOKUP(L7,'Statement of Marks'!$B$8:'Statement of Marks'!$HI$207,135,0),"")</f>
        <v>83</v>
      </c>
      <c r="F23" s="1702"/>
      <c r="G23" s="1703" t="str">
        <f>IFERROR(VLOOKUP(L7,'Statement of Marks'!$B$8:'Statement of Marks'!$HI$207,140,0),"")</f>
        <v>A</v>
      </c>
      <c r="H23" s="1703"/>
      <c r="I23" s="1699" t="str">
        <f>'Statement of Marks'!$EY$3</f>
        <v xml:space="preserve">आजादी के बाद का स्वर्णिम भारत </v>
      </c>
      <c r="J23" s="1700"/>
      <c r="K23" s="1701"/>
      <c r="L23" s="1698">
        <f>IF(AND(L7=""),"",IF('Statement of Marks'!$FE$6="","",'Statement of Marks'!$FE$6))</f>
        <v>200</v>
      </c>
      <c r="M23" s="1698"/>
      <c r="N23" s="1711">
        <f>IFERROR(VLOOKUP(L7,'Statement of Marks'!$B$8:'Statement of Marks'!$HI$207,160,0),"")</f>
        <v>170</v>
      </c>
      <c r="O23" s="1711"/>
      <c r="P23" s="752" t="str">
        <f>IFERROR(VLOOKUP(L7,'Statement of Marks'!$B$8:'Statement of Marks'!$HI$207,161,0),"")</f>
        <v>A</v>
      </c>
      <c r="Q23" s="1722"/>
      <c r="R23" s="754" t="str">
        <f>'Statement of Marks'!$EC$4</f>
        <v>जीवन कौशल</v>
      </c>
      <c r="S23" s="1698">
        <f>IF(AND(AB7=""),"",IF('Statement of Marks'!$EF$6="","",'Statement of Marks'!$EF$6))</f>
        <v>100</v>
      </c>
      <c r="T23" s="1698"/>
      <c r="U23" s="1702">
        <f>IFERROR(VLOOKUP(AB7,'Statement of Marks'!$B$8:'Statement of Marks'!$HI$207,135,0),"")</f>
        <v>87</v>
      </c>
      <c r="V23" s="1702"/>
      <c r="W23" s="1703" t="str">
        <f>IFERROR(VLOOKUP(AB7,'Statement of Marks'!$B$8:'Statement of Marks'!$HI$207,140,0),"")</f>
        <v>A</v>
      </c>
      <c r="X23" s="1703"/>
      <c r="Y23" s="1699" t="str">
        <f>'Statement of Marks'!$EY$3</f>
        <v xml:space="preserve">आजादी के बाद का स्वर्णिम भारत </v>
      </c>
      <c r="Z23" s="1700"/>
      <c r="AA23" s="1701"/>
      <c r="AB23" s="1698">
        <f>IF(AND(AB7=""),"",IF('Statement of Marks'!$FE$6="","",'Statement of Marks'!$FE$6))</f>
        <v>200</v>
      </c>
      <c r="AC23" s="1698"/>
      <c r="AD23" s="1711">
        <f>IFERROR(VLOOKUP(AB7,'Statement of Marks'!$B$8:'Statement of Marks'!$HI$207,160,0),"")</f>
        <v>154</v>
      </c>
      <c r="AE23" s="1711"/>
      <c r="AF23" s="752" t="str">
        <f>IFERROR(VLOOKUP(AB7,'Statement of Marks'!$B$8:'Statement of Marks'!$HI$207,161,0),"")</f>
        <v>B</v>
      </c>
      <c r="AQ23" s="17"/>
      <c r="AR23"/>
      <c r="AS23"/>
      <c r="AT23"/>
      <c r="AX23"/>
      <c r="AY23"/>
      <c r="AZ23"/>
      <c r="BE23" s="17"/>
      <c r="BF23" s="17"/>
    </row>
    <row r="24" spans="1:58" s="467" customFormat="1" ht="29.25" customHeight="1">
      <c r="A24" s="465"/>
      <c r="B24" s="753" t="str">
        <f>IF('Master Sheet'!$D$11="Hindi","परीक्षा परिणाम घोषित दिनांक :-","Date of Result declaration :-")</f>
        <v>परीक्षा परिणाम घोषित दिनांक :-</v>
      </c>
      <c r="C24" s="1610">
        <f>IF(AND(L7=""),"",IF('Master Sheet'!$D$10="","",'Master Sheet'!$D$10))</f>
        <v>46106</v>
      </c>
      <c r="D24" s="1610"/>
      <c r="E24" s="1610"/>
      <c r="F24" s="1672" t="str">
        <f>IF('Master Sheet'!$D$11="Hindi","कुल कार्य दिवस","Total Working Days")</f>
        <v>कुल कार्य दिवस</v>
      </c>
      <c r="G24" s="1672"/>
      <c r="H24" s="1672"/>
      <c r="I24" s="735">
        <f>IFERROR(VLOOKUP(L7,'Statement of Marks'!$B$8:'Statement of Marks'!$HI$207,162,0),"")</f>
        <v>350</v>
      </c>
      <c r="J24" s="1673" t="str">
        <f>IF('Master Sheet'!$D$11="Hindi","कुल उपस्थिति","Student's Attendance")</f>
        <v>कुल उपस्थिति</v>
      </c>
      <c r="K24" s="1673"/>
      <c r="L24" s="1673"/>
      <c r="M24" s="472">
        <f>IFERROR(VLOOKUP(L7,'Statement of Marks'!$B$8:'Statement of Marks'!$HI$207,163,0),"")</f>
        <v>340</v>
      </c>
      <c r="N24" s="1674" t="str">
        <f>IF('Master Sheet'!$D$11="Hindi","कक्षा में स्थान","Position in the Class")</f>
        <v>कक्षा में स्थान</v>
      </c>
      <c r="O24" s="1674"/>
      <c r="P24" s="755">
        <f>IFERROR(VLOOKUP(L7,'Statement of Marks'!$B$8:'Statement of Marks'!$HI$207,211,0),"")</f>
        <v>1.0000000000000027</v>
      </c>
      <c r="Q24" s="1722"/>
      <c r="R24" s="753" t="str">
        <f>IF('Master Sheet'!$D$11="Hindi","परीक्षा परिणाम घोषित दिनांक :-","Date of Result declaration :-")</f>
        <v>परीक्षा परिणाम घोषित दिनांक :-</v>
      </c>
      <c r="S24" s="1610">
        <f>IF(AND(AB7=""),"",IF('Master Sheet'!$D$10="","",'Master Sheet'!$D$10))</f>
        <v>46106</v>
      </c>
      <c r="T24" s="1610"/>
      <c r="U24" s="1610"/>
      <c r="V24" s="1672" t="str">
        <f>IF('Master Sheet'!$D$11="Hindi","कुल कार्य दिवस","Total Working Days")</f>
        <v>कुल कार्य दिवस</v>
      </c>
      <c r="W24" s="1672"/>
      <c r="X24" s="1672"/>
      <c r="Y24" s="735">
        <f>IFERROR(VLOOKUP(AB7,'Statement of Marks'!$B$8:'Statement of Marks'!$HI$207,162,0),"")</f>
        <v>360</v>
      </c>
      <c r="Z24" s="1673" t="str">
        <f>IF('Master Sheet'!$D$11="Hindi","कुल उपस्थिति","Student's Attendance")</f>
        <v>कुल उपस्थिति</v>
      </c>
      <c r="AA24" s="1673"/>
      <c r="AB24" s="1673"/>
      <c r="AC24" s="472">
        <f>IFERROR(VLOOKUP(AB7,'Statement of Marks'!$B$8:'Statement of Marks'!$HI$207,163,0),"")</f>
        <v>344</v>
      </c>
      <c r="AD24" s="1674" t="str">
        <f>IF('Master Sheet'!$D$11="Hindi","कक्षा में स्थान","Position in the Class")</f>
        <v>कक्षा में स्थान</v>
      </c>
      <c r="AE24" s="1674"/>
      <c r="AF24" s="755">
        <f>IFERROR(VLOOKUP(AB7,'Statement of Marks'!$B$8:'Statement of Marks'!$HI$207,211,0),"")</f>
        <v>4.9999999999999432</v>
      </c>
      <c r="AQ24" s="17"/>
      <c r="AR24"/>
      <c r="AS24"/>
      <c r="AT24"/>
      <c r="AX24"/>
      <c r="AY24"/>
      <c r="AZ24"/>
      <c r="BE24" s="17"/>
      <c r="BF24" s="17"/>
    </row>
    <row r="25" spans="1:58" s="467" customFormat="1" ht="27.75" customHeight="1">
      <c r="A25" s="465"/>
      <c r="B25" s="1675" t="str">
        <f>IF('Master Sheet'!$D$11="Hindi","मुख्य परीक्षा परिणाम ","Main Exam Result")</f>
        <v xml:space="preserve">मुख्य परीक्षा परिणाम </v>
      </c>
      <c r="C25" s="1676"/>
      <c r="D25" s="1676"/>
      <c r="E25" s="1677"/>
      <c r="F25" s="1678" t="str">
        <f>IF('Master Sheet'!$D$11="Hindi","विशेष योग्यता प्राप्त विषय","Subjects Of Dictation Marks")</f>
        <v>विशेष योग्यता प्राप्त विषय</v>
      </c>
      <c r="G25" s="1678"/>
      <c r="H25" s="1678"/>
      <c r="I25" s="1678"/>
      <c r="J25" s="1678"/>
      <c r="K25" s="1678"/>
      <c r="L25" s="1679" t="str">
        <f>IF('Master Sheet'!$D$11="Hindi","पूरक विषय","Supplementary Subject")</f>
        <v>पूरक विषय</v>
      </c>
      <c r="M25" s="1680"/>
      <c r="N25" s="1676"/>
      <c r="O25" s="1676"/>
      <c r="P25" s="1677"/>
      <c r="Q25" s="1722"/>
      <c r="R25" s="1675" t="str">
        <f>IF('Master Sheet'!$D$11="Hindi","मुख्य परीक्षा परिणाम ","Main Exam Result")</f>
        <v xml:space="preserve">मुख्य परीक्षा परिणाम </v>
      </c>
      <c r="S25" s="1676"/>
      <c r="T25" s="1676"/>
      <c r="U25" s="1677"/>
      <c r="V25" s="1678" t="str">
        <f>IF('Master Sheet'!$D$11="Hindi","विशेष योग्यता प्राप्त विषय","Subjects Of Dictation Marks")</f>
        <v>विशेष योग्यता प्राप्त विषय</v>
      </c>
      <c r="W25" s="1678"/>
      <c r="X25" s="1678"/>
      <c r="Y25" s="1678"/>
      <c r="Z25" s="1678"/>
      <c r="AA25" s="1678"/>
      <c r="AB25" s="1679" t="str">
        <f>IF('Master Sheet'!$D$11="Hindi","पूरक विषय","Supplementary Subject")</f>
        <v>पूरक विषय</v>
      </c>
      <c r="AC25" s="1680"/>
      <c r="AD25" s="1676"/>
      <c r="AE25" s="1676"/>
      <c r="AF25" s="1677"/>
      <c r="AQ25" s="17"/>
      <c r="AR25"/>
      <c r="AS25"/>
      <c r="AT25"/>
      <c r="AX25"/>
      <c r="AY25"/>
      <c r="AZ25"/>
      <c r="BE25" s="17"/>
      <c r="BF25" s="17"/>
    </row>
    <row r="26" spans="1:58" s="467" customFormat="1" ht="42.75" customHeight="1">
      <c r="A26" s="465"/>
      <c r="B26" s="1704" t="str">
        <f>IF('Master Sheet'!D11="Hindi",BF16,BF15)</f>
        <v>उतीर्ण एवं कक्षा 12 में क्रमोन्नत</v>
      </c>
      <c r="C26" s="1705"/>
      <c r="D26" s="1705"/>
      <c r="E26" s="1706"/>
      <c r="F26" s="1674" t="str">
        <f>IFERROR(VLOOKUP(L7,'Statement of Marks'!$B$8:'Statement of Marks'!$HI$207,205,0),"")</f>
        <v xml:space="preserve">   HISTORY  </v>
      </c>
      <c r="G26" s="1674"/>
      <c r="H26" s="1674"/>
      <c r="I26" s="1674"/>
      <c r="J26" s="1674"/>
      <c r="K26" s="1674"/>
      <c r="L26" s="1687" t="str">
        <f>IFERROR(VLOOKUP(L7,'Statement of Marks'!$B$8:'Statement of Marks'!$HI$207,202,0),"")</f>
        <v xml:space="preserve">    </v>
      </c>
      <c r="M26" s="1688"/>
      <c r="N26" s="1688"/>
      <c r="O26" s="1688"/>
      <c r="P26" s="1689"/>
      <c r="Q26" s="1722"/>
      <c r="R26" s="1704" t="str">
        <f>IF('Master Sheet'!D11="Hindi",BE16,BE15)</f>
        <v>सानुग्रह उतीर्ण एवं कक्षा 12 में क्रमोन्नत</v>
      </c>
      <c r="S26" s="1705"/>
      <c r="T26" s="1705"/>
      <c r="U26" s="1706"/>
      <c r="V26" s="1674" t="str">
        <f>IFERROR(VLOOKUP(AB7,'Statement of Marks'!$B$8:'Statement of Marks'!$HI$207,205,0),"")</f>
        <v xml:space="preserve">   ACCOUNTANCY  </v>
      </c>
      <c r="W26" s="1674"/>
      <c r="X26" s="1674"/>
      <c r="Y26" s="1674"/>
      <c r="Z26" s="1674"/>
      <c r="AA26" s="1674"/>
      <c r="AB26" s="1687" t="str">
        <f>IFERROR(VLOOKUP(AB7,'Statement of Marks'!$B$8:'Statement of Marks'!$HI$207,202,0),"")</f>
        <v xml:space="preserve">    </v>
      </c>
      <c r="AC26" s="1688"/>
      <c r="AD26" s="1688"/>
      <c r="AE26" s="1688"/>
      <c r="AF26" s="1689"/>
      <c r="AQ26" s="17"/>
      <c r="AR26"/>
      <c r="AS26"/>
      <c r="AT26"/>
      <c r="AX26"/>
      <c r="AY26"/>
      <c r="AZ26"/>
      <c r="BE26" s="17"/>
      <c r="BF26" s="17"/>
    </row>
    <row r="27" spans="1:58" s="467" customFormat="1" ht="52.5" customHeight="1">
      <c r="A27" s="465"/>
      <c r="B27" s="1695" t="str">
        <f>IF(AND(L7=""),"",CONCATENATE("( ",UPPER('Master Sheet'!$D$14)," )"))</f>
        <v>( HEERALAL JAT )</v>
      </c>
      <c r="C27" s="1695"/>
      <c r="D27" s="1695"/>
      <c r="E27" s="709"/>
      <c r="F27" s="1696" t="str">
        <f>IF(AND(L7=""),"",CONCATENATE("( ",UPPER('Master Sheet'!$D$17)," )"))</f>
        <v>( YOGESH )</v>
      </c>
      <c r="G27" s="1696"/>
      <c r="H27" s="1696"/>
      <c r="I27" s="1696"/>
      <c r="J27" s="1696"/>
      <c r="K27" s="1697" t="str">
        <f>IF(AND(L7=""),"",CONCATENATE("( ",UPPER('Master Sheet'!$D$12)," )"))</f>
        <v>( DEWANANAD )</v>
      </c>
      <c r="L27" s="1697"/>
      <c r="M27" s="1697"/>
      <c r="N27" s="1697"/>
      <c r="O27" s="1697"/>
      <c r="P27" s="1697"/>
      <c r="Q27" s="1722"/>
      <c r="R27" s="1695" t="str">
        <f>IF(AND(AB7=""),"",CONCATENATE("( ",UPPER('Master Sheet'!$D$14)," )"))</f>
        <v>( HEERALAL JAT )</v>
      </c>
      <c r="S27" s="1695"/>
      <c r="T27" s="1695"/>
      <c r="U27" s="709"/>
      <c r="V27" s="1696" t="str">
        <f>IF(AND(AB7=""),"",CONCATENATE("( ",UPPER('Master Sheet'!$D$17)," )"))</f>
        <v>( YOGESH )</v>
      </c>
      <c r="W27" s="1696"/>
      <c r="X27" s="1696"/>
      <c r="Y27" s="1696"/>
      <c r="Z27" s="1696"/>
      <c r="AA27" s="1697" t="str">
        <f>IF(AND(AB7=""),"",CONCATENATE("( ",UPPER('Master Sheet'!$D$12)," )"))</f>
        <v>( DEWANANAD )</v>
      </c>
      <c r="AB27" s="1697"/>
      <c r="AC27" s="1697"/>
      <c r="AD27" s="1697"/>
      <c r="AE27" s="1697"/>
      <c r="AF27" s="1697"/>
      <c r="AQ27" s="17"/>
      <c r="AR27"/>
      <c r="AS27"/>
      <c r="AT27"/>
      <c r="AX27"/>
      <c r="AY27"/>
      <c r="AZ27"/>
      <c r="BE27" s="17"/>
      <c r="BF27" s="17"/>
    </row>
    <row r="28" spans="1:58" s="467" customFormat="1" ht="24.75" customHeight="1">
      <c r="A28" s="465"/>
      <c r="B28" s="1686" t="str">
        <f>IF('Master Sheet'!$D$11="Hindi","हस्ताक्षर परीक्षा प्रभारी","Signature of the exam. Incharge")</f>
        <v>हस्ताक्षर परीक्षा प्रभारी</v>
      </c>
      <c r="C28" s="1686"/>
      <c r="D28" s="1686"/>
      <c r="E28" s="708"/>
      <c r="F28" s="1686" t="str">
        <f>IF('Master Sheet'!$D$11="Hindi","हस्ताक्षर कक्षाध्यापक","Signature of the class teacher")</f>
        <v>हस्ताक्षर कक्षाध्यापक</v>
      </c>
      <c r="G28" s="1686"/>
      <c r="H28" s="1686"/>
      <c r="I28" s="1686"/>
      <c r="J28" s="1686"/>
      <c r="K28" s="1686" t="str">
        <f>IF('Master Sheet'!$D$11="Hindi","हस्ताक्षर संस्था प्रधान","Head of Institute's Signature")</f>
        <v>हस्ताक्षर संस्था प्रधान</v>
      </c>
      <c r="L28" s="1686"/>
      <c r="M28" s="1686"/>
      <c r="N28" s="1686"/>
      <c r="O28" s="1686"/>
      <c r="P28" s="1686"/>
      <c r="Q28" s="1722"/>
      <c r="R28" s="1686" t="str">
        <f>IF('Master Sheet'!$D$11="Hindi","हस्ताक्षर परीक्षा प्रभारी","Signature of the exam. Incharge")</f>
        <v>हस्ताक्षर परीक्षा प्रभारी</v>
      </c>
      <c r="S28" s="1686"/>
      <c r="T28" s="1686"/>
      <c r="U28" s="708"/>
      <c r="V28" s="1686" t="str">
        <f>IF('Master Sheet'!$D$11="Hindi","हस्ताक्षर कक्षाध्यापक","Signature of the class teacher")</f>
        <v>हस्ताक्षर कक्षाध्यापक</v>
      </c>
      <c r="W28" s="1686"/>
      <c r="X28" s="1686"/>
      <c r="Y28" s="1686"/>
      <c r="Z28" s="1686"/>
      <c r="AA28" s="1686" t="str">
        <f>IF('Master Sheet'!$D$11="Hindi","हस्ताक्षर संस्था प्रधान","Head of Institute's Signature")</f>
        <v>हस्ताक्षर संस्था प्रधान</v>
      </c>
      <c r="AB28" s="1686"/>
      <c r="AC28" s="1686"/>
      <c r="AD28" s="1686"/>
      <c r="AE28" s="1686"/>
      <c r="AF28" s="1686"/>
      <c r="AQ28" s="17"/>
      <c r="AR28"/>
      <c r="AS28"/>
      <c r="AT28"/>
      <c r="AX28"/>
      <c r="AY28"/>
      <c r="AZ28"/>
      <c r="BE28" s="17"/>
      <c r="BF28" s="17"/>
    </row>
    <row r="29" spans="1:58" s="467" customFormat="1">
      <c r="A29" s="465"/>
      <c r="AQ29" s="17"/>
      <c r="AR29"/>
      <c r="AS29"/>
      <c r="AT29"/>
      <c r="AX29"/>
      <c r="AY29"/>
      <c r="AZ29"/>
      <c r="BE29" s="17"/>
      <c r="BF29" s="17"/>
    </row>
    <row r="30" spans="1:58" s="17" customFormat="1" ht="22.5" customHeight="1">
      <c r="A30" s="100"/>
      <c r="B30" s="93"/>
      <c r="C30" s="1670" t="str">
        <f>IF('Master Sheet'!$D$11="Hindi","वार्षिक रिपोर्ट कार्ड ","Report Card")</f>
        <v xml:space="preserve">वार्षिक रिपोर्ट कार्ड </v>
      </c>
      <c r="D30" s="1670"/>
      <c r="E30" s="1670"/>
      <c r="F30" s="1670"/>
      <c r="G30" s="1670"/>
      <c r="H30" s="1670"/>
      <c r="I30" s="1670"/>
      <c r="J30" s="1670"/>
      <c r="K30" s="1670"/>
      <c r="L30" s="1670"/>
      <c r="M30" s="1670"/>
      <c r="N30" s="1670"/>
      <c r="O30" s="464"/>
      <c r="P30" s="464"/>
      <c r="Q30"/>
      <c r="R30" s="93"/>
      <c r="S30" s="1670" t="str">
        <f>IF('Master Sheet'!$D$11="Hindi","वार्षिक रिपोर्ट कार्ड ","Report Card")</f>
        <v xml:space="preserve">वार्षिक रिपोर्ट कार्ड </v>
      </c>
      <c r="T30" s="1670"/>
      <c r="U30" s="1670"/>
      <c r="V30" s="1670"/>
      <c r="W30" s="1670"/>
      <c r="X30" s="1670"/>
      <c r="Y30" s="1670"/>
      <c r="Z30" s="1670"/>
      <c r="AA30" s="1670"/>
      <c r="AB30" s="1670"/>
      <c r="AC30" s="1670"/>
      <c r="AD30" s="1670"/>
      <c r="AE30" s="464"/>
      <c r="AF30" s="464"/>
      <c r="AH30" s="467"/>
      <c r="AI30" s="467"/>
      <c r="AJ30" s="467"/>
      <c r="AK30" s="467"/>
      <c r="AL30" s="467"/>
      <c r="AN30" s="467"/>
      <c r="AR30"/>
      <c r="AS30"/>
      <c r="AT30"/>
      <c r="AX30"/>
      <c r="AY30"/>
      <c r="AZ30"/>
    </row>
    <row r="31" spans="1:58" s="17" customFormat="1" ht="22.5" customHeight="1">
      <c r="A31" s="100"/>
      <c r="B31" s="93"/>
      <c r="C31" s="1719" t="str">
        <f>IF('Master Sheet'!$D$11="Hindi","शिक्षा विभाग, राजस्थान सरकार","Education Department, Rajasthan Government")</f>
        <v>शिक्षा विभाग, राजस्थान सरकार</v>
      </c>
      <c r="D31" s="1719"/>
      <c r="E31" s="1719"/>
      <c r="F31" s="1719"/>
      <c r="G31" s="1719"/>
      <c r="H31" s="1719"/>
      <c r="I31" s="1719"/>
      <c r="J31" s="1719"/>
      <c r="K31" s="1719"/>
      <c r="L31" s="1719"/>
      <c r="M31" s="1719"/>
      <c r="N31" s="1719"/>
      <c r="O31" s="464"/>
      <c r="P31" s="464"/>
      <c r="Q31"/>
      <c r="R31" s="93"/>
      <c r="S31" s="1719" t="str">
        <f>IF('Master Sheet'!$D$11="Hindi","शिक्षा विभाग, राजस्थान सरकार","Education Department, Rajasthan Government")</f>
        <v>शिक्षा विभाग, राजस्थान सरकार</v>
      </c>
      <c r="T31" s="1719"/>
      <c r="U31" s="1719"/>
      <c r="V31" s="1719"/>
      <c r="W31" s="1719"/>
      <c r="X31" s="1719"/>
      <c r="Y31" s="1719"/>
      <c r="Z31" s="1719"/>
      <c r="AA31" s="1719"/>
      <c r="AB31" s="1719"/>
      <c r="AC31" s="1719"/>
      <c r="AD31" s="1719"/>
      <c r="AE31" s="464"/>
      <c r="AF31" s="464"/>
      <c r="AH31" s="467"/>
      <c r="AI31" s="467"/>
      <c r="AJ31" s="467"/>
      <c r="AK31" s="467"/>
      <c r="AL31" s="467"/>
      <c r="AR31"/>
      <c r="AS31"/>
      <c r="AT31"/>
      <c r="AX31"/>
      <c r="AY31"/>
      <c r="AZ31"/>
    </row>
    <row r="32" spans="1:58" s="17" customFormat="1" ht="24.95" customHeight="1">
      <c r="A32" s="100"/>
      <c r="B32" s="1720" t="str">
        <f>IF('Master Sheet'!$D$11="Hindi",CONCATENATE("विद्यालय का नाम :-","  ",'Master Sheet'!$D$8),CONCATENATE("School Name :-","  ",'Master Sheet'!$D$7))</f>
        <v xml:space="preserve">विद्यालय का नाम :-  महात्मा गाँधी राजकीय विद्यालय (अंग्रेजी माध्यम) बर, पाली </v>
      </c>
      <c r="C32" s="1720"/>
      <c r="D32" s="1720"/>
      <c r="E32" s="1720"/>
      <c r="F32" s="1720"/>
      <c r="G32" s="1720"/>
      <c r="H32" s="1720"/>
      <c r="I32" s="1720"/>
      <c r="J32" s="1720"/>
      <c r="K32" s="1720"/>
      <c r="L32" s="1720"/>
      <c r="M32" s="1720"/>
      <c r="N32" s="1720"/>
      <c r="O32" s="1720"/>
      <c r="P32" s="1720"/>
      <c r="Q32"/>
      <c r="R32" s="1720" t="str">
        <f>IF('Master Sheet'!$D$11="Hindi",CONCATENATE("विद्यालय का नाम :-","  ",'Master Sheet'!$D$8),CONCATENATE("School Name :-","  ",'Master Sheet'!$D$7))</f>
        <v xml:space="preserve">विद्यालय का नाम :-  महात्मा गाँधी राजकीय विद्यालय (अंग्रेजी माध्यम) बर, पाली </v>
      </c>
      <c r="S32" s="1720"/>
      <c r="T32" s="1720"/>
      <c r="U32" s="1720"/>
      <c r="V32" s="1720"/>
      <c r="W32" s="1720"/>
      <c r="X32" s="1720"/>
      <c r="Y32" s="1720"/>
      <c r="Z32" s="1720"/>
      <c r="AA32" s="1720"/>
      <c r="AB32" s="1720"/>
      <c r="AC32" s="1720"/>
      <c r="AD32" s="1720"/>
      <c r="AE32" s="1720"/>
      <c r="AF32" s="1720"/>
      <c r="AH32" s="467"/>
      <c r="AI32" s="467"/>
      <c r="AJ32" s="467"/>
      <c r="AK32" s="467"/>
      <c r="AL32" s="467"/>
      <c r="AR32"/>
      <c r="AS32"/>
      <c r="AT32"/>
      <c r="AX32"/>
      <c r="AY32"/>
      <c r="AZ32"/>
    </row>
    <row r="33" spans="1:58" s="17" customFormat="1" ht="19.5" customHeight="1">
      <c r="A33" s="100"/>
      <c r="B33" s="713"/>
      <c r="C33" s="1721" t="str">
        <f>IF(AND(L36=""),"",IF(AND('Master Sheet'!$D$6=""),"",IF('Master Sheet'!$D$11="Hindi",CONCATENATE("(विद्यालय मान्यता क्रमांक व वर्ष : ","  ",'Master Sheet'!$D$6),CONCATENATE("(School Recognition Number &amp; Years : ","  ",'Master Sheet'!$D$6))))</f>
        <v>(विद्यालय मान्यता क्रमांक व वर्ष :   शिक्षा/पाली/1995/2001</v>
      </c>
      <c r="D33" s="1721"/>
      <c r="E33" s="1721"/>
      <c r="F33" s="1721"/>
      <c r="G33" s="1721"/>
      <c r="H33" s="1721"/>
      <c r="I33" s="1721"/>
      <c r="J33" s="1721"/>
      <c r="K33" s="1721"/>
      <c r="L33" s="1721"/>
      <c r="M33" s="1721"/>
      <c r="N33" s="1721"/>
      <c r="O33" s="1721"/>
      <c r="P33" s="713"/>
      <c r="Q33"/>
      <c r="R33" s="713"/>
      <c r="S33" s="1721" t="str">
        <f>IF(AND(AB36=""),"",IF(AND('Master Sheet'!$D$6=""),"",IF('Master Sheet'!$D$11="Hindi",CONCATENATE("(विद्यालय मान्यता क्रमांक व वर्ष : ","  ",'Master Sheet'!$D$6),CONCATENATE("(School Recognition Number &amp; Years : ","  ",'Master Sheet'!$D$6))))</f>
        <v>(विद्यालय मान्यता क्रमांक व वर्ष :   शिक्षा/पाली/1995/2001</v>
      </c>
      <c r="T33" s="1721"/>
      <c r="U33" s="1721"/>
      <c r="V33" s="1721"/>
      <c r="W33" s="1721"/>
      <c r="X33" s="1721"/>
      <c r="Y33" s="1721"/>
      <c r="Z33" s="1721"/>
      <c r="AA33" s="1721"/>
      <c r="AB33" s="1721"/>
      <c r="AC33" s="1721"/>
      <c r="AD33" s="1721"/>
      <c r="AE33" s="1721"/>
      <c r="AF33" s="713"/>
      <c r="AH33" s="467"/>
      <c r="AI33" s="467"/>
      <c r="AJ33" s="467"/>
      <c r="AK33" s="467"/>
      <c r="AL33" s="467"/>
      <c r="AN33" s="99"/>
      <c r="AR33"/>
      <c r="AS33"/>
      <c r="AT33"/>
      <c r="AX33"/>
      <c r="AY33"/>
      <c r="AZ33"/>
    </row>
    <row r="34" spans="1:58" s="467" customFormat="1" ht="21" customHeight="1">
      <c r="A34" s="465"/>
      <c r="B34" s="733" t="str">
        <f>IF('Master Sheet'!$D$11="Hindi","सत्र  :-","Session :-")</f>
        <v>सत्र  :-</v>
      </c>
      <c r="C34" s="1693" t="str">
        <f>'Marks Entry'!$H$1</f>
        <v>2025-2026</v>
      </c>
      <c r="D34" s="1693"/>
      <c r="E34" s="1693"/>
      <c r="F34" s="1693"/>
      <c r="G34" s="1693"/>
      <c r="H34" s="1693"/>
      <c r="I34" s="1691" t="str">
        <f>IF('Master Sheet'!$D$11="Hindi","कक्षा  :-","CLASS :- ")</f>
        <v>कक्षा  :-</v>
      </c>
      <c r="J34" s="1691"/>
      <c r="K34" s="1691"/>
      <c r="L34" s="1694" t="str">
        <f>CONCATENATE('Marks Entry'!$H$2," '",'Marks Entry'!$H$3,"'")</f>
        <v>11 'Arts'</v>
      </c>
      <c r="M34" s="1694"/>
      <c r="N34" s="1694"/>
      <c r="O34" s="1694"/>
      <c r="P34" s="714"/>
      <c r="Q34"/>
      <c r="R34" s="733" t="str">
        <f>IF('Master Sheet'!$D$11="Hindi","सत्र  :-","Session :-")</f>
        <v>सत्र  :-</v>
      </c>
      <c r="S34" s="1693" t="str">
        <f>'Marks Entry'!$H$1</f>
        <v>2025-2026</v>
      </c>
      <c r="T34" s="1693"/>
      <c r="U34" s="1693"/>
      <c r="V34" s="1693"/>
      <c r="W34" s="1693"/>
      <c r="X34" s="1693"/>
      <c r="Y34" s="1691" t="str">
        <f>IF('Master Sheet'!$D$11="Hindi","कक्षा  :-","CLASS :- ")</f>
        <v>कक्षा  :-</v>
      </c>
      <c r="Z34" s="1691"/>
      <c r="AA34" s="1691"/>
      <c r="AB34" s="1694" t="str">
        <f>CONCATENATE('Marks Entry'!$H$2," '",'Marks Entry'!$H$3,"'")</f>
        <v>11 'Arts'</v>
      </c>
      <c r="AC34" s="1694"/>
      <c r="AD34" s="1694"/>
      <c r="AE34" s="1694"/>
      <c r="AF34" s="714"/>
      <c r="AN34" s="99"/>
      <c r="AQ34" s="17"/>
      <c r="AR34"/>
      <c r="AS34" s="757">
        <f>L37</f>
        <v>38414</v>
      </c>
      <c r="AT34"/>
      <c r="AX34"/>
      <c r="AY34" s="757">
        <f>AB37</f>
        <v>38874</v>
      </c>
      <c r="AZ34"/>
      <c r="BE34" s="17"/>
      <c r="BF34" s="17"/>
    </row>
    <row r="35" spans="1:58" s="467" customFormat="1" ht="21" customHeight="1">
      <c r="A35" s="465"/>
      <c r="B35" s="734" t="str">
        <f>IF('Master Sheet'!$D$11="Hindi","विद्यार्थी का नाम :-","Student's Name :-")</f>
        <v>विद्यार्थी का नाम :-</v>
      </c>
      <c r="C35" s="1690" t="str">
        <f>IFERROR(VLOOKUP(L36,'Statement of Marks'!$B$8:'Statement of Marks'!$HI$207,4,0),"")</f>
        <v>C</v>
      </c>
      <c r="D35" s="1690"/>
      <c r="E35" s="1690"/>
      <c r="F35" s="1690"/>
      <c r="G35" s="1690"/>
      <c r="H35" s="1690"/>
      <c r="I35" s="1691" t="str">
        <f>IF('Master Sheet'!$D$11="Hindi","प्रवेशांक :","SR. NO. :")</f>
        <v>प्रवेशांक :</v>
      </c>
      <c r="J35" s="1691"/>
      <c r="K35" s="1691"/>
      <c r="L35" s="1726">
        <f>IFERROR(VLOOKUP(L36,'Statement of Marks'!$B$8:'Statement of Marks'!$HI$207,2,0),"")</f>
        <v>555</v>
      </c>
      <c r="M35" s="1726"/>
      <c r="N35" s="1726"/>
      <c r="O35" s="1726"/>
      <c r="P35" s="468"/>
      <c r="Q35"/>
      <c r="R35" s="734" t="str">
        <f>IF('Master Sheet'!$D$11="Hindi","विद्यार्थी का नाम :-","Student's Name :-")</f>
        <v>विद्यार्थी का नाम :-</v>
      </c>
      <c r="S35" s="1690" t="str">
        <f>IFERROR(VLOOKUP(AB36,'Statement of Marks'!$B$8:'Statement of Marks'!$HI$207,4,0),"")</f>
        <v>D</v>
      </c>
      <c r="T35" s="1690"/>
      <c r="U35" s="1690"/>
      <c r="V35" s="1690"/>
      <c r="W35" s="1690"/>
      <c r="X35" s="1690"/>
      <c r="Y35" s="1691" t="str">
        <f>IF('Master Sheet'!$D$11="Hindi","प्रवेशांक :","SR. NO. :")</f>
        <v>प्रवेशांक :</v>
      </c>
      <c r="Z35" s="1691"/>
      <c r="AA35" s="1691"/>
      <c r="AB35" s="1726">
        <f>IFERROR(VLOOKUP(AB36,'Statement of Marks'!$B$8:'Statement of Marks'!$HI$207,2,0),"")</f>
        <v>444</v>
      </c>
      <c r="AC35" s="1726"/>
      <c r="AD35" s="1726"/>
      <c r="AE35" s="1726"/>
      <c r="AF35" s="468"/>
      <c r="AQ35" s="17"/>
      <c r="AR35">
        <f>YEAR(AS34)</f>
        <v>2005</v>
      </c>
      <c r="AS35">
        <f>MONTH(AS34)</f>
        <v>3</v>
      </c>
      <c r="AT35">
        <f>DAY(AS34)</f>
        <v>3</v>
      </c>
      <c r="AU35" s="469"/>
      <c r="AX35">
        <f>YEAR(AY34)</f>
        <v>2006</v>
      </c>
      <c r="AY35">
        <f>MONTH(AY34)</f>
        <v>6</v>
      </c>
      <c r="AZ35">
        <f>DAY(AY34)</f>
        <v>6</v>
      </c>
      <c r="BE35" s="17"/>
      <c r="BF35" s="17"/>
    </row>
    <row r="36" spans="1:58" s="467" customFormat="1" ht="21" customHeight="1">
      <c r="A36" s="465"/>
      <c r="B36" s="734" t="str">
        <f>IF('Master Sheet'!$D$11="Hindi","पिता का नाम :-","Father's Name :-")</f>
        <v>पिता का नाम :-</v>
      </c>
      <c r="C36" s="1690" t="str">
        <f>IFERROR(VLOOKUP(L36,'Statement of Marks'!$B$8:'Statement of Marks'!$HI$207,5,0),"")</f>
        <v>Z</v>
      </c>
      <c r="D36" s="1690"/>
      <c r="E36" s="1690"/>
      <c r="F36" s="1690"/>
      <c r="G36" s="1690"/>
      <c r="H36" s="1690"/>
      <c r="I36" s="1691" t="str">
        <f>IF('Master Sheet'!$D$11="Hindi","रोल नंबर :-","Roll No. :")</f>
        <v>रोल नंबर :-</v>
      </c>
      <c r="J36" s="1691"/>
      <c r="K36" s="1691"/>
      <c r="L36" s="1692">
        <f>IF(AB7="","",IF(AND(AB7+1&gt;$AN$11),"",AB7+1))</f>
        <v>1103</v>
      </c>
      <c r="M36" s="1692"/>
      <c r="N36" s="1692"/>
      <c r="O36" s="711"/>
      <c r="P36" s="468"/>
      <c r="Q36"/>
      <c r="R36" s="734" t="str">
        <f>IF('Master Sheet'!$D$11="Hindi","पिता का नाम :-","Father's Name :-")</f>
        <v>पिता का नाम :-</v>
      </c>
      <c r="S36" s="1690" t="str">
        <f>IFERROR(VLOOKUP(AB36,'Statement of Marks'!$B$8:'Statement of Marks'!$HI$207,5,0),"")</f>
        <v>W</v>
      </c>
      <c r="T36" s="1690"/>
      <c r="U36" s="1690"/>
      <c r="V36" s="1690"/>
      <c r="W36" s="1690"/>
      <c r="X36" s="1690"/>
      <c r="Y36" s="1691" t="str">
        <f>IF('Master Sheet'!$D$11="Hindi","रोल नंबर :-","Roll No. :")</f>
        <v>रोल नंबर :-</v>
      </c>
      <c r="Z36" s="1691"/>
      <c r="AA36" s="1691"/>
      <c r="AB36" s="1692">
        <f>IF(L36="","",IF(AND(L36+1&gt;$AN$11),"",L36+1))</f>
        <v>1104</v>
      </c>
      <c r="AC36" s="1692"/>
      <c r="AD36" s="1692"/>
      <c r="AE36" s="711"/>
      <c r="AF36" s="468"/>
      <c r="AQ36" s="17"/>
      <c r="AR36" t="str">
        <f>IF(AR35=2000,"दो हजार",IF(AR35=2001,"दो हजार एक",IF(AR35=2002,"दो हजार दो",IF(AR35=2003,"दो हजार तीन",IF(AR35=2004,"दो हजार चार",IF(AR35=2005,"दो हजार पांच",IF(AR35=2006,"दो हजार छः",IF(AR35=2007,"दो हजार सात",IF(AR35=2008,"दो हजार आठ",IF(AR35=2009,"दो हजार नौ",IF(AR35=2010,"दो हजार दस",IF(AR35=2011,"दो हजार ग्यारह",IF(AR35=2012,"दो हजार बारह",IF(AR35=2013,"दो हजार तेरह",IF(AR35=2014,"दो हजार चौदह",IF(AR35=2015,"दो हजार पंद्रह",IF(AR35=2016,"दो हजार सोलह",IF(AR35=2017,"दो हजार सत्रह",IF(AR35=2018,"दो हजार अठारह",IF(AR35=2019,"दो हजार उन्नीस",IF(AR35=2020,"दो हजार बीस",IF(AR35=2021,"दो हजार इक्कीस",IF(AR35=2022,"दो हजार बाइस","")))))))))))))))))))))))</f>
        <v>दो हजार पांच</v>
      </c>
      <c r="AS36" t="str">
        <f>IF(AS35=1,"जनवरी",IF(AS35=2,"फरवरी",IF(AS35=3,"मार्च",IF(AS35=4,"अप्रैल",IF(AS35=5,"मई",IF(AS35=6,"जून",IF(AS35=7,"जुलाई",IF(AS35=8,"अगस्त",IF(AS35=9,"सितम्बर",IF(AS35=10,"अक्टूबर",IF(AS35=11,"नवम्बर",IF(AS35=12,"दिसम्बर",""))))))))))))</f>
        <v>मार्च</v>
      </c>
      <c r="AT36" t="str">
        <f>IF(AT35=1,"एक",IF(AT35=2,"दो",IF(AT35=3,"तीन",IF(AT35=4,"चार",IF(AT35=5,"पांच",IF(AT35=6,"छः",IF(AT35=7,"सात",IF(AT35=8,"आठ",IF(AT35=9,"नौ",IF(AT35=10,"दस",IF(AT35=11,"ग्यारह",IF(AT35=12,"बारह",IF(AT35=13,"तेरह",IF(AT35=14,"चौदह",IF(AT35=15,"पंद्रह",IF(AT35=16,"सोलह",IF(AT35=17,"सत्रह",IF(AT35=18,"अठारह",IF(AT35=19,"उन्नीस",IF(AT35=20,"बीस",IF(AT35=21,"इक्कीस",IF(AT35=22,"बाइस",IF(AT35=23,"तेईस",IF(AT35=24,"चौबीस",IF(AT35=25,"पचीस",IF(AT35=26,"छबीस",IF(AT35=27,"सताईस",IF(AT35=28,"अठाइस",IF(AT35=29,"उन्नतीस",IF(AT35=30,"तीस",IF(AT35=31,"इकतीस","")))))))))))))))))))))))))))))))</f>
        <v>तीन</v>
      </c>
      <c r="AX36" t="str">
        <f>IF(AX35=2000,"दो हजार",IF(AX35=2001,"दो हजार एक",IF(AX35=2002,"दो हजार दो",IF(AX35=2003,"दो हजार तीन",IF(AX35=2004,"दो हजार चार",IF(AX35=2005,"दो हजार पांच",IF(AX35=2006,"दो हजार छः",IF(AX35=2007,"दो हजार सात",IF(AX35=2008,"दो हजार आठ",IF(AX35=2009,"दो हजार नौ",IF(AX35=2010,"दो हजार दस",IF(AX35=2011,"दो हजार ग्यारह",IF(AX35=2012,"दो हजार बारह",IF(AX35=2013,"दो हजार तेरह",IF(AX35=2014,"दो हजार चौदह",IF(AX35=2015,"दो हजार पंद्रह",IF(AX35=2016,"दो हजार सोलह",IF(AX35=2017,"दो हजार सत्रह",IF(AX35=2018,"दो हजार अठारह",IF(AX35=2019,"दो हजार उन्नीस",IF(AX35=2020,"दो हजार बीस",IF(AX35=2021,"दो हजार इक्कीस",IF(AX35=2022,"दो हजार बाइस","")))))))))))))))))))))))</f>
        <v>दो हजार छः</v>
      </c>
      <c r="AY36" t="str">
        <f>IF(AY35=1,"जनवरी",IF(AY35=2,"फरवरी",IF(AY35=3,"मार्च",IF(AY35=4,"अप्रैल",IF(AY35=5,"मई",IF(AY35=6,"जून",IF(AY35=7,"जुलाई",IF(AY35=8,"अगस्त",IF(AY35=9,"सितम्बर",IF(AY35=10,"अक्टूबर",IF(AY35=11,"नवम्बर",IF(AY35=12,"दिसम्बर",""))))))))))))</f>
        <v>जून</v>
      </c>
      <c r="AZ36" t="str">
        <f>IF(AZ35=1,"एक",IF(AZ35=2,"दो",IF(AZ35=3,"तीन",IF(AZ35=4,"चार",IF(AZ35=5,"पांच",IF(AZ35=6,"छः",IF(AZ35=7,"सात",IF(AZ35=8,"आठ",IF(AZ35=9,"नौ",IF(AZ35=10,"दस",IF(AZ35=11,"ग्यारह",IF(AZ35=12,"बारह",IF(AZ35=13,"तेरह",IF(AZ35=14,"चौदह",IF(AZ35=15,"पंद्रह",IF(AZ35=16,"सोलह",IF(AZ35=17,"सत्रह",IF(AZ35=18,"अठारह",IF(AZ35=19,"उन्नीस",IF(AZ35=20,"बीस",IF(AZ35=21,"इक्कीस",IF(AZ35=22,"बाइस",IF(AZ35=23,"तेईस",IF(AZ35=24,"चौबीस",IF(AZ35=25,"पचीस",IF(AZ35=26,"छबीस",IF(AZ35=27,"सताईस",IF(AZ35=28,"अठाइस",IF(AZ35=29,"उन्नतीस",IF(AZ35=30,"तीस",IF(AZ35=31,"इकतीस","")))))))))))))))))))))))))))))))</f>
        <v>छः</v>
      </c>
      <c r="BE36" s="17"/>
      <c r="BF36" s="17"/>
    </row>
    <row r="37" spans="1:58" s="467" customFormat="1" ht="21" customHeight="1">
      <c r="A37" s="465"/>
      <c r="B37" s="733" t="str">
        <f>IF('Master Sheet'!$D$11="Hindi","माता का नाम :-","Mother's Name :-")</f>
        <v>माता का नाम :-</v>
      </c>
      <c r="C37" s="1690" t="str">
        <f>IFERROR(VLOOKUP(L36,'Statement of Marks'!$B$8:'Statement of Marks'!$HI$207,6,0),"")</f>
        <v>O</v>
      </c>
      <c r="D37" s="1690"/>
      <c r="E37" s="1690"/>
      <c r="F37" s="1690"/>
      <c r="G37" s="1690"/>
      <c r="H37" s="1690"/>
      <c r="I37" s="1691" t="str">
        <f>IF('Master Sheet'!$D$11="Hindi","जन्म तिथि :","Date of Birth :")</f>
        <v>जन्म तिथि :</v>
      </c>
      <c r="J37" s="1691"/>
      <c r="K37" s="1691"/>
      <c r="L37" s="1723">
        <f>IFERROR(VLOOKUP(L36,'Statement of Marks'!$B$8:'Statement of Marks'!$HI$207,3,0),"")</f>
        <v>38414</v>
      </c>
      <c r="M37" s="1723"/>
      <c r="N37" s="1723"/>
      <c r="O37" s="1723"/>
      <c r="Q37"/>
      <c r="R37" s="733" t="str">
        <f>IF('Master Sheet'!$D$11="Hindi","माता का नाम :-","Mother's Name :-")</f>
        <v>माता का नाम :-</v>
      </c>
      <c r="S37" s="1690" t="str">
        <f>IFERROR(VLOOKUP(AB36,'Statement of Marks'!$B$8:'Statement of Marks'!$HI$207,6,0),"")</f>
        <v>P</v>
      </c>
      <c r="T37" s="1690"/>
      <c r="U37" s="1690"/>
      <c r="V37" s="1690"/>
      <c r="W37" s="1690"/>
      <c r="X37" s="1690"/>
      <c r="Y37" s="1691" t="str">
        <f>IF('Master Sheet'!$D$11="Hindi","जन्म तिथि :","Date of Birth :")</f>
        <v>जन्म तिथि :</v>
      </c>
      <c r="Z37" s="1691"/>
      <c r="AA37" s="1691"/>
      <c r="AB37" s="1723">
        <f>IFERROR(VLOOKUP(AB36,'Statement of Marks'!$B$8:'Statement of Marks'!$HI$207,3,0),"")</f>
        <v>38874</v>
      </c>
      <c r="AC37" s="1723"/>
      <c r="AD37" s="1723"/>
      <c r="AE37" s="1723"/>
      <c r="AQ37" s="17"/>
      <c r="AR37"/>
      <c r="AS37" t="str">
        <f>CONCATENATE(AT36," ",AS36," ",AR36)</f>
        <v>तीन मार्च दो हजार पांच</v>
      </c>
      <c r="AT37"/>
      <c r="AX37"/>
      <c r="AY37" t="str">
        <f>CONCATENATE(AZ36," ",AY36," ",AX36)</f>
        <v>छः जून दो हजार छः</v>
      </c>
      <c r="AZ37"/>
      <c r="BE37" s="17"/>
      <c r="BF37" s="17"/>
    </row>
    <row r="38" spans="1:58" s="467" customFormat="1" ht="21" customHeight="1">
      <c r="A38" s="465"/>
      <c r="B38" s="466"/>
      <c r="C38" s="716"/>
      <c r="D38" s="716"/>
      <c r="E38" s="716"/>
      <c r="F38" s="716"/>
      <c r="G38" s="716"/>
      <c r="H38" s="716"/>
      <c r="I38" s="1691" t="str">
        <f>IF('Master Sheet'!$D$11="Hindi","जन्मतिथि शब्दों में :","Date of Birth in Words :")</f>
        <v>जन्मतिथि शब्दों में :</v>
      </c>
      <c r="J38" s="1691"/>
      <c r="K38" s="1691"/>
      <c r="L38" s="1724" t="str">
        <f>IF('Master Sheet'!$D$11="Hindi",AS37,AS39)</f>
        <v>तीन मार्च दो हजार पांच</v>
      </c>
      <c r="M38" s="1724"/>
      <c r="N38" s="1724"/>
      <c r="O38" s="1724"/>
      <c r="P38" s="1724"/>
      <c r="Q38"/>
      <c r="R38" s="466"/>
      <c r="S38" s="716"/>
      <c r="T38" s="716"/>
      <c r="U38" s="716"/>
      <c r="V38" s="716"/>
      <c r="W38" s="716"/>
      <c r="X38" s="716"/>
      <c r="Y38" s="1691" t="str">
        <f>IF('Master Sheet'!$D$11="Hindi","जन्मतिथि शब्दों में :","Date of Birth in Words :")</f>
        <v>जन्मतिथि शब्दों में :</v>
      </c>
      <c r="Z38" s="1691"/>
      <c r="AA38" s="1691"/>
      <c r="AB38" s="1724" t="str">
        <f>IF('Master Sheet'!$D$11="Hindi",AY37,AY39)</f>
        <v>छः जून दो हजार छः</v>
      </c>
      <c r="AC38" s="1724"/>
      <c r="AD38" s="1724"/>
      <c r="AE38" s="1724"/>
      <c r="AF38" s="1724"/>
      <c r="AQ38" s="17"/>
      <c r="AR38" t="str">
        <f>IF(AR35=1961,"NINETEEN SIXTY ONE",IF(AR35=1962,"NINETEEN SIXTY TWO",IF(AR35=1963,"NINETEEN SIXTY THREE",IF(AR35=1964,"NINETEEN SIXTY FOUR",IF(AR35=1965,"NINETEEN SIXTY FIVE",IF(AR35=1966,"NINETEEN SIXTY SIX",IF(AR35=1967,"NINETEEN SIXTY SEVEN",IF(AR35=1968,"NINETEEN SIXTY EIGHT",IF(AR35=1969,"NINETEEN SIXTY NINE",IF(AR35=1970,"NINETEEN SEVENTY",IF(AR35=1971,"NINETEEN SEVENTY ONE",IF(AR35=1972,"NINETEEN SEVENTY TWO",IF(AR35=1973,"NINETEEN SEVENTY THREE",IF(AR35=1974,"NINETEEN SEVENTY FOUR",IF(AR35=1975,"NINETEEN SEVENTY FIVE",IF(AR35=1976,"NINETEEN SEVENTY SIX",IF(AR35=1977,"NINETEEN SEVENTY SEVEN",IF(AR35=1978,"NINETEEN SEVENTY EIGHT",IF(AR35=1979,"NINETEEN SEVENTY NINE",IF(AR35=1980,"NINETEEN EIGHTY",IF(AR35=1981,"NINETEEN EIGHTY ONE",IF(AR35=1982,"NINETEEN EIGHTY TWO",IF(AR35=1983,"NINETEEN EIGHTY THREE",IF(AR35=1984,"NINETEEN EIGHTY FOUR",IF(AR35=1985,"NINETEEN EIGHTY FIVE",IF(AR35=1986,"NINETEEN EIGHTY SIX",IF(AR35=1987,"NINETEEN EIGHTY SEVEN",IF(AR35=1988,"NINETEEN EIGHTY EIGHT",IF(AR35=1989,"NINETEEN EIGHTY NINE",IF(AR35=1990,"NINETEEN NINETY",IF(AR35=1991,"NINETEEN NINETY ONE",IF(AR35=1992,"NINETEEN NINETY TWO",IF(AR35=1993,"NINETEEN NINETY THREE",IF(AR35=1994,"NINETEEN NINETY FOUR",IF(AR35=1995,"NINETEEN NINETY FIVE",IF(AR35=1996,"NINETEEN NINETY SIX",IF(AR35=1997,"NINETEEN NINETY SEVEN",IF(AR35=1998,"NINETEEN NINETY EIGHT",IF(AR35=1999,"NINETEEN NINETY NINE",IF(AR35=2000,"TWO THOUSAND",IF(AR35=2001,"TWO THOUSAND ONE",IF(AR35=2002,"TWO THOUSAND TWO",IF(AR35=2003,"TWO THOUSAND THREE",IF(AR35=2004,"TWO THOUSAND FOUR",IF(AR35=2005,"TWO THOUSAND FIVE",IF(AR35=2006,"TWO THOUSAND SIX",IF(AR35=2007,"TWO THOUSAND SEVEN",IF(AR35=2008,"TWO THOUSAND EIGHT",IF(AR35=2009,"TWO THOUSAND NINE",IF(AR35=2010,"TWO THOUSAND TEN",IF(AR35=2011,"TWO THOUSAND ELEVEN",IF(AR35=2012,"TWO THOUSAND TWELVE",IF(AR35=2013,"TWO THOUSAND THIRTEEN",IF(AR35=2014,"TWO THOUSAND FOURTEEN",IF(AR35=2015,"TWO THOUSAND FIFTEEN",IF(AR35=2016,"TWO THOUSAND SIXTEEN",IF(AR35=2017,"TWO THOUSAND SEVENTEEN",IF(AR35=2018,"TWO THOUSAND EIGHTEEN",IF(AR35=2019,"TWO THOUSAND NINETEEN",IF(AR35=2020,"TWO THOUSAND TWENTY",IF(AR35=2021,"TWO THOUSAND TWENTY ONE",IF(AR35=2022,"TWO THOUSAND TWENTY TWO",IF(AR35=2023,"TWO THOUSAND TWENTY THREE",IF(AR35=2024,"TWO THOUSAND TWENTY FOUR",IF(AR35=2025,"TWO THOUSAND TWENTY FIVE","")))))))))))))))))))))))))))))))))))))))))))))))))))))))))))))))))</f>
        <v>TWO THOUSAND FIVE</v>
      </c>
      <c r="AS38" t="str">
        <f>IF(AS35=1,"JANUARY",IF(AS35=2,"FEBUARY", IF(AS35=3,"MARCH",IF(AS35=4,"APRIL",IF(AS35=5,"MAY",IF(AS35=6,"JUNE",IF(AS35=7,"JULY",IF(AS35=8,"AUGUST",IF(AS35=9,"SEPTEMBER",IF(AS35=10,"OCTOBER",IF(AS35=11,"NOVEMBER",IF(AS35=12,"DECEMBER",""))))))))))))</f>
        <v>MARCH</v>
      </c>
      <c r="AT38" t="str">
        <f>IF(AT35=1,"1ST",IF(AT35=2,"2ND", IF(AT35=3,"3RD",IF(AT35=4,"FOURTH",IF(AT35=5,"FIFTH",IF(AT35=6,"SIXTH",IF(AT35=7,"7TH",IF(AT35=8,"8TH",IF(AT35=9,"9TH",IF(AT35=10,"10TH",IF(AT35=11,"11TH",IF(AT35=12,"12TH",IF(AT35=13,"13TH",IF(AT35=14,"14TH",IF(AT35=15,"FIFTEEN",IF(AT35=16,"SIXTEEN",IF(AT35=17,"SEVENTEEN",IF(AT35=18,"EIGHTEEN",IF(AT35=19,"NINETEEN",IF(AT35=20,"TWENTY",IF(AT35=21,"TWENTY FIRST",IF(AT35=22,"TWENTY SECOND",IF(AT35=23,"TWENTY THIRD",IF(AT35=24,"TWENTY FOURTH",IF(AT35=25,"TWENTY FIFTH",IF(AT35=26,"TWENTY SIX",IF(AT35=27,"TWENTY SEVEN",IF(AT35=28,"TWENTY EIGHT",IF(AT35=29,"TWENTY NINE",IF(AT35=30,"THIRTY",IF(AT35=31,"THIRTY FIRST","")))))))))))))))))))))))))))))))</f>
        <v>3RD</v>
      </c>
      <c r="AX38" t="str">
        <f>IF(AX35=1961,"NINETEEN SIXTY ONE",IF(AX35=1962,"NINETEEN SIXTY TWO",IF(AX35=1963,"NINETEEN SIXTY THREE",IF(AX35=1964,"NINETEEN SIXTY FOUR",IF(AX35=1965,"NINETEEN SIXTY FIVE",IF(AX35=1966,"NINETEEN SIXTY SIX",IF(AX35=1967,"NINETEEN SIXTY SEVEN",IF(AX35=1968,"NINETEEN SIXTY EIGHT",IF(AX35=1969,"NINETEEN SIXTY NINE",IF(AX35=1970,"NINETEEN SEVENTY",IF(AX35=1971,"NINETEEN SEVENTY ONE",IF(AX35=1972,"NINETEEN SEVENTY TWO",IF(AX35=1973,"NINETEEN SEVENTY THREE",IF(AX35=1974,"NINETEEN SEVENTY FOUR",IF(AX35=1975,"NINETEEN SEVENTY FIVE",IF(AX35=1976,"NINETEEN SEVENTY SIX",IF(AX35=1977,"NINETEEN SEVENTY SEVEN",IF(AX35=1978,"NINETEEN SEVENTY EIGHT",IF(AX35=1979,"NINETEEN SEVENTY NINE",IF(AX35=1980,"NINETEEN EIGHTY",IF(AX35=1981,"NINETEEN EIGHTY ONE",IF(AX35=1982,"NINETEEN EIGHTY TWO",IF(AX35=1983,"NINETEEN EIGHTY THREE",IF(AX35=1984,"NINETEEN EIGHTY FOUR",IF(AX35=1985,"NINETEEN EIGHTY FIVE",IF(AX35=1986,"NINETEEN EIGHTY SIX",IF(AX35=1987,"NINETEEN EIGHTY SEVEN",IF(AX35=1988,"NINETEEN EIGHTY EIGHT",IF(AX35=1989,"NINETEEN EIGHTY NINE",IF(AX35=1990,"NINETEEN NINETY",IF(AX35=1991,"NINETEEN NINETY ONE",IF(AX35=1992,"NINETEEN NINETY TWO",IF(AX35=1993,"NINETEEN NINETY THREE",IF(AX35=1994,"NINETEEN NINETY FOUR",IF(AX35=1995,"NINETEEN NINETY FIVE",IF(AX35=1996,"NINETEEN NINETY SIX",IF(AX35=1997,"NINETEEN NINETY SEVEN",IF(AX35=1998,"NINETEEN NINETY EIGHT",IF(AX35=1999,"NINETEEN NINETY NINE",IF(AX35=2000,"TWO THOUSAND",IF(AX35=2001,"TWO THOUSAND ONE",IF(AX35=2002,"TWO THOUSAND TWO",IF(AX35=2003,"TWO THOUSAND THREE",IF(AX35=2004,"TWO THOUSAND FOUR",IF(AX35=2005,"TWO THOUSAND FIVE",IF(AX35=2006,"TWO THOUSAND SIX",IF(AX35=2007,"TWO THOUSAND SEVEN",IF(AX35=2008,"TWO THOUSAND EIGHT",IF(AX35=2009,"TWO THOUSAND NINE",IF(AX35=2010,"TWO THOUSAND TEN",IF(AX35=2011,"TWO THOUSAND ELEVEN",IF(AX35=2012,"TWO THOUSAND TWELVE",IF(AX35=2013,"TWO THOUSAND THIRTEEN",IF(AX35=2014,"TWO THOUSAND FOURTEEN",IF(AX35=2015,"TWO THOUSAND FIFTEEN",IF(AX35=2016,"TWO THOUSAND SIXTEEN",IF(AX35=2017,"TWO THOUSAND SEVENTEEN",IF(AX35=2018,"TWO THOUSAND EIGHTEEN",IF(AX35=2019,"TWO THOUSAND NINETEEN",IF(AX35=2020,"TWO THOUSAND TWENTY",IF(AX35=2021,"TWO THOUSAND TWENTY ONE",IF(AX35=2022,"TWO THOUSAND TWENTY TWO",IF(AX35=2023,"TWO THOUSAND TWENTY THREE",IF(AX35=2024,"TWO THOUSAND TWENTY FOUR",IF(AX35=2025,"TWO THOUSAND TWENTY FIVE","")))))))))))))))))))))))))))))))))))))))))))))))))))))))))))))))))</f>
        <v>TWO THOUSAND SIX</v>
      </c>
      <c r="AY38" t="str">
        <f>IF(AY35=1,"JANUARY",IF(AY35=2,"FEBUARY", IF(AY35=3,"MARCH",IF(AY35=4,"APRIL",IF(AY35=5,"MAY",IF(AY35=6,"JUNE",IF(AY35=7,"JULY",IF(AY35=8,"AUGUST",IF(AY35=9,"SEPTEMBER",IF(AY35=10,"OCTOBER",IF(AY35=11,"NOVEMBER",IF(AY35=12,"DECEMBER",""))))))))))))</f>
        <v>JUNE</v>
      </c>
      <c r="AZ38" t="str">
        <f>IF(AZ35=1,"1ST",IF(AZ35=2,"2ND", IF(AZ35=3,"3RD",IF(AZ35=4,"FOURTH",IF(AZ35=5,"FIFTH",IF(AZ35=6,"SIXTH",IF(AZ35=7,"7TH",IF(AZ35=8,"8TH",IF(AZ35=9,"9TH",IF(AZ35=10,"10TH",IF(AZ35=11,"11TH",IF(AZ35=12,"12TH",IF(AZ35=13,"13TH",IF(AZ35=14,"14TH",IF(AZ35=15,"FIFTEEN",IF(AZ35=16,"SIXTEEN",IF(AZ35=17,"SEVENTEEN",IF(AZ35=18,"EIGHTEEN",IF(AZ35=19,"NINETEEN",IF(AZ35=20,"TWENTY",IF(AZ35=21,"TWENTY FIRST",IF(AZ35=22,"TWENTY SECOND",IF(AZ35=23,"TWENTY THIRD",IF(AZ35=24,"TWENTY FOURTH",IF(AZ35=25,"TWENTY FIFTH",IF(AZ35=26,"TWENTY SIX",IF(AZ35=27,"TWENTY SEVEN",IF(AZ35=28,"TWENTY EIGHT",IF(AZ35=29,"TWENTY NINE",IF(AZ35=30,"THIRTY",IF(AZ35=31,"THIRTY FIRST","")))))))))))))))))))))))))))))))</f>
        <v>SIXTH</v>
      </c>
      <c r="BE38" s="17"/>
      <c r="BF38" s="17"/>
    </row>
    <row r="39" spans="1:58" s="467" customFormat="1" ht="9.75" customHeight="1">
      <c r="A39" s="465"/>
      <c r="B39" s="1712"/>
      <c r="C39" s="1712"/>
      <c r="D39" s="1712"/>
      <c r="E39" s="1712"/>
      <c r="F39" s="1712"/>
      <c r="G39" s="1712"/>
      <c r="H39" s="1712"/>
      <c r="I39" s="1712"/>
      <c r="J39" s="1712"/>
      <c r="K39" s="1712"/>
      <c r="L39" s="1712"/>
      <c r="M39" s="1712"/>
      <c r="N39" s="1712"/>
      <c r="O39" s="1712"/>
      <c r="P39" s="715"/>
      <c r="Q39"/>
      <c r="R39" s="1713"/>
      <c r="S39" s="1713"/>
      <c r="T39" s="1713"/>
      <c r="U39" s="1713"/>
      <c r="V39" s="1713"/>
      <c r="W39" s="1713"/>
      <c r="X39" s="1713"/>
      <c r="Y39" s="1713"/>
      <c r="Z39" s="1713"/>
      <c r="AA39" s="1713"/>
      <c r="AB39" s="1713"/>
      <c r="AC39" s="1713"/>
      <c r="AD39" s="1713"/>
      <c r="AE39" s="1713"/>
      <c r="AF39" s="712"/>
      <c r="AQ39" s="17"/>
      <c r="AR39"/>
      <c r="AS39" t="str">
        <f>CONCATENATE(AS38," ",AT38,", ",AR38)</f>
        <v>MARCH 3RD, TWO THOUSAND FIVE</v>
      </c>
      <c r="AT39"/>
      <c r="AX39"/>
      <c r="AY39" t="str">
        <f>CONCATENATE(AY38," ",AZ38,", ",AX38)</f>
        <v>JUNE SIXTH, TWO THOUSAND SIX</v>
      </c>
      <c r="AZ39"/>
      <c r="BE39" s="17"/>
      <c r="BF39" s="17"/>
    </row>
    <row r="40" spans="1:58" s="467" customFormat="1" ht="27.75" customHeight="1">
      <c r="A40" s="465"/>
      <c r="B40" s="1685" t="str">
        <f>IF('Master Sheet'!$D$11="Hindi","विषय का नाम","Subject Name")</f>
        <v>विषय का नाम</v>
      </c>
      <c r="C40" s="1681" t="str">
        <f>IF('Master Sheet'!$D$11="Hindi","सामयिक परख","Seasonal Exam")</f>
        <v>सामयिक परख</v>
      </c>
      <c r="D40" s="1681"/>
      <c r="E40" s="1681"/>
      <c r="F40" s="1681"/>
      <c r="G40" s="1681" t="str">
        <f>IF('Master Sheet'!$D$11="Hindi","अर्द्धवार्षिक","Half Yearly")</f>
        <v>अर्द्धवार्षिक</v>
      </c>
      <c r="H40" s="1681"/>
      <c r="I40" s="1681"/>
      <c r="J40" s="1682" t="str">
        <f>IF('Master Sheet'!$D$11="Hindi","अर्द्ध वा. तक योग","Total Till H.Y.")</f>
        <v>अर्द्ध वा. तक योग</v>
      </c>
      <c r="K40" s="1681" t="str">
        <f>IF('Master Sheet'!$D$11="Hindi","वार्षिक","Yearly Exam")</f>
        <v>वार्षिक</v>
      </c>
      <c r="L40" s="1681"/>
      <c r="M40" s="1681"/>
      <c r="N40" s="1681"/>
      <c r="O40" s="1683" t="str">
        <f>IF('Master Sheet'!$D$11="Hindi","विषय कुल योग ","Subject Total")</f>
        <v xml:space="preserve">विषय कुल योग </v>
      </c>
      <c r="P40" s="1684" t="str">
        <f>IF('Master Sheet'!$D$11="Hindi","विषय परिणाम / विषय श्रेणी","Sub. Result /  Sub. Div.")</f>
        <v>विषय परिणाम / विषय श्रेणी</v>
      </c>
      <c r="Q40"/>
      <c r="R40" s="1685" t="str">
        <f>IF('Master Sheet'!$D$11="Hindi","विषय का नाम","Subject Name")</f>
        <v>विषय का नाम</v>
      </c>
      <c r="S40" s="1681" t="str">
        <f>IF('Master Sheet'!$D$11="Hindi","सामयिक परख","Seasonal Exam")</f>
        <v>सामयिक परख</v>
      </c>
      <c r="T40" s="1681"/>
      <c r="U40" s="1681"/>
      <c r="V40" s="1681"/>
      <c r="W40" s="1681" t="str">
        <f>IF('Master Sheet'!$D$11="Hindi","अर्द्धवार्षिक","Half Yearly")</f>
        <v>अर्द्धवार्षिक</v>
      </c>
      <c r="X40" s="1681"/>
      <c r="Y40" s="1681"/>
      <c r="Z40" s="1682" t="str">
        <f>IF('Master Sheet'!$D$11="Hindi","अर्द्ध वा. तक योग","Total Till H.Y.")</f>
        <v>अर्द्ध वा. तक योग</v>
      </c>
      <c r="AA40" s="1681" t="str">
        <f>IF('Master Sheet'!$D$11="Hindi","वार्षिक","Yearly Exam")</f>
        <v>वार्षिक</v>
      </c>
      <c r="AB40" s="1681"/>
      <c r="AC40" s="1681"/>
      <c r="AD40" s="1681"/>
      <c r="AE40" s="1683" t="str">
        <f>IF('Master Sheet'!$D$11="Hindi","विषय कुल योग ","Subject Total")</f>
        <v xml:space="preserve">विषय कुल योग </v>
      </c>
      <c r="AF40" s="1684" t="str">
        <f>IF('Master Sheet'!$D$11="Hindi","विषय परिणाम / विषय श्रेणी","Sub. Result /  Sub. Div.")</f>
        <v>विषय परिणाम / विषय श्रेणी</v>
      </c>
      <c r="AQ40" s="17"/>
      <c r="AR40"/>
      <c r="AS40"/>
      <c r="AT40"/>
      <c r="AX40"/>
      <c r="AY40"/>
      <c r="AZ40"/>
      <c r="BE40" s="17"/>
      <c r="BF40" s="17"/>
    </row>
    <row r="41" spans="1:58" s="467" customFormat="1" ht="78.75" customHeight="1">
      <c r="A41" s="465"/>
      <c r="B41" s="1685"/>
      <c r="C41" s="739" t="str">
        <f>IF('Master Sheet'!$D$11="Hindi","प्रथम परख ","First Test")</f>
        <v xml:space="preserve">प्रथम परख </v>
      </c>
      <c r="D41" s="739" t="str">
        <f>IF('Master Sheet'!$D$11="Hindi","द्वितीय परख","Second Test")</f>
        <v>द्वितीय परख</v>
      </c>
      <c r="E41" s="739" t="str">
        <f>IF('Master Sheet'!$D$11="Hindi","तृतीय परख","Third Test")</f>
        <v>तृतीय परख</v>
      </c>
      <c r="F41" s="740" t="str">
        <f>IF('Master Sheet'!$D$11="Hindi","सा. परख योग","Test Total")</f>
        <v>सा. परख योग</v>
      </c>
      <c r="G41" s="739" t="str">
        <f>IF('Master Sheet'!$D$11="Hindi","सैद्धांतिक","Theoretical")</f>
        <v>सैद्धांतिक</v>
      </c>
      <c r="H41" s="739" t="str">
        <f>IF('Master Sheet'!$D$11="Hindi","प्रायोगिक","Practical")</f>
        <v>प्रायोगिक</v>
      </c>
      <c r="I41" s="741" t="str">
        <f>IF('Master Sheet'!$D$11="Hindi","अर्द्ध वा. योग","Total H.Y.")</f>
        <v>अर्द्ध वा. योग</v>
      </c>
      <c r="J41" s="1682"/>
      <c r="K41" s="739" t="str">
        <f>IF('Master Sheet'!$D$11="Hindi","सैद्धांतिक","Theoretical")</f>
        <v>सैद्धांतिक</v>
      </c>
      <c r="L41" s="739" t="str">
        <f>IF('Master Sheet'!$D$11="Hindi","प्रायोगिक","Practical")</f>
        <v>प्रायोगिक</v>
      </c>
      <c r="M41" s="739" t="str">
        <f>IF('Master Sheet'!$D$11="Hindi","पोर्टफोलियो","Portfolio")</f>
        <v>पोर्टफोलियो</v>
      </c>
      <c r="N41" s="741" t="str">
        <f>IF('Master Sheet'!$D$11="Hindi","वार्षिक योग","Total Yearly")</f>
        <v>वार्षिक योग</v>
      </c>
      <c r="O41" s="1683"/>
      <c r="P41" s="1684"/>
      <c r="Q41"/>
      <c r="R41" s="1685"/>
      <c r="S41" s="739" t="str">
        <f>IF('Master Sheet'!$D$11="Hindi","प्रथम परख ","First Test")</f>
        <v xml:space="preserve">प्रथम परख </v>
      </c>
      <c r="T41" s="739" t="str">
        <f>IF('Master Sheet'!$D$11="Hindi","द्वितीय परख","Second Test")</f>
        <v>द्वितीय परख</v>
      </c>
      <c r="U41" s="739" t="str">
        <f>IF('Master Sheet'!$D$11="Hindi","तृतीय परख","Third Test")</f>
        <v>तृतीय परख</v>
      </c>
      <c r="V41" s="740" t="str">
        <f>IF('Master Sheet'!$D$11="Hindi","सा. परख योग","Test Total")</f>
        <v>सा. परख योग</v>
      </c>
      <c r="W41" s="739" t="str">
        <f>IF('Master Sheet'!$D$11="Hindi","सैद्धांतिक","Theoretical")</f>
        <v>सैद्धांतिक</v>
      </c>
      <c r="X41" s="739" t="str">
        <f>IF('Master Sheet'!$D$11="Hindi","प्रायोगिक","Practical")</f>
        <v>प्रायोगिक</v>
      </c>
      <c r="Y41" s="741" t="str">
        <f>IF('Master Sheet'!$D$11="Hindi","अर्द्ध वा. योग","Total H.Y.")</f>
        <v>अर्द्ध वा. योग</v>
      </c>
      <c r="Z41" s="1682"/>
      <c r="AA41" s="739" t="str">
        <f>IF('Master Sheet'!$D$11="Hindi","सैद्धांतिक","Theoretical")</f>
        <v>सैद्धांतिक</v>
      </c>
      <c r="AB41" s="739" t="str">
        <f>IF('Master Sheet'!$D$11="Hindi","प्रायोगिक","Practical")</f>
        <v>प्रायोगिक</v>
      </c>
      <c r="AC41" s="739" t="str">
        <f>IF('Master Sheet'!$D$11="Hindi","पोर्टफोलियो","Portfolio")</f>
        <v>पोर्टफोलियो</v>
      </c>
      <c r="AD41" s="741" t="str">
        <f>IF('Master Sheet'!$D$11="Hindi","वार्षिक योग","Total Yearly")</f>
        <v>वार्षिक योग</v>
      </c>
      <c r="AE41" s="1683"/>
      <c r="AF41" s="1684"/>
      <c r="AQ41" s="17"/>
      <c r="AR41"/>
      <c r="AS41"/>
      <c r="AT41"/>
      <c r="AX41"/>
      <c r="AY41"/>
      <c r="AZ41"/>
      <c r="BE41" s="17"/>
      <c r="BF41" s="17"/>
    </row>
    <row r="42" spans="1:58" s="471" customFormat="1" ht="28.5" customHeight="1">
      <c r="A42" s="470"/>
      <c r="B42" s="1685"/>
      <c r="C42" s="736">
        <v>10</v>
      </c>
      <c r="D42" s="736">
        <v>10</v>
      </c>
      <c r="E42" s="736">
        <v>10</v>
      </c>
      <c r="F42" s="788">
        <v>30</v>
      </c>
      <c r="G42" s="737" t="s">
        <v>289</v>
      </c>
      <c r="H42" s="717" t="s">
        <v>285</v>
      </c>
      <c r="I42" s="738">
        <v>70</v>
      </c>
      <c r="J42" s="745">
        <v>100</v>
      </c>
      <c r="K42" s="737" t="s">
        <v>286</v>
      </c>
      <c r="L42" s="717" t="s">
        <v>143</v>
      </c>
      <c r="M42" s="736">
        <v>20</v>
      </c>
      <c r="N42" s="738">
        <v>100</v>
      </c>
      <c r="O42" s="746">
        <v>200</v>
      </c>
      <c r="P42" s="1684"/>
      <c r="Q42"/>
      <c r="R42" s="1685"/>
      <c r="S42" s="736">
        <v>10</v>
      </c>
      <c r="T42" s="736">
        <v>10</v>
      </c>
      <c r="U42" s="736">
        <v>10</v>
      </c>
      <c r="V42" s="788">
        <v>30</v>
      </c>
      <c r="W42" s="737" t="s">
        <v>289</v>
      </c>
      <c r="X42" s="717" t="s">
        <v>285</v>
      </c>
      <c r="Y42" s="738">
        <v>70</v>
      </c>
      <c r="Z42" s="745">
        <v>100</v>
      </c>
      <c r="AA42" s="737" t="s">
        <v>286</v>
      </c>
      <c r="AB42" s="717" t="s">
        <v>143</v>
      </c>
      <c r="AC42" s="736">
        <v>20</v>
      </c>
      <c r="AD42" s="738">
        <v>100</v>
      </c>
      <c r="AE42" s="746">
        <v>200</v>
      </c>
      <c r="AF42" s="1684"/>
      <c r="AQ42" s="17"/>
      <c r="AR42"/>
      <c r="AS42"/>
      <c r="AT42"/>
      <c r="AX42"/>
      <c r="AY42"/>
      <c r="AZ42"/>
      <c r="BE42" s="17"/>
      <c r="BF42" s="17"/>
    </row>
    <row r="43" spans="1:58" s="467" customFormat="1" ht="22.5" customHeight="1">
      <c r="A43" s="465"/>
      <c r="B43" s="710" t="str">
        <f>'Statement of Marks'!$J$3</f>
        <v>Com. Hindi</v>
      </c>
      <c r="C43" s="91">
        <f>IFERROR(VLOOKUP(L36,'Statement of Marks'!$B$8:'Statement of Marks'!$HI$207,9,0),"")</f>
        <v>9</v>
      </c>
      <c r="D43" s="91">
        <f>IFERROR(VLOOKUP(L36,'Statement of Marks'!$B$8:'Statement of Marks'!$HI$207,10,0),"")</f>
        <v>9</v>
      </c>
      <c r="E43" s="91">
        <f>IFERROR(VLOOKUP(L36,'Statement of Marks'!$B$8:'Statement of Marks'!$HI$207,11,0),"")</f>
        <v>8</v>
      </c>
      <c r="F43" s="461">
        <f>IFERROR(VLOOKUP(L36,'Statement of Marks'!$B$8:'Statement of Marks'!$HI$207,12,0),"")</f>
        <v>26</v>
      </c>
      <c r="G43" s="91">
        <f>IFERROR(VLOOKUP(L36,'Statement of Marks'!$B$8:'Statement of Marks'!$HI$207,13,0),"")</f>
        <v>41</v>
      </c>
      <c r="H43" s="91"/>
      <c r="I43" s="787">
        <f>IFERROR(VLOOKUP(L36,'Statement of Marks'!$B$8:'Statement of Marks'!$HI$207,13,0),"")</f>
        <v>41</v>
      </c>
      <c r="J43" s="724">
        <f>IFERROR(IF(AND(L36="",A43="",F43="",I43=""),"",SUM(C43,D43,E43,G43,H43)),"")</f>
        <v>67</v>
      </c>
      <c r="K43" s="91">
        <f>IFERROR(VLOOKUP(L36,'Statement of Marks'!$B$8:'Statement of Marks'!$HI$207,15,0),"")</f>
        <v>65</v>
      </c>
      <c r="L43" s="462"/>
      <c r="M43" s="721"/>
      <c r="N43" s="759">
        <f>IFERROR(VLOOKUP(L36,'Statement of Marks'!$B$8:'Statement of Marks'!$HI$207,15,0),"")</f>
        <v>65</v>
      </c>
      <c r="O43" s="732">
        <f>IFERROR(VLOOKUP(L36,'Statement of Marks'!$B$8:'Statement of Marks'!$HI$207,16,0),"")</f>
        <v>132</v>
      </c>
      <c r="P43" s="722" t="str">
        <f>IFERROR(IF(N43="","",IF(VLOOKUP(L36,'Statement of Marks'!$B$8:'Statement of Marks'!$HI$207,165,0)="D","I",VLOOKUP(L36,'Statement of Marks'!$B$8:'Statement of Marks'!$HI$207,165,0))),"")</f>
        <v>I</v>
      </c>
      <c r="Q43"/>
      <c r="R43" s="710" t="str">
        <f>'Statement of Marks'!$J$3</f>
        <v>Com. Hindi</v>
      </c>
      <c r="S43" s="91">
        <f>IFERROR(VLOOKUP(AB36,'Statement of Marks'!$B$8:'Statement of Marks'!$HI$207,9,0),"")</f>
        <v>5</v>
      </c>
      <c r="T43" s="91">
        <f>IFERROR(VLOOKUP(AB36,'Statement of Marks'!$B$8:'Statement of Marks'!$HI$207,10,0),"")</f>
        <v>7</v>
      </c>
      <c r="U43" s="91">
        <f>IFERROR(VLOOKUP(AB36,'Statement of Marks'!$B$8:'Statement of Marks'!$HI$207,11,0),"")</f>
        <v>8</v>
      </c>
      <c r="V43" s="461">
        <f>IFERROR(VLOOKUP(AB36,'Statement of Marks'!$B$8:'Statement of Marks'!$HI$207,12,0),"")</f>
        <v>20</v>
      </c>
      <c r="W43" s="91">
        <f>IFERROR(VLOOKUP(AB36,'Statement of Marks'!$B$8:'Statement of Marks'!$HI$207,13,0),"")</f>
        <v>32</v>
      </c>
      <c r="X43" s="91"/>
      <c r="Y43" s="787">
        <f>IFERROR(VLOOKUP(AB36,'Statement of Marks'!$B$8:'Statement of Marks'!$HI$207,13,0),"")</f>
        <v>32</v>
      </c>
      <c r="Z43" s="724">
        <f>IFERROR(IF(AND(AB36="",Q43="",V43="",Y43=""),"",SUM(S43,T43,U43,W43,X43)),"")</f>
        <v>52</v>
      </c>
      <c r="AA43" s="91">
        <f>IFERROR(VLOOKUP(AB36,'Statement of Marks'!$B$8:'Statement of Marks'!$HI$207,15,0),"")</f>
        <v>54</v>
      </c>
      <c r="AB43" s="462"/>
      <c r="AC43" s="721"/>
      <c r="AD43" s="759">
        <f>IFERROR(VLOOKUP(AB36,'Statement of Marks'!$B$8:'Statement of Marks'!$HI$207,15,0),"")</f>
        <v>54</v>
      </c>
      <c r="AE43" s="732">
        <f>IFERROR(VLOOKUP(AB36,'Statement of Marks'!$B$8:'Statement of Marks'!$HI$207,16,0),"")</f>
        <v>106</v>
      </c>
      <c r="AF43" s="722" t="str">
        <f>IFERROR(IF(AD43="","",IF(VLOOKUP(AB36,'Statement of Marks'!$B$8:'Statement of Marks'!$HI$207,165,0)="D","I",VLOOKUP(AB36,'Statement of Marks'!$B$8:'Statement of Marks'!$HI$207,165,0))),"")</f>
        <v>II</v>
      </c>
      <c r="AQ43" s="17"/>
      <c r="AR43"/>
      <c r="AS43"/>
      <c r="AT43"/>
      <c r="AX43"/>
      <c r="AY43"/>
      <c r="AZ43"/>
      <c r="BE43" s="17"/>
      <c r="BF43" s="17"/>
    </row>
    <row r="44" spans="1:58" s="467" customFormat="1" ht="22.5" customHeight="1">
      <c r="A44" s="465"/>
      <c r="B44" s="710" t="str">
        <f>'Statement of Marks'!$X$3</f>
        <v>Com. English</v>
      </c>
      <c r="C44" s="91">
        <f>IFERROR(VLOOKUP(L36,'Statement of Marks'!$B$8:'Statement of Marks'!$HI$207,23,0),"")</f>
        <v>9</v>
      </c>
      <c r="D44" s="91">
        <f>IFERROR(VLOOKUP(L36,'Statement of Marks'!$B$8:'Statement of Marks'!$HI$207,24,0),"")</f>
        <v>6</v>
      </c>
      <c r="E44" s="91">
        <f>IFERROR(VLOOKUP(L36,'Statement of Marks'!$B$8:'Statement of Marks'!$HI$207,25,0),"")</f>
        <v>9</v>
      </c>
      <c r="F44" s="461">
        <f>IFERROR(VLOOKUP(L36,'Statement of Marks'!$B$8:'Statement of Marks'!$HI$207,26,0),"")</f>
        <v>24</v>
      </c>
      <c r="G44" s="91">
        <f>IFERROR(VLOOKUP(L36,'Statement of Marks'!$B$8:'Statement of Marks'!$HI$207,27,0),"")</f>
        <v>42</v>
      </c>
      <c r="H44" s="91"/>
      <c r="I44" s="787">
        <f>IFERROR(VLOOKUP(L36,'Statement of Marks'!$B$8:'Statement of Marks'!$HI$207,27,0),"")</f>
        <v>42</v>
      </c>
      <c r="J44" s="724">
        <f>IFERROR(IF(AND(L36="",A44="",F44="",I44=""),"",SUM(C44,D44,E44,G44,H44)),"")</f>
        <v>66</v>
      </c>
      <c r="K44" s="91">
        <f>IFERROR(VLOOKUP(L36,'Statement of Marks'!$B$8:'Statement of Marks'!$HI$207,29,0),"")</f>
        <v>70</v>
      </c>
      <c r="L44" s="462"/>
      <c r="M44" s="721"/>
      <c r="N44" s="759">
        <f>IFERROR(VLOOKUP(L36,'Statement of Marks'!$B$8:'Statement of Marks'!$HI$207,29,0),"")</f>
        <v>70</v>
      </c>
      <c r="O44" s="732">
        <f>IFERROR(VLOOKUP(L36,'Statement of Marks'!$B$8:'Statement of Marks'!$HI$207,30,0),"")</f>
        <v>136</v>
      </c>
      <c r="P44" s="722" t="str">
        <f>IFERROR(IF(O44="","",IF(VLOOKUP(L36,'Statement of Marks'!$B$8:'Statement of Marks'!$HI$207,168,0)="D","I",VLOOKUP(L36,'Statement of Marks'!$B$8:'Statement of Marks'!$HI$207,168,0))),"")</f>
        <v>I</v>
      </c>
      <c r="Q44"/>
      <c r="R44" s="710" t="str">
        <f>'Statement of Marks'!$X$3</f>
        <v>Com. English</v>
      </c>
      <c r="S44" s="91">
        <f>IFERROR(VLOOKUP(AB36,'Statement of Marks'!$B$8:'Statement of Marks'!$HI$207,23,0),"")</f>
        <v>3</v>
      </c>
      <c r="T44" s="91">
        <f>IFERROR(VLOOKUP(AB36,'Statement of Marks'!$B$8:'Statement of Marks'!$HI$207,24,0),"")</f>
        <v>3</v>
      </c>
      <c r="U44" s="91">
        <f>IFERROR(VLOOKUP(AB36,'Statement of Marks'!$B$8:'Statement of Marks'!$HI$207,25,0),"")</f>
        <v>9</v>
      </c>
      <c r="V44" s="461">
        <f>IFERROR(VLOOKUP(AB36,'Statement of Marks'!$B$8:'Statement of Marks'!$HI$207,26,0),"")</f>
        <v>15</v>
      </c>
      <c r="W44" s="91">
        <f>IFERROR(VLOOKUP(AB36,'Statement of Marks'!$B$8:'Statement of Marks'!$HI$207,27,0),"")</f>
        <v>48</v>
      </c>
      <c r="X44" s="91"/>
      <c r="Y44" s="787">
        <f>IFERROR(VLOOKUP(AB36,'Statement of Marks'!$B$8:'Statement of Marks'!$HI$207,27,0),"")</f>
        <v>48</v>
      </c>
      <c r="Z44" s="724">
        <f>IFERROR(IF(AND(AB36="",Q44="",V44="",Y44=""),"",SUM(S44,T44,U44,W44,X44)),"")</f>
        <v>63</v>
      </c>
      <c r="AA44" s="91">
        <f>IFERROR(VLOOKUP(AB36,'Statement of Marks'!$B$8:'Statement of Marks'!$HI$207,29,0),"")</f>
        <v>73</v>
      </c>
      <c r="AB44" s="462"/>
      <c r="AC44" s="721"/>
      <c r="AD44" s="759">
        <f>IFERROR(VLOOKUP(AB36,'Statement of Marks'!$B$8:'Statement of Marks'!$HI$207,29,0),"")</f>
        <v>73</v>
      </c>
      <c r="AE44" s="732">
        <f>IFERROR(VLOOKUP(AB36,'Statement of Marks'!$B$8:'Statement of Marks'!$HI$207,30,0),"")</f>
        <v>136</v>
      </c>
      <c r="AF44" s="722" t="str">
        <f>IFERROR(IF(AE44="","",IF(VLOOKUP(AB36,'Statement of Marks'!$B$8:'Statement of Marks'!$HI$207,168,0)="D","I",VLOOKUP(AB36,'Statement of Marks'!$B$8:'Statement of Marks'!$HI$207,168,0))),"")</f>
        <v>I</v>
      </c>
      <c r="AQ44" s="17"/>
      <c r="AR44"/>
      <c r="AS44"/>
      <c r="AT44"/>
      <c r="AU44" s="17" t="str">
        <f>IFERROR(VLOOKUP(L36,'Statement of Marks'!$B$8:'Statement of Marks'!$HI$207,37,0),"")</f>
        <v>A</v>
      </c>
      <c r="AV44" s="17" t="str">
        <f>IFERROR(VLOOKUP(AB36,'Statement of Marks'!$B$8:'Statement of Marks'!$HI$207,37,0),"")</f>
        <v>B</v>
      </c>
      <c r="AX44"/>
      <c r="AY44"/>
      <c r="AZ44"/>
      <c r="BE44" s="17" t="str">
        <f>IFERROR(IF(VLOOKUP(AB36,'Statement of Marks'!$B$7:'Statement of Marks'!$IC$206,206,0)="By Grace Pass","By Grace Pass and Promoted to Class 12th",IF(VLOOKUP(AB36,'Statement of Marks'!$B$7:'Statement of Marks'!$IC$206,206,0)="PASS","PASS  and Promoted to Class 12th",IF(VLOOKUP(AB36,'Statement of Marks'!$B$7:'Statement of Marks'!$IC$206,206,0)="SUPPLEMENTARY","Supplementary",IF(VLOOKUP(AB36,'Statement of Marks'!$B$7:'Statement of Marks'!$IC$206,206,0)="Re-Exam","RE-EXAM",IF(VLOOKUP(AB36,'Statement of Marks'!$B$7:'Statement of Marks'!$IC$206,206,0)="FAIL","FAIL",""))))),"")</f>
        <v>PASS  and Promoted to Class 12th</v>
      </c>
      <c r="BF44" s="17" t="str">
        <f>IFERROR(IF(VLOOKUP(L36,'Statement of Marks'!$B$7:'Statement of Marks'!$IC$206,206,0)="By Grace Pass","By Grace Pass and Promoted to Class 12th",IF(VLOOKUP(L36,'Statement of Marks'!$B$7:'Statement of Marks'!$IC$206,206,0)="PASS","PASS  and Promoted to Class 12th",IF(VLOOKUP(L36,'Statement of Marks'!$B$7:'Statement of Marks'!$IC$206,206,0)="SUPPLEMENTARY","Supplementary",IF(VLOOKUP(L36,'Statement of Marks'!$B$7:'Statement of Marks'!$IC$206,206,0)="Re-Exam","RE-EXAM",IF(VLOOKUP(L36,'Statement of Marks'!$B$7:'Statement of Marks'!$IC$206,206,0)="FAIL","FAIL",""))))),"")</f>
        <v>PASS  and Promoted to Class 12th</v>
      </c>
    </row>
    <row r="45" spans="1:58" s="467" customFormat="1" ht="22.5" customHeight="1">
      <c r="A45" s="465"/>
      <c r="B45" s="473" t="str">
        <f>IFERROR(IF(AND(AU44="A"),'Marks Entry'!$U$2,IF(AND(AU44="B"),'Marks Entry'!$Y$2,IF(AND(AU44="C"),'Marks Entry'!$AA$2,""))),"")</f>
        <v>POLITICAL SCIENCE</v>
      </c>
      <c r="C45" s="91">
        <f>IFERROR(VLOOKUP(L36,'Statement of Marks'!$B$8:'Statement of Marks'!$HI$207,38,0),"")</f>
        <v>9</v>
      </c>
      <c r="D45" s="91">
        <f>IFERROR(VLOOKUP(L36,'Statement of Marks'!$B$8:'Statement of Marks'!$HI$207,39,0),"")</f>
        <v>9</v>
      </c>
      <c r="E45" s="91">
        <f>IFERROR(VLOOKUP(L36,'Statement of Marks'!$B$8:'Statement of Marks'!$HI$207,40,0),"")</f>
        <v>9</v>
      </c>
      <c r="F45" s="461">
        <f>IFERROR(VLOOKUP(L36,'Statement of Marks'!$B$8:'Statement of Marks'!$HI$207,41,0),"")</f>
        <v>27</v>
      </c>
      <c r="G45" s="91">
        <f>IFERROR(VLOOKUP(L36,'Statement of Marks'!$B$8:'Statement of Marks'!$HI$207,42,0),"")</f>
        <v>40</v>
      </c>
      <c r="H45" s="91" t="str">
        <f>IFERROR(VLOOKUP(L36,'Statement of Marks'!$B$8:'Statement of Marks'!$HI$207,43,0),"")</f>
        <v/>
      </c>
      <c r="I45" s="787">
        <f>IFERROR(VLOOKUP(L36,'Statement of Marks'!$B$8:'Statement of Marks'!$HI$207,44,0),"")</f>
        <v>40</v>
      </c>
      <c r="J45" s="724">
        <f>IFERROR(IF(AND(L36="",A45="",F45="",I45=""),"",SUM(C45,D45,E45,G45,H45)),"")</f>
        <v>67</v>
      </c>
      <c r="K45" s="91">
        <f>IFERROR(VLOOKUP(L36,'Statement of Marks'!$B$8:'Statement of Marks'!$HI$207,46,0),"")</f>
        <v>45</v>
      </c>
      <c r="L45" s="91" t="str">
        <f>IFERROR(VLOOKUP(L36,'Statement of Marks'!$B$8:'Statement of Marks'!$HI$207,47,0),"")</f>
        <v/>
      </c>
      <c r="M45" s="721"/>
      <c r="N45" s="759">
        <f>IFERROR(VLOOKUP(L36,'Statement of Marks'!$B$8:'Statement of Marks'!$HI$207,48,0),"")</f>
        <v>45</v>
      </c>
      <c r="O45" s="732">
        <f>IFERROR(VLOOKUP(L36,'Statement of Marks'!$B$8:'Statement of Marks'!$HI$207,51,0),"")</f>
        <v>112</v>
      </c>
      <c r="P45" s="722" t="str">
        <f>IFERROR(IF(O45="","",IF(VLOOKUP(L36,'Statement of Marks'!$B$8:'Statement of Marks'!$HI$207,171,0)="D","I",VLOOKUP(L36,'Statement of Marks'!$B$8:'Statement of Marks'!$HI$207,171,0))),"")</f>
        <v>II</v>
      </c>
      <c r="Q45"/>
      <c r="R45" s="473" t="str">
        <f>IFERROR(IF(AND(AV44="A"),'Marks Entry'!$U$2,IF(AND(AV44="B"),'Marks Entry'!$Y$2,IF(AND(AV44="C"),'Marks Entry'!$AA$2,""))),"")</f>
        <v>BIOLOGY</v>
      </c>
      <c r="S45" s="91">
        <f>IFERROR(VLOOKUP(AB36,'Statement of Marks'!$B$8:'Statement of Marks'!$HI$207,38,0),"")</f>
        <v>8</v>
      </c>
      <c r="T45" s="91">
        <f>IFERROR(VLOOKUP(AB36,'Statement of Marks'!$B$8:'Statement of Marks'!$HI$207,39,0),"")</f>
        <v>9</v>
      </c>
      <c r="U45" s="91">
        <f>IFERROR(VLOOKUP(AB36,'Statement of Marks'!$B$8:'Statement of Marks'!$HI$207,40,0),"")</f>
        <v>7</v>
      </c>
      <c r="V45" s="461">
        <f>IFERROR(VLOOKUP(AB36,'Statement of Marks'!$B$8:'Statement of Marks'!$HI$207,41,0),"")</f>
        <v>24</v>
      </c>
      <c r="W45" s="91">
        <f>IFERROR(VLOOKUP(AB36,'Statement of Marks'!$B$8:'Statement of Marks'!$HI$207,42,0),"")</f>
        <v>28</v>
      </c>
      <c r="X45" s="91">
        <f>IFERROR(VLOOKUP(AB36,'Statement of Marks'!$B$8:'Statement of Marks'!$HI$207,43,0),"")</f>
        <v>10</v>
      </c>
      <c r="Y45" s="787">
        <f>IFERROR(VLOOKUP(AB36,'Statement of Marks'!$B$8:'Statement of Marks'!$HI$207,44,0),"")</f>
        <v>38</v>
      </c>
      <c r="Z45" s="724">
        <f>IFERROR(IF(AND(AB36="",Q45="",V45="",Y45=""),"",SUM(S45,T45,U45,W45,X45)),"")</f>
        <v>62</v>
      </c>
      <c r="AA45" s="91">
        <f>IFERROR(VLOOKUP(AB36,'Statement of Marks'!$B$8:'Statement of Marks'!$HI$207,46,0),"")</f>
        <v>47</v>
      </c>
      <c r="AB45" s="91">
        <f>IFERROR(VLOOKUP(AB36,'Statement of Marks'!$B$8:'Statement of Marks'!$HI$207,47,0),"")</f>
        <v>19</v>
      </c>
      <c r="AC45" s="721"/>
      <c r="AD45" s="759">
        <f>IFERROR(VLOOKUP(AB36,'Statement of Marks'!$B$8:'Statement of Marks'!$HI$207,48,0),"")</f>
        <v>66</v>
      </c>
      <c r="AE45" s="732">
        <f>IFERROR(VLOOKUP(AB36,'Statement of Marks'!$B$8:'Statement of Marks'!$HI$207,51,0),"")</f>
        <v>128</v>
      </c>
      <c r="AF45" s="722" t="str">
        <f>IFERROR(IF(AE45="","",IF(VLOOKUP(AB36,'Statement of Marks'!$B$8:'Statement of Marks'!$HI$207,171,0)="D","I",VLOOKUP(AB36,'Statement of Marks'!$B$8:'Statement of Marks'!$HI$207,171,0))),"")</f>
        <v>I</v>
      </c>
      <c r="AQ45" s="17"/>
      <c r="AR45"/>
      <c r="AS45"/>
      <c r="AT45"/>
      <c r="AU45" s="17" t="str">
        <f>IFERROR(VLOOKUP(L36,'Statement of Marks'!$B$8:'Statement of Marks'!$HI$207,60,0),"")</f>
        <v>B</v>
      </c>
      <c r="AV45" s="17" t="str">
        <f>IFERROR(VLOOKUP(AB36,'Statement of Marks'!$B$8:'Statement of Marks'!$HI$207,60,0),"")</f>
        <v>A</v>
      </c>
      <c r="AX45"/>
      <c r="AY45"/>
      <c r="AZ45"/>
      <c r="BE45" s="17" t="str">
        <f>IFERROR(IF(VLOOKUP(AB36,'Statement of Marks'!$B$7:'Statement of Marks'!$IC$206,206,0)="By Grace Pass","सानुग्रह उतीर्ण एवं कक्षा 12 में क्रमोन्नत",IF(VLOOKUP(AB36,'Statement of Marks'!$B$7:'Statement of Marks'!$IC$206,206,0)="PASS","उतीर्ण एवं कक्षा 12 में क्रमोन्नत",IF(VLOOKUP(AB36,'Statement of Marks'!$B$7:'Statement of Marks'!$IC$206,206,0)="SUPPLEMENTARY","पूरक",IF(VLOOKUP(AB36,'Statement of Marks'!$B$7:'Statement of Marks'!$IC$206,206,0)="Re-Exam","पुनः परीक्षा",IF(VLOOKUP(AB36,'Statement of Marks'!$B$7:'Statement of Marks'!$IC$206,206,0)="FAIL","अनुतीर्ण",""))))),"")</f>
        <v>उतीर्ण एवं कक्षा 12 में क्रमोन्नत</v>
      </c>
      <c r="BF45" s="17" t="str">
        <f>IFERROR(IF(VLOOKUP(L36,'Statement of Marks'!$B$7:'Statement of Marks'!$IC$206,206,0)="By Grace Pass","सानुग्रह उतीर्ण एवं कक्षा 12 में क्रमोन्नत",IF(VLOOKUP(L36,'Statement of Marks'!$B$7:'Statement of Marks'!$IC$206,206,0)="PASS","उतीर्ण एवं कक्षा 12 में क्रमोन्नत",IF(VLOOKUP(L36,'Statement of Marks'!$B$7:'Statement of Marks'!$IC$206,206,0)="SUPPLEMENTARY","पूरक",IF(VLOOKUP(L36,'Statement of Marks'!$B$7:'Statement of Marks'!$IC$206,206,0)="Re-Exam","पुनः परीक्षा",IF(VLOOKUP(L36,'Statement of Marks'!$B$7:'Statement of Marks'!$IC$206,206,0)="FAIL","अनुतीर्ण",""))))),"")</f>
        <v>उतीर्ण एवं कक्षा 12 में क्रमोन्नत</v>
      </c>
    </row>
    <row r="46" spans="1:58" s="467" customFormat="1" ht="22.5" customHeight="1">
      <c r="A46" s="465"/>
      <c r="B46" s="473" t="str">
        <f>IFERROR(IF(AND(AU45="A"),'Marks Entry'!$AC$2,IF(AND(AU45="B"),'Marks Entry'!$AG$2,IF(AND(AU45="C"),'Marks Entry'!$AI$2,""))),"")</f>
        <v>ACCOUNTANCY</v>
      </c>
      <c r="C46" s="91">
        <f>IFERROR(VLOOKUP(L36,'Statement of Marks'!$B$8:'Statement of Marks'!$HI$207,61,0),"")</f>
        <v>9</v>
      </c>
      <c r="D46" s="91">
        <f>IFERROR(VLOOKUP(L36,'Statement of Marks'!$B$8:'Statement of Marks'!$HI$207,62,0),"")</f>
        <v>10</v>
      </c>
      <c r="E46" s="91">
        <f>IFERROR(VLOOKUP(L36,'Statement of Marks'!$B$8:'Statement of Marks'!$HI$207,63,0),"")</f>
        <v>8</v>
      </c>
      <c r="F46" s="461">
        <f>IFERROR(VLOOKUP(L36,'Statement of Marks'!$B$8:'Statement of Marks'!$HI$207,64,0),"")</f>
        <v>27</v>
      </c>
      <c r="G46" s="91">
        <f>IFERROR(VLOOKUP(L36,'Statement of Marks'!$B$8:'Statement of Marks'!$HI$207,65,0),"")</f>
        <v>30</v>
      </c>
      <c r="H46" s="91">
        <f>IFERROR(VLOOKUP(L36,'Statement of Marks'!$B$8:'Statement of Marks'!$HI$207,66,0),"")</f>
        <v>11</v>
      </c>
      <c r="I46" s="787">
        <f>IFERROR(VLOOKUP(L36,'Statement of Marks'!$B$8:'Statement of Marks'!$HI$207,67,0),"")</f>
        <v>41</v>
      </c>
      <c r="J46" s="724">
        <f>IFERROR(IF(AND(L36="",A46="",F46="",I46=""),"",SUM(C46,D46,E46,G46,H46)),"")</f>
        <v>68</v>
      </c>
      <c r="K46" s="91">
        <f>IFERROR(VLOOKUP(L36,'Statement of Marks'!$B$8:'Statement of Marks'!$HI$207,69,0),"")</f>
        <v>54</v>
      </c>
      <c r="L46" s="91">
        <f>IFERROR(VLOOKUP(L36,'Statement of Marks'!$B$8:'Statement of Marks'!$HI$207,70,0),"")</f>
        <v>24</v>
      </c>
      <c r="M46" s="721"/>
      <c r="N46" s="759">
        <f>IFERROR(VLOOKUP(L36,'Statement of Marks'!$B$8:'Statement of Marks'!$HI$207,71,0),"")</f>
        <v>78</v>
      </c>
      <c r="O46" s="732">
        <f>IFERROR(VLOOKUP(L36,'Statement of Marks'!$B$8:'Statement of Marks'!$HI$207,74,0),"")</f>
        <v>146</v>
      </c>
      <c r="P46" s="722" t="str">
        <f>IFERROR(IF(O46="","",IF(VLOOKUP(L36,'Statement of Marks'!$B$8:'Statement of Marks'!$HI$207,178,0)="D","I",VLOOKUP(L36,'Statement of Marks'!$B$8:'Statement of Marks'!$HI$207,178,0))),"")</f>
        <v>I</v>
      </c>
      <c r="Q46"/>
      <c r="R46" s="473" t="str">
        <f>IFERROR(IF(AND(AV45="A"),'Marks Entry'!$AC$2,IF(AND(AV45="B"),'Marks Entry'!$AG$2,IF(AND(AV45="C"),'Marks Entry'!$AI$2,""))),"")</f>
        <v>HISTORY</v>
      </c>
      <c r="S46" s="91">
        <f>IFERROR(VLOOKUP(AB36,'Statement of Marks'!$B$8:'Statement of Marks'!$HI$207,61,0),"")</f>
        <v>5</v>
      </c>
      <c r="T46" s="91">
        <f>IFERROR(VLOOKUP(AB36,'Statement of Marks'!$B$8:'Statement of Marks'!$HI$207,62,0),"")</f>
        <v>5</v>
      </c>
      <c r="U46" s="91">
        <f>IFERROR(VLOOKUP(AB36,'Statement of Marks'!$B$8:'Statement of Marks'!$HI$207,63,0),"")</f>
        <v>7</v>
      </c>
      <c r="V46" s="461">
        <f>IFERROR(VLOOKUP(AB36,'Statement of Marks'!$B$8:'Statement of Marks'!$HI$207,64,0),"")</f>
        <v>17</v>
      </c>
      <c r="W46" s="91">
        <f>IFERROR(VLOOKUP(AB36,'Statement of Marks'!$B$8:'Statement of Marks'!$HI$207,65,0),"")</f>
        <v>32</v>
      </c>
      <c r="X46" s="91" t="str">
        <f>IFERROR(VLOOKUP(AB36,'Statement of Marks'!$B$8:'Statement of Marks'!$HI$207,66,0),"")</f>
        <v/>
      </c>
      <c r="Y46" s="787">
        <f>IFERROR(VLOOKUP(AB36,'Statement of Marks'!$B$8:'Statement of Marks'!$HI$207,67,0),"")</f>
        <v>32</v>
      </c>
      <c r="Z46" s="724">
        <f>IFERROR(IF(AND(AB36="",Q46="",V46="",Y46=""),"",SUM(S46,T46,U46,W46,X46)),"")</f>
        <v>49</v>
      </c>
      <c r="AA46" s="91">
        <f>IFERROR(VLOOKUP(AB36,'Statement of Marks'!$B$8:'Statement of Marks'!$HI$207,69,0),"")</f>
        <v>56</v>
      </c>
      <c r="AB46" s="91" t="str">
        <f>IFERROR(VLOOKUP(AB36,'Statement of Marks'!$B$8:'Statement of Marks'!$HI$207,70,0),"")</f>
        <v/>
      </c>
      <c r="AC46" s="721"/>
      <c r="AD46" s="759">
        <f>IFERROR(VLOOKUP(AB36,'Statement of Marks'!$B$8:'Statement of Marks'!$HI$207,71,0),"")</f>
        <v>56</v>
      </c>
      <c r="AE46" s="732">
        <f>IFERROR(VLOOKUP(AB36,'Statement of Marks'!$B$8:'Statement of Marks'!$HI$207,74,0),"")</f>
        <v>105</v>
      </c>
      <c r="AF46" s="722" t="str">
        <f>IFERROR(IF(AE46="","",IF(VLOOKUP(AB36,'Statement of Marks'!$B$8:'Statement of Marks'!$HI$207,178,0)="D","I",VLOOKUP(AB36,'Statement of Marks'!$B$8:'Statement of Marks'!$HI$207,178,0))),"")</f>
        <v>II</v>
      </c>
      <c r="AQ46" s="17"/>
      <c r="AR46"/>
      <c r="AS46"/>
      <c r="AT46"/>
      <c r="AU46" s="17" t="str">
        <f>IFERROR(VLOOKUP(L36,'Statement of Marks'!$B$8:'Statement of Marks'!$HI$207,83,0),"")</f>
        <v>A</v>
      </c>
      <c r="AV46" s="17" t="str">
        <f>IFERROR(VLOOKUP(AB36,'Statement of Marks'!$B$8:'Statement of Marks'!$HI$207,83,0),"")</f>
        <v>A</v>
      </c>
      <c r="AX46"/>
      <c r="AY46"/>
      <c r="AZ46"/>
      <c r="BE46" s="17" t="str">
        <f>IF('Master Sheet'!$D$11="Hindi",BE45,BE44)</f>
        <v>उतीर्ण एवं कक्षा 12 में क्रमोन्नत</v>
      </c>
      <c r="BF46" s="17" t="str">
        <f>IF('Master Sheet'!$D$11="Hindi",BF45,BF44)</f>
        <v>उतीर्ण एवं कक्षा 12 में क्रमोन्नत</v>
      </c>
    </row>
    <row r="47" spans="1:58" s="467" customFormat="1" ht="22.5" customHeight="1">
      <c r="A47" s="465"/>
      <c r="B47" s="473" t="str">
        <f>IFERROR(IF(AND(AU46="A"),'Marks Entry'!$AK$2,IF(AND(AU46="B"),'Marks Entry'!$AO$2,IF(AND(AU46="C"),'Marks Entry'!$AQ$2,""))),"")</f>
        <v>GEOGRAPHY</v>
      </c>
      <c r="C47" s="91">
        <f>IFERROR(VLOOKUP(L36,'Statement of Marks'!$B$8:'Statement of Marks'!$HI$207,84,0),"")</f>
        <v>6</v>
      </c>
      <c r="D47" s="91">
        <f>IFERROR(VLOOKUP(L36,'Statement of Marks'!$B$8:'Statement of Marks'!$HI$207,85,0),"")</f>
        <v>7</v>
      </c>
      <c r="E47" s="91">
        <f>IFERROR(VLOOKUP(L36,'Statement of Marks'!$B$8:'Statement of Marks'!$HI$207,86,0),"")</f>
        <v>8</v>
      </c>
      <c r="F47" s="461">
        <f>IFERROR(VLOOKUP(L36,'Statement of Marks'!$B$8:'Statement of Marks'!$HI$207,87,0),"")</f>
        <v>21</v>
      </c>
      <c r="G47" s="91">
        <f>IFERROR(VLOOKUP(L36,'Statement of Marks'!$B$8:'Statement of Marks'!$HI$207,88,0),"")</f>
        <v>31</v>
      </c>
      <c r="H47" s="91">
        <f>IFERROR(VLOOKUP(L36,'Statement of Marks'!$B$8:'Statement of Marks'!$HI$207,89,0),"")</f>
        <v>11</v>
      </c>
      <c r="I47" s="787">
        <f>IFERROR(VLOOKUP(L36,'Statement of Marks'!$B$8:'Statement of Marks'!$HI$207,90,0),"")</f>
        <v>42</v>
      </c>
      <c r="J47" s="724">
        <f>IFERROR(IF(AND(L36="",A47="",F47="",I47=""),"",SUM(C47,D47,E47,G47,H47)),"")</f>
        <v>63</v>
      </c>
      <c r="K47" s="91">
        <f>IFERROR(VLOOKUP(L36,'Statement of Marks'!$B$8:'Statement of Marks'!$HI$207,92,0),"")</f>
        <v>40</v>
      </c>
      <c r="L47" s="91">
        <f>IFERROR(VLOOKUP(L36,'Statement of Marks'!$B$8:'Statement of Marks'!$HI$207,93,0),"")</f>
        <v>12</v>
      </c>
      <c r="M47" s="721"/>
      <c r="N47" s="759">
        <f>IFERROR(VLOOKUP(L36,'Statement of Marks'!$B$8:'Statement of Marks'!$HI$207,94,0),"")</f>
        <v>52</v>
      </c>
      <c r="O47" s="732">
        <f>IFERROR(VLOOKUP(L36,'Statement of Marks'!$B$8:'Statement of Marks'!$HI$207,97,0),"")</f>
        <v>115</v>
      </c>
      <c r="P47" s="722" t="str">
        <f>IFERROR(IF(O47="","",IF(VLOOKUP(L36,'Statement of Marks'!$B$8:'Statement of Marks'!$HI$207,185,0)="D","I",VLOOKUP(L36,'Statement of Marks'!$B$8:'Statement of Marks'!$HI$207,185,0))),"")</f>
        <v>II</v>
      </c>
      <c r="Q47"/>
      <c r="R47" s="473" t="str">
        <f>IFERROR(IF(AND(AV46="A"),'Marks Entry'!$AK$2,IF(AND(AV46="B"),'Marks Entry'!$AO$2,IF(AND(AV46="C"),'Marks Entry'!$AQ$2,""))),"")</f>
        <v>GEOGRAPHY</v>
      </c>
      <c r="S47" s="91">
        <f>IFERROR(VLOOKUP(AB36,'Statement of Marks'!$B$8:'Statement of Marks'!$HI$207,84,0),"")</f>
        <v>3</v>
      </c>
      <c r="T47" s="91">
        <f>IFERROR(VLOOKUP(AB36,'Statement of Marks'!$B$8:'Statement of Marks'!$HI$207,85,0),"")</f>
        <v>7</v>
      </c>
      <c r="U47" s="91">
        <f>IFERROR(VLOOKUP(AB36,'Statement of Marks'!$B$8:'Statement of Marks'!$HI$207,86,0),"")</f>
        <v>9</v>
      </c>
      <c r="V47" s="461">
        <f>IFERROR(VLOOKUP(AB36,'Statement of Marks'!$B$8:'Statement of Marks'!$HI$207,87,0),"")</f>
        <v>19</v>
      </c>
      <c r="W47" s="91">
        <f>IFERROR(VLOOKUP(AB36,'Statement of Marks'!$B$8:'Statement of Marks'!$HI$207,88,0),"")</f>
        <v>45</v>
      </c>
      <c r="X47" s="91">
        <f>IFERROR(VLOOKUP(AB36,'Statement of Marks'!$B$8:'Statement of Marks'!$HI$207,89,0),"")</f>
        <v>15</v>
      </c>
      <c r="Y47" s="787">
        <f>IFERROR(VLOOKUP(AB36,'Statement of Marks'!$B$8:'Statement of Marks'!$HI$207,90,0),"")</f>
        <v>60</v>
      </c>
      <c r="Z47" s="724">
        <f>IFERROR(IF(AND(AB36="",Q47="",V47="",Y47=""),"",SUM(S47,T47,U47,W47,X47)),"")</f>
        <v>79</v>
      </c>
      <c r="AA47" s="91">
        <f>IFERROR(VLOOKUP(AB36,'Statement of Marks'!$B$8:'Statement of Marks'!$HI$207,92,0),"")</f>
        <v>65</v>
      </c>
      <c r="AB47" s="91">
        <f>IFERROR(VLOOKUP(AB36,'Statement of Marks'!$B$8:'Statement of Marks'!$HI$207,93,0),"")</f>
        <v>28</v>
      </c>
      <c r="AC47" s="721"/>
      <c r="AD47" s="759">
        <f>IFERROR(VLOOKUP(AB36,'Statement of Marks'!$B$8:'Statement of Marks'!$HI$207,94,0),"")</f>
        <v>93</v>
      </c>
      <c r="AE47" s="732">
        <f>IFERROR(VLOOKUP(AB36,'Statement of Marks'!$B$8:'Statement of Marks'!$HI$207,97,0),"")</f>
        <v>172</v>
      </c>
      <c r="AF47" s="722" t="str">
        <f>IFERROR(IF(AE47="","",IF(VLOOKUP(AB36,'Statement of Marks'!$B$8:'Statement of Marks'!$HI$207,185,0)="D","I",VLOOKUP(AB36,'Statement of Marks'!$B$8:'Statement of Marks'!$HI$207,185,0))),"")</f>
        <v>I</v>
      </c>
      <c r="AQ47" s="17"/>
      <c r="AR47"/>
      <c r="AS47"/>
      <c r="AT47"/>
      <c r="AU47" s="467" t="s">
        <v>287</v>
      </c>
      <c r="AV47" s="467" t="s">
        <v>287</v>
      </c>
      <c r="AX47"/>
      <c r="AY47"/>
      <c r="AZ47"/>
      <c r="BE47" s="17"/>
      <c r="BF47" s="17"/>
    </row>
    <row r="48" spans="1:58" s="467" customFormat="1" ht="19.5" customHeight="1">
      <c r="A48" s="465"/>
      <c r="B48" s="1716" t="str">
        <f>IF('Master Sheet'!$D$11="Hindi","व्यावसायिक शिक्षा / अतिरिक्त विषय","Vocational Education / Additional Subject")</f>
        <v>व्यावसायिक शिक्षा / अतिरिक्त विषय</v>
      </c>
      <c r="C48" s="1716"/>
      <c r="D48" s="1716"/>
      <c r="E48" s="1716"/>
      <c r="F48" s="1716"/>
      <c r="G48" s="1716"/>
      <c r="H48" s="1716"/>
      <c r="I48" s="1716"/>
      <c r="J48" s="1716"/>
      <c r="K48" s="1716"/>
      <c r="L48" s="1716"/>
      <c r="M48" s="1716"/>
      <c r="N48" s="1716"/>
      <c r="O48" s="1716"/>
      <c r="P48" s="1716"/>
      <c r="Q48"/>
      <c r="R48" s="1716" t="str">
        <f>IF('Master Sheet'!$D$11="Hindi","व्यावसायिक शिक्षा / अतिरिक्त विषय","Vocational Education / Additional Subject")</f>
        <v>व्यावसायिक शिक्षा / अतिरिक्त विषय</v>
      </c>
      <c r="S48" s="1716"/>
      <c r="T48" s="1716"/>
      <c r="U48" s="1716"/>
      <c r="V48" s="1716"/>
      <c r="W48" s="1716"/>
      <c r="X48" s="1716"/>
      <c r="Y48" s="1716"/>
      <c r="Z48" s="1716"/>
      <c r="AA48" s="1716"/>
      <c r="AB48" s="1716"/>
      <c r="AC48" s="1716"/>
      <c r="AD48" s="1716"/>
      <c r="AE48" s="1716"/>
      <c r="AF48" s="1716"/>
      <c r="AQ48" s="17"/>
      <c r="AR48"/>
      <c r="AS48"/>
      <c r="AT48"/>
      <c r="AX48"/>
      <c r="AY48"/>
      <c r="AZ48"/>
      <c r="BE48" s="17"/>
      <c r="BF48" s="17"/>
    </row>
    <row r="49" spans="1:58" s="467" customFormat="1" ht="22.5" customHeight="1">
      <c r="A49" s="465"/>
      <c r="B49" s="473" t="str">
        <f>IFERROR(IF(AND(AU49="A"),'Marks Entry'!$AS$2,IF(AND(AU49="B"),'Marks Entry'!$AW$2,IF(AND(AU49="C"),'Marks Entry'!$AY$2,""))),"")</f>
        <v/>
      </c>
      <c r="C49" s="742" t="str">
        <f>IFERROR(VLOOKUP(L36,'Statement of Marks'!$B$8:'Statement of Marks'!$HI$207,108,0),"")</f>
        <v/>
      </c>
      <c r="D49" s="742" t="str">
        <f>IFERROR(VLOOKUP(L36,'Statement of Marks'!$B$8:'Statement of Marks'!$HI$207,109,0),"")</f>
        <v/>
      </c>
      <c r="E49" s="742" t="str">
        <f>IFERROR(VLOOKUP(L36,'Statement of Marks'!$B$8:'Statement of Marks'!$HI$207,110,0),"")</f>
        <v/>
      </c>
      <c r="F49" s="742" t="str">
        <f>IFERROR(VLOOKUP(L36,'Statement of Marks'!$B$8:'Statement of Marks'!$HI$207,111,0),"")</f>
        <v/>
      </c>
      <c r="G49" s="744" t="str">
        <f>IFERROR(VLOOKUP(L36,'Statement of Marks'!$B$8:'Statement of Marks'!$HI$207,112,0),"")</f>
        <v/>
      </c>
      <c r="H49" s="744" t="str">
        <f>IFERROR(VLOOKUP(L36,'Statement of Marks'!$B$8:'Statement of Marks'!$HI$207,113,0),"")</f>
        <v/>
      </c>
      <c r="I49" s="748" t="str">
        <f>IFERROR(VLOOKUP(L36,'Statement of Marks'!$B$8:'Statement of Marks'!$HI$207,114,0),"")</f>
        <v/>
      </c>
      <c r="J49" s="743" t="str">
        <f>IFERROR(IF(OR(L36="",A49="",F49="",I49=""),"",SUM(C49,D49,E49,G49,H49)),"")</f>
        <v/>
      </c>
      <c r="K49" s="742" t="str">
        <f>IFERROR(VLOOKUP(L36,'Statement of Marks'!$B$8:'Statement of Marks'!$HI$207,116,0),"")</f>
        <v/>
      </c>
      <c r="L49" s="742" t="str">
        <f>IFERROR(VLOOKUP(L36,'Statement of Marks'!$B$8:'Statement of Marks'!$HI$207,118,0),"")</f>
        <v/>
      </c>
      <c r="M49" s="742" t="str">
        <f>IFERROR(VLOOKUP(L36,'Statement of Marks'!$B$8:'Statement of Marks'!$HI$207,117,0),"")</f>
        <v/>
      </c>
      <c r="N49" s="745" t="str">
        <f>IFERROR(VLOOKUP(L36,'Statement of Marks'!$B$8:'Statement of Marks'!$HI$207,119,0),"")</f>
        <v/>
      </c>
      <c r="O49" s="746" t="str">
        <f>IFERROR(VLOOKUP(L36,'Statement of Marks'!$B$8:'Statement of Marks'!$HI$207,123,0),"")</f>
        <v/>
      </c>
      <c r="P49" s="747" t="str">
        <f>IFERROR(IF(O49="","",IF(VLOOKUP(L36,'Statement of Marks'!$B$8:'Statement of Marks'!$HI$207,192,0)="D","I",VLOOKUP(L36,'Statement of Marks'!$B$8:'Statement of Marks'!$HI$207,192,0))),"")</f>
        <v/>
      </c>
      <c r="Q49"/>
      <c r="R49" s="473" t="str">
        <f>IFERROR(IF(AND(AV49="A"),'Marks Entry'!$AS$2,IF(AND(AV49="B"),'Marks Entry'!$AW$2,IF(AND(AV49="C"),'Marks Entry'!$AY$2,""))),"")</f>
        <v/>
      </c>
      <c r="S49" s="742" t="str">
        <f>IFERROR(VLOOKUP(AB36,'Statement of Marks'!$B$8:'Statement of Marks'!$HI$207,108,0),"")</f>
        <v/>
      </c>
      <c r="T49" s="742" t="str">
        <f>IFERROR(VLOOKUP(AB36,'Statement of Marks'!$B$8:'Statement of Marks'!$HI$207,109,0),"")</f>
        <v/>
      </c>
      <c r="U49" s="742" t="str">
        <f>IFERROR(VLOOKUP(AB36,'Statement of Marks'!$B$8:'Statement of Marks'!$HI$207,110,0),"")</f>
        <v/>
      </c>
      <c r="V49" s="742" t="str">
        <f>IFERROR(VLOOKUP(AB36,'Statement of Marks'!$B$8:'Statement of Marks'!$HI$207,111,0),"")</f>
        <v/>
      </c>
      <c r="W49" s="744" t="str">
        <f>IFERROR(VLOOKUP(AB36,'Statement of Marks'!$B$8:'Statement of Marks'!$HI$207,112,0),"")</f>
        <v/>
      </c>
      <c r="X49" s="744" t="str">
        <f>IFERROR(VLOOKUP(AB36,'Statement of Marks'!$B$8:'Statement of Marks'!$HI$207,113,0),"")</f>
        <v/>
      </c>
      <c r="Y49" s="748" t="str">
        <f>IFERROR(VLOOKUP(AB36,'Statement of Marks'!$B$8:'Statement of Marks'!$HI$207,114,0),"")</f>
        <v/>
      </c>
      <c r="Z49" s="743" t="str">
        <f>IFERROR(IF(OR(AB36="",Q49="",V49="",Y49=""),"",SUM(S49,T49,U49,W49,X49)),"")</f>
        <v/>
      </c>
      <c r="AA49" s="742" t="str">
        <f>IFERROR(VLOOKUP(AB36,'Statement of Marks'!$B$8:'Statement of Marks'!$HI$207,116,0),"")</f>
        <v/>
      </c>
      <c r="AB49" s="742" t="str">
        <f>IFERROR(VLOOKUP(AB36,'Statement of Marks'!$B$8:'Statement of Marks'!$HI$207,118,0),"")</f>
        <v/>
      </c>
      <c r="AC49" s="742" t="str">
        <f>IFERROR(VLOOKUP(AB36,'Statement of Marks'!$B$8:'Statement of Marks'!$HI$207,117,0),"")</f>
        <v/>
      </c>
      <c r="AD49" s="745" t="str">
        <f>IFERROR(VLOOKUP(AB36,'Statement of Marks'!$B$8:'Statement of Marks'!$HI$207,119,0),"")</f>
        <v/>
      </c>
      <c r="AE49" s="746" t="str">
        <f>IFERROR(VLOOKUP(AB36,'Statement of Marks'!$B$8:'Statement of Marks'!$HI$207,123,0),"")</f>
        <v/>
      </c>
      <c r="AF49" s="747" t="str">
        <f>IFERROR(IF(AE49="","",IF(VLOOKUP(AB36,'Statement of Marks'!$B$8:'Statement of Marks'!$HI$207,192,0)="D","I",VLOOKUP(AB36,'Statement of Marks'!$B$8:'Statement of Marks'!$HI$207,192,0))),"")</f>
        <v/>
      </c>
      <c r="AQ49" s="17"/>
      <c r="AR49"/>
      <c r="AS49"/>
      <c r="AT49"/>
      <c r="AU49" s="467" t="str">
        <f>IFERROR(VLOOKUP(L36,'Statement of Marks'!$B$8:'Statement of Marks'!$HI$207,107,0),"")</f>
        <v/>
      </c>
      <c r="AV49" s="467" t="str">
        <f>IFERROR(VLOOKUP(AB36,'Statement of Marks'!$B$8:'Statement of Marks'!$HI$207,107,0),"")</f>
        <v/>
      </c>
      <c r="AX49"/>
      <c r="AY49"/>
      <c r="AZ49"/>
      <c r="BE49" s="17"/>
      <c r="BF49" s="17"/>
    </row>
    <row r="50" spans="1:58" s="467" customFormat="1" ht="25.5" customHeight="1">
      <c r="A50" s="465"/>
      <c r="B50" s="1717"/>
      <c r="C50" s="1717"/>
      <c r="D50" s="1717"/>
      <c r="E50" s="1717"/>
      <c r="F50" s="1717"/>
      <c r="G50" s="1717"/>
      <c r="H50" s="1717"/>
      <c r="I50" s="1717"/>
      <c r="J50" s="1717"/>
      <c r="K50" s="1717"/>
      <c r="L50" s="1714" t="str">
        <f>IF('Master Sheet'!$D$11="Hindi","महायोग :","Grand Total :")</f>
        <v>महायोग :</v>
      </c>
      <c r="M50" s="1715"/>
      <c r="N50" s="1715"/>
      <c r="O50" s="749">
        <f>IF(AND(O43="",O44="",O45="",O46="",O47=""),"",IF(AND($K$18="",$L$18="",$M$18=""),SUM(O43,O44,O45,O46,O49),IF(AND('Master Sheet'!$D$19="YES",'Marks Entry'!$BA$1=1),SUM(O43,O44,O45,O46,O49),SUM(O43:O47))))</f>
        <v>641</v>
      </c>
      <c r="P50" s="750">
        <f>IFERROR(VLOOKUP(L36,'Statement of Marks'!$B$8:'Statement of Marks'!$HI$207,210,0),"")</f>
        <v>64.099999999999994</v>
      </c>
      <c r="Q50"/>
      <c r="R50" s="1717"/>
      <c r="S50" s="1717"/>
      <c r="T50" s="1717"/>
      <c r="U50" s="1717"/>
      <c r="V50" s="1717"/>
      <c r="W50" s="1717"/>
      <c r="X50" s="1717"/>
      <c r="Y50" s="1717"/>
      <c r="Z50" s="1717"/>
      <c r="AA50" s="1717"/>
      <c r="AB50" s="1714" t="str">
        <f>IF('Master Sheet'!$D$11="Hindi","महायोग :","Grand Total :")</f>
        <v>महायोग :</v>
      </c>
      <c r="AC50" s="1715"/>
      <c r="AD50" s="1715"/>
      <c r="AE50" s="749">
        <f>IF(AND(AE43="",AE44="",AE45="",AE46="",AE47=""),"",IF(AND($K$18="",$L$18="",$M$18=""),SUM(AE43,AE44,AE45,AE46,AE49),IF(AND('Master Sheet'!$D$19="YES",'Marks Entry'!$BA$1=1),SUM(AE43,AE44,AE45,AE46,AE49),SUM(AE43:AE47))))</f>
        <v>647</v>
      </c>
      <c r="AF50" s="750">
        <f>IFERROR(VLOOKUP(AB36,'Statement of Marks'!$B$8:'Statement of Marks'!$HI$207,210,0),"")</f>
        <v>64.7</v>
      </c>
      <c r="AQ50" s="17"/>
      <c r="AR50"/>
      <c r="AS50"/>
      <c r="AT50"/>
      <c r="AX50"/>
      <c r="AY50"/>
      <c r="AZ50"/>
      <c r="BE50" s="17"/>
      <c r="BF50" s="17"/>
    </row>
    <row r="51" spans="1:58" s="467" customFormat="1" ht="25.5" customHeight="1">
      <c r="A51" s="465"/>
      <c r="B51" s="474" t="str">
        <f>IF('Master Sheet'!$D$11="Hindi","विषय","Subject")</f>
        <v>विषय</v>
      </c>
      <c r="C51" s="1709" t="str">
        <f>IF('Master Sheet'!$D$11="Hindi","पूर्णांक","Max. Marks")</f>
        <v>पूर्णांक</v>
      </c>
      <c r="D51" s="1709"/>
      <c r="E51" s="1710" t="str">
        <f>IF('Master Sheet'!$D$11="Hindi","प्राप्तांक","Marks Obtained")</f>
        <v>प्राप्तांक</v>
      </c>
      <c r="F51" s="1710"/>
      <c r="G51" s="1725" t="str">
        <f>IF('Master Sheet'!$D$11="Hindi","विषय ग्रेड","Sub. Grade")</f>
        <v>विषय ग्रेड</v>
      </c>
      <c r="H51" s="1725"/>
      <c r="I51" s="1707" t="str">
        <f>IF('Master Sheet'!$D$11="Hindi","विषय","Subject")</f>
        <v>विषय</v>
      </c>
      <c r="J51" s="1708"/>
      <c r="K51" s="1708"/>
      <c r="L51" s="1709" t="str">
        <f>IF('Master Sheet'!$D$11="Hindi","पूर्णांक","Max. Marks")</f>
        <v>पूर्णांक</v>
      </c>
      <c r="M51" s="1709"/>
      <c r="N51" s="1710" t="str">
        <f>IF('Master Sheet'!$D$11="Hindi","प्राप्तांक","Marks Obtained")</f>
        <v>प्राप्तांक</v>
      </c>
      <c r="O51" s="1710"/>
      <c r="P51" s="751" t="str">
        <f>IF('Master Sheet'!$D$11="Hindi","विषय ग्रेड","Sub. Grade")</f>
        <v>विषय ग्रेड</v>
      </c>
      <c r="Q51"/>
      <c r="R51" s="474" t="str">
        <f>IF('Master Sheet'!$D$11="Hindi","विषय","Subject")</f>
        <v>विषय</v>
      </c>
      <c r="S51" s="1709" t="str">
        <f>IF('Master Sheet'!$D$11="Hindi","पूर्णांक","Max. Marks")</f>
        <v>पूर्णांक</v>
      </c>
      <c r="T51" s="1709"/>
      <c r="U51" s="1710" t="str">
        <f>IF('Master Sheet'!$D$11="Hindi","प्राप्तांक","Marks Obtained")</f>
        <v>प्राप्तांक</v>
      </c>
      <c r="V51" s="1710"/>
      <c r="W51" s="1725" t="str">
        <f>IF('Master Sheet'!$D$11="Hindi","विषय ग्रेड","Sub. Grade")</f>
        <v>विषय ग्रेड</v>
      </c>
      <c r="X51" s="1725"/>
      <c r="Y51" s="1707" t="str">
        <f>IF('Master Sheet'!$D$11="Hindi","विषय","Subject")</f>
        <v>विषय</v>
      </c>
      <c r="Z51" s="1708"/>
      <c r="AA51" s="1708"/>
      <c r="AB51" s="1709" t="str">
        <f>IF('Master Sheet'!$D$11="Hindi","पूर्णांक","Max. Marks")</f>
        <v>पूर्णांक</v>
      </c>
      <c r="AC51" s="1709"/>
      <c r="AD51" s="1710" t="str">
        <f>IF('Master Sheet'!$D$11="Hindi","प्राप्तांक","Marks Obtained")</f>
        <v>प्राप्तांक</v>
      </c>
      <c r="AE51" s="1710"/>
      <c r="AF51" s="751" t="str">
        <f>IF('Master Sheet'!$D$11="Hindi","विषय ग्रेड","Sub. Grade")</f>
        <v>विषय ग्रेड</v>
      </c>
      <c r="AQ51" s="17"/>
      <c r="AR51"/>
      <c r="AS51"/>
      <c r="AT51"/>
      <c r="AX51"/>
      <c r="AY51"/>
      <c r="AZ51"/>
      <c r="BE51" s="17"/>
      <c r="BF51" s="17"/>
    </row>
    <row r="52" spans="1:58" s="467" customFormat="1" ht="30" customHeight="1">
      <c r="A52" s="465"/>
      <c r="B52" s="754" t="str">
        <f>'Statement of Marks'!$EC$4</f>
        <v>जीवन कौशल</v>
      </c>
      <c r="C52" s="1698">
        <f>IF(AND(L36=""),"",IF('Statement of Marks'!$EF$6="","",'Statement of Marks'!$EF$6))</f>
        <v>100</v>
      </c>
      <c r="D52" s="1698"/>
      <c r="E52" s="1702">
        <f>IFERROR(VLOOKUP(L36,'Statement of Marks'!$B$8:'Statement of Marks'!$HI$207,135,0),"")</f>
        <v>87</v>
      </c>
      <c r="F52" s="1702"/>
      <c r="G52" s="1703" t="str">
        <f>IFERROR(VLOOKUP(L36,'Statement of Marks'!$B$8:'Statement of Marks'!$HI$207,140,0),"")</f>
        <v>A</v>
      </c>
      <c r="H52" s="1703"/>
      <c r="I52" s="1699" t="str">
        <f>'Statement of Marks'!$EY$3</f>
        <v xml:space="preserve">आजादी के बाद का स्वर्णिम भारत </v>
      </c>
      <c r="J52" s="1700"/>
      <c r="K52" s="1701"/>
      <c r="L52" s="1698">
        <f>IF(AND(L36=""),"",IF('Statement of Marks'!$FE$6="","",'Statement of Marks'!$FE$6))</f>
        <v>200</v>
      </c>
      <c r="M52" s="1698"/>
      <c r="N52" s="1711">
        <f>IFERROR(VLOOKUP(L36,'Statement of Marks'!$B$8:'Statement of Marks'!$HI$207,160,0),"")</f>
        <v>154</v>
      </c>
      <c r="O52" s="1711"/>
      <c r="P52" s="752" t="str">
        <f>IFERROR(VLOOKUP(L36,'Statement of Marks'!$B$8:'Statement of Marks'!$HI$207,161,0),"")</f>
        <v>B</v>
      </c>
      <c r="Q52"/>
      <c r="R52" s="754" t="str">
        <f>'Statement of Marks'!$EC$4</f>
        <v>जीवन कौशल</v>
      </c>
      <c r="S52" s="1698">
        <f>IF(AND(AB36=""),"",IF('Statement of Marks'!$EF$6="","",'Statement of Marks'!$EF$6))</f>
        <v>100</v>
      </c>
      <c r="T52" s="1698"/>
      <c r="U52" s="1702">
        <f>IFERROR(VLOOKUP(AB36,'Statement of Marks'!$B$8:'Statement of Marks'!$HI$207,135,0),"")</f>
        <v>81</v>
      </c>
      <c r="V52" s="1702"/>
      <c r="W52" s="1703" t="str">
        <f>IFERROR(VLOOKUP(AB36,'Statement of Marks'!$B$8:'Statement of Marks'!$HI$207,140,0),"")</f>
        <v>A</v>
      </c>
      <c r="X52" s="1703"/>
      <c r="Y52" s="1699" t="str">
        <f>'Statement of Marks'!$EY$3</f>
        <v xml:space="preserve">आजादी के बाद का स्वर्णिम भारत </v>
      </c>
      <c r="Z52" s="1700"/>
      <c r="AA52" s="1701"/>
      <c r="AB52" s="1698">
        <f>IF(AND(AB36=""),"",IF('Statement of Marks'!$FE$6="","",'Statement of Marks'!$FE$6))</f>
        <v>200</v>
      </c>
      <c r="AC52" s="1698"/>
      <c r="AD52" s="1711">
        <f>IFERROR(VLOOKUP(AB36,'Statement of Marks'!$B$8:'Statement of Marks'!$HI$207,160,0),"")</f>
        <v>154</v>
      </c>
      <c r="AE52" s="1711"/>
      <c r="AF52" s="752" t="str">
        <f>IFERROR(VLOOKUP(AB36,'Statement of Marks'!$B$8:'Statement of Marks'!$HI$207,161,0),"")</f>
        <v>B</v>
      </c>
      <c r="AQ52" s="17"/>
      <c r="AR52"/>
      <c r="AS52"/>
      <c r="AT52"/>
      <c r="AX52"/>
      <c r="AY52"/>
      <c r="AZ52"/>
      <c r="BE52" s="17"/>
      <c r="BF52" s="17"/>
    </row>
    <row r="53" spans="1:58" s="467" customFormat="1" ht="29.25" customHeight="1">
      <c r="A53" s="465"/>
      <c r="B53" s="776" t="str">
        <f>IF('Master Sheet'!$D$11="Hindi","परीक्षा परिणाम घोषित दिनांक :-","Date of Result declaration :-")</f>
        <v>परीक्षा परिणाम घोषित दिनांक :-</v>
      </c>
      <c r="C53" s="1610">
        <f>IF(AND(L36=""),"",IF('Master Sheet'!$D$10="","",'Master Sheet'!$D$10))</f>
        <v>46106</v>
      </c>
      <c r="D53" s="1610"/>
      <c r="E53" s="1610"/>
      <c r="F53" s="1672" t="str">
        <f>IF('Master Sheet'!$D$11="Hindi","कुल कार्य दिवस","Total Working Days")</f>
        <v>कुल कार्य दिवस</v>
      </c>
      <c r="G53" s="1672"/>
      <c r="H53" s="1672"/>
      <c r="I53" s="735">
        <f>IFERROR(VLOOKUP(L36,'Statement of Marks'!$B$8:'Statement of Marks'!$HI$207,162,0),"")</f>
        <v>370</v>
      </c>
      <c r="J53" s="1673" t="str">
        <f>IF('Master Sheet'!$D$11="Hindi","कुल उपस्थिति","Student's Attendance")</f>
        <v>कुल उपस्थिति</v>
      </c>
      <c r="K53" s="1673"/>
      <c r="L53" s="1673"/>
      <c r="M53" s="472">
        <f>IFERROR(VLOOKUP(L36,'Statement of Marks'!$B$8:'Statement of Marks'!$HI$207,163,0),"")</f>
        <v>346</v>
      </c>
      <c r="N53" s="1674" t="str">
        <f>IF('Master Sheet'!$D$11="Hindi","कक्षा में स्थान","Position in the Class")</f>
        <v>कक्षा में स्थान</v>
      </c>
      <c r="O53" s="1674"/>
      <c r="P53" s="755">
        <f>IFERROR(VLOOKUP(L36,'Statement of Marks'!$B$8:'Statement of Marks'!$HI$207,211,0),"")</f>
        <v>4.0000000000000284</v>
      </c>
      <c r="Q53"/>
      <c r="R53" s="753" t="str">
        <f>IF('Master Sheet'!$D$11="Hindi","परीक्षा परिणाम घोषित दिनांक :-","Date of Result declaration :-")</f>
        <v>परीक्षा परिणाम घोषित दिनांक :-</v>
      </c>
      <c r="S53" s="1610">
        <f>IF(AND(AB36=""),"",IF('Master Sheet'!$D$10="","",'Master Sheet'!$D$10))</f>
        <v>46106</v>
      </c>
      <c r="T53" s="1610"/>
      <c r="U53" s="1610"/>
      <c r="V53" s="1672" t="str">
        <f>IF('Master Sheet'!$D$11="Hindi","कुल कार्य दिवस","Total Working Days")</f>
        <v>कुल कार्य दिवस</v>
      </c>
      <c r="W53" s="1672"/>
      <c r="X53" s="1672"/>
      <c r="Y53" s="735">
        <f>IFERROR(VLOOKUP(AB36,'Statement of Marks'!$B$8:'Statement of Marks'!$HI$207,162,0),"")</f>
        <v>340</v>
      </c>
      <c r="Z53" s="1673" t="str">
        <f>IF('Master Sheet'!$D$11="Hindi","कुल उपस्थिति","Student's Attendance")</f>
        <v>कुल उपस्थिति</v>
      </c>
      <c r="AA53" s="1673"/>
      <c r="AB53" s="1673"/>
      <c r="AC53" s="472">
        <f>IFERROR(VLOOKUP(AB36,'Statement of Marks'!$B$8:'Statement of Marks'!$HI$207,163,0),"")</f>
        <v>330</v>
      </c>
      <c r="AD53" s="1674" t="str">
        <f>IF('Master Sheet'!$D$11="Hindi","कक्षा में स्थान","Position in the Class")</f>
        <v>कक्षा में स्थान</v>
      </c>
      <c r="AE53" s="1674"/>
      <c r="AF53" s="755">
        <f>IFERROR(VLOOKUP(AB36,'Statement of Marks'!$B$8:'Statement of Marks'!$HI$207,211,0),"")</f>
        <v>3.0000000000000284</v>
      </c>
      <c r="AQ53" s="17"/>
      <c r="AR53"/>
      <c r="AS53"/>
      <c r="AT53"/>
      <c r="AX53"/>
      <c r="AY53"/>
      <c r="AZ53"/>
      <c r="BE53" s="17"/>
      <c r="BF53" s="17"/>
    </row>
    <row r="54" spans="1:58" s="467" customFormat="1" ht="27.75" customHeight="1">
      <c r="A54" s="465"/>
      <c r="B54" s="1675" t="str">
        <f>IF('Master Sheet'!$D$11="Hindi","मुख्य परीक्षा परिणाम ","Main Exam Result")</f>
        <v xml:space="preserve">मुख्य परीक्षा परिणाम </v>
      </c>
      <c r="C54" s="1676"/>
      <c r="D54" s="1676"/>
      <c r="E54" s="1677"/>
      <c r="F54" s="1678" t="str">
        <f>IF('Master Sheet'!$D$11="Hindi","विशेष योग्यता प्राप्त विषय","Subjects Of Dictation Marks")</f>
        <v>विशेष योग्यता प्राप्त विषय</v>
      </c>
      <c r="G54" s="1678"/>
      <c r="H54" s="1678"/>
      <c r="I54" s="1678"/>
      <c r="J54" s="1678"/>
      <c r="K54" s="1678"/>
      <c r="L54" s="1679" t="str">
        <f>IF('Master Sheet'!$D$11="Hindi","पूरक विषय","Supplementary Subject")</f>
        <v>पूरक विषय</v>
      </c>
      <c r="M54" s="1680"/>
      <c r="N54" s="1676"/>
      <c r="O54" s="1676"/>
      <c r="P54" s="1677"/>
      <c r="Q54"/>
      <c r="R54" s="1675" t="str">
        <f>IF('Master Sheet'!$D$11="Hindi","मुख्य परीक्षा परिणाम ","Main Exam Result")</f>
        <v xml:space="preserve">मुख्य परीक्षा परिणाम </v>
      </c>
      <c r="S54" s="1676"/>
      <c r="T54" s="1676"/>
      <c r="U54" s="1677"/>
      <c r="V54" s="1678" t="str">
        <f>IF('Master Sheet'!$D$11="Hindi","विशेष योग्यता प्राप्त विषय","Subjects Of Dictation Marks")</f>
        <v>विशेष योग्यता प्राप्त विषय</v>
      </c>
      <c r="W54" s="1678"/>
      <c r="X54" s="1678"/>
      <c r="Y54" s="1678"/>
      <c r="Z54" s="1678"/>
      <c r="AA54" s="1678"/>
      <c r="AB54" s="1679" t="str">
        <f>IF('Master Sheet'!$D$11="Hindi","पूरक विषय","Supplementary Subject")</f>
        <v>पूरक विषय</v>
      </c>
      <c r="AC54" s="1680"/>
      <c r="AD54" s="1676"/>
      <c r="AE54" s="1676"/>
      <c r="AF54" s="1677"/>
      <c r="AQ54" s="17"/>
      <c r="AR54"/>
      <c r="AS54"/>
      <c r="AT54"/>
      <c r="AX54"/>
      <c r="AY54"/>
      <c r="AZ54"/>
      <c r="BE54" s="17"/>
      <c r="BF54" s="17"/>
    </row>
    <row r="55" spans="1:58" s="467" customFormat="1" ht="42.75" customHeight="1">
      <c r="A55" s="465"/>
      <c r="B55" s="1704" t="str">
        <f>IF('Master Sheet'!D40="Hindi",BF45,BF44)</f>
        <v>PASS  and Promoted to Class 12th</v>
      </c>
      <c r="C55" s="1705"/>
      <c r="D55" s="1705"/>
      <c r="E55" s="1706"/>
      <c r="F55" s="1674" t="str">
        <f>IFERROR(VLOOKUP(L36,'Statement of Marks'!$B$8:'Statement of Marks'!$HI$207,205,0),"")</f>
        <v xml:space="preserve">     </v>
      </c>
      <c r="G55" s="1674"/>
      <c r="H55" s="1674"/>
      <c r="I55" s="1674"/>
      <c r="J55" s="1674"/>
      <c r="K55" s="1674"/>
      <c r="L55" s="1687" t="str">
        <f>IFERROR(VLOOKUP(L36,'Statement of Marks'!$B$8:'Statement of Marks'!$HI$207,202,0),"")</f>
        <v xml:space="preserve">    </v>
      </c>
      <c r="M55" s="1688"/>
      <c r="N55" s="1688"/>
      <c r="O55" s="1688"/>
      <c r="P55" s="1689"/>
      <c r="Q55"/>
      <c r="R55" s="1704" t="str">
        <f>IF('Master Sheet'!D40="Hindi",BE45,BE44)</f>
        <v>PASS  and Promoted to Class 12th</v>
      </c>
      <c r="S55" s="1705"/>
      <c r="T55" s="1705"/>
      <c r="U55" s="1706"/>
      <c r="V55" s="1674" t="str">
        <f>IFERROR(VLOOKUP(AB36,'Statement of Marks'!$B$8:'Statement of Marks'!$HI$207,205,0),"")</f>
        <v xml:space="preserve">    GEOGRAPHY </v>
      </c>
      <c r="W55" s="1674"/>
      <c r="X55" s="1674"/>
      <c r="Y55" s="1674"/>
      <c r="Z55" s="1674"/>
      <c r="AA55" s="1674"/>
      <c r="AB55" s="1687" t="str">
        <f>IFERROR(VLOOKUP(AB36,'Statement of Marks'!$B$8:'Statement of Marks'!$HI$207,202,0),"")</f>
        <v xml:space="preserve">    </v>
      </c>
      <c r="AC55" s="1688"/>
      <c r="AD55" s="1688"/>
      <c r="AE55" s="1688"/>
      <c r="AF55" s="1689"/>
      <c r="AQ55" s="17"/>
      <c r="AR55"/>
      <c r="AS55"/>
      <c r="AT55"/>
      <c r="AX55"/>
      <c r="AY55"/>
      <c r="AZ55"/>
      <c r="BE55" s="17"/>
      <c r="BF55" s="17"/>
    </row>
    <row r="56" spans="1:58" s="467" customFormat="1" ht="52.5" customHeight="1">
      <c r="A56" s="465"/>
      <c r="B56" s="1695" t="str">
        <f>IF(AND(L36=""),"",CONCATENATE("( ",UPPER('Master Sheet'!$D$14)," )"))</f>
        <v>( HEERALAL JAT )</v>
      </c>
      <c r="C56" s="1695"/>
      <c r="D56" s="1695"/>
      <c r="E56" s="709"/>
      <c r="F56" s="1696" t="str">
        <f>IF(AND(L36=""),"",CONCATENATE("( ",UPPER('Master Sheet'!$D$17)," )"))</f>
        <v>( YOGESH )</v>
      </c>
      <c r="G56" s="1696"/>
      <c r="H56" s="1696"/>
      <c r="I56" s="1696"/>
      <c r="J56" s="1696"/>
      <c r="K56" s="1697" t="str">
        <f>IF(AND(L36=""),"",CONCATENATE("( ",UPPER('Master Sheet'!$D$12)," )"))</f>
        <v>( DEWANANAD )</v>
      </c>
      <c r="L56" s="1697"/>
      <c r="M56" s="1697"/>
      <c r="N56" s="1697"/>
      <c r="O56" s="1697"/>
      <c r="P56" s="1697"/>
      <c r="Q56"/>
      <c r="R56" s="1695" t="str">
        <f>IF(AND(AB36=""),"",CONCATENATE("( ",UPPER('Master Sheet'!$D$14)," )"))</f>
        <v>( HEERALAL JAT )</v>
      </c>
      <c r="S56" s="1695"/>
      <c r="T56" s="1695"/>
      <c r="U56" s="709"/>
      <c r="V56" s="1696" t="str">
        <f>IF(AND(AB36=""),"",CONCATENATE("( ",UPPER('Master Sheet'!$D$17)," )"))</f>
        <v>( YOGESH )</v>
      </c>
      <c r="W56" s="1696"/>
      <c r="X56" s="1696"/>
      <c r="Y56" s="1696"/>
      <c r="Z56" s="1696"/>
      <c r="AA56" s="1697" t="str">
        <f>IF(AND(AB36=""),"",CONCATENATE("( ",UPPER('Master Sheet'!$D$12)," )"))</f>
        <v>( DEWANANAD )</v>
      </c>
      <c r="AB56" s="1697"/>
      <c r="AC56" s="1697"/>
      <c r="AD56" s="1697"/>
      <c r="AE56" s="1697"/>
      <c r="AF56" s="1697"/>
      <c r="AQ56" s="17"/>
      <c r="AR56"/>
      <c r="AS56"/>
      <c r="AT56"/>
      <c r="AX56"/>
      <c r="AY56"/>
      <c r="AZ56"/>
      <c r="BE56" s="17"/>
      <c r="BF56" s="17"/>
    </row>
    <row r="57" spans="1:58" s="467" customFormat="1" ht="24.75" customHeight="1">
      <c r="A57" s="465"/>
      <c r="B57" s="1686" t="str">
        <f>IF('Master Sheet'!$D$11="Hindi","हस्ताक्षर परीक्षा प्रभारी","Signature of the exam. Incharge")</f>
        <v>हस्ताक्षर परीक्षा प्रभारी</v>
      </c>
      <c r="C57" s="1686"/>
      <c r="D57" s="1686"/>
      <c r="E57" s="708"/>
      <c r="F57" s="1686" t="str">
        <f>IF('Master Sheet'!$D$11="Hindi","हस्ताक्षर कक्षाध्यापक","Signature of the class teacher")</f>
        <v>हस्ताक्षर कक्षाध्यापक</v>
      </c>
      <c r="G57" s="1686"/>
      <c r="H57" s="1686"/>
      <c r="I57" s="1686"/>
      <c r="J57" s="1686"/>
      <c r="K57" s="1686" t="str">
        <f>IF('Master Sheet'!$D$11="Hindi","हस्ताक्षर संस्था प्रधान","Head of Institute's Signature")</f>
        <v>हस्ताक्षर संस्था प्रधान</v>
      </c>
      <c r="L57" s="1686"/>
      <c r="M57" s="1686"/>
      <c r="N57" s="1686"/>
      <c r="O57" s="1686"/>
      <c r="P57" s="1686"/>
      <c r="Q57"/>
      <c r="R57" s="1686" t="str">
        <f>IF('Master Sheet'!$D$11="Hindi","हस्ताक्षर परीक्षा प्रभारी","Signature of the exam. Incharge")</f>
        <v>हस्ताक्षर परीक्षा प्रभारी</v>
      </c>
      <c r="S57" s="1686"/>
      <c r="T57" s="1686"/>
      <c r="U57" s="708"/>
      <c r="V57" s="1686" t="str">
        <f>IF('Master Sheet'!$D$11="Hindi","हस्ताक्षर कक्षाध्यापक","Signature of the class teacher")</f>
        <v>हस्ताक्षर कक्षाध्यापक</v>
      </c>
      <c r="W57" s="1686"/>
      <c r="X57" s="1686"/>
      <c r="Y57" s="1686"/>
      <c r="Z57" s="1686"/>
      <c r="AA57" s="1686" t="str">
        <f>IF('Master Sheet'!$D$11="Hindi","हस्ताक्षर संस्था प्रधान","Head of Institute's Signature")</f>
        <v>हस्ताक्षर संस्था प्रधान</v>
      </c>
      <c r="AB57" s="1686"/>
      <c r="AC57" s="1686"/>
      <c r="AD57" s="1686"/>
      <c r="AE57" s="1686"/>
      <c r="AF57" s="1686"/>
      <c r="AQ57" s="17"/>
      <c r="AR57"/>
      <c r="AS57"/>
      <c r="AT57"/>
      <c r="AX57"/>
      <c r="AY57"/>
      <c r="AZ57"/>
      <c r="BE57" s="17"/>
      <c r="BF57" s="17"/>
    </row>
    <row r="58" spans="1:58">
      <c r="AN58" s="467"/>
    </row>
    <row r="59" spans="1:58" s="17" customFormat="1" ht="22.5" customHeight="1">
      <c r="A59" s="100"/>
      <c r="B59" s="93"/>
      <c r="C59" s="1670" t="str">
        <f>IF('Master Sheet'!$D$11="Hindi","वार्षिक रिपोर्ट कार्ड ","Report Card")</f>
        <v xml:space="preserve">वार्षिक रिपोर्ट कार्ड </v>
      </c>
      <c r="D59" s="1670"/>
      <c r="E59" s="1670"/>
      <c r="F59" s="1670"/>
      <c r="G59" s="1670"/>
      <c r="H59" s="1670"/>
      <c r="I59" s="1670"/>
      <c r="J59" s="1670"/>
      <c r="K59" s="1670"/>
      <c r="L59" s="1670"/>
      <c r="M59" s="1670"/>
      <c r="N59" s="1670"/>
      <c r="O59" s="464"/>
      <c r="P59" s="464"/>
      <c r="Q59"/>
      <c r="R59" s="93"/>
      <c r="S59" s="1670" t="str">
        <f>IF('Master Sheet'!$D$11="Hindi","वार्षिक रिपोर्ट कार्ड ","Report Card")</f>
        <v xml:space="preserve">वार्षिक रिपोर्ट कार्ड </v>
      </c>
      <c r="T59" s="1670"/>
      <c r="U59" s="1670"/>
      <c r="V59" s="1670"/>
      <c r="W59" s="1670"/>
      <c r="X59" s="1670"/>
      <c r="Y59" s="1670"/>
      <c r="Z59" s="1670"/>
      <c r="AA59" s="1670"/>
      <c r="AB59" s="1670"/>
      <c r="AC59" s="1670"/>
      <c r="AD59" s="1670"/>
      <c r="AE59" s="464"/>
      <c r="AF59" s="464"/>
      <c r="AH59" s="467"/>
      <c r="AI59" s="467"/>
      <c r="AJ59" s="467"/>
      <c r="AK59" s="467"/>
      <c r="AL59" s="467"/>
      <c r="AN59" s="467"/>
      <c r="AR59"/>
      <c r="AS59"/>
      <c r="AT59"/>
      <c r="AX59"/>
      <c r="AY59"/>
      <c r="AZ59"/>
    </row>
    <row r="60" spans="1:58" s="17" customFormat="1" ht="22.5" customHeight="1">
      <c r="A60" s="100"/>
      <c r="B60" s="93"/>
      <c r="C60" s="1719" t="str">
        <f>IF('Master Sheet'!$D$11="Hindi","शिक्षा विभाग, राजस्थान सरकार","Education Department, Rajasthan Government")</f>
        <v>शिक्षा विभाग, राजस्थान सरकार</v>
      </c>
      <c r="D60" s="1719"/>
      <c r="E60" s="1719"/>
      <c r="F60" s="1719"/>
      <c r="G60" s="1719"/>
      <c r="H60" s="1719"/>
      <c r="I60" s="1719"/>
      <c r="J60" s="1719"/>
      <c r="K60" s="1719"/>
      <c r="L60" s="1719"/>
      <c r="M60" s="1719"/>
      <c r="N60" s="1719"/>
      <c r="O60" s="464"/>
      <c r="P60" s="464"/>
      <c r="Q60"/>
      <c r="R60" s="93"/>
      <c r="S60" s="1719" t="str">
        <f>IF('Master Sheet'!$D$11="Hindi","शिक्षा विभाग, राजस्थान सरकार","Education Department, Rajasthan Government")</f>
        <v>शिक्षा विभाग, राजस्थान सरकार</v>
      </c>
      <c r="T60" s="1719"/>
      <c r="U60" s="1719"/>
      <c r="V60" s="1719"/>
      <c r="W60" s="1719"/>
      <c r="X60" s="1719"/>
      <c r="Y60" s="1719"/>
      <c r="Z60" s="1719"/>
      <c r="AA60" s="1719"/>
      <c r="AB60" s="1719"/>
      <c r="AC60" s="1719"/>
      <c r="AD60" s="1719"/>
      <c r="AE60" s="464"/>
      <c r="AF60" s="464"/>
      <c r="AH60" s="467"/>
      <c r="AI60" s="467"/>
      <c r="AJ60" s="467"/>
      <c r="AK60" s="467"/>
      <c r="AL60" s="467"/>
      <c r="AR60"/>
      <c r="AS60"/>
      <c r="AT60"/>
      <c r="AX60"/>
      <c r="AY60"/>
      <c r="AZ60"/>
    </row>
    <row r="61" spans="1:58" s="17" customFormat="1" ht="24.95" customHeight="1">
      <c r="A61" s="100"/>
      <c r="B61" s="1720" t="str">
        <f>IF('Master Sheet'!$D$11="Hindi",CONCATENATE("विद्यालय का नाम :-","  ",'Master Sheet'!$D$8),CONCATENATE("School Name :-","  ",'Master Sheet'!$D$7))</f>
        <v xml:space="preserve">विद्यालय का नाम :-  महात्मा गाँधी राजकीय विद्यालय (अंग्रेजी माध्यम) बर, पाली </v>
      </c>
      <c r="C61" s="1720"/>
      <c r="D61" s="1720"/>
      <c r="E61" s="1720"/>
      <c r="F61" s="1720"/>
      <c r="G61" s="1720"/>
      <c r="H61" s="1720"/>
      <c r="I61" s="1720"/>
      <c r="J61" s="1720"/>
      <c r="K61" s="1720"/>
      <c r="L61" s="1720"/>
      <c r="M61" s="1720"/>
      <c r="N61" s="1720"/>
      <c r="O61" s="1720"/>
      <c r="P61" s="1720"/>
      <c r="Q61"/>
      <c r="R61" s="1720" t="str">
        <f>IF('Master Sheet'!$D$11="Hindi",CONCATENATE("विद्यालय का नाम :-","  ",'Master Sheet'!$D$8),CONCATENATE("School Name :-","  ",'Master Sheet'!$D$7))</f>
        <v xml:space="preserve">विद्यालय का नाम :-  महात्मा गाँधी राजकीय विद्यालय (अंग्रेजी माध्यम) बर, पाली </v>
      </c>
      <c r="S61" s="1720"/>
      <c r="T61" s="1720"/>
      <c r="U61" s="1720"/>
      <c r="V61" s="1720"/>
      <c r="W61" s="1720"/>
      <c r="X61" s="1720"/>
      <c r="Y61" s="1720"/>
      <c r="Z61" s="1720"/>
      <c r="AA61" s="1720"/>
      <c r="AB61" s="1720"/>
      <c r="AC61" s="1720"/>
      <c r="AD61" s="1720"/>
      <c r="AE61" s="1720"/>
      <c r="AF61" s="1720"/>
      <c r="AH61" s="467"/>
      <c r="AI61" s="467"/>
      <c r="AJ61" s="467"/>
      <c r="AK61" s="467"/>
      <c r="AL61" s="467"/>
      <c r="AR61"/>
      <c r="AS61"/>
      <c r="AT61"/>
      <c r="AX61"/>
      <c r="AY61"/>
      <c r="AZ61"/>
    </row>
    <row r="62" spans="1:58" s="17" customFormat="1" ht="19.5" customHeight="1">
      <c r="A62" s="100"/>
      <c r="B62" s="713"/>
      <c r="C62" s="1721" t="str">
        <f>IF(AND(L65=""),"",IF(AND('Master Sheet'!$D$6=""),"",IF('Master Sheet'!$D$11="Hindi",CONCATENATE("(विद्यालय मान्यता क्रमांक व वर्ष : ","  ",'Master Sheet'!$D$6),CONCATENATE("(School Recognition Number &amp; Years : ","  ",'Master Sheet'!$D$6))))</f>
        <v>(विद्यालय मान्यता क्रमांक व वर्ष :   शिक्षा/पाली/1995/2001</v>
      </c>
      <c r="D62" s="1721"/>
      <c r="E62" s="1721"/>
      <c r="F62" s="1721"/>
      <c r="G62" s="1721"/>
      <c r="H62" s="1721"/>
      <c r="I62" s="1721"/>
      <c r="J62" s="1721"/>
      <c r="K62" s="1721"/>
      <c r="L62" s="1721"/>
      <c r="M62" s="1721"/>
      <c r="N62" s="1721"/>
      <c r="O62" s="1721"/>
      <c r="P62" s="713"/>
      <c r="Q62"/>
      <c r="R62" s="713"/>
      <c r="S62" s="1721" t="str">
        <f>IF(AND(AB65=""),"",IF(AND('Master Sheet'!$D$6=""),"",IF('Master Sheet'!$D$11="Hindi",CONCATENATE("(विद्यालय मान्यता क्रमांक व वर्ष : ","  ",'Master Sheet'!$D$6),CONCATENATE("(School Recognition Number &amp; Years : ","  ",'Master Sheet'!$D$6))))</f>
        <v>(विद्यालय मान्यता क्रमांक व वर्ष :   शिक्षा/पाली/1995/2001</v>
      </c>
      <c r="T62" s="1721"/>
      <c r="U62" s="1721"/>
      <c r="V62" s="1721"/>
      <c r="W62" s="1721"/>
      <c r="X62" s="1721"/>
      <c r="Y62" s="1721"/>
      <c r="Z62" s="1721"/>
      <c r="AA62" s="1721"/>
      <c r="AB62" s="1721"/>
      <c r="AC62" s="1721"/>
      <c r="AD62" s="1721"/>
      <c r="AE62" s="1721"/>
      <c r="AF62" s="713"/>
      <c r="AH62" s="467"/>
      <c r="AI62" s="467"/>
      <c r="AJ62" s="467"/>
      <c r="AK62" s="467"/>
      <c r="AL62" s="467"/>
      <c r="AN62" s="99"/>
      <c r="AR62"/>
      <c r="AS62"/>
      <c r="AT62"/>
      <c r="AX62"/>
      <c r="AY62"/>
      <c r="AZ62"/>
    </row>
    <row r="63" spans="1:58" s="467" customFormat="1" ht="21" customHeight="1">
      <c r="A63" s="465"/>
      <c r="B63" s="733" t="str">
        <f>IF('Master Sheet'!$D$11="Hindi","सत्र  :-","Session :-")</f>
        <v>सत्र  :-</v>
      </c>
      <c r="C63" s="1693" t="str">
        <f>'Marks Entry'!$H$1</f>
        <v>2025-2026</v>
      </c>
      <c r="D63" s="1693"/>
      <c r="E63" s="1693"/>
      <c r="F63" s="1693"/>
      <c r="G63" s="1693"/>
      <c r="H63" s="1693"/>
      <c r="I63" s="1691" t="str">
        <f>IF('Master Sheet'!$D$11="Hindi","कक्षा  :-","CLASS :- ")</f>
        <v>कक्षा  :-</v>
      </c>
      <c r="J63" s="1691"/>
      <c r="K63" s="1691"/>
      <c r="L63" s="1694" t="str">
        <f>CONCATENATE('Marks Entry'!$H$2," '",'Marks Entry'!$H$3,"'")</f>
        <v>11 'Arts'</v>
      </c>
      <c r="M63" s="1694"/>
      <c r="N63" s="1694"/>
      <c r="O63" s="1694"/>
      <c r="P63" s="714"/>
      <c r="Q63"/>
      <c r="R63" s="733" t="str">
        <f>IF('Master Sheet'!$D$11="Hindi","सत्र  :-","Session :-")</f>
        <v>सत्र  :-</v>
      </c>
      <c r="S63" s="1693" t="str">
        <f>'Marks Entry'!$H$1</f>
        <v>2025-2026</v>
      </c>
      <c r="T63" s="1693"/>
      <c r="U63" s="1693"/>
      <c r="V63" s="1693"/>
      <c r="W63" s="1693"/>
      <c r="X63" s="1693"/>
      <c r="Y63" s="1691" t="str">
        <f>IF('Master Sheet'!$D$11="Hindi","कक्षा  :-","CLASS :- ")</f>
        <v>कक्षा  :-</v>
      </c>
      <c r="Z63" s="1691"/>
      <c r="AA63" s="1691"/>
      <c r="AB63" s="1694" t="str">
        <f>CONCATENATE('Marks Entry'!$H$2," '",'Marks Entry'!$H$3,"'")</f>
        <v>11 'Arts'</v>
      </c>
      <c r="AC63" s="1694"/>
      <c r="AD63" s="1694"/>
      <c r="AE63" s="1694"/>
      <c r="AF63" s="714"/>
      <c r="AN63" s="99"/>
      <c r="AQ63" s="17"/>
      <c r="AR63"/>
      <c r="AS63" s="757">
        <f>L66</f>
        <v>39270</v>
      </c>
      <c r="AT63"/>
      <c r="AX63"/>
      <c r="AY63" s="757">
        <f>AB66</f>
        <v>39668</v>
      </c>
      <c r="AZ63"/>
      <c r="BE63" s="17"/>
      <c r="BF63" s="17"/>
    </row>
    <row r="64" spans="1:58" s="467" customFormat="1" ht="21" customHeight="1">
      <c r="A64" s="465"/>
      <c r="B64" s="734" t="str">
        <f>IF('Master Sheet'!$D$11="Hindi","विद्यार्थी का नाम :-","Student's Name :-")</f>
        <v>विद्यार्थी का नाम :-</v>
      </c>
      <c r="C64" s="1690" t="str">
        <f>IFERROR(VLOOKUP(L65,'Statement of Marks'!$B$8:'Statement of Marks'!$HI$207,4,0),"")</f>
        <v>E</v>
      </c>
      <c r="D64" s="1690"/>
      <c r="E64" s="1690"/>
      <c r="F64" s="1690"/>
      <c r="G64" s="1690"/>
      <c r="H64" s="1690"/>
      <c r="I64" s="1691" t="str">
        <f>IF('Master Sheet'!$D$11="Hindi","प्रवेशांक :","SR. NO. :")</f>
        <v>प्रवेशांक :</v>
      </c>
      <c r="J64" s="1691"/>
      <c r="K64" s="1691"/>
      <c r="L64" s="1726">
        <f>IFERROR(VLOOKUP(L65,'Statement of Marks'!$B$8:'Statement of Marks'!$HI$207,2,0),"")</f>
        <v>333</v>
      </c>
      <c r="M64" s="1726"/>
      <c r="N64" s="1726"/>
      <c r="O64" s="1726"/>
      <c r="P64" s="468"/>
      <c r="Q64"/>
      <c r="R64" s="734" t="str">
        <f>IF('Master Sheet'!$D$11="Hindi","विद्यार्थी का नाम :-","Student's Name :-")</f>
        <v>विद्यार्थी का नाम :-</v>
      </c>
      <c r="S64" s="1690" t="str">
        <f>IFERROR(VLOOKUP(AB65,'Statement of Marks'!$B$8:'Statement of Marks'!$HI$207,4,0),"")</f>
        <v>F</v>
      </c>
      <c r="T64" s="1690"/>
      <c r="U64" s="1690"/>
      <c r="V64" s="1690"/>
      <c r="W64" s="1690"/>
      <c r="X64" s="1690"/>
      <c r="Y64" s="1691" t="str">
        <f>IF('Master Sheet'!$D$11="Hindi","प्रवेशांक :","SR. NO. :")</f>
        <v>प्रवेशांक :</v>
      </c>
      <c r="Z64" s="1691"/>
      <c r="AA64" s="1691"/>
      <c r="AB64" s="1726">
        <f>IFERROR(VLOOKUP(AB65,'Statement of Marks'!$B$8:'Statement of Marks'!$HI$207,2,0),"")</f>
        <v>666</v>
      </c>
      <c r="AC64" s="1726"/>
      <c r="AD64" s="1726"/>
      <c r="AE64" s="1726"/>
      <c r="AF64" s="468"/>
      <c r="AQ64" s="17"/>
      <c r="AR64">
        <f>YEAR(AS63)</f>
        <v>2007</v>
      </c>
      <c r="AS64">
        <f>MONTH(AS63)</f>
        <v>7</v>
      </c>
      <c r="AT64">
        <f>DAY(AS63)</f>
        <v>7</v>
      </c>
      <c r="AU64" s="469"/>
      <c r="AX64">
        <f>YEAR(AY63)</f>
        <v>2008</v>
      </c>
      <c r="AY64">
        <f>MONTH(AY63)</f>
        <v>8</v>
      </c>
      <c r="AZ64">
        <f>DAY(AY63)</f>
        <v>8</v>
      </c>
      <c r="BE64" s="17"/>
      <c r="BF64" s="17"/>
    </row>
    <row r="65" spans="1:58" s="467" customFormat="1" ht="21" customHeight="1">
      <c r="A65" s="465"/>
      <c r="B65" s="734" t="str">
        <f>IF('Master Sheet'!$D$11="Hindi","पिता का नाम :-","Father's Name :-")</f>
        <v>पिता का नाम :-</v>
      </c>
      <c r="C65" s="1690" t="str">
        <f>IFERROR(VLOOKUP(L65,'Statement of Marks'!$B$8:'Statement of Marks'!$HI$207,5,0),"")</f>
        <v>V</v>
      </c>
      <c r="D65" s="1690"/>
      <c r="E65" s="1690"/>
      <c r="F65" s="1690"/>
      <c r="G65" s="1690"/>
      <c r="H65" s="1690"/>
      <c r="I65" s="1691" t="str">
        <f>IF('Master Sheet'!$D$11="Hindi","रोल नंबर :-","Roll No. :")</f>
        <v>रोल नंबर :-</v>
      </c>
      <c r="J65" s="1691"/>
      <c r="K65" s="1691"/>
      <c r="L65" s="1692">
        <f>IF(AB36="","",IF(AND(AB36+1&gt;$AN$11),"",AB36+1))</f>
        <v>1105</v>
      </c>
      <c r="M65" s="1692"/>
      <c r="N65" s="1692"/>
      <c r="O65" s="711"/>
      <c r="P65" s="468"/>
      <c r="Q65"/>
      <c r="R65" s="734" t="str">
        <f>IF('Master Sheet'!$D$11="Hindi","पिता का नाम :-","Father's Name :-")</f>
        <v>पिता का नाम :-</v>
      </c>
      <c r="S65" s="1690" t="str">
        <f>IFERROR(VLOOKUP(AB65,'Statement of Marks'!$B$8:'Statement of Marks'!$HI$207,5,0),"")</f>
        <v>U</v>
      </c>
      <c r="T65" s="1690"/>
      <c r="U65" s="1690"/>
      <c r="V65" s="1690"/>
      <c r="W65" s="1690"/>
      <c r="X65" s="1690"/>
      <c r="Y65" s="1691" t="str">
        <f>IF('Master Sheet'!$D$11="Hindi","रोल नंबर :-","Roll No. :")</f>
        <v>रोल नंबर :-</v>
      </c>
      <c r="Z65" s="1691"/>
      <c r="AA65" s="1691"/>
      <c r="AB65" s="1692">
        <f>IF(L65="","",IF(AND(L65+1&gt;$AN$11),"",L65+1))</f>
        <v>1106</v>
      </c>
      <c r="AC65" s="1692"/>
      <c r="AD65" s="1692"/>
      <c r="AE65" s="711"/>
      <c r="AF65" s="468"/>
      <c r="AQ65" s="17"/>
      <c r="AR65" t="str">
        <f>IF(AR64=2000,"दो हजार",IF(AR64=2001,"दो हजार एक",IF(AR64=2002,"दो हजार दो",IF(AR64=2003,"दो हजार तीन",IF(AR64=2004,"दो हजार चार",IF(AR64=2005,"दो हजार पांच",IF(AR64=2006,"दो हजार छः",IF(AR64=2007,"दो हजार सात",IF(AR64=2008,"दो हजार आठ",IF(AR64=2009,"दो हजार नौ",IF(AR64=2010,"दो हजार दस",IF(AR64=2011,"दो हजार ग्यारह",IF(AR64=2012,"दो हजार बारह",IF(AR64=2013,"दो हजार तेरह",IF(AR64=2014,"दो हजार चौदह",IF(AR64=2015,"दो हजार पंद्रह",IF(AR64=2016,"दो हजार सोलह",IF(AR64=2017,"दो हजार सत्रह",IF(AR64=2018,"दो हजार अठारह",IF(AR64=2019,"दो हजार उन्नीस",IF(AR64=2020,"दो हजार बीस",IF(AR64=2021,"दो हजार इक्कीस",IF(AR64=2022,"दो हजार बाइस","")))))))))))))))))))))))</f>
        <v>दो हजार सात</v>
      </c>
      <c r="AS65" t="str">
        <f>IF(AS64=1,"जनवरी",IF(AS64=2,"फरवरी",IF(AS64=3,"मार्च",IF(AS64=4,"अप्रैल",IF(AS64=5,"मई",IF(AS64=6,"जून",IF(AS64=7,"जुलाई",IF(AS64=8,"अगस्त",IF(AS64=9,"सितम्बर",IF(AS64=10,"अक्टूबर",IF(AS64=11,"नवम्बर",IF(AS64=12,"दिसम्बर",""))))))))))))</f>
        <v>जुलाई</v>
      </c>
      <c r="AT65" t="str">
        <f>IF(AT64=1,"एक",IF(AT64=2,"दो",IF(AT64=3,"तीन",IF(AT64=4,"चार",IF(AT64=5,"पांच",IF(AT64=6,"छः",IF(AT64=7,"सात",IF(AT64=8,"आठ",IF(AT64=9,"नौ",IF(AT64=10,"दस",IF(AT64=11,"ग्यारह",IF(AT64=12,"बारह",IF(AT64=13,"तेरह",IF(AT64=14,"चौदह",IF(AT64=15,"पंद्रह",IF(AT64=16,"सोलह",IF(AT64=17,"सत्रह",IF(AT64=18,"अठारह",IF(AT64=19,"उन्नीस",IF(AT64=20,"बीस",IF(AT64=21,"इक्कीस",IF(AT64=22,"बाइस",IF(AT64=23,"तेईस",IF(AT64=24,"चौबीस",IF(AT64=25,"पचीस",IF(AT64=26,"छबीस",IF(AT64=27,"सताईस",IF(AT64=28,"अठाइस",IF(AT64=29,"उन्नतीस",IF(AT64=30,"तीस",IF(AT64=31,"इकतीस","")))))))))))))))))))))))))))))))</f>
        <v>सात</v>
      </c>
      <c r="AX65" t="str">
        <f>IF(AX64=2000,"दो हजार",IF(AX64=2001,"दो हजार एक",IF(AX64=2002,"दो हजार दो",IF(AX64=2003,"दो हजार तीन",IF(AX64=2004,"दो हजार चार",IF(AX64=2005,"दो हजार पांच",IF(AX64=2006,"दो हजार छः",IF(AX64=2007,"दो हजार सात",IF(AX64=2008,"दो हजार आठ",IF(AX64=2009,"दो हजार नौ",IF(AX64=2010,"दो हजार दस",IF(AX64=2011,"दो हजार ग्यारह",IF(AX64=2012,"दो हजार बारह",IF(AX64=2013,"दो हजार तेरह",IF(AX64=2014,"दो हजार चौदह",IF(AX64=2015,"दो हजार पंद्रह",IF(AX64=2016,"दो हजार सोलह",IF(AX64=2017,"दो हजार सत्रह",IF(AX64=2018,"दो हजार अठारह",IF(AX64=2019,"दो हजार उन्नीस",IF(AX64=2020,"दो हजार बीस",IF(AX64=2021,"दो हजार इक्कीस",IF(AX64=2022,"दो हजार बाइस","")))))))))))))))))))))))</f>
        <v>दो हजार आठ</v>
      </c>
      <c r="AY65" t="str">
        <f>IF(AY64=1,"जनवरी",IF(AY64=2,"फरवरी",IF(AY64=3,"मार्च",IF(AY64=4,"अप्रैल",IF(AY64=5,"मई",IF(AY64=6,"जून",IF(AY64=7,"जुलाई",IF(AY64=8,"अगस्त",IF(AY64=9,"सितम्बर",IF(AY64=10,"अक्टूबर",IF(AY64=11,"नवम्बर",IF(AY64=12,"दिसम्बर",""))))))))))))</f>
        <v>अगस्त</v>
      </c>
      <c r="AZ65" t="str">
        <f>IF(AZ64=1,"एक",IF(AZ64=2,"दो",IF(AZ64=3,"तीन",IF(AZ64=4,"चार",IF(AZ64=5,"पांच",IF(AZ64=6,"छः",IF(AZ64=7,"सात",IF(AZ64=8,"आठ",IF(AZ64=9,"नौ",IF(AZ64=10,"दस",IF(AZ64=11,"ग्यारह",IF(AZ64=12,"बारह",IF(AZ64=13,"तेरह",IF(AZ64=14,"चौदह",IF(AZ64=15,"पंद्रह",IF(AZ64=16,"सोलह",IF(AZ64=17,"सत्रह",IF(AZ64=18,"अठारह",IF(AZ64=19,"उन्नीस",IF(AZ64=20,"बीस",IF(AZ64=21,"इक्कीस",IF(AZ64=22,"बाइस",IF(AZ64=23,"तेईस",IF(AZ64=24,"चौबीस",IF(AZ64=25,"पचीस",IF(AZ64=26,"छबीस",IF(AZ64=27,"सताईस",IF(AZ64=28,"अठाइस",IF(AZ64=29,"उन्नतीस",IF(AZ64=30,"तीस",IF(AZ64=31,"इकतीस","")))))))))))))))))))))))))))))))</f>
        <v>आठ</v>
      </c>
      <c r="BE65" s="17"/>
      <c r="BF65" s="17"/>
    </row>
    <row r="66" spans="1:58" s="467" customFormat="1" ht="21" customHeight="1">
      <c r="A66" s="465"/>
      <c r="B66" s="733" t="str">
        <f>IF('Master Sheet'!$D$11="Hindi","माता का नाम :-","Mother's Name :-")</f>
        <v>माता का नाम :-</v>
      </c>
      <c r="C66" s="1690" t="str">
        <f>IFERROR(VLOOKUP(L65,'Statement of Marks'!$B$8:'Statement of Marks'!$HI$207,6,0),"")</f>
        <v>Q</v>
      </c>
      <c r="D66" s="1690"/>
      <c r="E66" s="1690"/>
      <c r="F66" s="1690"/>
      <c r="G66" s="1690"/>
      <c r="H66" s="1690"/>
      <c r="I66" s="1691" t="str">
        <f>IF('Master Sheet'!$D$11="Hindi","जन्म तिथि :","Date of Birth :")</f>
        <v>जन्म तिथि :</v>
      </c>
      <c r="J66" s="1691"/>
      <c r="K66" s="1691"/>
      <c r="L66" s="1723">
        <f>IFERROR(VLOOKUP(L65,'Statement of Marks'!$B$8:'Statement of Marks'!$HI$207,3,0),"")</f>
        <v>39270</v>
      </c>
      <c r="M66" s="1723"/>
      <c r="N66" s="1723"/>
      <c r="O66" s="1723"/>
      <c r="Q66"/>
      <c r="R66" s="733" t="str">
        <f>IF('Master Sheet'!$D$11="Hindi","माता का नाम :-","Mother's Name :-")</f>
        <v>माता का नाम :-</v>
      </c>
      <c r="S66" s="1690" t="str">
        <f>IFERROR(VLOOKUP(AB65,'Statement of Marks'!$B$8:'Statement of Marks'!$HI$207,6,0),"")</f>
        <v>R</v>
      </c>
      <c r="T66" s="1690"/>
      <c r="U66" s="1690"/>
      <c r="V66" s="1690"/>
      <c r="W66" s="1690"/>
      <c r="X66" s="1690"/>
      <c r="Y66" s="1691" t="str">
        <f>IF('Master Sheet'!$D$11="Hindi","जन्म तिथि :","Date of Birth :")</f>
        <v>जन्म तिथि :</v>
      </c>
      <c r="Z66" s="1691"/>
      <c r="AA66" s="1691"/>
      <c r="AB66" s="1723">
        <f>IFERROR(VLOOKUP(AB65,'Statement of Marks'!$B$8:'Statement of Marks'!$HI$207,3,0),"")</f>
        <v>39668</v>
      </c>
      <c r="AC66" s="1723"/>
      <c r="AD66" s="1723"/>
      <c r="AE66" s="1723"/>
      <c r="AQ66" s="17"/>
      <c r="AR66"/>
      <c r="AS66" t="str">
        <f>CONCATENATE(AT65," ",AS65," ",AR65)</f>
        <v>सात जुलाई दो हजार सात</v>
      </c>
      <c r="AT66"/>
      <c r="AX66"/>
      <c r="AY66" t="str">
        <f>CONCATENATE(AZ65," ",AY65," ",AX65)</f>
        <v>आठ अगस्त दो हजार आठ</v>
      </c>
      <c r="AZ66"/>
      <c r="BE66" s="17"/>
      <c r="BF66" s="17"/>
    </row>
    <row r="67" spans="1:58" s="467" customFormat="1" ht="21" customHeight="1">
      <c r="A67" s="465"/>
      <c r="B67" s="466"/>
      <c r="C67" s="716"/>
      <c r="D67" s="716"/>
      <c r="E67" s="716"/>
      <c r="F67" s="716"/>
      <c r="G67" s="716"/>
      <c r="H67" s="716"/>
      <c r="I67" s="1691" t="str">
        <f>IF('Master Sheet'!$D$11="Hindi","जन्मतिथि शब्दों में :","Date of Birth in Words :")</f>
        <v>जन्मतिथि शब्दों में :</v>
      </c>
      <c r="J67" s="1691"/>
      <c r="K67" s="1691"/>
      <c r="L67" s="1724" t="str">
        <f>IF('Master Sheet'!$D$11="Hindi",AS66,AS68)</f>
        <v>सात जुलाई दो हजार सात</v>
      </c>
      <c r="M67" s="1724"/>
      <c r="N67" s="1724"/>
      <c r="O67" s="1724"/>
      <c r="P67" s="1724"/>
      <c r="Q67"/>
      <c r="R67" s="466"/>
      <c r="S67" s="716"/>
      <c r="T67" s="716"/>
      <c r="U67" s="716"/>
      <c r="V67" s="716"/>
      <c r="W67" s="716"/>
      <c r="X67" s="716"/>
      <c r="Y67" s="1691" t="str">
        <f>IF('Master Sheet'!$D$11="Hindi","जन्मतिथि शब्दों में :","Date of Birth in Words :")</f>
        <v>जन्मतिथि शब्दों में :</v>
      </c>
      <c r="Z67" s="1691"/>
      <c r="AA67" s="1691"/>
      <c r="AB67" s="1724" t="str">
        <f>IF('Master Sheet'!$D$11="Hindi",AY66,AY68)</f>
        <v>आठ अगस्त दो हजार आठ</v>
      </c>
      <c r="AC67" s="1724"/>
      <c r="AD67" s="1724"/>
      <c r="AE67" s="1724"/>
      <c r="AF67" s="1724"/>
      <c r="AQ67" s="17"/>
      <c r="AR67" t="str">
        <f>IF(AR64=1961,"NINETEEN SIXTY ONE",IF(AR64=1962,"NINETEEN SIXTY TWO",IF(AR64=1963,"NINETEEN SIXTY THREE",IF(AR64=1964,"NINETEEN SIXTY FOUR",IF(AR64=1965,"NINETEEN SIXTY FIVE",IF(AR64=1966,"NINETEEN SIXTY SIX",IF(AR64=1967,"NINETEEN SIXTY SEVEN",IF(AR64=1968,"NINETEEN SIXTY EIGHT",IF(AR64=1969,"NINETEEN SIXTY NINE",IF(AR64=1970,"NINETEEN SEVENTY",IF(AR64=1971,"NINETEEN SEVENTY ONE",IF(AR64=1972,"NINETEEN SEVENTY TWO",IF(AR64=1973,"NINETEEN SEVENTY THREE",IF(AR64=1974,"NINETEEN SEVENTY FOUR",IF(AR64=1975,"NINETEEN SEVENTY FIVE",IF(AR64=1976,"NINETEEN SEVENTY SIX",IF(AR64=1977,"NINETEEN SEVENTY SEVEN",IF(AR64=1978,"NINETEEN SEVENTY EIGHT",IF(AR64=1979,"NINETEEN SEVENTY NINE",IF(AR64=1980,"NINETEEN EIGHTY",IF(AR64=1981,"NINETEEN EIGHTY ONE",IF(AR64=1982,"NINETEEN EIGHTY TWO",IF(AR64=1983,"NINETEEN EIGHTY THREE",IF(AR64=1984,"NINETEEN EIGHTY FOUR",IF(AR64=1985,"NINETEEN EIGHTY FIVE",IF(AR64=1986,"NINETEEN EIGHTY SIX",IF(AR64=1987,"NINETEEN EIGHTY SEVEN",IF(AR64=1988,"NINETEEN EIGHTY EIGHT",IF(AR64=1989,"NINETEEN EIGHTY NINE",IF(AR64=1990,"NINETEEN NINETY",IF(AR64=1991,"NINETEEN NINETY ONE",IF(AR64=1992,"NINETEEN NINETY TWO",IF(AR64=1993,"NINETEEN NINETY THREE",IF(AR64=1994,"NINETEEN NINETY FOUR",IF(AR64=1995,"NINETEEN NINETY FIVE",IF(AR64=1996,"NINETEEN NINETY SIX",IF(AR64=1997,"NINETEEN NINETY SEVEN",IF(AR64=1998,"NINETEEN NINETY EIGHT",IF(AR64=1999,"NINETEEN NINETY NINE",IF(AR64=2000,"TWO THOUSAND",IF(AR64=2001,"TWO THOUSAND ONE",IF(AR64=2002,"TWO THOUSAND TWO",IF(AR64=2003,"TWO THOUSAND THREE",IF(AR64=2004,"TWO THOUSAND FOUR",IF(AR64=2005,"TWO THOUSAND FIVE",IF(AR64=2006,"TWO THOUSAND SIX",IF(AR64=2007,"TWO THOUSAND SEVEN",IF(AR64=2008,"TWO THOUSAND EIGHT",IF(AR64=2009,"TWO THOUSAND NINE",IF(AR64=2010,"TWO THOUSAND TEN",IF(AR64=2011,"TWO THOUSAND ELEVEN",IF(AR64=2012,"TWO THOUSAND TWELVE",IF(AR64=2013,"TWO THOUSAND THIRTEEN",IF(AR64=2014,"TWO THOUSAND FOURTEEN",IF(AR64=2015,"TWO THOUSAND FIFTEEN",IF(AR64=2016,"TWO THOUSAND SIXTEEN",IF(AR64=2017,"TWO THOUSAND SEVENTEEN",IF(AR64=2018,"TWO THOUSAND EIGHTEEN",IF(AR64=2019,"TWO THOUSAND NINETEEN",IF(AR64=2020,"TWO THOUSAND TWENTY",IF(AR64=2021,"TWO THOUSAND TWENTY ONE",IF(AR64=2022,"TWO THOUSAND TWENTY TWO",IF(AR64=2023,"TWO THOUSAND TWENTY THREE",IF(AR64=2024,"TWO THOUSAND TWENTY FOUR",IF(AR64=2025,"TWO THOUSAND TWENTY FIVE","")))))))))))))))))))))))))))))))))))))))))))))))))))))))))))))))))</f>
        <v>TWO THOUSAND SEVEN</v>
      </c>
      <c r="AS67" t="str">
        <f>IF(AS64=1,"JANUARY",IF(AS64=2,"FEBUARY", IF(AS64=3,"MARCH",IF(AS64=4,"APRIL",IF(AS64=5,"MAY",IF(AS64=6,"JUNE",IF(AS64=7,"JULY",IF(AS64=8,"AUGUST",IF(AS64=9,"SEPTEMBER",IF(AS64=10,"OCTOBER",IF(AS64=11,"NOVEMBER",IF(AS64=12,"DECEMBER",""))))))))))))</f>
        <v>JULY</v>
      </c>
      <c r="AT67" t="str">
        <f>IF(AT64=1,"1ST",IF(AT64=2,"2ND", IF(AT64=3,"3RD",IF(AT64=4,"FOURTH",IF(AT64=5,"FIFTH",IF(AT64=6,"SIXTH",IF(AT64=7,"7TH",IF(AT64=8,"8TH",IF(AT64=9,"9TH",IF(AT64=10,"10TH",IF(AT64=11,"11TH",IF(AT64=12,"12TH",IF(AT64=13,"13TH",IF(AT64=14,"14TH",IF(AT64=15,"FIFTEEN",IF(AT64=16,"SIXTEEN",IF(AT64=17,"SEVENTEEN",IF(AT64=18,"EIGHTEEN",IF(AT64=19,"NINETEEN",IF(AT64=20,"TWENTY",IF(AT64=21,"TWENTY FIRST",IF(AT64=22,"TWENTY SECOND",IF(AT64=23,"TWENTY THIRD",IF(AT64=24,"TWENTY FOURTH",IF(AT64=25,"TWENTY FIFTH",IF(AT64=26,"TWENTY SIX",IF(AT64=27,"TWENTY SEVEN",IF(AT64=28,"TWENTY EIGHT",IF(AT64=29,"TWENTY NINE",IF(AT64=30,"THIRTY",IF(AT64=31,"THIRTY FIRST","")))))))))))))))))))))))))))))))</f>
        <v>7TH</v>
      </c>
      <c r="AX67" t="str">
        <f>IF(AX64=1961,"NINETEEN SIXTY ONE",IF(AX64=1962,"NINETEEN SIXTY TWO",IF(AX64=1963,"NINETEEN SIXTY THREE",IF(AX64=1964,"NINETEEN SIXTY FOUR",IF(AX64=1965,"NINETEEN SIXTY FIVE",IF(AX64=1966,"NINETEEN SIXTY SIX",IF(AX64=1967,"NINETEEN SIXTY SEVEN",IF(AX64=1968,"NINETEEN SIXTY EIGHT",IF(AX64=1969,"NINETEEN SIXTY NINE",IF(AX64=1970,"NINETEEN SEVENTY",IF(AX64=1971,"NINETEEN SEVENTY ONE",IF(AX64=1972,"NINETEEN SEVENTY TWO",IF(AX64=1973,"NINETEEN SEVENTY THREE",IF(AX64=1974,"NINETEEN SEVENTY FOUR",IF(AX64=1975,"NINETEEN SEVENTY FIVE",IF(AX64=1976,"NINETEEN SEVENTY SIX",IF(AX64=1977,"NINETEEN SEVENTY SEVEN",IF(AX64=1978,"NINETEEN SEVENTY EIGHT",IF(AX64=1979,"NINETEEN SEVENTY NINE",IF(AX64=1980,"NINETEEN EIGHTY",IF(AX64=1981,"NINETEEN EIGHTY ONE",IF(AX64=1982,"NINETEEN EIGHTY TWO",IF(AX64=1983,"NINETEEN EIGHTY THREE",IF(AX64=1984,"NINETEEN EIGHTY FOUR",IF(AX64=1985,"NINETEEN EIGHTY FIVE",IF(AX64=1986,"NINETEEN EIGHTY SIX",IF(AX64=1987,"NINETEEN EIGHTY SEVEN",IF(AX64=1988,"NINETEEN EIGHTY EIGHT",IF(AX64=1989,"NINETEEN EIGHTY NINE",IF(AX64=1990,"NINETEEN NINETY",IF(AX64=1991,"NINETEEN NINETY ONE",IF(AX64=1992,"NINETEEN NINETY TWO",IF(AX64=1993,"NINETEEN NINETY THREE",IF(AX64=1994,"NINETEEN NINETY FOUR",IF(AX64=1995,"NINETEEN NINETY FIVE",IF(AX64=1996,"NINETEEN NINETY SIX",IF(AX64=1997,"NINETEEN NINETY SEVEN",IF(AX64=1998,"NINETEEN NINETY EIGHT",IF(AX64=1999,"NINETEEN NINETY NINE",IF(AX64=2000,"TWO THOUSAND",IF(AX64=2001,"TWO THOUSAND ONE",IF(AX64=2002,"TWO THOUSAND TWO",IF(AX64=2003,"TWO THOUSAND THREE",IF(AX64=2004,"TWO THOUSAND FOUR",IF(AX64=2005,"TWO THOUSAND FIVE",IF(AX64=2006,"TWO THOUSAND SIX",IF(AX64=2007,"TWO THOUSAND SEVEN",IF(AX64=2008,"TWO THOUSAND EIGHT",IF(AX64=2009,"TWO THOUSAND NINE",IF(AX64=2010,"TWO THOUSAND TEN",IF(AX64=2011,"TWO THOUSAND ELEVEN",IF(AX64=2012,"TWO THOUSAND TWELVE",IF(AX64=2013,"TWO THOUSAND THIRTEEN",IF(AX64=2014,"TWO THOUSAND FOURTEEN",IF(AX64=2015,"TWO THOUSAND FIFTEEN",IF(AX64=2016,"TWO THOUSAND SIXTEEN",IF(AX64=2017,"TWO THOUSAND SEVENTEEN",IF(AX64=2018,"TWO THOUSAND EIGHTEEN",IF(AX64=2019,"TWO THOUSAND NINETEEN",IF(AX64=2020,"TWO THOUSAND TWENTY",IF(AX64=2021,"TWO THOUSAND TWENTY ONE",IF(AX64=2022,"TWO THOUSAND TWENTY TWO",IF(AX64=2023,"TWO THOUSAND TWENTY THREE",IF(AX64=2024,"TWO THOUSAND TWENTY FOUR",IF(AX64=2025,"TWO THOUSAND TWENTY FIVE","")))))))))))))))))))))))))))))))))))))))))))))))))))))))))))))))))</f>
        <v>TWO THOUSAND EIGHT</v>
      </c>
      <c r="AY67" t="str">
        <f>IF(AY64=1,"JANUARY",IF(AY64=2,"FEBUARY", IF(AY64=3,"MARCH",IF(AY64=4,"APRIL",IF(AY64=5,"MAY",IF(AY64=6,"JUNE",IF(AY64=7,"JULY",IF(AY64=8,"AUGUST",IF(AY64=9,"SEPTEMBER",IF(AY64=10,"OCTOBER",IF(AY64=11,"NOVEMBER",IF(AY64=12,"DECEMBER",""))))))))))))</f>
        <v>AUGUST</v>
      </c>
      <c r="AZ67" t="str">
        <f>IF(AZ64=1,"1ST",IF(AZ64=2,"2ND", IF(AZ64=3,"3RD",IF(AZ64=4,"FOURTH",IF(AZ64=5,"FIFTH",IF(AZ64=6,"SIXTH",IF(AZ64=7,"7TH",IF(AZ64=8,"8TH",IF(AZ64=9,"9TH",IF(AZ64=10,"10TH",IF(AZ64=11,"11TH",IF(AZ64=12,"12TH",IF(AZ64=13,"13TH",IF(AZ64=14,"14TH",IF(AZ64=15,"FIFTEEN",IF(AZ64=16,"SIXTEEN",IF(AZ64=17,"SEVENTEEN",IF(AZ64=18,"EIGHTEEN",IF(AZ64=19,"NINETEEN",IF(AZ64=20,"TWENTY",IF(AZ64=21,"TWENTY FIRST",IF(AZ64=22,"TWENTY SECOND",IF(AZ64=23,"TWENTY THIRD",IF(AZ64=24,"TWENTY FOURTH",IF(AZ64=25,"TWENTY FIFTH",IF(AZ64=26,"TWENTY SIX",IF(AZ64=27,"TWENTY SEVEN",IF(AZ64=28,"TWENTY EIGHT",IF(AZ64=29,"TWENTY NINE",IF(AZ64=30,"THIRTY",IF(AZ64=31,"THIRTY FIRST","")))))))))))))))))))))))))))))))</f>
        <v>8TH</v>
      </c>
      <c r="BE67" s="17"/>
      <c r="BF67" s="17"/>
    </row>
    <row r="68" spans="1:58" s="467" customFormat="1" ht="9.75" customHeight="1">
      <c r="A68" s="465"/>
      <c r="B68" s="1712"/>
      <c r="C68" s="1712"/>
      <c r="D68" s="1712"/>
      <c r="E68" s="1712"/>
      <c r="F68" s="1712"/>
      <c r="G68" s="1712"/>
      <c r="H68" s="1712"/>
      <c r="I68" s="1712"/>
      <c r="J68" s="1712"/>
      <c r="K68" s="1712"/>
      <c r="L68" s="1712"/>
      <c r="M68" s="1712"/>
      <c r="N68" s="1712"/>
      <c r="O68" s="1712"/>
      <c r="P68" s="715"/>
      <c r="Q68"/>
      <c r="R68" s="1713"/>
      <c r="S68" s="1713"/>
      <c r="T68" s="1713"/>
      <c r="U68" s="1713"/>
      <c r="V68" s="1713"/>
      <c r="W68" s="1713"/>
      <c r="X68" s="1713"/>
      <c r="Y68" s="1713"/>
      <c r="Z68" s="1713"/>
      <c r="AA68" s="1713"/>
      <c r="AB68" s="1713"/>
      <c r="AC68" s="1713"/>
      <c r="AD68" s="1713"/>
      <c r="AE68" s="1713"/>
      <c r="AF68" s="712"/>
      <c r="AQ68" s="17"/>
      <c r="AR68"/>
      <c r="AS68" t="str">
        <f>CONCATENATE(AS67," ",AT67,", ",AR67)</f>
        <v>JULY 7TH, TWO THOUSAND SEVEN</v>
      </c>
      <c r="AT68"/>
      <c r="AX68"/>
      <c r="AY68" t="str">
        <f>CONCATENATE(AY67," ",AZ67,", ",AX67)</f>
        <v>AUGUST 8TH, TWO THOUSAND EIGHT</v>
      </c>
      <c r="AZ68"/>
      <c r="BE68" s="17"/>
      <c r="BF68" s="17"/>
    </row>
    <row r="69" spans="1:58" s="467" customFormat="1" ht="27.75" customHeight="1">
      <c r="A69" s="465"/>
      <c r="B69" s="1685" t="str">
        <f>IF('Master Sheet'!$D$11="Hindi","विषय का नाम","Subject Name")</f>
        <v>विषय का नाम</v>
      </c>
      <c r="C69" s="1681" t="str">
        <f>IF('Master Sheet'!$D$11="Hindi","सामयिक परख","Seasonal Exam")</f>
        <v>सामयिक परख</v>
      </c>
      <c r="D69" s="1681"/>
      <c r="E69" s="1681"/>
      <c r="F69" s="1681"/>
      <c r="G69" s="1681" t="str">
        <f>IF('Master Sheet'!$D$11="Hindi","अर्द्धवार्षिक","Half Yearly")</f>
        <v>अर्द्धवार्षिक</v>
      </c>
      <c r="H69" s="1681"/>
      <c r="I69" s="1681"/>
      <c r="J69" s="1682" t="str">
        <f>IF('Master Sheet'!$D$11="Hindi","अर्द्ध वा. तक योग","Total Till H.Y.")</f>
        <v>अर्द्ध वा. तक योग</v>
      </c>
      <c r="K69" s="1681" t="str">
        <f>IF('Master Sheet'!$D$11="Hindi","वार्षिक","Yearly Exam")</f>
        <v>वार्षिक</v>
      </c>
      <c r="L69" s="1681"/>
      <c r="M69" s="1681"/>
      <c r="N69" s="1681"/>
      <c r="O69" s="1683" t="str">
        <f>IF('Master Sheet'!$D$11="Hindi","विषय कुल योग ","Subject Total")</f>
        <v xml:space="preserve">विषय कुल योग </v>
      </c>
      <c r="P69" s="1684" t="str">
        <f>IF('Master Sheet'!$D$11="Hindi","विषय परिणाम / विषय श्रेणी","Sub. Result /  Sub. Div.")</f>
        <v>विषय परिणाम / विषय श्रेणी</v>
      </c>
      <c r="Q69"/>
      <c r="R69" s="1685" t="str">
        <f>IF('Master Sheet'!$D$11="Hindi","विषय का नाम","Subject Name")</f>
        <v>विषय का नाम</v>
      </c>
      <c r="S69" s="1681" t="str">
        <f>IF('Master Sheet'!$D$11="Hindi","सामयिक परख","Seasonal Exam")</f>
        <v>सामयिक परख</v>
      </c>
      <c r="T69" s="1681"/>
      <c r="U69" s="1681"/>
      <c r="V69" s="1681"/>
      <c r="W69" s="1681" t="str">
        <f>IF('Master Sheet'!$D$11="Hindi","अर्द्धवार्षिक","Half Yearly")</f>
        <v>अर्द्धवार्षिक</v>
      </c>
      <c r="X69" s="1681"/>
      <c r="Y69" s="1681"/>
      <c r="Z69" s="1682" t="str">
        <f>IF('Master Sheet'!$D$11="Hindi","अर्द्ध वा. तक योग","Total Till H.Y.")</f>
        <v>अर्द्ध वा. तक योग</v>
      </c>
      <c r="AA69" s="1681" t="str">
        <f>IF('Master Sheet'!$D$11="Hindi","वार्षिक","Yearly Exam")</f>
        <v>वार्षिक</v>
      </c>
      <c r="AB69" s="1681"/>
      <c r="AC69" s="1681"/>
      <c r="AD69" s="1681"/>
      <c r="AE69" s="1683" t="str">
        <f>IF('Master Sheet'!$D$11="Hindi","विषय कुल योग ","Subject Total")</f>
        <v xml:space="preserve">विषय कुल योग </v>
      </c>
      <c r="AF69" s="1684" t="str">
        <f>IF('Master Sheet'!$D$11="Hindi","विषय परिणाम / विषय श्रेणी","Sub. Result /  Sub. Div.")</f>
        <v>विषय परिणाम / विषय श्रेणी</v>
      </c>
      <c r="AQ69" s="17"/>
      <c r="AR69"/>
      <c r="AS69"/>
      <c r="AT69"/>
      <c r="AX69"/>
      <c r="AY69"/>
      <c r="AZ69"/>
      <c r="BE69" s="17"/>
      <c r="BF69" s="17"/>
    </row>
    <row r="70" spans="1:58" s="467" customFormat="1" ht="78.75" customHeight="1">
      <c r="A70" s="465"/>
      <c r="B70" s="1685"/>
      <c r="C70" s="739" t="str">
        <f>IF('Master Sheet'!$D$11="Hindi","प्रथम परख ","First Test")</f>
        <v xml:space="preserve">प्रथम परख </v>
      </c>
      <c r="D70" s="739" t="str">
        <f>IF('Master Sheet'!$D$11="Hindi","द्वितीय परख","Second Test")</f>
        <v>द्वितीय परख</v>
      </c>
      <c r="E70" s="739" t="str">
        <f>IF('Master Sheet'!$D$11="Hindi","तृतीय परख","Third Test")</f>
        <v>तृतीय परख</v>
      </c>
      <c r="F70" s="740" t="str">
        <f>IF('Master Sheet'!$D$11="Hindi","सा. परख योग","Test Total")</f>
        <v>सा. परख योग</v>
      </c>
      <c r="G70" s="739" t="str">
        <f>IF('Master Sheet'!$D$11="Hindi","सैद्धांतिक","Theoretical")</f>
        <v>सैद्धांतिक</v>
      </c>
      <c r="H70" s="739" t="str">
        <f>IF('Master Sheet'!$D$11="Hindi","प्रायोगिक","Practical")</f>
        <v>प्रायोगिक</v>
      </c>
      <c r="I70" s="741" t="str">
        <f>IF('Master Sheet'!$D$11="Hindi","अर्द्ध वा. योग","Total H.Y.")</f>
        <v>अर्द्ध वा. योग</v>
      </c>
      <c r="J70" s="1682"/>
      <c r="K70" s="739" t="str">
        <f>IF('Master Sheet'!$D$11="Hindi","सैद्धांतिक","Theoretical")</f>
        <v>सैद्धांतिक</v>
      </c>
      <c r="L70" s="739" t="str">
        <f>IF('Master Sheet'!$D$11="Hindi","प्रायोगिक","Practical")</f>
        <v>प्रायोगिक</v>
      </c>
      <c r="M70" s="739" t="str">
        <f>IF('Master Sheet'!$D$11="Hindi","पोर्टफोलियो","Portfolio")</f>
        <v>पोर्टफोलियो</v>
      </c>
      <c r="N70" s="741" t="str">
        <f>IF('Master Sheet'!$D$11="Hindi","वार्षिक योग","Total Yearly")</f>
        <v>वार्षिक योग</v>
      </c>
      <c r="O70" s="1683"/>
      <c r="P70" s="1684"/>
      <c r="Q70"/>
      <c r="R70" s="1685"/>
      <c r="S70" s="739" t="str">
        <f>IF('Master Sheet'!$D$11="Hindi","प्रथम परख ","First Test")</f>
        <v xml:space="preserve">प्रथम परख </v>
      </c>
      <c r="T70" s="739" t="str">
        <f>IF('Master Sheet'!$D$11="Hindi","द्वितीय परख","Second Test")</f>
        <v>द्वितीय परख</v>
      </c>
      <c r="U70" s="739" t="str">
        <f>IF('Master Sheet'!$D$11="Hindi","तृतीय परख","Third Test")</f>
        <v>तृतीय परख</v>
      </c>
      <c r="V70" s="740" t="str">
        <f>IF('Master Sheet'!$D$11="Hindi","सा. परख योग","Test Total")</f>
        <v>सा. परख योग</v>
      </c>
      <c r="W70" s="739" t="str">
        <f>IF('Master Sheet'!$D$11="Hindi","सैद्धांतिक","Theoretical")</f>
        <v>सैद्धांतिक</v>
      </c>
      <c r="X70" s="739" t="str">
        <f>IF('Master Sheet'!$D$11="Hindi","प्रायोगिक","Practical")</f>
        <v>प्रायोगिक</v>
      </c>
      <c r="Y70" s="741" t="str">
        <f>IF('Master Sheet'!$D$11="Hindi","अर्द्ध वा. योग","Total H.Y.")</f>
        <v>अर्द्ध वा. योग</v>
      </c>
      <c r="Z70" s="1682"/>
      <c r="AA70" s="739" t="str">
        <f>IF('Master Sheet'!$D$11="Hindi","सैद्धांतिक","Theoretical")</f>
        <v>सैद्धांतिक</v>
      </c>
      <c r="AB70" s="739" t="str">
        <f>IF('Master Sheet'!$D$11="Hindi","प्रायोगिक","Practical")</f>
        <v>प्रायोगिक</v>
      </c>
      <c r="AC70" s="739" t="str">
        <f>IF('Master Sheet'!$D$11="Hindi","पोर्टफोलियो","Portfolio")</f>
        <v>पोर्टफोलियो</v>
      </c>
      <c r="AD70" s="741" t="str">
        <f>IF('Master Sheet'!$D$11="Hindi","वार्षिक योग","Total Yearly")</f>
        <v>वार्षिक योग</v>
      </c>
      <c r="AE70" s="1683"/>
      <c r="AF70" s="1684"/>
      <c r="AQ70" s="17"/>
      <c r="AR70"/>
      <c r="AS70"/>
      <c r="AT70"/>
      <c r="AX70"/>
      <c r="AY70"/>
      <c r="AZ70"/>
      <c r="BE70" s="17"/>
      <c r="BF70" s="17"/>
    </row>
    <row r="71" spans="1:58" s="471" customFormat="1" ht="28.5" customHeight="1">
      <c r="A71" s="470"/>
      <c r="B71" s="1685"/>
      <c r="C71" s="736">
        <v>10</v>
      </c>
      <c r="D71" s="736">
        <v>10</v>
      </c>
      <c r="E71" s="736">
        <v>10</v>
      </c>
      <c r="F71" s="788">
        <v>30</v>
      </c>
      <c r="G71" s="737" t="s">
        <v>289</v>
      </c>
      <c r="H71" s="717" t="s">
        <v>285</v>
      </c>
      <c r="I71" s="738">
        <v>70</v>
      </c>
      <c r="J71" s="745">
        <v>100</v>
      </c>
      <c r="K71" s="737" t="s">
        <v>286</v>
      </c>
      <c r="L71" s="717" t="s">
        <v>143</v>
      </c>
      <c r="M71" s="736">
        <v>20</v>
      </c>
      <c r="N71" s="738">
        <v>100</v>
      </c>
      <c r="O71" s="746">
        <v>200</v>
      </c>
      <c r="P71" s="1684"/>
      <c r="Q71"/>
      <c r="R71" s="1685"/>
      <c r="S71" s="736">
        <v>10</v>
      </c>
      <c r="T71" s="736">
        <v>10</v>
      </c>
      <c r="U71" s="736">
        <v>10</v>
      </c>
      <c r="V71" s="788">
        <v>30</v>
      </c>
      <c r="W71" s="737" t="s">
        <v>289</v>
      </c>
      <c r="X71" s="717" t="s">
        <v>285</v>
      </c>
      <c r="Y71" s="738">
        <v>70</v>
      </c>
      <c r="Z71" s="745">
        <v>100</v>
      </c>
      <c r="AA71" s="737" t="s">
        <v>286</v>
      </c>
      <c r="AB71" s="717" t="s">
        <v>143</v>
      </c>
      <c r="AC71" s="736">
        <v>20</v>
      </c>
      <c r="AD71" s="738">
        <v>100</v>
      </c>
      <c r="AE71" s="746">
        <v>200</v>
      </c>
      <c r="AF71" s="1684"/>
      <c r="AQ71" s="17"/>
      <c r="AR71"/>
      <c r="AS71"/>
      <c r="AT71"/>
      <c r="AX71"/>
      <c r="AY71"/>
      <c r="AZ71"/>
      <c r="BE71" s="17"/>
      <c r="BF71" s="17"/>
    </row>
    <row r="72" spans="1:58" s="467" customFormat="1" ht="22.5" customHeight="1">
      <c r="A72" s="465"/>
      <c r="B72" s="710" t="str">
        <f>'Statement of Marks'!$J$3</f>
        <v>Com. Hindi</v>
      </c>
      <c r="C72" s="91">
        <f>IFERROR(VLOOKUP(L65,'Statement of Marks'!$B$8:'Statement of Marks'!$HI$207,9,0),"")</f>
        <v>7</v>
      </c>
      <c r="D72" s="91">
        <f>IFERROR(VLOOKUP(L65,'Statement of Marks'!$B$8:'Statement of Marks'!$HI$207,10,0),"")</f>
        <v>9</v>
      </c>
      <c r="E72" s="91">
        <f>IFERROR(VLOOKUP(L65,'Statement of Marks'!$B$8:'Statement of Marks'!$HI$207,11,0),"")</f>
        <v>8</v>
      </c>
      <c r="F72" s="461">
        <f>IFERROR(VLOOKUP(L65,'Statement of Marks'!$B$8:'Statement of Marks'!$HI$207,12,0),"")</f>
        <v>24</v>
      </c>
      <c r="G72" s="91">
        <f>IFERROR(VLOOKUP(L65,'Statement of Marks'!$B$8:'Statement of Marks'!$HI$207,13,0),"")</f>
        <v>36</v>
      </c>
      <c r="H72" s="91"/>
      <c r="I72" s="787">
        <f>IFERROR(VLOOKUP(L65,'Statement of Marks'!$B$8:'Statement of Marks'!$HI$207,13,0),"")</f>
        <v>36</v>
      </c>
      <c r="J72" s="724">
        <f>IFERROR(IF(AND(L65="",A72="",F72="",I72=""),"",SUM(C72,D72,E72,G72,H72)),"")</f>
        <v>60</v>
      </c>
      <c r="K72" s="91">
        <f>IFERROR(VLOOKUP(L65,'Statement of Marks'!$B$8:'Statement of Marks'!$HI$207,15,0),"")</f>
        <v>63</v>
      </c>
      <c r="L72" s="462"/>
      <c r="M72" s="721"/>
      <c r="N72" s="759">
        <f>IFERROR(VLOOKUP(L65,'Statement of Marks'!$B$8:'Statement of Marks'!$HI$207,15,0),"")</f>
        <v>63</v>
      </c>
      <c r="O72" s="732">
        <f>IFERROR(VLOOKUP(L65,'Statement of Marks'!$B$8:'Statement of Marks'!$HI$207,16,0),"")</f>
        <v>123</v>
      </c>
      <c r="P72" s="722" t="str">
        <f>IFERROR(IF(N72="","",IF(VLOOKUP(L65,'Statement of Marks'!$B$8:'Statement of Marks'!$HI$207,165,0)="D","I",VLOOKUP(L65,'Statement of Marks'!$B$8:'Statement of Marks'!$HI$207,165,0))),"")</f>
        <v>I</v>
      </c>
      <c r="Q72"/>
      <c r="R72" s="710" t="str">
        <f>'Statement of Marks'!$J$3</f>
        <v>Com. Hindi</v>
      </c>
      <c r="S72" s="91">
        <f>IFERROR(VLOOKUP(AB65,'Statement of Marks'!$B$8:'Statement of Marks'!$HI$207,9,0),"")</f>
        <v>10</v>
      </c>
      <c r="T72" s="91">
        <f>IFERROR(VLOOKUP(AB65,'Statement of Marks'!$B$8:'Statement of Marks'!$HI$207,10,0),"")</f>
        <v>9</v>
      </c>
      <c r="U72" s="91">
        <f>IFERROR(VLOOKUP(AB65,'Statement of Marks'!$B$8:'Statement of Marks'!$HI$207,11,0),"")</f>
        <v>8</v>
      </c>
      <c r="V72" s="461">
        <f>IFERROR(VLOOKUP(AB65,'Statement of Marks'!$B$8:'Statement of Marks'!$HI$207,12,0),"")</f>
        <v>27</v>
      </c>
      <c r="W72" s="91">
        <f>IFERROR(VLOOKUP(AB65,'Statement of Marks'!$B$8:'Statement of Marks'!$HI$207,13,0),"")</f>
        <v>42</v>
      </c>
      <c r="X72" s="91"/>
      <c r="Y72" s="787">
        <f>IFERROR(VLOOKUP(AB65,'Statement of Marks'!$B$8:'Statement of Marks'!$HI$207,13,0),"")</f>
        <v>42</v>
      </c>
      <c r="Z72" s="724">
        <f>IFERROR(IF(AND(AB65="",Q72="",V72="",Y72=""),"",SUM(S72,T72,U72,W72,X72)),"")</f>
        <v>69</v>
      </c>
      <c r="AA72" s="91">
        <f>IFERROR(VLOOKUP(AB65,'Statement of Marks'!$B$8:'Statement of Marks'!$HI$207,15,0),"")</f>
        <v>45</v>
      </c>
      <c r="AB72" s="462"/>
      <c r="AC72" s="721"/>
      <c r="AD72" s="759">
        <f>IFERROR(VLOOKUP(AB65,'Statement of Marks'!$B$8:'Statement of Marks'!$HI$207,15,0),"")</f>
        <v>45</v>
      </c>
      <c r="AE72" s="732">
        <f>IFERROR(VLOOKUP(AB65,'Statement of Marks'!$B$8:'Statement of Marks'!$HI$207,16,0),"")</f>
        <v>114</v>
      </c>
      <c r="AF72" s="722" t="str">
        <f>IFERROR(IF(AD72="","",IF(VLOOKUP(AB65,'Statement of Marks'!$B$8:'Statement of Marks'!$HI$207,165,0)="D","I",VLOOKUP(AB65,'Statement of Marks'!$B$8:'Statement of Marks'!$HI$207,165,0))),"")</f>
        <v>II</v>
      </c>
      <c r="AQ72" s="17"/>
      <c r="AR72"/>
      <c r="AS72"/>
      <c r="AT72"/>
      <c r="AX72"/>
      <c r="AY72"/>
      <c r="AZ72"/>
      <c r="BE72" s="17"/>
      <c r="BF72" s="17"/>
    </row>
    <row r="73" spans="1:58" s="467" customFormat="1" ht="22.5" customHeight="1">
      <c r="A73" s="465"/>
      <c r="B73" s="710" t="str">
        <f>'Statement of Marks'!$X$3</f>
        <v>Com. English</v>
      </c>
      <c r="C73" s="91">
        <f>IFERROR(VLOOKUP(L65,'Statement of Marks'!$B$8:'Statement of Marks'!$HI$207,23,0),"")</f>
        <v>9</v>
      </c>
      <c r="D73" s="91">
        <f>IFERROR(VLOOKUP(L65,'Statement of Marks'!$B$8:'Statement of Marks'!$HI$207,24,0),"")</f>
        <v>5</v>
      </c>
      <c r="E73" s="91">
        <f>IFERROR(VLOOKUP(L65,'Statement of Marks'!$B$8:'Statement of Marks'!$HI$207,25,0),"")</f>
        <v>9</v>
      </c>
      <c r="F73" s="461">
        <f>IFERROR(VLOOKUP(L65,'Statement of Marks'!$B$8:'Statement of Marks'!$HI$207,26,0),"")</f>
        <v>23</v>
      </c>
      <c r="G73" s="91">
        <f>IFERROR(VLOOKUP(L65,'Statement of Marks'!$B$8:'Statement of Marks'!$HI$207,27,0),"")</f>
        <v>47</v>
      </c>
      <c r="H73" s="91"/>
      <c r="I73" s="787">
        <f>IFERROR(VLOOKUP(L65,'Statement of Marks'!$B$8:'Statement of Marks'!$HI$207,27,0),"")</f>
        <v>47</v>
      </c>
      <c r="J73" s="724">
        <f>IFERROR(IF(AND(L65="",A73="",F73="",I73=""),"",SUM(C73,D73,E73,G73,H73)),"")</f>
        <v>70</v>
      </c>
      <c r="K73" s="91">
        <f>IFERROR(VLOOKUP(L65,'Statement of Marks'!$B$8:'Statement of Marks'!$HI$207,29,0),"")</f>
        <v>63</v>
      </c>
      <c r="L73" s="462"/>
      <c r="M73" s="721"/>
      <c r="N73" s="759">
        <f>IFERROR(VLOOKUP(L65,'Statement of Marks'!$B$8:'Statement of Marks'!$HI$207,29,0),"")</f>
        <v>63</v>
      </c>
      <c r="O73" s="732">
        <f>IFERROR(VLOOKUP(L65,'Statement of Marks'!$B$8:'Statement of Marks'!$HI$207,30,0),"")</f>
        <v>133</v>
      </c>
      <c r="P73" s="722" t="str">
        <f>IFERROR(IF(O73="","",IF(VLOOKUP(L65,'Statement of Marks'!$B$8:'Statement of Marks'!$HI$207,168,0)="D","I",VLOOKUP(L65,'Statement of Marks'!$B$8:'Statement of Marks'!$HI$207,168,0))),"")</f>
        <v>I</v>
      </c>
      <c r="Q73"/>
      <c r="R73" s="710" t="str">
        <f>'Statement of Marks'!$X$3</f>
        <v>Com. English</v>
      </c>
      <c r="S73" s="91">
        <f>IFERROR(VLOOKUP(AB65,'Statement of Marks'!$B$8:'Statement of Marks'!$HI$207,23,0),"")</f>
        <v>10</v>
      </c>
      <c r="T73" s="91">
        <f>IFERROR(VLOOKUP(AB65,'Statement of Marks'!$B$8:'Statement of Marks'!$HI$207,24,0),"")</f>
        <v>9</v>
      </c>
      <c r="U73" s="91">
        <f>IFERROR(VLOOKUP(AB65,'Statement of Marks'!$B$8:'Statement of Marks'!$HI$207,25,0),"")</f>
        <v>9</v>
      </c>
      <c r="V73" s="461">
        <f>IFERROR(VLOOKUP(AB65,'Statement of Marks'!$B$8:'Statement of Marks'!$HI$207,26,0),"")</f>
        <v>28</v>
      </c>
      <c r="W73" s="91">
        <f>IFERROR(VLOOKUP(AB65,'Statement of Marks'!$B$8:'Statement of Marks'!$HI$207,27,0),"")</f>
        <v>46</v>
      </c>
      <c r="X73" s="91"/>
      <c r="Y73" s="787">
        <f>IFERROR(VLOOKUP(AB65,'Statement of Marks'!$B$8:'Statement of Marks'!$HI$207,27,0),"")</f>
        <v>46</v>
      </c>
      <c r="Z73" s="724">
        <f>IFERROR(IF(AND(AB65="",Q73="",V73="",Y73=""),"",SUM(S73,T73,U73,W73,X73)),"")</f>
        <v>74</v>
      </c>
      <c r="AA73" s="91">
        <f>IFERROR(VLOOKUP(AB65,'Statement of Marks'!$B$8:'Statement of Marks'!$HI$207,29,0),"")</f>
        <v>65</v>
      </c>
      <c r="AB73" s="462"/>
      <c r="AC73" s="721"/>
      <c r="AD73" s="759">
        <f>IFERROR(VLOOKUP(AB65,'Statement of Marks'!$B$8:'Statement of Marks'!$HI$207,29,0),"")</f>
        <v>65</v>
      </c>
      <c r="AE73" s="732">
        <f>IFERROR(VLOOKUP(AB65,'Statement of Marks'!$B$8:'Statement of Marks'!$HI$207,30,0),"")</f>
        <v>139</v>
      </c>
      <c r="AF73" s="722" t="str">
        <f>IFERROR(IF(AE73="","",IF(VLOOKUP(AB65,'Statement of Marks'!$B$8:'Statement of Marks'!$HI$207,168,0)="D","I",VLOOKUP(AB65,'Statement of Marks'!$B$8:'Statement of Marks'!$HI$207,168,0))),"")</f>
        <v>I</v>
      </c>
      <c r="AQ73" s="17"/>
      <c r="AR73"/>
      <c r="AS73"/>
      <c r="AT73"/>
      <c r="AU73" s="17" t="str">
        <f>IFERROR(VLOOKUP(L65,'Statement of Marks'!$B$8:'Statement of Marks'!$HI$207,37,0),"")</f>
        <v>B</v>
      </c>
      <c r="AV73" s="17" t="str">
        <f>IFERROR(VLOOKUP(AB65,'Statement of Marks'!$B$8:'Statement of Marks'!$HI$207,37,0),"")</f>
        <v>A</v>
      </c>
      <c r="AX73"/>
      <c r="AY73"/>
      <c r="AZ73"/>
      <c r="BE73" s="17" t="str">
        <f>IFERROR(IF(VLOOKUP(AB65,'Statement of Marks'!$B$7:'Statement of Marks'!$IC$206,206,0)="By Grace Pass","By Grace Pass and Promoted to Class 12th",IF(VLOOKUP(AB65,'Statement of Marks'!$B$7:'Statement of Marks'!$IC$206,206,0)="PASS","PASS  and Promoted to Class 12th",IF(VLOOKUP(AB65,'Statement of Marks'!$B$7:'Statement of Marks'!$IC$206,206,0)="SUPPLEMENTARY","Supplementary",IF(VLOOKUP(AB65,'Statement of Marks'!$B$7:'Statement of Marks'!$IC$206,206,0)="Re-Exam","RE-EXAM",IF(VLOOKUP(AB65,'Statement of Marks'!$B$7:'Statement of Marks'!$IC$206,206,0)="FAIL","FAIL",""))))),"")</f>
        <v>PASS  and Promoted to Class 12th</v>
      </c>
      <c r="BF73" s="17" t="str">
        <f>IFERROR(IF(VLOOKUP(L65,'Statement of Marks'!$B$7:'Statement of Marks'!$IC$206,206,0)="By Grace Pass","By Grace Pass and Promoted to Class 12th",IF(VLOOKUP(L65,'Statement of Marks'!$B$7:'Statement of Marks'!$IC$206,206,0)="PASS","PASS  and Promoted to Class 12th",IF(VLOOKUP(L65,'Statement of Marks'!$B$7:'Statement of Marks'!$IC$206,206,0)="SUPPLEMENTARY","Supplementary",IF(VLOOKUP(L65,'Statement of Marks'!$B$7:'Statement of Marks'!$IC$206,206,0)="Re-Exam","RE-EXAM",IF(VLOOKUP(L65,'Statement of Marks'!$B$7:'Statement of Marks'!$IC$206,206,0)="FAIL","FAIL",""))))),"")</f>
        <v>PASS  and Promoted to Class 12th</v>
      </c>
    </row>
    <row r="74" spans="1:58" s="467" customFormat="1" ht="22.5" customHeight="1">
      <c r="A74" s="465"/>
      <c r="B74" s="473" t="str">
        <f>IFERROR(IF(AND(AU73="A"),'Marks Entry'!$U$2,IF(AND(AU73="B"),'Marks Entry'!$Y$2,IF(AND(AU73="C"),'Marks Entry'!$AA$2,""))),"")</f>
        <v>BIOLOGY</v>
      </c>
      <c r="C74" s="91">
        <f>IFERROR(VLOOKUP(L65,'Statement of Marks'!$B$8:'Statement of Marks'!$HI$207,38,0),"")</f>
        <v>7</v>
      </c>
      <c r="D74" s="91">
        <f>IFERROR(VLOOKUP(L65,'Statement of Marks'!$B$8:'Statement of Marks'!$HI$207,39,0),"")</f>
        <v>9</v>
      </c>
      <c r="E74" s="91">
        <f>IFERROR(VLOOKUP(L65,'Statement of Marks'!$B$8:'Statement of Marks'!$HI$207,40,0),"")</f>
        <v>7</v>
      </c>
      <c r="F74" s="461">
        <f>IFERROR(VLOOKUP(L65,'Statement of Marks'!$B$8:'Statement of Marks'!$HI$207,41,0),"")</f>
        <v>23</v>
      </c>
      <c r="G74" s="91">
        <f>IFERROR(VLOOKUP(L65,'Statement of Marks'!$B$8:'Statement of Marks'!$HI$207,42,0),"")</f>
        <v>22</v>
      </c>
      <c r="H74" s="91">
        <f>IFERROR(VLOOKUP(L65,'Statement of Marks'!$B$8:'Statement of Marks'!$HI$207,43,0),"")</f>
        <v>9</v>
      </c>
      <c r="I74" s="787">
        <f>IFERROR(VLOOKUP(L65,'Statement of Marks'!$B$8:'Statement of Marks'!$HI$207,44,0),"")</f>
        <v>31</v>
      </c>
      <c r="J74" s="724">
        <f>IFERROR(IF(AND(L65="",A74="",F74="",I74=""),"",SUM(C74,D74,E74,G74,H74)),"")</f>
        <v>54</v>
      </c>
      <c r="K74" s="91">
        <f>IFERROR(VLOOKUP(L65,'Statement of Marks'!$B$8:'Statement of Marks'!$HI$207,46,0),"")</f>
        <v>56</v>
      </c>
      <c r="L74" s="91">
        <f>IFERROR(VLOOKUP(L65,'Statement of Marks'!$B$8:'Statement of Marks'!$HI$207,47,0),"")</f>
        <v>18</v>
      </c>
      <c r="M74" s="721"/>
      <c r="N74" s="759">
        <f>IFERROR(VLOOKUP(L65,'Statement of Marks'!$B$8:'Statement of Marks'!$HI$207,48,0),"")</f>
        <v>74</v>
      </c>
      <c r="O74" s="732">
        <f>IFERROR(VLOOKUP(L65,'Statement of Marks'!$B$8:'Statement of Marks'!$HI$207,51,0),"")</f>
        <v>128</v>
      </c>
      <c r="P74" s="722" t="str">
        <f>IFERROR(IF(O74="","",IF(VLOOKUP(L65,'Statement of Marks'!$B$8:'Statement of Marks'!$HI$207,171,0)="D","I",VLOOKUP(L65,'Statement of Marks'!$B$8:'Statement of Marks'!$HI$207,171,0))),"")</f>
        <v>I</v>
      </c>
      <c r="Q74"/>
      <c r="R74" s="473" t="str">
        <f>IFERROR(IF(AND(AV73="A"),'Marks Entry'!$U$2,IF(AND(AV73="B"),'Marks Entry'!$Y$2,IF(AND(AV73="C"),'Marks Entry'!$AA$2,""))),"")</f>
        <v>POLITICAL SCIENCE</v>
      </c>
      <c r="S74" s="91">
        <f>IFERROR(VLOOKUP(AB65,'Statement of Marks'!$B$8:'Statement of Marks'!$HI$207,38,0),"")</f>
        <v>10</v>
      </c>
      <c r="T74" s="91">
        <f>IFERROR(VLOOKUP(AB65,'Statement of Marks'!$B$8:'Statement of Marks'!$HI$207,39,0),"")</f>
        <v>10</v>
      </c>
      <c r="U74" s="91">
        <f>IFERROR(VLOOKUP(AB65,'Statement of Marks'!$B$8:'Statement of Marks'!$HI$207,40,0),"")</f>
        <v>7</v>
      </c>
      <c r="V74" s="461">
        <f>IFERROR(VLOOKUP(AB65,'Statement of Marks'!$B$8:'Statement of Marks'!$HI$207,41,0),"")</f>
        <v>27</v>
      </c>
      <c r="W74" s="91">
        <f>IFERROR(VLOOKUP(AB65,'Statement of Marks'!$B$8:'Statement of Marks'!$HI$207,42,0),"")</f>
        <v>20</v>
      </c>
      <c r="X74" s="91" t="str">
        <f>IFERROR(VLOOKUP(AB65,'Statement of Marks'!$B$8:'Statement of Marks'!$HI$207,43,0),"")</f>
        <v/>
      </c>
      <c r="Y74" s="787">
        <f>IFERROR(VLOOKUP(AB65,'Statement of Marks'!$B$8:'Statement of Marks'!$HI$207,44,0),"")</f>
        <v>20</v>
      </c>
      <c r="Z74" s="724">
        <f>IFERROR(IF(AND(AB65="",Q74="",V74="",Y74=""),"",SUM(S74,T74,U74,W74,X74)),"")</f>
        <v>47</v>
      </c>
      <c r="AA74" s="91">
        <f>IFERROR(VLOOKUP(AB65,'Statement of Marks'!$B$8:'Statement of Marks'!$HI$207,46,0),"")</f>
        <v>25</v>
      </c>
      <c r="AB74" s="91" t="str">
        <f>IFERROR(VLOOKUP(AB65,'Statement of Marks'!$B$8:'Statement of Marks'!$HI$207,47,0),"")</f>
        <v/>
      </c>
      <c r="AC74" s="721"/>
      <c r="AD74" s="759">
        <f>IFERROR(VLOOKUP(AB65,'Statement of Marks'!$B$8:'Statement of Marks'!$HI$207,48,0),"")</f>
        <v>25</v>
      </c>
      <c r="AE74" s="732">
        <f>IFERROR(VLOOKUP(AB65,'Statement of Marks'!$B$8:'Statement of Marks'!$HI$207,51,0),"")</f>
        <v>72</v>
      </c>
      <c r="AF74" s="722" t="str">
        <f>IFERROR(IF(AE74="","",IF(VLOOKUP(AB65,'Statement of Marks'!$B$8:'Statement of Marks'!$HI$207,171,0)="D","I",VLOOKUP(AB65,'Statement of Marks'!$B$8:'Statement of Marks'!$HI$207,171,0))),"")</f>
        <v>III</v>
      </c>
      <c r="AQ74" s="17"/>
      <c r="AR74"/>
      <c r="AS74"/>
      <c r="AT74"/>
      <c r="AU74" s="17" t="str">
        <f>IFERROR(VLOOKUP(L65,'Statement of Marks'!$B$8:'Statement of Marks'!$HI$207,60,0),"")</f>
        <v>B</v>
      </c>
      <c r="AV74" s="17" t="str">
        <f>IFERROR(VLOOKUP(AB65,'Statement of Marks'!$B$8:'Statement of Marks'!$HI$207,60,0),"")</f>
        <v>C</v>
      </c>
      <c r="AX74"/>
      <c r="AY74"/>
      <c r="AZ74"/>
      <c r="BE74" s="17" t="str">
        <f>IFERROR(IF(VLOOKUP(AB65,'Statement of Marks'!$B$7:'Statement of Marks'!$IC$206,206,0)="By Grace Pass","सानुग्रह उतीर्ण एवं कक्षा 12 में क्रमोन्नत",IF(VLOOKUP(AB65,'Statement of Marks'!$B$7:'Statement of Marks'!$IC$206,206,0)="PASS","उतीर्ण एवं कक्षा 12 में क्रमोन्नत",IF(VLOOKUP(AB65,'Statement of Marks'!$B$7:'Statement of Marks'!$IC$206,206,0)="SUPPLEMENTARY","पूरक",IF(VLOOKUP(AB65,'Statement of Marks'!$B$7:'Statement of Marks'!$IC$206,206,0)="Re-Exam","पुनः परीक्षा",IF(VLOOKUP(AB65,'Statement of Marks'!$B$7:'Statement of Marks'!$IC$206,206,0)="FAIL","अनुतीर्ण",""))))),"")</f>
        <v>उतीर्ण एवं कक्षा 12 में क्रमोन्नत</v>
      </c>
      <c r="BF74" s="17" t="str">
        <f>IFERROR(IF(VLOOKUP(L65,'Statement of Marks'!$B$7:'Statement of Marks'!$IC$206,206,0)="By Grace Pass","सानुग्रह उतीर्ण एवं कक्षा 12 में क्रमोन्नत",IF(VLOOKUP(L65,'Statement of Marks'!$B$7:'Statement of Marks'!$IC$206,206,0)="PASS","उतीर्ण एवं कक्षा 12 में क्रमोन्नत",IF(VLOOKUP(L65,'Statement of Marks'!$B$7:'Statement of Marks'!$IC$206,206,0)="SUPPLEMENTARY","पूरक",IF(VLOOKUP(L65,'Statement of Marks'!$B$7:'Statement of Marks'!$IC$206,206,0)="Re-Exam","पुनः परीक्षा",IF(VLOOKUP(L65,'Statement of Marks'!$B$7:'Statement of Marks'!$IC$206,206,0)="FAIL","अनुतीर्ण",""))))),"")</f>
        <v>उतीर्ण एवं कक्षा 12 में क्रमोन्नत</v>
      </c>
    </row>
    <row r="75" spans="1:58" s="467" customFormat="1" ht="22.5" customHeight="1">
      <c r="A75" s="465"/>
      <c r="B75" s="473" t="str">
        <f>IFERROR(IF(AND(AU74="A"),'Marks Entry'!$AC$2,IF(AND(AU74="B"),'Marks Entry'!$AG$2,IF(AND(AU74="C"),'Marks Entry'!$AI$2,""))),"")</f>
        <v>ACCOUNTANCY</v>
      </c>
      <c r="C75" s="91">
        <f>IFERROR(VLOOKUP(L65,'Statement of Marks'!$B$8:'Statement of Marks'!$HI$207,61,0),"")</f>
        <v>7</v>
      </c>
      <c r="D75" s="91">
        <f>IFERROR(VLOOKUP(L65,'Statement of Marks'!$B$8:'Statement of Marks'!$HI$207,62,0),"")</f>
        <v>9</v>
      </c>
      <c r="E75" s="91">
        <f>IFERROR(VLOOKUP(L65,'Statement of Marks'!$B$8:'Statement of Marks'!$HI$207,63,0),"")</f>
        <v>4</v>
      </c>
      <c r="F75" s="461">
        <f>IFERROR(VLOOKUP(L65,'Statement of Marks'!$B$8:'Statement of Marks'!$HI$207,64,0),"")</f>
        <v>20</v>
      </c>
      <c r="G75" s="91">
        <f>IFERROR(VLOOKUP(L65,'Statement of Marks'!$B$8:'Statement of Marks'!$HI$207,65,0),"")</f>
        <v>30</v>
      </c>
      <c r="H75" s="91">
        <f>IFERROR(VLOOKUP(L65,'Statement of Marks'!$B$8:'Statement of Marks'!$HI$207,66,0),"")</f>
        <v>12</v>
      </c>
      <c r="I75" s="787">
        <f>IFERROR(VLOOKUP(L65,'Statement of Marks'!$B$8:'Statement of Marks'!$HI$207,67,0),"")</f>
        <v>42</v>
      </c>
      <c r="J75" s="724">
        <f>IFERROR(IF(AND(L65="",A75="",F75="",I75=""),"",SUM(C75,D75,E75,G75,H75)),"")</f>
        <v>62</v>
      </c>
      <c r="K75" s="91">
        <f>IFERROR(VLOOKUP(L65,'Statement of Marks'!$B$8:'Statement of Marks'!$HI$207,69,0),"")</f>
        <v>58</v>
      </c>
      <c r="L75" s="91">
        <f>IFERROR(VLOOKUP(L65,'Statement of Marks'!$B$8:'Statement of Marks'!$HI$207,70,0),"")</f>
        <v>16</v>
      </c>
      <c r="M75" s="721"/>
      <c r="N75" s="759">
        <f>IFERROR(VLOOKUP(L65,'Statement of Marks'!$B$8:'Statement of Marks'!$HI$207,71,0),"")</f>
        <v>74</v>
      </c>
      <c r="O75" s="732">
        <f>IFERROR(VLOOKUP(L65,'Statement of Marks'!$B$8:'Statement of Marks'!$HI$207,74,0),"")</f>
        <v>136</v>
      </c>
      <c r="P75" s="722" t="str">
        <f>IFERROR(IF(O75="","",IF(VLOOKUP(L65,'Statement of Marks'!$B$8:'Statement of Marks'!$HI$207,178,0)="D","I",VLOOKUP(L65,'Statement of Marks'!$B$8:'Statement of Marks'!$HI$207,178,0))),"")</f>
        <v>I</v>
      </c>
      <c r="Q75"/>
      <c r="R75" s="473" t="str">
        <f>IFERROR(IF(AND(AV74="A"),'Marks Entry'!$AC$2,IF(AND(AV74="B"),'Marks Entry'!$AG$2,IF(AND(AV74="C"),'Marks Entry'!$AI$2,""))),"")</f>
        <v>ECONOMICS</v>
      </c>
      <c r="S75" s="91">
        <f>IFERROR(VLOOKUP(AB65,'Statement of Marks'!$B$8:'Statement of Marks'!$HI$207,61,0),"")</f>
        <v>10</v>
      </c>
      <c r="T75" s="91">
        <f>IFERROR(VLOOKUP(AB65,'Statement of Marks'!$B$8:'Statement of Marks'!$HI$207,62,0),"")</f>
        <v>10</v>
      </c>
      <c r="U75" s="91">
        <f>IFERROR(VLOOKUP(AB65,'Statement of Marks'!$B$8:'Statement of Marks'!$HI$207,63,0),"")</f>
        <v>5</v>
      </c>
      <c r="V75" s="461">
        <f>IFERROR(VLOOKUP(AB65,'Statement of Marks'!$B$8:'Statement of Marks'!$HI$207,64,0),"")</f>
        <v>25</v>
      </c>
      <c r="W75" s="91">
        <f>IFERROR(VLOOKUP(AB65,'Statement of Marks'!$B$8:'Statement of Marks'!$HI$207,65,0),"")</f>
        <v>41</v>
      </c>
      <c r="X75" s="91" t="str">
        <f>IFERROR(VLOOKUP(AB65,'Statement of Marks'!$B$8:'Statement of Marks'!$HI$207,66,0),"")</f>
        <v/>
      </c>
      <c r="Y75" s="787">
        <f>IFERROR(VLOOKUP(AB65,'Statement of Marks'!$B$8:'Statement of Marks'!$HI$207,67,0),"")</f>
        <v>41</v>
      </c>
      <c r="Z75" s="724">
        <f>IFERROR(IF(AND(AB65="",Q75="",V75="",Y75=""),"",SUM(S75,T75,U75,W75,X75)),"")</f>
        <v>66</v>
      </c>
      <c r="AA75" s="91">
        <f>IFERROR(VLOOKUP(AB65,'Statement of Marks'!$B$8:'Statement of Marks'!$HI$207,69,0),"")</f>
        <v>60</v>
      </c>
      <c r="AB75" s="91" t="str">
        <f>IFERROR(VLOOKUP(AB65,'Statement of Marks'!$B$8:'Statement of Marks'!$HI$207,70,0),"")</f>
        <v/>
      </c>
      <c r="AC75" s="721"/>
      <c r="AD75" s="759">
        <f>IFERROR(VLOOKUP(AB65,'Statement of Marks'!$B$8:'Statement of Marks'!$HI$207,71,0),"")</f>
        <v>60</v>
      </c>
      <c r="AE75" s="732">
        <f>IFERROR(VLOOKUP(AB65,'Statement of Marks'!$B$8:'Statement of Marks'!$HI$207,74,0),"")</f>
        <v>126</v>
      </c>
      <c r="AF75" s="722" t="str">
        <f>IFERROR(IF(AE75="","",IF(VLOOKUP(AB65,'Statement of Marks'!$B$8:'Statement of Marks'!$HI$207,178,0)="D","I",VLOOKUP(AB65,'Statement of Marks'!$B$8:'Statement of Marks'!$HI$207,178,0))),"")</f>
        <v>I</v>
      </c>
      <c r="AQ75" s="17"/>
      <c r="AR75"/>
      <c r="AS75"/>
      <c r="AT75"/>
      <c r="AU75" s="17" t="str">
        <f>IFERROR(VLOOKUP(L65,'Statement of Marks'!$B$8:'Statement of Marks'!$HI$207,83,0),"")</f>
        <v>A</v>
      </c>
      <c r="AV75" s="17" t="str">
        <f>IFERROR(VLOOKUP(AB65,'Statement of Marks'!$B$8:'Statement of Marks'!$HI$207,83,0),"")</f>
        <v>A</v>
      </c>
      <c r="AX75"/>
      <c r="AY75"/>
      <c r="AZ75"/>
      <c r="BE75" s="17" t="str">
        <f>IF('Master Sheet'!$D$11="Hindi",BE74,BE73)</f>
        <v>उतीर्ण एवं कक्षा 12 में क्रमोन्नत</v>
      </c>
      <c r="BF75" s="17" t="str">
        <f>IF('Master Sheet'!$D$11="Hindi",BF74,BF73)</f>
        <v>उतीर्ण एवं कक्षा 12 में क्रमोन्नत</v>
      </c>
    </row>
    <row r="76" spans="1:58" s="467" customFormat="1" ht="22.5" customHeight="1">
      <c r="A76" s="465"/>
      <c r="B76" s="473" t="str">
        <f>IFERROR(IF(AND(AU75="A"),'Marks Entry'!$AK$2,IF(AND(AU75="B"),'Marks Entry'!$AO$2,IF(AND(AU75="C"),'Marks Entry'!$AQ$2,""))),"")</f>
        <v>GEOGRAPHY</v>
      </c>
      <c r="C76" s="91">
        <f>IFERROR(VLOOKUP(L65,'Statement of Marks'!$B$8:'Statement of Marks'!$HI$207,84,0),"")</f>
        <v>8</v>
      </c>
      <c r="D76" s="91">
        <f>IFERROR(VLOOKUP(L65,'Statement of Marks'!$B$8:'Statement of Marks'!$HI$207,85,0),"")</f>
        <v>8</v>
      </c>
      <c r="E76" s="91">
        <f>IFERROR(VLOOKUP(L65,'Statement of Marks'!$B$8:'Statement of Marks'!$HI$207,86,0),"")</f>
        <v>8</v>
      </c>
      <c r="F76" s="461">
        <f>IFERROR(VLOOKUP(L65,'Statement of Marks'!$B$8:'Statement of Marks'!$HI$207,87,0),"")</f>
        <v>24</v>
      </c>
      <c r="G76" s="91">
        <f>IFERROR(VLOOKUP(L65,'Statement of Marks'!$B$8:'Statement of Marks'!$HI$207,88,0),"")</f>
        <v>44</v>
      </c>
      <c r="H76" s="91">
        <f>IFERROR(VLOOKUP(L65,'Statement of Marks'!$B$8:'Statement of Marks'!$HI$207,89,0),"")</f>
        <v>16</v>
      </c>
      <c r="I76" s="787">
        <f>IFERROR(VLOOKUP(L65,'Statement of Marks'!$B$8:'Statement of Marks'!$HI$207,90,0),"")</f>
        <v>60</v>
      </c>
      <c r="J76" s="724">
        <f>IFERROR(IF(AND(L65="",A76="",F76="",I76=""),"",SUM(C76,D76,E76,G76,H76)),"")</f>
        <v>84</v>
      </c>
      <c r="K76" s="91">
        <f>IFERROR(VLOOKUP(L65,'Statement of Marks'!$B$8:'Statement of Marks'!$HI$207,92,0),"")</f>
        <v>60</v>
      </c>
      <c r="L76" s="91">
        <f>IFERROR(VLOOKUP(L65,'Statement of Marks'!$B$8:'Statement of Marks'!$HI$207,93,0),"")</f>
        <v>22</v>
      </c>
      <c r="M76" s="721"/>
      <c r="N76" s="759">
        <f>IFERROR(VLOOKUP(L65,'Statement of Marks'!$B$8:'Statement of Marks'!$HI$207,94,0),"")</f>
        <v>82</v>
      </c>
      <c r="O76" s="732">
        <f>IFERROR(VLOOKUP(L65,'Statement of Marks'!$B$8:'Statement of Marks'!$HI$207,97,0),"")</f>
        <v>166</v>
      </c>
      <c r="P76" s="722" t="str">
        <f>IFERROR(IF(O76="","",IF(VLOOKUP(L65,'Statement of Marks'!$B$8:'Statement of Marks'!$HI$207,185,0)="D","I",VLOOKUP(L65,'Statement of Marks'!$B$8:'Statement of Marks'!$HI$207,185,0))),"")</f>
        <v>I</v>
      </c>
      <c r="Q76"/>
      <c r="R76" s="473" t="str">
        <f>IFERROR(IF(AND(AV75="A"),'Marks Entry'!$AK$2,IF(AND(AV75="B"),'Marks Entry'!$AO$2,IF(AND(AV75="C"),'Marks Entry'!$AQ$2,""))),"")</f>
        <v>GEOGRAPHY</v>
      </c>
      <c r="S76" s="91">
        <f>IFERROR(VLOOKUP(AB65,'Statement of Marks'!$B$8:'Statement of Marks'!$HI$207,84,0),"")</f>
        <v>5</v>
      </c>
      <c r="T76" s="91">
        <f>IFERROR(VLOOKUP(AB65,'Statement of Marks'!$B$8:'Statement of Marks'!$HI$207,85,0),"")</f>
        <v>5</v>
      </c>
      <c r="U76" s="91">
        <f>IFERROR(VLOOKUP(AB65,'Statement of Marks'!$B$8:'Statement of Marks'!$HI$207,86,0),"")</f>
        <v>5</v>
      </c>
      <c r="V76" s="461">
        <f>IFERROR(VLOOKUP(AB65,'Statement of Marks'!$B$8:'Statement of Marks'!$HI$207,87,0),"")</f>
        <v>15</v>
      </c>
      <c r="W76" s="91">
        <f>IFERROR(VLOOKUP(AB65,'Statement of Marks'!$B$8:'Statement of Marks'!$HI$207,88,0),"")</f>
        <v>25</v>
      </c>
      <c r="X76" s="91">
        <f>IFERROR(VLOOKUP(AB65,'Statement of Marks'!$B$8:'Statement of Marks'!$HI$207,89,0),"")</f>
        <v>15</v>
      </c>
      <c r="Y76" s="787">
        <f>IFERROR(VLOOKUP(AB65,'Statement of Marks'!$B$8:'Statement of Marks'!$HI$207,90,0),"")</f>
        <v>40</v>
      </c>
      <c r="Z76" s="724">
        <f>IFERROR(IF(AND(AB65="",Q76="",V76="",Y76=""),"",SUM(S76,T76,U76,W76,X76)),"")</f>
        <v>55</v>
      </c>
      <c r="AA76" s="91">
        <f>IFERROR(VLOOKUP(AB65,'Statement of Marks'!$B$8:'Statement of Marks'!$HI$207,92,0),"")</f>
        <v>35</v>
      </c>
      <c r="AB76" s="91">
        <f>IFERROR(VLOOKUP(AB65,'Statement of Marks'!$B$8:'Statement of Marks'!$HI$207,93,0),"")</f>
        <v>20</v>
      </c>
      <c r="AC76" s="721"/>
      <c r="AD76" s="759">
        <f>IFERROR(VLOOKUP(AB65,'Statement of Marks'!$B$8:'Statement of Marks'!$HI$207,94,0),"")</f>
        <v>55</v>
      </c>
      <c r="AE76" s="732">
        <f>IFERROR(VLOOKUP(AB65,'Statement of Marks'!$B$8:'Statement of Marks'!$HI$207,97,0),"")</f>
        <v>110</v>
      </c>
      <c r="AF76" s="722" t="str">
        <f>IFERROR(IF(AE76="","",IF(VLOOKUP(AB65,'Statement of Marks'!$B$8:'Statement of Marks'!$HI$207,185,0)="D","I",VLOOKUP(AB65,'Statement of Marks'!$B$8:'Statement of Marks'!$HI$207,185,0))),"")</f>
        <v>II</v>
      </c>
      <c r="AQ76" s="17"/>
      <c r="AR76"/>
      <c r="AS76"/>
      <c r="AT76"/>
      <c r="AU76" s="467" t="s">
        <v>287</v>
      </c>
      <c r="AV76" s="467" t="s">
        <v>287</v>
      </c>
      <c r="AX76"/>
      <c r="AY76"/>
      <c r="AZ76"/>
      <c r="BE76" s="17"/>
      <c r="BF76" s="17"/>
    </row>
    <row r="77" spans="1:58" s="467" customFormat="1" ht="19.5" customHeight="1">
      <c r="A77" s="465"/>
      <c r="B77" s="1716" t="str">
        <f>IF('Master Sheet'!$D$11="Hindi","व्यावसायिक शिक्षा / अतिरिक्त विषय","Vocational Education / Additional Subject")</f>
        <v>व्यावसायिक शिक्षा / अतिरिक्त विषय</v>
      </c>
      <c r="C77" s="1716"/>
      <c r="D77" s="1716"/>
      <c r="E77" s="1716"/>
      <c r="F77" s="1716"/>
      <c r="G77" s="1716"/>
      <c r="H77" s="1716"/>
      <c r="I77" s="1716"/>
      <c r="J77" s="1716"/>
      <c r="K77" s="1716"/>
      <c r="L77" s="1716"/>
      <c r="M77" s="1716"/>
      <c r="N77" s="1716"/>
      <c r="O77" s="1716"/>
      <c r="P77" s="1716"/>
      <c r="Q77"/>
      <c r="R77" s="1716" t="str">
        <f>IF('Master Sheet'!$D$11="Hindi","व्यावसायिक शिक्षा / अतिरिक्त विषय","Vocational Education / Additional Subject")</f>
        <v>व्यावसायिक शिक्षा / अतिरिक्त विषय</v>
      </c>
      <c r="S77" s="1716"/>
      <c r="T77" s="1716"/>
      <c r="U77" s="1716"/>
      <c r="V77" s="1716"/>
      <c r="W77" s="1716"/>
      <c r="X77" s="1716"/>
      <c r="Y77" s="1716"/>
      <c r="Z77" s="1716"/>
      <c r="AA77" s="1716"/>
      <c r="AB77" s="1716"/>
      <c r="AC77" s="1716"/>
      <c r="AD77" s="1716"/>
      <c r="AE77" s="1716"/>
      <c r="AF77" s="1716"/>
      <c r="AQ77" s="17"/>
      <c r="AR77"/>
      <c r="AS77"/>
      <c r="AT77"/>
      <c r="AX77"/>
      <c r="AY77"/>
      <c r="AZ77"/>
      <c r="BE77" s="17"/>
      <c r="BF77" s="17"/>
    </row>
    <row r="78" spans="1:58" s="467" customFormat="1" ht="22.5" customHeight="1">
      <c r="A78" s="465"/>
      <c r="B78" s="473" t="str">
        <f>IFERROR(IF(AND(AU78="A"),'Marks Entry'!$AS$2,IF(AND(AU78="B"),'Marks Entry'!$AW$2,IF(AND(AU78="C"),'Marks Entry'!$AY$2,""))),"")</f>
        <v/>
      </c>
      <c r="C78" s="742" t="str">
        <f>IFERROR(VLOOKUP(L65,'Statement of Marks'!$B$8:'Statement of Marks'!$HI$207,108,0),"")</f>
        <v/>
      </c>
      <c r="D78" s="742" t="str">
        <f>IFERROR(VLOOKUP(L65,'Statement of Marks'!$B$8:'Statement of Marks'!$HI$207,109,0),"")</f>
        <v/>
      </c>
      <c r="E78" s="742" t="str">
        <f>IFERROR(VLOOKUP(L65,'Statement of Marks'!$B$8:'Statement of Marks'!$HI$207,110,0),"")</f>
        <v/>
      </c>
      <c r="F78" s="742" t="str">
        <f>IFERROR(VLOOKUP(L65,'Statement of Marks'!$B$8:'Statement of Marks'!$HI$207,111,0),"")</f>
        <v/>
      </c>
      <c r="G78" s="744" t="str">
        <f>IFERROR(VLOOKUP(L65,'Statement of Marks'!$B$8:'Statement of Marks'!$HI$207,112,0),"")</f>
        <v/>
      </c>
      <c r="H78" s="744" t="str">
        <f>IFERROR(VLOOKUP(L65,'Statement of Marks'!$B$8:'Statement of Marks'!$HI$207,113,0),"")</f>
        <v/>
      </c>
      <c r="I78" s="748" t="str">
        <f>IFERROR(VLOOKUP(L65,'Statement of Marks'!$B$8:'Statement of Marks'!$HI$207,114,0),"")</f>
        <v/>
      </c>
      <c r="J78" s="743" t="str">
        <f>IFERROR(IF(OR(L65="",A78="",F78="",I78=""),"",SUM(C78,D78,E78,G78,H78)),"")</f>
        <v/>
      </c>
      <c r="K78" s="742" t="str">
        <f>IFERROR(VLOOKUP(L65,'Statement of Marks'!$B$8:'Statement of Marks'!$HI$207,116,0),"")</f>
        <v/>
      </c>
      <c r="L78" s="742" t="str">
        <f>IFERROR(VLOOKUP(L65,'Statement of Marks'!$B$8:'Statement of Marks'!$HI$207,118,0),"")</f>
        <v/>
      </c>
      <c r="M78" s="742" t="str">
        <f>IFERROR(VLOOKUP(L65,'Statement of Marks'!$B$8:'Statement of Marks'!$HI$207,117,0),"")</f>
        <v/>
      </c>
      <c r="N78" s="745" t="str">
        <f>IFERROR(VLOOKUP(L65,'Statement of Marks'!$B$8:'Statement of Marks'!$HI$207,119,0),"")</f>
        <v/>
      </c>
      <c r="O78" s="746" t="str">
        <f>IFERROR(VLOOKUP(L65,'Statement of Marks'!$B$8:'Statement of Marks'!$HI$207,123,0),"")</f>
        <v/>
      </c>
      <c r="P78" s="747" t="str">
        <f>IFERROR(IF(O78="","",IF(VLOOKUP(L65,'Statement of Marks'!$B$8:'Statement of Marks'!$HI$207,192,0)="D","I",VLOOKUP(L65,'Statement of Marks'!$B$8:'Statement of Marks'!$HI$207,192,0))),"")</f>
        <v/>
      </c>
      <c r="Q78"/>
      <c r="R78" s="473" t="str">
        <f>IFERROR(IF(AND(AV78="A"),'Marks Entry'!$AS$2,IF(AND(AV78="B"),'Marks Entry'!$AW$2,IF(AND(AV78="C"),'Marks Entry'!$AY$2,""))),"")</f>
        <v/>
      </c>
      <c r="S78" s="742" t="str">
        <f>IFERROR(VLOOKUP(AB65,'Statement of Marks'!$B$8:'Statement of Marks'!$HI$207,108,0),"")</f>
        <v/>
      </c>
      <c r="T78" s="742" t="str">
        <f>IFERROR(VLOOKUP(AB65,'Statement of Marks'!$B$8:'Statement of Marks'!$HI$207,109,0),"")</f>
        <v/>
      </c>
      <c r="U78" s="742" t="str">
        <f>IFERROR(VLOOKUP(AB65,'Statement of Marks'!$B$8:'Statement of Marks'!$HI$207,110,0),"")</f>
        <v/>
      </c>
      <c r="V78" s="742" t="str">
        <f>IFERROR(VLOOKUP(AB65,'Statement of Marks'!$B$8:'Statement of Marks'!$HI$207,111,0),"")</f>
        <v/>
      </c>
      <c r="W78" s="744" t="str">
        <f>IFERROR(VLOOKUP(AB65,'Statement of Marks'!$B$8:'Statement of Marks'!$HI$207,112,0),"")</f>
        <v/>
      </c>
      <c r="X78" s="744" t="str">
        <f>IFERROR(VLOOKUP(AB65,'Statement of Marks'!$B$8:'Statement of Marks'!$HI$207,113,0),"")</f>
        <v/>
      </c>
      <c r="Y78" s="748" t="str">
        <f>IFERROR(VLOOKUP(AB65,'Statement of Marks'!$B$8:'Statement of Marks'!$HI$207,114,0),"")</f>
        <v/>
      </c>
      <c r="Z78" s="743" t="str">
        <f>IFERROR(IF(OR(AB65="",Q78="",V78="",Y78=""),"",SUM(S78,T78,U78,W78,X78)),"")</f>
        <v/>
      </c>
      <c r="AA78" s="742" t="str">
        <f>IFERROR(VLOOKUP(AB65,'Statement of Marks'!$B$8:'Statement of Marks'!$HI$207,116,0),"")</f>
        <v/>
      </c>
      <c r="AB78" s="742" t="str">
        <f>IFERROR(VLOOKUP(AB65,'Statement of Marks'!$B$8:'Statement of Marks'!$HI$207,118,0),"")</f>
        <v/>
      </c>
      <c r="AC78" s="742" t="str">
        <f>IFERROR(VLOOKUP(AB65,'Statement of Marks'!$B$8:'Statement of Marks'!$HI$207,117,0),"")</f>
        <v/>
      </c>
      <c r="AD78" s="745" t="str">
        <f>IFERROR(VLOOKUP(AB65,'Statement of Marks'!$B$8:'Statement of Marks'!$HI$207,119,0),"")</f>
        <v/>
      </c>
      <c r="AE78" s="746" t="str">
        <f>IFERROR(VLOOKUP(AB65,'Statement of Marks'!$B$8:'Statement of Marks'!$HI$207,123,0),"")</f>
        <v/>
      </c>
      <c r="AF78" s="747" t="str">
        <f>IFERROR(IF(AE78="","",IF(VLOOKUP(AB65,'Statement of Marks'!$B$8:'Statement of Marks'!$HI$207,192,0)="D","I",VLOOKUP(AB65,'Statement of Marks'!$B$8:'Statement of Marks'!$HI$207,192,0))),"")</f>
        <v/>
      </c>
      <c r="AQ78" s="17"/>
      <c r="AR78"/>
      <c r="AS78"/>
      <c r="AT78"/>
      <c r="AU78" s="467" t="str">
        <f>IFERROR(VLOOKUP(L65,'Statement of Marks'!$B$8:'Statement of Marks'!$HI$207,107,0),"")</f>
        <v/>
      </c>
      <c r="AV78" s="467" t="str">
        <f>IFERROR(VLOOKUP(AB65,'Statement of Marks'!$B$8:'Statement of Marks'!$HI$207,107,0),"")</f>
        <v/>
      </c>
      <c r="AX78"/>
      <c r="AY78"/>
      <c r="AZ78"/>
      <c r="BE78" s="17"/>
      <c r="BF78" s="17"/>
    </row>
    <row r="79" spans="1:58" s="467" customFormat="1" ht="25.5" customHeight="1">
      <c r="A79" s="465"/>
      <c r="B79" s="1717"/>
      <c r="C79" s="1717"/>
      <c r="D79" s="1717"/>
      <c r="E79" s="1717"/>
      <c r="F79" s="1717"/>
      <c r="G79" s="1717"/>
      <c r="H79" s="1717"/>
      <c r="I79" s="1717"/>
      <c r="J79" s="1717"/>
      <c r="K79" s="1717"/>
      <c r="L79" s="1714" t="str">
        <f>IF('Master Sheet'!$D$11="Hindi","महायोग :","Grand Total :")</f>
        <v>महायोग :</v>
      </c>
      <c r="M79" s="1715"/>
      <c r="N79" s="1715"/>
      <c r="O79" s="749">
        <f>IF(AND(O72="",O73="",O74="",O75="",O76=""),"",IF(AND($K$18="",$L$18="",$M$18=""),SUM(O72,O73,O74,O75,O78),IF(AND('Master Sheet'!$D$19="YES",'Marks Entry'!$BA$1=1),SUM(O72,O73,O74,O75,O78),SUM(O72:O76))))</f>
        <v>686</v>
      </c>
      <c r="P79" s="750">
        <f>IFERROR(VLOOKUP(L65,'Statement of Marks'!$B$8:'Statement of Marks'!$HI$207,210,0),"")</f>
        <v>68.600000000000009</v>
      </c>
      <c r="Q79"/>
      <c r="R79" s="1717"/>
      <c r="S79" s="1717"/>
      <c r="T79" s="1717"/>
      <c r="U79" s="1717"/>
      <c r="V79" s="1717"/>
      <c r="W79" s="1717"/>
      <c r="X79" s="1717"/>
      <c r="Y79" s="1717"/>
      <c r="Z79" s="1717"/>
      <c r="AA79" s="1717"/>
      <c r="AB79" s="1714" t="str">
        <f>IF('Master Sheet'!$D$11="Hindi","महायोग :","Grand Total :")</f>
        <v>महायोग :</v>
      </c>
      <c r="AC79" s="1715"/>
      <c r="AD79" s="1715"/>
      <c r="AE79" s="749">
        <f>IF(AND(AE72="",AE73="",AE74="",AE75="",AE76=""),"",IF(AND($K$18="",$L$18="",$M$18=""),SUM(AE72,AE73,AE74,AE75,AE78),IF(AND('Master Sheet'!$D$19="YES",'Marks Entry'!$BA$1=1),SUM(AE72,AE73,AE74,AE75,AE78),SUM(AE72:AE76))))</f>
        <v>561</v>
      </c>
      <c r="AF79" s="750">
        <f>IFERROR(VLOOKUP(AB65,'Statement of Marks'!$B$8:'Statement of Marks'!$HI$207,210,0),"")</f>
        <v>56.100000000000009</v>
      </c>
      <c r="AQ79" s="17"/>
      <c r="AR79"/>
      <c r="AS79"/>
      <c r="AT79"/>
      <c r="AX79"/>
      <c r="AY79"/>
      <c r="AZ79"/>
      <c r="BE79" s="17"/>
      <c r="BF79" s="17"/>
    </row>
    <row r="80" spans="1:58" s="467" customFormat="1" ht="25.5" customHeight="1">
      <c r="A80" s="465"/>
      <c r="B80" s="474" t="str">
        <f>IF('Master Sheet'!$D$11="Hindi","विषय","Subject")</f>
        <v>विषय</v>
      </c>
      <c r="C80" s="1709" t="str">
        <f>IF('Master Sheet'!$D$11="Hindi","पूर्णांक","Max. Marks")</f>
        <v>पूर्णांक</v>
      </c>
      <c r="D80" s="1709"/>
      <c r="E80" s="1710" t="str">
        <f>IF('Master Sheet'!$D$11="Hindi","प्राप्तांक","Marks Obtained")</f>
        <v>प्राप्तांक</v>
      </c>
      <c r="F80" s="1710"/>
      <c r="G80" s="1725" t="str">
        <f>IF('Master Sheet'!$D$11="Hindi","विषय ग्रेड","Sub. Grade")</f>
        <v>विषय ग्रेड</v>
      </c>
      <c r="H80" s="1725"/>
      <c r="I80" s="1707" t="str">
        <f>IF('Master Sheet'!$D$11="Hindi","विषय","Subject")</f>
        <v>विषय</v>
      </c>
      <c r="J80" s="1708"/>
      <c r="K80" s="1708"/>
      <c r="L80" s="1709" t="str">
        <f>IF('Master Sheet'!$D$11="Hindi","पूर्णांक","Max. Marks")</f>
        <v>पूर्णांक</v>
      </c>
      <c r="M80" s="1709"/>
      <c r="N80" s="1710" t="str">
        <f>IF('Master Sheet'!$D$11="Hindi","प्राप्तांक","Marks Obtained")</f>
        <v>प्राप्तांक</v>
      </c>
      <c r="O80" s="1710"/>
      <c r="P80" s="751" t="str">
        <f>IF('Master Sheet'!$D$11="Hindi","विषय ग्रेड","Sub. Grade")</f>
        <v>विषय ग्रेड</v>
      </c>
      <c r="Q80"/>
      <c r="R80" s="474" t="str">
        <f>IF('Master Sheet'!$D$11="Hindi","विषय","Subject")</f>
        <v>विषय</v>
      </c>
      <c r="S80" s="1709" t="str">
        <f>IF('Master Sheet'!$D$11="Hindi","पूर्णांक","Max. Marks")</f>
        <v>पूर्णांक</v>
      </c>
      <c r="T80" s="1709"/>
      <c r="U80" s="1710" t="str">
        <f>IF('Master Sheet'!$D$11="Hindi","प्राप्तांक","Marks Obtained")</f>
        <v>प्राप्तांक</v>
      </c>
      <c r="V80" s="1710"/>
      <c r="W80" s="1725" t="str">
        <f>IF('Master Sheet'!$D$11="Hindi","विषय ग्रेड","Sub. Grade")</f>
        <v>विषय ग्रेड</v>
      </c>
      <c r="X80" s="1725"/>
      <c r="Y80" s="1707" t="str">
        <f>IF('Master Sheet'!$D$11="Hindi","विषय","Subject")</f>
        <v>विषय</v>
      </c>
      <c r="Z80" s="1708"/>
      <c r="AA80" s="1708"/>
      <c r="AB80" s="1709" t="str">
        <f>IF('Master Sheet'!$D$11="Hindi","पूर्णांक","Max. Marks")</f>
        <v>पूर्णांक</v>
      </c>
      <c r="AC80" s="1709"/>
      <c r="AD80" s="1710" t="str">
        <f>IF('Master Sheet'!$D$11="Hindi","प्राप्तांक","Marks Obtained")</f>
        <v>प्राप्तांक</v>
      </c>
      <c r="AE80" s="1710"/>
      <c r="AF80" s="751" t="str">
        <f>IF('Master Sheet'!$D$11="Hindi","विषय ग्रेड","Sub. Grade")</f>
        <v>विषय ग्रेड</v>
      </c>
      <c r="AQ80" s="17"/>
      <c r="AR80"/>
      <c r="AS80"/>
      <c r="AT80"/>
      <c r="AX80"/>
      <c r="AY80"/>
      <c r="AZ80"/>
      <c r="BE80" s="17"/>
      <c r="BF80" s="17"/>
    </row>
    <row r="81" spans="1:58" s="467" customFormat="1" ht="30" customHeight="1">
      <c r="A81" s="465"/>
      <c r="B81" s="754" t="str">
        <f>'Statement of Marks'!$EC$4</f>
        <v>जीवन कौशल</v>
      </c>
      <c r="C81" s="1698">
        <f>IF(AND(L65=""),"",IF('Statement of Marks'!$EF$6="","",'Statement of Marks'!$EF$6))</f>
        <v>100</v>
      </c>
      <c r="D81" s="1698"/>
      <c r="E81" s="1702">
        <f>IFERROR(VLOOKUP(L65,'Statement of Marks'!$B$8:'Statement of Marks'!$HI$207,135,0),"")</f>
        <v>83</v>
      </c>
      <c r="F81" s="1702"/>
      <c r="G81" s="1703" t="str">
        <f>IFERROR(VLOOKUP(L65,'Statement of Marks'!$B$8:'Statement of Marks'!$HI$207,140,0),"")</f>
        <v>A</v>
      </c>
      <c r="H81" s="1703"/>
      <c r="I81" s="1699" t="str">
        <f>'Statement of Marks'!$EY$3</f>
        <v xml:space="preserve">आजादी के बाद का स्वर्णिम भारत </v>
      </c>
      <c r="J81" s="1700"/>
      <c r="K81" s="1701"/>
      <c r="L81" s="1698">
        <f>IF(AND(L65=""),"",IF('Statement of Marks'!$FE$6="","",'Statement of Marks'!$FE$6))</f>
        <v>200</v>
      </c>
      <c r="M81" s="1698"/>
      <c r="N81" s="1711">
        <f>IFERROR(VLOOKUP(L65,'Statement of Marks'!$B$8:'Statement of Marks'!$HI$207,160,0),"")</f>
        <v>154</v>
      </c>
      <c r="O81" s="1711"/>
      <c r="P81" s="752" t="str">
        <f>IFERROR(VLOOKUP(L65,'Statement of Marks'!$B$8:'Statement of Marks'!$HI$207,161,0),"")</f>
        <v>B</v>
      </c>
      <c r="Q81"/>
      <c r="R81" s="754" t="str">
        <f>'Statement of Marks'!$EC$4</f>
        <v>जीवन कौशल</v>
      </c>
      <c r="S81" s="1698">
        <f>IF(AND(AB65=""),"",IF('Statement of Marks'!$EF$6="","",'Statement of Marks'!$EF$6))</f>
        <v>100</v>
      </c>
      <c r="T81" s="1698"/>
      <c r="U81" s="1702">
        <f>IFERROR(VLOOKUP(AB65,'Statement of Marks'!$B$8:'Statement of Marks'!$HI$207,135,0),"")</f>
        <v>85</v>
      </c>
      <c r="V81" s="1702"/>
      <c r="W81" s="1703" t="str">
        <f>IFERROR(VLOOKUP(AB65,'Statement of Marks'!$B$8:'Statement of Marks'!$HI$207,140,0),"")</f>
        <v>A</v>
      </c>
      <c r="X81" s="1703"/>
      <c r="Y81" s="1699" t="str">
        <f>'Statement of Marks'!$EY$3</f>
        <v xml:space="preserve">आजादी के बाद का स्वर्णिम भारत </v>
      </c>
      <c r="Z81" s="1700"/>
      <c r="AA81" s="1701"/>
      <c r="AB81" s="1698">
        <f>IF(AND(AB65=""),"",IF('Statement of Marks'!$FE$6="","",'Statement of Marks'!$FE$6))</f>
        <v>200</v>
      </c>
      <c r="AC81" s="1698"/>
      <c r="AD81" s="1711">
        <f>IFERROR(VLOOKUP(AB65,'Statement of Marks'!$B$8:'Statement of Marks'!$HI$207,160,0),"")</f>
        <v>148</v>
      </c>
      <c r="AE81" s="1711"/>
      <c r="AF81" s="752" t="str">
        <f>IFERROR(VLOOKUP(AB65,'Statement of Marks'!$B$8:'Statement of Marks'!$HI$207,161,0),"")</f>
        <v>B</v>
      </c>
      <c r="AQ81" s="17"/>
      <c r="AR81"/>
      <c r="AS81"/>
      <c r="AT81"/>
      <c r="AX81"/>
      <c r="AY81"/>
      <c r="AZ81"/>
      <c r="BE81" s="17"/>
      <c r="BF81" s="17"/>
    </row>
    <row r="82" spans="1:58" s="467" customFormat="1" ht="29.25" customHeight="1">
      <c r="A82" s="465"/>
      <c r="B82" s="753" t="str">
        <f>IF('Master Sheet'!$D$11="Hindi","परीक्षा परिणाम घोषित दिनांक :-","Date of Result declaration :-")</f>
        <v>परीक्षा परिणाम घोषित दिनांक :-</v>
      </c>
      <c r="C82" s="1610">
        <f>IF(AND(L65=""),"",IF('Master Sheet'!$D$10="","",'Master Sheet'!$D$10))</f>
        <v>46106</v>
      </c>
      <c r="D82" s="1610"/>
      <c r="E82" s="1610"/>
      <c r="F82" s="1672" t="str">
        <f>IF('Master Sheet'!$D$11="Hindi","कुल कार्य दिवस","Total Working Days")</f>
        <v>कुल कार्य दिवस</v>
      </c>
      <c r="G82" s="1672"/>
      <c r="H82" s="1672"/>
      <c r="I82" s="735">
        <f>IFERROR(VLOOKUP(L65,'Statement of Marks'!$B$8:'Statement of Marks'!$HI$207,162,0),"")</f>
        <v>320</v>
      </c>
      <c r="J82" s="1673" t="str">
        <f>IF('Master Sheet'!$D$11="Hindi","कुल उपस्थिति","Student's Attendance")</f>
        <v>कुल उपस्थिति</v>
      </c>
      <c r="K82" s="1673"/>
      <c r="L82" s="1673"/>
      <c r="M82" s="472">
        <f>IFERROR(VLOOKUP(L65,'Statement of Marks'!$B$8:'Statement of Marks'!$HI$207,163,0),"")</f>
        <v>318</v>
      </c>
      <c r="N82" s="1674" t="str">
        <f>IF('Master Sheet'!$D$11="Hindi","कक्षा में स्थान","Position in the Class")</f>
        <v>कक्षा में स्थान</v>
      </c>
      <c r="O82" s="1674"/>
      <c r="P82" s="755">
        <f>IFERROR(VLOOKUP(L65,'Statement of Marks'!$B$8:'Statement of Marks'!$HI$207,211,0),"")</f>
        <v>1.9999999999999858</v>
      </c>
      <c r="Q82"/>
      <c r="R82" s="753" t="str">
        <f>IF('Master Sheet'!$D$11="Hindi","परीक्षा परिणाम घोषित दिनांक :-","Date of Result declaration :-")</f>
        <v>परीक्षा परिणाम घोषित दिनांक :-</v>
      </c>
      <c r="S82" s="1610">
        <f>IF(AND(AB65=""),"",IF('Master Sheet'!$D$10="","",'Master Sheet'!$D$10))</f>
        <v>46106</v>
      </c>
      <c r="T82" s="1610"/>
      <c r="U82" s="1610"/>
      <c r="V82" s="1672" t="str">
        <f>IF('Master Sheet'!$D$11="Hindi","कुल कार्य दिवस","Total Working Days")</f>
        <v>कुल कार्य दिवस</v>
      </c>
      <c r="W82" s="1672"/>
      <c r="X82" s="1672"/>
      <c r="Y82" s="735">
        <f>IFERROR(VLOOKUP(AB65,'Statement of Marks'!$B$8:'Statement of Marks'!$HI$207,162,0),"")</f>
        <v>320</v>
      </c>
      <c r="Z82" s="1673" t="str">
        <f>IF('Master Sheet'!$D$11="Hindi","कुल उपस्थिति","Student's Attendance")</f>
        <v>कुल उपस्थिति</v>
      </c>
      <c r="AA82" s="1673"/>
      <c r="AB82" s="1673"/>
      <c r="AC82" s="472">
        <f>IFERROR(VLOOKUP(AB65,'Statement of Marks'!$B$8:'Statement of Marks'!$HI$207,163,0),"")</f>
        <v>310</v>
      </c>
      <c r="AD82" s="1674" t="str">
        <f>IF('Master Sheet'!$D$11="Hindi","कक्षा में स्थान","Position in the Class")</f>
        <v>कक्षा में स्थान</v>
      </c>
      <c r="AE82" s="1674"/>
      <c r="AF82" s="755">
        <f>IFERROR(VLOOKUP(AB65,'Statement of Marks'!$B$8:'Statement of Marks'!$HI$207,211,0),"")</f>
        <v>5.9999999999999432</v>
      </c>
      <c r="AQ82" s="17"/>
      <c r="AR82"/>
      <c r="AS82"/>
      <c r="AT82"/>
      <c r="AX82"/>
      <c r="AY82"/>
      <c r="AZ82"/>
      <c r="BE82" s="17"/>
      <c r="BF82" s="17"/>
    </row>
    <row r="83" spans="1:58" s="467" customFormat="1" ht="27.75" customHeight="1">
      <c r="A83" s="465"/>
      <c r="B83" s="1675" t="str">
        <f>IF('Master Sheet'!$D$11="Hindi","मुख्य परीक्षा परिणाम ","Main Exam Result")</f>
        <v xml:space="preserve">मुख्य परीक्षा परिणाम </v>
      </c>
      <c r="C83" s="1676"/>
      <c r="D83" s="1676"/>
      <c r="E83" s="1677"/>
      <c r="F83" s="1678" t="str">
        <f>IF('Master Sheet'!$D$11="Hindi","विशेष योग्यता प्राप्त विषय","Subjects Of Dictation Marks")</f>
        <v>विशेष योग्यता प्राप्त विषय</v>
      </c>
      <c r="G83" s="1678"/>
      <c r="H83" s="1678"/>
      <c r="I83" s="1678"/>
      <c r="J83" s="1678"/>
      <c r="K83" s="1678"/>
      <c r="L83" s="1679" t="str">
        <f>IF('Master Sheet'!$D$11="Hindi","पूरक विषय","Supplementary Subject")</f>
        <v>पूरक विषय</v>
      </c>
      <c r="M83" s="1680"/>
      <c r="N83" s="1676"/>
      <c r="O83" s="1676"/>
      <c r="P83" s="1677"/>
      <c r="Q83"/>
      <c r="R83" s="1675" t="str">
        <f>IF('Master Sheet'!$D$11="Hindi","मुख्य परीक्षा परिणाम ","Main Exam Result")</f>
        <v xml:space="preserve">मुख्य परीक्षा परिणाम </v>
      </c>
      <c r="S83" s="1676"/>
      <c r="T83" s="1676"/>
      <c r="U83" s="1677"/>
      <c r="V83" s="1678" t="str">
        <f>IF('Master Sheet'!$D$11="Hindi","विशेष योग्यता प्राप्त विषय","Subjects Of Dictation Marks")</f>
        <v>विशेष योग्यता प्राप्त विषय</v>
      </c>
      <c r="W83" s="1678"/>
      <c r="X83" s="1678"/>
      <c r="Y83" s="1678"/>
      <c r="Z83" s="1678"/>
      <c r="AA83" s="1678"/>
      <c r="AB83" s="1679" t="str">
        <f>IF('Master Sheet'!$D$11="Hindi","पूरक विषय","Supplementary Subject")</f>
        <v>पूरक विषय</v>
      </c>
      <c r="AC83" s="1680"/>
      <c r="AD83" s="1676"/>
      <c r="AE83" s="1676"/>
      <c r="AF83" s="1677"/>
      <c r="AQ83" s="17"/>
      <c r="AR83"/>
      <c r="AS83"/>
      <c r="AT83"/>
      <c r="AX83"/>
      <c r="AY83"/>
      <c r="AZ83"/>
      <c r="BE83" s="17"/>
      <c r="BF83" s="17"/>
    </row>
    <row r="84" spans="1:58" s="467" customFormat="1" ht="42.75" customHeight="1">
      <c r="A84" s="465"/>
      <c r="B84" s="1704" t="str">
        <f>IF('Master Sheet'!D69="Hindi",BF74,BF73)</f>
        <v>PASS  and Promoted to Class 12th</v>
      </c>
      <c r="C84" s="1705"/>
      <c r="D84" s="1705"/>
      <c r="E84" s="1706"/>
      <c r="F84" s="1674" t="str">
        <f>IFERROR(VLOOKUP(L65,'Statement of Marks'!$B$8:'Statement of Marks'!$HI$207,205,0),"")</f>
        <v xml:space="preserve">    GEOGRAPHY </v>
      </c>
      <c r="G84" s="1674"/>
      <c r="H84" s="1674"/>
      <c r="I84" s="1674"/>
      <c r="J84" s="1674"/>
      <c r="K84" s="1674"/>
      <c r="L84" s="1687" t="str">
        <f>IFERROR(VLOOKUP(L65,'Statement of Marks'!$B$8:'Statement of Marks'!$HI$207,202,0),"")</f>
        <v xml:space="preserve">    </v>
      </c>
      <c r="M84" s="1688"/>
      <c r="N84" s="1688"/>
      <c r="O84" s="1688"/>
      <c r="P84" s="1689"/>
      <c r="Q84"/>
      <c r="R84" s="1704" t="str">
        <f>IF('Master Sheet'!D69="Hindi",BE74,BE73)</f>
        <v>PASS  and Promoted to Class 12th</v>
      </c>
      <c r="S84" s="1705"/>
      <c r="T84" s="1705"/>
      <c r="U84" s="1706"/>
      <c r="V84" s="1674" t="str">
        <f>IFERROR(VLOOKUP(AB65,'Statement of Marks'!$B$8:'Statement of Marks'!$HI$207,205,0),"")</f>
        <v xml:space="preserve">     </v>
      </c>
      <c r="W84" s="1674"/>
      <c r="X84" s="1674"/>
      <c r="Y84" s="1674"/>
      <c r="Z84" s="1674"/>
      <c r="AA84" s="1674"/>
      <c r="AB84" s="1687" t="str">
        <f>IFERROR(VLOOKUP(AB65,'Statement of Marks'!$B$8:'Statement of Marks'!$HI$207,202,0),"")</f>
        <v xml:space="preserve">    </v>
      </c>
      <c r="AC84" s="1688"/>
      <c r="AD84" s="1688"/>
      <c r="AE84" s="1688"/>
      <c r="AF84" s="1689"/>
      <c r="AQ84" s="17"/>
      <c r="AR84"/>
      <c r="AS84"/>
      <c r="AT84"/>
      <c r="AX84"/>
      <c r="AY84"/>
      <c r="AZ84"/>
      <c r="BE84" s="17"/>
      <c r="BF84" s="17"/>
    </row>
    <row r="85" spans="1:58" s="467" customFormat="1" ht="52.5" customHeight="1">
      <c r="A85" s="465"/>
      <c r="B85" s="1695" t="str">
        <f>IF(AND(L65=""),"",CONCATENATE("( ",UPPER('Master Sheet'!$D$14)," )"))</f>
        <v>( HEERALAL JAT )</v>
      </c>
      <c r="C85" s="1695"/>
      <c r="D85" s="1695"/>
      <c r="E85" s="709"/>
      <c r="F85" s="1696" t="str">
        <f>IF(AND(L65=""),"",CONCATENATE("( ",UPPER('Master Sheet'!$D$17)," )"))</f>
        <v>( YOGESH )</v>
      </c>
      <c r="G85" s="1696"/>
      <c r="H85" s="1696"/>
      <c r="I85" s="1696"/>
      <c r="J85" s="1696"/>
      <c r="K85" s="1697" t="str">
        <f>IF(AND(L65=""),"",CONCATENATE("( ",UPPER('Master Sheet'!$D$12)," )"))</f>
        <v>( DEWANANAD )</v>
      </c>
      <c r="L85" s="1697"/>
      <c r="M85" s="1697"/>
      <c r="N85" s="1697"/>
      <c r="O85" s="1697"/>
      <c r="P85" s="1697"/>
      <c r="Q85"/>
      <c r="R85" s="1695" t="str">
        <f>IF(AND(AB65=""),"",CONCATENATE("( ",UPPER('Master Sheet'!$D$14)," )"))</f>
        <v>( HEERALAL JAT )</v>
      </c>
      <c r="S85" s="1695"/>
      <c r="T85" s="1695"/>
      <c r="U85" s="709"/>
      <c r="V85" s="1696" t="str">
        <f>IF(AND(AB65=""),"",CONCATENATE("( ",UPPER('Master Sheet'!$D$17)," )"))</f>
        <v>( YOGESH )</v>
      </c>
      <c r="W85" s="1696"/>
      <c r="X85" s="1696"/>
      <c r="Y85" s="1696"/>
      <c r="Z85" s="1696"/>
      <c r="AA85" s="1697" t="str">
        <f>IF(AND(AB65=""),"",CONCATENATE("( ",UPPER('Master Sheet'!$D$12)," )"))</f>
        <v>( DEWANANAD )</v>
      </c>
      <c r="AB85" s="1697"/>
      <c r="AC85" s="1697"/>
      <c r="AD85" s="1697"/>
      <c r="AE85" s="1697"/>
      <c r="AF85" s="1697"/>
      <c r="AQ85" s="17"/>
      <c r="AR85"/>
      <c r="AS85"/>
      <c r="AT85"/>
      <c r="AX85"/>
      <c r="AY85"/>
      <c r="AZ85"/>
      <c r="BE85" s="17"/>
      <c r="BF85" s="17"/>
    </row>
    <row r="86" spans="1:58" s="467" customFormat="1" ht="24.75" customHeight="1">
      <c r="A86" s="465"/>
      <c r="B86" s="1686" t="str">
        <f>IF('Master Sheet'!$D$11="Hindi","हस्ताक्षर परीक्षा प्रभारी","Signature of the exam. Incharge")</f>
        <v>हस्ताक्षर परीक्षा प्रभारी</v>
      </c>
      <c r="C86" s="1686"/>
      <c r="D86" s="1686"/>
      <c r="E86" s="708"/>
      <c r="F86" s="1686" t="str">
        <f>IF('Master Sheet'!$D$11="Hindi","हस्ताक्षर कक्षाध्यापक","Signature of the class teacher")</f>
        <v>हस्ताक्षर कक्षाध्यापक</v>
      </c>
      <c r="G86" s="1686"/>
      <c r="H86" s="1686"/>
      <c r="I86" s="1686"/>
      <c r="J86" s="1686"/>
      <c r="K86" s="1686" t="str">
        <f>IF('Master Sheet'!$D$11="Hindi","हस्ताक्षर संस्था प्रधान","Head of Institute's Signature")</f>
        <v>हस्ताक्षर संस्था प्रधान</v>
      </c>
      <c r="L86" s="1686"/>
      <c r="M86" s="1686"/>
      <c r="N86" s="1686"/>
      <c r="O86" s="1686"/>
      <c r="P86" s="1686"/>
      <c r="Q86"/>
      <c r="R86" s="1686" t="str">
        <f>IF('Master Sheet'!$D$11="Hindi","हस्ताक्षर परीक्षा प्रभारी","Signature of the exam. Incharge")</f>
        <v>हस्ताक्षर परीक्षा प्रभारी</v>
      </c>
      <c r="S86" s="1686"/>
      <c r="T86" s="1686"/>
      <c r="U86" s="708"/>
      <c r="V86" s="1686" t="str">
        <f>IF('Master Sheet'!$D$11="Hindi","हस्ताक्षर कक्षाध्यापक","Signature of the class teacher")</f>
        <v>हस्ताक्षर कक्षाध्यापक</v>
      </c>
      <c r="W86" s="1686"/>
      <c r="X86" s="1686"/>
      <c r="Y86" s="1686"/>
      <c r="Z86" s="1686"/>
      <c r="AA86" s="1686" t="str">
        <f>IF('Master Sheet'!$D$11="Hindi","हस्ताक्षर संस्था प्रधान","Head of Institute's Signature")</f>
        <v>हस्ताक्षर संस्था प्रधान</v>
      </c>
      <c r="AB86" s="1686"/>
      <c r="AC86" s="1686"/>
      <c r="AD86" s="1686"/>
      <c r="AE86" s="1686"/>
      <c r="AF86" s="1686"/>
      <c r="AQ86" s="17"/>
      <c r="AR86"/>
      <c r="AS86"/>
      <c r="AT86"/>
      <c r="AX86"/>
      <c r="AY86"/>
      <c r="AZ86"/>
      <c r="BE86" s="17"/>
      <c r="BF86" s="17"/>
    </row>
    <row r="87" spans="1:58">
      <c r="AN87" s="467"/>
    </row>
    <row r="88" spans="1:58" s="17" customFormat="1" ht="22.5" customHeight="1">
      <c r="A88" s="100"/>
      <c r="B88" s="93"/>
      <c r="C88" s="1670" t="str">
        <f>IF('Master Sheet'!$D$11="Hindi","वार्षिक रिपोर्ट कार्ड ","Report Card")</f>
        <v xml:space="preserve">वार्षिक रिपोर्ट कार्ड </v>
      </c>
      <c r="D88" s="1670"/>
      <c r="E88" s="1670"/>
      <c r="F88" s="1670"/>
      <c r="G88" s="1670"/>
      <c r="H88" s="1670"/>
      <c r="I88" s="1670"/>
      <c r="J88" s="1670"/>
      <c r="K88" s="1670"/>
      <c r="L88" s="1670"/>
      <c r="M88" s="1670"/>
      <c r="N88" s="1670"/>
      <c r="O88" s="464"/>
      <c r="P88" s="464"/>
      <c r="Q88"/>
      <c r="R88" s="93"/>
      <c r="S88" s="1670" t="str">
        <f>IF('Master Sheet'!$D$11="Hindi","वार्षिक रिपोर्ट कार्ड ","Report Card")</f>
        <v xml:space="preserve">वार्षिक रिपोर्ट कार्ड </v>
      </c>
      <c r="T88" s="1670"/>
      <c r="U88" s="1670"/>
      <c r="V88" s="1670"/>
      <c r="W88" s="1670"/>
      <c r="X88" s="1670"/>
      <c r="Y88" s="1670"/>
      <c r="Z88" s="1670"/>
      <c r="AA88" s="1670"/>
      <c r="AB88" s="1670"/>
      <c r="AC88" s="1670"/>
      <c r="AD88" s="1670"/>
      <c r="AE88" s="464"/>
      <c r="AF88" s="464"/>
      <c r="AH88" s="467"/>
      <c r="AI88" s="467"/>
      <c r="AJ88" s="467"/>
      <c r="AK88" s="467"/>
      <c r="AL88" s="467"/>
      <c r="AN88" s="467"/>
      <c r="AR88"/>
      <c r="AS88"/>
      <c r="AT88"/>
      <c r="AX88"/>
      <c r="AY88"/>
      <c r="AZ88"/>
    </row>
    <row r="89" spans="1:58" s="17" customFormat="1" ht="22.5" customHeight="1">
      <c r="A89" s="100"/>
      <c r="B89" s="93"/>
      <c r="C89" s="1719" t="str">
        <f>IF('Master Sheet'!$D$11="Hindi","शिक्षा विभाग, राजस्थान सरकार","Education Department, Rajasthan Government")</f>
        <v>शिक्षा विभाग, राजस्थान सरकार</v>
      </c>
      <c r="D89" s="1719"/>
      <c r="E89" s="1719"/>
      <c r="F89" s="1719"/>
      <c r="G89" s="1719"/>
      <c r="H89" s="1719"/>
      <c r="I89" s="1719"/>
      <c r="J89" s="1719"/>
      <c r="K89" s="1719"/>
      <c r="L89" s="1719"/>
      <c r="M89" s="1719"/>
      <c r="N89" s="1719"/>
      <c r="O89" s="464"/>
      <c r="P89" s="464"/>
      <c r="Q89"/>
      <c r="R89" s="93"/>
      <c r="S89" s="1719" t="str">
        <f>IF('Master Sheet'!$D$11="Hindi","शिक्षा विभाग, राजस्थान सरकार","Education Department, Rajasthan Government")</f>
        <v>शिक्षा विभाग, राजस्थान सरकार</v>
      </c>
      <c r="T89" s="1719"/>
      <c r="U89" s="1719"/>
      <c r="V89" s="1719"/>
      <c r="W89" s="1719"/>
      <c r="X89" s="1719"/>
      <c r="Y89" s="1719"/>
      <c r="Z89" s="1719"/>
      <c r="AA89" s="1719"/>
      <c r="AB89" s="1719"/>
      <c r="AC89" s="1719"/>
      <c r="AD89" s="1719"/>
      <c r="AE89" s="464"/>
      <c r="AF89" s="464"/>
      <c r="AH89" s="467"/>
      <c r="AI89" s="467"/>
      <c r="AJ89" s="467"/>
      <c r="AK89" s="467"/>
      <c r="AL89" s="467"/>
      <c r="AR89"/>
      <c r="AS89"/>
      <c r="AT89"/>
      <c r="AX89"/>
      <c r="AY89"/>
      <c r="AZ89"/>
    </row>
    <row r="90" spans="1:58" s="17" customFormat="1" ht="24.95" customHeight="1">
      <c r="A90" s="100"/>
      <c r="B90" s="1720" t="str">
        <f>IF('Master Sheet'!$D$11="Hindi",CONCATENATE("विद्यालय का नाम :-","  ",'Master Sheet'!$D$8),CONCATENATE("School Name :-","  ",'Master Sheet'!$D$7))</f>
        <v xml:space="preserve">विद्यालय का नाम :-  महात्मा गाँधी राजकीय विद्यालय (अंग्रेजी माध्यम) बर, पाली </v>
      </c>
      <c r="C90" s="1720"/>
      <c r="D90" s="1720"/>
      <c r="E90" s="1720"/>
      <c r="F90" s="1720"/>
      <c r="G90" s="1720"/>
      <c r="H90" s="1720"/>
      <c r="I90" s="1720"/>
      <c r="J90" s="1720"/>
      <c r="K90" s="1720"/>
      <c r="L90" s="1720"/>
      <c r="M90" s="1720"/>
      <c r="N90" s="1720"/>
      <c r="O90" s="1720"/>
      <c r="P90" s="1720"/>
      <c r="Q90"/>
      <c r="R90" s="1720" t="str">
        <f>IF('Master Sheet'!$D$11="Hindi",CONCATENATE("विद्यालय का नाम :-","  ",'Master Sheet'!$D$8),CONCATENATE("School Name :-","  ",'Master Sheet'!$D$7))</f>
        <v xml:space="preserve">विद्यालय का नाम :-  महात्मा गाँधी राजकीय विद्यालय (अंग्रेजी माध्यम) बर, पाली </v>
      </c>
      <c r="S90" s="1720"/>
      <c r="T90" s="1720"/>
      <c r="U90" s="1720"/>
      <c r="V90" s="1720"/>
      <c r="W90" s="1720"/>
      <c r="X90" s="1720"/>
      <c r="Y90" s="1720"/>
      <c r="Z90" s="1720"/>
      <c r="AA90" s="1720"/>
      <c r="AB90" s="1720"/>
      <c r="AC90" s="1720"/>
      <c r="AD90" s="1720"/>
      <c r="AE90" s="1720"/>
      <c r="AF90" s="1720"/>
      <c r="AH90" s="467"/>
      <c r="AI90" s="467"/>
      <c r="AJ90" s="467"/>
      <c r="AK90" s="467"/>
      <c r="AL90" s="467"/>
      <c r="AR90"/>
      <c r="AS90"/>
      <c r="AT90"/>
      <c r="AX90"/>
      <c r="AY90"/>
      <c r="AZ90"/>
    </row>
    <row r="91" spans="1:58" s="17" customFormat="1" ht="19.5" customHeight="1">
      <c r="A91" s="100"/>
      <c r="B91" s="713"/>
      <c r="C91" s="1721" t="str">
        <f>IF(AND(L94=""),"",IF(AND('Master Sheet'!$D$6=""),"",IF('Master Sheet'!$D$11="Hindi",CONCATENATE("(विद्यालय मान्यता क्रमांक व वर्ष : ","  ",'Master Sheet'!$D$6),CONCATENATE("(School Recognition Number &amp; Years : ","  ",'Master Sheet'!$D$6))))</f>
        <v>(विद्यालय मान्यता क्रमांक व वर्ष :   शिक्षा/पाली/1995/2001</v>
      </c>
      <c r="D91" s="1721"/>
      <c r="E91" s="1721"/>
      <c r="F91" s="1721"/>
      <c r="G91" s="1721"/>
      <c r="H91" s="1721"/>
      <c r="I91" s="1721"/>
      <c r="J91" s="1721"/>
      <c r="K91" s="1721"/>
      <c r="L91" s="1721"/>
      <c r="M91" s="1721"/>
      <c r="N91" s="1721"/>
      <c r="O91" s="1721"/>
      <c r="P91" s="713"/>
      <c r="Q91"/>
      <c r="R91" s="713"/>
      <c r="S91" s="1721" t="str">
        <f>IF(AND(AB94=""),"",IF(AND('Master Sheet'!$D$6=""),"",IF('Master Sheet'!$D$11="Hindi",CONCATENATE("(विद्यालय मान्यता क्रमांक व वर्ष : ","  ",'Master Sheet'!$D$6),CONCATENATE("(School Recognition Number &amp; Years : ","  ",'Master Sheet'!$D$6))))</f>
        <v>(विद्यालय मान्यता क्रमांक व वर्ष :   शिक्षा/पाली/1995/2001</v>
      </c>
      <c r="T91" s="1721"/>
      <c r="U91" s="1721"/>
      <c r="V91" s="1721"/>
      <c r="W91" s="1721"/>
      <c r="X91" s="1721"/>
      <c r="Y91" s="1721"/>
      <c r="Z91" s="1721"/>
      <c r="AA91" s="1721"/>
      <c r="AB91" s="1721"/>
      <c r="AC91" s="1721"/>
      <c r="AD91" s="1721"/>
      <c r="AE91" s="1721"/>
      <c r="AF91" s="713"/>
      <c r="AH91" s="467"/>
      <c r="AI91" s="467"/>
      <c r="AJ91" s="467"/>
      <c r="AK91" s="467"/>
      <c r="AL91" s="467"/>
      <c r="AN91" s="99"/>
      <c r="AR91"/>
      <c r="AS91"/>
      <c r="AT91"/>
      <c r="AX91"/>
      <c r="AY91"/>
      <c r="AZ91"/>
    </row>
    <row r="92" spans="1:58" s="467" customFormat="1" ht="21" customHeight="1">
      <c r="A92" s="465"/>
      <c r="B92" s="733" t="str">
        <f>IF('Master Sheet'!$D$11="Hindi","सत्र  :-","Session :-")</f>
        <v>सत्र  :-</v>
      </c>
      <c r="C92" s="1693" t="str">
        <f>'Marks Entry'!$H$1</f>
        <v>2025-2026</v>
      </c>
      <c r="D92" s="1693"/>
      <c r="E92" s="1693"/>
      <c r="F92" s="1693"/>
      <c r="G92" s="1693"/>
      <c r="H92" s="1693"/>
      <c r="I92" s="1691" t="str">
        <f>IF('Master Sheet'!$D$11="Hindi","कक्षा  :-","CLASS :- ")</f>
        <v>कक्षा  :-</v>
      </c>
      <c r="J92" s="1691"/>
      <c r="K92" s="1691"/>
      <c r="L92" s="1694" t="str">
        <f>CONCATENATE('Marks Entry'!$H$2," '",'Marks Entry'!$H$3,"'")</f>
        <v>11 'Arts'</v>
      </c>
      <c r="M92" s="1694"/>
      <c r="N92" s="1694"/>
      <c r="O92" s="1694"/>
      <c r="P92" s="714"/>
      <c r="Q92"/>
      <c r="R92" s="733" t="str">
        <f>IF('Master Sheet'!$D$11="Hindi","सत्र  :-","Session :-")</f>
        <v>सत्र  :-</v>
      </c>
      <c r="S92" s="1693" t="str">
        <f>'Marks Entry'!$H$1</f>
        <v>2025-2026</v>
      </c>
      <c r="T92" s="1693"/>
      <c r="U92" s="1693"/>
      <c r="V92" s="1693"/>
      <c r="W92" s="1693"/>
      <c r="X92" s="1693"/>
      <c r="Y92" s="1691" t="str">
        <f>IF('Master Sheet'!$D$11="Hindi","कक्षा  :-","CLASS :- ")</f>
        <v>कक्षा  :-</v>
      </c>
      <c r="Z92" s="1691"/>
      <c r="AA92" s="1691"/>
      <c r="AB92" s="1694" t="str">
        <f>CONCATENATE('Marks Entry'!$H$2," '",'Marks Entry'!$H$3,"'")</f>
        <v>11 'Arts'</v>
      </c>
      <c r="AC92" s="1694"/>
      <c r="AD92" s="1694"/>
      <c r="AE92" s="1694"/>
      <c r="AF92" s="714"/>
      <c r="AN92" s="99"/>
      <c r="AQ92" s="17"/>
      <c r="AR92"/>
      <c r="AS92" s="757">
        <f>L95</f>
        <v>40065</v>
      </c>
      <c r="AT92"/>
      <c r="AX92"/>
      <c r="AY92" s="757">
        <f>AB95</f>
        <v>39763</v>
      </c>
      <c r="AZ92"/>
      <c r="BE92" s="17"/>
      <c r="BF92" s="17"/>
    </row>
    <row r="93" spans="1:58" s="467" customFormat="1" ht="21" customHeight="1">
      <c r="A93" s="465"/>
      <c r="B93" s="734" t="str">
        <f>IF('Master Sheet'!$D$11="Hindi","विद्यार्थी का नाम :-","Student's Name :-")</f>
        <v>विद्यार्थी का नाम :-</v>
      </c>
      <c r="C93" s="1690" t="str">
        <f>IFERROR(VLOOKUP(L94,'Statement of Marks'!$B$8:'Statement of Marks'!$HI$207,4,0),"")</f>
        <v>G</v>
      </c>
      <c r="D93" s="1690"/>
      <c r="E93" s="1690"/>
      <c r="F93" s="1690"/>
      <c r="G93" s="1690"/>
      <c r="H93" s="1690"/>
      <c r="I93" s="1691" t="str">
        <f>IF('Master Sheet'!$D$11="Hindi","प्रवेशांक :","SR. NO. :")</f>
        <v>प्रवेशांक :</v>
      </c>
      <c r="J93" s="1691"/>
      <c r="K93" s="1691"/>
      <c r="L93" s="1726">
        <f>IFERROR(VLOOKUP(L94,'Statement of Marks'!$B$8:'Statement of Marks'!$HI$207,2,0),"")</f>
        <v>222</v>
      </c>
      <c r="M93" s="1726"/>
      <c r="N93" s="1726"/>
      <c r="O93" s="1726"/>
      <c r="P93" s="468"/>
      <c r="Q93"/>
      <c r="R93" s="734" t="str">
        <f>IF('Master Sheet'!$D$11="Hindi","विद्यार्थी का नाम :-","Student's Name :-")</f>
        <v>विद्यार्थी का नाम :-</v>
      </c>
      <c r="S93" s="1690" t="str">
        <f>IFERROR(VLOOKUP(AB94,'Statement of Marks'!$B$8:'Statement of Marks'!$HI$207,4,0),"")</f>
        <v>O</v>
      </c>
      <c r="T93" s="1690"/>
      <c r="U93" s="1690"/>
      <c r="V93" s="1690"/>
      <c r="W93" s="1690"/>
      <c r="X93" s="1690"/>
      <c r="Y93" s="1691" t="str">
        <f>IF('Master Sheet'!$D$11="Hindi","प्रवेशांक :","SR. NO. :")</f>
        <v>प्रवेशांक :</v>
      </c>
      <c r="Z93" s="1691"/>
      <c r="AA93" s="1691"/>
      <c r="AB93" s="1726">
        <f>IFERROR(VLOOKUP(AB94,'Statement of Marks'!$B$8:'Statement of Marks'!$HI$207,2,0),"")</f>
        <v>123</v>
      </c>
      <c r="AC93" s="1726"/>
      <c r="AD93" s="1726"/>
      <c r="AE93" s="1726"/>
      <c r="AF93" s="468"/>
      <c r="AQ93" s="17"/>
      <c r="AR93">
        <f>YEAR(AS92)</f>
        <v>2009</v>
      </c>
      <c r="AS93">
        <f>MONTH(AS92)</f>
        <v>9</v>
      </c>
      <c r="AT93">
        <f>DAY(AS92)</f>
        <v>9</v>
      </c>
      <c r="AU93" s="469"/>
      <c r="AX93">
        <f>YEAR(AY92)</f>
        <v>2008</v>
      </c>
      <c r="AY93">
        <f>MONTH(AY92)</f>
        <v>11</v>
      </c>
      <c r="AZ93">
        <f>DAY(AY92)</f>
        <v>11</v>
      </c>
      <c r="BE93" s="17"/>
      <c r="BF93" s="17"/>
    </row>
    <row r="94" spans="1:58" s="467" customFormat="1" ht="21" customHeight="1">
      <c r="A94" s="465"/>
      <c r="B94" s="734" t="str">
        <f>IF('Master Sheet'!$D$11="Hindi","पिता का नाम :-","Father's Name :-")</f>
        <v>पिता का नाम :-</v>
      </c>
      <c r="C94" s="1690" t="str">
        <f>IFERROR(VLOOKUP(L94,'Statement of Marks'!$B$8:'Statement of Marks'!$HI$207,5,0),"")</f>
        <v>T</v>
      </c>
      <c r="D94" s="1690"/>
      <c r="E94" s="1690"/>
      <c r="F94" s="1690"/>
      <c r="G94" s="1690"/>
      <c r="H94" s="1690"/>
      <c r="I94" s="1691" t="str">
        <f>IF('Master Sheet'!$D$11="Hindi","रोल नंबर :-","Roll No. :")</f>
        <v>रोल नंबर :-</v>
      </c>
      <c r="J94" s="1691"/>
      <c r="K94" s="1691"/>
      <c r="L94" s="1692">
        <f>IF(AB65="","",IF(AND(AB65+1&gt;$AN$11),"",AB65+1))</f>
        <v>1107</v>
      </c>
      <c r="M94" s="1692"/>
      <c r="N94" s="1692"/>
      <c r="O94" s="711"/>
      <c r="P94" s="468"/>
      <c r="Q94"/>
      <c r="R94" s="734" t="str">
        <f>IF('Master Sheet'!$D$11="Hindi","पिता का नाम :-","Father's Name :-")</f>
        <v>पिता का नाम :-</v>
      </c>
      <c r="S94" s="1690" t="str">
        <f>IFERROR(VLOOKUP(AB94,'Statement of Marks'!$B$8:'Statement of Marks'!$HI$207,5,0),"")</f>
        <v>R</v>
      </c>
      <c r="T94" s="1690"/>
      <c r="U94" s="1690"/>
      <c r="V94" s="1690"/>
      <c r="W94" s="1690"/>
      <c r="X94" s="1690"/>
      <c r="Y94" s="1691" t="str">
        <f>IF('Master Sheet'!$D$11="Hindi","रोल नंबर :-","Roll No. :")</f>
        <v>रोल नंबर :-</v>
      </c>
      <c r="Z94" s="1691"/>
      <c r="AA94" s="1691"/>
      <c r="AB94" s="1692">
        <f>IF(L94="","",IF(AND(L94+1&gt;$AN$11),"",L94+1))</f>
        <v>1108</v>
      </c>
      <c r="AC94" s="1692"/>
      <c r="AD94" s="1692"/>
      <c r="AE94" s="711"/>
      <c r="AF94" s="468"/>
      <c r="AQ94" s="17"/>
      <c r="AR94" t="str">
        <f>IF(AR93=2000,"दो हजार",IF(AR93=2001,"दो हजार एक",IF(AR93=2002,"दो हजार दो",IF(AR93=2003,"दो हजार तीन",IF(AR93=2004,"दो हजार चार",IF(AR93=2005,"दो हजार पांच",IF(AR93=2006,"दो हजार छः",IF(AR93=2007,"दो हजार सात",IF(AR93=2008,"दो हजार आठ",IF(AR93=2009,"दो हजार नौ",IF(AR93=2010,"दो हजार दस",IF(AR93=2011,"दो हजार ग्यारह",IF(AR93=2012,"दो हजार बारह",IF(AR93=2013,"दो हजार तेरह",IF(AR93=2014,"दो हजार चौदह",IF(AR93=2015,"दो हजार पंद्रह",IF(AR93=2016,"दो हजार सोलह",IF(AR93=2017,"दो हजार सत्रह",IF(AR93=2018,"दो हजार अठारह",IF(AR93=2019,"दो हजार उन्नीस",IF(AR93=2020,"दो हजार बीस",IF(AR93=2021,"दो हजार इक्कीस",IF(AR93=2022,"दो हजार बाइस","")))))))))))))))))))))))</f>
        <v>दो हजार नौ</v>
      </c>
      <c r="AS94" t="str">
        <f>IF(AS93=1,"जनवरी",IF(AS93=2,"फरवरी",IF(AS93=3,"मार्च",IF(AS93=4,"अप्रैल",IF(AS93=5,"मई",IF(AS93=6,"जून",IF(AS93=7,"जुलाई",IF(AS93=8,"अगस्त",IF(AS93=9,"सितम्बर",IF(AS93=10,"अक्टूबर",IF(AS93=11,"नवम्बर",IF(AS93=12,"दिसम्बर",""))))))))))))</f>
        <v>सितम्बर</v>
      </c>
      <c r="AT94" t="str">
        <f>IF(AT93=1,"एक",IF(AT93=2,"दो",IF(AT93=3,"तीन",IF(AT93=4,"चार",IF(AT93=5,"पांच",IF(AT93=6,"छः",IF(AT93=7,"सात",IF(AT93=8,"आठ",IF(AT93=9,"नौ",IF(AT93=10,"दस",IF(AT93=11,"ग्यारह",IF(AT93=12,"बारह",IF(AT93=13,"तेरह",IF(AT93=14,"चौदह",IF(AT93=15,"पंद्रह",IF(AT93=16,"सोलह",IF(AT93=17,"सत्रह",IF(AT93=18,"अठारह",IF(AT93=19,"उन्नीस",IF(AT93=20,"बीस",IF(AT93=21,"इक्कीस",IF(AT93=22,"बाइस",IF(AT93=23,"तेईस",IF(AT93=24,"चौबीस",IF(AT93=25,"पचीस",IF(AT93=26,"छबीस",IF(AT93=27,"सताईस",IF(AT93=28,"अठाइस",IF(AT93=29,"उन्नतीस",IF(AT93=30,"तीस",IF(AT93=31,"इकतीस","")))))))))))))))))))))))))))))))</f>
        <v>नौ</v>
      </c>
      <c r="AX94" t="str">
        <f>IF(AX93=2000,"दो हजार",IF(AX93=2001,"दो हजार एक",IF(AX93=2002,"दो हजार दो",IF(AX93=2003,"दो हजार तीन",IF(AX93=2004,"दो हजार चार",IF(AX93=2005,"दो हजार पांच",IF(AX93=2006,"दो हजार छः",IF(AX93=2007,"दो हजार सात",IF(AX93=2008,"दो हजार आठ",IF(AX93=2009,"दो हजार नौ",IF(AX93=2010,"दो हजार दस",IF(AX93=2011,"दो हजार ग्यारह",IF(AX93=2012,"दो हजार बारह",IF(AX93=2013,"दो हजार तेरह",IF(AX93=2014,"दो हजार चौदह",IF(AX93=2015,"दो हजार पंद्रह",IF(AX93=2016,"दो हजार सोलह",IF(AX93=2017,"दो हजार सत्रह",IF(AX93=2018,"दो हजार अठारह",IF(AX93=2019,"दो हजार उन्नीस",IF(AX93=2020,"दो हजार बीस",IF(AX93=2021,"दो हजार इक्कीस",IF(AX93=2022,"दो हजार बाइस","")))))))))))))))))))))))</f>
        <v>दो हजार आठ</v>
      </c>
      <c r="AY94" t="str">
        <f>IF(AY93=1,"जनवरी",IF(AY93=2,"फरवरी",IF(AY93=3,"मार्च",IF(AY93=4,"अप्रैल",IF(AY93=5,"मई",IF(AY93=6,"जून",IF(AY93=7,"जुलाई",IF(AY93=8,"अगस्त",IF(AY93=9,"सितम्बर",IF(AY93=10,"अक्टूबर",IF(AY93=11,"नवम्बर",IF(AY93=12,"दिसम्बर",""))))))))))))</f>
        <v>नवम्बर</v>
      </c>
      <c r="AZ94" t="str">
        <f>IF(AZ93=1,"एक",IF(AZ93=2,"दो",IF(AZ93=3,"तीन",IF(AZ93=4,"चार",IF(AZ93=5,"पांच",IF(AZ93=6,"छः",IF(AZ93=7,"सात",IF(AZ93=8,"आठ",IF(AZ93=9,"नौ",IF(AZ93=10,"दस",IF(AZ93=11,"ग्यारह",IF(AZ93=12,"बारह",IF(AZ93=13,"तेरह",IF(AZ93=14,"चौदह",IF(AZ93=15,"पंद्रह",IF(AZ93=16,"सोलह",IF(AZ93=17,"सत्रह",IF(AZ93=18,"अठारह",IF(AZ93=19,"उन्नीस",IF(AZ93=20,"बीस",IF(AZ93=21,"इक्कीस",IF(AZ93=22,"बाइस",IF(AZ93=23,"तेईस",IF(AZ93=24,"चौबीस",IF(AZ93=25,"पचीस",IF(AZ93=26,"छबीस",IF(AZ93=27,"सताईस",IF(AZ93=28,"अठाइस",IF(AZ93=29,"उन्नतीस",IF(AZ93=30,"तीस",IF(AZ93=31,"इकतीस","")))))))))))))))))))))))))))))))</f>
        <v>ग्यारह</v>
      </c>
      <c r="BE94" s="17"/>
      <c r="BF94" s="17"/>
    </row>
    <row r="95" spans="1:58" s="467" customFormat="1" ht="21" customHeight="1">
      <c r="A95" s="465"/>
      <c r="B95" s="733" t="str">
        <f>IF('Master Sheet'!$D$11="Hindi","माता का नाम :-","Mother's Name :-")</f>
        <v>माता का नाम :-</v>
      </c>
      <c r="C95" s="1690" t="str">
        <f>IFERROR(VLOOKUP(L94,'Statement of Marks'!$B$8:'Statement of Marks'!$HI$207,6,0),"")</f>
        <v>S</v>
      </c>
      <c r="D95" s="1690"/>
      <c r="E95" s="1690"/>
      <c r="F95" s="1690"/>
      <c r="G95" s="1690"/>
      <c r="H95" s="1690"/>
      <c r="I95" s="1691" t="str">
        <f>IF('Master Sheet'!$D$11="Hindi","जन्म तिथि :","Date of Birth :")</f>
        <v>जन्म तिथि :</v>
      </c>
      <c r="J95" s="1691"/>
      <c r="K95" s="1691"/>
      <c r="L95" s="1723">
        <f>IFERROR(VLOOKUP(L94,'Statement of Marks'!$B$8:'Statement of Marks'!$HI$207,3,0),"")</f>
        <v>40065</v>
      </c>
      <c r="M95" s="1723"/>
      <c r="N95" s="1723"/>
      <c r="O95" s="1723"/>
      <c r="Q95"/>
      <c r="R95" s="733" t="str">
        <f>IF('Master Sheet'!$D$11="Hindi","माता का नाम :-","Mother's Name :-")</f>
        <v>माता का नाम :-</v>
      </c>
      <c r="S95" s="1690" t="str">
        <f>IFERROR(VLOOKUP(AB94,'Statement of Marks'!$B$8:'Statement of Marks'!$HI$207,6,0),"")</f>
        <v>I</v>
      </c>
      <c r="T95" s="1690"/>
      <c r="U95" s="1690"/>
      <c r="V95" s="1690"/>
      <c r="W95" s="1690"/>
      <c r="X95" s="1690"/>
      <c r="Y95" s="1691" t="str">
        <f>IF('Master Sheet'!$D$11="Hindi","जन्म तिथि :","Date of Birth :")</f>
        <v>जन्म तिथि :</v>
      </c>
      <c r="Z95" s="1691"/>
      <c r="AA95" s="1691"/>
      <c r="AB95" s="1723">
        <f>IFERROR(VLOOKUP(AB94,'Statement of Marks'!$B$8:'Statement of Marks'!$HI$207,3,0),"")</f>
        <v>39763</v>
      </c>
      <c r="AC95" s="1723"/>
      <c r="AD95" s="1723"/>
      <c r="AE95" s="1723"/>
      <c r="AQ95" s="17"/>
      <c r="AR95"/>
      <c r="AS95" t="str">
        <f>CONCATENATE(AT94," ",AS94," ",AR94)</f>
        <v>नौ सितम्बर दो हजार नौ</v>
      </c>
      <c r="AT95"/>
      <c r="AX95"/>
      <c r="AY95" t="str">
        <f>CONCATENATE(AZ94," ",AY94," ",AX94)</f>
        <v>ग्यारह नवम्बर दो हजार आठ</v>
      </c>
      <c r="AZ95"/>
      <c r="BE95" s="17"/>
      <c r="BF95" s="17"/>
    </row>
    <row r="96" spans="1:58" s="467" customFormat="1" ht="21" customHeight="1">
      <c r="A96" s="465"/>
      <c r="B96" s="466"/>
      <c r="C96" s="716"/>
      <c r="D96" s="716"/>
      <c r="E96" s="716"/>
      <c r="F96" s="716"/>
      <c r="G96" s="716"/>
      <c r="H96" s="716"/>
      <c r="I96" s="1691" t="str">
        <f>IF('Master Sheet'!$D$11="Hindi","जन्मतिथि शब्दों में :","Date of Birth in Words :")</f>
        <v>जन्मतिथि शब्दों में :</v>
      </c>
      <c r="J96" s="1691"/>
      <c r="K96" s="1691"/>
      <c r="L96" s="1724" t="str">
        <f>IF('Master Sheet'!$D$11="Hindi",AS95,AS97)</f>
        <v>नौ सितम्बर दो हजार नौ</v>
      </c>
      <c r="M96" s="1724"/>
      <c r="N96" s="1724"/>
      <c r="O96" s="1724"/>
      <c r="P96" s="1724"/>
      <c r="Q96"/>
      <c r="R96" s="466"/>
      <c r="S96" s="716"/>
      <c r="T96" s="716"/>
      <c r="U96" s="716"/>
      <c r="V96" s="716"/>
      <c r="W96" s="716"/>
      <c r="X96" s="716"/>
      <c r="Y96" s="1691" t="str">
        <f>IF('Master Sheet'!$D$11="Hindi","जन्मतिथि शब्दों में :","Date of Birth in Words :")</f>
        <v>जन्मतिथि शब्दों में :</v>
      </c>
      <c r="Z96" s="1691"/>
      <c r="AA96" s="1691"/>
      <c r="AB96" s="1724" t="str">
        <f>IF('Master Sheet'!$D$11="Hindi",AY95,AY97)</f>
        <v>ग्यारह नवम्बर दो हजार आठ</v>
      </c>
      <c r="AC96" s="1724"/>
      <c r="AD96" s="1724"/>
      <c r="AE96" s="1724"/>
      <c r="AF96" s="1724"/>
      <c r="AQ96" s="17"/>
      <c r="AR96" t="str">
        <f>IF(AR93=1961,"NINETEEN SIXTY ONE",IF(AR93=1962,"NINETEEN SIXTY TWO",IF(AR93=1963,"NINETEEN SIXTY THREE",IF(AR93=1964,"NINETEEN SIXTY FOUR",IF(AR93=1965,"NINETEEN SIXTY FIVE",IF(AR93=1966,"NINETEEN SIXTY SIX",IF(AR93=1967,"NINETEEN SIXTY SEVEN",IF(AR93=1968,"NINETEEN SIXTY EIGHT",IF(AR93=1969,"NINETEEN SIXTY NINE",IF(AR93=1970,"NINETEEN SEVENTY",IF(AR93=1971,"NINETEEN SEVENTY ONE",IF(AR93=1972,"NINETEEN SEVENTY TWO",IF(AR93=1973,"NINETEEN SEVENTY THREE",IF(AR93=1974,"NINETEEN SEVENTY FOUR",IF(AR93=1975,"NINETEEN SEVENTY FIVE",IF(AR93=1976,"NINETEEN SEVENTY SIX",IF(AR93=1977,"NINETEEN SEVENTY SEVEN",IF(AR93=1978,"NINETEEN SEVENTY EIGHT",IF(AR93=1979,"NINETEEN SEVENTY NINE",IF(AR93=1980,"NINETEEN EIGHTY",IF(AR93=1981,"NINETEEN EIGHTY ONE",IF(AR93=1982,"NINETEEN EIGHTY TWO",IF(AR93=1983,"NINETEEN EIGHTY THREE",IF(AR93=1984,"NINETEEN EIGHTY FOUR",IF(AR93=1985,"NINETEEN EIGHTY FIVE",IF(AR93=1986,"NINETEEN EIGHTY SIX",IF(AR93=1987,"NINETEEN EIGHTY SEVEN",IF(AR93=1988,"NINETEEN EIGHTY EIGHT",IF(AR93=1989,"NINETEEN EIGHTY NINE",IF(AR93=1990,"NINETEEN NINETY",IF(AR93=1991,"NINETEEN NINETY ONE",IF(AR93=1992,"NINETEEN NINETY TWO",IF(AR93=1993,"NINETEEN NINETY THREE",IF(AR93=1994,"NINETEEN NINETY FOUR",IF(AR93=1995,"NINETEEN NINETY FIVE",IF(AR93=1996,"NINETEEN NINETY SIX",IF(AR93=1997,"NINETEEN NINETY SEVEN",IF(AR93=1998,"NINETEEN NINETY EIGHT",IF(AR93=1999,"NINETEEN NINETY NINE",IF(AR93=2000,"TWO THOUSAND",IF(AR93=2001,"TWO THOUSAND ONE",IF(AR93=2002,"TWO THOUSAND TWO",IF(AR93=2003,"TWO THOUSAND THREE",IF(AR93=2004,"TWO THOUSAND FOUR",IF(AR93=2005,"TWO THOUSAND FIVE",IF(AR93=2006,"TWO THOUSAND SIX",IF(AR93=2007,"TWO THOUSAND SEVEN",IF(AR93=2008,"TWO THOUSAND EIGHT",IF(AR93=2009,"TWO THOUSAND NINE",IF(AR93=2010,"TWO THOUSAND TEN",IF(AR93=2011,"TWO THOUSAND ELEVEN",IF(AR93=2012,"TWO THOUSAND TWELVE",IF(AR93=2013,"TWO THOUSAND THIRTEEN",IF(AR93=2014,"TWO THOUSAND FOURTEEN",IF(AR93=2015,"TWO THOUSAND FIFTEEN",IF(AR93=2016,"TWO THOUSAND SIXTEEN",IF(AR93=2017,"TWO THOUSAND SEVENTEEN",IF(AR93=2018,"TWO THOUSAND EIGHTEEN",IF(AR93=2019,"TWO THOUSAND NINETEEN",IF(AR93=2020,"TWO THOUSAND TWENTY",IF(AR93=2021,"TWO THOUSAND TWENTY ONE",IF(AR93=2022,"TWO THOUSAND TWENTY TWO",IF(AR93=2023,"TWO THOUSAND TWENTY THREE",IF(AR93=2024,"TWO THOUSAND TWENTY FOUR",IF(AR93=2025,"TWO THOUSAND TWENTY FIVE","")))))))))))))))))))))))))))))))))))))))))))))))))))))))))))))))))</f>
        <v>TWO THOUSAND NINE</v>
      </c>
      <c r="AS96" t="str">
        <f>IF(AS93=1,"JANUARY",IF(AS93=2,"FEBUARY", IF(AS93=3,"MARCH",IF(AS93=4,"APRIL",IF(AS93=5,"MAY",IF(AS93=6,"JUNE",IF(AS93=7,"JULY",IF(AS93=8,"AUGUST",IF(AS93=9,"SEPTEMBER",IF(AS93=10,"OCTOBER",IF(AS93=11,"NOVEMBER",IF(AS93=12,"DECEMBER",""))))))))))))</f>
        <v>SEPTEMBER</v>
      </c>
      <c r="AT96" t="str">
        <f>IF(AT93=1,"1ST",IF(AT93=2,"2ND", IF(AT93=3,"3RD",IF(AT93=4,"FOURTH",IF(AT93=5,"FIFTH",IF(AT93=6,"SIXTH",IF(AT93=7,"7TH",IF(AT93=8,"8TH",IF(AT93=9,"9TH",IF(AT93=10,"10TH",IF(AT93=11,"11TH",IF(AT93=12,"12TH",IF(AT93=13,"13TH",IF(AT93=14,"14TH",IF(AT93=15,"FIFTEEN",IF(AT93=16,"SIXTEEN",IF(AT93=17,"SEVENTEEN",IF(AT93=18,"EIGHTEEN",IF(AT93=19,"NINETEEN",IF(AT93=20,"TWENTY",IF(AT93=21,"TWENTY FIRST",IF(AT93=22,"TWENTY SECOND",IF(AT93=23,"TWENTY THIRD",IF(AT93=24,"TWENTY FOURTH",IF(AT93=25,"TWENTY FIFTH",IF(AT93=26,"TWENTY SIX",IF(AT93=27,"TWENTY SEVEN",IF(AT93=28,"TWENTY EIGHT",IF(AT93=29,"TWENTY NINE",IF(AT93=30,"THIRTY",IF(AT93=31,"THIRTY FIRST","")))))))))))))))))))))))))))))))</f>
        <v>9TH</v>
      </c>
      <c r="AX96" t="str">
        <f>IF(AX93=1961,"NINETEEN SIXTY ONE",IF(AX93=1962,"NINETEEN SIXTY TWO",IF(AX93=1963,"NINETEEN SIXTY THREE",IF(AX93=1964,"NINETEEN SIXTY FOUR",IF(AX93=1965,"NINETEEN SIXTY FIVE",IF(AX93=1966,"NINETEEN SIXTY SIX",IF(AX93=1967,"NINETEEN SIXTY SEVEN",IF(AX93=1968,"NINETEEN SIXTY EIGHT",IF(AX93=1969,"NINETEEN SIXTY NINE",IF(AX93=1970,"NINETEEN SEVENTY",IF(AX93=1971,"NINETEEN SEVENTY ONE",IF(AX93=1972,"NINETEEN SEVENTY TWO",IF(AX93=1973,"NINETEEN SEVENTY THREE",IF(AX93=1974,"NINETEEN SEVENTY FOUR",IF(AX93=1975,"NINETEEN SEVENTY FIVE",IF(AX93=1976,"NINETEEN SEVENTY SIX",IF(AX93=1977,"NINETEEN SEVENTY SEVEN",IF(AX93=1978,"NINETEEN SEVENTY EIGHT",IF(AX93=1979,"NINETEEN SEVENTY NINE",IF(AX93=1980,"NINETEEN EIGHTY",IF(AX93=1981,"NINETEEN EIGHTY ONE",IF(AX93=1982,"NINETEEN EIGHTY TWO",IF(AX93=1983,"NINETEEN EIGHTY THREE",IF(AX93=1984,"NINETEEN EIGHTY FOUR",IF(AX93=1985,"NINETEEN EIGHTY FIVE",IF(AX93=1986,"NINETEEN EIGHTY SIX",IF(AX93=1987,"NINETEEN EIGHTY SEVEN",IF(AX93=1988,"NINETEEN EIGHTY EIGHT",IF(AX93=1989,"NINETEEN EIGHTY NINE",IF(AX93=1990,"NINETEEN NINETY",IF(AX93=1991,"NINETEEN NINETY ONE",IF(AX93=1992,"NINETEEN NINETY TWO",IF(AX93=1993,"NINETEEN NINETY THREE",IF(AX93=1994,"NINETEEN NINETY FOUR",IF(AX93=1995,"NINETEEN NINETY FIVE",IF(AX93=1996,"NINETEEN NINETY SIX",IF(AX93=1997,"NINETEEN NINETY SEVEN",IF(AX93=1998,"NINETEEN NINETY EIGHT",IF(AX93=1999,"NINETEEN NINETY NINE",IF(AX93=2000,"TWO THOUSAND",IF(AX93=2001,"TWO THOUSAND ONE",IF(AX93=2002,"TWO THOUSAND TWO",IF(AX93=2003,"TWO THOUSAND THREE",IF(AX93=2004,"TWO THOUSAND FOUR",IF(AX93=2005,"TWO THOUSAND FIVE",IF(AX93=2006,"TWO THOUSAND SIX",IF(AX93=2007,"TWO THOUSAND SEVEN",IF(AX93=2008,"TWO THOUSAND EIGHT",IF(AX93=2009,"TWO THOUSAND NINE",IF(AX93=2010,"TWO THOUSAND TEN",IF(AX93=2011,"TWO THOUSAND ELEVEN",IF(AX93=2012,"TWO THOUSAND TWELVE",IF(AX93=2013,"TWO THOUSAND THIRTEEN",IF(AX93=2014,"TWO THOUSAND FOURTEEN",IF(AX93=2015,"TWO THOUSAND FIFTEEN",IF(AX93=2016,"TWO THOUSAND SIXTEEN",IF(AX93=2017,"TWO THOUSAND SEVENTEEN",IF(AX93=2018,"TWO THOUSAND EIGHTEEN",IF(AX93=2019,"TWO THOUSAND NINETEEN",IF(AX93=2020,"TWO THOUSAND TWENTY",IF(AX93=2021,"TWO THOUSAND TWENTY ONE",IF(AX93=2022,"TWO THOUSAND TWENTY TWO",IF(AX93=2023,"TWO THOUSAND TWENTY THREE",IF(AX93=2024,"TWO THOUSAND TWENTY FOUR",IF(AX93=2025,"TWO THOUSAND TWENTY FIVE","")))))))))))))))))))))))))))))))))))))))))))))))))))))))))))))))))</f>
        <v>TWO THOUSAND EIGHT</v>
      </c>
      <c r="AY96" t="str">
        <f>IF(AY93=1,"JANUARY",IF(AY93=2,"FEBUARY", IF(AY93=3,"MARCH",IF(AY93=4,"APRIL",IF(AY93=5,"MAY",IF(AY93=6,"JUNE",IF(AY93=7,"JULY",IF(AY93=8,"AUGUST",IF(AY93=9,"SEPTEMBER",IF(AY93=10,"OCTOBER",IF(AY93=11,"NOVEMBER",IF(AY93=12,"DECEMBER",""))))))))))))</f>
        <v>NOVEMBER</v>
      </c>
      <c r="AZ96" t="str">
        <f>IF(AZ93=1,"1ST",IF(AZ93=2,"2ND", IF(AZ93=3,"3RD",IF(AZ93=4,"FOURTH",IF(AZ93=5,"FIFTH",IF(AZ93=6,"SIXTH",IF(AZ93=7,"7TH",IF(AZ93=8,"8TH",IF(AZ93=9,"9TH",IF(AZ93=10,"10TH",IF(AZ93=11,"11TH",IF(AZ93=12,"12TH",IF(AZ93=13,"13TH",IF(AZ93=14,"14TH",IF(AZ93=15,"FIFTEEN",IF(AZ93=16,"SIXTEEN",IF(AZ93=17,"SEVENTEEN",IF(AZ93=18,"EIGHTEEN",IF(AZ93=19,"NINETEEN",IF(AZ93=20,"TWENTY",IF(AZ93=21,"TWENTY FIRST",IF(AZ93=22,"TWENTY SECOND",IF(AZ93=23,"TWENTY THIRD",IF(AZ93=24,"TWENTY FOURTH",IF(AZ93=25,"TWENTY FIFTH",IF(AZ93=26,"TWENTY SIX",IF(AZ93=27,"TWENTY SEVEN",IF(AZ93=28,"TWENTY EIGHT",IF(AZ93=29,"TWENTY NINE",IF(AZ93=30,"THIRTY",IF(AZ93=31,"THIRTY FIRST","")))))))))))))))))))))))))))))))</f>
        <v>11TH</v>
      </c>
      <c r="BE96" s="17"/>
      <c r="BF96" s="17"/>
    </row>
    <row r="97" spans="1:58" s="467" customFormat="1" ht="9.75" customHeight="1">
      <c r="A97" s="465"/>
      <c r="B97" s="1712"/>
      <c r="C97" s="1712"/>
      <c r="D97" s="1712"/>
      <c r="E97" s="1712"/>
      <c r="F97" s="1712"/>
      <c r="G97" s="1712"/>
      <c r="H97" s="1712"/>
      <c r="I97" s="1712"/>
      <c r="J97" s="1712"/>
      <c r="K97" s="1712"/>
      <c r="L97" s="1712"/>
      <c r="M97" s="1712"/>
      <c r="N97" s="1712"/>
      <c r="O97" s="1712"/>
      <c r="P97" s="715"/>
      <c r="Q97"/>
      <c r="R97" s="1713"/>
      <c r="S97" s="1713"/>
      <c r="T97" s="1713"/>
      <c r="U97" s="1713"/>
      <c r="V97" s="1713"/>
      <c r="W97" s="1713"/>
      <c r="X97" s="1713"/>
      <c r="Y97" s="1713"/>
      <c r="Z97" s="1713"/>
      <c r="AA97" s="1713"/>
      <c r="AB97" s="1713"/>
      <c r="AC97" s="1713"/>
      <c r="AD97" s="1713"/>
      <c r="AE97" s="1713"/>
      <c r="AF97" s="712"/>
      <c r="AQ97" s="17"/>
      <c r="AR97"/>
      <c r="AS97" t="str">
        <f>CONCATENATE(AS96," ",AT96,", ",AR96)</f>
        <v>SEPTEMBER 9TH, TWO THOUSAND NINE</v>
      </c>
      <c r="AT97"/>
      <c r="AX97"/>
      <c r="AY97" t="str">
        <f>CONCATENATE(AY96," ",AZ96,", ",AX96)</f>
        <v>NOVEMBER 11TH, TWO THOUSAND EIGHT</v>
      </c>
      <c r="AZ97"/>
      <c r="BE97" s="17"/>
      <c r="BF97" s="17"/>
    </row>
    <row r="98" spans="1:58" s="467" customFormat="1" ht="27.75" customHeight="1">
      <c r="A98" s="465"/>
      <c r="B98" s="1685" t="str">
        <f>IF('Master Sheet'!$D$11="Hindi","विषय का नाम","Subject Name")</f>
        <v>विषय का नाम</v>
      </c>
      <c r="C98" s="1681" t="str">
        <f>IF('Master Sheet'!$D$11="Hindi","सामयिक परख","Seasonal Exam")</f>
        <v>सामयिक परख</v>
      </c>
      <c r="D98" s="1681"/>
      <c r="E98" s="1681"/>
      <c r="F98" s="1681"/>
      <c r="G98" s="1681" t="str">
        <f>IF('Master Sheet'!$D$11="Hindi","अर्द्धवार्षिक","Half Yearly")</f>
        <v>अर्द्धवार्षिक</v>
      </c>
      <c r="H98" s="1681"/>
      <c r="I98" s="1681"/>
      <c r="J98" s="1682" t="str">
        <f>IF('Master Sheet'!$D$11="Hindi","अर्द्ध वा. तक योग","Total Till H.Y.")</f>
        <v>अर्द्ध वा. तक योग</v>
      </c>
      <c r="K98" s="1681" t="str">
        <f>IF('Master Sheet'!$D$11="Hindi","वार्षिक","Yearly Exam")</f>
        <v>वार्षिक</v>
      </c>
      <c r="L98" s="1681"/>
      <c r="M98" s="1681"/>
      <c r="N98" s="1681"/>
      <c r="O98" s="1683" t="str">
        <f>IF('Master Sheet'!$D$11="Hindi","विषय कुल योग ","Subject Total")</f>
        <v xml:space="preserve">विषय कुल योग </v>
      </c>
      <c r="P98" s="1684" t="str">
        <f>IF('Master Sheet'!$D$11="Hindi","विषय परिणाम / विषय श्रेणी","Sub. Result /  Sub. Div.")</f>
        <v>विषय परिणाम / विषय श्रेणी</v>
      </c>
      <c r="Q98"/>
      <c r="R98" s="1685" t="str">
        <f>IF('Master Sheet'!$D$11="Hindi","विषय का नाम","Subject Name")</f>
        <v>विषय का नाम</v>
      </c>
      <c r="S98" s="1681" t="str">
        <f>IF('Master Sheet'!$D$11="Hindi","सामयिक परख","Seasonal Exam")</f>
        <v>सामयिक परख</v>
      </c>
      <c r="T98" s="1681"/>
      <c r="U98" s="1681"/>
      <c r="V98" s="1681"/>
      <c r="W98" s="1681" t="str">
        <f>IF('Master Sheet'!$D$11="Hindi","अर्द्धवार्षिक","Half Yearly")</f>
        <v>अर्द्धवार्षिक</v>
      </c>
      <c r="X98" s="1681"/>
      <c r="Y98" s="1681"/>
      <c r="Z98" s="1682" t="str">
        <f>IF('Master Sheet'!$D$11="Hindi","अर्द्ध वा. तक योग","Total Till H.Y.")</f>
        <v>अर्द्ध वा. तक योग</v>
      </c>
      <c r="AA98" s="1681" t="str">
        <f>IF('Master Sheet'!$D$11="Hindi","वार्षिक","Yearly Exam")</f>
        <v>वार्षिक</v>
      </c>
      <c r="AB98" s="1681"/>
      <c r="AC98" s="1681"/>
      <c r="AD98" s="1681"/>
      <c r="AE98" s="1683" t="str">
        <f>IF('Master Sheet'!$D$11="Hindi","विषय कुल योग ","Subject Total")</f>
        <v xml:space="preserve">विषय कुल योग </v>
      </c>
      <c r="AF98" s="1684" t="str">
        <f>IF('Master Sheet'!$D$11="Hindi","विषय परिणाम / विषय श्रेणी","Sub. Result /  Sub. Div.")</f>
        <v>विषय परिणाम / विषय श्रेणी</v>
      </c>
      <c r="AQ98" s="17"/>
      <c r="AR98"/>
      <c r="AS98"/>
      <c r="AT98"/>
      <c r="AX98"/>
      <c r="AY98"/>
      <c r="AZ98"/>
      <c r="BE98" s="17"/>
      <c r="BF98" s="17"/>
    </row>
    <row r="99" spans="1:58" s="467" customFormat="1" ht="78.75" customHeight="1">
      <c r="A99" s="465"/>
      <c r="B99" s="1685"/>
      <c r="C99" s="739" t="str">
        <f>IF('Master Sheet'!$D$11="Hindi","प्रथम परख ","First Test")</f>
        <v xml:space="preserve">प्रथम परख </v>
      </c>
      <c r="D99" s="739" t="str">
        <f>IF('Master Sheet'!$D$11="Hindi","द्वितीय परख","Second Test")</f>
        <v>द्वितीय परख</v>
      </c>
      <c r="E99" s="739" t="str">
        <f>IF('Master Sheet'!$D$11="Hindi","तृतीय परख","Third Test")</f>
        <v>तृतीय परख</v>
      </c>
      <c r="F99" s="740" t="str">
        <f>IF('Master Sheet'!$D$11="Hindi","सा. परख योग","Test Total")</f>
        <v>सा. परख योग</v>
      </c>
      <c r="G99" s="739" t="str">
        <f>IF('Master Sheet'!$D$11="Hindi","सैद्धांतिक","Theoretical")</f>
        <v>सैद्धांतिक</v>
      </c>
      <c r="H99" s="739" t="str">
        <f>IF('Master Sheet'!$D$11="Hindi","प्रायोगिक","Practical")</f>
        <v>प्रायोगिक</v>
      </c>
      <c r="I99" s="741" t="str">
        <f>IF('Master Sheet'!$D$11="Hindi","अर्द्ध वा. योग","Total H.Y.")</f>
        <v>अर्द्ध वा. योग</v>
      </c>
      <c r="J99" s="1682"/>
      <c r="K99" s="739" t="str">
        <f>IF('Master Sheet'!$D$11="Hindi","सैद्धांतिक","Theoretical")</f>
        <v>सैद्धांतिक</v>
      </c>
      <c r="L99" s="739" t="str">
        <f>IF('Master Sheet'!$D$11="Hindi","प्रायोगिक","Practical")</f>
        <v>प्रायोगिक</v>
      </c>
      <c r="M99" s="739" t="str">
        <f>IF('Master Sheet'!$D$11="Hindi","पोर्टफोलियो","Portfolio")</f>
        <v>पोर्टफोलियो</v>
      </c>
      <c r="N99" s="741" t="str">
        <f>IF('Master Sheet'!$D$11="Hindi","वार्षिक योग","Total Yearly")</f>
        <v>वार्षिक योग</v>
      </c>
      <c r="O99" s="1683"/>
      <c r="P99" s="1684"/>
      <c r="Q99"/>
      <c r="R99" s="1685"/>
      <c r="S99" s="739" t="str">
        <f>IF('Master Sheet'!$D$11="Hindi","प्रथम परख ","First Test")</f>
        <v xml:space="preserve">प्रथम परख </v>
      </c>
      <c r="T99" s="739" t="str">
        <f>IF('Master Sheet'!$D$11="Hindi","द्वितीय परख","Second Test")</f>
        <v>द्वितीय परख</v>
      </c>
      <c r="U99" s="739" t="str">
        <f>IF('Master Sheet'!$D$11="Hindi","तृतीय परख","Third Test")</f>
        <v>तृतीय परख</v>
      </c>
      <c r="V99" s="740" t="str">
        <f>IF('Master Sheet'!$D$11="Hindi","सा. परख योग","Test Total")</f>
        <v>सा. परख योग</v>
      </c>
      <c r="W99" s="739" t="str">
        <f>IF('Master Sheet'!$D$11="Hindi","सैद्धांतिक","Theoretical")</f>
        <v>सैद्धांतिक</v>
      </c>
      <c r="X99" s="739" t="str">
        <f>IF('Master Sheet'!$D$11="Hindi","प्रायोगिक","Practical")</f>
        <v>प्रायोगिक</v>
      </c>
      <c r="Y99" s="741" t="str">
        <f>IF('Master Sheet'!$D$11="Hindi","अर्द्ध वा. योग","Total H.Y.")</f>
        <v>अर्द्ध वा. योग</v>
      </c>
      <c r="Z99" s="1682"/>
      <c r="AA99" s="739" t="str">
        <f>IF('Master Sheet'!$D$11="Hindi","सैद्धांतिक","Theoretical")</f>
        <v>सैद्धांतिक</v>
      </c>
      <c r="AB99" s="739" t="str">
        <f>IF('Master Sheet'!$D$11="Hindi","प्रायोगिक","Practical")</f>
        <v>प्रायोगिक</v>
      </c>
      <c r="AC99" s="739" t="str">
        <f>IF('Master Sheet'!$D$11="Hindi","पोर्टफोलियो","Portfolio")</f>
        <v>पोर्टफोलियो</v>
      </c>
      <c r="AD99" s="741" t="str">
        <f>IF('Master Sheet'!$D$11="Hindi","वार्षिक योग","Total Yearly")</f>
        <v>वार्षिक योग</v>
      </c>
      <c r="AE99" s="1683"/>
      <c r="AF99" s="1684"/>
      <c r="AQ99" s="17"/>
      <c r="AR99"/>
      <c r="AS99"/>
      <c r="AT99"/>
      <c r="AX99"/>
      <c r="AY99"/>
      <c r="AZ99"/>
      <c r="BE99" s="17"/>
      <c r="BF99" s="17"/>
    </row>
    <row r="100" spans="1:58" s="471" customFormat="1" ht="28.5" customHeight="1">
      <c r="A100" s="470"/>
      <c r="B100" s="1685"/>
      <c r="C100" s="736">
        <v>10</v>
      </c>
      <c r="D100" s="736">
        <v>10</v>
      </c>
      <c r="E100" s="736">
        <v>10</v>
      </c>
      <c r="F100" s="788">
        <v>30</v>
      </c>
      <c r="G100" s="737" t="s">
        <v>289</v>
      </c>
      <c r="H100" s="717" t="s">
        <v>285</v>
      </c>
      <c r="I100" s="738">
        <v>70</v>
      </c>
      <c r="J100" s="745">
        <v>100</v>
      </c>
      <c r="K100" s="737" t="s">
        <v>286</v>
      </c>
      <c r="L100" s="717" t="s">
        <v>143</v>
      </c>
      <c r="M100" s="736">
        <v>20</v>
      </c>
      <c r="N100" s="738">
        <v>100</v>
      </c>
      <c r="O100" s="746">
        <v>200</v>
      </c>
      <c r="P100" s="1684"/>
      <c r="Q100"/>
      <c r="R100" s="1685"/>
      <c r="S100" s="736">
        <v>10</v>
      </c>
      <c r="T100" s="736">
        <v>10</v>
      </c>
      <c r="U100" s="736">
        <v>10</v>
      </c>
      <c r="V100" s="788">
        <v>30</v>
      </c>
      <c r="W100" s="737" t="s">
        <v>289</v>
      </c>
      <c r="X100" s="717" t="s">
        <v>285</v>
      </c>
      <c r="Y100" s="738">
        <v>70</v>
      </c>
      <c r="Z100" s="745">
        <v>100</v>
      </c>
      <c r="AA100" s="737" t="s">
        <v>286</v>
      </c>
      <c r="AB100" s="717" t="s">
        <v>143</v>
      </c>
      <c r="AC100" s="736">
        <v>20</v>
      </c>
      <c r="AD100" s="738">
        <v>100</v>
      </c>
      <c r="AE100" s="746">
        <v>200</v>
      </c>
      <c r="AF100" s="1684"/>
      <c r="AQ100" s="17"/>
      <c r="AR100"/>
      <c r="AS100"/>
      <c r="AT100"/>
      <c r="AX100"/>
      <c r="AY100"/>
      <c r="AZ100"/>
      <c r="BE100" s="17"/>
      <c r="BF100" s="17"/>
    </row>
    <row r="101" spans="1:58" s="467" customFormat="1" ht="22.5" customHeight="1">
      <c r="A101" s="465"/>
      <c r="B101" s="710" t="str">
        <f>'Statement of Marks'!$J$3</f>
        <v>Com. Hindi</v>
      </c>
      <c r="C101" s="91">
        <f>IFERROR(VLOOKUP(L94,'Statement of Marks'!$B$8:'Statement of Marks'!$HI$207,9,0),"")</f>
        <v>7</v>
      </c>
      <c r="D101" s="91">
        <f>IFERROR(VLOOKUP(L94,'Statement of Marks'!$B$8:'Statement of Marks'!$HI$207,10,0),"")</f>
        <v>9</v>
      </c>
      <c r="E101" s="91">
        <f>IFERROR(VLOOKUP(L94,'Statement of Marks'!$B$8:'Statement of Marks'!$HI$207,11,0),"")</f>
        <v>8</v>
      </c>
      <c r="F101" s="461">
        <f>IFERROR(VLOOKUP(L94,'Statement of Marks'!$B$8:'Statement of Marks'!$HI$207,12,0),"")</f>
        <v>24</v>
      </c>
      <c r="G101" s="91">
        <f>IFERROR(VLOOKUP(L94,'Statement of Marks'!$B$8:'Statement of Marks'!$HI$207,13,0),"")</f>
        <v>43</v>
      </c>
      <c r="H101" s="91"/>
      <c r="I101" s="787">
        <f>IFERROR(VLOOKUP(L94,'Statement of Marks'!$B$8:'Statement of Marks'!$HI$207,13,0),"")</f>
        <v>43</v>
      </c>
      <c r="J101" s="724">
        <f>IFERROR(IF(AND(L94="",A101="",F101="",I101=""),"",SUM(C101,D101,E101,G101,H101)),"")</f>
        <v>67</v>
      </c>
      <c r="K101" s="91">
        <f>IFERROR(VLOOKUP(L94,'Statement of Marks'!$B$8:'Statement of Marks'!$HI$207,15,0),"")</f>
        <v>43</v>
      </c>
      <c r="L101" s="462"/>
      <c r="M101" s="721"/>
      <c r="N101" s="759">
        <f>IFERROR(VLOOKUP(L94,'Statement of Marks'!$B$8:'Statement of Marks'!$HI$207,15,0),"")</f>
        <v>43</v>
      </c>
      <c r="O101" s="732">
        <f>IFERROR(VLOOKUP(L94,'Statement of Marks'!$B$8:'Statement of Marks'!$HI$207,16,0),"")</f>
        <v>110</v>
      </c>
      <c r="P101" s="722" t="str">
        <f>IFERROR(IF(N101="","",IF(VLOOKUP(L94,'Statement of Marks'!$B$8:'Statement of Marks'!$HI$207,165,0)="D","I",VLOOKUP(L94,'Statement of Marks'!$B$8:'Statement of Marks'!$HI$207,165,0))),"")</f>
        <v>II</v>
      </c>
      <c r="Q101"/>
      <c r="R101" s="710" t="str">
        <f>'Statement of Marks'!$J$3</f>
        <v>Com. Hindi</v>
      </c>
      <c r="S101" s="91">
        <f>IFERROR(VLOOKUP(AB94,'Statement of Marks'!$B$8:'Statement of Marks'!$HI$207,9,0),"")</f>
        <v>10</v>
      </c>
      <c r="T101" s="91">
        <f>IFERROR(VLOOKUP(AB94,'Statement of Marks'!$B$8:'Statement of Marks'!$HI$207,10,0),"")</f>
        <v>10</v>
      </c>
      <c r="U101" s="91">
        <f>IFERROR(VLOOKUP(AB94,'Statement of Marks'!$B$8:'Statement of Marks'!$HI$207,11,0),"")</f>
        <v>8</v>
      </c>
      <c r="V101" s="461">
        <f>IFERROR(VLOOKUP(AB94,'Statement of Marks'!$B$8:'Statement of Marks'!$HI$207,12,0),"")</f>
        <v>28</v>
      </c>
      <c r="W101" s="91">
        <f>IFERROR(VLOOKUP(AB94,'Statement of Marks'!$B$8:'Statement of Marks'!$HI$207,13,0),"")</f>
        <v>46</v>
      </c>
      <c r="X101" s="91"/>
      <c r="Y101" s="787">
        <f>IFERROR(VLOOKUP(AB94,'Statement of Marks'!$B$8:'Statement of Marks'!$HI$207,13,0),"")</f>
        <v>46</v>
      </c>
      <c r="Z101" s="724">
        <f>IFERROR(IF(AND(AB94="",Q101="",V101="",Y101=""),"",SUM(S101,T101,U101,W101,X101)),"")</f>
        <v>74</v>
      </c>
      <c r="AA101" s="91">
        <f>IFERROR(VLOOKUP(AB94,'Statement of Marks'!$B$8:'Statement of Marks'!$HI$207,15,0),"")</f>
        <v>25</v>
      </c>
      <c r="AB101" s="462"/>
      <c r="AC101" s="721"/>
      <c r="AD101" s="759">
        <f>IFERROR(VLOOKUP(AB94,'Statement of Marks'!$B$8:'Statement of Marks'!$HI$207,15,0),"")</f>
        <v>25</v>
      </c>
      <c r="AE101" s="732">
        <f>IFERROR(VLOOKUP(AB94,'Statement of Marks'!$B$8:'Statement of Marks'!$HI$207,16,0),"")</f>
        <v>99</v>
      </c>
      <c r="AF101" s="722" t="str">
        <f>IFERROR(IF(AD101="","",IF(VLOOKUP(AB94,'Statement of Marks'!$B$8:'Statement of Marks'!$HI$207,165,0)="D","I",VLOOKUP(AB94,'Statement of Marks'!$B$8:'Statement of Marks'!$HI$207,165,0))),"")</f>
        <v>II</v>
      </c>
      <c r="AQ101" s="17"/>
      <c r="AR101"/>
      <c r="AS101"/>
      <c r="AT101"/>
      <c r="AX101"/>
      <c r="AY101"/>
      <c r="AZ101"/>
      <c r="BE101" s="17"/>
      <c r="BF101" s="17"/>
    </row>
    <row r="102" spans="1:58" s="467" customFormat="1" ht="22.5" customHeight="1">
      <c r="A102" s="465"/>
      <c r="B102" s="710" t="str">
        <f>'Statement of Marks'!$X$3</f>
        <v>Com. English</v>
      </c>
      <c r="C102" s="91">
        <f>IFERROR(VLOOKUP(L94,'Statement of Marks'!$B$8:'Statement of Marks'!$HI$207,23,0),"")</f>
        <v>10</v>
      </c>
      <c r="D102" s="91">
        <f>IFERROR(VLOOKUP(L94,'Statement of Marks'!$B$8:'Statement of Marks'!$HI$207,24,0),"")</f>
        <v>6</v>
      </c>
      <c r="E102" s="91">
        <f>IFERROR(VLOOKUP(L94,'Statement of Marks'!$B$8:'Statement of Marks'!$HI$207,25,0),"")</f>
        <v>9</v>
      </c>
      <c r="F102" s="461">
        <f>IFERROR(VLOOKUP(L94,'Statement of Marks'!$B$8:'Statement of Marks'!$HI$207,26,0),"")</f>
        <v>25</v>
      </c>
      <c r="G102" s="91">
        <f>IFERROR(VLOOKUP(L94,'Statement of Marks'!$B$8:'Statement of Marks'!$HI$207,27,0),"")</f>
        <v>41</v>
      </c>
      <c r="H102" s="91"/>
      <c r="I102" s="787">
        <f>IFERROR(VLOOKUP(L94,'Statement of Marks'!$B$8:'Statement of Marks'!$HI$207,27,0),"")</f>
        <v>41</v>
      </c>
      <c r="J102" s="724">
        <f>IFERROR(IF(AND(L94="",A102="",F102="",I102=""),"",SUM(C102,D102,E102,G102,H102)),"")</f>
        <v>66</v>
      </c>
      <c r="K102" s="91">
        <f>IFERROR(VLOOKUP(L94,'Statement of Marks'!$B$8:'Statement of Marks'!$HI$207,29,0),"")</f>
        <v>64</v>
      </c>
      <c r="L102" s="462"/>
      <c r="M102" s="721"/>
      <c r="N102" s="759">
        <f>IFERROR(VLOOKUP(L94,'Statement of Marks'!$B$8:'Statement of Marks'!$HI$207,29,0),"")</f>
        <v>64</v>
      </c>
      <c r="O102" s="732">
        <f>IFERROR(VLOOKUP(L94,'Statement of Marks'!$B$8:'Statement of Marks'!$HI$207,30,0),"")</f>
        <v>130</v>
      </c>
      <c r="P102" s="722" t="str">
        <f>IFERROR(IF(O102="","",IF(VLOOKUP(L94,'Statement of Marks'!$B$8:'Statement of Marks'!$HI$207,168,0)="D","I",VLOOKUP(L94,'Statement of Marks'!$B$8:'Statement of Marks'!$HI$207,168,0))),"")</f>
        <v>I</v>
      </c>
      <c r="Q102"/>
      <c r="R102" s="710" t="str">
        <f>'Statement of Marks'!$X$3</f>
        <v>Com. English</v>
      </c>
      <c r="S102" s="91">
        <f>IFERROR(VLOOKUP(AB94,'Statement of Marks'!$B$8:'Statement of Marks'!$HI$207,23,0),"")</f>
        <v>8</v>
      </c>
      <c r="T102" s="91">
        <f>IFERROR(VLOOKUP(AB94,'Statement of Marks'!$B$8:'Statement of Marks'!$HI$207,24,0),"")</f>
        <v>5</v>
      </c>
      <c r="U102" s="91">
        <f>IFERROR(VLOOKUP(AB94,'Statement of Marks'!$B$8:'Statement of Marks'!$HI$207,25,0),"")</f>
        <v>9</v>
      </c>
      <c r="V102" s="461">
        <f>IFERROR(VLOOKUP(AB94,'Statement of Marks'!$B$8:'Statement of Marks'!$HI$207,26,0),"")</f>
        <v>22</v>
      </c>
      <c r="W102" s="91">
        <f>IFERROR(VLOOKUP(AB94,'Statement of Marks'!$B$8:'Statement of Marks'!$HI$207,27,0),"")</f>
        <v>42</v>
      </c>
      <c r="X102" s="91"/>
      <c r="Y102" s="787">
        <f>IFERROR(VLOOKUP(AB94,'Statement of Marks'!$B$8:'Statement of Marks'!$HI$207,27,0),"")</f>
        <v>42</v>
      </c>
      <c r="Z102" s="724">
        <f>IFERROR(IF(AND(AB94="",Q102="",V102="",Y102=""),"",SUM(S102,T102,U102,W102,X102)),"")</f>
        <v>64</v>
      </c>
      <c r="AA102" s="91">
        <f>IFERROR(VLOOKUP(AB94,'Statement of Marks'!$B$8:'Statement of Marks'!$HI$207,29,0),"")</f>
        <v>61</v>
      </c>
      <c r="AB102" s="462"/>
      <c r="AC102" s="721"/>
      <c r="AD102" s="759">
        <f>IFERROR(VLOOKUP(AB94,'Statement of Marks'!$B$8:'Statement of Marks'!$HI$207,29,0),"")</f>
        <v>61</v>
      </c>
      <c r="AE102" s="732">
        <f>IFERROR(VLOOKUP(AB94,'Statement of Marks'!$B$8:'Statement of Marks'!$HI$207,30,0),"")</f>
        <v>125</v>
      </c>
      <c r="AF102" s="722" t="str">
        <f>IFERROR(IF(AE102="","",IF(VLOOKUP(AB94,'Statement of Marks'!$B$8:'Statement of Marks'!$HI$207,168,0)="D","I",VLOOKUP(AB94,'Statement of Marks'!$B$8:'Statement of Marks'!$HI$207,168,0))),"")</f>
        <v>I</v>
      </c>
      <c r="AQ102" s="17"/>
      <c r="AR102"/>
      <c r="AS102"/>
      <c r="AT102"/>
      <c r="AU102" s="17" t="str">
        <f>IFERROR(VLOOKUP(L94,'Statement of Marks'!$B$8:'Statement of Marks'!$HI$207,37,0),"")</f>
        <v>A</v>
      </c>
      <c r="AV102" s="17" t="str">
        <f>IFERROR(VLOOKUP(AB94,'Statement of Marks'!$B$8:'Statement of Marks'!$HI$207,37,0),"")</f>
        <v>A</v>
      </c>
      <c r="AX102"/>
      <c r="AY102"/>
      <c r="AZ102"/>
      <c r="BE102" s="17" t="str">
        <f>IFERROR(IF(VLOOKUP(AB94,'Statement of Marks'!$B$7:'Statement of Marks'!$IC$206,206,0)="By Grace Pass","By Grace Pass and Promoted to Class 12th",IF(VLOOKUP(AB94,'Statement of Marks'!$B$7:'Statement of Marks'!$IC$206,206,0)="PASS","PASS  and Promoted to Class 12th",IF(VLOOKUP(AB94,'Statement of Marks'!$B$7:'Statement of Marks'!$IC$206,206,0)="SUPPLEMENTARY","Supplementary",IF(VLOOKUP(AB94,'Statement of Marks'!$B$7:'Statement of Marks'!$IC$206,206,0)="Re-Exam","RE-EXAM",IF(VLOOKUP(AB94,'Statement of Marks'!$B$7:'Statement of Marks'!$IC$206,206,0)="FAIL","FAIL",""))))),"")</f>
        <v>Supplementary</v>
      </c>
      <c r="BF102" s="17" t="str">
        <f>IFERROR(IF(VLOOKUP(L94,'Statement of Marks'!$B$7:'Statement of Marks'!$IC$206,206,0)="By Grace Pass","By Grace Pass and Promoted to Class 12th",IF(VLOOKUP(L94,'Statement of Marks'!$B$7:'Statement of Marks'!$IC$206,206,0)="PASS","PASS  and Promoted to Class 12th",IF(VLOOKUP(L94,'Statement of Marks'!$B$7:'Statement of Marks'!$IC$206,206,0)="SUPPLEMENTARY","Supplementary",IF(VLOOKUP(L94,'Statement of Marks'!$B$7:'Statement of Marks'!$IC$206,206,0)="Re-Exam","RE-EXAM",IF(VLOOKUP(L94,'Statement of Marks'!$B$7:'Statement of Marks'!$IC$206,206,0)="FAIL","FAIL",""))))),"")</f>
        <v>Supplementary</v>
      </c>
    </row>
    <row r="103" spans="1:58" s="467" customFormat="1" ht="22.5" customHeight="1">
      <c r="A103" s="465"/>
      <c r="B103" s="473" t="str">
        <f>IFERROR(IF(AND(AU102="A"),'Marks Entry'!$U$2,IF(AND(AU102="B"),'Marks Entry'!$Y$2,IF(AND(AU102="C"),'Marks Entry'!$AA$2,""))),"")</f>
        <v>POLITICAL SCIENCE</v>
      </c>
      <c r="C103" s="91">
        <f>IFERROR(VLOOKUP(L94,'Statement of Marks'!$B$8:'Statement of Marks'!$HI$207,38,0),"")</f>
        <v>7</v>
      </c>
      <c r="D103" s="91">
        <f>IFERROR(VLOOKUP(L94,'Statement of Marks'!$B$8:'Statement of Marks'!$HI$207,39,0),"")</f>
        <v>4</v>
      </c>
      <c r="E103" s="91">
        <f>IFERROR(VLOOKUP(L94,'Statement of Marks'!$B$8:'Statement of Marks'!$HI$207,40,0),"")</f>
        <v>6</v>
      </c>
      <c r="F103" s="461">
        <f>IFERROR(VLOOKUP(L94,'Statement of Marks'!$B$8:'Statement of Marks'!$HI$207,41,0),"")</f>
        <v>17</v>
      </c>
      <c r="G103" s="91">
        <f>IFERROR(VLOOKUP(L94,'Statement of Marks'!$B$8:'Statement of Marks'!$HI$207,42,0),"")</f>
        <v>14</v>
      </c>
      <c r="H103" s="91" t="str">
        <f>IFERROR(VLOOKUP(L94,'Statement of Marks'!$B$8:'Statement of Marks'!$HI$207,43,0),"")</f>
        <v/>
      </c>
      <c r="I103" s="787">
        <f>IFERROR(VLOOKUP(L94,'Statement of Marks'!$B$8:'Statement of Marks'!$HI$207,44,0),"")</f>
        <v>14</v>
      </c>
      <c r="J103" s="724">
        <f>IFERROR(IF(AND(L94="",A103="",F103="",I103=""),"",SUM(C103,D103,E103,G103,H103)),"")</f>
        <v>31</v>
      </c>
      <c r="K103" s="91">
        <f>IFERROR(VLOOKUP(L94,'Statement of Marks'!$B$8:'Statement of Marks'!$HI$207,46,0),"")</f>
        <v>30</v>
      </c>
      <c r="L103" s="91" t="str">
        <f>IFERROR(VLOOKUP(L94,'Statement of Marks'!$B$8:'Statement of Marks'!$HI$207,47,0),"")</f>
        <v/>
      </c>
      <c r="M103" s="721"/>
      <c r="N103" s="759">
        <f>IFERROR(VLOOKUP(L94,'Statement of Marks'!$B$8:'Statement of Marks'!$HI$207,48,0),"")</f>
        <v>30</v>
      </c>
      <c r="O103" s="732">
        <f>IFERROR(VLOOKUP(L94,'Statement of Marks'!$B$8:'Statement of Marks'!$HI$207,51,0),"")</f>
        <v>61</v>
      </c>
      <c r="P103" s="722" t="str">
        <f>IFERROR(IF(O103="","",IF(VLOOKUP(L94,'Statement of Marks'!$B$8:'Statement of Marks'!$HI$207,171,0)="D","I",VLOOKUP(L94,'Statement of Marks'!$B$8:'Statement of Marks'!$HI$207,171,0))),"")</f>
        <v>S</v>
      </c>
      <c r="Q103"/>
      <c r="R103" s="473" t="str">
        <f>IFERROR(IF(AND(AV102="A"),'Marks Entry'!$U$2,IF(AND(AV102="B"),'Marks Entry'!$Y$2,IF(AND(AV102="C"),'Marks Entry'!$AA$2,""))),"")</f>
        <v>POLITICAL SCIENCE</v>
      </c>
      <c r="S103" s="91">
        <f>IFERROR(VLOOKUP(AB94,'Statement of Marks'!$B$8:'Statement of Marks'!$HI$207,38,0),"")</f>
        <v>10</v>
      </c>
      <c r="T103" s="91">
        <f>IFERROR(VLOOKUP(AB94,'Statement of Marks'!$B$8:'Statement of Marks'!$HI$207,39,0),"")</f>
        <v>5</v>
      </c>
      <c r="U103" s="91">
        <f>IFERROR(VLOOKUP(AB94,'Statement of Marks'!$B$8:'Statement of Marks'!$HI$207,40,0),"")</f>
        <v>7</v>
      </c>
      <c r="V103" s="461">
        <f>IFERROR(VLOOKUP(AB94,'Statement of Marks'!$B$8:'Statement of Marks'!$HI$207,41,0),"")</f>
        <v>22</v>
      </c>
      <c r="W103" s="91">
        <f>IFERROR(VLOOKUP(AB94,'Statement of Marks'!$B$8:'Statement of Marks'!$HI$207,42,0),"")</f>
        <v>17</v>
      </c>
      <c r="X103" s="91" t="str">
        <f>IFERROR(VLOOKUP(AB94,'Statement of Marks'!$B$8:'Statement of Marks'!$HI$207,43,0),"")</f>
        <v/>
      </c>
      <c r="Y103" s="787">
        <f>IFERROR(VLOOKUP(AB94,'Statement of Marks'!$B$8:'Statement of Marks'!$HI$207,44,0),"")</f>
        <v>17</v>
      </c>
      <c r="Z103" s="724">
        <f>IFERROR(IF(AND(AB94="",Q103="",V103="",Y103=""),"",SUM(S103,T103,U103,W103,X103)),"")</f>
        <v>39</v>
      </c>
      <c r="AA103" s="91">
        <f>IFERROR(VLOOKUP(AB94,'Statement of Marks'!$B$8:'Statement of Marks'!$HI$207,46,0),"")</f>
        <v>27</v>
      </c>
      <c r="AB103" s="91" t="str">
        <f>IFERROR(VLOOKUP(AB94,'Statement of Marks'!$B$8:'Statement of Marks'!$HI$207,47,0),"")</f>
        <v/>
      </c>
      <c r="AC103" s="721"/>
      <c r="AD103" s="759">
        <f>IFERROR(VLOOKUP(AB94,'Statement of Marks'!$B$8:'Statement of Marks'!$HI$207,48,0),"")</f>
        <v>27</v>
      </c>
      <c r="AE103" s="732">
        <f>IFERROR(VLOOKUP(AB94,'Statement of Marks'!$B$8:'Statement of Marks'!$HI$207,51,0),"")</f>
        <v>66</v>
      </c>
      <c r="AF103" s="722" t="str">
        <f>IFERROR(IF(AE103="","",IF(VLOOKUP(AB94,'Statement of Marks'!$B$8:'Statement of Marks'!$HI$207,171,0)="D","I",VLOOKUP(AB94,'Statement of Marks'!$B$8:'Statement of Marks'!$HI$207,171,0))),"")</f>
        <v>S</v>
      </c>
      <c r="AQ103" s="17"/>
      <c r="AR103"/>
      <c r="AS103"/>
      <c r="AT103"/>
      <c r="AU103" s="17" t="str">
        <f>IFERROR(VLOOKUP(L94,'Statement of Marks'!$B$8:'Statement of Marks'!$HI$207,60,0),"")</f>
        <v>A</v>
      </c>
      <c r="AV103" s="17" t="str">
        <f>IFERROR(VLOOKUP(AB94,'Statement of Marks'!$B$8:'Statement of Marks'!$HI$207,60,0),"")</f>
        <v>A</v>
      </c>
      <c r="AX103"/>
      <c r="AY103"/>
      <c r="AZ103"/>
      <c r="BE103" s="17" t="str">
        <f>IFERROR(IF(VLOOKUP(AB94,'Statement of Marks'!$B$7:'Statement of Marks'!$IC$206,206,0)="By Grace Pass","सानुग्रह उतीर्ण एवं कक्षा 12 में क्रमोन्नत",IF(VLOOKUP(AB94,'Statement of Marks'!$B$7:'Statement of Marks'!$IC$206,206,0)="PASS","उतीर्ण एवं कक्षा 12 में क्रमोन्नत",IF(VLOOKUP(AB94,'Statement of Marks'!$B$7:'Statement of Marks'!$IC$206,206,0)="SUPPLEMENTARY","पूरक",IF(VLOOKUP(AB94,'Statement of Marks'!$B$7:'Statement of Marks'!$IC$206,206,0)="Re-Exam","पुनः परीक्षा",IF(VLOOKUP(AB94,'Statement of Marks'!$B$7:'Statement of Marks'!$IC$206,206,0)="FAIL","अनुतीर्ण",""))))),"")</f>
        <v>पूरक</v>
      </c>
      <c r="BF103" s="17" t="str">
        <f>IFERROR(IF(VLOOKUP(L94,'Statement of Marks'!$B$7:'Statement of Marks'!$IC$206,206,0)="By Grace Pass","सानुग्रह उतीर्ण एवं कक्षा 12 में क्रमोन्नत",IF(VLOOKUP(L94,'Statement of Marks'!$B$7:'Statement of Marks'!$IC$206,206,0)="PASS","उतीर्ण एवं कक्षा 12 में क्रमोन्नत",IF(VLOOKUP(L94,'Statement of Marks'!$B$7:'Statement of Marks'!$IC$206,206,0)="SUPPLEMENTARY","पूरक",IF(VLOOKUP(L94,'Statement of Marks'!$B$7:'Statement of Marks'!$IC$206,206,0)="Re-Exam","पुनः परीक्षा",IF(VLOOKUP(L94,'Statement of Marks'!$B$7:'Statement of Marks'!$IC$206,206,0)="FAIL","अनुतीर्ण",""))))),"")</f>
        <v>पूरक</v>
      </c>
    </row>
    <row r="104" spans="1:58" s="467" customFormat="1" ht="22.5" customHeight="1">
      <c r="A104" s="465"/>
      <c r="B104" s="473" t="str">
        <f>IFERROR(IF(AND(AU103="A"),'Marks Entry'!$AC$2,IF(AND(AU103="B"),'Marks Entry'!$AG$2,IF(AND(AU103="C"),'Marks Entry'!$AI$2,""))),"")</f>
        <v>HISTORY</v>
      </c>
      <c r="C104" s="91">
        <f>IFERROR(VLOOKUP(L94,'Statement of Marks'!$B$8:'Statement of Marks'!$HI$207,61,0),"")</f>
        <v>8</v>
      </c>
      <c r="D104" s="91">
        <f>IFERROR(VLOOKUP(L94,'Statement of Marks'!$B$8:'Statement of Marks'!$HI$207,62,0),"")</f>
        <v>10</v>
      </c>
      <c r="E104" s="91">
        <f>IFERROR(VLOOKUP(L94,'Statement of Marks'!$B$8:'Statement of Marks'!$HI$207,63,0),"")</f>
        <v>8</v>
      </c>
      <c r="F104" s="461">
        <f>IFERROR(VLOOKUP(L94,'Statement of Marks'!$B$8:'Statement of Marks'!$HI$207,64,0),"")</f>
        <v>26</v>
      </c>
      <c r="G104" s="91">
        <f>IFERROR(VLOOKUP(L94,'Statement of Marks'!$B$8:'Statement of Marks'!$HI$207,65,0),"")</f>
        <v>45</v>
      </c>
      <c r="H104" s="91" t="str">
        <f>IFERROR(VLOOKUP(L94,'Statement of Marks'!$B$8:'Statement of Marks'!$HI$207,66,0),"")</f>
        <v/>
      </c>
      <c r="I104" s="787">
        <f>IFERROR(VLOOKUP(L94,'Statement of Marks'!$B$8:'Statement of Marks'!$HI$207,67,0),"")</f>
        <v>45</v>
      </c>
      <c r="J104" s="724">
        <f>IFERROR(IF(AND(L94="",A104="",F104="",I104=""),"",SUM(C104,D104,E104,G104,H104)),"")</f>
        <v>71</v>
      </c>
      <c r="K104" s="91">
        <f>IFERROR(VLOOKUP(L94,'Statement of Marks'!$B$8:'Statement of Marks'!$HI$207,69,0),"")</f>
        <v>54</v>
      </c>
      <c r="L104" s="91" t="str">
        <f>IFERROR(VLOOKUP(L94,'Statement of Marks'!$B$8:'Statement of Marks'!$HI$207,70,0),"")</f>
        <v/>
      </c>
      <c r="M104" s="721"/>
      <c r="N104" s="759">
        <f>IFERROR(VLOOKUP(L94,'Statement of Marks'!$B$8:'Statement of Marks'!$HI$207,71,0),"")</f>
        <v>54</v>
      </c>
      <c r="O104" s="732">
        <f>IFERROR(VLOOKUP(L94,'Statement of Marks'!$B$8:'Statement of Marks'!$HI$207,74,0),"")</f>
        <v>125</v>
      </c>
      <c r="P104" s="722" t="str">
        <f>IFERROR(IF(O104="","",IF(VLOOKUP(L94,'Statement of Marks'!$B$8:'Statement of Marks'!$HI$207,178,0)="D","I",VLOOKUP(L94,'Statement of Marks'!$B$8:'Statement of Marks'!$HI$207,178,0))),"")</f>
        <v>I</v>
      </c>
      <c r="Q104"/>
      <c r="R104" s="473" t="str">
        <f>IFERROR(IF(AND(AV103="A"),'Marks Entry'!$AC$2,IF(AND(AV103="B"),'Marks Entry'!$AG$2,IF(AND(AV103="C"),'Marks Entry'!$AI$2,""))),"")</f>
        <v>HISTORY</v>
      </c>
      <c r="S104" s="91">
        <f>IFERROR(VLOOKUP(AB94,'Statement of Marks'!$B$8:'Statement of Marks'!$HI$207,61,0),"")</f>
        <v>10</v>
      </c>
      <c r="T104" s="91">
        <f>IFERROR(VLOOKUP(AB94,'Statement of Marks'!$B$8:'Statement of Marks'!$HI$207,62,0),"")</f>
        <v>10</v>
      </c>
      <c r="U104" s="91">
        <f>IFERROR(VLOOKUP(AB94,'Statement of Marks'!$B$8:'Statement of Marks'!$HI$207,63,0),"")</f>
        <v>7</v>
      </c>
      <c r="V104" s="461">
        <f>IFERROR(VLOOKUP(AB94,'Statement of Marks'!$B$8:'Statement of Marks'!$HI$207,64,0),"")</f>
        <v>27</v>
      </c>
      <c r="W104" s="91">
        <f>IFERROR(VLOOKUP(AB94,'Statement of Marks'!$B$8:'Statement of Marks'!$HI$207,65,0),"")</f>
        <v>32</v>
      </c>
      <c r="X104" s="91" t="str">
        <f>IFERROR(VLOOKUP(AB94,'Statement of Marks'!$B$8:'Statement of Marks'!$HI$207,66,0),"")</f>
        <v/>
      </c>
      <c r="Y104" s="787">
        <f>IFERROR(VLOOKUP(AB94,'Statement of Marks'!$B$8:'Statement of Marks'!$HI$207,67,0),"")</f>
        <v>32</v>
      </c>
      <c r="Z104" s="724">
        <f>IFERROR(IF(AND(AB94="",Q104="",V104="",Y104=""),"",SUM(S104,T104,U104,W104,X104)),"")</f>
        <v>59</v>
      </c>
      <c r="AA104" s="91">
        <f>IFERROR(VLOOKUP(AB94,'Statement of Marks'!$B$8:'Statement of Marks'!$HI$207,69,0),"")</f>
        <v>65</v>
      </c>
      <c r="AB104" s="91" t="str">
        <f>IFERROR(VLOOKUP(AB94,'Statement of Marks'!$B$8:'Statement of Marks'!$HI$207,70,0),"")</f>
        <v/>
      </c>
      <c r="AC104" s="721"/>
      <c r="AD104" s="759">
        <f>IFERROR(VLOOKUP(AB94,'Statement of Marks'!$B$8:'Statement of Marks'!$HI$207,71,0),"")</f>
        <v>65</v>
      </c>
      <c r="AE104" s="732">
        <f>IFERROR(VLOOKUP(AB94,'Statement of Marks'!$B$8:'Statement of Marks'!$HI$207,74,0),"")</f>
        <v>124</v>
      </c>
      <c r="AF104" s="722" t="str">
        <f>IFERROR(IF(AE104="","",IF(VLOOKUP(AB94,'Statement of Marks'!$B$8:'Statement of Marks'!$HI$207,178,0)="D","I",VLOOKUP(AB94,'Statement of Marks'!$B$8:'Statement of Marks'!$HI$207,178,0))),"")</f>
        <v>I</v>
      </c>
      <c r="AQ104" s="17"/>
      <c r="AR104"/>
      <c r="AS104"/>
      <c r="AT104"/>
      <c r="AU104" s="17" t="str">
        <f>IFERROR(VLOOKUP(L94,'Statement of Marks'!$B$8:'Statement of Marks'!$HI$207,83,0),"")</f>
        <v>B</v>
      </c>
      <c r="AV104" s="17" t="str">
        <f>IFERROR(VLOOKUP(AB94,'Statement of Marks'!$B$8:'Statement of Marks'!$HI$207,83,0),"")</f>
        <v>B</v>
      </c>
      <c r="AX104"/>
      <c r="AY104"/>
      <c r="AZ104"/>
      <c r="BE104" s="17" t="str">
        <f>IF('Master Sheet'!$D$11="Hindi",BE103,BE102)</f>
        <v>पूरक</v>
      </c>
      <c r="BF104" s="17" t="str">
        <f>IF('Master Sheet'!$D$11="Hindi",BF103,BF102)</f>
        <v>पूरक</v>
      </c>
    </row>
    <row r="105" spans="1:58" s="467" customFormat="1" ht="22.5" customHeight="1">
      <c r="A105" s="465"/>
      <c r="B105" s="473" t="str">
        <f>IFERROR(IF(AND(AU104="A"),'Marks Entry'!$AK$2,IF(AND(AU104="B"),'Marks Entry'!$AO$2,IF(AND(AU104="C"),'Marks Entry'!$AQ$2,""))),"")</f>
        <v>HOME SCIENCE</v>
      </c>
      <c r="C105" s="91">
        <f>IFERROR(VLOOKUP(L94,'Statement of Marks'!$B$8:'Statement of Marks'!$HI$207,84,0),"")</f>
        <v>4</v>
      </c>
      <c r="D105" s="91">
        <f>IFERROR(VLOOKUP(L94,'Statement of Marks'!$B$8:'Statement of Marks'!$HI$207,85,0),"")</f>
        <v>4</v>
      </c>
      <c r="E105" s="91">
        <f>IFERROR(VLOOKUP(L94,'Statement of Marks'!$B$8:'Statement of Marks'!$HI$207,86,0),"")</f>
        <v>9</v>
      </c>
      <c r="F105" s="461">
        <f>IFERROR(VLOOKUP(L94,'Statement of Marks'!$B$8:'Statement of Marks'!$HI$207,87,0),"")</f>
        <v>17</v>
      </c>
      <c r="G105" s="91">
        <f>IFERROR(VLOOKUP(L94,'Statement of Marks'!$B$8:'Statement of Marks'!$HI$207,88,0),"")</f>
        <v>32</v>
      </c>
      <c r="H105" s="91" t="str">
        <f>IFERROR(VLOOKUP(L94,'Statement of Marks'!$B$8:'Statement of Marks'!$HI$207,89,0),"")</f>
        <v/>
      </c>
      <c r="I105" s="787">
        <f>IFERROR(VLOOKUP(L94,'Statement of Marks'!$B$8:'Statement of Marks'!$HI$207,90,0),"")</f>
        <v>32</v>
      </c>
      <c r="J105" s="724">
        <f>IFERROR(IF(AND(L94="",A105="",F105="",I105=""),"",SUM(C105,D105,E105,G105,H105)),"")</f>
        <v>49</v>
      </c>
      <c r="K105" s="91">
        <f>IFERROR(VLOOKUP(L94,'Statement of Marks'!$B$8:'Statement of Marks'!$HI$207,92,0),"")</f>
        <v>39</v>
      </c>
      <c r="L105" s="91" t="str">
        <f>IFERROR(VLOOKUP(L94,'Statement of Marks'!$B$8:'Statement of Marks'!$HI$207,93,0),"")</f>
        <v/>
      </c>
      <c r="M105" s="721"/>
      <c r="N105" s="759">
        <f>IFERROR(VLOOKUP(L94,'Statement of Marks'!$B$8:'Statement of Marks'!$HI$207,94,0),"")</f>
        <v>39</v>
      </c>
      <c r="O105" s="732">
        <f>IFERROR(VLOOKUP(L94,'Statement of Marks'!$B$8:'Statement of Marks'!$HI$207,97,0),"")</f>
        <v>88</v>
      </c>
      <c r="P105" s="722" t="str">
        <f>IFERROR(IF(O105="","",IF(VLOOKUP(L94,'Statement of Marks'!$B$8:'Statement of Marks'!$HI$207,185,0)="D","I",VLOOKUP(L94,'Statement of Marks'!$B$8:'Statement of Marks'!$HI$207,185,0))),"")</f>
        <v>III</v>
      </c>
      <c r="Q105"/>
      <c r="R105" s="473" t="str">
        <f>IFERROR(IF(AND(AV104="A"),'Marks Entry'!$AK$2,IF(AND(AV104="B"),'Marks Entry'!$AO$2,IF(AND(AV104="C"),'Marks Entry'!$AQ$2,""))),"")</f>
        <v>HOME SCIENCE</v>
      </c>
      <c r="S105" s="91">
        <f>IFERROR(VLOOKUP(AB94,'Statement of Marks'!$B$8:'Statement of Marks'!$HI$207,84,0),"")</f>
        <v>3</v>
      </c>
      <c r="T105" s="91">
        <f>IFERROR(VLOOKUP(AB94,'Statement of Marks'!$B$8:'Statement of Marks'!$HI$207,85,0),"")</f>
        <v>3</v>
      </c>
      <c r="U105" s="91">
        <f>IFERROR(VLOOKUP(AB94,'Statement of Marks'!$B$8:'Statement of Marks'!$HI$207,86,0),"")</f>
        <v>7</v>
      </c>
      <c r="V105" s="461">
        <f>IFERROR(VLOOKUP(AB94,'Statement of Marks'!$B$8:'Statement of Marks'!$HI$207,87,0),"")</f>
        <v>13</v>
      </c>
      <c r="W105" s="91">
        <f>IFERROR(VLOOKUP(AB94,'Statement of Marks'!$B$8:'Statement of Marks'!$HI$207,88,0),"")</f>
        <v>10</v>
      </c>
      <c r="X105" s="91" t="str">
        <f>IFERROR(VLOOKUP(AB94,'Statement of Marks'!$B$8:'Statement of Marks'!$HI$207,89,0),"")</f>
        <v/>
      </c>
      <c r="Y105" s="787">
        <f>IFERROR(VLOOKUP(AB94,'Statement of Marks'!$B$8:'Statement of Marks'!$HI$207,90,0),"")</f>
        <v>10</v>
      </c>
      <c r="Z105" s="724">
        <f>IFERROR(IF(AND(AB94="",Q105="",V105="",Y105=""),"",SUM(S105,T105,U105,W105,X105)),"")</f>
        <v>23</v>
      </c>
      <c r="AA105" s="91">
        <f>IFERROR(VLOOKUP(AB94,'Statement of Marks'!$B$8:'Statement of Marks'!$HI$207,92,0),"")</f>
        <v>45</v>
      </c>
      <c r="AB105" s="91" t="str">
        <f>IFERROR(VLOOKUP(AB94,'Statement of Marks'!$B$8:'Statement of Marks'!$HI$207,93,0),"")</f>
        <v/>
      </c>
      <c r="AC105" s="721"/>
      <c r="AD105" s="759">
        <f>IFERROR(VLOOKUP(AB94,'Statement of Marks'!$B$8:'Statement of Marks'!$HI$207,94,0),"")</f>
        <v>45</v>
      </c>
      <c r="AE105" s="732">
        <f>IFERROR(VLOOKUP(AB94,'Statement of Marks'!$B$8:'Statement of Marks'!$HI$207,97,0),"")</f>
        <v>68</v>
      </c>
      <c r="AF105" s="722" t="str">
        <f>IFERROR(IF(AE105="","",IF(VLOOKUP(AB94,'Statement of Marks'!$B$8:'Statement of Marks'!$HI$207,185,0)="D","I",VLOOKUP(AB94,'Statement of Marks'!$B$8:'Statement of Marks'!$HI$207,185,0))),"")</f>
        <v>S</v>
      </c>
      <c r="AQ105" s="17"/>
      <c r="AR105"/>
      <c r="AS105"/>
      <c r="AT105"/>
      <c r="AU105" s="467" t="s">
        <v>287</v>
      </c>
      <c r="AV105" s="467" t="s">
        <v>287</v>
      </c>
      <c r="AX105"/>
      <c r="AY105"/>
      <c r="AZ105"/>
      <c r="BE105" s="17"/>
      <c r="BF105" s="17"/>
    </row>
    <row r="106" spans="1:58" s="467" customFormat="1" ht="19.5" customHeight="1">
      <c r="A106" s="465"/>
      <c r="B106" s="1716" t="str">
        <f>IF('Master Sheet'!$D$11="Hindi","व्यावसायिक शिक्षा / अतिरिक्त विषय","Vocational Education / Additional Subject")</f>
        <v>व्यावसायिक शिक्षा / अतिरिक्त विषय</v>
      </c>
      <c r="C106" s="1716"/>
      <c r="D106" s="1716"/>
      <c r="E106" s="1716"/>
      <c r="F106" s="1716"/>
      <c r="G106" s="1716"/>
      <c r="H106" s="1716"/>
      <c r="I106" s="1716"/>
      <c r="J106" s="1716"/>
      <c r="K106" s="1716"/>
      <c r="L106" s="1716"/>
      <c r="M106" s="1716"/>
      <c r="N106" s="1716"/>
      <c r="O106" s="1716"/>
      <c r="P106" s="1716"/>
      <c r="Q106"/>
      <c r="R106" s="1716" t="str">
        <f>IF('Master Sheet'!$D$11="Hindi","व्यावसायिक शिक्षा / अतिरिक्त विषय","Vocational Education / Additional Subject")</f>
        <v>व्यावसायिक शिक्षा / अतिरिक्त विषय</v>
      </c>
      <c r="S106" s="1716"/>
      <c r="T106" s="1716"/>
      <c r="U106" s="1716"/>
      <c r="V106" s="1716"/>
      <c r="W106" s="1716"/>
      <c r="X106" s="1716"/>
      <c r="Y106" s="1716"/>
      <c r="Z106" s="1716"/>
      <c r="AA106" s="1716"/>
      <c r="AB106" s="1716"/>
      <c r="AC106" s="1716"/>
      <c r="AD106" s="1716"/>
      <c r="AE106" s="1716"/>
      <c r="AF106" s="1716"/>
      <c r="AQ106" s="17"/>
      <c r="AR106"/>
      <c r="AS106"/>
      <c r="AT106"/>
      <c r="AX106"/>
      <c r="AY106"/>
      <c r="AZ106"/>
      <c r="BE106" s="17"/>
      <c r="BF106" s="17"/>
    </row>
    <row r="107" spans="1:58" s="467" customFormat="1" ht="22.5" customHeight="1">
      <c r="A107" s="465"/>
      <c r="B107" s="473" t="str">
        <f>IFERROR(IF(AND(AU107="A"),'Marks Entry'!$AS$2,IF(AND(AU107="B"),'Marks Entry'!$AW$2,IF(AND(AU107="C"),'Marks Entry'!$AY$2,""))),"")</f>
        <v/>
      </c>
      <c r="C107" s="742" t="str">
        <f>IFERROR(VLOOKUP(L94,'Statement of Marks'!$B$8:'Statement of Marks'!$HI$207,108,0),"")</f>
        <v/>
      </c>
      <c r="D107" s="742" t="str">
        <f>IFERROR(VLOOKUP(L94,'Statement of Marks'!$B$8:'Statement of Marks'!$HI$207,109,0),"")</f>
        <v/>
      </c>
      <c r="E107" s="742" t="str">
        <f>IFERROR(VLOOKUP(L94,'Statement of Marks'!$B$8:'Statement of Marks'!$HI$207,110,0),"")</f>
        <v/>
      </c>
      <c r="F107" s="742" t="str">
        <f>IFERROR(VLOOKUP(L94,'Statement of Marks'!$B$8:'Statement of Marks'!$HI$207,111,0),"")</f>
        <v/>
      </c>
      <c r="G107" s="744" t="str">
        <f>IFERROR(VLOOKUP(L94,'Statement of Marks'!$B$8:'Statement of Marks'!$HI$207,112,0),"")</f>
        <v/>
      </c>
      <c r="H107" s="744" t="str">
        <f>IFERROR(VLOOKUP(L94,'Statement of Marks'!$B$8:'Statement of Marks'!$HI$207,113,0),"")</f>
        <v/>
      </c>
      <c r="I107" s="748" t="str">
        <f>IFERROR(VLOOKUP(L94,'Statement of Marks'!$B$8:'Statement of Marks'!$HI$207,114,0),"")</f>
        <v/>
      </c>
      <c r="J107" s="743" t="str">
        <f>IFERROR(IF(OR(L94="",A107="",F107="",I107=""),"",SUM(C107,D107,E107,G107,H107)),"")</f>
        <v/>
      </c>
      <c r="K107" s="742" t="str">
        <f>IFERROR(VLOOKUP(L94,'Statement of Marks'!$B$8:'Statement of Marks'!$HI$207,116,0),"")</f>
        <v/>
      </c>
      <c r="L107" s="742" t="str">
        <f>IFERROR(VLOOKUP(L94,'Statement of Marks'!$B$8:'Statement of Marks'!$HI$207,118,0),"")</f>
        <v/>
      </c>
      <c r="M107" s="742" t="str">
        <f>IFERROR(VLOOKUP(L94,'Statement of Marks'!$B$8:'Statement of Marks'!$HI$207,117,0),"")</f>
        <v/>
      </c>
      <c r="N107" s="745" t="str">
        <f>IFERROR(VLOOKUP(L94,'Statement of Marks'!$B$8:'Statement of Marks'!$HI$207,119,0),"")</f>
        <v/>
      </c>
      <c r="O107" s="746" t="str">
        <f>IFERROR(VLOOKUP(L94,'Statement of Marks'!$B$8:'Statement of Marks'!$HI$207,123,0),"")</f>
        <v/>
      </c>
      <c r="P107" s="747" t="str">
        <f>IFERROR(IF(O107="","",IF(VLOOKUP(L94,'Statement of Marks'!$B$8:'Statement of Marks'!$HI$207,192,0)="D","I",VLOOKUP(L94,'Statement of Marks'!$B$8:'Statement of Marks'!$HI$207,192,0))),"")</f>
        <v/>
      </c>
      <c r="Q107"/>
      <c r="R107" s="473" t="str">
        <f>IFERROR(IF(AND(AV107="A"),'Marks Entry'!$AS$2,IF(AND(AV107="B"),'Marks Entry'!$AW$2,IF(AND(AV107="C"),'Marks Entry'!$AY$2,""))),"")</f>
        <v/>
      </c>
      <c r="S107" s="742" t="str">
        <f>IFERROR(VLOOKUP(AB94,'Statement of Marks'!$B$8:'Statement of Marks'!$HI$207,108,0),"")</f>
        <v/>
      </c>
      <c r="T107" s="742" t="str">
        <f>IFERROR(VLOOKUP(AB94,'Statement of Marks'!$B$8:'Statement of Marks'!$HI$207,109,0),"")</f>
        <v/>
      </c>
      <c r="U107" s="742" t="str">
        <f>IFERROR(VLOOKUP(AB94,'Statement of Marks'!$B$8:'Statement of Marks'!$HI$207,110,0),"")</f>
        <v/>
      </c>
      <c r="V107" s="742" t="str">
        <f>IFERROR(VLOOKUP(AB94,'Statement of Marks'!$B$8:'Statement of Marks'!$HI$207,111,0),"")</f>
        <v/>
      </c>
      <c r="W107" s="744" t="str">
        <f>IFERROR(VLOOKUP(AB94,'Statement of Marks'!$B$8:'Statement of Marks'!$HI$207,112,0),"")</f>
        <v/>
      </c>
      <c r="X107" s="744" t="str">
        <f>IFERROR(VLOOKUP(AB94,'Statement of Marks'!$B$8:'Statement of Marks'!$HI$207,113,0),"")</f>
        <v/>
      </c>
      <c r="Y107" s="748" t="str">
        <f>IFERROR(VLOOKUP(AB94,'Statement of Marks'!$B$8:'Statement of Marks'!$HI$207,114,0),"")</f>
        <v/>
      </c>
      <c r="Z107" s="743" t="str">
        <f>IFERROR(IF(OR(AB94="",Q107="",V107="",Y107=""),"",SUM(S107,T107,U107,W107,X107)),"")</f>
        <v/>
      </c>
      <c r="AA107" s="742" t="str">
        <f>IFERROR(VLOOKUP(AB94,'Statement of Marks'!$B$8:'Statement of Marks'!$HI$207,116,0),"")</f>
        <v/>
      </c>
      <c r="AB107" s="742" t="str">
        <f>IFERROR(VLOOKUP(AB94,'Statement of Marks'!$B$8:'Statement of Marks'!$HI$207,118,0),"")</f>
        <v/>
      </c>
      <c r="AC107" s="742" t="str">
        <f>IFERROR(VLOOKUP(AB94,'Statement of Marks'!$B$8:'Statement of Marks'!$HI$207,117,0),"")</f>
        <v/>
      </c>
      <c r="AD107" s="745" t="str">
        <f>IFERROR(VLOOKUP(AB94,'Statement of Marks'!$B$8:'Statement of Marks'!$HI$207,119,0),"")</f>
        <v/>
      </c>
      <c r="AE107" s="746" t="str">
        <f>IFERROR(VLOOKUP(AB94,'Statement of Marks'!$B$8:'Statement of Marks'!$HI$207,123,0),"")</f>
        <v/>
      </c>
      <c r="AF107" s="747" t="str">
        <f>IFERROR(IF(AE107="","",IF(VLOOKUP(AB94,'Statement of Marks'!$B$8:'Statement of Marks'!$HI$207,192,0)="D","I",VLOOKUP(AB94,'Statement of Marks'!$B$8:'Statement of Marks'!$HI$207,192,0))),"")</f>
        <v/>
      </c>
      <c r="AQ107" s="17"/>
      <c r="AR107"/>
      <c r="AS107"/>
      <c r="AT107"/>
      <c r="AU107" s="467" t="str">
        <f>IFERROR(VLOOKUP(L94,'Statement of Marks'!$B$8:'Statement of Marks'!$HI$207,107,0),"")</f>
        <v/>
      </c>
      <c r="AV107" s="467" t="str">
        <f>IFERROR(VLOOKUP(AB94,'Statement of Marks'!$B$8:'Statement of Marks'!$HI$207,107,0),"")</f>
        <v/>
      </c>
      <c r="AX107"/>
      <c r="AY107"/>
      <c r="AZ107"/>
      <c r="BE107" s="17"/>
      <c r="BF107" s="17"/>
    </row>
    <row r="108" spans="1:58" s="467" customFormat="1" ht="25.5" customHeight="1">
      <c r="A108" s="465"/>
      <c r="B108" s="1717"/>
      <c r="C108" s="1717"/>
      <c r="D108" s="1717"/>
      <c r="E108" s="1717"/>
      <c r="F108" s="1717"/>
      <c r="G108" s="1717"/>
      <c r="H108" s="1717"/>
      <c r="I108" s="1717"/>
      <c r="J108" s="1717"/>
      <c r="K108" s="1717"/>
      <c r="L108" s="1714" t="str">
        <f>IF('Master Sheet'!$D$11="Hindi","महायोग :","Grand Total :")</f>
        <v>महायोग :</v>
      </c>
      <c r="M108" s="1715"/>
      <c r="N108" s="1715"/>
      <c r="O108" s="749">
        <f>IF(AND(O101="",O102="",O103="",O104="",O105=""),"",IF(AND($K$18="",$L$18="",$M$18=""),SUM(O101,O102,O103,O104,O107),IF(AND('Master Sheet'!$D$19="YES",'Marks Entry'!$BA$1=1),SUM(O101,O102,O103,O104,O107),SUM(O101:O105))))</f>
        <v>514</v>
      </c>
      <c r="P108" s="750" t="str">
        <f>IFERROR(VLOOKUP(L94,'Statement of Marks'!$B$8:'Statement of Marks'!$HI$207,210,0),"")</f>
        <v/>
      </c>
      <c r="Q108"/>
      <c r="R108" s="1717"/>
      <c r="S108" s="1717"/>
      <c r="T108" s="1717"/>
      <c r="U108" s="1717"/>
      <c r="V108" s="1717"/>
      <c r="W108" s="1717"/>
      <c r="X108" s="1717"/>
      <c r="Y108" s="1717"/>
      <c r="Z108" s="1717"/>
      <c r="AA108" s="1717"/>
      <c r="AB108" s="1714" t="str">
        <f>IF('Master Sheet'!$D$11="Hindi","महायोग :","Grand Total :")</f>
        <v>महायोग :</v>
      </c>
      <c r="AC108" s="1715"/>
      <c r="AD108" s="1715"/>
      <c r="AE108" s="749">
        <f>IF(AND(AE101="",AE102="",AE103="",AE104="",AE105=""),"",IF(AND($K$18="",$L$18="",$M$18=""),SUM(AE101,AE102,AE103,AE104,AE107),IF(AND('Master Sheet'!$D$19="YES",'Marks Entry'!$BA$1=1),SUM(AE101,AE102,AE103,AE104,AE107),SUM(AE101:AE105))))</f>
        <v>482</v>
      </c>
      <c r="AF108" s="750" t="str">
        <f>IFERROR(VLOOKUP(AB94,'Statement of Marks'!$B$8:'Statement of Marks'!$HI$207,210,0),"")</f>
        <v/>
      </c>
      <c r="AQ108" s="17"/>
      <c r="AR108"/>
      <c r="AS108"/>
      <c r="AT108"/>
      <c r="AX108"/>
      <c r="AY108"/>
      <c r="AZ108"/>
      <c r="BE108" s="17"/>
      <c r="BF108" s="17"/>
    </row>
    <row r="109" spans="1:58" s="467" customFormat="1" ht="25.5" customHeight="1">
      <c r="A109" s="465"/>
      <c r="B109" s="474" t="str">
        <f>IF('Master Sheet'!$D$11="Hindi","विषय","Subject")</f>
        <v>विषय</v>
      </c>
      <c r="C109" s="1709" t="str">
        <f>IF('Master Sheet'!$D$11="Hindi","पूर्णांक","Max. Marks")</f>
        <v>पूर्णांक</v>
      </c>
      <c r="D109" s="1709"/>
      <c r="E109" s="1710" t="str">
        <f>IF('Master Sheet'!$D$11="Hindi","प्राप्तांक","Marks Obtained")</f>
        <v>प्राप्तांक</v>
      </c>
      <c r="F109" s="1710"/>
      <c r="G109" s="1725" t="str">
        <f>IF('Master Sheet'!$D$11="Hindi","विषय ग्रेड","Sub. Grade")</f>
        <v>विषय ग्रेड</v>
      </c>
      <c r="H109" s="1725"/>
      <c r="I109" s="1707" t="str">
        <f>IF('Master Sheet'!$D$11="Hindi","विषय","Subject")</f>
        <v>विषय</v>
      </c>
      <c r="J109" s="1708"/>
      <c r="K109" s="1708"/>
      <c r="L109" s="1709" t="str">
        <f>IF('Master Sheet'!$D$11="Hindi","पूर्णांक","Max. Marks")</f>
        <v>पूर्णांक</v>
      </c>
      <c r="M109" s="1709"/>
      <c r="N109" s="1710" t="str">
        <f>IF('Master Sheet'!$D$11="Hindi","प्राप्तांक","Marks Obtained")</f>
        <v>प्राप्तांक</v>
      </c>
      <c r="O109" s="1710"/>
      <c r="P109" s="751" t="str">
        <f>IF('Master Sheet'!$D$11="Hindi","विषय ग्रेड","Sub. Grade")</f>
        <v>विषय ग्रेड</v>
      </c>
      <c r="Q109"/>
      <c r="R109" s="474" t="str">
        <f>IF('Master Sheet'!$D$11="Hindi","विषय","Subject")</f>
        <v>विषय</v>
      </c>
      <c r="S109" s="1709" t="str">
        <f>IF('Master Sheet'!$D$11="Hindi","पूर्णांक","Max. Marks")</f>
        <v>पूर्णांक</v>
      </c>
      <c r="T109" s="1709"/>
      <c r="U109" s="1710" t="str">
        <f>IF('Master Sheet'!$D$11="Hindi","प्राप्तांक","Marks Obtained")</f>
        <v>प्राप्तांक</v>
      </c>
      <c r="V109" s="1710"/>
      <c r="W109" s="1725" t="str">
        <f>IF('Master Sheet'!$D$11="Hindi","विषय ग्रेड","Sub. Grade")</f>
        <v>विषय ग्रेड</v>
      </c>
      <c r="X109" s="1725"/>
      <c r="Y109" s="1707" t="str">
        <f>IF('Master Sheet'!$D$11="Hindi","विषय","Subject")</f>
        <v>विषय</v>
      </c>
      <c r="Z109" s="1708"/>
      <c r="AA109" s="1708"/>
      <c r="AB109" s="1709" t="str">
        <f>IF('Master Sheet'!$D$11="Hindi","पूर्णांक","Max. Marks")</f>
        <v>पूर्णांक</v>
      </c>
      <c r="AC109" s="1709"/>
      <c r="AD109" s="1710" t="str">
        <f>IF('Master Sheet'!$D$11="Hindi","प्राप्तांक","Marks Obtained")</f>
        <v>प्राप्तांक</v>
      </c>
      <c r="AE109" s="1710"/>
      <c r="AF109" s="751" t="str">
        <f>IF('Master Sheet'!$D$11="Hindi","विषय ग्रेड","Sub. Grade")</f>
        <v>विषय ग्रेड</v>
      </c>
      <c r="AQ109" s="17"/>
      <c r="AR109"/>
      <c r="AS109"/>
      <c r="AT109"/>
      <c r="AX109"/>
      <c r="AY109"/>
      <c r="AZ109"/>
      <c r="BE109" s="17"/>
      <c r="BF109" s="17"/>
    </row>
    <row r="110" spans="1:58" s="467" customFormat="1" ht="30" customHeight="1">
      <c r="A110" s="465"/>
      <c r="B110" s="754" t="str">
        <f>'Statement of Marks'!$EC$4</f>
        <v>जीवन कौशल</v>
      </c>
      <c r="C110" s="1698">
        <f>IF(AND(L94=""),"",IF('Statement of Marks'!$EF$6="","",'Statement of Marks'!$EF$6))</f>
        <v>100</v>
      </c>
      <c r="D110" s="1698"/>
      <c r="E110" s="1702">
        <f>IFERROR(VLOOKUP(L94,'Statement of Marks'!$B$8:'Statement of Marks'!$HI$207,135,0),"")</f>
        <v>85</v>
      </c>
      <c r="F110" s="1702"/>
      <c r="G110" s="1703" t="str">
        <f>IFERROR(VLOOKUP(L94,'Statement of Marks'!$B$8:'Statement of Marks'!$HI$207,140,0),"")</f>
        <v>A</v>
      </c>
      <c r="H110" s="1703"/>
      <c r="I110" s="1699" t="str">
        <f>'Statement of Marks'!$EY$3</f>
        <v xml:space="preserve">आजादी के बाद का स्वर्णिम भारत </v>
      </c>
      <c r="J110" s="1700"/>
      <c r="K110" s="1701"/>
      <c r="L110" s="1698">
        <f>IF(AND(L94=""),"",IF('Statement of Marks'!$FE$6="","",'Statement of Marks'!$FE$6))</f>
        <v>200</v>
      </c>
      <c r="M110" s="1698"/>
      <c r="N110" s="1711">
        <f>IFERROR(VLOOKUP(L94,'Statement of Marks'!$B$8:'Statement of Marks'!$HI$207,160,0),"")</f>
        <v>149</v>
      </c>
      <c r="O110" s="1711"/>
      <c r="P110" s="752" t="str">
        <f>IFERROR(VLOOKUP(L94,'Statement of Marks'!$B$8:'Statement of Marks'!$HI$207,161,0),"")</f>
        <v>B</v>
      </c>
      <c r="Q110"/>
      <c r="R110" s="754" t="str">
        <f>'Statement of Marks'!$EC$4</f>
        <v>जीवन कौशल</v>
      </c>
      <c r="S110" s="1698">
        <f>IF(AND(AB94=""),"",IF('Statement of Marks'!$EF$6="","",'Statement of Marks'!$EF$6))</f>
        <v>100</v>
      </c>
      <c r="T110" s="1698"/>
      <c r="U110" s="1702">
        <f>IFERROR(VLOOKUP(AB94,'Statement of Marks'!$B$8:'Statement of Marks'!$HI$207,135,0),"")</f>
        <v>85</v>
      </c>
      <c r="V110" s="1702"/>
      <c r="W110" s="1703" t="str">
        <f>IFERROR(VLOOKUP(AB94,'Statement of Marks'!$B$8:'Statement of Marks'!$HI$207,140,0),"")</f>
        <v>A</v>
      </c>
      <c r="X110" s="1703"/>
      <c r="Y110" s="1699" t="str">
        <f>'Statement of Marks'!$EY$3</f>
        <v xml:space="preserve">आजादी के बाद का स्वर्णिम भारत </v>
      </c>
      <c r="Z110" s="1700"/>
      <c r="AA110" s="1701"/>
      <c r="AB110" s="1698">
        <f>IF(AND(AB94=""),"",IF('Statement of Marks'!$FE$6="","",'Statement of Marks'!$FE$6))</f>
        <v>200</v>
      </c>
      <c r="AC110" s="1698"/>
      <c r="AD110" s="1711">
        <f>IFERROR(VLOOKUP(AB94,'Statement of Marks'!$B$8:'Statement of Marks'!$HI$207,160,0),"")</f>
        <v>141</v>
      </c>
      <c r="AE110" s="1711"/>
      <c r="AF110" s="752" t="str">
        <f>IFERROR(VLOOKUP(AB94,'Statement of Marks'!$B$8:'Statement of Marks'!$HI$207,161,0),"")</f>
        <v>B</v>
      </c>
      <c r="AQ110" s="17"/>
      <c r="AR110"/>
      <c r="AS110"/>
      <c r="AT110"/>
      <c r="AX110"/>
      <c r="AY110"/>
      <c r="AZ110"/>
      <c r="BE110" s="17"/>
      <c r="BF110" s="17"/>
    </row>
    <row r="111" spans="1:58" s="467" customFormat="1" ht="29.25" customHeight="1">
      <c r="A111" s="465"/>
      <c r="B111" s="753" t="str">
        <f>IF('Master Sheet'!$D$11="Hindi","परीक्षा परिणाम घोषित दिनांक :-","Date of Result declaration :-")</f>
        <v>परीक्षा परिणाम घोषित दिनांक :-</v>
      </c>
      <c r="C111" s="1610">
        <f>IF(AND(L94=""),"",IF('Master Sheet'!$D$10="","",'Master Sheet'!$D$10))</f>
        <v>46106</v>
      </c>
      <c r="D111" s="1610"/>
      <c r="E111" s="1610"/>
      <c r="F111" s="1672" t="str">
        <f>IF('Master Sheet'!$D$11="Hindi","कुल कार्य दिवस","Total Working Days")</f>
        <v>कुल कार्य दिवस</v>
      </c>
      <c r="G111" s="1672"/>
      <c r="H111" s="1672"/>
      <c r="I111" s="735">
        <f>IFERROR(VLOOKUP(L94,'Statement of Marks'!$B$8:'Statement of Marks'!$HI$207,162,0),"")</f>
        <v>380</v>
      </c>
      <c r="J111" s="1673" t="str">
        <f>IF('Master Sheet'!$D$11="Hindi","कुल उपस्थिति","Student's Attendance")</f>
        <v>कुल उपस्थिति</v>
      </c>
      <c r="K111" s="1673"/>
      <c r="L111" s="1673"/>
      <c r="M111" s="472">
        <f>IFERROR(VLOOKUP(L94,'Statement of Marks'!$B$8:'Statement of Marks'!$HI$207,163,0),"")</f>
        <v>370</v>
      </c>
      <c r="N111" s="1674" t="str">
        <f>IF('Master Sheet'!$D$11="Hindi","कक्षा में स्थान","Position in the Class")</f>
        <v>कक्षा में स्थान</v>
      </c>
      <c r="O111" s="1674"/>
      <c r="P111" s="755" t="str">
        <f>IFERROR(VLOOKUP(L94,'Statement of Marks'!$B$8:'Statement of Marks'!$HI$207,211,0),"")</f>
        <v/>
      </c>
      <c r="Q111"/>
      <c r="R111" s="753" t="str">
        <f>IF('Master Sheet'!$D$11="Hindi","परीक्षा परिणाम घोषित दिनांक :-","Date of Result declaration :-")</f>
        <v>परीक्षा परिणाम घोषित दिनांक :-</v>
      </c>
      <c r="S111" s="1610">
        <f>IF(AND(AB94=""),"",IF('Master Sheet'!$D$10="","",'Master Sheet'!$D$10))</f>
        <v>46106</v>
      </c>
      <c r="T111" s="1610"/>
      <c r="U111" s="1610"/>
      <c r="V111" s="1672" t="str">
        <f>IF('Master Sheet'!$D$11="Hindi","कुल कार्य दिवस","Total Working Days")</f>
        <v>कुल कार्य दिवस</v>
      </c>
      <c r="W111" s="1672"/>
      <c r="X111" s="1672"/>
      <c r="Y111" s="735">
        <f>IFERROR(VLOOKUP(AB94,'Statement of Marks'!$B$8:'Statement of Marks'!$HI$207,162,0),"")</f>
        <v>360</v>
      </c>
      <c r="Z111" s="1673" t="str">
        <f>IF('Master Sheet'!$D$11="Hindi","कुल उपस्थिति","Student's Attendance")</f>
        <v>कुल उपस्थिति</v>
      </c>
      <c r="AA111" s="1673"/>
      <c r="AB111" s="1673"/>
      <c r="AC111" s="472">
        <f>IFERROR(VLOOKUP(AB94,'Statement of Marks'!$B$8:'Statement of Marks'!$HI$207,163,0),"")</f>
        <v>330</v>
      </c>
      <c r="AD111" s="1674" t="str">
        <f>IF('Master Sheet'!$D$11="Hindi","कक्षा में स्थान","Position in the Class")</f>
        <v>कक्षा में स्थान</v>
      </c>
      <c r="AE111" s="1674"/>
      <c r="AF111" s="755" t="str">
        <f>IFERROR(VLOOKUP(AB94,'Statement of Marks'!$B$8:'Statement of Marks'!$HI$207,211,0),"")</f>
        <v/>
      </c>
      <c r="AQ111" s="17"/>
      <c r="AR111"/>
      <c r="AS111"/>
      <c r="AT111"/>
      <c r="AX111"/>
      <c r="AY111"/>
      <c r="AZ111"/>
      <c r="BE111" s="17"/>
      <c r="BF111" s="17"/>
    </row>
    <row r="112" spans="1:58" s="467" customFormat="1" ht="27.75" customHeight="1">
      <c r="A112" s="465"/>
      <c r="B112" s="1675" t="str">
        <f>IF('Master Sheet'!$D$11="Hindi","मुख्य परीक्षा परिणाम ","Main Exam Result")</f>
        <v xml:space="preserve">मुख्य परीक्षा परिणाम </v>
      </c>
      <c r="C112" s="1676"/>
      <c r="D112" s="1676"/>
      <c r="E112" s="1677"/>
      <c r="F112" s="1678" t="str">
        <f>IF('Master Sheet'!$D$11="Hindi","विशेष योग्यता प्राप्त विषय","Subjects Of Dictation Marks")</f>
        <v>विशेष योग्यता प्राप्त विषय</v>
      </c>
      <c r="G112" s="1678"/>
      <c r="H112" s="1678"/>
      <c r="I112" s="1678"/>
      <c r="J112" s="1678"/>
      <c r="K112" s="1678"/>
      <c r="L112" s="1679" t="str">
        <f>IF('Master Sheet'!$D$11="Hindi","पूरक विषय","Supplementary Subject")</f>
        <v>पूरक विषय</v>
      </c>
      <c r="M112" s="1680"/>
      <c r="N112" s="1676"/>
      <c r="O112" s="1676"/>
      <c r="P112" s="1677"/>
      <c r="Q112"/>
      <c r="R112" s="1675" t="str">
        <f>IF('Master Sheet'!$D$11="Hindi","मुख्य परीक्षा परिणाम ","Main Exam Result")</f>
        <v xml:space="preserve">मुख्य परीक्षा परिणाम </v>
      </c>
      <c r="S112" s="1676"/>
      <c r="T112" s="1676"/>
      <c r="U112" s="1677"/>
      <c r="V112" s="1678" t="str">
        <f>IF('Master Sheet'!$D$11="Hindi","विशेष योग्यता प्राप्त विषय","Subjects Of Dictation Marks")</f>
        <v>विशेष योग्यता प्राप्त विषय</v>
      </c>
      <c r="W112" s="1678"/>
      <c r="X112" s="1678"/>
      <c r="Y112" s="1678"/>
      <c r="Z112" s="1678"/>
      <c r="AA112" s="1678"/>
      <c r="AB112" s="1679" t="str">
        <f>IF('Master Sheet'!$D$11="Hindi","पूरक विषय","Supplementary Subject")</f>
        <v>पूरक विषय</v>
      </c>
      <c r="AC112" s="1680"/>
      <c r="AD112" s="1676"/>
      <c r="AE112" s="1676"/>
      <c r="AF112" s="1677"/>
      <c r="AQ112" s="17"/>
      <c r="AR112"/>
      <c r="AS112"/>
      <c r="AT112"/>
      <c r="AX112"/>
      <c r="AY112"/>
      <c r="AZ112"/>
      <c r="BE112" s="17"/>
      <c r="BF112" s="17"/>
    </row>
    <row r="113" spans="1:58" s="467" customFormat="1" ht="42.75" customHeight="1">
      <c r="A113" s="465"/>
      <c r="B113" s="1704" t="str">
        <f>IF('Master Sheet'!D98="Hindi",BF103,BF102)</f>
        <v>Supplementary</v>
      </c>
      <c r="C113" s="1705"/>
      <c r="D113" s="1705"/>
      <c r="E113" s="1706"/>
      <c r="F113" s="1674" t="str">
        <f>IFERROR(VLOOKUP(L94,'Statement of Marks'!$B$8:'Statement of Marks'!$HI$207,205,0),"")</f>
        <v xml:space="preserve">     </v>
      </c>
      <c r="G113" s="1674"/>
      <c r="H113" s="1674"/>
      <c r="I113" s="1674"/>
      <c r="J113" s="1674"/>
      <c r="K113" s="1674"/>
      <c r="L113" s="1687" t="str">
        <f>IFERROR(VLOOKUP(L94,'Statement of Marks'!$B$8:'Statement of Marks'!$HI$207,202,0),"")</f>
        <v xml:space="preserve">  POLITICAL SCIENCE  </v>
      </c>
      <c r="M113" s="1688"/>
      <c r="N113" s="1688"/>
      <c r="O113" s="1688"/>
      <c r="P113" s="1689"/>
      <c r="Q113"/>
      <c r="R113" s="1704" t="str">
        <f>IF('Master Sheet'!D98="Hindi",BE103,BE102)</f>
        <v>Supplementary</v>
      </c>
      <c r="S113" s="1705"/>
      <c r="T113" s="1705"/>
      <c r="U113" s="1706"/>
      <c r="V113" s="1674" t="str">
        <f>IFERROR(VLOOKUP(AB94,'Statement of Marks'!$B$8:'Statement of Marks'!$HI$207,205,0),"")</f>
        <v xml:space="preserve">     </v>
      </c>
      <c r="W113" s="1674"/>
      <c r="X113" s="1674"/>
      <c r="Y113" s="1674"/>
      <c r="Z113" s="1674"/>
      <c r="AA113" s="1674"/>
      <c r="AB113" s="1687" t="str">
        <f>IFERROR(VLOOKUP(AB94,'Statement of Marks'!$B$8:'Statement of Marks'!$HI$207,202,0),"")</f>
        <v xml:space="preserve">  POLITICAL SCIENCE  HOME SCIENCE</v>
      </c>
      <c r="AC113" s="1688"/>
      <c r="AD113" s="1688"/>
      <c r="AE113" s="1688"/>
      <c r="AF113" s="1689"/>
      <c r="AQ113" s="17"/>
      <c r="AR113"/>
      <c r="AS113"/>
      <c r="AT113"/>
      <c r="AX113"/>
      <c r="AY113"/>
      <c r="AZ113"/>
      <c r="BE113" s="17"/>
      <c r="BF113" s="17"/>
    </row>
    <row r="114" spans="1:58" s="467" customFormat="1" ht="52.5" customHeight="1">
      <c r="A114" s="465"/>
      <c r="B114" s="1695" t="str">
        <f>IF(AND(L94=""),"",CONCATENATE("( ",UPPER('Master Sheet'!$D$14)," )"))</f>
        <v>( HEERALAL JAT )</v>
      </c>
      <c r="C114" s="1695"/>
      <c r="D114" s="1695"/>
      <c r="E114" s="709"/>
      <c r="F114" s="1696" t="str">
        <f>IF(AND(L94=""),"",CONCATENATE("( ",UPPER('Master Sheet'!$D$17)," )"))</f>
        <v>( YOGESH )</v>
      </c>
      <c r="G114" s="1696"/>
      <c r="H114" s="1696"/>
      <c r="I114" s="1696"/>
      <c r="J114" s="1696"/>
      <c r="K114" s="1697" t="str">
        <f>IF(AND(L94=""),"",CONCATENATE("( ",UPPER('Master Sheet'!$D$12)," )"))</f>
        <v>( DEWANANAD )</v>
      </c>
      <c r="L114" s="1697"/>
      <c r="M114" s="1697"/>
      <c r="N114" s="1697"/>
      <c r="O114" s="1697"/>
      <c r="P114" s="1697"/>
      <c r="Q114"/>
      <c r="R114" s="1695" t="str">
        <f>IF(AND(AB94=""),"",CONCATENATE("( ",UPPER('Master Sheet'!$D$14)," )"))</f>
        <v>( HEERALAL JAT )</v>
      </c>
      <c r="S114" s="1695"/>
      <c r="T114" s="1695"/>
      <c r="U114" s="709"/>
      <c r="V114" s="1696" t="str">
        <f>IF(AND(AB94=""),"",CONCATENATE("( ",UPPER('Master Sheet'!$D$17)," )"))</f>
        <v>( YOGESH )</v>
      </c>
      <c r="W114" s="1696"/>
      <c r="X114" s="1696"/>
      <c r="Y114" s="1696"/>
      <c r="Z114" s="1696"/>
      <c r="AA114" s="1697" t="str">
        <f>IF(AND(AB94=""),"",CONCATENATE("( ",UPPER('Master Sheet'!$D$12)," )"))</f>
        <v>( DEWANANAD )</v>
      </c>
      <c r="AB114" s="1697"/>
      <c r="AC114" s="1697"/>
      <c r="AD114" s="1697"/>
      <c r="AE114" s="1697"/>
      <c r="AF114" s="1697"/>
      <c r="AQ114" s="17"/>
      <c r="AR114"/>
      <c r="AS114"/>
      <c r="AT114"/>
      <c r="AX114"/>
      <c r="AY114"/>
      <c r="AZ114"/>
      <c r="BE114" s="17"/>
      <c r="BF114" s="17"/>
    </row>
    <row r="115" spans="1:58" s="467" customFormat="1" ht="24.75" customHeight="1">
      <c r="A115" s="465"/>
      <c r="B115" s="1686" t="str">
        <f>IF('Master Sheet'!$D$11="Hindi","हस्ताक्षर परीक्षा प्रभारी","Signature of the exam. Incharge")</f>
        <v>हस्ताक्षर परीक्षा प्रभारी</v>
      </c>
      <c r="C115" s="1686"/>
      <c r="D115" s="1686"/>
      <c r="E115" s="708"/>
      <c r="F115" s="1686" t="str">
        <f>IF('Master Sheet'!$D$11="Hindi","हस्ताक्षर कक्षाध्यापक","Signature of the class teacher")</f>
        <v>हस्ताक्षर कक्षाध्यापक</v>
      </c>
      <c r="G115" s="1686"/>
      <c r="H115" s="1686"/>
      <c r="I115" s="1686"/>
      <c r="J115" s="1686"/>
      <c r="K115" s="1686" t="str">
        <f>IF('Master Sheet'!$D$11="Hindi","हस्ताक्षर संस्था प्रधान","Head of Institute's Signature")</f>
        <v>हस्ताक्षर संस्था प्रधान</v>
      </c>
      <c r="L115" s="1686"/>
      <c r="M115" s="1686"/>
      <c r="N115" s="1686"/>
      <c r="O115" s="1686"/>
      <c r="P115" s="1686"/>
      <c r="Q115"/>
      <c r="R115" s="1686" t="str">
        <f>IF('Master Sheet'!$D$11="Hindi","हस्ताक्षर परीक्षा प्रभारी","Signature of the exam. Incharge")</f>
        <v>हस्ताक्षर परीक्षा प्रभारी</v>
      </c>
      <c r="S115" s="1686"/>
      <c r="T115" s="1686"/>
      <c r="U115" s="708"/>
      <c r="V115" s="1686" t="str">
        <f>IF('Master Sheet'!$D$11="Hindi","हस्ताक्षर कक्षाध्यापक","Signature of the class teacher")</f>
        <v>हस्ताक्षर कक्षाध्यापक</v>
      </c>
      <c r="W115" s="1686"/>
      <c r="X115" s="1686"/>
      <c r="Y115" s="1686"/>
      <c r="Z115" s="1686"/>
      <c r="AA115" s="1686" t="str">
        <f>IF('Master Sheet'!$D$11="Hindi","हस्ताक्षर संस्था प्रधान","Head of Institute's Signature")</f>
        <v>हस्ताक्षर संस्था प्रधान</v>
      </c>
      <c r="AB115" s="1686"/>
      <c r="AC115" s="1686"/>
      <c r="AD115" s="1686"/>
      <c r="AE115" s="1686"/>
      <c r="AF115" s="1686"/>
      <c r="AQ115" s="17"/>
      <c r="AR115"/>
      <c r="AS115"/>
      <c r="AT115"/>
      <c r="AX115"/>
      <c r="AY115"/>
      <c r="AZ115"/>
      <c r="BE115" s="17"/>
      <c r="BF115" s="17"/>
    </row>
    <row r="116" spans="1:58">
      <c r="AN116" s="467"/>
    </row>
    <row r="117" spans="1:58" s="17" customFormat="1" ht="22.5" customHeight="1">
      <c r="A117" s="100"/>
      <c r="B117" s="93"/>
      <c r="C117" s="1670" t="str">
        <f>IF('Master Sheet'!$D$11="Hindi","वार्षिक रिपोर्ट कार्ड ","Report Card")</f>
        <v xml:space="preserve">वार्षिक रिपोर्ट कार्ड </v>
      </c>
      <c r="D117" s="1670"/>
      <c r="E117" s="1670"/>
      <c r="F117" s="1670"/>
      <c r="G117" s="1670"/>
      <c r="H117" s="1670"/>
      <c r="I117" s="1670"/>
      <c r="J117" s="1670"/>
      <c r="K117" s="1670"/>
      <c r="L117" s="1670"/>
      <c r="M117" s="1670"/>
      <c r="N117" s="1670"/>
      <c r="O117" s="464"/>
      <c r="P117" s="464"/>
      <c r="Q117"/>
      <c r="R117" s="93"/>
      <c r="S117" s="1670" t="str">
        <f>IF('Master Sheet'!$D$11="Hindi","वार्षिक रिपोर्ट कार्ड ","Report Card")</f>
        <v xml:space="preserve">वार्षिक रिपोर्ट कार्ड </v>
      </c>
      <c r="T117" s="1670"/>
      <c r="U117" s="1670"/>
      <c r="V117" s="1670"/>
      <c r="W117" s="1670"/>
      <c r="X117" s="1670"/>
      <c r="Y117" s="1670"/>
      <c r="Z117" s="1670"/>
      <c r="AA117" s="1670"/>
      <c r="AB117" s="1670"/>
      <c r="AC117" s="1670"/>
      <c r="AD117" s="1670"/>
      <c r="AE117" s="464"/>
      <c r="AF117" s="464"/>
      <c r="AH117" s="467"/>
      <c r="AI117" s="467"/>
      <c r="AJ117" s="467"/>
      <c r="AK117" s="467"/>
      <c r="AL117" s="467"/>
      <c r="AN117" s="467"/>
      <c r="AR117"/>
      <c r="AS117"/>
      <c r="AT117"/>
      <c r="AX117"/>
      <c r="AY117"/>
      <c r="AZ117"/>
    </row>
    <row r="118" spans="1:58" s="17" customFormat="1" ht="22.5" customHeight="1">
      <c r="A118" s="100"/>
      <c r="B118" s="93"/>
      <c r="C118" s="1719" t="str">
        <f>IF('Master Sheet'!$D$11="Hindi","शिक्षा विभाग, राजस्थान सरकार","Education Department, Rajasthan Government")</f>
        <v>शिक्षा विभाग, राजस्थान सरकार</v>
      </c>
      <c r="D118" s="1719"/>
      <c r="E118" s="1719"/>
      <c r="F118" s="1719"/>
      <c r="G118" s="1719"/>
      <c r="H118" s="1719"/>
      <c r="I118" s="1719"/>
      <c r="J118" s="1719"/>
      <c r="K118" s="1719"/>
      <c r="L118" s="1719"/>
      <c r="M118" s="1719"/>
      <c r="N118" s="1719"/>
      <c r="O118" s="464"/>
      <c r="P118" s="464"/>
      <c r="Q118"/>
      <c r="R118" s="93"/>
      <c r="S118" s="1719" t="str">
        <f>IF('Master Sheet'!$D$11="Hindi","शिक्षा विभाग, राजस्थान सरकार","Education Department, Rajasthan Government")</f>
        <v>शिक्षा विभाग, राजस्थान सरकार</v>
      </c>
      <c r="T118" s="1719"/>
      <c r="U118" s="1719"/>
      <c r="V118" s="1719"/>
      <c r="W118" s="1719"/>
      <c r="X118" s="1719"/>
      <c r="Y118" s="1719"/>
      <c r="Z118" s="1719"/>
      <c r="AA118" s="1719"/>
      <c r="AB118" s="1719"/>
      <c r="AC118" s="1719"/>
      <c r="AD118" s="1719"/>
      <c r="AE118" s="464"/>
      <c r="AF118" s="464"/>
      <c r="AH118" s="467"/>
      <c r="AI118" s="467"/>
      <c r="AJ118" s="467"/>
      <c r="AK118" s="467"/>
      <c r="AL118" s="467"/>
      <c r="AR118"/>
      <c r="AS118"/>
      <c r="AT118"/>
      <c r="AX118"/>
      <c r="AY118"/>
      <c r="AZ118"/>
    </row>
    <row r="119" spans="1:58" s="17" customFormat="1" ht="24.95" customHeight="1">
      <c r="A119" s="100"/>
      <c r="B119" s="1720" t="str">
        <f>IF('Master Sheet'!$D$11="Hindi",CONCATENATE("विद्यालय का नाम :-","  ",'Master Sheet'!$D$8),CONCATENATE("School Name :-","  ",'Master Sheet'!$D$7))</f>
        <v xml:space="preserve">विद्यालय का नाम :-  महात्मा गाँधी राजकीय विद्यालय (अंग्रेजी माध्यम) बर, पाली </v>
      </c>
      <c r="C119" s="1720"/>
      <c r="D119" s="1720"/>
      <c r="E119" s="1720"/>
      <c r="F119" s="1720"/>
      <c r="G119" s="1720"/>
      <c r="H119" s="1720"/>
      <c r="I119" s="1720"/>
      <c r="J119" s="1720"/>
      <c r="K119" s="1720"/>
      <c r="L119" s="1720"/>
      <c r="M119" s="1720"/>
      <c r="N119" s="1720"/>
      <c r="O119" s="1720"/>
      <c r="P119" s="1720"/>
      <c r="Q119"/>
      <c r="R119" s="1720" t="str">
        <f>IF('Master Sheet'!$D$11="Hindi",CONCATENATE("विद्यालय का नाम :-","  ",'Master Sheet'!$D$8),CONCATENATE("School Name :-","  ",'Master Sheet'!$D$7))</f>
        <v xml:space="preserve">विद्यालय का नाम :-  महात्मा गाँधी राजकीय विद्यालय (अंग्रेजी माध्यम) बर, पाली </v>
      </c>
      <c r="S119" s="1720"/>
      <c r="T119" s="1720"/>
      <c r="U119" s="1720"/>
      <c r="V119" s="1720"/>
      <c r="W119" s="1720"/>
      <c r="X119" s="1720"/>
      <c r="Y119" s="1720"/>
      <c r="Z119" s="1720"/>
      <c r="AA119" s="1720"/>
      <c r="AB119" s="1720"/>
      <c r="AC119" s="1720"/>
      <c r="AD119" s="1720"/>
      <c r="AE119" s="1720"/>
      <c r="AF119" s="1720"/>
      <c r="AH119" s="467"/>
      <c r="AI119" s="467"/>
      <c r="AJ119" s="467"/>
      <c r="AK119" s="467"/>
      <c r="AL119" s="467"/>
      <c r="AR119"/>
      <c r="AS119"/>
      <c r="AT119"/>
      <c r="AX119"/>
      <c r="AY119"/>
      <c r="AZ119"/>
    </row>
    <row r="120" spans="1:58" s="17" customFormat="1" ht="19.5" customHeight="1">
      <c r="A120" s="100"/>
      <c r="B120" s="713"/>
      <c r="C120" s="1721" t="str">
        <f>IF(AND(L123=""),"",IF(AND('Master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D120" s="1721"/>
      <c r="E120" s="1721"/>
      <c r="F120" s="1721"/>
      <c r="G120" s="1721"/>
      <c r="H120" s="1721"/>
      <c r="I120" s="1721"/>
      <c r="J120" s="1721"/>
      <c r="K120" s="1721"/>
      <c r="L120" s="1721"/>
      <c r="M120" s="1721"/>
      <c r="N120" s="1721"/>
      <c r="O120" s="1721"/>
      <c r="P120" s="713"/>
      <c r="Q120"/>
      <c r="R120" s="713"/>
      <c r="S120" s="1721" t="str">
        <f>IF(AND(AB123=""),"",IF(AND('Master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T120" s="1721"/>
      <c r="U120" s="1721"/>
      <c r="V120" s="1721"/>
      <c r="W120" s="1721"/>
      <c r="X120" s="1721"/>
      <c r="Y120" s="1721"/>
      <c r="Z120" s="1721"/>
      <c r="AA120" s="1721"/>
      <c r="AB120" s="1721"/>
      <c r="AC120" s="1721"/>
      <c r="AD120" s="1721"/>
      <c r="AE120" s="1721"/>
      <c r="AF120" s="713"/>
      <c r="AH120" s="467"/>
      <c r="AI120" s="467"/>
      <c r="AJ120" s="467"/>
      <c r="AK120" s="467"/>
      <c r="AL120" s="467"/>
      <c r="AN120" s="99"/>
      <c r="AR120"/>
      <c r="AS120"/>
      <c r="AT120"/>
      <c r="AX120"/>
      <c r="AY120"/>
      <c r="AZ120"/>
    </row>
    <row r="121" spans="1:58" s="467" customFormat="1" ht="21" customHeight="1">
      <c r="A121" s="465"/>
      <c r="B121" s="733" t="str">
        <f>IF('Master Sheet'!$D$11="Hindi","सत्र  :-","Session :-")</f>
        <v>सत्र  :-</v>
      </c>
      <c r="C121" s="1693" t="str">
        <f>'Marks Entry'!$H$1</f>
        <v>2025-2026</v>
      </c>
      <c r="D121" s="1693"/>
      <c r="E121" s="1693"/>
      <c r="F121" s="1693"/>
      <c r="G121" s="1693"/>
      <c r="H121" s="1693"/>
      <c r="I121" s="1691" t="str">
        <f>IF('Master Sheet'!$D$11="Hindi","कक्षा  :-","CLASS :- ")</f>
        <v>कक्षा  :-</v>
      </c>
      <c r="J121" s="1691"/>
      <c r="K121" s="1691"/>
      <c r="L121" s="1694" t="str">
        <f>CONCATENATE('Marks Entry'!$H$2," '",'Marks Entry'!$H$3,"'")</f>
        <v>11 'Arts'</v>
      </c>
      <c r="M121" s="1694"/>
      <c r="N121" s="1694"/>
      <c r="O121" s="1694"/>
      <c r="P121" s="714"/>
      <c r="Q121"/>
      <c r="R121" s="733" t="str">
        <f>IF('Master Sheet'!$D$11="Hindi","सत्र  :-","Session :-")</f>
        <v>सत्र  :-</v>
      </c>
      <c r="S121" s="1693" t="str">
        <f>'Marks Entry'!$H$1</f>
        <v>2025-2026</v>
      </c>
      <c r="T121" s="1693"/>
      <c r="U121" s="1693"/>
      <c r="V121" s="1693"/>
      <c r="W121" s="1693"/>
      <c r="X121" s="1693"/>
      <c r="Y121" s="1691" t="str">
        <f>IF('Master Sheet'!$D$11="Hindi","कक्षा  :-","CLASS :- ")</f>
        <v>कक्षा  :-</v>
      </c>
      <c r="Z121" s="1691"/>
      <c r="AA121" s="1691"/>
      <c r="AB121" s="1694" t="str">
        <f>CONCATENATE('Marks Entry'!$H$2," '",'Marks Entry'!$H$3,"'")</f>
        <v>11 'Arts'</v>
      </c>
      <c r="AC121" s="1694"/>
      <c r="AD121" s="1694"/>
      <c r="AE121" s="1694"/>
      <c r="AF121" s="714"/>
      <c r="AN121" s="99"/>
      <c r="AQ121" s="17"/>
      <c r="AR121"/>
      <c r="AS121" s="757">
        <f>L124</f>
        <v>40795</v>
      </c>
      <c r="AT121"/>
      <c r="AX121"/>
      <c r="AY121" s="757">
        <f>AB124</f>
        <v>38841</v>
      </c>
      <c r="AZ121"/>
      <c r="BE121" s="17"/>
      <c r="BF121" s="17"/>
    </row>
    <row r="122" spans="1:58" s="467" customFormat="1" ht="21" customHeight="1">
      <c r="A122" s="465"/>
      <c r="B122" s="734" t="str">
        <f>IF('Master Sheet'!$D$11="Hindi","विद्यार्थी का नाम :-","Student's Name :-")</f>
        <v>विद्यार्थी का नाम :-</v>
      </c>
      <c r="C122" s="1690" t="str">
        <f>IFERROR(VLOOKUP(L123,'Statement of Marks'!$B$8:'Statement of Marks'!$HI$207,4,0),"")</f>
        <v>P</v>
      </c>
      <c r="D122" s="1690"/>
      <c r="E122" s="1690"/>
      <c r="F122" s="1690"/>
      <c r="G122" s="1690"/>
      <c r="H122" s="1690"/>
      <c r="I122" s="1691" t="str">
        <f>IF('Master Sheet'!$D$11="Hindi","प्रवेशांक :","SR. NO. :")</f>
        <v>प्रवेशांक :</v>
      </c>
      <c r="J122" s="1691"/>
      <c r="K122" s="1691"/>
      <c r="L122" s="1726">
        <f>IFERROR(VLOOKUP(L123,'Statement of Marks'!$B$8:'Statement of Marks'!$HI$207,2,0),"")</f>
        <v>345</v>
      </c>
      <c r="M122" s="1726"/>
      <c r="N122" s="1726"/>
      <c r="O122" s="1726"/>
      <c r="P122" s="468"/>
      <c r="Q122"/>
      <c r="R122" s="734" t="str">
        <f>IF('Master Sheet'!$D$11="Hindi","विद्यार्थी का नाम :-","Student's Name :-")</f>
        <v>विद्यार्थी का नाम :-</v>
      </c>
      <c r="S122" s="1690" t="str">
        <f>IFERROR(VLOOKUP(AB123,'Statement of Marks'!$B$8:'Statement of Marks'!$HI$207,4,0),"")</f>
        <v>S</v>
      </c>
      <c r="T122" s="1690"/>
      <c r="U122" s="1690"/>
      <c r="V122" s="1690"/>
      <c r="W122" s="1690"/>
      <c r="X122" s="1690"/>
      <c r="Y122" s="1691" t="str">
        <f>IF('Master Sheet'!$D$11="Hindi","प्रवेशांक :","SR. NO. :")</f>
        <v>प्रवेशांक :</v>
      </c>
      <c r="Z122" s="1691"/>
      <c r="AA122" s="1691"/>
      <c r="AB122" s="1726">
        <f>IFERROR(VLOOKUP(AB123,'Statement of Marks'!$B$8:'Statement of Marks'!$HI$207,2,0),"")</f>
        <v>678</v>
      </c>
      <c r="AC122" s="1726"/>
      <c r="AD122" s="1726"/>
      <c r="AE122" s="1726"/>
      <c r="AF122" s="468"/>
      <c r="AQ122" s="17"/>
      <c r="AR122">
        <f>YEAR(AS121)</f>
        <v>2011</v>
      </c>
      <c r="AS122">
        <f>MONTH(AS121)</f>
        <v>9</v>
      </c>
      <c r="AT122">
        <f>DAY(AS121)</f>
        <v>9</v>
      </c>
      <c r="AU122" s="469"/>
      <c r="AX122">
        <f>YEAR(AY121)</f>
        <v>2006</v>
      </c>
      <c r="AY122">
        <f>MONTH(AY121)</f>
        <v>5</v>
      </c>
      <c r="AZ122">
        <f>DAY(AY121)</f>
        <v>4</v>
      </c>
      <c r="BE122" s="17"/>
      <c r="BF122" s="17"/>
    </row>
    <row r="123" spans="1:58" s="467" customFormat="1" ht="21" customHeight="1">
      <c r="A123" s="465"/>
      <c r="B123" s="734" t="str">
        <f>IF('Master Sheet'!$D$11="Hindi","पिता का नाम :-","Father's Name :-")</f>
        <v>पिता का नाम :-</v>
      </c>
      <c r="C123" s="1690" t="str">
        <f>IFERROR(VLOOKUP(L123,'Statement of Marks'!$B$8:'Statement of Marks'!$HI$207,5,0),"")</f>
        <v>P</v>
      </c>
      <c r="D123" s="1690"/>
      <c r="E123" s="1690"/>
      <c r="F123" s="1690"/>
      <c r="G123" s="1690"/>
      <c r="H123" s="1690"/>
      <c r="I123" s="1691" t="str">
        <f>IF('Master Sheet'!$D$11="Hindi","रोल नंबर :-","Roll No. :")</f>
        <v>रोल नंबर :-</v>
      </c>
      <c r="J123" s="1691"/>
      <c r="K123" s="1691"/>
      <c r="L123" s="1692">
        <f>IF(AB94="","",IF(AND(AB94+1&gt;$AN$11),"",AB94+1))</f>
        <v>1109</v>
      </c>
      <c r="M123" s="1692"/>
      <c r="N123" s="1692"/>
      <c r="O123" s="711"/>
      <c r="P123" s="468"/>
      <c r="Q123"/>
      <c r="R123" s="734" t="str">
        <f>IF('Master Sheet'!$D$11="Hindi","पिता का नाम :-","Father's Name :-")</f>
        <v>पिता का नाम :-</v>
      </c>
      <c r="S123" s="1690" t="str">
        <f>IFERROR(VLOOKUP(AB123,'Statement of Marks'!$B$8:'Statement of Marks'!$HI$207,5,0),"")</f>
        <v>M</v>
      </c>
      <c r="T123" s="1690"/>
      <c r="U123" s="1690"/>
      <c r="V123" s="1690"/>
      <c r="W123" s="1690"/>
      <c r="X123" s="1690"/>
      <c r="Y123" s="1691" t="str">
        <f>IF('Master Sheet'!$D$11="Hindi","रोल नंबर :-","Roll No. :")</f>
        <v>रोल नंबर :-</v>
      </c>
      <c r="Z123" s="1691"/>
      <c r="AA123" s="1691"/>
      <c r="AB123" s="1692">
        <f>IF(L123="","",IF(AND(L123+1&gt;$AN$11),"",L123+1))</f>
        <v>1110</v>
      </c>
      <c r="AC123" s="1692"/>
      <c r="AD123" s="1692"/>
      <c r="AE123" s="711"/>
      <c r="AF123" s="468"/>
      <c r="AQ123" s="17"/>
      <c r="AR123" t="str">
        <f>IF(AR122=2000,"दो हजार",IF(AR122=2001,"दो हजार एक",IF(AR122=2002,"दो हजार दो",IF(AR122=2003,"दो हजार तीन",IF(AR122=2004,"दो हजार चार",IF(AR122=2005,"दो हजार पांच",IF(AR122=2006,"दो हजार छः",IF(AR122=2007,"दो हजार सात",IF(AR122=2008,"दो हजार आठ",IF(AR122=2009,"दो हजार नौ",IF(AR122=2010,"दो हजार दस",IF(AR122=2011,"दो हजार ग्यारह",IF(AR122=2012,"दो हजार बारह",IF(AR122=2013,"दो हजार तेरह",IF(AR122=2014,"दो हजार चौदह",IF(AR122=2015,"दो हजार पंद्रह",IF(AR122=2016,"दो हजार सोलह",IF(AR122=2017,"दो हजार सत्रह",IF(AR122=2018,"दो हजार अठारह",IF(AR122=2019,"दो हजार उन्नीस",IF(AR122=2020,"दो हजार बीस",IF(AR122=2021,"दो हजार इक्कीस",IF(AR122=2022,"दो हजार बाइस","")))))))))))))))))))))))</f>
        <v>दो हजार ग्यारह</v>
      </c>
      <c r="AS123" t="str">
        <f>IF(AS122=1,"जनवरी",IF(AS122=2,"फरवरी",IF(AS122=3,"मार्च",IF(AS122=4,"अप्रैल",IF(AS122=5,"मई",IF(AS122=6,"जून",IF(AS122=7,"जुलाई",IF(AS122=8,"अगस्त",IF(AS122=9,"सितम्बर",IF(AS122=10,"अक्टूबर",IF(AS122=11,"नवम्बर",IF(AS122=12,"दिसम्बर",""))))))))))))</f>
        <v>सितम्बर</v>
      </c>
      <c r="AT123" t="str">
        <f>IF(AT122=1,"एक",IF(AT122=2,"दो",IF(AT122=3,"तीन",IF(AT122=4,"चार",IF(AT122=5,"पांच",IF(AT122=6,"छः",IF(AT122=7,"सात",IF(AT122=8,"आठ",IF(AT122=9,"नौ",IF(AT122=10,"दस",IF(AT122=11,"ग्यारह",IF(AT122=12,"बारह",IF(AT122=13,"तेरह",IF(AT122=14,"चौदह",IF(AT122=15,"पंद्रह",IF(AT122=16,"सोलह",IF(AT122=17,"सत्रह",IF(AT122=18,"अठारह",IF(AT122=19,"उन्नीस",IF(AT122=20,"बीस",IF(AT122=21,"इक्कीस",IF(AT122=22,"बाइस",IF(AT122=23,"तेईस",IF(AT122=24,"चौबीस",IF(AT122=25,"पचीस",IF(AT122=26,"छबीस",IF(AT122=27,"सताईस",IF(AT122=28,"अठाइस",IF(AT122=29,"उन्नतीस",IF(AT122=30,"तीस",IF(AT122=31,"इकतीस","")))))))))))))))))))))))))))))))</f>
        <v>नौ</v>
      </c>
      <c r="AX123" t="str">
        <f>IF(AX122=2000,"दो हजार",IF(AX122=2001,"दो हजार एक",IF(AX122=2002,"दो हजार दो",IF(AX122=2003,"दो हजार तीन",IF(AX122=2004,"दो हजार चार",IF(AX122=2005,"दो हजार पांच",IF(AX122=2006,"दो हजार छः",IF(AX122=2007,"दो हजार सात",IF(AX122=2008,"दो हजार आठ",IF(AX122=2009,"दो हजार नौ",IF(AX122=2010,"दो हजार दस",IF(AX122=2011,"दो हजार ग्यारह",IF(AX122=2012,"दो हजार बारह",IF(AX122=2013,"दो हजार तेरह",IF(AX122=2014,"दो हजार चौदह",IF(AX122=2015,"दो हजार पंद्रह",IF(AX122=2016,"दो हजार सोलह",IF(AX122=2017,"दो हजार सत्रह",IF(AX122=2018,"दो हजार अठारह",IF(AX122=2019,"दो हजार उन्नीस",IF(AX122=2020,"दो हजार बीस",IF(AX122=2021,"दो हजार इक्कीस",IF(AX122=2022,"दो हजार बाइस","")))))))))))))))))))))))</f>
        <v>दो हजार छः</v>
      </c>
      <c r="AY123" t="str">
        <f>IF(AY122=1,"जनवरी",IF(AY122=2,"फरवरी",IF(AY122=3,"मार्च",IF(AY122=4,"अप्रैल",IF(AY122=5,"मई",IF(AY122=6,"जून",IF(AY122=7,"जुलाई",IF(AY122=8,"अगस्त",IF(AY122=9,"सितम्बर",IF(AY122=10,"अक्टूबर",IF(AY122=11,"नवम्बर",IF(AY122=12,"दिसम्बर",""))))))))))))</f>
        <v>मई</v>
      </c>
      <c r="AZ123" t="str">
        <f>IF(AZ122=1,"एक",IF(AZ122=2,"दो",IF(AZ122=3,"तीन",IF(AZ122=4,"चार",IF(AZ122=5,"पांच",IF(AZ122=6,"छः",IF(AZ122=7,"सात",IF(AZ122=8,"आठ",IF(AZ122=9,"नौ",IF(AZ122=10,"दस",IF(AZ122=11,"ग्यारह",IF(AZ122=12,"बारह",IF(AZ122=13,"तेरह",IF(AZ122=14,"चौदह",IF(AZ122=15,"पंद्रह",IF(AZ122=16,"सोलह",IF(AZ122=17,"सत्रह",IF(AZ122=18,"अठारह",IF(AZ122=19,"उन्नीस",IF(AZ122=20,"बीस",IF(AZ122=21,"इक्कीस",IF(AZ122=22,"बाइस",IF(AZ122=23,"तेईस",IF(AZ122=24,"चौबीस",IF(AZ122=25,"पचीस",IF(AZ122=26,"छबीस",IF(AZ122=27,"सताईस",IF(AZ122=28,"अठाइस",IF(AZ122=29,"उन्नतीस",IF(AZ122=30,"तीस",IF(AZ122=31,"इकतीस","")))))))))))))))))))))))))))))))</f>
        <v>चार</v>
      </c>
      <c r="BE123" s="17"/>
      <c r="BF123" s="17"/>
    </row>
    <row r="124" spans="1:58" s="467" customFormat="1" ht="21" customHeight="1">
      <c r="A124" s="465"/>
      <c r="B124" s="733" t="str">
        <f>IF('Master Sheet'!$D$11="Hindi","माता का नाम :-","Mother's Name :-")</f>
        <v>माता का नाम :-</v>
      </c>
      <c r="C124" s="1690" t="str">
        <f>IFERROR(VLOOKUP(L123,'Statement of Marks'!$B$8:'Statement of Marks'!$HI$207,6,0),"")</f>
        <v>N</v>
      </c>
      <c r="D124" s="1690"/>
      <c r="E124" s="1690"/>
      <c r="F124" s="1690"/>
      <c r="G124" s="1690"/>
      <c r="H124" s="1690"/>
      <c r="I124" s="1691" t="str">
        <f>IF('Master Sheet'!$D$11="Hindi","जन्म तिथि :","Date of Birth :")</f>
        <v>जन्म तिथि :</v>
      </c>
      <c r="J124" s="1691"/>
      <c r="K124" s="1691"/>
      <c r="L124" s="1723">
        <f>IFERROR(VLOOKUP(L123,'Statement of Marks'!$B$8:'Statement of Marks'!$HI$207,3,0),"")</f>
        <v>40795</v>
      </c>
      <c r="M124" s="1723"/>
      <c r="N124" s="1723"/>
      <c r="O124" s="1723"/>
      <c r="Q124"/>
      <c r="R124" s="733" t="str">
        <f>IF('Master Sheet'!$D$11="Hindi","माता का नाम :-","Mother's Name :-")</f>
        <v>माता का नाम :-</v>
      </c>
      <c r="S124" s="1690" t="str">
        <f>IFERROR(VLOOKUP(AB123,'Statement of Marks'!$B$8:'Statement of Marks'!$HI$207,6,0),"")</f>
        <v>B</v>
      </c>
      <c r="T124" s="1690"/>
      <c r="U124" s="1690"/>
      <c r="V124" s="1690"/>
      <c r="W124" s="1690"/>
      <c r="X124" s="1690"/>
      <c r="Y124" s="1691" t="str">
        <f>IF('Master Sheet'!$D$11="Hindi","जन्म तिथि :","Date of Birth :")</f>
        <v>जन्म तिथि :</v>
      </c>
      <c r="Z124" s="1691"/>
      <c r="AA124" s="1691"/>
      <c r="AB124" s="1723">
        <f>IFERROR(VLOOKUP(AB123,'Statement of Marks'!$B$8:'Statement of Marks'!$HI$207,3,0),"")</f>
        <v>38841</v>
      </c>
      <c r="AC124" s="1723"/>
      <c r="AD124" s="1723"/>
      <c r="AE124" s="1723"/>
      <c r="AQ124" s="17"/>
      <c r="AR124"/>
      <c r="AS124" t="str">
        <f>CONCATENATE(AT123," ",AS123," ",AR123)</f>
        <v>नौ सितम्बर दो हजार ग्यारह</v>
      </c>
      <c r="AT124"/>
      <c r="AX124"/>
      <c r="AY124" t="str">
        <f>CONCATENATE(AZ123," ",AY123," ",AX123)</f>
        <v>चार मई दो हजार छः</v>
      </c>
      <c r="AZ124"/>
      <c r="BE124" s="17"/>
      <c r="BF124" s="17"/>
    </row>
    <row r="125" spans="1:58" s="467" customFormat="1" ht="21" customHeight="1">
      <c r="A125" s="465"/>
      <c r="B125" s="466"/>
      <c r="C125" s="716"/>
      <c r="D125" s="716"/>
      <c r="E125" s="716"/>
      <c r="F125" s="716"/>
      <c r="G125" s="716"/>
      <c r="H125" s="716"/>
      <c r="I125" s="1691" t="str">
        <f>IF('Master Sheet'!$D$11="Hindi","जन्मतिथि शब्दों में :","Date of Birth in Words :")</f>
        <v>जन्मतिथि शब्दों में :</v>
      </c>
      <c r="J125" s="1691"/>
      <c r="K125" s="1691"/>
      <c r="L125" s="1724" t="str">
        <f>IF('Master Sheet'!$D$11="Hindi",AS124,AS126)</f>
        <v>नौ सितम्बर दो हजार ग्यारह</v>
      </c>
      <c r="M125" s="1724"/>
      <c r="N125" s="1724"/>
      <c r="O125" s="1724"/>
      <c r="P125" s="1724"/>
      <c r="Q125"/>
      <c r="R125" s="466"/>
      <c r="S125" s="716"/>
      <c r="T125" s="716"/>
      <c r="U125" s="716"/>
      <c r="V125" s="716"/>
      <c r="W125" s="716"/>
      <c r="X125" s="716"/>
      <c r="Y125" s="1691" t="str">
        <f>IF('Master Sheet'!$D$11="Hindi","जन्मतिथि शब्दों में :","Date of Birth in Words :")</f>
        <v>जन्मतिथि शब्दों में :</v>
      </c>
      <c r="Z125" s="1691"/>
      <c r="AA125" s="1691"/>
      <c r="AB125" s="1724" t="str">
        <f>IF('Master Sheet'!$D$11="Hindi",AY124,AY126)</f>
        <v>चार मई दो हजार छः</v>
      </c>
      <c r="AC125" s="1724"/>
      <c r="AD125" s="1724"/>
      <c r="AE125" s="1724"/>
      <c r="AF125" s="1724"/>
      <c r="AQ125" s="17"/>
      <c r="AR125" t="str">
        <f>IF(AR122=1961,"NINETEEN SIXTY ONE",IF(AR122=1962,"NINETEEN SIXTY TWO",IF(AR122=1963,"NINETEEN SIXTY THREE",IF(AR122=1964,"NINETEEN SIXTY FOUR",IF(AR122=1965,"NINETEEN SIXTY FIVE",IF(AR122=1966,"NINETEEN SIXTY SIX",IF(AR122=1967,"NINETEEN SIXTY SEVEN",IF(AR122=1968,"NINETEEN SIXTY EIGHT",IF(AR122=1969,"NINETEEN SIXTY NINE",IF(AR122=1970,"NINETEEN SEVENTY",IF(AR122=1971,"NINETEEN SEVENTY ONE",IF(AR122=1972,"NINETEEN SEVENTY TWO",IF(AR122=1973,"NINETEEN SEVENTY THREE",IF(AR122=1974,"NINETEEN SEVENTY FOUR",IF(AR122=1975,"NINETEEN SEVENTY FIVE",IF(AR122=1976,"NINETEEN SEVENTY SIX",IF(AR122=1977,"NINETEEN SEVENTY SEVEN",IF(AR122=1978,"NINETEEN SEVENTY EIGHT",IF(AR122=1979,"NINETEEN SEVENTY NINE",IF(AR122=1980,"NINETEEN EIGHTY",IF(AR122=1981,"NINETEEN EIGHTY ONE",IF(AR122=1982,"NINETEEN EIGHTY TWO",IF(AR122=1983,"NINETEEN EIGHTY THREE",IF(AR122=1984,"NINETEEN EIGHTY FOUR",IF(AR122=1985,"NINETEEN EIGHTY FIVE",IF(AR122=1986,"NINETEEN EIGHTY SIX",IF(AR122=1987,"NINETEEN EIGHTY SEVEN",IF(AR122=1988,"NINETEEN EIGHTY EIGHT",IF(AR122=1989,"NINETEEN EIGHTY NINE",IF(AR122=1990,"NINETEEN NINETY",IF(AR122=1991,"NINETEEN NINETY ONE",IF(AR122=1992,"NINETEEN NINETY TWO",IF(AR122=1993,"NINETEEN NINETY THREE",IF(AR122=1994,"NINETEEN NINETY FOUR",IF(AR122=1995,"NINETEEN NINETY FIVE",IF(AR122=1996,"NINETEEN NINETY SIX",IF(AR122=1997,"NINETEEN NINETY SEVEN",IF(AR122=1998,"NINETEEN NINETY EIGHT",IF(AR122=1999,"NINETEEN NINETY NINE",IF(AR122=2000,"TWO THOUSAND",IF(AR122=2001,"TWO THOUSAND ONE",IF(AR122=2002,"TWO THOUSAND TWO",IF(AR122=2003,"TWO THOUSAND THREE",IF(AR122=2004,"TWO THOUSAND FOUR",IF(AR122=2005,"TWO THOUSAND FIVE",IF(AR122=2006,"TWO THOUSAND SIX",IF(AR122=2007,"TWO THOUSAND SEVEN",IF(AR122=2008,"TWO THOUSAND EIGHT",IF(AR122=2009,"TWO THOUSAND NINE",IF(AR122=2010,"TWO THOUSAND TEN",IF(AR122=2011,"TWO THOUSAND ELEVEN",IF(AR122=2012,"TWO THOUSAND TWELVE",IF(AR122=2013,"TWO THOUSAND THIRTEEN",IF(AR122=2014,"TWO THOUSAND FOURTEEN",IF(AR122=2015,"TWO THOUSAND FIFTEEN",IF(AR122=2016,"TWO THOUSAND SIXTEEN",IF(AR122=2017,"TWO THOUSAND SEVENTEEN",IF(AR122=2018,"TWO THOUSAND EIGHTEEN",IF(AR122=2019,"TWO THOUSAND NINETEEN",IF(AR122=2020,"TWO THOUSAND TWENTY",IF(AR122=2021,"TWO THOUSAND TWENTY ONE",IF(AR122=2022,"TWO THOUSAND TWENTY TWO",IF(AR122=2023,"TWO THOUSAND TWENTY THREE",IF(AR122=2024,"TWO THOUSAND TWENTY FOUR",IF(AR122=2025,"TWO THOUSAND TWENTY FIVE","")))))))))))))))))))))))))))))))))))))))))))))))))))))))))))))))))</f>
        <v>TWO THOUSAND ELEVEN</v>
      </c>
      <c r="AS125" t="str">
        <f>IF(AS122=1,"JANUARY",IF(AS122=2,"FEBUARY", IF(AS122=3,"MARCH",IF(AS122=4,"APRIL",IF(AS122=5,"MAY",IF(AS122=6,"JUNE",IF(AS122=7,"JULY",IF(AS122=8,"AUGUST",IF(AS122=9,"SEPTEMBER",IF(AS122=10,"OCTOBER",IF(AS122=11,"NOVEMBER",IF(AS122=12,"DECEMBER",""))))))))))))</f>
        <v>SEPTEMBER</v>
      </c>
      <c r="AT125" t="str">
        <f>IF(AT122=1,"1ST",IF(AT122=2,"2ND", IF(AT122=3,"3RD",IF(AT122=4,"FOURTH",IF(AT122=5,"FIFTH",IF(AT122=6,"SIXTH",IF(AT122=7,"7TH",IF(AT122=8,"8TH",IF(AT122=9,"9TH",IF(AT122=10,"10TH",IF(AT122=11,"11TH",IF(AT122=12,"12TH",IF(AT122=13,"13TH",IF(AT122=14,"14TH",IF(AT122=15,"FIFTEEN",IF(AT122=16,"SIXTEEN",IF(AT122=17,"SEVENTEEN",IF(AT122=18,"EIGHTEEN",IF(AT122=19,"NINETEEN",IF(AT122=20,"TWENTY",IF(AT122=21,"TWENTY FIRST",IF(AT122=22,"TWENTY SECOND",IF(AT122=23,"TWENTY THIRD",IF(AT122=24,"TWENTY FOURTH",IF(AT122=25,"TWENTY FIFTH",IF(AT122=26,"TWENTY SIX",IF(AT122=27,"TWENTY SEVEN",IF(AT122=28,"TWENTY EIGHT",IF(AT122=29,"TWENTY NINE",IF(AT122=30,"THIRTY",IF(AT122=31,"THIRTY FIRST","")))))))))))))))))))))))))))))))</f>
        <v>9TH</v>
      </c>
      <c r="AX125" t="str">
        <f>IF(AX122=1961,"NINETEEN SIXTY ONE",IF(AX122=1962,"NINETEEN SIXTY TWO",IF(AX122=1963,"NINETEEN SIXTY THREE",IF(AX122=1964,"NINETEEN SIXTY FOUR",IF(AX122=1965,"NINETEEN SIXTY FIVE",IF(AX122=1966,"NINETEEN SIXTY SIX",IF(AX122=1967,"NINETEEN SIXTY SEVEN",IF(AX122=1968,"NINETEEN SIXTY EIGHT",IF(AX122=1969,"NINETEEN SIXTY NINE",IF(AX122=1970,"NINETEEN SEVENTY",IF(AX122=1971,"NINETEEN SEVENTY ONE",IF(AX122=1972,"NINETEEN SEVENTY TWO",IF(AX122=1973,"NINETEEN SEVENTY THREE",IF(AX122=1974,"NINETEEN SEVENTY FOUR",IF(AX122=1975,"NINETEEN SEVENTY FIVE",IF(AX122=1976,"NINETEEN SEVENTY SIX",IF(AX122=1977,"NINETEEN SEVENTY SEVEN",IF(AX122=1978,"NINETEEN SEVENTY EIGHT",IF(AX122=1979,"NINETEEN SEVENTY NINE",IF(AX122=1980,"NINETEEN EIGHTY",IF(AX122=1981,"NINETEEN EIGHTY ONE",IF(AX122=1982,"NINETEEN EIGHTY TWO",IF(AX122=1983,"NINETEEN EIGHTY THREE",IF(AX122=1984,"NINETEEN EIGHTY FOUR",IF(AX122=1985,"NINETEEN EIGHTY FIVE",IF(AX122=1986,"NINETEEN EIGHTY SIX",IF(AX122=1987,"NINETEEN EIGHTY SEVEN",IF(AX122=1988,"NINETEEN EIGHTY EIGHT",IF(AX122=1989,"NINETEEN EIGHTY NINE",IF(AX122=1990,"NINETEEN NINETY",IF(AX122=1991,"NINETEEN NINETY ONE",IF(AX122=1992,"NINETEEN NINETY TWO",IF(AX122=1993,"NINETEEN NINETY THREE",IF(AX122=1994,"NINETEEN NINETY FOUR",IF(AX122=1995,"NINETEEN NINETY FIVE",IF(AX122=1996,"NINETEEN NINETY SIX",IF(AX122=1997,"NINETEEN NINETY SEVEN",IF(AX122=1998,"NINETEEN NINETY EIGHT",IF(AX122=1999,"NINETEEN NINETY NINE",IF(AX122=2000,"TWO THOUSAND",IF(AX122=2001,"TWO THOUSAND ONE",IF(AX122=2002,"TWO THOUSAND TWO",IF(AX122=2003,"TWO THOUSAND THREE",IF(AX122=2004,"TWO THOUSAND FOUR",IF(AX122=2005,"TWO THOUSAND FIVE",IF(AX122=2006,"TWO THOUSAND SIX",IF(AX122=2007,"TWO THOUSAND SEVEN",IF(AX122=2008,"TWO THOUSAND EIGHT",IF(AX122=2009,"TWO THOUSAND NINE",IF(AX122=2010,"TWO THOUSAND TEN",IF(AX122=2011,"TWO THOUSAND ELEVEN",IF(AX122=2012,"TWO THOUSAND TWELVE",IF(AX122=2013,"TWO THOUSAND THIRTEEN",IF(AX122=2014,"TWO THOUSAND FOURTEEN",IF(AX122=2015,"TWO THOUSAND FIFTEEN",IF(AX122=2016,"TWO THOUSAND SIXTEEN",IF(AX122=2017,"TWO THOUSAND SEVENTEEN",IF(AX122=2018,"TWO THOUSAND EIGHTEEN",IF(AX122=2019,"TWO THOUSAND NINETEEN",IF(AX122=2020,"TWO THOUSAND TWENTY",IF(AX122=2021,"TWO THOUSAND TWENTY ONE",IF(AX122=2022,"TWO THOUSAND TWENTY TWO",IF(AX122=2023,"TWO THOUSAND TWENTY THREE",IF(AX122=2024,"TWO THOUSAND TWENTY FOUR",IF(AX122=2025,"TWO THOUSAND TWENTY FIVE","")))))))))))))))))))))))))))))))))))))))))))))))))))))))))))))))))</f>
        <v>TWO THOUSAND SIX</v>
      </c>
      <c r="AY125" t="str">
        <f>IF(AY122=1,"JANUARY",IF(AY122=2,"FEBUARY", IF(AY122=3,"MARCH",IF(AY122=4,"APRIL",IF(AY122=5,"MAY",IF(AY122=6,"JUNE",IF(AY122=7,"JULY",IF(AY122=8,"AUGUST",IF(AY122=9,"SEPTEMBER",IF(AY122=10,"OCTOBER",IF(AY122=11,"NOVEMBER",IF(AY122=12,"DECEMBER",""))))))))))))</f>
        <v>MAY</v>
      </c>
      <c r="AZ125" t="str">
        <f>IF(AZ122=1,"1ST",IF(AZ122=2,"2ND", IF(AZ122=3,"3RD",IF(AZ122=4,"FOURTH",IF(AZ122=5,"FIFTH",IF(AZ122=6,"SIXTH",IF(AZ122=7,"7TH",IF(AZ122=8,"8TH",IF(AZ122=9,"9TH",IF(AZ122=10,"10TH",IF(AZ122=11,"11TH",IF(AZ122=12,"12TH",IF(AZ122=13,"13TH",IF(AZ122=14,"14TH",IF(AZ122=15,"FIFTEEN",IF(AZ122=16,"SIXTEEN",IF(AZ122=17,"SEVENTEEN",IF(AZ122=18,"EIGHTEEN",IF(AZ122=19,"NINETEEN",IF(AZ122=20,"TWENTY",IF(AZ122=21,"TWENTY FIRST",IF(AZ122=22,"TWENTY SECOND",IF(AZ122=23,"TWENTY THIRD",IF(AZ122=24,"TWENTY FOURTH",IF(AZ122=25,"TWENTY FIFTH",IF(AZ122=26,"TWENTY SIX",IF(AZ122=27,"TWENTY SEVEN",IF(AZ122=28,"TWENTY EIGHT",IF(AZ122=29,"TWENTY NINE",IF(AZ122=30,"THIRTY",IF(AZ122=31,"THIRTY FIRST","")))))))))))))))))))))))))))))))</f>
        <v>FOURTH</v>
      </c>
      <c r="BE125" s="17"/>
      <c r="BF125" s="17"/>
    </row>
    <row r="126" spans="1:58" s="467" customFormat="1" ht="9.75" customHeight="1">
      <c r="A126" s="465"/>
      <c r="B126" s="1712"/>
      <c r="C126" s="1712"/>
      <c r="D126" s="1712"/>
      <c r="E126" s="1712"/>
      <c r="F126" s="1712"/>
      <c r="G126" s="1712"/>
      <c r="H126" s="1712"/>
      <c r="I126" s="1712"/>
      <c r="J126" s="1712"/>
      <c r="K126" s="1712"/>
      <c r="L126" s="1712"/>
      <c r="M126" s="1712"/>
      <c r="N126" s="1712"/>
      <c r="O126" s="1712"/>
      <c r="P126" s="715"/>
      <c r="Q126"/>
      <c r="R126" s="1713"/>
      <c r="S126" s="1713"/>
      <c r="T126" s="1713"/>
      <c r="U126" s="1713"/>
      <c r="V126" s="1713"/>
      <c r="W126" s="1713"/>
      <c r="X126" s="1713"/>
      <c r="Y126" s="1713"/>
      <c r="Z126" s="1713"/>
      <c r="AA126" s="1713"/>
      <c r="AB126" s="1713"/>
      <c r="AC126" s="1713"/>
      <c r="AD126" s="1713"/>
      <c r="AE126" s="1713"/>
      <c r="AF126" s="712"/>
      <c r="AQ126" s="17"/>
      <c r="AR126"/>
      <c r="AS126" t="str">
        <f>CONCATENATE(AS125," ",AT125,", ",AR125)</f>
        <v>SEPTEMBER 9TH, TWO THOUSAND ELEVEN</v>
      </c>
      <c r="AT126"/>
      <c r="AX126"/>
      <c r="AY126" t="str">
        <f>CONCATENATE(AY125," ",AZ125,", ",AX125)</f>
        <v>MAY FOURTH, TWO THOUSAND SIX</v>
      </c>
      <c r="AZ126"/>
      <c r="BE126" s="17"/>
      <c r="BF126" s="17"/>
    </row>
    <row r="127" spans="1:58" s="467" customFormat="1" ht="27.75" customHeight="1">
      <c r="A127" s="465"/>
      <c r="B127" s="1685" t="str">
        <f>IF('Master Sheet'!$D$11="Hindi","विषय का नाम","Subject Name")</f>
        <v>विषय का नाम</v>
      </c>
      <c r="C127" s="1681" t="str">
        <f>IF('Master Sheet'!$D$11="Hindi","सामयिक परख","Seasonal Exam")</f>
        <v>सामयिक परख</v>
      </c>
      <c r="D127" s="1681"/>
      <c r="E127" s="1681"/>
      <c r="F127" s="1681"/>
      <c r="G127" s="1681" t="str">
        <f>IF('Master Sheet'!$D$11="Hindi","अर्द्धवार्षिक","Half Yearly")</f>
        <v>अर्द्धवार्षिक</v>
      </c>
      <c r="H127" s="1681"/>
      <c r="I127" s="1681"/>
      <c r="J127" s="1682" t="str">
        <f>IF('Master Sheet'!$D$11="Hindi","अर्द्ध वा. तक योग","Total Till H.Y.")</f>
        <v>अर्द्ध वा. तक योग</v>
      </c>
      <c r="K127" s="1681" t="str">
        <f>IF('Master Sheet'!$D$11="Hindi","वार्षिक","Yearly Exam")</f>
        <v>वार्षिक</v>
      </c>
      <c r="L127" s="1681"/>
      <c r="M127" s="1681"/>
      <c r="N127" s="1681"/>
      <c r="O127" s="1683" t="str">
        <f>IF('Master Sheet'!$D$11="Hindi","विषय कुल योग ","Subject Total")</f>
        <v xml:space="preserve">विषय कुल योग </v>
      </c>
      <c r="P127" s="1684" t="str">
        <f>IF('Master Sheet'!$D$11="Hindi","विषय परिणाम / विषय श्रेणी","Sub. Result /  Sub. Div.")</f>
        <v>विषय परिणाम / विषय श्रेणी</v>
      </c>
      <c r="Q127"/>
      <c r="R127" s="1685" t="str">
        <f>IF('Master Sheet'!$D$11="Hindi","विषय का नाम","Subject Name")</f>
        <v>विषय का नाम</v>
      </c>
      <c r="S127" s="1681" t="str">
        <f>IF('Master Sheet'!$D$11="Hindi","सामयिक परख","Seasonal Exam")</f>
        <v>सामयिक परख</v>
      </c>
      <c r="T127" s="1681"/>
      <c r="U127" s="1681"/>
      <c r="V127" s="1681"/>
      <c r="W127" s="1681" t="str">
        <f>IF('Master Sheet'!$D$11="Hindi","अर्द्धवार्षिक","Half Yearly")</f>
        <v>अर्द्धवार्षिक</v>
      </c>
      <c r="X127" s="1681"/>
      <c r="Y127" s="1681"/>
      <c r="Z127" s="1682" t="str">
        <f>IF('Master Sheet'!$D$11="Hindi","अर्द्ध वा. तक योग","Total Till H.Y.")</f>
        <v>अर्द्ध वा. तक योग</v>
      </c>
      <c r="AA127" s="1681" t="str">
        <f>IF('Master Sheet'!$D$11="Hindi","वार्षिक","Yearly Exam")</f>
        <v>वार्षिक</v>
      </c>
      <c r="AB127" s="1681"/>
      <c r="AC127" s="1681"/>
      <c r="AD127" s="1681"/>
      <c r="AE127" s="1683" t="str">
        <f>IF('Master Sheet'!$D$11="Hindi","विषय कुल योग ","Subject Total")</f>
        <v xml:space="preserve">विषय कुल योग </v>
      </c>
      <c r="AF127" s="1684" t="str">
        <f>IF('Master Sheet'!$D$11="Hindi","विषय परिणाम / विषय श्रेणी","Sub. Result /  Sub. Div.")</f>
        <v>विषय परिणाम / विषय श्रेणी</v>
      </c>
      <c r="AQ127" s="17"/>
      <c r="AR127"/>
      <c r="AS127"/>
      <c r="AT127"/>
      <c r="AX127"/>
      <c r="AY127"/>
      <c r="AZ127"/>
      <c r="BE127" s="17"/>
      <c r="BF127" s="17"/>
    </row>
    <row r="128" spans="1:58" s="467" customFormat="1" ht="78.75" customHeight="1">
      <c r="A128" s="465"/>
      <c r="B128" s="1685"/>
      <c r="C128" s="739" t="str">
        <f>IF('Master Sheet'!$D$11="Hindi","प्रथम परख ","First Test")</f>
        <v xml:space="preserve">प्रथम परख </v>
      </c>
      <c r="D128" s="739" t="str">
        <f>IF('Master Sheet'!$D$11="Hindi","द्वितीय परख","Second Test")</f>
        <v>द्वितीय परख</v>
      </c>
      <c r="E128" s="739" t="str">
        <f>IF('Master Sheet'!$D$11="Hindi","तृतीय परख","Third Test")</f>
        <v>तृतीय परख</v>
      </c>
      <c r="F128" s="740" t="str">
        <f>IF('Master Sheet'!$D$11="Hindi","सा. परख योग","Test Total")</f>
        <v>सा. परख योग</v>
      </c>
      <c r="G128" s="739" t="str">
        <f>IF('Master Sheet'!$D$11="Hindi","सैद्धांतिक","Theoretical")</f>
        <v>सैद्धांतिक</v>
      </c>
      <c r="H128" s="739" t="str">
        <f>IF('Master Sheet'!$D$11="Hindi","प्रायोगिक","Practical")</f>
        <v>प्रायोगिक</v>
      </c>
      <c r="I128" s="741" t="str">
        <f>IF('Master Sheet'!$D$11="Hindi","अर्द्ध वा. योग","Total H.Y.")</f>
        <v>अर्द्ध वा. योग</v>
      </c>
      <c r="J128" s="1682"/>
      <c r="K128" s="739" t="str">
        <f>IF('Master Sheet'!$D$11="Hindi","सैद्धांतिक","Theoretical")</f>
        <v>सैद्धांतिक</v>
      </c>
      <c r="L128" s="739" t="str">
        <f>IF('Master Sheet'!$D$11="Hindi","प्रायोगिक","Practical")</f>
        <v>प्रायोगिक</v>
      </c>
      <c r="M128" s="739" t="str">
        <f>IF('Master Sheet'!$D$11="Hindi","पोर्टफोलियो","Portfolio")</f>
        <v>पोर्टफोलियो</v>
      </c>
      <c r="N128" s="741" t="str">
        <f>IF('Master Sheet'!$D$11="Hindi","वार्षिक योग","Total Yearly")</f>
        <v>वार्षिक योग</v>
      </c>
      <c r="O128" s="1683"/>
      <c r="P128" s="1684"/>
      <c r="Q128"/>
      <c r="R128" s="1685"/>
      <c r="S128" s="739" t="str">
        <f>IF('Master Sheet'!$D$11="Hindi","प्रथम परख ","First Test")</f>
        <v xml:space="preserve">प्रथम परख </v>
      </c>
      <c r="T128" s="739" t="str">
        <f>IF('Master Sheet'!$D$11="Hindi","द्वितीय परख","Second Test")</f>
        <v>द्वितीय परख</v>
      </c>
      <c r="U128" s="739" t="str">
        <f>IF('Master Sheet'!$D$11="Hindi","तृतीय परख","Third Test")</f>
        <v>तृतीय परख</v>
      </c>
      <c r="V128" s="740" t="str">
        <f>IF('Master Sheet'!$D$11="Hindi","सा. परख योग","Test Total")</f>
        <v>सा. परख योग</v>
      </c>
      <c r="W128" s="739" t="str">
        <f>IF('Master Sheet'!$D$11="Hindi","सैद्धांतिक","Theoretical")</f>
        <v>सैद्धांतिक</v>
      </c>
      <c r="X128" s="739" t="str">
        <f>IF('Master Sheet'!$D$11="Hindi","प्रायोगिक","Practical")</f>
        <v>प्रायोगिक</v>
      </c>
      <c r="Y128" s="741" t="str">
        <f>IF('Master Sheet'!$D$11="Hindi","अर्द्ध वा. योग","Total H.Y.")</f>
        <v>अर्द्ध वा. योग</v>
      </c>
      <c r="Z128" s="1682"/>
      <c r="AA128" s="739" t="str">
        <f>IF('Master Sheet'!$D$11="Hindi","सैद्धांतिक","Theoretical")</f>
        <v>सैद्धांतिक</v>
      </c>
      <c r="AB128" s="739" t="str">
        <f>IF('Master Sheet'!$D$11="Hindi","प्रायोगिक","Practical")</f>
        <v>प्रायोगिक</v>
      </c>
      <c r="AC128" s="739" t="str">
        <f>IF('Master Sheet'!$D$11="Hindi","पोर्टफोलियो","Portfolio")</f>
        <v>पोर्टफोलियो</v>
      </c>
      <c r="AD128" s="741" t="str">
        <f>IF('Master Sheet'!$D$11="Hindi","वार्षिक योग","Total Yearly")</f>
        <v>वार्षिक योग</v>
      </c>
      <c r="AE128" s="1683"/>
      <c r="AF128" s="1684"/>
      <c r="AQ128" s="17"/>
      <c r="AR128"/>
      <c r="AS128"/>
      <c r="AT128"/>
      <c r="AX128"/>
      <c r="AY128"/>
      <c r="AZ128"/>
      <c r="BE128" s="17"/>
      <c r="BF128" s="17"/>
    </row>
    <row r="129" spans="1:58" s="471" customFormat="1" ht="28.5" customHeight="1">
      <c r="A129" s="470"/>
      <c r="B129" s="1685"/>
      <c r="C129" s="736">
        <v>10</v>
      </c>
      <c r="D129" s="736">
        <v>10</v>
      </c>
      <c r="E129" s="736">
        <v>10</v>
      </c>
      <c r="F129" s="788">
        <v>30</v>
      </c>
      <c r="G129" s="737" t="s">
        <v>289</v>
      </c>
      <c r="H129" s="717" t="s">
        <v>285</v>
      </c>
      <c r="I129" s="738">
        <v>70</v>
      </c>
      <c r="J129" s="745">
        <v>100</v>
      </c>
      <c r="K129" s="737" t="s">
        <v>286</v>
      </c>
      <c r="L129" s="717" t="s">
        <v>143</v>
      </c>
      <c r="M129" s="736">
        <v>20</v>
      </c>
      <c r="N129" s="738">
        <v>100</v>
      </c>
      <c r="O129" s="746">
        <v>200</v>
      </c>
      <c r="P129" s="1684"/>
      <c r="Q129"/>
      <c r="R129" s="1685"/>
      <c r="S129" s="736">
        <v>10</v>
      </c>
      <c r="T129" s="736">
        <v>10</v>
      </c>
      <c r="U129" s="736">
        <v>10</v>
      </c>
      <c r="V129" s="788">
        <v>30</v>
      </c>
      <c r="W129" s="737" t="s">
        <v>289</v>
      </c>
      <c r="X129" s="717" t="s">
        <v>285</v>
      </c>
      <c r="Y129" s="738">
        <v>70</v>
      </c>
      <c r="Z129" s="745">
        <v>100</v>
      </c>
      <c r="AA129" s="737" t="s">
        <v>286</v>
      </c>
      <c r="AB129" s="717" t="s">
        <v>143</v>
      </c>
      <c r="AC129" s="736">
        <v>20</v>
      </c>
      <c r="AD129" s="738">
        <v>100</v>
      </c>
      <c r="AE129" s="746">
        <v>200</v>
      </c>
      <c r="AF129" s="1684"/>
      <c r="AQ129" s="17"/>
      <c r="AR129"/>
      <c r="AS129"/>
      <c r="AT129"/>
      <c r="AX129"/>
      <c r="AY129"/>
      <c r="AZ129"/>
      <c r="BE129" s="17"/>
      <c r="BF129" s="17"/>
    </row>
    <row r="130" spans="1:58" s="467" customFormat="1" ht="22.5" customHeight="1">
      <c r="A130" s="465"/>
      <c r="B130" s="710" t="str">
        <f>'Statement of Marks'!$J$3</f>
        <v>Com. Hindi</v>
      </c>
      <c r="C130" s="91">
        <f>IFERROR(VLOOKUP(L123,'Statement of Marks'!$B$8:'Statement of Marks'!$HI$207,9,0),"")</f>
        <v>9</v>
      </c>
      <c r="D130" s="91">
        <f>IFERROR(VLOOKUP(L123,'Statement of Marks'!$B$8:'Statement of Marks'!$HI$207,10,0),"")</f>
        <v>9</v>
      </c>
      <c r="E130" s="91">
        <f>IFERROR(VLOOKUP(L123,'Statement of Marks'!$B$8:'Statement of Marks'!$HI$207,11,0),"")</f>
        <v>8</v>
      </c>
      <c r="F130" s="461">
        <f>IFERROR(VLOOKUP(L123,'Statement of Marks'!$B$8:'Statement of Marks'!$HI$207,12,0),"")</f>
        <v>26</v>
      </c>
      <c r="G130" s="91">
        <f>IFERROR(VLOOKUP(L123,'Statement of Marks'!$B$8:'Statement of Marks'!$HI$207,13,0),"")</f>
        <v>37</v>
      </c>
      <c r="H130" s="91"/>
      <c r="I130" s="787">
        <f>IFERROR(VLOOKUP(L123,'Statement of Marks'!$B$8:'Statement of Marks'!$HI$207,13,0),"")</f>
        <v>37</v>
      </c>
      <c r="J130" s="724">
        <f>IFERROR(IF(AND(L123="",A130="",F130="",I130=""),"",SUM(C130,D130,E130,G130,H130)),"")</f>
        <v>63</v>
      </c>
      <c r="K130" s="91">
        <f>IFERROR(VLOOKUP(L123,'Statement of Marks'!$B$8:'Statement of Marks'!$HI$207,15,0),"")</f>
        <v>35</v>
      </c>
      <c r="L130" s="462"/>
      <c r="M130" s="721"/>
      <c r="N130" s="759">
        <f>IFERROR(VLOOKUP(L123,'Statement of Marks'!$B$8:'Statement of Marks'!$HI$207,15,0),"")</f>
        <v>35</v>
      </c>
      <c r="O130" s="732">
        <f>IFERROR(VLOOKUP(L123,'Statement of Marks'!$B$8:'Statement of Marks'!$HI$207,16,0),"")</f>
        <v>98</v>
      </c>
      <c r="P130" s="722" t="str">
        <f>IFERROR(IF(N130="","",IF(VLOOKUP(L123,'Statement of Marks'!$B$8:'Statement of Marks'!$HI$207,165,0)="D","I",VLOOKUP(L123,'Statement of Marks'!$B$8:'Statement of Marks'!$HI$207,165,0))),"")</f>
        <v>II</v>
      </c>
      <c r="Q130"/>
      <c r="R130" s="710" t="str">
        <f>'Statement of Marks'!$J$3</f>
        <v>Com. Hindi</v>
      </c>
      <c r="S130" s="91">
        <f>IFERROR(VLOOKUP(AB123,'Statement of Marks'!$B$8:'Statement of Marks'!$HI$207,9,0),"")</f>
        <v>7</v>
      </c>
      <c r="T130" s="91">
        <f>IFERROR(VLOOKUP(AB123,'Statement of Marks'!$B$8:'Statement of Marks'!$HI$207,10,0),"")</f>
        <v>10</v>
      </c>
      <c r="U130" s="91">
        <f>IFERROR(VLOOKUP(AB123,'Statement of Marks'!$B$8:'Statement of Marks'!$HI$207,11,0),"")</f>
        <v>8</v>
      </c>
      <c r="V130" s="461">
        <f>IFERROR(VLOOKUP(AB123,'Statement of Marks'!$B$8:'Statement of Marks'!$HI$207,12,0),"")</f>
        <v>25</v>
      </c>
      <c r="W130" s="91">
        <f>IFERROR(VLOOKUP(AB123,'Statement of Marks'!$B$8:'Statement of Marks'!$HI$207,13,0),"")</f>
        <v>44</v>
      </c>
      <c r="X130" s="91"/>
      <c r="Y130" s="787">
        <f>IFERROR(VLOOKUP(AB123,'Statement of Marks'!$B$8:'Statement of Marks'!$HI$207,13,0),"")</f>
        <v>44</v>
      </c>
      <c r="Z130" s="724">
        <f>IFERROR(IF(AND(AB123="",Q130="",V130="",Y130=""),"",SUM(S130,T130,U130,W130,X130)),"")</f>
        <v>69</v>
      </c>
      <c r="AA130" s="91">
        <f>IFERROR(VLOOKUP(AB123,'Statement of Marks'!$B$8:'Statement of Marks'!$HI$207,15,0),"")</f>
        <v>30</v>
      </c>
      <c r="AB130" s="462"/>
      <c r="AC130" s="721"/>
      <c r="AD130" s="759">
        <f>IFERROR(VLOOKUP(AB123,'Statement of Marks'!$B$8:'Statement of Marks'!$HI$207,15,0),"")</f>
        <v>30</v>
      </c>
      <c r="AE130" s="732">
        <f>IFERROR(VLOOKUP(AB123,'Statement of Marks'!$B$8:'Statement of Marks'!$HI$207,16,0),"")</f>
        <v>99</v>
      </c>
      <c r="AF130" s="722" t="str">
        <f>IFERROR(IF(AD130="","",IF(VLOOKUP(AB123,'Statement of Marks'!$B$8:'Statement of Marks'!$HI$207,165,0)="D","I",VLOOKUP(AB123,'Statement of Marks'!$B$8:'Statement of Marks'!$HI$207,165,0))),"")</f>
        <v>II</v>
      </c>
      <c r="AQ130" s="17"/>
      <c r="AR130"/>
      <c r="AS130"/>
      <c r="AT130"/>
      <c r="AX130"/>
      <c r="AY130"/>
      <c r="AZ130"/>
      <c r="BE130" s="17"/>
      <c r="BF130" s="17"/>
    </row>
    <row r="131" spans="1:58" s="467" customFormat="1" ht="22.5" customHeight="1">
      <c r="A131" s="465"/>
      <c r="B131" s="710" t="str">
        <f>'Statement of Marks'!$X$3</f>
        <v>Com. English</v>
      </c>
      <c r="C131" s="91">
        <f>IFERROR(VLOOKUP(L123,'Statement of Marks'!$B$8:'Statement of Marks'!$HI$207,23,0),"")</f>
        <v>8</v>
      </c>
      <c r="D131" s="91">
        <f>IFERROR(VLOOKUP(L123,'Statement of Marks'!$B$8:'Statement of Marks'!$HI$207,24,0),"")</f>
        <v>4</v>
      </c>
      <c r="E131" s="91">
        <f>IFERROR(VLOOKUP(L123,'Statement of Marks'!$B$8:'Statement of Marks'!$HI$207,25,0),"")</f>
        <v>9</v>
      </c>
      <c r="F131" s="461">
        <f>IFERROR(VLOOKUP(L123,'Statement of Marks'!$B$8:'Statement of Marks'!$HI$207,26,0),"")</f>
        <v>21</v>
      </c>
      <c r="G131" s="91">
        <f>IFERROR(VLOOKUP(L123,'Statement of Marks'!$B$8:'Statement of Marks'!$HI$207,27,0),"")</f>
        <v>38</v>
      </c>
      <c r="H131" s="91"/>
      <c r="I131" s="787">
        <f>IFERROR(VLOOKUP(L123,'Statement of Marks'!$B$8:'Statement of Marks'!$HI$207,27,0),"")</f>
        <v>38</v>
      </c>
      <c r="J131" s="724">
        <f>IFERROR(IF(AND(L123="",A131="",F131="",I131=""),"",SUM(C131,D131,E131,G131,H131)),"")</f>
        <v>59</v>
      </c>
      <c r="K131" s="91">
        <f>IFERROR(VLOOKUP(L123,'Statement of Marks'!$B$8:'Statement of Marks'!$HI$207,29,0),"")</f>
        <v>45</v>
      </c>
      <c r="L131" s="462"/>
      <c r="M131" s="721"/>
      <c r="N131" s="759">
        <f>IFERROR(VLOOKUP(L123,'Statement of Marks'!$B$8:'Statement of Marks'!$HI$207,29,0),"")</f>
        <v>45</v>
      </c>
      <c r="O131" s="732">
        <f>IFERROR(VLOOKUP(L123,'Statement of Marks'!$B$8:'Statement of Marks'!$HI$207,30,0),"")</f>
        <v>104</v>
      </c>
      <c r="P131" s="722" t="str">
        <f>IFERROR(IF(O131="","",IF(VLOOKUP(L123,'Statement of Marks'!$B$8:'Statement of Marks'!$HI$207,168,0)="D","I",VLOOKUP(L123,'Statement of Marks'!$B$8:'Statement of Marks'!$HI$207,168,0))),"")</f>
        <v>II</v>
      </c>
      <c r="Q131"/>
      <c r="R131" s="710" t="str">
        <f>'Statement of Marks'!$X$3</f>
        <v>Com. English</v>
      </c>
      <c r="S131" s="91">
        <f>IFERROR(VLOOKUP(AB123,'Statement of Marks'!$B$8:'Statement of Marks'!$HI$207,23,0),"")</f>
        <v>8</v>
      </c>
      <c r="T131" s="91">
        <f>IFERROR(VLOOKUP(AB123,'Statement of Marks'!$B$8:'Statement of Marks'!$HI$207,24,0),"")</f>
        <v>4</v>
      </c>
      <c r="U131" s="91">
        <f>IFERROR(VLOOKUP(AB123,'Statement of Marks'!$B$8:'Statement of Marks'!$HI$207,25,0),"")</f>
        <v>9</v>
      </c>
      <c r="V131" s="461">
        <f>IFERROR(VLOOKUP(AB123,'Statement of Marks'!$B$8:'Statement of Marks'!$HI$207,26,0),"")</f>
        <v>21</v>
      </c>
      <c r="W131" s="91">
        <f>IFERROR(VLOOKUP(AB123,'Statement of Marks'!$B$8:'Statement of Marks'!$HI$207,27,0),"")</f>
        <v>35</v>
      </c>
      <c r="X131" s="91"/>
      <c r="Y131" s="787">
        <f>IFERROR(VLOOKUP(AB123,'Statement of Marks'!$B$8:'Statement of Marks'!$HI$207,27,0),"")</f>
        <v>35</v>
      </c>
      <c r="Z131" s="724">
        <f>IFERROR(IF(AND(AB123="",Q131="",V131="",Y131=""),"",SUM(S131,T131,U131,W131,X131)),"")</f>
        <v>56</v>
      </c>
      <c r="AA131" s="91">
        <f>IFERROR(VLOOKUP(AB123,'Statement of Marks'!$B$8:'Statement of Marks'!$HI$207,29,0),"")</f>
        <v>46</v>
      </c>
      <c r="AB131" s="462"/>
      <c r="AC131" s="721"/>
      <c r="AD131" s="759">
        <f>IFERROR(VLOOKUP(AB123,'Statement of Marks'!$B$8:'Statement of Marks'!$HI$207,29,0),"")</f>
        <v>46</v>
      </c>
      <c r="AE131" s="732">
        <f>IFERROR(VLOOKUP(AB123,'Statement of Marks'!$B$8:'Statement of Marks'!$HI$207,30,0),"")</f>
        <v>102</v>
      </c>
      <c r="AF131" s="722" t="str">
        <f>IFERROR(IF(AE131="","",IF(VLOOKUP(AB123,'Statement of Marks'!$B$8:'Statement of Marks'!$HI$207,168,0)="D","I",VLOOKUP(AB123,'Statement of Marks'!$B$8:'Statement of Marks'!$HI$207,168,0))),"")</f>
        <v>II</v>
      </c>
      <c r="AQ131" s="17"/>
      <c r="AR131"/>
      <c r="AS131"/>
      <c r="AT131"/>
      <c r="AU131" s="17" t="str">
        <f>IFERROR(VLOOKUP(L123,'Statement of Marks'!$B$8:'Statement of Marks'!$HI$207,37,0),"")</f>
        <v>A</v>
      </c>
      <c r="AV131" s="17" t="str">
        <f>IFERROR(VLOOKUP(AB123,'Statement of Marks'!$B$8:'Statement of Marks'!$HI$207,37,0),"")</f>
        <v>A</v>
      </c>
      <c r="AX131"/>
      <c r="AY131"/>
      <c r="AZ131"/>
      <c r="BE131" s="17" t="str">
        <f>IFERROR(IF(VLOOKUP(AB123,'Statement of Marks'!$B$7:'Statement of Marks'!$IC$206,206,0)="By Grace Pass","By Grace Pass and Promoted to Class 12th",IF(VLOOKUP(AB123,'Statement of Marks'!$B$7:'Statement of Marks'!$IC$206,206,0)="PASS","PASS  and Promoted to Class 12th",IF(VLOOKUP(AB123,'Statement of Marks'!$B$7:'Statement of Marks'!$IC$206,206,0)="SUPPLEMENTARY","Supplementary",IF(VLOOKUP(AB123,'Statement of Marks'!$B$7:'Statement of Marks'!$IC$206,206,0)="Re-Exam","RE-EXAM",IF(VLOOKUP(AB123,'Statement of Marks'!$B$7:'Statement of Marks'!$IC$206,206,0)="FAIL","FAIL",""))))),"")</f>
        <v>By Grace Pass and Promoted to Class 12th</v>
      </c>
      <c r="BF131" s="17" t="str">
        <f>IFERROR(IF(VLOOKUP(L123,'Statement of Marks'!$B$7:'Statement of Marks'!$IC$206,206,0)="By Grace Pass","By Grace Pass and Promoted to Class 12th",IF(VLOOKUP(L123,'Statement of Marks'!$B$7:'Statement of Marks'!$IC$206,206,0)="PASS","PASS  and Promoted to Class 12th",IF(VLOOKUP(L123,'Statement of Marks'!$B$7:'Statement of Marks'!$IC$206,206,0)="SUPPLEMENTARY","Supplementary",IF(VLOOKUP(L123,'Statement of Marks'!$B$7:'Statement of Marks'!$IC$206,206,0)="Re-Exam","RE-EXAM",IF(VLOOKUP(L123,'Statement of Marks'!$B$7:'Statement of Marks'!$IC$206,206,0)="FAIL","FAIL",""))))),"")</f>
        <v>FAIL</v>
      </c>
    </row>
    <row r="132" spans="1:58" s="467" customFormat="1" ht="22.5" customHeight="1">
      <c r="A132" s="465"/>
      <c r="B132" s="473" t="str">
        <f>IFERROR(IF(AND(AU131="A"),'Marks Entry'!$U$2,IF(AND(AU131="B"),'Marks Entry'!$Y$2,IF(AND(AU131="C"),'Marks Entry'!$AA$2,""))),"")</f>
        <v>POLITICAL SCIENCE</v>
      </c>
      <c r="C132" s="91">
        <f>IFERROR(VLOOKUP(L123,'Statement of Marks'!$B$8:'Statement of Marks'!$HI$207,38,0),"")</f>
        <v>7</v>
      </c>
      <c r="D132" s="91">
        <f>IFERROR(VLOOKUP(L123,'Statement of Marks'!$B$8:'Statement of Marks'!$HI$207,39,0),"")</f>
        <v>9</v>
      </c>
      <c r="E132" s="91">
        <f>IFERROR(VLOOKUP(L123,'Statement of Marks'!$B$8:'Statement of Marks'!$HI$207,40,0),"")</f>
        <v>7</v>
      </c>
      <c r="F132" s="461">
        <f>IFERROR(VLOOKUP(L123,'Statement of Marks'!$B$8:'Statement of Marks'!$HI$207,41,0),"")</f>
        <v>23</v>
      </c>
      <c r="G132" s="91">
        <f>IFERROR(VLOOKUP(L123,'Statement of Marks'!$B$8:'Statement of Marks'!$HI$207,42,0),"")</f>
        <v>10</v>
      </c>
      <c r="H132" s="91" t="str">
        <f>IFERROR(VLOOKUP(L123,'Statement of Marks'!$B$8:'Statement of Marks'!$HI$207,43,0),"")</f>
        <v/>
      </c>
      <c r="I132" s="787">
        <f>IFERROR(VLOOKUP(L123,'Statement of Marks'!$B$8:'Statement of Marks'!$HI$207,44,0),"")</f>
        <v>10</v>
      </c>
      <c r="J132" s="724">
        <f>IFERROR(IF(AND(L123="",A132="",F132="",I132=""),"",SUM(C132,D132,E132,G132,H132)),"")</f>
        <v>33</v>
      </c>
      <c r="K132" s="91">
        <f>IFERROR(VLOOKUP(L123,'Statement of Marks'!$B$8:'Statement of Marks'!$HI$207,46,0),"")</f>
        <v>10</v>
      </c>
      <c r="L132" s="91" t="str">
        <f>IFERROR(VLOOKUP(L123,'Statement of Marks'!$B$8:'Statement of Marks'!$HI$207,47,0),"")</f>
        <v/>
      </c>
      <c r="M132" s="721"/>
      <c r="N132" s="759">
        <f>IFERROR(VLOOKUP(L123,'Statement of Marks'!$B$8:'Statement of Marks'!$HI$207,48,0),"")</f>
        <v>10</v>
      </c>
      <c r="O132" s="732">
        <f>IFERROR(VLOOKUP(L123,'Statement of Marks'!$B$8:'Statement of Marks'!$HI$207,51,0),"")</f>
        <v>43</v>
      </c>
      <c r="P132" s="722" t="str">
        <f>IFERROR(IF(O132="","",IF(VLOOKUP(L123,'Statement of Marks'!$B$8:'Statement of Marks'!$HI$207,171,0)="D","I",VLOOKUP(L123,'Statement of Marks'!$B$8:'Statement of Marks'!$HI$207,171,0))),"")</f>
        <v>F</v>
      </c>
      <c r="Q132"/>
      <c r="R132" s="473" t="str">
        <f>IFERROR(IF(AND(AV131="A"),'Marks Entry'!$U$2,IF(AND(AV131="B"),'Marks Entry'!$Y$2,IF(AND(AV131="C"),'Marks Entry'!$AA$2,""))),"")</f>
        <v>POLITICAL SCIENCE</v>
      </c>
      <c r="S132" s="91" t="str">
        <f>IFERROR(VLOOKUP(AB123,'Statement of Marks'!$B$8:'Statement of Marks'!$HI$207,38,0),"")</f>
        <v>na</v>
      </c>
      <c r="T132" s="91">
        <f>IFERROR(VLOOKUP(AB123,'Statement of Marks'!$B$8:'Statement of Marks'!$HI$207,39,0),"")</f>
        <v>7</v>
      </c>
      <c r="U132" s="91">
        <f>IFERROR(VLOOKUP(AB123,'Statement of Marks'!$B$8:'Statement of Marks'!$HI$207,40,0),"")</f>
        <v>7</v>
      </c>
      <c r="V132" s="461">
        <f>IFERROR(VLOOKUP(AB123,'Statement of Marks'!$B$8:'Statement of Marks'!$HI$207,41,0),"")</f>
        <v>14</v>
      </c>
      <c r="W132" s="91">
        <f>IFERROR(VLOOKUP(AB123,'Statement of Marks'!$B$8:'Statement of Marks'!$HI$207,42,0),"")</f>
        <v>15</v>
      </c>
      <c r="X132" s="91" t="str">
        <f>IFERROR(VLOOKUP(AB123,'Statement of Marks'!$B$8:'Statement of Marks'!$HI$207,43,0),"")</f>
        <v/>
      </c>
      <c r="Y132" s="787">
        <f>IFERROR(VLOOKUP(AB123,'Statement of Marks'!$B$8:'Statement of Marks'!$HI$207,44,0),"")</f>
        <v>15</v>
      </c>
      <c r="Z132" s="724">
        <f>IFERROR(IF(AND(AB123="",Q132="",V132="",Y132=""),"",SUM(S132,T132,U132,W132,X132)),"")</f>
        <v>29</v>
      </c>
      <c r="AA132" s="91">
        <f>IFERROR(VLOOKUP(AB123,'Statement of Marks'!$B$8:'Statement of Marks'!$HI$207,46,0),"")</f>
        <v>36</v>
      </c>
      <c r="AB132" s="91" t="str">
        <f>IFERROR(VLOOKUP(AB123,'Statement of Marks'!$B$8:'Statement of Marks'!$HI$207,47,0),"")</f>
        <v/>
      </c>
      <c r="AC132" s="721"/>
      <c r="AD132" s="759">
        <f>IFERROR(VLOOKUP(AB123,'Statement of Marks'!$B$8:'Statement of Marks'!$HI$207,48,0),"")</f>
        <v>36</v>
      </c>
      <c r="AE132" s="732">
        <f>IFERROR(VLOOKUP(AB123,'Statement of Marks'!$B$8:'Statement of Marks'!$HI$207,51,0),"")</f>
        <v>65</v>
      </c>
      <c r="AF132" s="722" t="str">
        <f>IFERROR(IF(AE132="","",IF(VLOOKUP(AB123,'Statement of Marks'!$B$8:'Statement of Marks'!$HI$207,171,0)="D","I",VLOOKUP(AB123,'Statement of Marks'!$B$8:'Statement of Marks'!$HI$207,171,0))),"")</f>
        <v>G</v>
      </c>
      <c r="AQ132" s="17"/>
      <c r="AR132"/>
      <c r="AS132"/>
      <c r="AT132"/>
      <c r="AU132" s="17" t="str">
        <f>IFERROR(VLOOKUP(L123,'Statement of Marks'!$B$8:'Statement of Marks'!$HI$207,60,0),"")</f>
        <v>A</v>
      </c>
      <c r="AV132" s="17" t="str">
        <f>IFERROR(VLOOKUP(AB123,'Statement of Marks'!$B$8:'Statement of Marks'!$HI$207,60,0),"")</f>
        <v>A</v>
      </c>
      <c r="AX132"/>
      <c r="AY132"/>
      <c r="AZ132"/>
      <c r="BE132" s="17" t="str">
        <f>IFERROR(IF(VLOOKUP(AB123,'Statement of Marks'!$B$7:'Statement of Marks'!$IC$206,206,0)="By Grace Pass","सानुग्रह उतीर्ण एवं कक्षा 12 में क्रमोन्नत",IF(VLOOKUP(AB123,'Statement of Marks'!$B$7:'Statement of Marks'!$IC$206,206,0)="PASS","उतीर्ण एवं कक्षा 12 में क्रमोन्नत",IF(VLOOKUP(AB123,'Statement of Marks'!$B$7:'Statement of Marks'!$IC$206,206,0)="SUPPLEMENTARY","पूरक",IF(VLOOKUP(AB123,'Statement of Marks'!$B$7:'Statement of Marks'!$IC$206,206,0)="Re-Exam","पुनः परीक्षा",IF(VLOOKUP(AB123,'Statement of Marks'!$B$7:'Statement of Marks'!$IC$206,206,0)="FAIL","अनुतीर्ण",""))))),"")</f>
        <v>सानुग्रह उतीर्ण एवं कक्षा 12 में क्रमोन्नत</v>
      </c>
      <c r="BF132" s="17" t="str">
        <f>IFERROR(IF(VLOOKUP(L123,'Statement of Marks'!$B$7:'Statement of Marks'!$IC$206,206,0)="By Grace Pass","सानुग्रह उतीर्ण एवं कक्षा 12 में क्रमोन्नत",IF(VLOOKUP(L123,'Statement of Marks'!$B$7:'Statement of Marks'!$IC$206,206,0)="PASS","उतीर्ण एवं कक्षा 12 में क्रमोन्नत",IF(VLOOKUP(L123,'Statement of Marks'!$B$7:'Statement of Marks'!$IC$206,206,0)="SUPPLEMENTARY","पूरक",IF(VLOOKUP(L123,'Statement of Marks'!$B$7:'Statement of Marks'!$IC$206,206,0)="Re-Exam","पुनः परीक्षा",IF(VLOOKUP(L123,'Statement of Marks'!$B$7:'Statement of Marks'!$IC$206,206,0)="FAIL","अनुतीर्ण",""))))),"")</f>
        <v>अनुतीर्ण</v>
      </c>
    </row>
    <row r="133" spans="1:58" s="467" customFormat="1" ht="22.5" customHeight="1">
      <c r="A133" s="465"/>
      <c r="B133" s="473" t="str">
        <f>IFERROR(IF(AND(AU132="A"),'Marks Entry'!$AC$2,IF(AND(AU132="B"),'Marks Entry'!$AG$2,IF(AND(AU132="C"),'Marks Entry'!$AI$2,""))),"")</f>
        <v>HISTORY</v>
      </c>
      <c r="C133" s="91">
        <f>IFERROR(VLOOKUP(L123,'Statement of Marks'!$B$8:'Statement of Marks'!$HI$207,61,0),"")</f>
        <v>5</v>
      </c>
      <c r="D133" s="91">
        <f>IFERROR(VLOOKUP(L123,'Statement of Marks'!$B$8:'Statement of Marks'!$HI$207,62,0),"")</f>
        <v>2</v>
      </c>
      <c r="E133" s="91" t="str">
        <f>IFERROR(VLOOKUP(L123,'Statement of Marks'!$B$8:'Statement of Marks'!$HI$207,63,0),"")</f>
        <v/>
      </c>
      <c r="F133" s="461">
        <f>IFERROR(VLOOKUP(L123,'Statement of Marks'!$B$8:'Statement of Marks'!$HI$207,64,0),"")</f>
        <v>7</v>
      </c>
      <c r="G133" s="91">
        <f>IFERROR(VLOOKUP(L123,'Statement of Marks'!$B$8:'Statement of Marks'!$HI$207,65,0),"")</f>
        <v>37</v>
      </c>
      <c r="H133" s="91" t="str">
        <f>IFERROR(VLOOKUP(L123,'Statement of Marks'!$B$8:'Statement of Marks'!$HI$207,66,0),"")</f>
        <v/>
      </c>
      <c r="I133" s="787">
        <f>IFERROR(VLOOKUP(L123,'Statement of Marks'!$B$8:'Statement of Marks'!$HI$207,67,0),"")</f>
        <v>37</v>
      </c>
      <c r="J133" s="724">
        <f>IFERROR(IF(AND(L123="",A133="",F133="",I133=""),"",SUM(C133,D133,E133,G133,H133)),"")</f>
        <v>44</v>
      </c>
      <c r="K133" s="91">
        <f>IFERROR(VLOOKUP(L123,'Statement of Marks'!$B$8:'Statement of Marks'!$HI$207,69,0),"")</f>
        <v>69</v>
      </c>
      <c r="L133" s="91" t="str">
        <f>IFERROR(VLOOKUP(L123,'Statement of Marks'!$B$8:'Statement of Marks'!$HI$207,70,0),"")</f>
        <v/>
      </c>
      <c r="M133" s="721"/>
      <c r="N133" s="759">
        <f>IFERROR(VLOOKUP(L123,'Statement of Marks'!$B$8:'Statement of Marks'!$HI$207,71,0),"")</f>
        <v>69</v>
      </c>
      <c r="O133" s="732">
        <f>IFERROR(VLOOKUP(L123,'Statement of Marks'!$B$8:'Statement of Marks'!$HI$207,74,0),"")</f>
        <v>113</v>
      </c>
      <c r="P133" s="722" t="str">
        <f>IFERROR(IF(O133="","",IF(VLOOKUP(L123,'Statement of Marks'!$B$8:'Statement of Marks'!$HI$207,178,0)="D","I",VLOOKUP(L123,'Statement of Marks'!$B$8:'Statement of Marks'!$HI$207,178,0))),"")</f>
        <v>II</v>
      </c>
      <c r="Q133"/>
      <c r="R133" s="473" t="str">
        <f>IFERROR(IF(AND(AV132="A"),'Marks Entry'!$AC$2,IF(AND(AV132="B"),'Marks Entry'!$AG$2,IF(AND(AV132="C"),'Marks Entry'!$AI$2,""))),"")</f>
        <v>HISTORY</v>
      </c>
      <c r="S133" s="91">
        <f>IFERROR(VLOOKUP(AB123,'Statement of Marks'!$B$8:'Statement of Marks'!$HI$207,61,0),"")</f>
        <v>9</v>
      </c>
      <c r="T133" s="91">
        <f>IFERROR(VLOOKUP(AB123,'Statement of Marks'!$B$8:'Statement of Marks'!$HI$207,62,0),"")</f>
        <v>7</v>
      </c>
      <c r="U133" s="91" t="str">
        <f>IFERROR(VLOOKUP(AB123,'Statement of Marks'!$B$8:'Statement of Marks'!$HI$207,63,0),"")</f>
        <v/>
      </c>
      <c r="V133" s="461">
        <f>IFERROR(VLOOKUP(AB123,'Statement of Marks'!$B$8:'Statement of Marks'!$HI$207,64,0),"")</f>
        <v>16</v>
      </c>
      <c r="W133" s="91">
        <f>IFERROR(VLOOKUP(AB123,'Statement of Marks'!$B$8:'Statement of Marks'!$HI$207,65,0),"")</f>
        <v>35</v>
      </c>
      <c r="X133" s="91" t="str">
        <f>IFERROR(VLOOKUP(AB123,'Statement of Marks'!$B$8:'Statement of Marks'!$HI$207,66,0),"")</f>
        <v/>
      </c>
      <c r="Y133" s="787">
        <f>IFERROR(VLOOKUP(AB123,'Statement of Marks'!$B$8:'Statement of Marks'!$HI$207,67,0),"")</f>
        <v>35</v>
      </c>
      <c r="Z133" s="724">
        <f>IFERROR(IF(AND(AB123="",Q133="",V133="",Y133=""),"",SUM(S133,T133,U133,W133,X133)),"")</f>
        <v>51</v>
      </c>
      <c r="AA133" s="91">
        <f>IFERROR(VLOOKUP(AB123,'Statement of Marks'!$B$8:'Statement of Marks'!$HI$207,69,0),"")</f>
        <v>35</v>
      </c>
      <c r="AB133" s="91" t="str">
        <f>IFERROR(VLOOKUP(AB123,'Statement of Marks'!$B$8:'Statement of Marks'!$HI$207,70,0),"")</f>
        <v/>
      </c>
      <c r="AC133" s="721"/>
      <c r="AD133" s="759">
        <f>IFERROR(VLOOKUP(AB123,'Statement of Marks'!$B$8:'Statement of Marks'!$HI$207,71,0),"")</f>
        <v>35</v>
      </c>
      <c r="AE133" s="732">
        <f>IFERROR(VLOOKUP(AB123,'Statement of Marks'!$B$8:'Statement of Marks'!$HI$207,74,0),"")</f>
        <v>86</v>
      </c>
      <c r="AF133" s="722" t="str">
        <f>IFERROR(IF(AE133="","",IF(VLOOKUP(AB123,'Statement of Marks'!$B$8:'Statement of Marks'!$HI$207,178,0)="D","I",VLOOKUP(AB123,'Statement of Marks'!$B$8:'Statement of Marks'!$HI$207,178,0))),"")</f>
        <v>III</v>
      </c>
      <c r="AQ133" s="17"/>
      <c r="AR133"/>
      <c r="AS133"/>
      <c r="AT133"/>
      <c r="AU133" s="17" t="str">
        <f>IFERROR(VLOOKUP(L123,'Statement of Marks'!$B$8:'Statement of Marks'!$HI$207,83,0),"")</f>
        <v>B</v>
      </c>
      <c r="AV133" s="17" t="str">
        <f>IFERROR(VLOOKUP(AB123,'Statement of Marks'!$B$8:'Statement of Marks'!$HI$207,83,0),"")</f>
        <v>C</v>
      </c>
      <c r="AX133"/>
      <c r="AY133"/>
      <c r="AZ133"/>
      <c r="BE133" s="17" t="str">
        <f>IF('Master Sheet'!$D$11="Hindi",BE132,BE131)</f>
        <v>सानुग्रह उतीर्ण एवं कक्षा 12 में क्रमोन्नत</v>
      </c>
      <c r="BF133" s="17" t="str">
        <f>IF('Master Sheet'!$D$11="Hindi",BF132,BF131)</f>
        <v>अनुतीर्ण</v>
      </c>
    </row>
    <row r="134" spans="1:58" s="467" customFormat="1" ht="22.5" customHeight="1">
      <c r="A134" s="465"/>
      <c r="B134" s="473" t="str">
        <f>IFERROR(IF(AND(AU133="A"),'Marks Entry'!$AK$2,IF(AND(AU133="B"),'Marks Entry'!$AO$2,IF(AND(AU133="C"),'Marks Entry'!$AQ$2,""))),"")</f>
        <v>HOME SCIENCE</v>
      </c>
      <c r="C134" s="91">
        <f>IFERROR(VLOOKUP(L123,'Statement of Marks'!$B$8:'Statement of Marks'!$HI$207,84,0),"")</f>
        <v>3</v>
      </c>
      <c r="D134" s="91">
        <f>IFERROR(VLOOKUP(L123,'Statement of Marks'!$B$8:'Statement of Marks'!$HI$207,85,0),"")</f>
        <v>3</v>
      </c>
      <c r="E134" s="91">
        <f>IFERROR(VLOOKUP(L123,'Statement of Marks'!$B$8:'Statement of Marks'!$HI$207,86,0),"")</f>
        <v>7</v>
      </c>
      <c r="F134" s="461">
        <f>IFERROR(VLOOKUP(L123,'Statement of Marks'!$B$8:'Statement of Marks'!$HI$207,87,0),"")</f>
        <v>13</v>
      </c>
      <c r="G134" s="91">
        <f>IFERROR(VLOOKUP(L123,'Statement of Marks'!$B$8:'Statement of Marks'!$HI$207,88,0),"")</f>
        <v>47</v>
      </c>
      <c r="H134" s="91" t="str">
        <f>IFERROR(VLOOKUP(L123,'Statement of Marks'!$B$8:'Statement of Marks'!$HI$207,89,0),"")</f>
        <v/>
      </c>
      <c r="I134" s="787">
        <f>IFERROR(VLOOKUP(L123,'Statement of Marks'!$B$8:'Statement of Marks'!$HI$207,90,0),"")</f>
        <v>47</v>
      </c>
      <c r="J134" s="724">
        <f>IFERROR(IF(AND(L123="",A134="",F134="",I134=""),"",SUM(C134,D134,E134,G134,H134)),"")</f>
        <v>60</v>
      </c>
      <c r="K134" s="91">
        <f>IFERROR(VLOOKUP(L123,'Statement of Marks'!$B$8:'Statement of Marks'!$HI$207,92,0),"")</f>
        <v>56</v>
      </c>
      <c r="L134" s="91" t="str">
        <f>IFERROR(VLOOKUP(L123,'Statement of Marks'!$B$8:'Statement of Marks'!$HI$207,93,0),"")</f>
        <v/>
      </c>
      <c r="M134" s="721"/>
      <c r="N134" s="759">
        <f>IFERROR(VLOOKUP(L123,'Statement of Marks'!$B$8:'Statement of Marks'!$HI$207,94,0),"")</f>
        <v>56</v>
      </c>
      <c r="O134" s="732">
        <f>IFERROR(VLOOKUP(L123,'Statement of Marks'!$B$8:'Statement of Marks'!$HI$207,97,0),"")</f>
        <v>116</v>
      </c>
      <c r="P134" s="722" t="str">
        <f>IFERROR(IF(O134="","",IF(VLOOKUP(L123,'Statement of Marks'!$B$8:'Statement of Marks'!$HI$207,185,0)="D","I",VLOOKUP(L123,'Statement of Marks'!$B$8:'Statement of Marks'!$HI$207,185,0))),"")</f>
        <v>II</v>
      </c>
      <c r="Q134"/>
      <c r="R134" s="473" t="str">
        <f>IFERROR(IF(AND(AV133="A"),'Marks Entry'!$AK$2,IF(AND(AV133="B"),'Marks Entry'!$AO$2,IF(AND(AV133="C"),'Marks Entry'!$AQ$2,""))),"")</f>
        <v>TYPING</v>
      </c>
      <c r="S134" s="91">
        <f>IFERROR(VLOOKUP(AB123,'Statement of Marks'!$B$8:'Statement of Marks'!$HI$207,84,0),"")</f>
        <v>3</v>
      </c>
      <c r="T134" s="91">
        <f>IFERROR(VLOOKUP(AB123,'Statement of Marks'!$B$8:'Statement of Marks'!$HI$207,85,0),"")</f>
        <v>5</v>
      </c>
      <c r="U134" s="91">
        <f>IFERROR(VLOOKUP(AB123,'Statement of Marks'!$B$8:'Statement of Marks'!$HI$207,86,0),"")</f>
        <v>7</v>
      </c>
      <c r="V134" s="461">
        <f>IFERROR(VLOOKUP(AB123,'Statement of Marks'!$B$8:'Statement of Marks'!$HI$207,87,0),"")</f>
        <v>15</v>
      </c>
      <c r="W134" s="91">
        <f>IFERROR(VLOOKUP(AB123,'Statement of Marks'!$B$8:'Statement of Marks'!$HI$207,88,0),"")</f>
        <v>45</v>
      </c>
      <c r="X134" s="91" t="str">
        <f>IFERROR(VLOOKUP(AB123,'Statement of Marks'!$B$8:'Statement of Marks'!$HI$207,89,0),"")</f>
        <v/>
      </c>
      <c r="Y134" s="787">
        <f>IFERROR(VLOOKUP(AB123,'Statement of Marks'!$B$8:'Statement of Marks'!$HI$207,90,0),"")</f>
        <v>45</v>
      </c>
      <c r="Z134" s="724">
        <f>IFERROR(IF(AND(AB123="",Q134="",V134="",Y134=""),"",SUM(S134,T134,U134,W134,X134)),"")</f>
        <v>60</v>
      </c>
      <c r="AA134" s="91">
        <f>IFERROR(VLOOKUP(AB123,'Statement of Marks'!$B$8:'Statement of Marks'!$HI$207,92,0),"")</f>
        <v>45</v>
      </c>
      <c r="AB134" s="91" t="str">
        <f>IFERROR(VLOOKUP(AB123,'Statement of Marks'!$B$8:'Statement of Marks'!$HI$207,93,0),"")</f>
        <v/>
      </c>
      <c r="AC134" s="721"/>
      <c r="AD134" s="759">
        <f>IFERROR(VLOOKUP(AB123,'Statement of Marks'!$B$8:'Statement of Marks'!$HI$207,94,0),"")</f>
        <v>45</v>
      </c>
      <c r="AE134" s="732">
        <f>IFERROR(VLOOKUP(AB123,'Statement of Marks'!$B$8:'Statement of Marks'!$HI$207,97,0),"")</f>
        <v>105</v>
      </c>
      <c r="AF134" s="722" t="str">
        <f>IFERROR(IF(AE134="","",IF(VLOOKUP(AB123,'Statement of Marks'!$B$8:'Statement of Marks'!$HI$207,185,0)="D","I",VLOOKUP(AB123,'Statement of Marks'!$B$8:'Statement of Marks'!$HI$207,185,0))),"")</f>
        <v>II</v>
      </c>
      <c r="AQ134" s="17"/>
      <c r="AR134"/>
      <c r="AS134"/>
      <c r="AT134"/>
      <c r="AU134" s="467" t="s">
        <v>287</v>
      </c>
      <c r="AV134" s="467" t="s">
        <v>287</v>
      </c>
      <c r="AX134"/>
      <c r="AY134"/>
      <c r="AZ134"/>
      <c r="BE134" s="17"/>
      <c r="BF134" s="17"/>
    </row>
    <row r="135" spans="1:58" s="467" customFormat="1" ht="19.5" customHeight="1">
      <c r="A135" s="465"/>
      <c r="B135" s="1716" t="str">
        <f>IF('Master Sheet'!$D$11="Hindi","व्यावसायिक शिक्षा / अतिरिक्त विषय","Vocational Education / Additional Subject")</f>
        <v>व्यावसायिक शिक्षा / अतिरिक्त विषय</v>
      </c>
      <c r="C135" s="1716"/>
      <c r="D135" s="1716"/>
      <c r="E135" s="1716"/>
      <c r="F135" s="1716"/>
      <c r="G135" s="1716"/>
      <c r="H135" s="1716"/>
      <c r="I135" s="1716"/>
      <c r="J135" s="1716"/>
      <c r="K135" s="1716"/>
      <c r="L135" s="1716"/>
      <c r="M135" s="1716"/>
      <c r="N135" s="1716"/>
      <c r="O135" s="1716"/>
      <c r="P135" s="1716"/>
      <c r="Q135"/>
      <c r="R135" s="1716" t="str">
        <f>IF('Master Sheet'!$D$11="Hindi","व्यावसायिक शिक्षा / अतिरिक्त विषय","Vocational Education / Additional Subject")</f>
        <v>व्यावसायिक शिक्षा / अतिरिक्त विषय</v>
      </c>
      <c r="S135" s="1716"/>
      <c r="T135" s="1716"/>
      <c r="U135" s="1716"/>
      <c r="V135" s="1716"/>
      <c r="W135" s="1716"/>
      <c r="X135" s="1716"/>
      <c r="Y135" s="1716"/>
      <c r="Z135" s="1716"/>
      <c r="AA135" s="1716"/>
      <c r="AB135" s="1716"/>
      <c r="AC135" s="1716"/>
      <c r="AD135" s="1716"/>
      <c r="AE135" s="1716"/>
      <c r="AF135" s="1716"/>
      <c r="AQ135" s="17"/>
      <c r="AR135"/>
      <c r="AS135"/>
      <c r="AT135"/>
      <c r="AX135"/>
      <c r="AY135"/>
      <c r="AZ135"/>
      <c r="BE135" s="17"/>
      <c r="BF135" s="17"/>
    </row>
    <row r="136" spans="1:58" s="467" customFormat="1" ht="22.5" customHeight="1">
      <c r="A136" s="465"/>
      <c r="B136" s="473" t="str">
        <f>IFERROR(IF(AND(AU136="A"),'Marks Entry'!$AS$2,IF(AND(AU136="B"),'Marks Entry'!$AW$2,IF(AND(AU136="C"),'Marks Entry'!$AY$2,""))),"")</f>
        <v/>
      </c>
      <c r="C136" s="742" t="str">
        <f>IFERROR(VLOOKUP(L123,'Statement of Marks'!$B$8:'Statement of Marks'!$HI$207,108,0),"")</f>
        <v/>
      </c>
      <c r="D136" s="742" t="str">
        <f>IFERROR(VLOOKUP(L123,'Statement of Marks'!$B$8:'Statement of Marks'!$HI$207,109,0),"")</f>
        <v/>
      </c>
      <c r="E136" s="742" t="str">
        <f>IFERROR(VLOOKUP(L123,'Statement of Marks'!$B$8:'Statement of Marks'!$HI$207,110,0),"")</f>
        <v/>
      </c>
      <c r="F136" s="742" t="str">
        <f>IFERROR(VLOOKUP(L123,'Statement of Marks'!$B$8:'Statement of Marks'!$HI$207,111,0),"")</f>
        <v/>
      </c>
      <c r="G136" s="744" t="str">
        <f>IFERROR(VLOOKUP(L123,'Statement of Marks'!$B$8:'Statement of Marks'!$HI$207,112,0),"")</f>
        <v/>
      </c>
      <c r="H136" s="744" t="str">
        <f>IFERROR(VLOOKUP(L123,'Statement of Marks'!$B$8:'Statement of Marks'!$HI$207,113,0),"")</f>
        <v/>
      </c>
      <c r="I136" s="748" t="str">
        <f>IFERROR(VLOOKUP(L123,'Statement of Marks'!$B$8:'Statement of Marks'!$HI$207,114,0),"")</f>
        <v/>
      </c>
      <c r="J136" s="743" t="str">
        <f>IFERROR(IF(OR(L123="",A136="",F136="",I136=""),"",SUM(C136,D136,E136,G136,H136)),"")</f>
        <v/>
      </c>
      <c r="K136" s="742" t="str">
        <f>IFERROR(VLOOKUP(L123,'Statement of Marks'!$B$8:'Statement of Marks'!$HI$207,116,0),"")</f>
        <v/>
      </c>
      <c r="L136" s="742" t="str">
        <f>IFERROR(VLOOKUP(L123,'Statement of Marks'!$B$8:'Statement of Marks'!$HI$207,118,0),"")</f>
        <v/>
      </c>
      <c r="M136" s="742" t="str">
        <f>IFERROR(VLOOKUP(L123,'Statement of Marks'!$B$8:'Statement of Marks'!$HI$207,117,0),"")</f>
        <v/>
      </c>
      <c r="N136" s="745" t="str">
        <f>IFERROR(VLOOKUP(L123,'Statement of Marks'!$B$8:'Statement of Marks'!$HI$207,119,0),"")</f>
        <v/>
      </c>
      <c r="O136" s="746" t="str">
        <f>IFERROR(VLOOKUP(L123,'Statement of Marks'!$B$8:'Statement of Marks'!$HI$207,123,0),"")</f>
        <v/>
      </c>
      <c r="P136" s="747" t="str">
        <f>IFERROR(IF(O136="","",IF(VLOOKUP(L123,'Statement of Marks'!$B$8:'Statement of Marks'!$HI$207,192,0)="D","I",VLOOKUP(L123,'Statement of Marks'!$B$8:'Statement of Marks'!$HI$207,192,0))),"")</f>
        <v/>
      </c>
      <c r="Q136"/>
      <c r="R136" s="473" t="str">
        <f>IFERROR(IF(AND(AV136="A"),'Marks Entry'!$AS$2,IF(AND(AV136="B"),'Marks Entry'!$AW$2,IF(AND(AV136="C"),'Marks Entry'!$AY$2,""))),"")</f>
        <v/>
      </c>
      <c r="S136" s="742" t="str">
        <f>IFERROR(VLOOKUP(AB123,'Statement of Marks'!$B$8:'Statement of Marks'!$HI$207,108,0),"")</f>
        <v/>
      </c>
      <c r="T136" s="742" t="str">
        <f>IFERROR(VLOOKUP(AB123,'Statement of Marks'!$B$8:'Statement of Marks'!$HI$207,109,0),"")</f>
        <v/>
      </c>
      <c r="U136" s="742" t="str">
        <f>IFERROR(VLOOKUP(AB123,'Statement of Marks'!$B$8:'Statement of Marks'!$HI$207,110,0),"")</f>
        <v/>
      </c>
      <c r="V136" s="742" t="str">
        <f>IFERROR(VLOOKUP(AB123,'Statement of Marks'!$B$8:'Statement of Marks'!$HI$207,111,0),"")</f>
        <v/>
      </c>
      <c r="W136" s="744" t="str">
        <f>IFERROR(VLOOKUP(AB123,'Statement of Marks'!$B$8:'Statement of Marks'!$HI$207,112,0),"")</f>
        <v/>
      </c>
      <c r="X136" s="744" t="str">
        <f>IFERROR(VLOOKUP(AB123,'Statement of Marks'!$B$8:'Statement of Marks'!$HI$207,113,0),"")</f>
        <v/>
      </c>
      <c r="Y136" s="748" t="str">
        <f>IFERROR(VLOOKUP(AB123,'Statement of Marks'!$B$8:'Statement of Marks'!$HI$207,114,0),"")</f>
        <v/>
      </c>
      <c r="Z136" s="743" t="str">
        <f>IFERROR(IF(OR(AB123="",Q136="",V136="",Y136=""),"",SUM(S136,T136,U136,W136,X136)),"")</f>
        <v/>
      </c>
      <c r="AA136" s="742" t="str">
        <f>IFERROR(VLOOKUP(AB123,'Statement of Marks'!$B$8:'Statement of Marks'!$HI$207,116,0),"")</f>
        <v/>
      </c>
      <c r="AB136" s="742" t="str">
        <f>IFERROR(VLOOKUP(AB123,'Statement of Marks'!$B$8:'Statement of Marks'!$HI$207,118,0),"")</f>
        <v/>
      </c>
      <c r="AC136" s="742" t="str">
        <f>IFERROR(VLOOKUP(AB123,'Statement of Marks'!$B$8:'Statement of Marks'!$HI$207,117,0),"")</f>
        <v/>
      </c>
      <c r="AD136" s="745" t="str">
        <f>IFERROR(VLOOKUP(AB123,'Statement of Marks'!$B$8:'Statement of Marks'!$HI$207,119,0),"")</f>
        <v/>
      </c>
      <c r="AE136" s="746" t="str">
        <f>IFERROR(VLOOKUP(AB123,'Statement of Marks'!$B$8:'Statement of Marks'!$HI$207,123,0),"")</f>
        <v/>
      </c>
      <c r="AF136" s="747" t="str">
        <f>IFERROR(IF(AE136="","",IF(VLOOKUP(AB123,'Statement of Marks'!$B$8:'Statement of Marks'!$HI$207,192,0)="D","I",VLOOKUP(AB123,'Statement of Marks'!$B$8:'Statement of Marks'!$HI$207,192,0))),"")</f>
        <v/>
      </c>
      <c r="AQ136" s="17"/>
      <c r="AR136"/>
      <c r="AS136"/>
      <c r="AT136"/>
      <c r="AU136" s="467" t="str">
        <f>IFERROR(VLOOKUP(L123,'Statement of Marks'!$B$8:'Statement of Marks'!$HI$207,107,0),"")</f>
        <v/>
      </c>
      <c r="AV136" s="467" t="str">
        <f>IFERROR(VLOOKUP(AB123,'Statement of Marks'!$B$8:'Statement of Marks'!$HI$207,107,0),"")</f>
        <v/>
      </c>
      <c r="AX136"/>
      <c r="AY136"/>
      <c r="AZ136"/>
      <c r="BE136" s="17"/>
      <c r="BF136" s="17"/>
    </row>
    <row r="137" spans="1:58" s="467" customFormat="1" ht="25.5" customHeight="1">
      <c r="A137" s="465"/>
      <c r="B137" s="1717"/>
      <c r="C137" s="1717"/>
      <c r="D137" s="1717"/>
      <c r="E137" s="1717"/>
      <c r="F137" s="1717"/>
      <c r="G137" s="1717"/>
      <c r="H137" s="1717"/>
      <c r="I137" s="1717"/>
      <c r="J137" s="1717"/>
      <c r="K137" s="1717"/>
      <c r="L137" s="1714" t="str">
        <f>IF('Master Sheet'!$D$11="Hindi","महायोग :","Grand Total :")</f>
        <v>महायोग :</v>
      </c>
      <c r="M137" s="1715"/>
      <c r="N137" s="1715"/>
      <c r="O137" s="749">
        <f>IF(AND(O130="",O131="",O132="",O133="",O134=""),"",IF(AND($K$18="",$L$18="",$M$18=""),SUM(O130,O131,O132,O133,O136),IF(AND('Master Sheet'!$D$19="YES",'Marks Entry'!$BA$1=1),SUM(O130,O131,O132,O133,O136),SUM(O130:O134))))</f>
        <v>474</v>
      </c>
      <c r="P137" s="750" t="str">
        <f>IFERROR(VLOOKUP(L123,'Statement of Marks'!$B$8:'Statement of Marks'!$HI$207,210,0),"")</f>
        <v/>
      </c>
      <c r="Q137"/>
      <c r="R137" s="1717"/>
      <c r="S137" s="1717"/>
      <c r="T137" s="1717"/>
      <c r="U137" s="1717"/>
      <c r="V137" s="1717"/>
      <c r="W137" s="1717"/>
      <c r="X137" s="1717"/>
      <c r="Y137" s="1717"/>
      <c r="Z137" s="1717"/>
      <c r="AA137" s="1717"/>
      <c r="AB137" s="1714" t="str">
        <f>IF('Master Sheet'!$D$11="Hindi","महायोग :","Grand Total :")</f>
        <v>महायोग :</v>
      </c>
      <c r="AC137" s="1715"/>
      <c r="AD137" s="1715"/>
      <c r="AE137" s="749">
        <f>IF(AND(AE130="",AE131="",AE132="",AE133="",AE134=""),"",IF(AND($K$18="",$L$18="",$M$18=""),SUM(AE130,AE131,AE132,AE133,AE136),IF(AND('Master Sheet'!$D$19="YES",'Marks Entry'!$BA$1=1),SUM(AE130,AE131,AE132,AE133,AE136),SUM(AE130:AE134))))</f>
        <v>457</v>
      </c>
      <c r="AF137" s="750">
        <f>IFERROR(VLOOKUP(AB123,'Statement of Marks'!$B$8:'Statement of Marks'!$HI$207,210,0),"")</f>
        <v>46.161616161616159</v>
      </c>
      <c r="AQ137" s="17"/>
      <c r="AR137"/>
      <c r="AS137"/>
      <c r="AT137"/>
      <c r="AX137"/>
      <c r="AY137"/>
      <c r="AZ137"/>
      <c r="BE137" s="17"/>
      <c r="BF137" s="17"/>
    </row>
    <row r="138" spans="1:58" s="467" customFormat="1" ht="25.5" customHeight="1">
      <c r="A138" s="465"/>
      <c r="B138" s="474" t="str">
        <f>IF('Master Sheet'!$D$11="Hindi","विषय","Subject")</f>
        <v>विषय</v>
      </c>
      <c r="C138" s="1709" t="str">
        <f>IF('Master Sheet'!$D$11="Hindi","पूर्णांक","Max. Marks")</f>
        <v>पूर्णांक</v>
      </c>
      <c r="D138" s="1709"/>
      <c r="E138" s="1710" t="str">
        <f>IF('Master Sheet'!$D$11="Hindi","प्राप्तांक","Marks Obtained")</f>
        <v>प्राप्तांक</v>
      </c>
      <c r="F138" s="1710"/>
      <c r="G138" s="1725" t="str">
        <f>IF('Master Sheet'!$D$11="Hindi","विषय ग्रेड","Sub. Grade")</f>
        <v>विषय ग्रेड</v>
      </c>
      <c r="H138" s="1725"/>
      <c r="I138" s="1707" t="str">
        <f>IF('Master Sheet'!$D$11="Hindi","विषय","Subject")</f>
        <v>विषय</v>
      </c>
      <c r="J138" s="1708"/>
      <c r="K138" s="1708"/>
      <c r="L138" s="1709" t="str">
        <f>IF('Master Sheet'!$D$11="Hindi","पूर्णांक","Max. Marks")</f>
        <v>पूर्णांक</v>
      </c>
      <c r="M138" s="1709"/>
      <c r="N138" s="1710" t="str">
        <f>IF('Master Sheet'!$D$11="Hindi","प्राप्तांक","Marks Obtained")</f>
        <v>प्राप्तांक</v>
      </c>
      <c r="O138" s="1710"/>
      <c r="P138" s="751" t="str">
        <f>IF('Master Sheet'!$D$11="Hindi","विषय ग्रेड","Sub. Grade")</f>
        <v>विषय ग्रेड</v>
      </c>
      <c r="Q138"/>
      <c r="R138" s="474" t="str">
        <f>IF('Master Sheet'!$D$11="Hindi","विषय","Subject")</f>
        <v>विषय</v>
      </c>
      <c r="S138" s="1709" t="str">
        <f>IF('Master Sheet'!$D$11="Hindi","पूर्णांक","Max. Marks")</f>
        <v>पूर्णांक</v>
      </c>
      <c r="T138" s="1709"/>
      <c r="U138" s="1710" t="str">
        <f>IF('Master Sheet'!$D$11="Hindi","प्राप्तांक","Marks Obtained")</f>
        <v>प्राप्तांक</v>
      </c>
      <c r="V138" s="1710"/>
      <c r="W138" s="1725" t="str">
        <f>IF('Master Sheet'!$D$11="Hindi","विषय ग्रेड","Sub. Grade")</f>
        <v>विषय ग्रेड</v>
      </c>
      <c r="X138" s="1725"/>
      <c r="Y138" s="1707" t="str">
        <f>IF('Master Sheet'!$D$11="Hindi","विषय","Subject")</f>
        <v>विषय</v>
      </c>
      <c r="Z138" s="1708"/>
      <c r="AA138" s="1708"/>
      <c r="AB138" s="1709" t="str">
        <f>IF('Master Sheet'!$D$11="Hindi","पूर्णांक","Max. Marks")</f>
        <v>पूर्णांक</v>
      </c>
      <c r="AC138" s="1709"/>
      <c r="AD138" s="1710" t="str">
        <f>IF('Master Sheet'!$D$11="Hindi","प्राप्तांक","Marks Obtained")</f>
        <v>प्राप्तांक</v>
      </c>
      <c r="AE138" s="1710"/>
      <c r="AF138" s="751" t="str">
        <f>IF('Master Sheet'!$D$11="Hindi","विषय ग्रेड","Sub. Grade")</f>
        <v>विषय ग्रेड</v>
      </c>
      <c r="AQ138" s="17"/>
      <c r="AR138"/>
      <c r="AS138"/>
      <c r="AT138"/>
      <c r="AX138"/>
      <c r="AY138"/>
      <c r="AZ138"/>
      <c r="BE138" s="17"/>
      <c r="BF138" s="17"/>
    </row>
    <row r="139" spans="1:58" s="467" customFormat="1" ht="30" customHeight="1">
      <c r="A139" s="465"/>
      <c r="B139" s="754" t="str">
        <f>'Statement of Marks'!$EC$4</f>
        <v>जीवन कौशल</v>
      </c>
      <c r="C139" s="1698">
        <f>IF(AND(L123=""),"",IF('Statement of Marks'!$EF$6="","",'Statement of Marks'!$EF$6))</f>
        <v>100</v>
      </c>
      <c r="D139" s="1698"/>
      <c r="E139" s="1702">
        <f>IFERROR(VLOOKUP(L123,'Statement of Marks'!$B$8:'Statement of Marks'!$HI$207,135,0),"")</f>
        <v>85</v>
      </c>
      <c r="F139" s="1702"/>
      <c r="G139" s="1703" t="str">
        <f>IFERROR(VLOOKUP(L123,'Statement of Marks'!$B$8:'Statement of Marks'!$HI$207,140,0),"")</f>
        <v>A</v>
      </c>
      <c r="H139" s="1703"/>
      <c r="I139" s="1699" t="str">
        <f>'Statement of Marks'!$EY$3</f>
        <v xml:space="preserve">आजादी के बाद का स्वर्णिम भारत </v>
      </c>
      <c r="J139" s="1700"/>
      <c r="K139" s="1701"/>
      <c r="L139" s="1698">
        <f>IF(AND(L123=""),"",IF('Statement of Marks'!$FE$6="","",'Statement of Marks'!$FE$6))</f>
        <v>200</v>
      </c>
      <c r="M139" s="1698"/>
      <c r="N139" s="1711">
        <f>IFERROR(VLOOKUP(L123,'Statement of Marks'!$B$8:'Statement of Marks'!$HI$207,160,0),"")</f>
        <v>145</v>
      </c>
      <c r="O139" s="1711"/>
      <c r="P139" s="752" t="str">
        <f>IFERROR(VLOOKUP(L123,'Statement of Marks'!$B$8:'Statement of Marks'!$HI$207,161,0),"")</f>
        <v>B</v>
      </c>
      <c r="Q139"/>
      <c r="R139" s="754" t="str">
        <f>'Statement of Marks'!$EC$4</f>
        <v>जीवन कौशल</v>
      </c>
      <c r="S139" s="1698">
        <f>IF(AND(AB123=""),"",IF('Statement of Marks'!$EF$6="","",'Statement of Marks'!$EF$6))</f>
        <v>100</v>
      </c>
      <c r="T139" s="1698"/>
      <c r="U139" s="1702">
        <f>IFERROR(VLOOKUP(AB123,'Statement of Marks'!$B$8:'Statement of Marks'!$HI$207,135,0),"")</f>
        <v>85</v>
      </c>
      <c r="V139" s="1702"/>
      <c r="W139" s="1703" t="str">
        <f>IFERROR(VLOOKUP(AB123,'Statement of Marks'!$B$8:'Statement of Marks'!$HI$207,140,0),"")</f>
        <v>A</v>
      </c>
      <c r="X139" s="1703"/>
      <c r="Y139" s="1699" t="str">
        <f>'Statement of Marks'!$EY$3</f>
        <v xml:space="preserve">आजादी के बाद का स्वर्णिम भारत </v>
      </c>
      <c r="Z139" s="1700"/>
      <c r="AA139" s="1701"/>
      <c r="AB139" s="1698">
        <f>IF(AND(AB123=""),"",IF('Statement of Marks'!$FE$6="","",'Statement of Marks'!$FE$6))</f>
        <v>200</v>
      </c>
      <c r="AC139" s="1698"/>
      <c r="AD139" s="1711">
        <f>IFERROR(VLOOKUP(AB123,'Statement of Marks'!$B$8:'Statement of Marks'!$HI$207,160,0),"")</f>
        <v>144</v>
      </c>
      <c r="AE139" s="1711"/>
      <c r="AF139" s="752" t="str">
        <f>IFERROR(VLOOKUP(AB123,'Statement of Marks'!$B$8:'Statement of Marks'!$HI$207,161,0),"")</f>
        <v>B</v>
      </c>
      <c r="AQ139" s="17"/>
      <c r="AR139"/>
      <c r="AS139"/>
      <c r="AT139"/>
      <c r="AX139"/>
      <c r="AY139"/>
      <c r="AZ139"/>
      <c r="BE139" s="17"/>
      <c r="BF139" s="17"/>
    </row>
    <row r="140" spans="1:58" s="467" customFormat="1" ht="29.25" customHeight="1">
      <c r="A140" s="465"/>
      <c r="B140" s="753" t="str">
        <f>IF('Master Sheet'!$D$11="Hindi","परीक्षा परिणाम घोषित दिनांक :-","Date of Result declaration :-")</f>
        <v>परीक्षा परिणाम घोषित दिनांक :-</v>
      </c>
      <c r="C140" s="1610">
        <f>IF(AND(L123=""),"",IF('Master Sheet'!$D$10="","",'Master Sheet'!$D$10))</f>
        <v>46106</v>
      </c>
      <c r="D140" s="1610"/>
      <c r="E140" s="1610"/>
      <c r="F140" s="1672" t="str">
        <f>IF('Master Sheet'!$D$11="Hindi","कुल कार्य दिवस","Total Working Days")</f>
        <v>कुल कार्य दिवस</v>
      </c>
      <c r="G140" s="1672"/>
      <c r="H140" s="1672"/>
      <c r="I140" s="735">
        <f>IFERROR(VLOOKUP(L123,'Statement of Marks'!$B$8:'Statement of Marks'!$HI$207,162,0),"")</f>
        <v>340</v>
      </c>
      <c r="J140" s="1673" t="str">
        <f>IF('Master Sheet'!$D$11="Hindi","कुल उपस्थिति","Student's Attendance")</f>
        <v>कुल उपस्थिति</v>
      </c>
      <c r="K140" s="1673"/>
      <c r="L140" s="1673"/>
      <c r="M140" s="472">
        <f>IFERROR(VLOOKUP(L123,'Statement of Marks'!$B$8:'Statement of Marks'!$HI$207,163,0),"")</f>
        <v>330</v>
      </c>
      <c r="N140" s="1674" t="str">
        <f>IF('Master Sheet'!$D$11="Hindi","कक्षा में स्थान","Position in the Class")</f>
        <v>कक्षा में स्थान</v>
      </c>
      <c r="O140" s="1674"/>
      <c r="P140" s="755" t="str">
        <f>IFERROR(VLOOKUP(L123,'Statement of Marks'!$B$8:'Statement of Marks'!$HI$207,211,0),"")</f>
        <v/>
      </c>
      <c r="Q140"/>
      <c r="R140" s="753" t="str">
        <f>IF('Master Sheet'!$D$11="Hindi","परीक्षा परिणाम घोषित दिनांक :-","Date of Result declaration :-")</f>
        <v>परीक्षा परिणाम घोषित दिनांक :-</v>
      </c>
      <c r="S140" s="1610">
        <f>IF(AND(AB123=""),"",IF('Master Sheet'!$D$10="","",'Master Sheet'!$D$10))</f>
        <v>46106</v>
      </c>
      <c r="T140" s="1610"/>
      <c r="U140" s="1610"/>
      <c r="V140" s="1672" t="str">
        <f>IF('Master Sheet'!$D$11="Hindi","कुल कार्य दिवस","Total Working Days")</f>
        <v>कुल कार्य दिवस</v>
      </c>
      <c r="W140" s="1672"/>
      <c r="X140" s="1672"/>
      <c r="Y140" s="735">
        <f>IFERROR(VLOOKUP(AB123,'Statement of Marks'!$B$8:'Statement of Marks'!$HI$207,162,0),"")</f>
        <v>330</v>
      </c>
      <c r="Z140" s="1673" t="str">
        <f>IF('Master Sheet'!$D$11="Hindi","कुल उपस्थिति","Student's Attendance")</f>
        <v>कुल उपस्थिति</v>
      </c>
      <c r="AA140" s="1673"/>
      <c r="AB140" s="1673"/>
      <c r="AC140" s="472">
        <f>IFERROR(VLOOKUP(AB123,'Statement of Marks'!$B$8:'Statement of Marks'!$HI$207,163,0),"")</f>
        <v>310</v>
      </c>
      <c r="AD140" s="1674" t="str">
        <f>IF('Master Sheet'!$D$11="Hindi","कक्षा में स्थान","Position in the Class")</f>
        <v>कक्षा में स्थान</v>
      </c>
      <c r="AE140" s="1674"/>
      <c r="AF140" s="755">
        <f>IFERROR(VLOOKUP(AB123,'Statement of Marks'!$B$8:'Statement of Marks'!$HI$207,211,0),"")</f>
        <v>7.9999999999999432</v>
      </c>
      <c r="AQ140" s="17"/>
      <c r="AR140"/>
      <c r="AS140"/>
      <c r="AT140"/>
      <c r="AX140"/>
      <c r="AY140"/>
      <c r="AZ140"/>
      <c r="BE140" s="17"/>
      <c r="BF140" s="17"/>
    </row>
    <row r="141" spans="1:58" s="467" customFormat="1" ht="27.75" customHeight="1">
      <c r="A141" s="465"/>
      <c r="B141" s="1675" t="str">
        <f>IF('Master Sheet'!$D$11="Hindi","मुख्य परीक्षा परिणाम ","Main Exam Result")</f>
        <v xml:space="preserve">मुख्य परीक्षा परिणाम </v>
      </c>
      <c r="C141" s="1676"/>
      <c r="D141" s="1676"/>
      <c r="E141" s="1677"/>
      <c r="F141" s="1678" t="str">
        <f>IF('Master Sheet'!$D$11="Hindi","विशेष योग्यता प्राप्त विषय","Subjects Of Dictation Marks")</f>
        <v>विशेष योग्यता प्राप्त विषय</v>
      </c>
      <c r="G141" s="1678"/>
      <c r="H141" s="1678"/>
      <c r="I141" s="1678"/>
      <c r="J141" s="1678"/>
      <c r="K141" s="1678"/>
      <c r="L141" s="1679" t="str">
        <f>IF('Master Sheet'!$D$11="Hindi","पूरक विषय","Supplementary Subject")</f>
        <v>पूरक विषय</v>
      </c>
      <c r="M141" s="1680"/>
      <c r="N141" s="1676"/>
      <c r="O141" s="1676"/>
      <c r="P141" s="1677"/>
      <c r="Q141"/>
      <c r="R141" s="1675" t="str">
        <f>IF('Master Sheet'!$D$11="Hindi","मुख्य परीक्षा परिणाम ","Main Exam Result")</f>
        <v xml:space="preserve">मुख्य परीक्षा परिणाम </v>
      </c>
      <c r="S141" s="1676"/>
      <c r="T141" s="1676"/>
      <c r="U141" s="1677"/>
      <c r="V141" s="1678" t="str">
        <f>IF('Master Sheet'!$D$11="Hindi","विशेष योग्यता प्राप्त विषय","Subjects Of Dictation Marks")</f>
        <v>विशेष योग्यता प्राप्त विषय</v>
      </c>
      <c r="W141" s="1678"/>
      <c r="X141" s="1678"/>
      <c r="Y141" s="1678"/>
      <c r="Z141" s="1678"/>
      <c r="AA141" s="1678"/>
      <c r="AB141" s="1679" t="str">
        <f>IF('Master Sheet'!$D$11="Hindi","पूरक विषय","Supplementary Subject")</f>
        <v>पूरक विषय</v>
      </c>
      <c r="AC141" s="1680"/>
      <c r="AD141" s="1676"/>
      <c r="AE141" s="1676"/>
      <c r="AF141" s="1677"/>
      <c r="AQ141" s="17"/>
      <c r="AR141"/>
      <c r="AS141"/>
      <c r="AT141"/>
      <c r="AX141"/>
      <c r="AY141"/>
      <c r="AZ141"/>
      <c r="BE141" s="17"/>
      <c r="BF141" s="17"/>
    </row>
    <row r="142" spans="1:58" s="467" customFormat="1" ht="42.75" customHeight="1">
      <c r="A142" s="465"/>
      <c r="B142" s="1704" t="str">
        <f>IF('Master Sheet'!D127="Hindi",BF132,BF131)</f>
        <v>FAIL</v>
      </c>
      <c r="C142" s="1705"/>
      <c r="D142" s="1705"/>
      <c r="E142" s="1706"/>
      <c r="F142" s="1674" t="str">
        <f>IFERROR(VLOOKUP(L123,'Statement of Marks'!$B$8:'Statement of Marks'!$HI$207,205,0),"")</f>
        <v xml:space="preserve">     </v>
      </c>
      <c r="G142" s="1674"/>
      <c r="H142" s="1674"/>
      <c r="I142" s="1674"/>
      <c r="J142" s="1674"/>
      <c r="K142" s="1674"/>
      <c r="L142" s="1687" t="str">
        <f>IFERROR(VLOOKUP(L123,'Statement of Marks'!$B$8:'Statement of Marks'!$HI$207,202,0),"")</f>
        <v xml:space="preserve">    </v>
      </c>
      <c r="M142" s="1688"/>
      <c r="N142" s="1688"/>
      <c r="O142" s="1688"/>
      <c r="P142" s="1689"/>
      <c r="Q142"/>
      <c r="R142" s="1704" t="str">
        <f>IF('Master Sheet'!D127="Hindi",BE132,BE131)</f>
        <v>By Grace Pass and Promoted to Class 12th</v>
      </c>
      <c r="S142" s="1705"/>
      <c r="T142" s="1705"/>
      <c r="U142" s="1706"/>
      <c r="V142" s="1674" t="str">
        <f>IFERROR(VLOOKUP(AB123,'Statement of Marks'!$B$8:'Statement of Marks'!$HI$207,205,0),"")</f>
        <v xml:space="preserve">     </v>
      </c>
      <c r="W142" s="1674"/>
      <c r="X142" s="1674"/>
      <c r="Y142" s="1674"/>
      <c r="Z142" s="1674"/>
      <c r="AA142" s="1674"/>
      <c r="AB142" s="1687" t="str">
        <f>IFERROR(VLOOKUP(AB123,'Statement of Marks'!$B$8:'Statement of Marks'!$HI$207,202,0),"")</f>
        <v xml:space="preserve">    </v>
      </c>
      <c r="AC142" s="1688"/>
      <c r="AD142" s="1688"/>
      <c r="AE142" s="1688"/>
      <c r="AF142" s="1689"/>
      <c r="AQ142" s="17"/>
      <c r="AR142"/>
      <c r="AS142"/>
      <c r="AT142"/>
      <c r="AX142"/>
      <c r="AY142"/>
      <c r="AZ142"/>
      <c r="BE142" s="17"/>
      <c r="BF142" s="17"/>
    </row>
    <row r="143" spans="1:58" s="467" customFormat="1" ht="52.5" customHeight="1">
      <c r="A143" s="465"/>
      <c r="B143" s="1695" t="str">
        <f>IF(AND(L123=""),"",CONCATENATE("( ",UPPER('Master Sheet'!$D$14)," )"))</f>
        <v>( HEERALAL JAT )</v>
      </c>
      <c r="C143" s="1695"/>
      <c r="D143" s="1695"/>
      <c r="E143" s="709"/>
      <c r="F143" s="1696" t="str">
        <f>IF(AND(L123=""),"",CONCATENATE("( ",UPPER('Master Sheet'!$D$17)," )"))</f>
        <v>( YOGESH )</v>
      </c>
      <c r="G143" s="1696"/>
      <c r="H143" s="1696"/>
      <c r="I143" s="1696"/>
      <c r="J143" s="1696"/>
      <c r="K143" s="1697" t="str">
        <f>IF(AND(L123=""),"",CONCATENATE("( ",UPPER('Master Sheet'!$D$12)," )"))</f>
        <v>( DEWANANAD )</v>
      </c>
      <c r="L143" s="1697"/>
      <c r="M143" s="1697"/>
      <c r="N143" s="1697"/>
      <c r="O143" s="1697"/>
      <c r="P143" s="1697"/>
      <c r="Q143"/>
      <c r="R143" s="1695" t="str">
        <f>IF(AND(AB123=""),"",CONCATENATE("( ",UPPER('Master Sheet'!$D$14)," )"))</f>
        <v>( HEERALAL JAT )</v>
      </c>
      <c r="S143" s="1695"/>
      <c r="T143" s="1695"/>
      <c r="U143" s="709"/>
      <c r="V143" s="1696" t="str">
        <f>IF(AND(AB123=""),"",CONCATENATE("( ",UPPER('Master Sheet'!$D$17)," )"))</f>
        <v>( YOGESH )</v>
      </c>
      <c r="W143" s="1696"/>
      <c r="X143" s="1696"/>
      <c r="Y143" s="1696"/>
      <c r="Z143" s="1696"/>
      <c r="AA143" s="1697" t="str">
        <f>IF(AND(AB123=""),"",CONCATENATE("( ",UPPER('Master Sheet'!$D$12)," )"))</f>
        <v>( DEWANANAD )</v>
      </c>
      <c r="AB143" s="1697"/>
      <c r="AC143" s="1697"/>
      <c r="AD143" s="1697"/>
      <c r="AE143" s="1697"/>
      <c r="AF143" s="1697"/>
      <c r="AQ143" s="17"/>
      <c r="AR143"/>
      <c r="AS143"/>
      <c r="AT143"/>
      <c r="AX143"/>
      <c r="AY143"/>
      <c r="AZ143"/>
      <c r="BE143" s="17"/>
      <c r="BF143" s="17"/>
    </row>
    <row r="144" spans="1:58" s="467" customFormat="1" ht="24.75" customHeight="1">
      <c r="A144" s="465"/>
      <c r="B144" s="1686" t="str">
        <f>IF('Master Sheet'!$D$11="Hindi","हस्ताक्षर परीक्षा प्रभारी","Signature of the exam. Incharge")</f>
        <v>हस्ताक्षर परीक्षा प्रभारी</v>
      </c>
      <c r="C144" s="1686"/>
      <c r="D144" s="1686"/>
      <c r="E144" s="708"/>
      <c r="F144" s="1686" t="str">
        <f>IF('Master Sheet'!$D$11="Hindi","हस्ताक्षर कक्षाध्यापक","Signature of the class teacher")</f>
        <v>हस्ताक्षर कक्षाध्यापक</v>
      </c>
      <c r="G144" s="1686"/>
      <c r="H144" s="1686"/>
      <c r="I144" s="1686"/>
      <c r="J144" s="1686"/>
      <c r="K144" s="1686" t="str">
        <f>IF('Master Sheet'!$D$11="Hindi","हस्ताक्षर संस्था प्रधान","Head of Institute's Signature")</f>
        <v>हस्ताक्षर संस्था प्रधान</v>
      </c>
      <c r="L144" s="1686"/>
      <c r="M144" s="1686"/>
      <c r="N144" s="1686"/>
      <c r="O144" s="1686"/>
      <c r="P144" s="1686"/>
      <c r="Q144"/>
      <c r="R144" s="1686" t="str">
        <f>IF('Master Sheet'!$D$11="Hindi","हस्ताक्षर परीक्षा प्रभारी","Signature of the exam. Incharge")</f>
        <v>हस्ताक्षर परीक्षा प्रभारी</v>
      </c>
      <c r="S144" s="1686"/>
      <c r="T144" s="1686"/>
      <c r="U144" s="708"/>
      <c r="V144" s="1686" t="str">
        <f>IF('Master Sheet'!$D$11="Hindi","हस्ताक्षर कक्षाध्यापक","Signature of the class teacher")</f>
        <v>हस्ताक्षर कक्षाध्यापक</v>
      </c>
      <c r="W144" s="1686"/>
      <c r="X144" s="1686"/>
      <c r="Y144" s="1686"/>
      <c r="Z144" s="1686"/>
      <c r="AA144" s="1686" t="str">
        <f>IF('Master Sheet'!$D$11="Hindi","हस्ताक्षर संस्था प्रधान","Head of Institute's Signature")</f>
        <v>हस्ताक्षर संस्था प्रधान</v>
      </c>
      <c r="AB144" s="1686"/>
      <c r="AC144" s="1686"/>
      <c r="AD144" s="1686"/>
      <c r="AE144" s="1686"/>
      <c r="AF144" s="1686"/>
      <c r="AQ144" s="17"/>
      <c r="AR144"/>
      <c r="AS144"/>
      <c r="AT144"/>
      <c r="AX144"/>
      <c r="AY144"/>
      <c r="AZ144"/>
      <c r="BE144" s="17"/>
      <c r="BF144" s="17"/>
    </row>
    <row r="145" spans="40:40">
      <c r="AN145" s="467"/>
    </row>
    <row r="146" spans="40:40">
      <c r="AN146" s="467"/>
    </row>
    <row r="147" spans="40:40">
      <c r="AN147" s="467"/>
    </row>
    <row r="148" spans="40:40">
      <c r="AN148" s="467"/>
    </row>
    <row r="149" spans="40:40">
      <c r="AN149" s="467"/>
    </row>
    <row r="151" spans="40:40">
      <c r="AN151" s="17"/>
    </row>
    <row r="152" spans="40:40">
      <c r="AN152" s="17"/>
    </row>
    <row r="153" spans="40:40" ht="15.75">
      <c r="AN153" s="99"/>
    </row>
    <row r="154" spans="40:40" ht="15.75">
      <c r="AN154" s="99"/>
    </row>
    <row r="155" spans="40:40">
      <c r="AN155" s="467"/>
    </row>
    <row r="156" spans="40:40">
      <c r="AN156" s="467"/>
    </row>
    <row r="157" spans="40:40">
      <c r="AN157" s="467"/>
    </row>
    <row r="158" spans="40:40">
      <c r="AN158" s="467"/>
    </row>
    <row r="159" spans="40:40">
      <c r="AN159" s="467"/>
    </row>
    <row r="160" spans="40:40">
      <c r="AN160" s="467"/>
    </row>
    <row r="161" spans="40:40">
      <c r="AN161" s="467"/>
    </row>
    <row r="162" spans="40:40">
      <c r="AN162" s="471"/>
    </row>
    <row r="163" spans="40:40">
      <c r="AN163" s="467"/>
    </row>
    <row r="164" spans="40:40">
      <c r="AN164" s="467"/>
    </row>
    <row r="165" spans="40:40">
      <c r="AN165" s="467"/>
    </row>
    <row r="166" spans="40:40">
      <c r="AN166" s="467"/>
    </row>
    <row r="167" spans="40:40">
      <c r="AN167" s="467"/>
    </row>
    <row r="168" spans="40:40">
      <c r="AN168" s="467"/>
    </row>
    <row r="169" spans="40:40">
      <c r="AN169" s="467"/>
    </row>
    <row r="170" spans="40:40">
      <c r="AN170" s="467"/>
    </row>
    <row r="171" spans="40:40">
      <c r="AN171" s="467"/>
    </row>
    <row r="172" spans="40:40">
      <c r="AN172" s="467"/>
    </row>
    <row r="173" spans="40:40">
      <c r="AN173" s="467"/>
    </row>
    <row r="174" spans="40:40">
      <c r="AN174" s="467"/>
    </row>
    <row r="175" spans="40:40">
      <c r="AN175" s="467"/>
    </row>
    <row r="176" spans="40:40">
      <c r="AN176" s="467"/>
    </row>
    <row r="177" spans="40:40">
      <c r="AN177" s="467"/>
    </row>
    <row r="178" spans="40:40">
      <c r="AN178" s="467"/>
    </row>
    <row r="179" spans="40:40">
      <c r="AN179" s="467"/>
    </row>
    <row r="181" spans="40:40">
      <c r="AN181" s="17"/>
    </row>
    <row r="182" spans="40:40">
      <c r="AN182" s="17"/>
    </row>
    <row r="183" spans="40:40" ht="15.75">
      <c r="AN183" s="99"/>
    </row>
    <row r="184" spans="40:40" ht="15.75">
      <c r="AN184" s="99"/>
    </row>
    <row r="185" spans="40:40">
      <c r="AN185" s="467"/>
    </row>
    <row r="186" spans="40:40">
      <c r="AN186" s="467"/>
    </row>
    <row r="187" spans="40:40">
      <c r="AN187" s="467"/>
    </row>
    <row r="188" spans="40:40">
      <c r="AN188" s="467"/>
    </row>
    <row r="189" spans="40:40">
      <c r="AN189" s="467"/>
    </row>
    <row r="190" spans="40:40">
      <c r="AN190" s="467"/>
    </row>
    <row r="191" spans="40:40">
      <c r="AN191" s="467"/>
    </row>
    <row r="192" spans="40:40">
      <c r="AN192" s="471"/>
    </row>
    <row r="193" spans="40:40">
      <c r="AN193" s="467"/>
    </row>
    <row r="194" spans="40:40">
      <c r="AN194" s="467"/>
    </row>
    <row r="195" spans="40:40">
      <c r="AN195" s="467"/>
    </row>
    <row r="196" spans="40:40">
      <c r="AN196" s="467"/>
    </row>
    <row r="197" spans="40:40">
      <c r="AN197" s="467"/>
    </row>
    <row r="198" spans="40:40">
      <c r="AN198" s="467"/>
    </row>
    <row r="199" spans="40:40">
      <c r="AN199" s="467"/>
    </row>
    <row r="200" spans="40:40">
      <c r="AN200" s="467"/>
    </row>
    <row r="201" spans="40:40">
      <c r="AN201" s="467"/>
    </row>
    <row r="202" spans="40:40">
      <c r="AN202" s="467"/>
    </row>
    <row r="203" spans="40:40">
      <c r="AN203" s="467"/>
    </row>
    <row r="204" spans="40:40">
      <c r="AN204" s="467"/>
    </row>
    <row r="205" spans="40:40">
      <c r="AN205" s="467"/>
    </row>
    <row r="206" spans="40:40">
      <c r="AN206" s="467"/>
    </row>
    <row r="207" spans="40:40">
      <c r="AN207" s="467"/>
    </row>
    <row r="208" spans="40:40">
      <c r="AN208" s="467"/>
    </row>
    <row r="209" spans="40:40">
      <c r="AN209" s="467"/>
    </row>
    <row r="211" spans="40:40">
      <c r="AN211" s="17"/>
    </row>
    <row r="212" spans="40:40">
      <c r="AN212" s="17"/>
    </row>
    <row r="213" spans="40:40" ht="15.75">
      <c r="AN213" s="99"/>
    </row>
    <row r="214" spans="40:40" ht="15.75">
      <c r="AN214" s="99"/>
    </row>
    <row r="215" spans="40:40">
      <c r="AN215" s="467"/>
    </row>
    <row r="216" spans="40:40">
      <c r="AN216" s="467"/>
    </row>
    <row r="217" spans="40:40">
      <c r="AN217" s="467"/>
    </row>
    <row r="218" spans="40:40">
      <c r="AN218" s="467"/>
    </row>
    <row r="219" spans="40:40">
      <c r="AN219" s="467"/>
    </row>
    <row r="220" spans="40:40">
      <c r="AN220" s="467"/>
    </row>
    <row r="221" spans="40:40">
      <c r="AN221" s="467"/>
    </row>
    <row r="222" spans="40:40">
      <c r="AN222" s="471"/>
    </row>
    <row r="223" spans="40:40">
      <c r="AN223" s="467"/>
    </row>
    <row r="224" spans="40:40">
      <c r="AN224" s="467"/>
    </row>
    <row r="225" spans="40:40">
      <c r="AN225" s="467"/>
    </row>
    <row r="226" spans="40:40">
      <c r="AN226" s="467"/>
    </row>
    <row r="227" spans="40:40">
      <c r="AN227" s="467"/>
    </row>
    <row r="228" spans="40:40">
      <c r="AN228" s="467"/>
    </row>
    <row r="229" spans="40:40">
      <c r="AN229" s="467"/>
    </row>
    <row r="230" spans="40:40">
      <c r="AN230" s="467"/>
    </row>
    <row r="231" spans="40:40">
      <c r="AN231" s="467"/>
    </row>
    <row r="232" spans="40:40">
      <c r="AN232" s="467"/>
    </row>
    <row r="233" spans="40:40">
      <c r="AN233" s="467"/>
    </row>
    <row r="234" spans="40:40">
      <c r="AN234" s="467"/>
    </row>
    <row r="235" spans="40:40">
      <c r="AN235" s="467"/>
    </row>
    <row r="236" spans="40:40">
      <c r="AN236" s="467"/>
    </row>
    <row r="237" spans="40:40">
      <c r="AN237" s="467"/>
    </row>
    <row r="238" spans="40:40">
      <c r="AN238" s="467"/>
    </row>
    <row r="239" spans="40:40">
      <c r="AN239" s="467"/>
    </row>
    <row r="241" spans="40:40">
      <c r="AN241" s="17"/>
    </row>
    <row r="242" spans="40:40">
      <c r="AN242" s="17"/>
    </row>
    <row r="243" spans="40:40" ht="15.75">
      <c r="AN243" s="99"/>
    </row>
    <row r="244" spans="40:40" ht="15.75">
      <c r="AN244" s="99"/>
    </row>
    <row r="245" spans="40:40">
      <c r="AN245" s="467"/>
    </row>
    <row r="246" spans="40:40">
      <c r="AN246" s="467"/>
    </row>
    <row r="247" spans="40:40">
      <c r="AN247" s="467"/>
    </row>
    <row r="248" spans="40:40">
      <c r="AN248" s="467"/>
    </row>
    <row r="249" spans="40:40">
      <c r="AN249" s="467"/>
    </row>
    <row r="250" spans="40:40">
      <c r="AN250" s="467"/>
    </row>
    <row r="251" spans="40:40">
      <c r="AN251" s="467"/>
    </row>
    <row r="252" spans="40:40">
      <c r="AN252" s="471"/>
    </row>
    <row r="253" spans="40:40">
      <c r="AN253" s="467"/>
    </row>
    <row r="254" spans="40:40">
      <c r="AN254" s="467"/>
    </row>
    <row r="255" spans="40:40">
      <c r="AN255" s="467"/>
    </row>
    <row r="256" spans="40:40">
      <c r="AN256" s="467"/>
    </row>
    <row r="257" spans="40:40">
      <c r="AN257" s="467"/>
    </row>
    <row r="258" spans="40:40">
      <c r="AN258" s="467"/>
    </row>
    <row r="259" spans="40:40">
      <c r="AN259" s="467"/>
    </row>
    <row r="260" spans="40:40">
      <c r="AN260" s="467"/>
    </row>
    <row r="261" spans="40:40">
      <c r="AN261" s="467"/>
    </row>
    <row r="262" spans="40:40">
      <c r="AN262" s="467"/>
    </row>
    <row r="263" spans="40:40">
      <c r="AN263" s="467"/>
    </row>
    <row r="264" spans="40:40">
      <c r="AN264" s="467"/>
    </row>
    <row r="265" spans="40:40">
      <c r="AN265" s="467"/>
    </row>
    <row r="266" spans="40:40">
      <c r="AN266" s="467"/>
    </row>
    <row r="267" spans="40:40">
      <c r="AN267" s="467"/>
    </row>
    <row r="268" spans="40:40">
      <c r="AN268" s="467"/>
    </row>
    <row r="269" spans="40:40">
      <c r="AN269" s="467"/>
    </row>
    <row r="271" spans="40:40">
      <c r="AN271" s="17"/>
    </row>
    <row r="272" spans="40:40">
      <c r="AN272" s="17"/>
    </row>
    <row r="273" spans="40:40" ht="15.75">
      <c r="AN273" s="99"/>
    </row>
    <row r="274" spans="40:40" ht="15.75">
      <c r="AN274" s="99"/>
    </row>
    <row r="275" spans="40:40">
      <c r="AN275" s="467"/>
    </row>
    <row r="276" spans="40:40">
      <c r="AN276" s="467"/>
    </row>
    <row r="277" spans="40:40">
      <c r="AN277" s="467"/>
    </row>
    <row r="278" spans="40:40">
      <c r="AN278" s="467"/>
    </row>
    <row r="279" spans="40:40">
      <c r="AN279" s="467"/>
    </row>
    <row r="280" spans="40:40">
      <c r="AN280" s="467"/>
    </row>
    <row r="281" spans="40:40">
      <c r="AN281" s="467"/>
    </row>
    <row r="282" spans="40:40">
      <c r="AN282" s="471"/>
    </row>
    <row r="283" spans="40:40">
      <c r="AN283" s="467"/>
    </row>
    <row r="284" spans="40:40">
      <c r="AN284" s="467"/>
    </row>
    <row r="285" spans="40:40">
      <c r="AN285" s="467"/>
    </row>
    <row r="286" spans="40:40">
      <c r="AN286" s="467"/>
    </row>
    <row r="287" spans="40:40">
      <c r="AN287" s="467"/>
    </row>
    <row r="288" spans="40:40">
      <c r="AN288" s="467"/>
    </row>
    <row r="289" spans="40:40">
      <c r="AN289" s="467"/>
    </row>
    <row r="290" spans="40:40">
      <c r="AN290" s="467"/>
    </row>
    <row r="291" spans="40:40">
      <c r="AN291" s="467"/>
    </row>
    <row r="292" spans="40:40">
      <c r="AN292" s="467"/>
    </row>
    <row r="293" spans="40:40">
      <c r="AN293" s="467"/>
    </row>
    <row r="294" spans="40:40">
      <c r="AN294" s="467"/>
    </row>
    <row r="295" spans="40:40">
      <c r="AN295" s="467"/>
    </row>
    <row r="296" spans="40:40">
      <c r="AN296" s="467"/>
    </row>
    <row r="297" spans="40:40">
      <c r="AN297" s="467"/>
    </row>
    <row r="298" spans="40:40">
      <c r="AN298" s="467"/>
    </row>
    <row r="299" spans="40:40">
      <c r="AN299" s="467"/>
    </row>
  </sheetData>
  <sheetProtection password="B18A" sheet="1" objects="1" scenarios="1" formatCells="0" formatColumns="0" formatRows="0"/>
  <protectedRanges>
    <protectedRange password="DC77" sqref="J11 Z11 J40 Z40 J69 Z69 J98 Z98 J127 Z127" name="Range1_1"/>
    <protectedRange password="DC77" sqref="M12:N12 AC12:AD12 M41:N41 AC41:AD41 M70:N70 AC70:AD70 M99:N99 AC99:AD99 M128:N128 AC128:AD128" name="Range1_1_1"/>
  </protectedRanges>
  <mergeCells count="573">
    <mergeCell ref="B143:D143"/>
    <mergeCell ref="F143:J143"/>
    <mergeCell ref="K143:P143"/>
    <mergeCell ref="R143:T143"/>
    <mergeCell ref="V143:Z143"/>
    <mergeCell ref="AA143:AF143"/>
    <mergeCell ref="B144:D144"/>
    <mergeCell ref="F144:J144"/>
    <mergeCell ref="K144:P144"/>
    <mergeCell ref="R144:T144"/>
    <mergeCell ref="V144:Z144"/>
    <mergeCell ref="AA144:AF144"/>
    <mergeCell ref="B141:E141"/>
    <mergeCell ref="F141:K141"/>
    <mergeCell ref="L141:P141"/>
    <mergeCell ref="R141:U141"/>
    <mergeCell ref="V141:AA141"/>
    <mergeCell ref="AB141:AF141"/>
    <mergeCell ref="B142:E142"/>
    <mergeCell ref="F142:K142"/>
    <mergeCell ref="L142:P142"/>
    <mergeCell ref="R142:U142"/>
    <mergeCell ref="V142:AA142"/>
    <mergeCell ref="AB142:AF142"/>
    <mergeCell ref="Y139:AA139"/>
    <mergeCell ref="AB139:AC139"/>
    <mergeCell ref="AD139:AE139"/>
    <mergeCell ref="C140:E140"/>
    <mergeCell ref="F140:H140"/>
    <mergeCell ref="J140:L140"/>
    <mergeCell ref="N140:O140"/>
    <mergeCell ref="S140:U140"/>
    <mergeCell ref="V140:X140"/>
    <mergeCell ref="Z140:AB140"/>
    <mergeCell ref="AD140:AE140"/>
    <mergeCell ref="C139:D139"/>
    <mergeCell ref="E139:F139"/>
    <mergeCell ref="G139:H139"/>
    <mergeCell ref="I139:K139"/>
    <mergeCell ref="L139:M139"/>
    <mergeCell ref="N139:O139"/>
    <mergeCell ref="S139:T139"/>
    <mergeCell ref="U139:V139"/>
    <mergeCell ref="W139:X139"/>
    <mergeCell ref="AF127:AF129"/>
    <mergeCell ref="B135:P135"/>
    <mergeCell ref="R135:AF135"/>
    <mergeCell ref="B137:K137"/>
    <mergeCell ref="L137:N137"/>
    <mergeCell ref="R137:AA137"/>
    <mergeCell ref="AB137:AD137"/>
    <mergeCell ref="C138:D138"/>
    <mergeCell ref="E138:F138"/>
    <mergeCell ref="G138:H138"/>
    <mergeCell ref="I138:K138"/>
    <mergeCell ref="L138:M138"/>
    <mergeCell ref="N138:O138"/>
    <mergeCell ref="S138:T138"/>
    <mergeCell ref="U138:V138"/>
    <mergeCell ref="W138:X138"/>
    <mergeCell ref="Y138:AA138"/>
    <mergeCell ref="AB138:AC138"/>
    <mergeCell ref="AD138:AE138"/>
    <mergeCell ref="B126:O126"/>
    <mergeCell ref="R126:AE126"/>
    <mergeCell ref="B127:B129"/>
    <mergeCell ref="C127:F127"/>
    <mergeCell ref="G127:I127"/>
    <mergeCell ref="J127:J128"/>
    <mergeCell ref="K127:N127"/>
    <mergeCell ref="O127:O128"/>
    <mergeCell ref="P127:P129"/>
    <mergeCell ref="R127:R129"/>
    <mergeCell ref="S127:V127"/>
    <mergeCell ref="W127:Y127"/>
    <mergeCell ref="Z127:Z128"/>
    <mergeCell ref="AA127:AD127"/>
    <mergeCell ref="AE127:AE128"/>
    <mergeCell ref="C124:H124"/>
    <mergeCell ref="I124:K124"/>
    <mergeCell ref="L124:O124"/>
    <mergeCell ref="S124:X124"/>
    <mergeCell ref="Y124:AA124"/>
    <mergeCell ref="AB124:AE124"/>
    <mergeCell ref="I125:K125"/>
    <mergeCell ref="L125:P125"/>
    <mergeCell ref="Y125:AA125"/>
    <mergeCell ref="AB125:AF125"/>
    <mergeCell ref="C122:H122"/>
    <mergeCell ref="I122:K122"/>
    <mergeCell ref="L122:O122"/>
    <mergeCell ref="S122:X122"/>
    <mergeCell ref="Y122:AA122"/>
    <mergeCell ref="AB122:AE122"/>
    <mergeCell ref="C123:H123"/>
    <mergeCell ref="I123:K123"/>
    <mergeCell ref="L123:N123"/>
    <mergeCell ref="S123:X123"/>
    <mergeCell ref="Y123:AA123"/>
    <mergeCell ref="AB123:AD123"/>
    <mergeCell ref="C117:N117"/>
    <mergeCell ref="S117:AD117"/>
    <mergeCell ref="C118:N118"/>
    <mergeCell ref="S118:AD118"/>
    <mergeCell ref="B119:P119"/>
    <mergeCell ref="R119:AF119"/>
    <mergeCell ref="C120:O120"/>
    <mergeCell ref="S120:AE120"/>
    <mergeCell ref="C121:H121"/>
    <mergeCell ref="I121:K121"/>
    <mergeCell ref="L121:O121"/>
    <mergeCell ref="S121:X121"/>
    <mergeCell ref="Y121:AA121"/>
    <mergeCell ref="AB121:AE121"/>
    <mergeCell ref="B114:D114"/>
    <mergeCell ref="F114:J114"/>
    <mergeCell ref="K114:P114"/>
    <mergeCell ref="R114:T114"/>
    <mergeCell ref="V114:Z114"/>
    <mergeCell ref="AA114:AF114"/>
    <mergeCell ref="B115:D115"/>
    <mergeCell ref="F115:J115"/>
    <mergeCell ref="K115:P115"/>
    <mergeCell ref="R115:T115"/>
    <mergeCell ref="V115:Z115"/>
    <mergeCell ref="AA115:AF115"/>
    <mergeCell ref="B112:E112"/>
    <mergeCell ref="F112:K112"/>
    <mergeCell ref="L112:P112"/>
    <mergeCell ref="R112:U112"/>
    <mergeCell ref="V112:AA112"/>
    <mergeCell ref="AB112:AF112"/>
    <mergeCell ref="B113:E113"/>
    <mergeCell ref="F113:K113"/>
    <mergeCell ref="L113:P113"/>
    <mergeCell ref="R113:U113"/>
    <mergeCell ref="V113:AA113"/>
    <mergeCell ref="AB113:AF113"/>
    <mergeCell ref="Y110:AA110"/>
    <mergeCell ref="AB110:AC110"/>
    <mergeCell ref="AD110:AE110"/>
    <mergeCell ref="C111:E111"/>
    <mergeCell ref="F111:H111"/>
    <mergeCell ref="J111:L111"/>
    <mergeCell ref="N111:O111"/>
    <mergeCell ref="S111:U111"/>
    <mergeCell ref="V111:X111"/>
    <mergeCell ref="Z111:AB111"/>
    <mergeCell ref="AD111:AE111"/>
    <mergeCell ref="C110:D110"/>
    <mergeCell ref="E110:F110"/>
    <mergeCell ref="G110:H110"/>
    <mergeCell ref="I110:K110"/>
    <mergeCell ref="L110:M110"/>
    <mergeCell ref="N110:O110"/>
    <mergeCell ref="S110:T110"/>
    <mergeCell ref="U110:V110"/>
    <mergeCell ref="W110:X110"/>
    <mergeCell ref="AF98:AF100"/>
    <mergeCell ref="B106:P106"/>
    <mergeCell ref="R106:AF106"/>
    <mergeCell ref="B108:K108"/>
    <mergeCell ref="L108:N108"/>
    <mergeCell ref="R108:AA108"/>
    <mergeCell ref="AB108:AD108"/>
    <mergeCell ref="C109:D109"/>
    <mergeCell ref="E109:F109"/>
    <mergeCell ref="G109:H109"/>
    <mergeCell ref="I109:K109"/>
    <mergeCell ref="L109:M109"/>
    <mergeCell ref="N109:O109"/>
    <mergeCell ref="S109:T109"/>
    <mergeCell ref="U109:V109"/>
    <mergeCell ref="W109:X109"/>
    <mergeCell ref="Y109:AA109"/>
    <mergeCell ref="AB109:AC109"/>
    <mergeCell ref="AD109:AE109"/>
    <mergeCell ref="B97:O97"/>
    <mergeCell ref="R97:AE97"/>
    <mergeCell ref="B98:B100"/>
    <mergeCell ref="C98:F98"/>
    <mergeCell ref="G98:I98"/>
    <mergeCell ref="J98:J99"/>
    <mergeCell ref="K98:N98"/>
    <mergeCell ref="O98:O99"/>
    <mergeCell ref="P98:P100"/>
    <mergeCell ref="R98:R100"/>
    <mergeCell ref="S98:V98"/>
    <mergeCell ref="W98:Y98"/>
    <mergeCell ref="Z98:Z99"/>
    <mergeCell ref="AA98:AD98"/>
    <mergeCell ref="AE98:AE99"/>
    <mergeCell ref="C95:H95"/>
    <mergeCell ref="I95:K95"/>
    <mergeCell ref="L95:O95"/>
    <mergeCell ref="S95:X95"/>
    <mergeCell ref="Y95:AA95"/>
    <mergeCell ref="AB95:AE95"/>
    <mergeCell ref="I96:K96"/>
    <mergeCell ref="L96:P96"/>
    <mergeCell ref="Y96:AA96"/>
    <mergeCell ref="AB96:AF96"/>
    <mergeCell ref="C93:H93"/>
    <mergeCell ref="I93:K93"/>
    <mergeCell ref="L93:O93"/>
    <mergeCell ref="S93:X93"/>
    <mergeCell ref="Y93:AA93"/>
    <mergeCell ref="AB93:AE93"/>
    <mergeCell ref="C94:H94"/>
    <mergeCell ref="I94:K94"/>
    <mergeCell ref="L94:N94"/>
    <mergeCell ref="S94:X94"/>
    <mergeCell ref="Y94:AA94"/>
    <mergeCell ref="AB94:AD94"/>
    <mergeCell ref="C88:N88"/>
    <mergeCell ref="S88:AD88"/>
    <mergeCell ref="C89:N89"/>
    <mergeCell ref="S89:AD89"/>
    <mergeCell ref="B90:P90"/>
    <mergeCell ref="R90:AF90"/>
    <mergeCell ref="C91:O91"/>
    <mergeCell ref="S91:AE91"/>
    <mergeCell ref="C92:H92"/>
    <mergeCell ref="I92:K92"/>
    <mergeCell ref="L92:O92"/>
    <mergeCell ref="S92:X92"/>
    <mergeCell ref="Y92:AA92"/>
    <mergeCell ref="AB92:AE92"/>
    <mergeCell ref="B85:D85"/>
    <mergeCell ref="F85:J85"/>
    <mergeCell ref="K85:P85"/>
    <mergeCell ref="R85:T85"/>
    <mergeCell ref="V85:Z85"/>
    <mergeCell ref="AA85:AF85"/>
    <mergeCell ref="B86:D86"/>
    <mergeCell ref="F86:J86"/>
    <mergeCell ref="K86:P86"/>
    <mergeCell ref="R86:T86"/>
    <mergeCell ref="V86:Z86"/>
    <mergeCell ref="AA86:AF86"/>
    <mergeCell ref="B83:E83"/>
    <mergeCell ref="F83:K83"/>
    <mergeCell ref="L83:P83"/>
    <mergeCell ref="R83:U83"/>
    <mergeCell ref="V83:AA83"/>
    <mergeCell ref="AB83:AF83"/>
    <mergeCell ref="B84:E84"/>
    <mergeCell ref="F84:K84"/>
    <mergeCell ref="L84:P84"/>
    <mergeCell ref="R84:U84"/>
    <mergeCell ref="V84:AA84"/>
    <mergeCell ref="AB84:AF84"/>
    <mergeCell ref="Y81:AA81"/>
    <mergeCell ref="AB81:AC81"/>
    <mergeCell ref="AD81:AE81"/>
    <mergeCell ref="C82:E82"/>
    <mergeCell ref="F82:H82"/>
    <mergeCell ref="J82:L82"/>
    <mergeCell ref="N82:O82"/>
    <mergeCell ref="S82:U82"/>
    <mergeCell ref="V82:X82"/>
    <mergeCell ref="Z82:AB82"/>
    <mergeCell ref="AD82:AE82"/>
    <mergeCell ref="C81:D81"/>
    <mergeCell ref="E81:F81"/>
    <mergeCell ref="G81:H81"/>
    <mergeCell ref="I81:K81"/>
    <mergeCell ref="L81:M81"/>
    <mergeCell ref="N81:O81"/>
    <mergeCell ref="S81:T81"/>
    <mergeCell ref="U81:V81"/>
    <mergeCell ref="W81:X81"/>
    <mergeCell ref="AF69:AF71"/>
    <mergeCell ref="B77:P77"/>
    <mergeCell ref="R77:AF77"/>
    <mergeCell ref="B79:K79"/>
    <mergeCell ref="L79:N79"/>
    <mergeCell ref="R79:AA79"/>
    <mergeCell ref="AB79:AD79"/>
    <mergeCell ref="C80:D80"/>
    <mergeCell ref="E80:F80"/>
    <mergeCell ref="G80:H80"/>
    <mergeCell ref="I80:K80"/>
    <mergeCell ref="L80:M80"/>
    <mergeCell ref="N80:O80"/>
    <mergeCell ref="S80:T80"/>
    <mergeCell ref="U80:V80"/>
    <mergeCell ref="W80:X80"/>
    <mergeCell ref="Y80:AA80"/>
    <mergeCell ref="AB80:AC80"/>
    <mergeCell ref="AD80:AE80"/>
    <mergeCell ref="B68:O68"/>
    <mergeCell ref="R68:AE68"/>
    <mergeCell ref="B69:B71"/>
    <mergeCell ref="C69:F69"/>
    <mergeCell ref="G69:I69"/>
    <mergeCell ref="J69:J70"/>
    <mergeCell ref="K69:N69"/>
    <mergeCell ref="O69:O70"/>
    <mergeCell ref="P69:P71"/>
    <mergeCell ref="R69:R71"/>
    <mergeCell ref="S69:V69"/>
    <mergeCell ref="W69:Y69"/>
    <mergeCell ref="Z69:Z70"/>
    <mergeCell ref="AA69:AD69"/>
    <mergeCell ref="AE69:AE70"/>
    <mergeCell ref="C66:H66"/>
    <mergeCell ref="I66:K66"/>
    <mergeCell ref="L66:O66"/>
    <mergeCell ref="S66:X66"/>
    <mergeCell ref="Y66:AA66"/>
    <mergeCell ref="AB66:AE66"/>
    <mergeCell ref="I67:K67"/>
    <mergeCell ref="L67:P67"/>
    <mergeCell ref="Y67:AA67"/>
    <mergeCell ref="AB67:AF67"/>
    <mergeCell ref="C64:H64"/>
    <mergeCell ref="I64:K64"/>
    <mergeCell ref="L64:O64"/>
    <mergeCell ref="S64:X64"/>
    <mergeCell ref="Y64:AA64"/>
    <mergeCell ref="AB64:AE64"/>
    <mergeCell ref="C65:H65"/>
    <mergeCell ref="I65:K65"/>
    <mergeCell ref="L65:N65"/>
    <mergeCell ref="S65:X65"/>
    <mergeCell ref="Y65:AA65"/>
    <mergeCell ref="AB65:AD65"/>
    <mergeCell ref="C60:N60"/>
    <mergeCell ref="S60:AD60"/>
    <mergeCell ref="B61:P61"/>
    <mergeCell ref="R61:AF61"/>
    <mergeCell ref="C62:O62"/>
    <mergeCell ref="S62:AE62"/>
    <mergeCell ref="C63:H63"/>
    <mergeCell ref="I63:K63"/>
    <mergeCell ref="L63:O63"/>
    <mergeCell ref="S63:X63"/>
    <mergeCell ref="Y63:AA63"/>
    <mergeCell ref="AB63:AE63"/>
    <mergeCell ref="AH7:AL12"/>
    <mergeCell ref="C59:N59"/>
    <mergeCell ref="S59:AD59"/>
    <mergeCell ref="V54:AA54"/>
    <mergeCell ref="AB54:AF54"/>
    <mergeCell ref="B55:E55"/>
    <mergeCell ref="F55:K55"/>
    <mergeCell ref="L55:P55"/>
    <mergeCell ref="R55:U55"/>
    <mergeCell ref="V55:AA55"/>
    <mergeCell ref="AB55:AF55"/>
    <mergeCell ref="B56:D56"/>
    <mergeCell ref="F56:J56"/>
    <mergeCell ref="K56:P56"/>
    <mergeCell ref="R56:T56"/>
    <mergeCell ref="V56:Z56"/>
    <mergeCell ref="AA56:AF56"/>
    <mergeCell ref="AB51:AC51"/>
    <mergeCell ref="L51:M51"/>
    <mergeCell ref="N51:O51"/>
    <mergeCell ref="S51:T51"/>
    <mergeCell ref="U51:V51"/>
    <mergeCell ref="W51:X51"/>
    <mergeCell ref="Y51:AA51"/>
    <mergeCell ref="B57:D57"/>
    <mergeCell ref="F57:J57"/>
    <mergeCell ref="K57:P57"/>
    <mergeCell ref="R57:T57"/>
    <mergeCell ref="V57:Z57"/>
    <mergeCell ref="AA57:AF57"/>
    <mergeCell ref="AF40:AF42"/>
    <mergeCell ref="B48:P48"/>
    <mergeCell ref="R48:AF48"/>
    <mergeCell ref="B50:K50"/>
    <mergeCell ref="L50:N50"/>
    <mergeCell ref="R50:AA50"/>
    <mergeCell ref="AB50:AD50"/>
    <mergeCell ref="AD51:AE51"/>
    <mergeCell ref="C52:D52"/>
    <mergeCell ref="E52:F52"/>
    <mergeCell ref="G52:H52"/>
    <mergeCell ref="I52:K52"/>
    <mergeCell ref="L52:M52"/>
    <mergeCell ref="N52:O52"/>
    <mergeCell ref="S52:T52"/>
    <mergeCell ref="U52:V52"/>
    <mergeCell ref="W52:X52"/>
    <mergeCell ref="Y52:AA52"/>
    <mergeCell ref="C51:D51"/>
    <mergeCell ref="E51:F51"/>
    <mergeCell ref="G51:H51"/>
    <mergeCell ref="I51:K51"/>
    <mergeCell ref="C31:N31"/>
    <mergeCell ref="S31:AD31"/>
    <mergeCell ref="B32:P32"/>
    <mergeCell ref="R32:AF32"/>
    <mergeCell ref="C33:O33"/>
    <mergeCell ref="S33:AE33"/>
    <mergeCell ref="L35:O35"/>
    <mergeCell ref="AB35:AE35"/>
    <mergeCell ref="C37:H37"/>
    <mergeCell ref="I37:K37"/>
    <mergeCell ref="L37:O37"/>
    <mergeCell ref="S37:X37"/>
    <mergeCell ref="Y37:AA37"/>
    <mergeCell ref="AB37:AE37"/>
    <mergeCell ref="I38:K38"/>
    <mergeCell ref="L38:P38"/>
    <mergeCell ref="Y38:AA38"/>
    <mergeCell ref="AB38:AF38"/>
    <mergeCell ref="B39:O39"/>
    <mergeCell ref="B40:B42"/>
    <mergeCell ref="U22:V22"/>
    <mergeCell ref="W22:X22"/>
    <mergeCell ref="Y22:AA22"/>
    <mergeCell ref="AB22:AC22"/>
    <mergeCell ref="AD22:AE22"/>
    <mergeCell ref="AF11:AF13"/>
    <mergeCell ref="AB52:AC52"/>
    <mergeCell ref="AD52:AE52"/>
    <mergeCell ref="V28:Z28"/>
    <mergeCell ref="AA28:AF28"/>
    <mergeCell ref="R39:AE39"/>
    <mergeCell ref="Z40:Z41"/>
    <mergeCell ref="AA40:AD40"/>
    <mergeCell ref="AE40:AE41"/>
    <mergeCell ref="AD23:AE23"/>
    <mergeCell ref="S24:U24"/>
    <mergeCell ref="Z24:AB24"/>
    <mergeCell ref="AD24:AE24"/>
    <mergeCell ref="AB23:AC23"/>
    <mergeCell ref="Y8:AA8"/>
    <mergeCell ref="C7:H7"/>
    <mergeCell ref="I7:K7"/>
    <mergeCell ref="S7:X7"/>
    <mergeCell ref="Y7:AA7"/>
    <mergeCell ref="AB7:AD7"/>
    <mergeCell ref="AB8:AE8"/>
    <mergeCell ref="Y9:AA9"/>
    <mergeCell ref="AB9:AF9"/>
    <mergeCell ref="C5:H5"/>
    <mergeCell ref="I5:K5"/>
    <mergeCell ref="L5:O5"/>
    <mergeCell ref="S5:X5"/>
    <mergeCell ref="Y5:AA5"/>
    <mergeCell ref="AB5:AE5"/>
    <mergeCell ref="C6:H6"/>
    <mergeCell ref="I6:K6"/>
    <mergeCell ref="L6:O6"/>
    <mergeCell ref="S6:X6"/>
    <mergeCell ref="Y6:AA6"/>
    <mergeCell ref="AB6:AE6"/>
    <mergeCell ref="AI1:AK3"/>
    <mergeCell ref="C1:N1"/>
    <mergeCell ref="C2:N2"/>
    <mergeCell ref="B3:P3"/>
    <mergeCell ref="C4:O4"/>
    <mergeCell ref="S1:AD1"/>
    <mergeCell ref="S2:AD2"/>
    <mergeCell ref="R3:AF3"/>
    <mergeCell ref="S4:AE4"/>
    <mergeCell ref="Q1:Q28"/>
    <mergeCell ref="L7:N7"/>
    <mergeCell ref="L8:O8"/>
    <mergeCell ref="I9:K9"/>
    <mergeCell ref="L9:P9"/>
    <mergeCell ref="C11:F11"/>
    <mergeCell ref="G11:I11"/>
    <mergeCell ref="J11:J12"/>
    <mergeCell ref="K11:N11"/>
    <mergeCell ref="C22:D22"/>
    <mergeCell ref="E22:F22"/>
    <mergeCell ref="G22:H22"/>
    <mergeCell ref="C8:H8"/>
    <mergeCell ref="I8:K8"/>
    <mergeCell ref="S8:X8"/>
    <mergeCell ref="I22:K22"/>
    <mergeCell ref="L22:M22"/>
    <mergeCell ref="N22:O22"/>
    <mergeCell ref="N23:O23"/>
    <mergeCell ref="U23:V23"/>
    <mergeCell ref="W23:X23"/>
    <mergeCell ref="B10:O10"/>
    <mergeCell ref="R10:AE10"/>
    <mergeCell ref="B11:B13"/>
    <mergeCell ref="O11:O12"/>
    <mergeCell ref="P11:P13"/>
    <mergeCell ref="R11:R13"/>
    <mergeCell ref="AB21:AD21"/>
    <mergeCell ref="AA11:AD11"/>
    <mergeCell ref="AE11:AE12"/>
    <mergeCell ref="B19:P19"/>
    <mergeCell ref="R19:AF19"/>
    <mergeCell ref="B21:K21"/>
    <mergeCell ref="L21:N21"/>
    <mergeCell ref="R21:AA21"/>
    <mergeCell ref="S11:V11"/>
    <mergeCell ref="W11:Y11"/>
    <mergeCell ref="Z11:Z12"/>
    <mergeCell ref="S22:T22"/>
    <mergeCell ref="C23:D23"/>
    <mergeCell ref="I23:K23"/>
    <mergeCell ref="L23:M23"/>
    <mergeCell ref="S23:T23"/>
    <mergeCell ref="Y23:AA23"/>
    <mergeCell ref="E23:F23"/>
    <mergeCell ref="G23:H23"/>
    <mergeCell ref="B25:E25"/>
    <mergeCell ref="B26:E26"/>
    <mergeCell ref="R25:U25"/>
    <mergeCell ref="R26:U26"/>
    <mergeCell ref="F24:H24"/>
    <mergeCell ref="V24:X24"/>
    <mergeCell ref="C24:E24"/>
    <mergeCell ref="J24:L24"/>
    <mergeCell ref="N24:O24"/>
    <mergeCell ref="F27:J27"/>
    <mergeCell ref="K27:P27"/>
    <mergeCell ref="R27:T27"/>
    <mergeCell ref="V27:Z27"/>
    <mergeCell ref="F26:K26"/>
    <mergeCell ref="L26:P26"/>
    <mergeCell ref="V26:AA26"/>
    <mergeCell ref="AA27:AF27"/>
    <mergeCell ref="F25:K25"/>
    <mergeCell ref="L25:P25"/>
    <mergeCell ref="V25:AA25"/>
    <mergeCell ref="AB25:AF25"/>
    <mergeCell ref="B28:D28"/>
    <mergeCell ref="F28:J28"/>
    <mergeCell ref="K28:P28"/>
    <mergeCell ref="R28:T28"/>
    <mergeCell ref="AB26:AF26"/>
    <mergeCell ref="C30:N30"/>
    <mergeCell ref="S30:AD30"/>
    <mergeCell ref="C36:H36"/>
    <mergeCell ref="I36:K36"/>
    <mergeCell ref="L36:N36"/>
    <mergeCell ref="S36:X36"/>
    <mergeCell ref="Y36:AA36"/>
    <mergeCell ref="C35:H35"/>
    <mergeCell ref="I35:K35"/>
    <mergeCell ref="S35:X35"/>
    <mergeCell ref="Y35:AA35"/>
    <mergeCell ref="C34:H34"/>
    <mergeCell ref="I34:K34"/>
    <mergeCell ref="L34:O34"/>
    <mergeCell ref="S34:X34"/>
    <mergeCell ref="Y34:AA34"/>
    <mergeCell ref="AB34:AE34"/>
    <mergeCell ref="AB36:AD36"/>
    <mergeCell ref="B27:D27"/>
    <mergeCell ref="C40:F40"/>
    <mergeCell ref="G40:I40"/>
    <mergeCell ref="J40:J41"/>
    <mergeCell ref="K40:N40"/>
    <mergeCell ref="O40:O41"/>
    <mergeCell ref="P40:P42"/>
    <mergeCell ref="R40:R42"/>
    <mergeCell ref="S40:V40"/>
    <mergeCell ref="W40:Y40"/>
    <mergeCell ref="C53:E53"/>
    <mergeCell ref="F53:H53"/>
    <mergeCell ref="J53:L53"/>
    <mergeCell ref="N53:O53"/>
    <mergeCell ref="S53:U53"/>
    <mergeCell ref="V53:X53"/>
    <mergeCell ref="Z53:AB53"/>
    <mergeCell ref="AD53:AE53"/>
    <mergeCell ref="B54:E54"/>
    <mergeCell ref="F54:K54"/>
    <mergeCell ref="L54:P54"/>
    <mergeCell ref="R54:U54"/>
  </mergeCells>
  <pageMargins left="0.45" right="0.2" top="0.25" bottom="0.25" header="0.05" footer="0"/>
  <pageSetup paperSize="9" scale="74"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codeName="Sheet12">
    <pageSetUpPr fitToPage="1"/>
  </sheetPr>
  <dimension ref="A1:AR26"/>
  <sheetViews>
    <sheetView showGridLines="0" view="pageBreakPreview" zoomScaleSheetLayoutView="100" workbookViewId="0">
      <selection activeCell="X20" sqref="X20"/>
    </sheetView>
  </sheetViews>
  <sheetFormatPr defaultRowHeight="15"/>
  <cols>
    <col min="1" max="2" width="8.625" style="116" customWidth="1"/>
    <col min="3" max="6" width="5.875" style="116" customWidth="1"/>
    <col min="7" max="7" width="6.25" style="116" customWidth="1"/>
    <col min="8" max="8" width="4.875" style="116" customWidth="1"/>
    <col min="9" max="9" width="5.875" style="116" customWidth="1"/>
    <col min="10" max="10" width="5.25" style="116" customWidth="1"/>
    <col min="11" max="11" width="5.125" style="116" customWidth="1"/>
    <col min="12" max="12" width="6.625" style="116" customWidth="1"/>
    <col min="13" max="13" width="5.875" style="116" customWidth="1"/>
    <col min="14" max="14" width="6.375" style="116" customWidth="1"/>
    <col min="15" max="15" width="6.75" style="17" customWidth="1"/>
    <col min="16" max="16" width="6.75" style="116" customWidth="1"/>
    <col min="17" max="17" width="6.375" style="116" customWidth="1"/>
    <col min="18" max="19" width="7.5" style="116" customWidth="1"/>
    <col min="20" max="20" width="9.125" style="116" customWidth="1"/>
    <col min="21" max="28" width="6.75" style="17" customWidth="1"/>
    <col min="29" max="30" width="9" style="17"/>
    <col min="31" max="31" width="9" hidden="1" customWidth="1"/>
    <col min="32" max="32" width="10.125" hidden="1" customWidth="1"/>
    <col min="33" max="33" width="9" hidden="1" customWidth="1"/>
    <col min="34" max="34" width="9" style="17" hidden="1" customWidth="1"/>
    <col min="35" max="35" width="9" style="17" customWidth="1"/>
    <col min="36" max="40" width="9" style="17"/>
    <col min="41" max="41" width="9" style="777"/>
    <col min="42" max="42" width="9" style="777" hidden="1" customWidth="1"/>
    <col min="43" max="44" width="9" style="777"/>
    <col min="45" max="16384" width="9" style="17"/>
  </cols>
  <sheetData>
    <row r="1" spans="1:42">
      <c r="A1" s="74"/>
      <c r="B1" s="74"/>
      <c r="C1" s="74"/>
      <c r="D1" s="74"/>
      <c r="E1" s="74"/>
      <c r="F1" s="1670" t="str">
        <f>IF('Master Sheet'!D11="Hindi","वार्षिक रिपोर्ट कार्ड ","Report Card")</f>
        <v xml:space="preserve">वार्षिक रिपोर्ट कार्ड </v>
      </c>
      <c r="G1" s="1670"/>
      <c r="H1" s="1670"/>
      <c r="I1" s="1670"/>
      <c r="J1" s="1670"/>
      <c r="K1" s="1670"/>
      <c r="L1" s="1670"/>
      <c r="M1" s="1670"/>
      <c r="N1" s="1670"/>
      <c r="O1" s="1670"/>
      <c r="P1" s="74"/>
      <c r="Q1" s="74"/>
      <c r="R1" s="74"/>
      <c r="S1" s="74"/>
      <c r="T1" s="74"/>
    </row>
    <row r="2" spans="1:42" ht="18.75" customHeight="1" thickBot="1">
      <c r="A2" s="74"/>
      <c r="B2" s="74"/>
      <c r="C2" s="74"/>
      <c r="D2" s="1671" t="str">
        <f>IF('Master Sheet'!D11="Hindi","शिक्षा विभाग, राजस्थान सरकार","Education Department, Rajasthan Government")</f>
        <v>शिक्षा विभाग, राजस्थान सरकार</v>
      </c>
      <c r="E2" s="1671"/>
      <c r="F2" s="1671"/>
      <c r="G2" s="1671"/>
      <c r="H2" s="1671"/>
      <c r="I2" s="1671"/>
      <c r="J2" s="1671"/>
      <c r="K2" s="1671"/>
      <c r="L2" s="1671"/>
      <c r="M2" s="1671"/>
      <c r="N2" s="1671"/>
      <c r="O2" s="1671"/>
      <c r="P2" s="1671"/>
      <c r="Q2" s="1671"/>
      <c r="R2" s="74"/>
      <c r="S2" s="74"/>
      <c r="T2" s="74"/>
    </row>
    <row r="3" spans="1:42" ht="21" customHeight="1">
      <c r="A3" s="1661" t="str">
        <f>IF('Master Sheet'!D11="Hindi",CONCATENATE("विद्यालय का नाम :-","  ",'Master Sheet'!D8),CONCATENATE("School Name :-","  ",'Master Sheet'!D7))</f>
        <v xml:space="preserve">विद्यालय का नाम :-  महात्मा गाँधी राजकीय विद्यालय (अंग्रेजी माध्यम) बर, पाली </v>
      </c>
      <c r="B3" s="1661"/>
      <c r="C3" s="1661"/>
      <c r="D3" s="1661"/>
      <c r="E3" s="1661"/>
      <c r="F3" s="1661"/>
      <c r="G3" s="1661"/>
      <c r="H3" s="1661"/>
      <c r="I3" s="1661"/>
      <c r="J3" s="1661"/>
      <c r="K3" s="1661"/>
      <c r="L3" s="1661"/>
      <c r="M3" s="1661"/>
      <c r="N3" s="1661"/>
      <c r="O3" s="1661"/>
      <c r="P3" s="1661"/>
      <c r="Q3" s="1661"/>
      <c r="R3" s="1661"/>
      <c r="S3" s="1661"/>
      <c r="T3" s="758"/>
      <c r="AA3" s="1759" t="s">
        <v>293</v>
      </c>
      <c r="AB3" s="1760"/>
      <c r="AC3" s="1761"/>
      <c r="AE3" s="756"/>
      <c r="AF3" s="756"/>
      <c r="AG3" s="756"/>
    </row>
    <row r="4" spans="1:42" ht="21" customHeight="1">
      <c r="A4" s="706"/>
      <c r="B4" s="706"/>
      <c r="C4" s="706"/>
      <c r="D4" s="706"/>
      <c r="E4" s="1662" t="str">
        <f>IF(AND(O6=""),"",IF(AND('Master Sheet'!D6=""),"",IF('Master Sheet'!D11="Hindi",CONCATENATE("(विद्यालय मान्यता क्रमांक व वर्ष : ","  ",'Master Sheet'!D6),CONCATENATE("(School Recognition Number &amp; Years : ","  ",'Master Sheet'!D6))))</f>
        <v>(विद्यालय मान्यता क्रमांक व वर्ष :   शिक्षा/पाली/1995/2001</v>
      </c>
      <c r="F4" s="1662"/>
      <c r="G4" s="1662"/>
      <c r="H4" s="1662"/>
      <c r="I4" s="1662"/>
      <c r="J4" s="1662"/>
      <c r="K4" s="1662"/>
      <c r="L4" s="1662"/>
      <c r="M4" s="1662"/>
      <c r="N4" s="1662"/>
      <c r="O4" s="1662"/>
      <c r="P4" s="450"/>
      <c r="Q4" s="450"/>
      <c r="R4" s="450"/>
      <c r="S4" s="450"/>
      <c r="T4" s="718"/>
      <c r="AA4" s="1762"/>
      <c r="AB4" s="1763"/>
      <c r="AC4" s="1764"/>
    </row>
    <row r="5" spans="1:42" ht="19.5" customHeight="1">
      <c r="A5" s="1663" t="str">
        <f>IF('Master Sheet'!D11="Hindi","सत्र  :-","Session :-")</f>
        <v>सत्र  :-</v>
      </c>
      <c r="B5" s="1663"/>
      <c r="C5" s="1663"/>
      <c r="D5" s="1635" t="str">
        <f>'Marks Entry'!H1</f>
        <v>2025-2026</v>
      </c>
      <c r="E5" s="1635"/>
      <c r="F5" s="1635"/>
      <c r="G5" s="1635"/>
      <c r="H5" s="1639" t="str">
        <f>IF('Master Sheet'!$D$11="Hindi","संकाय :-","Faculty :-")</f>
        <v>संकाय :-</v>
      </c>
      <c r="I5" s="1639"/>
      <c r="J5" s="1768" t="str">
        <f>CONCATENATE('Marks Entry'!H2," '",'Marks Entry'!H3,"'")</f>
        <v>11 'Arts'</v>
      </c>
      <c r="K5" s="1768"/>
      <c r="L5" s="451"/>
      <c r="M5" s="1663" t="str">
        <f>IF('Master Sheet'!D11="Hindi","कक्षा  :-","CLASS :- ")</f>
        <v>कक्षा  :-</v>
      </c>
      <c r="N5" s="1663"/>
      <c r="O5" s="1769" t="str">
        <f>IFERROR(CONCATENATE(VLOOKUP(O6,'Student DATA Entry'!$B$4:$F$203,2,0),"  '",VLOOKUP(O6,'Student DATA Entry'!$B$4:$F$203,3,0)),"")</f>
        <v>11  'A</v>
      </c>
      <c r="P5" s="1769"/>
      <c r="Q5" s="452"/>
      <c r="R5" s="450"/>
      <c r="S5" s="450"/>
      <c r="T5" s="450"/>
      <c r="AA5" s="1762"/>
      <c r="AB5" s="1763"/>
      <c r="AC5" s="1764"/>
      <c r="AF5" s="757">
        <f>O8</f>
        <v>39763</v>
      </c>
    </row>
    <row r="6" spans="1:42" ht="19.5" customHeight="1">
      <c r="A6" s="1633" t="str">
        <f>IF('Master Sheet'!D11="Hindi","विद्यार्थी का नाम :-","Student's Name :-")</f>
        <v>विद्यार्थी का नाम :-</v>
      </c>
      <c r="B6" s="1633"/>
      <c r="C6" s="1633"/>
      <c r="D6" s="1635" t="str">
        <f>IFERROR(VLOOKUP($O$6,'Statement of Marks'!$B$8:'Statement of Marks'!$HI$207,4,0),"")</f>
        <v>O</v>
      </c>
      <c r="E6" s="1635"/>
      <c r="F6" s="1635"/>
      <c r="G6" s="1635"/>
      <c r="H6" s="1635"/>
      <c r="I6" s="1635"/>
      <c r="J6" s="1635"/>
      <c r="K6" s="1635"/>
      <c r="L6" s="1635"/>
      <c r="M6" s="1634" t="str">
        <f>IF('Master Sheet'!D11="Hindi","रोल नंबर :-","Roll No. :")</f>
        <v>रोल नंबर :-</v>
      </c>
      <c r="N6" s="1634"/>
      <c r="O6" s="1640">
        <v>1108</v>
      </c>
      <c r="P6" s="1640"/>
      <c r="Q6" s="452"/>
      <c r="R6" s="450"/>
      <c r="S6" s="450"/>
      <c r="T6" s="450"/>
      <c r="AA6" s="1762"/>
      <c r="AB6" s="1763"/>
      <c r="AC6" s="1764"/>
      <c r="AE6">
        <f>YEAR(AF5)</f>
        <v>2008</v>
      </c>
      <c r="AF6">
        <f>MONTH(AF5)</f>
        <v>11</v>
      </c>
      <c r="AG6">
        <f>DAY(AF5)</f>
        <v>11</v>
      </c>
    </row>
    <row r="7" spans="1:42" ht="18.75" customHeight="1">
      <c r="A7" s="1633" t="str">
        <f>IF('Master Sheet'!D11="Hindi","पिता का नाम :-","Father's Name :-")</f>
        <v>पिता का नाम :-</v>
      </c>
      <c r="B7" s="1633"/>
      <c r="C7" s="1633"/>
      <c r="D7" s="1635" t="str">
        <f>IFERROR(VLOOKUP($O$6,'Statement of Marks'!$B$8:'Statement of Marks'!$HI$207,5,0),"")</f>
        <v>R</v>
      </c>
      <c r="E7" s="1635"/>
      <c r="F7" s="1635"/>
      <c r="G7" s="1635"/>
      <c r="H7" s="1635"/>
      <c r="I7" s="1635"/>
      <c r="J7" s="1635"/>
      <c r="K7" s="1635"/>
      <c r="L7" s="1635"/>
      <c r="M7" s="1634" t="str">
        <f>IF('Master Sheet'!D11="Hindi","प्रवेशांक :","SR. NO. :")</f>
        <v>प्रवेशांक :</v>
      </c>
      <c r="N7" s="1634"/>
      <c r="O7" s="1660">
        <f>IFERROR(VLOOKUP($O$6,'Statement of Marks'!$B$8:'Statement of Marks'!$HI$207,2,0),"")</f>
        <v>123</v>
      </c>
      <c r="P7" s="1660"/>
      <c r="Q7" s="453"/>
      <c r="R7" s="450"/>
      <c r="S7" s="450"/>
      <c r="T7" s="450"/>
      <c r="AA7" s="1762"/>
      <c r="AB7" s="1763"/>
      <c r="AC7" s="1764"/>
      <c r="AE7" t="str">
        <f>IF(AE6=2000,"दो हजार",IF(AE6=2001,"दो हजार एक",IF(AE6=2002,"दो हजार दो",IF(AE6=2003,"दो हजार तीन",IF(AE6=2004,"दो हजार चार",IF(AE6=2005,"दो हजार पांच",IF(AE6=2006,"दो हजार छः",IF(AE6=2007,"दो हजार सात",IF(AE6=2008,"दो हजार आठ",IF(AE6=2009,"दो हजार नौ",IF(AE6=2010,"दो हजार दस",IF(AE6=2011,"दो हजार ग्यारह",IF(AE6=2012,"दो हजार बारह",IF(AE6=2013,"दो हजार तेरह",IF(AE6=2014,"दो हजार चौदह",IF(AE6=2015,"दो हजार पंद्रह",IF(AE6=2016,"दो हजार सोलह",IF(AE6=2017,"दो हजार सत्रह",IF(AE6=2018,"दो हजार अठारह",IF(AE6=2019,"दो हजार उन्नीस",IF(AE6=2020,"दो हजार बीस",IF(AE6=2021,"दो हजार इक्कीस",IF(AE6=2022,"दो हजार बाइस","")))))))))))))))))))))))</f>
        <v>दो हजार आठ</v>
      </c>
      <c r="AF7" t="str">
        <f>IF(AF6=1,"जनवरी",IF(AF6=2,"फरवरी",IF(AF6=3,"मार्च",IF(AF6=4,"अप्रैल",IF(AF6=5,"मई",IF(AF6=6,"जून",IF(AF6=7,"जुलाई",IF(AF6=8,"अगस्त",IF(AF6=9,"सितम्बर",IF(AF6=10,"अक्टूबर",IF(AF6=11,"नवम्बर",IF(AF6=12,"दिसम्बर",""))))))))))))</f>
        <v>नवम्बर</v>
      </c>
      <c r="AG7" t="str">
        <f>IF(AG6=1,"एक",IF(AG6=2,"दो",IF(AG6=3,"तीन",IF(AG6=4,"चार",IF(AG6=5,"पांच",IF(AG6=6,"छः",IF(AG6=7,"सात",IF(AG6=8,"आठ",IF(AG6=9,"नौ",IF(AG6=10,"दस",IF(AG6=11,"ग्यारह",IF(AG6=12,"बारह",IF(AG6=13,"तेरह",IF(AG6=14,"चौदह",IF(AG6=15,"पंद्रह",IF(AG6=16,"सोलह",IF(AG6=17,"सत्रह",IF(AG6=18,"अठारह",IF(AG6=19,"उन्नीस",IF(AG6=20,"बीस",IF(AG6=21,"इक्कीस",IF(AG6=22,"बाइस",IF(AG6=23,"तेईस",IF(AG6=24,"चौबीस",IF(AG6=25,"पचीस",IF(AG6=26,"छबीस",IF(AG6=27,"सताईस",IF(AG6=28,"अठाइस",IF(AG6=29,"उन्नतीस",IF(AG6=30,"तीस",IF(AG6=31,"इकतीस","")))))))))))))))))))))))))))))))</f>
        <v>ग्यारह</v>
      </c>
    </row>
    <row r="8" spans="1:42" ht="18.75" customHeight="1">
      <c r="A8" s="1633" t="str">
        <f>IF('Master Sheet'!D11="Hindi","माता का नाम :-","Mother's Name :-")</f>
        <v>माता का नाम :-</v>
      </c>
      <c r="B8" s="1633"/>
      <c r="C8" s="1633"/>
      <c r="D8" s="1635" t="str">
        <f>IFERROR(VLOOKUP($O$6,'Statement of Marks'!$B$8:'Statement of Marks'!$HI$207,6,0),"")</f>
        <v>I</v>
      </c>
      <c r="E8" s="1635"/>
      <c r="F8" s="1635"/>
      <c r="G8" s="1635"/>
      <c r="H8" s="1635"/>
      <c r="I8" s="1635"/>
      <c r="J8" s="1635"/>
      <c r="K8" s="1635"/>
      <c r="L8" s="1635"/>
      <c r="M8" s="1634" t="str">
        <f>IF('Master Sheet'!D11="Hindi","जन्म तिथि :","Date of Birth :")</f>
        <v>जन्म तिथि :</v>
      </c>
      <c r="N8" s="1634"/>
      <c r="O8" s="1659">
        <f>IFERROR(VLOOKUP($O$6,'Statement of Marks'!$B$8:'Statement of Marks'!$HI$207,3,0),"")</f>
        <v>39763</v>
      </c>
      <c r="P8" s="1659"/>
      <c r="Q8" s="1659"/>
      <c r="R8" s="450"/>
      <c r="S8" s="450"/>
      <c r="T8" s="450"/>
      <c r="AA8" s="1762"/>
      <c r="AB8" s="1763"/>
      <c r="AC8" s="1764"/>
      <c r="AF8" t="str">
        <f>CONCATENATE(AG7," ",AF7," ",AE7)</f>
        <v>ग्यारह नवम्बर दो हजार आठ</v>
      </c>
    </row>
    <row r="9" spans="1:42" ht="18.75" customHeight="1">
      <c r="A9" s="730"/>
      <c r="B9" s="730"/>
      <c r="C9" s="730"/>
      <c r="D9" s="731"/>
      <c r="E9" s="731"/>
      <c r="F9" s="731"/>
      <c r="G9" s="731"/>
      <c r="H9" s="731"/>
      <c r="I9" s="731"/>
      <c r="J9" s="731"/>
      <c r="K9" s="731"/>
      <c r="L9" s="1634" t="str">
        <f>IF('Master Sheet'!D11="Hindi","जन्मतिथि शब्दों में :","Date of Birth in Words :")</f>
        <v>जन्मतिथि शब्दों में :</v>
      </c>
      <c r="M9" s="1634"/>
      <c r="N9" s="1634"/>
      <c r="O9" s="1566" t="str">
        <f>IF('Master Sheet'!$D$11="Hindi",AF8,AF10)</f>
        <v>ग्यारह नवम्बर दो हजार आठ</v>
      </c>
      <c r="P9" s="1566"/>
      <c r="Q9" s="1566"/>
      <c r="R9" s="1566"/>
      <c r="S9" s="1566"/>
      <c r="T9" s="450"/>
      <c r="AA9" s="1762"/>
      <c r="AB9" s="1763"/>
      <c r="AC9" s="1764"/>
      <c r="AE9" t="str">
        <f>IF(AE6=1961,"NINETEEN SIXTY ONE",IF(AE6=1962,"NINETEEN SIXTY TWO",IF(AE6=1963,"NINETEEN SIXTY THREE",IF(AE6=1964,"NINETEEN SIXTY FOUR",IF(AE6=1965,"NINETEEN SIXTY FIVE",IF(AE6=1966,"NINETEEN SIXTY SIX",IF(AE6=1967,"NINETEEN SIXTY SEVEN",IF(AE6=1968,"NINETEEN SIXTY EIGHT",IF(AE6=1969,"NINETEEN SIXTY NINE",IF(AE6=1970,"NINETEEN SEVENTY",IF(AE6=1971,"NINETEEN SEVENTY ONE",IF(AE6=1972,"NINETEEN SEVENTY TWO",IF(AE6=1973,"NINETEEN SEVENTY THREE",IF(AE6=1974,"NINETEEN SEVENTY FOUR",IF(AE6=1975,"NINETEEN SEVENTY FIVE",IF(AE6=1976,"NINETEEN SEVENTY SIX",IF(AE6=1977,"NINETEEN SEVENTY SEVEN",IF(AE6=1978,"NINETEEN SEVENTY EIGHT",IF(AE6=1979,"NINETEEN SEVENTY NINE",IF(AE6=1980,"NINETEEN EIGHTY",IF(AE6=1981,"NINETEEN EIGHTY ONE",IF(AE6=1982,"NINETEEN EIGHTY TWO",IF(AE6=1983,"NINETEEN EIGHTY THREE",IF(AE6=1984,"NINETEEN EIGHTY FOUR",IF(AE6=1985,"NINETEEN EIGHTY FIVE",IF(AE6=1986,"NINETEEN EIGHTY SIX",IF(AE6=1987,"NINETEEN EIGHTY SEVEN",IF(AE6=1988,"NINETEEN EIGHTY EIGHT",IF(AE6=1989,"NINETEEN EIGHTY NINE",IF(AE6=1990,"NINETEEN NINETY",IF(AE6=1991,"NINETEEN NINETY ONE",IF(AE6=1992,"NINETEEN NINETY TWO",IF(AE6=1993,"NINETEEN NINETY THREE",IF(AE6=1994,"NINETEEN NINETY FOUR",IF(AE6=1995,"NINETEEN NINETY FIVE",IF(AE6=1996,"NINETEEN NINETY SIX",IF(AE6=1997,"NINETEEN NINETY SEVEN",IF(AE6=1998,"NINETEEN NINETY EIGHT",IF(AE6=1999,"NINETEEN NINETY NINE",IF(AE6=2000,"TWO THOUSAND",IF(AE6=2001,"TWO THOUSAND ONE",IF(AE6=2002,"TWO THOUSAND TWO",IF(AE6=2003,"TWO THOUSAND THREE",IF(AE6=2004,"TWO THOUSAND FOUR",IF(AE6=2005,"TWO THOUSAND FIVE",IF(AE6=2006,"TWO THOUSAND SIX",IF(AE6=2007,"TWO THOUSAND SEVEN",IF(AE6=2008,"TWO THOUSAND EIGHT",IF(AE6=2009,"TWO THOUSAND NINE",IF(AE6=2010,"TWO THOUSAND TEN",IF(AE6=2011,"TWO THOUSAND ELEVEN",IF(AE6=2012,"TWO THOUSAND TWELVE",IF(AE6=2013,"TWO THOUSAND THIRTEEN",IF(AE6=2014,"TWO THOUSAND FOURTEEN",IF(AE6=2015,"TWO THOUSAND FIFTEEN",IF(AE6=2016,"TWO THOUSAND SIXTEEN",IF(AE6=2017,"TWO THOUSAND SEVENTEEN",IF(AE6=2018,"TWO THOUSAND EIGHTEEN",IF(AE6=2019,"TWO THOUSAND NINETEEN",IF(AE6=2020,"TWO THOUSAND TWENTY",IF(AE6=2021,"TWO THOUSAND TWENTY ONE",IF(AE6=2022,"TWO THOUSAND TWENTY TWO",IF(AE6=2023,"TWO THOUSAND TWENTY THREE",IF(AE6=2024,"TWO THOUSAND TWENTY FOUR",IF(AE6=2025,"TWO THOUSAND TWENTY FIVE","")))))))))))))))))))))))))))))))))))))))))))))))))))))))))))))))))</f>
        <v>TWO THOUSAND EIGHT</v>
      </c>
      <c r="AF9" t="str">
        <f>IF(AF6=1,"JANUARY",IF(AF6=2,"FEBUARY", IF(AF6=3,"MARCH",IF(AF6=4,"APRIL",IF(AF6=5,"MAY",IF(AF6=6,"JUNE",IF(AF6=7,"JULY",IF(AF6=8,"AUGUST",IF(AF6=9,"SEPTEMBER",IF(AF6=10,"OCTOBER",IF(AF6=11,"NOVEMBER",IF(AF6=12,"DECEMBER",""))))))))))))</f>
        <v>NOVEMBER</v>
      </c>
      <c r="AG9" t="str">
        <f>IF(AG6=1,"1ST",IF(AG6=2,"2ND", IF(AG6=3,"3RD",IF(AG6=4,"FOURTH",IF(AG6=5,"FIFTH",IF(AG6=6,"SIXTH",IF(AG6=7,"7TH",IF(AG6=8,"8TH",IF(AG6=9,"9TH",IF(AG6=10,"10TH",IF(AG6=11,"11TH",IF(AG6=12,"12TH",IF(AG6=13,"13TH",IF(AG6=14,"14TH",IF(AG6=15,"FIFTEEN",IF(AG6=16,"SIXTEEN",IF(AG6=17,"SEVENTEEN",IF(AG6=18,"EIGHTEEN",IF(AG6=19,"NINETEEN",IF(AG6=20,"TWENTY",IF(AG6=21,"TWENTY FIRST",IF(AG6=22,"TWENTY SECOND",IF(AG6=23,"TWENTY THIRD",IF(AG6=24,"TWENTY FOURTH",IF(AG6=25,"TWENTY FIFTH",IF(AG6=26,"TWENTY SIX",IF(AG6=27,"TWENTY SEVEN",IF(AG6=28,"TWENTY EIGHT",IF(AG6=29,"TWENTY NINE",IF(AG6=30,"THIRTY",IF(AG6=31,"THIRTY FIRST","")))))))))))))))))))))))))))))))</f>
        <v>11TH</v>
      </c>
    </row>
    <row r="10" spans="1:42" ht="4.5" customHeight="1" thickBot="1">
      <c r="A10" s="454"/>
      <c r="B10" s="454"/>
      <c r="C10" s="454"/>
      <c r="D10" s="476"/>
      <c r="E10" s="731"/>
      <c r="F10" s="476"/>
      <c r="G10" s="476"/>
      <c r="H10" s="476"/>
      <c r="I10" s="476"/>
      <c r="J10" s="476"/>
      <c r="K10" s="476"/>
      <c r="L10" s="476"/>
      <c r="M10" s="456"/>
      <c r="N10" s="456"/>
      <c r="O10" s="457"/>
      <c r="P10" s="457"/>
      <c r="Q10" s="457"/>
      <c r="R10" s="450"/>
      <c r="S10" s="450"/>
      <c r="T10" s="450"/>
      <c r="AA10" s="1762"/>
      <c r="AB10" s="1763"/>
      <c r="AC10" s="1764"/>
      <c r="AF10" t="str">
        <f>CONCATENATE(AF9," ",AG9,", ",AE9)</f>
        <v>NOVEMBER 11TH, TWO THOUSAND EIGHT</v>
      </c>
    </row>
    <row r="11" spans="1:42" ht="18" customHeight="1">
      <c r="A11" s="1739" t="str">
        <f>IF('Master Sheet'!D11="Hindi","विषय का नाम","Subject Name")</f>
        <v>विषय का नाम</v>
      </c>
      <c r="B11" s="1616"/>
      <c r="C11" s="1616" t="str">
        <f>IF('Master Sheet'!$D$11="Hindi","सामयिक परख","Seasonal Exam")</f>
        <v>सामयिक परख</v>
      </c>
      <c r="D11" s="1616"/>
      <c r="E11" s="1616"/>
      <c r="F11" s="1616"/>
      <c r="G11" s="1616" t="str">
        <f>IF('Master Sheet'!$D$11="Hindi","अर्द्धवार्षिक","Half Yearly")</f>
        <v>अर्द्धवार्षिक</v>
      </c>
      <c r="H11" s="1616"/>
      <c r="I11" s="1616"/>
      <c r="J11" s="1648" t="str">
        <f>IF('Master Sheet'!$D$11="Hindi","अर्द्ध वा. तक योग","Total Till H.Y.")</f>
        <v>अर्द्ध वा. तक योग</v>
      </c>
      <c r="K11" s="1616" t="str">
        <f>IF('Master Sheet'!$D$11="Hindi","वार्षिक","Yearly Exam")</f>
        <v>वार्षिक</v>
      </c>
      <c r="L11" s="1616"/>
      <c r="M11" s="1616"/>
      <c r="N11" s="1616"/>
      <c r="O11" s="1737" t="str">
        <f>IF('Master Sheet'!$D$11="Hindi","विषय कुल योग ","Subject Total")</f>
        <v xml:space="preserve">विषय कुल योग </v>
      </c>
      <c r="P11" s="1667" t="str">
        <f>IF('Master Sheet'!D11="Hindi","विषय परिणाम / विषय श्रेणी","Sub. Result /  Sub. Div.")</f>
        <v>विषय परिणाम / विषय श्रेणी</v>
      </c>
      <c r="Q11" s="1756" t="str">
        <f>IF('Master Sheet'!D11="Hindi","पूरक परीक्षा के पश्चात् अंतिम परिणाम","Final Result after the Supplementary Exam")</f>
        <v>पूरक परीक्षा के पश्चात् अंतिम परिणाम</v>
      </c>
      <c r="R11" s="1756"/>
      <c r="S11" s="1756"/>
      <c r="T11" s="1757"/>
      <c r="AA11" s="1762"/>
      <c r="AB11" s="1763"/>
      <c r="AC11" s="1764"/>
    </row>
    <row r="12" spans="1:42" ht="63.75" customHeight="1">
      <c r="A12" s="1740"/>
      <c r="B12" s="1741"/>
      <c r="C12" s="723" t="str">
        <f>IF('Master Sheet'!$D$11="Hindi","प्रथम परख ","First Test")</f>
        <v xml:space="preserve">प्रथम परख </v>
      </c>
      <c r="D12" s="723" t="str">
        <f>IF('Master Sheet'!$D$11="Hindi","द्वितीय परख","Second Test")</f>
        <v>द्वितीय परख</v>
      </c>
      <c r="E12" s="723" t="str">
        <f>IF('Master Sheet'!$D$11="Hindi","तृतीय परख","Third Test")</f>
        <v>तृतीय परख</v>
      </c>
      <c r="F12" s="707" t="str">
        <f>IF('Master Sheet'!$D$11="Hindi","सा. परख योग","Test Total")</f>
        <v>सा. परख योग</v>
      </c>
      <c r="G12" s="723" t="str">
        <f>IF('Master Sheet'!$D$11="Hindi","सैद्धांतिक","Theoretical")</f>
        <v>सैद्धांतिक</v>
      </c>
      <c r="H12" s="723" t="str">
        <f>IF('Master Sheet'!$D$11="Hindi","प्रायोगिक","Practical")</f>
        <v>प्रायोगिक</v>
      </c>
      <c r="I12" s="783" t="str">
        <f>IF('Master Sheet'!$D$11="Hindi","अर्द्ध वा. योग","Total H.Y.")</f>
        <v>अर्द्ध वा. योग</v>
      </c>
      <c r="J12" s="1649"/>
      <c r="K12" s="723" t="str">
        <f>IF('Master Sheet'!$D$11="Hindi","सैद्धांतिक","Theoretical")</f>
        <v>सैद्धांतिक</v>
      </c>
      <c r="L12" s="723" t="str">
        <f>IF('Master Sheet'!$D$11="Hindi","प्रायोगिक","Practical")</f>
        <v>प्रायोगिक</v>
      </c>
      <c r="M12" s="723" t="str">
        <f>IF('Master Sheet'!$D$11="Hindi","पोर्टफोलियो","Portfolio")</f>
        <v>पोर्टफोलियो</v>
      </c>
      <c r="N12" s="783" t="str">
        <f>IF('Master Sheet'!$D$11="Hindi","वार्षिक योग","Total Yearly")</f>
        <v>वार्षिक योग</v>
      </c>
      <c r="O12" s="1738"/>
      <c r="P12" s="1668"/>
      <c r="Q12" s="1596"/>
      <c r="R12" s="1596"/>
      <c r="S12" s="1596"/>
      <c r="T12" s="1758"/>
      <c r="Y12" s="74"/>
      <c r="AA12" s="1762"/>
      <c r="AB12" s="1763"/>
      <c r="AC12" s="1764"/>
    </row>
    <row r="13" spans="1:42" ht="26.25" customHeight="1" thickBot="1">
      <c r="A13" s="1637" t="s">
        <v>230</v>
      </c>
      <c r="B13" s="1638"/>
      <c r="C13" s="719">
        <v>10</v>
      </c>
      <c r="D13" s="719">
        <v>10</v>
      </c>
      <c r="E13" s="719">
        <v>10</v>
      </c>
      <c r="F13" s="724">
        <v>30</v>
      </c>
      <c r="G13" s="459" t="s">
        <v>292</v>
      </c>
      <c r="H13" s="458" t="s">
        <v>285</v>
      </c>
      <c r="I13" s="786">
        <v>70</v>
      </c>
      <c r="J13" s="724">
        <v>100</v>
      </c>
      <c r="K13" s="459" t="s">
        <v>286</v>
      </c>
      <c r="L13" s="459" t="s">
        <v>143</v>
      </c>
      <c r="M13" s="759">
        <v>20</v>
      </c>
      <c r="N13" s="759">
        <v>100</v>
      </c>
      <c r="O13" s="732">
        <v>200</v>
      </c>
      <c r="P13" s="1668"/>
      <c r="Q13" s="1596" t="str">
        <f>IF('Master Sheet'!D11="Hindi","विषय","Subject")</f>
        <v>विषय</v>
      </c>
      <c r="R13" s="1596"/>
      <c r="S13" s="762" t="str">
        <f>IF('Master Sheet'!D11="Hindi","प्राप्तांक","Marks Obtained")</f>
        <v>प्राप्तांक</v>
      </c>
      <c r="T13" s="765" t="str">
        <f>IF('Master Sheet'!D11="Hindi","परिणाम","Result")</f>
        <v>परिणाम</v>
      </c>
      <c r="Y13" s="74"/>
      <c r="AA13" s="1765"/>
      <c r="AB13" s="1766"/>
      <c r="AC13" s="1767"/>
    </row>
    <row r="14" spans="1:42" ht="21" customHeight="1">
      <c r="A14" s="1605" t="str">
        <f>'Statement of Marks'!J3</f>
        <v>Com. Hindi</v>
      </c>
      <c r="B14" s="1606"/>
      <c r="C14" s="91">
        <f>IFERROR(VLOOKUP(O6,'Statement of Marks'!$B$8:'Statement of Marks'!$HI$207,9,0),"")</f>
        <v>10</v>
      </c>
      <c r="D14" s="91">
        <f>IFERROR(VLOOKUP(O6,'Statement of Marks'!$B$8:'Statement of Marks'!$HI$207,10,0),"")</f>
        <v>10</v>
      </c>
      <c r="E14" s="91">
        <f>IFERROR(VLOOKUP(O6,'Statement of Marks'!$B$8:'Statement of Marks'!$HI$207,11,0),"")</f>
        <v>8</v>
      </c>
      <c r="F14" s="725">
        <f>IFERROR(VLOOKUP(O6,'Statement of Marks'!$B$8:'Statement of Marks'!$HI$207,12,0),"")</f>
        <v>28</v>
      </c>
      <c r="G14" s="91">
        <f>IFERROR(VLOOKUP(O6,'Statement of Marks'!$B$8:'Statement of Marks'!$HI$207,13,0),"")</f>
        <v>46</v>
      </c>
      <c r="H14" s="91"/>
      <c r="I14" s="787">
        <f>IFERROR(VLOOKUP(O6,'Statement of Marks'!$B$8:'Statement of Marks'!$HI$207,13,0),"")</f>
        <v>46</v>
      </c>
      <c r="J14" s="724">
        <f>IFERROR(IF(AND($O$6="",A14="",F14="",I14=""),"",SUM(C14,D14,E14,G14,H14)),"")</f>
        <v>74</v>
      </c>
      <c r="K14" s="91">
        <f>IFERROR(VLOOKUP(O6,'Statement of Marks'!$B$8:'Statement of Marks'!$HI$207,15,0),"")</f>
        <v>25</v>
      </c>
      <c r="L14" s="462"/>
      <c r="M14" s="92"/>
      <c r="N14" s="759">
        <f>IFERROR(VLOOKUP(O6,'Statement of Marks'!$B$8:'Statement of Marks'!$HI$207,15,0),"")</f>
        <v>25</v>
      </c>
      <c r="O14" s="732">
        <f>IFERROR(VLOOKUP(O6,'Statement of Marks'!$B$8:'Statement of Marks'!$HI$207,16,0),"")</f>
        <v>99</v>
      </c>
      <c r="P14" s="463" t="str">
        <f>IFERROR(IF(N14="","",IF(VLOOKUP(O6,'Statement of Marks'!$B$8:'Statement of Marks'!$HI$207,165,0)="D","I",VLOOKUP(O6,'Statement of Marks'!$B$8:'Statement of Marks'!$HI$207,165,0))),"")</f>
        <v>II</v>
      </c>
      <c r="Q14" s="1632" t="str">
        <f>IF(AND(P14=""),"",IF(AND(P14="S"),A14,""))</f>
        <v/>
      </c>
      <c r="R14" s="1632"/>
      <c r="S14" s="763" t="str">
        <f>IFERROR(IF(Q14="","",VLOOKUP($O$6,'Supp. Result Entry'!$B$7:'Supp. Result Entry'!$AU$206,20,0)),"")</f>
        <v/>
      </c>
      <c r="T14" s="766" t="str">
        <f>IFERROR(IF(Q14="","",VLOOKUP($O$6,'Statement of Marks'!$B$8:'Statement of Marks'!$HI$207,212,0)),"")</f>
        <v/>
      </c>
    </row>
    <row r="15" spans="1:42" ht="21" customHeight="1">
      <c r="A15" s="1605" t="str">
        <f>'Statement of Marks'!X3</f>
        <v>Com. English</v>
      </c>
      <c r="B15" s="1606"/>
      <c r="C15" s="91">
        <f>IFERROR(VLOOKUP(O6,'Statement of Marks'!$B$8:'Statement of Marks'!$HI$207,23,0),"")</f>
        <v>8</v>
      </c>
      <c r="D15" s="91">
        <f>IFERROR(VLOOKUP(O6,'Statement of Marks'!$B$8:'Statement of Marks'!$HI$207,24,0),"")</f>
        <v>5</v>
      </c>
      <c r="E15" s="91">
        <f>IFERROR(VLOOKUP(O6,'Statement of Marks'!$B$8:'Statement of Marks'!$HI$207,25,0),"")</f>
        <v>9</v>
      </c>
      <c r="F15" s="725">
        <f>IFERROR(VLOOKUP(O6,'Statement of Marks'!$B$8:'Statement of Marks'!$HI$207,26,0),"")</f>
        <v>22</v>
      </c>
      <c r="G15" s="91">
        <f>IFERROR(VLOOKUP(O6,'Statement of Marks'!$B$8:'Statement of Marks'!$HI$207,27,0),"")</f>
        <v>42</v>
      </c>
      <c r="H15" s="91"/>
      <c r="I15" s="787">
        <f>IFERROR(VLOOKUP(O6,'Statement of Marks'!$B$8:'Statement of Marks'!$HI$207,27,0),"")</f>
        <v>42</v>
      </c>
      <c r="J15" s="724">
        <f t="shared" ref="J15:J17" si="0">IFERROR(IF(AND($O$6="",A15="",F15="",I15=""),"",SUM(C15,D15,E15,G15,H15)),"")</f>
        <v>64</v>
      </c>
      <c r="K15" s="91">
        <f>IFERROR(VLOOKUP(O6,'Statement of Marks'!$B$8:'Statement of Marks'!$HI$207,29,0),"")</f>
        <v>61</v>
      </c>
      <c r="L15" s="462"/>
      <c r="M15" s="92"/>
      <c r="N15" s="759">
        <f>IFERROR(VLOOKUP(O6,'Statement of Marks'!$B$8:'Statement of Marks'!$HI$207,29,0),"")</f>
        <v>61</v>
      </c>
      <c r="O15" s="732">
        <f>IFERROR(VLOOKUP(O6,'Statement of Marks'!$B$8:'Statement of Marks'!$HI$207,30,0),"")</f>
        <v>125</v>
      </c>
      <c r="P15" s="463" t="str">
        <f>IFERROR(IF(O15="","",IF(VLOOKUP(O6,'Statement of Marks'!$B$8:'Statement of Marks'!$HI$207,168,0)="D","I",VLOOKUP(O6,'Statement of Marks'!$B$8:'Statement of Marks'!$HI$207,168,0))),"")</f>
        <v>I</v>
      </c>
      <c r="Q15" s="1632" t="str">
        <f>IF(AND(P15=""),"",IF(AND(P15="S"),A15,""))</f>
        <v/>
      </c>
      <c r="R15" s="1632"/>
      <c r="S15" s="763" t="str">
        <f>IFERROR(IF(Q15="","",VLOOKUP($O$6,'Supp. Result Entry'!$B$7:'Supp. Result Entry'!$AU$206,23,0)),"")</f>
        <v/>
      </c>
      <c r="T15" s="766" t="str">
        <f>IFERROR(IF(Q15="","",VLOOKUP($O$6,'Statement of Marks'!$B$8:'Statement of Marks'!$HI$207,212,0)),"")</f>
        <v/>
      </c>
      <c r="AP15" s="777" t="str">
        <f>IFERROR(IF(VLOOKUP(O6,'Statement of Marks'!$B$7:'Statement of Marks'!$IC$206,215,0)="By Grace Pass","By Grace Pass and Promoted to Class 12th",IF(VLOOKUP(O6,'Statement of Marks'!$B$7:'Statement of Marks'!$IC$206,215,0)="PASS","PASS  and Promoted to Class 12th",IF(VLOOKUP(O6,'Statement of Marks'!$B$7:'Statement of Marks'!$IC$206,215,0)="SUPPLEMENTARY","Supplementary",IF(VLOOKUP(O6,'Statement of Marks'!$B$7:'Statement of Marks'!$IC$206,215,0)="Re-Exam","RE-EXAM",IF(VLOOKUP(O6,'Statement of Marks'!$B$7:'Statement of Marks'!$IC$206,215,0)="FAIL","FAIL",""))))),"")</f>
        <v>PASS  and Promoted to Class 12th</v>
      </c>
    </row>
    <row r="16" spans="1:42" ht="21" customHeight="1">
      <c r="A16" s="1617" t="str">
        <f>IFERROR(IF(AND(AH16="A"),'Marks Entry'!U2,IF(AND(AH16="B"),'Marks Entry'!Y2,IF(AND(AH16="C"),'Marks Entry'!AA2,""))),"")</f>
        <v>POLITICAL SCIENCE</v>
      </c>
      <c r="B16" s="1618"/>
      <c r="C16" s="91">
        <f>IFERROR(VLOOKUP(O6,'Statement of Marks'!$B$8:'Statement of Marks'!$HI$207,38,0),"")</f>
        <v>10</v>
      </c>
      <c r="D16" s="91">
        <f>IFERROR(VLOOKUP(O6,'Statement of Marks'!$B$8:'Statement of Marks'!$HI$207,39,0),"")</f>
        <v>5</v>
      </c>
      <c r="E16" s="91">
        <f>IFERROR(VLOOKUP(O6,'Statement of Marks'!$B$8:'Statement of Marks'!$HI$207,40,0),"")</f>
        <v>7</v>
      </c>
      <c r="F16" s="725">
        <f>IFERROR(VLOOKUP(O6,'Statement of Marks'!$B$8:'Statement of Marks'!$HI$207,41,0),"")</f>
        <v>22</v>
      </c>
      <c r="G16" s="91">
        <f>IFERROR(VLOOKUP(O6,'Statement of Marks'!$B$8:'Statement of Marks'!$HI$207,42,0),"")</f>
        <v>17</v>
      </c>
      <c r="H16" s="91" t="str">
        <f>IFERROR(VLOOKUP(O6,'Statement of Marks'!$B$8:'Statement of Marks'!$HI$207,43,0),"")</f>
        <v/>
      </c>
      <c r="I16" s="787">
        <f>IFERROR(VLOOKUP(O6,'Statement of Marks'!$B$8:'Statement of Marks'!$HI$207,44,0),"")</f>
        <v>17</v>
      </c>
      <c r="J16" s="724">
        <f t="shared" si="0"/>
        <v>39</v>
      </c>
      <c r="K16" s="91">
        <f>IFERROR(VLOOKUP(O6,'Statement of Marks'!$B$8:'Statement of Marks'!$HI$207,46,0),"")</f>
        <v>27</v>
      </c>
      <c r="L16" s="91" t="str">
        <f>IFERROR(VLOOKUP(O6,'Statement of Marks'!$B$8:'Statement of Marks'!$HI$207,47,0),"")</f>
        <v/>
      </c>
      <c r="M16" s="92"/>
      <c r="N16" s="759">
        <f>IFERROR(VLOOKUP(O6,'Statement of Marks'!$B$8:'Statement of Marks'!$HI$207,48,0),"")</f>
        <v>27</v>
      </c>
      <c r="O16" s="732">
        <f>IFERROR(VLOOKUP(O6,'Statement of Marks'!$B$8:'Statement of Marks'!$HI$207,51,0),"")</f>
        <v>66</v>
      </c>
      <c r="P16" s="463" t="str">
        <f>IFERROR(IF(O16="","",IF(VLOOKUP(O6,'Statement of Marks'!$B$8:'Statement of Marks'!$HI$207,171,0)="D","I",VLOOKUP(O6,'Statement of Marks'!$B$8:'Statement of Marks'!$HI$207,171,0))),"")</f>
        <v>S</v>
      </c>
      <c r="Q16" s="1632" t="str">
        <f>IF(AND(P16=""),"",IF(AND(P16="S"),A16,""))</f>
        <v>POLITICAL SCIENCE</v>
      </c>
      <c r="R16" s="1632"/>
      <c r="S16" s="763">
        <f>IFERROR(IF(Q16="","",VLOOKUP($O$6,'Supp. Result Entry'!$B$7:'Supp. Result Entry'!$AU$206,26,0)),"")</f>
        <v>36</v>
      </c>
      <c r="T16" s="766" t="str">
        <f>IFERROR(IF(Q16="","",VLOOKUP($O$6,'Statement of Marks'!$B$8:'Statement of Marks'!$HI$207,212,0)),"")</f>
        <v>PASS</v>
      </c>
      <c r="AH16" s="17" t="str">
        <f>IFERROR(VLOOKUP(O6,'Statement of Marks'!$B$8:'Statement of Marks'!$HI$207,37,0),"")</f>
        <v>A</v>
      </c>
      <c r="AP16" s="777" t="str">
        <f>IFERROR(IF(VLOOKUP(O6,'Statement of Marks'!$B$7:'Statement of Marks'!$IC$206,215,0)="By Grace Pass","सानुग्रह उतीर्ण एवं कक्षा 12 में क्रमोन्नत",IF(VLOOKUP(O6,'Statement of Marks'!$B$7:'Statement of Marks'!$IC$206,215,0)="PASS","उतीर्ण एवं कक्षा 12 में क्रमोन्नत",IF(VLOOKUP(O6,'Statement of Marks'!$B$7:'Statement of Marks'!$IC$206,215,0)="SUPPLEMENTARY","पूरक",IF(VLOOKUP(O6,'Statement of Marks'!$B$7:'Statement of Marks'!$IC$206,215,0)="Re-Exam","पुनः परीक्षा",IF(VLOOKUP(O6,'Statement of Marks'!$B$7:'Statement of Marks'!$IC$206,215,0)="FAIL","अनुतीर्ण",""))))),"")</f>
        <v>उतीर्ण एवं कक्षा 12 में क्रमोन्नत</v>
      </c>
    </row>
    <row r="17" spans="1:42" ht="21" customHeight="1">
      <c r="A17" s="1617" t="str">
        <f>IFERROR(IF(AND(AH17="A"),'Marks Entry'!AC2,IF(AND(AH17="B"),'Marks Entry'!AG2,IF(AND(AH17="C"),'Marks Entry'!AI2,""))),"")</f>
        <v>HISTORY</v>
      </c>
      <c r="B17" s="1618"/>
      <c r="C17" s="91">
        <f>IFERROR(VLOOKUP(O6,'Statement of Marks'!$B$8:'Statement of Marks'!$HI$207,61,0),"")</f>
        <v>10</v>
      </c>
      <c r="D17" s="91">
        <f>IFERROR(VLOOKUP(O6,'Statement of Marks'!$B$8:'Statement of Marks'!$HI$207,62,0),"")</f>
        <v>10</v>
      </c>
      <c r="E17" s="91">
        <f>IFERROR(VLOOKUP(O6,'Statement of Marks'!$B$8:'Statement of Marks'!$HI$207,63,0),"")</f>
        <v>7</v>
      </c>
      <c r="F17" s="725">
        <f>IFERROR(VLOOKUP(O6,'Statement of Marks'!$B$8:'Statement of Marks'!$HI$207,64,0),"")</f>
        <v>27</v>
      </c>
      <c r="G17" s="91">
        <f>IFERROR(VLOOKUP(O6,'Statement of Marks'!$B$8:'Statement of Marks'!$HI$207,65,0),"")</f>
        <v>32</v>
      </c>
      <c r="H17" s="91" t="str">
        <f>IFERROR(VLOOKUP(O6,'Statement of Marks'!$B$8:'Statement of Marks'!$HI$207,66,0),"")</f>
        <v/>
      </c>
      <c r="I17" s="787">
        <f>IFERROR(VLOOKUP(O6,'Statement of Marks'!$B$8:'Statement of Marks'!$HI$207,67,0),"")</f>
        <v>32</v>
      </c>
      <c r="J17" s="724">
        <f t="shared" si="0"/>
        <v>59</v>
      </c>
      <c r="K17" s="91">
        <f>IFERROR(VLOOKUP(O6,'Statement of Marks'!$B$8:'Statement of Marks'!$HI$207,69,0),"")</f>
        <v>65</v>
      </c>
      <c r="L17" s="91" t="str">
        <f>IFERROR(VLOOKUP(O6,'Statement of Marks'!$B$8:'Statement of Marks'!$HI$207,70,0),"")</f>
        <v/>
      </c>
      <c r="M17" s="92"/>
      <c r="N17" s="759">
        <f>IFERROR(VLOOKUP(O6,'Statement of Marks'!$B$8:'Statement of Marks'!$HI$207,71,0),"")</f>
        <v>65</v>
      </c>
      <c r="O17" s="732">
        <f>IFERROR(VLOOKUP(O6,'Statement of Marks'!$B$8:'Statement of Marks'!$HI$207,74,0),"")</f>
        <v>124</v>
      </c>
      <c r="P17" s="463" t="str">
        <f>IFERROR(IF(O17="","",IF(VLOOKUP(O6,'Statement of Marks'!$B$8:'Statement of Marks'!$HI$207,178,0)="D","I",VLOOKUP(O6,'Statement of Marks'!$B$8:'Statement of Marks'!$HI$207,178,0))),"")</f>
        <v>I</v>
      </c>
      <c r="Q17" s="1632" t="str">
        <f>IF(AND(P17=""),"",IF(AND(P17="S"),A17,""))</f>
        <v/>
      </c>
      <c r="R17" s="1632"/>
      <c r="S17" s="763" t="str">
        <f>IFERROR(IF(Q17="","",VLOOKUP($O$6,'Supp. Result Entry'!$B$7:'Supp. Result Entry'!$AU$206,29,0)),"")</f>
        <v/>
      </c>
      <c r="T17" s="766" t="str">
        <f>IFERROR(IF(Q17="","",VLOOKUP($O$6,'Statement of Marks'!$B$8:'Statement of Marks'!$HI$207,212,0)),"")</f>
        <v/>
      </c>
      <c r="AH17" s="17" t="str">
        <f>IFERROR(VLOOKUP(O6,'Statement of Marks'!$B$8:'Statement of Marks'!$HI$207,60,0),"")</f>
        <v>A</v>
      </c>
      <c r="AP17" s="777" t="str">
        <f>IF('Master Sheet'!$D$11="Hindi",AP16,AP15)</f>
        <v>उतीर्ण एवं कक्षा 12 में क्रमोन्नत</v>
      </c>
    </row>
    <row r="18" spans="1:42" ht="21" customHeight="1">
      <c r="A18" s="1617" t="str">
        <f>IFERROR(IF(AND(AH18="A"),'Marks Entry'!AK2,IF(AND(AH18="B"),'Marks Entry'!AO2,IF(AND(AH18="C"),'Marks Entry'!AQ2,""))),"")</f>
        <v>HOME SCIENCE</v>
      </c>
      <c r="B18" s="1618"/>
      <c r="C18" s="91">
        <f>IFERROR(VLOOKUP(O6,'Statement of Marks'!$B$8:'Statement of Marks'!$HI$207,84,0),"")</f>
        <v>3</v>
      </c>
      <c r="D18" s="91">
        <f>IFERROR(VLOOKUP(O6,'Statement of Marks'!$B$8:'Statement of Marks'!$HI$207,85,0),"")</f>
        <v>3</v>
      </c>
      <c r="E18" s="91">
        <f>IFERROR(VLOOKUP(O6,'Statement of Marks'!$B$8:'Statement of Marks'!$HI$207,86,0),"")</f>
        <v>7</v>
      </c>
      <c r="F18" s="725">
        <f>IFERROR(VLOOKUP(O6,'Statement of Marks'!$B$8:'Statement of Marks'!$HI$207,87,0),"")</f>
        <v>13</v>
      </c>
      <c r="G18" s="91">
        <f>IFERROR(VLOOKUP(O6,'Statement of Marks'!$B$8:'Statement of Marks'!$HI$207,88,0),"")</f>
        <v>10</v>
      </c>
      <c r="H18" s="91" t="str">
        <f>IFERROR(VLOOKUP(O6,'Statement of Marks'!$B$8:'Statement of Marks'!$HI$207,89,0),"")</f>
        <v/>
      </c>
      <c r="I18" s="787">
        <f>IFERROR(VLOOKUP(O6,'Statement of Marks'!$B$8:'Statement of Marks'!$HI$207,90,0),"")</f>
        <v>10</v>
      </c>
      <c r="J18" s="724">
        <f>IFERROR(IF(AND($O$6="",A18="",F18="",I18=""),"",SUM(C18,D18,E18,G18,H18)),"")</f>
        <v>23</v>
      </c>
      <c r="K18" s="91">
        <f>IFERROR(VLOOKUP(O6,'Statement of Marks'!$B$8:'Statement of Marks'!$HI$207,92,0),"")</f>
        <v>45</v>
      </c>
      <c r="L18" s="91" t="str">
        <f>IFERROR(VLOOKUP(O6,'Statement of Marks'!$B$8:'Statement of Marks'!$HI$207,93,0),"")</f>
        <v/>
      </c>
      <c r="M18" s="92"/>
      <c r="N18" s="759">
        <f>IFERROR(VLOOKUP(O6,'Statement of Marks'!$B$8:'Statement of Marks'!$HI$207,94,0),"")</f>
        <v>45</v>
      </c>
      <c r="O18" s="732">
        <f>IFERROR(VLOOKUP(O6,'Statement of Marks'!$B$8:'Statement of Marks'!$HI$207,97,0),"")</f>
        <v>68</v>
      </c>
      <c r="P18" s="463" t="str">
        <f>IFERROR(IF(O18="","",IF(VLOOKUP(O6,'Statement of Marks'!$B$8:'Statement of Marks'!$HI$207,185,0)="D","I",VLOOKUP(O6,'Statement of Marks'!$B$8:'Statement of Marks'!$HI$207,185,0))),"")</f>
        <v>S</v>
      </c>
      <c r="Q18" s="1632" t="str">
        <f>IF(AND(P18=""),"",IF(AND(P18="S"),A18,""))</f>
        <v>HOME SCIENCE</v>
      </c>
      <c r="R18" s="1632"/>
      <c r="S18" s="763">
        <f>IFERROR(IF(Q18="","",VLOOKUP($O$6,'Supp. Result Entry'!$B$7:'Supp. Result Entry'!$AU$206,32,0)),"")</f>
        <v>36</v>
      </c>
      <c r="T18" s="766" t="str">
        <f>IFERROR(IF(Q18="","",VLOOKUP($O$6,'Statement of Marks'!$B$8:'Statement of Marks'!$HI$207,212,0)),"")</f>
        <v>PASS</v>
      </c>
      <c r="AH18" s="17" t="str">
        <f>IFERROR(VLOOKUP(O6,'Statement of Marks'!$B$8:'Statement of Marks'!$HI$207,83,0),"")</f>
        <v>B</v>
      </c>
    </row>
    <row r="19" spans="1:42" ht="18.75" customHeight="1">
      <c r="A19" s="1772" t="str">
        <f>IF('Master Sheet'!D11="Hindi","व्यावसायिक शिक्षा / अतिरिक्त विषय","Vocational Education / Additional Subject")</f>
        <v>व्यावसायिक शिक्षा / अतिरिक्त विषय</v>
      </c>
      <c r="B19" s="1773"/>
      <c r="C19" s="1773"/>
      <c r="D19" s="1773"/>
      <c r="E19" s="1773"/>
      <c r="F19" s="1773"/>
      <c r="G19" s="1773"/>
      <c r="H19" s="1773"/>
      <c r="I19" s="1773"/>
      <c r="J19" s="1773"/>
      <c r="K19" s="1773"/>
      <c r="L19" s="1773"/>
      <c r="M19" s="1773"/>
      <c r="N19" s="1773"/>
      <c r="O19" s="1773"/>
      <c r="P19" s="1773"/>
      <c r="Q19" s="1773"/>
      <c r="R19" s="1773"/>
      <c r="S19" s="1773"/>
      <c r="T19" s="1774"/>
      <c r="AH19" s="71"/>
      <c r="AI19" s="71"/>
      <c r="AJ19" s="71"/>
      <c r="AK19" s="71"/>
      <c r="AL19" s="71"/>
      <c r="AM19" s="71"/>
      <c r="AN19" s="71"/>
      <c r="AO19" s="778"/>
    </row>
    <row r="20" spans="1:42" ht="21.75" customHeight="1">
      <c r="A20" s="1605" t="str">
        <f>IFERROR(IF(AND(AH20="A"),'Marks Entry'!AS2,IF(AND(AH20="B"),'Marks Entry'!AW2,IF(AND(AH20="C"),'Marks Entry'!AY2,""))),"")</f>
        <v/>
      </c>
      <c r="B20" s="1606"/>
      <c r="C20" s="91" t="str">
        <f>IFERROR(VLOOKUP(O6,'Statement of Marks'!$B$8:'Statement of Marks'!$HI$207,108,0),"")</f>
        <v/>
      </c>
      <c r="D20" s="91" t="str">
        <f>IFERROR(VLOOKUP(O6,'Statement of Marks'!$B$8:'Statement of Marks'!$HI$207,109,0),"")</f>
        <v/>
      </c>
      <c r="E20" s="91" t="str">
        <f>IFERROR(VLOOKUP(O6,'Statement of Marks'!$B$8:'Statement of Marks'!$HI$207,110,0),"")</f>
        <v/>
      </c>
      <c r="F20" s="91" t="str">
        <f>IFERROR(VLOOKUP(O6,'Statement of Marks'!$B$8:'Statement of Marks'!$HI$207,111,0),"")</f>
        <v/>
      </c>
      <c r="G20" s="92" t="str">
        <f>IFERROR(VLOOKUP(O6,'Statement of Marks'!$B$8:'Statement of Marks'!$HI$207,112,0),"")</f>
        <v/>
      </c>
      <c r="H20" s="92" t="str">
        <f>IFERROR(VLOOKUP(O6,'Statement of Marks'!$B$8:'Statement of Marks'!$HI$207,113,0),"")</f>
        <v/>
      </c>
      <c r="I20" s="461" t="str">
        <f>IFERROR(VLOOKUP(O6,'Statement of Marks'!$B$8:'Statement of Marks'!$HI$207,114,0),"")</f>
        <v/>
      </c>
      <c r="J20" s="759" t="str">
        <f>IFERROR(IF(OR(O6="",A20="",F20="",I20=""),"",SUM(C20,D20,E20,G20,H20)),"")</f>
        <v/>
      </c>
      <c r="K20" s="91" t="str">
        <f>IFERROR(VLOOKUP(O6,'Statement of Marks'!$B$8:'Statement of Marks'!$HI$207,116,0),"")</f>
        <v/>
      </c>
      <c r="L20" s="91" t="str">
        <f>IFERROR(VLOOKUP(O6,'Statement of Marks'!$B$8:'Statement of Marks'!$HI$207,118,0),"")</f>
        <v/>
      </c>
      <c r="M20" s="91" t="str">
        <f>IFERROR(VLOOKUP(O6,'Statement of Marks'!$B$8:'Statement of Marks'!$HI$207,117,0),"")</f>
        <v/>
      </c>
      <c r="N20" s="460" t="str">
        <f>IFERROR(VLOOKUP(O6,'Statement of Marks'!$B$8:'Statement of Marks'!$HI$207,119,0),"")</f>
        <v/>
      </c>
      <c r="O20" s="732" t="str">
        <f>IFERROR(VLOOKUP(O6,'Statement of Marks'!$B$8:'Statement of Marks'!$HI$207,123,0),"")</f>
        <v/>
      </c>
      <c r="P20" s="463" t="str">
        <f>IFERROR(IF(O20="","",IF(VLOOKUP(O6,'Statement of Marks'!$B$8:'Statement of Marks'!$HI$207,192,0)="D","I",VLOOKUP(O6,'Statement of Marks'!$B$8:'Statement of Marks'!$HI$207,192,0))),"")</f>
        <v/>
      </c>
      <c r="Q20" s="1632" t="str">
        <f>IF(AND(P20=""),"",IF(AND(P20="S"),A20,""))</f>
        <v/>
      </c>
      <c r="R20" s="1632"/>
      <c r="S20" s="763" t="str">
        <f>IFERROR(IF(Q20="","",VLOOKUP($O$6,'Supp. Result Entry'!$B$7:'Supp. Result Entry'!$AU$206,35,0)),"")</f>
        <v/>
      </c>
      <c r="T20" s="766" t="str">
        <f>IFERROR(IF(Q20="","",VLOOKUP($O$6,'Supp. Result Entry'!$B$7:'Supp. Result Entry'!$AU$206,43,0)),"")</f>
        <v/>
      </c>
      <c r="AH20" s="70" t="str">
        <f>IFERROR(VLOOKUP(O6,'Statement of Marks'!$B$8:'Statement of Marks'!$HI$207,107,0),"")</f>
        <v/>
      </c>
      <c r="AI20" s="70"/>
      <c r="AJ20" s="70"/>
      <c r="AK20" s="70"/>
      <c r="AL20" s="70"/>
      <c r="AM20" s="70"/>
      <c r="AN20" s="70"/>
    </row>
    <row r="21" spans="1:42" ht="40.5" customHeight="1">
      <c r="A21" s="1611" t="str">
        <f>IF('Master Sheet'!D11="Hindi","प्राप्तांक","Marks Obtained")</f>
        <v>प्राप्तांक</v>
      </c>
      <c r="B21" s="1612"/>
      <c r="C21" s="760">
        <f>IF(AND($O$6=""),"",IF(AND(C14="",C15="",C16="",C17="",C18=""),"",SUM(C14:C18)))</f>
        <v>41</v>
      </c>
      <c r="D21" s="760">
        <f t="shared" ref="D21:I21" si="1">IF(AND($O$6=""),"",IF(AND(D14="",D15="",D16="",D17="",D18=""),"",SUM(D14:D18)))</f>
        <v>33</v>
      </c>
      <c r="E21" s="760">
        <f t="shared" si="1"/>
        <v>38</v>
      </c>
      <c r="F21" s="760">
        <f t="shared" si="1"/>
        <v>112</v>
      </c>
      <c r="G21" s="760">
        <f t="shared" si="1"/>
        <v>147</v>
      </c>
      <c r="H21" s="760" t="str">
        <f t="shared" si="1"/>
        <v/>
      </c>
      <c r="I21" s="760">
        <f t="shared" si="1"/>
        <v>147</v>
      </c>
      <c r="J21" s="760">
        <f>IF(AND($O$6=""),"",IF(AND(J14="",J15="",J16="",J17="",J18=""),"",SUM(J14:J18)))</f>
        <v>259</v>
      </c>
      <c r="K21" s="760">
        <f>IF(AND($O$6=""),"",IF(AND($K$18="",$L$18="",$M$18=""),SUM(K14,K15,K16,K17,K20),IF(AND('Master Sheet'!$D$19="YES",'Marks Entry'!$BA$1=1),SUM(K14,K15,K16,K17,K20),SUM(K14:K18))))</f>
        <v>223</v>
      </c>
      <c r="L21" s="760">
        <f>IF(AND($O$6=""),"",IF(AND($K$18="",$L$18="",$M$18=""),SUM(L14,L15,L16,L17,L20),IF(AND('Master Sheet'!$D$19="YES",'Marks Entry'!$BA$1=1),SUM(L14,L15,L16,L17,L20),SUM(L14:L18))))</f>
        <v>0</v>
      </c>
      <c r="M21" s="760">
        <f>IF(AND($O$6=""),"",IF(AND($K$18="",$L$18="",$M$18=""),SUM(M14,M15,M16,M17,M20),IF(AND('Master Sheet'!$D$19="YES",'Marks Entry'!$BA$1=1),SUM(M14,M15,M16,M17,M20),SUM(M14:M18))))</f>
        <v>0</v>
      </c>
      <c r="N21" s="760">
        <f>IF(AND($O$6=""),"",IF(AND($K$18="",$L$18="",$M$18=""),SUM(N14,N15,N16,N17,N20),IF(AND('Master Sheet'!$D$19="YES",'Marks Entry'!$BA$1=1),SUM(N14,N15,N16,N17,N20),SUM(N14:N18))))</f>
        <v>223</v>
      </c>
      <c r="O21" s="728">
        <f>IF(AND($O$6=""),"",IF(AND($K$18="",$L$18="",$M$18=""),SUM(O14,O15,O16,O17,O20),IF(AND('Master Sheet'!$D$19="YES",'Marks Entry'!$BA$1=1),SUM(O14,O15,O16,O17,O20),SUM(O14:O18))))</f>
        <v>482</v>
      </c>
      <c r="P21" s="764">
        <f>IFERROR(VLOOKUP(O6,'Statement of Marks'!$B$8:'Statement of Marks'!$HI$207,213,0),"")</f>
        <v>42</v>
      </c>
      <c r="Q21" s="1742" t="str">
        <f>IFERROR(CONCATENATE(IF('Master Sheet'!D11="Hindi","पूरक परीक्षा के पश्चात् अंतिम परिणाम","Final Result after the Supplementary Exam")," 
",AP17),"")</f>
        <v>पूरक परीक्षा के पश्चात् अंतिम परिणाम 
उतीर्ण एवं कक्षा 12 में क्रमोन्नत</v>
      </c>
      <c r="R21" s="1742"/>
      <c r="S21" s="1742"/>
      <c r="T21" s="1743"/>
      <c r="X21" s="73"/>
      <c r="AH21" s="72"/>
      <c r="AI21" s="72"/>
      <c r="AJ21" s="72"/>
      <c r="AK21" s="72"/>
      <c r="AL21" s="72"/>
      <c r="AM21" s="72"/>
      <c r="AN21" s="72"/>
    </row>
    <row r="22" spans="1:42" ht="27" customHeight="1">
      <c r="A22" s="1748" t="str">
        <f>IF('Master Sheet'!D11="Hindi","विषय","Subject")</f>
        <v>विषय</v>
      </c>
      <c r="B22" s="1599"/>
      <c r="C22" s="1599"/>
      <c r="D22" s="1771" t="str">
        <f>IF('Master Sheet'!D11="Hindi","पूर्णांक","Max. Marks")</f>
        <v>पूर्णांक</v>
      </c>
      <c r="E22" s="1771"/>
      <c r="F22" s="1771"/>
      <c r="G22" s="1736" t="str">
        <f>IF('Master Sheet'!D11="Hindi","प्राप्तांक","Marks Obtained")</f>
        <v>प्राप्तांक</v>
      </c>
      <c r="H22" s="1736"/>
      <c r="I22" s="1770" t="str">
        <f>IF('Master Sheet'!$D$11="Hindi","विषय ग्रेड","Sub. Grade")</f>
        <v>विषय ग्रेड</v>
      </c>
      <c r="J22" s="1770"/>
      <c r="K22" s="1599" t="str">
        <f>IF('Master Sheet'!D11="Hindi","विषय","Subject")</f>
        <v>विषय</v>
      </c>
      <c r="L22" s="1599"/>
      <c r="M22" s="1599"/>
      <c r="N22" s="1599"/>
      <c r="O22" s="1771" t="str">
        <f>IF('Master Sheet'!D11="Hindi","पूर्णांक","Max. Marks")</f>
        <v>पूर्णांक</v>
      </c>
      <c r="P22" s="1771"/>
      <c r="Q22" s="1736" t="str">
        <f>IF('Master Sheet'!D11="Hindi","प्राप्तांक","Marks Obtained")</f>
        <v>प्राप्तांक</v>
      </c>
      <c r="R22" s="1736"/>
      <c r="S22" s="1770" t="str">
        <f>IF('Master Sheet'!$D$11="Hindi","विषय ग्रेड","Sub. Grade")</f>
        <v>विषय ग्रेड</v>
      </c>
      <c r="T22" s="1775"/>
      <c r="V22" s="73"/>
      <c r="AH22" s="72"/>
      <c r="AI22" s="72"/>
      <c r="AJ22" s="72"/>
      <c r="AK22" s="72"/>
      <c r="AL22" s="72"/>
      <c r="AM22" s="72"/>
      <c r="AN22" s="72"/>
    </row>
    <row r="23" spans="1:42" ht="27" customHeight="1">
      <c r="A23" s="1748" t="str">
        <f>'Statement of Marks'!EC4</f>
        <v>जीवन कौशल</v>
      </c>
      <c r="B23" s="1599"/>
      <c r="C23" s="1599"/>
      <c r="D23" s="1750">
        <f>IF(AND(O6=""),"",IF('Statement of Marks'!EF6="","",'Statement of Marks'!EF6))</f>
        <v>100</v>
      </c>
      <c r="E23" s="1750"/>
      <c r="F23" s="1750"/>
      <c r="G23" s="1749">
        <f>IFERROR(VLOOKUP(O6,'Statement of Marks'!$B$8:'Statement of Marks'!$HI$207,135,0),"")</f>
        <v>85</v>
      </c>
      <c r="H23" s="1749"/>
      <c r="I23" s="1776" t="str">
        <f>IFERROR(VLOOKUP(O6,'Statement of Marks'!$B$8:'Statement of Marks'!$HI$207,140,0),"")</f>
        <v>A</v>
      </c>
      <c r="J23" s="1776"/>
      <c r="K23" s="1599" t="str">
        <f>'Statement of Marks'!EY3</f>
        <v xml:space="preserve">आजादी के बाद का स्वर्णिम भारत </v>
      </c>
      <c r="L23" s="1599"/>
      <c r="M23" s="1599"/>
      <c r="N23" s="1599"/>
      <c r="O23" s="1750">
        <f>IF(AND(O6=""),"",IF('Statement of Marks'!FE6="","",'Statement of Marks'!FE6))</f>
        <v>200</v>
      </c>
      <c r="P23" s="1750"/>
      <c r="Q23" s="1749">
        <f>IFERROR(VLOOKUP(O6,'Statement of Marks'!$B$8:'Statement of Marks'!$HI$207,160,0),"")</f>
        <v>141</v>
      </c>
      <c r="R23" s="1749"/>
      <c r="S23" s="1776" t="str">
        <f>IFERROR(VLOOKUP(O6,'Statement of Marks'!$B$8:'Statement of Marks'!$HI$207,161,0),"")</f>
        <v>B</v>
      </c>
      <c r="T23" s="1777"/>
      <c r="U23" s="74"/>
      <c r="V23" s="73"/>
      <c r="AH23" s="72"/>
      <c r="AI23" s="72"/>
    </row>
    <row r="24" spans="1:42" ht="27" customHeight="1">
      <c r="A24" s="1754" t="str">
        <f>IF('Master Sheet'!$D$11="Hindi","पूरक परिणाम घोषित दिनांक :-","Date of Supp. Result declaration :-")</f>
        <v>पूरक परिणाम घोषित दिनांक :-</v>
      </c>
      <c r="B24" s="1755"/>
      <c r="C24" s="1755"/>
      <c r="D24" s="1610">
        <f>IF(AND(O6=""),"",IF('Master Sheet'!D18="","",'Master Sheet'!D18))</f>
        <v>46149</v>
      </c>
      <c r="E24" s="1610"/>
      <c r="F24" s="1610"/>
      <c r="G24" s="1596" t="str">
        <f>IF('Master Sheet'!D11="Hindi","कुल कार्य दिवस","Total Working Days")</f>
        <v>कुल कार्य दिवस</v>
      </c>
      <c r="H24" s="1596"/>
      <c r="I24" s="1596"/>
      <c r="J24" s="1597">
        <f>IFERROR(VLOOKUP(O6,'Statement of Marks'!$B$8:'Statement of Marks'!$HI$207,162,0),"")</f>
        <v>360</v>
      </c>
      <c r="K24" s="1597"/>
      <c r="L24" s="1596" t="str">
        <f>IF('Master Sheet'!D11="Hindi","कुल उपस्थिति","Student's Attendance")</f>
        <v>कुल उपस्थिति</v>
      </c>
      <c r="M24" s="1596"/>
      <c r="N24" s="1596"/>
      <c r="O24" s="1598">
        <f>IFERROR(VLOOKUP(O6,'Statement of Marks'!$B$8:'Statement of Marks'!$HI$207,163,0),"")</f>
        <v>330</v>
      </c>
      <c r="P24" s="1598"/>
      <c r="Q24" s="1587" t="str">
        <f>IF('Master Sheet'!D11="Hindi","कक्षा में स्थान","Position in the Class")</f>
        <v>कक्षा में स्थान</v>
      </c>
      <c r="R24" s="1587"/>
      <c r="S24" s="1588" t="str">
        <f>IFERROR(VLOOKUP(O6,'Statement of Marks'!$B$8:'Statement of Marks'!$HI$207,211,0),"")</f>
        <v/>
      </c>
      <c r="T24" s="1589"/>
      <c r="U24" s="74"/>
      <c r="V24" s="73"/>
    </row>
    <row r="25" spans="1:42" ht="38.25" customHeight="1">
      <c r="A25" s="1751" t="str">
        <f>IF('Master Sheet'!D11="Hindi","हस्ताक्षर कक्षाध्यापक","Signature of the class teacher")</f>
        <v>हस्ताक्षर कक्षाध्यापक</v>
      </c>
      <c r="B25" s="1596"/>
      <c r="C25" s="1596"/>
      <c r="D25" s="1596"/>
      <c r="E25" s="1596"/>
      <c r="F25" s="1619" t="str">
        <f>IF(AND(O6=""),"",CONCATENATE("( ",UPPER('Master Sheet'!D17)," )"))</f>
        <v>( YOGESH )</v>
      </c>
      <c r="G25" s="1619"/>
      <c r="H25" s="1619"/>
      <c r="I25" s="1619"/>
      <c r="J25" s="1619"/>
      <c r="K25" s="1619"/>
      <c r="L25" s="1619"/>
      <c r="M25" s="1619"/>
      <c r="N25" s="1619"/>
      <c r="O25" s="1744" t="str">
        <f>IF(AND(O6=""),"",CONCATENATE("( ",UPPER('Master Sheet'!D12)," )"))</f>
        <v>( DEWANANAD )</v>
      </c>
      <c r="P25" s="1744"/>
      <c r="Q25" s="1744"/>
      <c r="R25" s="1744"/>
      <c r="S25" s="1744"/>
      <c r="T25" s="1745"/>
      <c r="V25" s="73"/>
    </row>
    <row r="26" spans="1:42" ht="31.5" customHeight="1" thickBot="1">
      <c r="A26" s="1752" t="str">
        <f>IF('Master Sheet'!D11="Hindi","हस्ताक्षर परीक्षा प्रभारी","Signature of the exam. Incharge")</f>
        <v>हस्ताक्षर परीक्षा प्रभारी</v>
      </c>
      <c r="B26" s="1753"/>
      <c r="C26" s="1753"/>
      <c r="D26" s="1753"/>
      <c r="E26" s="1753"/>
      <c r="F26" s="1590" t="str">
        <f>IF(AND(O6=""),"",CONCATENATE("( ",UPPER('Master Sheet'!D14)," )"))</f>
        <v>( HEERALAL JAT )</v>
      </c>
      <c r="G26" s="1590"/>
      <c r="H26" s="1590"/>
      <c r="I26" s="1590"/>
      <c r="J26" s="1590"/>
      <c r="K26" s="1590"/>
      <c r="L26" s="1590"/>
      <c r="M26" s="1590"/>
      <c r="N26" s="1590"/>
      <c r="O26" s="1746" t="str">
        <f>IF('Master Sheet'!D11="Hindi","हस्ताक्षर संस्था प्रधान","Head of Institute's Signature")</f>
        <v>हस्ताक्षर संस्था प्रधान</v>
      </c>
      <c r="P26" s="1746"/>
      <c r="Q26" s="1746"/>
      <c r="R26" s="1746"/>
      <c r="S26" s="1746"/>
      <c r="T26" s="1747"/>
    </row>
  </sheetData>
  <sheetProtection password="B18A" sheet="1" objects="1" scenarios="1" formatCells="0" formatColumns="0" formatRows="0"/>
  <protectedRanges>
    <protectedRange password="EA02" sqref="A16:B21" name="reports_2"/>
    <protectedRange password="DC77" sqref="J11" name="Range1"/>
    <protectedRange password="DC77" sqref="M12:N12" name="Range1_1"/>
    <protectedRange password="EA02" sqref="A22:B23 K22:L23" name="reports_2_1"/>
    <protectedRange password="EA02" sqref="A24:B24" name="reports_2_2"/>
    <protectedRange password="EA02" sqref="A25:B26" name="reports_2_3"/>
  </protectedRanges>
  <mergeCells count="80">
    <mergeCell ref="S23:T23"/>
    <mergeCell ref="L24:N24"/>
    <mergeCell ref="G23:H23"/>
    <mergeCell ref="I23:J23"/>
    <mergeCell ref="K23:N23"/>
    <mergeCell ref="O23:P23"/>
    <mergeCell ref="I22:J22"/>
    <mergeCell ref="K22:N22"/>
    <mergeCell ref="O22:P22"/>
    <mergeCell ref="Q15:R15"/>
    <mergeCell ref="A19:T19"/>
    <mergeCell ref="A20:B20"/>
    <mergeCell ref="Q20:R20"/>
    <mergeCell ref="A17:B17"/>
    <mergeCell ref="Q17:R17"/>
    <mergeCell ref="A18:B18"/>
    <mergeCell ref="Q18:R18"/>
    <mergeCell ref="A22:C22"/>
    <mergeCell ref="D22:F22"/>
    <mergeCell ref="G22:H22"/>
    <mergeCell ref="S22:T22"/>
    <mergeCell ref="A3:S3"/>
    <mergeCell ref="D2:Q2"/>
    <mergeCell ref="AA3:AC13"/>
    <mergeCell ref="A5:C5"/>
    <mergeCell ref="D5:G5"/>
    <mergeCell ref="H5:I5"/>
    <mergeCell ref="J5:K5"/>
    <mergeCell ref="M5:N5"/>
    <mergeCell ref="A6:C6"/>
    <mergeCell ref="D6:L6"/>
    <mergeCell ref="M6:N6"/>
    <mergeCell ref="O6:P6"/>
    <mergeCell ref="A7:C7"/>
    <mergeCell ref="D7:L7"/>
    <mergeCell ref="O5:P5"/>
    <mergeCell ref="O9:S9"/>
    <mergeCell ref="Q14:R14"/>
    <mergeCell ref="A15:B15"/>
    <mergeCell ref="A8:C8"/>
    <mergeCell ref="D8:L8"/>
    <mergeCell ref="M8:N8"/>
    <mergeCell ref="O8:Q8"/>
    <mergeCell ref="A13:B13"/>
    <mergeCell ref="A14:B14"/>
    <mergeCell ref="P11:P13"/>
    <mergeCell ref="Q11:T12"/>
    <mergeCell ref="Q13:R13"/>
    <mergeCell ref="F25:N25"/>
    <mergeCell ref="O25:T25"/>
    <mergeCell ref="F26:N26"/>
    <mergeCell ref="O26:T26"/>
    <mergeCell ref="A23:C23"/>
    <mergeCell ref="Q23:R23"/>
    <mergeCell ref="D23:F23"/>
    <mergeCell ref="A25:E25"/>
    <mergeCell ref="A26:E26"/>
    <mergeCell ref="O24:P24"/>
    <mergeCell ref="Q24:R24"/>
    <mergeCell ref="S24:T24"/>
    <mergeCell ref="A24:C24"/>
    <mergeCell ref="D24:F24"/>
    <mergeCell ref="G24:I24"/>
    <mergeCell ref="J24:K24"/>
    <mergeCell ref="E4:O4"/>
    <mergeCell ref="F1:O1"/>
    <mergeCell ref="Q22:R22"/>
    <mergeCell ref="A21:B21"/>
    <mergeCell ref="O11:O12"/>
    <mergeCell ref="L9:N9"/>
    <mergeCell ref="A11:B12"/>
    <mergeCell ref="C11:F11"/>
    <mergeCell ref="G11:I11"/>
    <mergeCell ref="J11:J12"/>
    <mergeCell ref="K11:N11"/>
    <mergeCell ref="Q21:T21"/>
    <mergeCell ref="A16:B16"/>
    <mergeCell ref="Q16:R16"/>
    <mergeCell ref="M7:N7"/>
    <mergeCell ref="O7:P7"/>
  </mergeCells>
  <conditionalFormatting sqref="L5 A21:B21 K22:K23 A21:A23">
    <cfRule type="expression" dxfId="0" priority="4">
      <formula>ISERROR(A5)</formula>
    </cfRule>
  </conditionalFormatting>
  <pageMargins left="0.7" right="0.45" top="0.25" bottom="0.25" header="0.3" footer="0.3"/>
  <pageSetup paperSize="9" scale="93" orientation="landscape" r:id="rId1"/>
  <drawing r:id="rId2"/>
  <legacyDrawing r:id="rId3"/>
</worksheet>
</file>

<file path=xl/worksheets/sheet2.xml><?xml version="1.0" encoding="utf-8"?>
<worksheet xmlns="http://schemas.openxmlformats.org/spreadsheetml/2006/main" xmlns:r="http://schemas.openxmlformats.org/officeDocument/2006/relationships">
  <sheetPr codeName="Sheet3"/>
  <dimension ref="A1:AU67"/>
  <sheetViews>
    <sheetView showGridLines="0" workbookViewId="0">
      <selection activeCell="H13" sqref="H13"/>
    </sheetView>
  </sheetViews>
  <sheetFormatPr defaultColWidth="0" defaultRowHeight="15" zeroHeight="1"/>
  <cols>
    <col min="1" max="2" width="4.25" style="17" customWidth="1"/>
    <col min="3" max="3" width="45.625" style="17" customWidth="1"/>
    <col min="4" max="4" width="66" style="17" customWidth="1"/>
    <col min="5" max="5" width="4.625" style="17" customWidth="1"/>
    <col min="6" max="6" width="5.5" style="17" customWidth="1"/>
    <col min="7" max="7" width="29.5" style="17" customWidth="1"/>
    <col min="8" max="8" width="28.25" style="17" customWidth="1"/>
    <col min="9" max="9" width="18.125" style="17" customWidth="1"/>
    <col min="10" max="10" width="5.375" style="17" customWidth="1"/>
    <col min="11" max="11" width="3.375" style="17" customWidth="1"/>
    <col min="12" max="12" width="40.125" style="17" customWidth="1"/>
    <col min="13" max="16" width="8.625" style="17" customWidth="1"/>
    <col min="17" max="17" width="39.125" style="17" customWidth="1"/>
    <col min="18" max="21" width="8.625" style="17" customWidth="1"/>
    <col min="22" max="22" width="3.75" style="17" customWidth="1"/>
    <col min="23" max="23" width="29.25" style="17" customWidth="1"/>
    <col min="24" max="24" width="12.75" style="17" customWidth="1"/>
    <col min="25" max="25" width="16.25" style="17" hidden="1" customWidth="1"/>
    <col min="26" max="26" width="13.25" style="17" hidden="1" customWidth="1"/>
    <col min="27" max="27" width="18.625" style="17" hidden="1" customWidth="1"/>
    <col min="28" max="28" width="36.625" style="17" hidden="1" customWidth="1"/>
    <col min="29" max="29" width="16.25" style="17" hidden="1" customWidth="1"/>
    <col min="30" max="30" width="9" style="17" hidden="1" customWidth="1"/>
    <col min="31" max="31" width="10" style="17" hidden="1" customWidth="1"/>
    <col min="32" max="32" width="14.75" style="17" hidden="1" customWidth="1"/>
    <col min="33" max="33" width="23.625" style="17" hidden="1" customWidth="1"/>
    <col min="34" max="34" width="20" style="17" hidden="1" customWidth="1"/>
    <col min="35" max="35" width="20.125" style="17" hidden="1" customWidth="1"/>
    <col min="36" max="36" width="15.75" style="17" hidden="1" customWidth="1"/>
    <col min="37" max="37" width="19.125" style="17" hidden="1" customWidth="1"/>
    <col min="38" max="38" width="23.875" style="17" hidden="1" customWidth="1"/>
    <col min="39" max="47" width="24.375" style="17" hidden="1" customWidth="1"/>
    <col min="48" max="16384" width="9.125" style="17" hidden="1"/>
  </cols>
  <sheetData>
    <row r="1" spans="1:32">
      <c r="A1" s="1"/>
      <c r="B1" s="1"/>
      <c r="C1" s="1"/>
      <c r="D1" s="1"/>
      <c r="E1" s="1"/>
      <c r="F1" s="1"/>
      <c r="G1" s="1"/>
      <c r="H1" s="1"/>
      <c r="I1" s="1"/>
      <c r="J1" s="1"/>
      <c r="K1" s="510"/>
      <c r="L1" s="509"/>
      <c r="M1" s="509"/>
      <c r="N1" s="509"/>
      <c r="O1" s="509"/>
      <c r="P1" s="509"/>
      <c r="Q1" s="509"/>
      <c r="R1" s="509"/>
      <c r="S1" s="509"/>
      <c r="T1" s="509"/>
      <c r="U1" s="509"/>
      <c r="V1" s="510"/>
      <c r="W1" s="1"/>
      <c r="X1" s="1"/>
    </row>
    <row r="2" spans="1:32" ht="27.75" customHeight="1" thickBot="1">
      <c r="A2" s="1"/>
      <c r="B2" s="38"/>
      <c r="C2" s="843" t="s">
        <v>312</v>
      </c>
      <c r="D2" s="38"/>
      <c r="E2" s="38"/>
      <c r="F2" s="38"/>
      <c r="G2" s="38"/>
      <c r="H2" s="38"/>
      <c r="I2" s="38"/>
      <c r="J2" s="38"/>
      <c r="K2" s="509"/>
      <c r="L2" s="508" t="s">
        <v>192</v>
      </c>
      <c r="M2" s="940" t="s">
        <v>120</v>
      </c>
      <c r="N2" s="940"/>
      <c r="O2" s="940" t="s">
        <v>121</v>
      </c>
      <c r="P2" s="940"/>
      <c r="Q2" s="507" t="s">
        <v>192</v>
      </c>
      <c r="R2" s="940" t="s">
        <v>120</v>
      </c>
      <c r="S2" s="940"/>
      <c r="T2" s="940" t="s">
        <v>121</v>
      </c>
      <c r="U2" s="940"/>
      <c r="V2" s="509"/>
      <c r="W2" s="38"/>
      <c r="X2" s="1"/>
      <c r="AC2" s="727"/>
    </row>
    <row r="3" spans="1:32" ht="30" customHeight="1" thickTop="1" thickBot="1">
      <c r="A3" s="1"/>
      <c r="B3" s="38"/>
      <c r="C3" s="38"/>
      <c r="D3" s="39"/>
      <c r="E3" s="38"/>
      <c r="F3" s="38"/>
      <c r="G3" s="38"/>
      <c r="H3" s="38"/>
      <c r="I3" s="38"/>
      <c r="J3" s="38"/>
      <c r="K3" s="509"/>
      <c r="L3" s="75" t="s">
        <v>119</v>
      </c>
      <c r="M3" s="66" t="s">
        <v>113</v>
      </c>
      <c r="N3" s="66" t="s">
        <v>114</v>
      </c>
      <c r="O3" s="66" t="s">
        <v>113</v>
      </c>
      <c r="P3" s="66" t="s">
        <v>114</v>
      </c>
      <c r="Q3" s="65" t="s">
        <v>252</v>
      </c>
      <c r="R3" s="60" t="s">
        <v>113</v>
      </c>
      <c r="S3" s="60" t="s">
        <v>114</v>
      </c>
      <c r="T3" s="60" t="s">
        <v>113</v>
      </c>
      <c r="U3" s="60" t="s">
        <v>114</v>
      </c>
      <c r="V3" s="509"/>
      <c r="W3" s="38"/>
      <c r="X3" s="1"/>
    </row>
    <row r="4" spans="1:32" ht="21.75" thickTop="1" thickBot="1">
      <c r="A4" s="13"/>
      <c r="B4" s="40"/>
      <c r="C4" s="40"/>
      <c r="D4" s="42"/>
      <c r="E4" s="42"/>
      <c r="F4" s="42"/>
      <c r="G4" s="945" t="str">
        <f>IF($D$11="Hindi","विषय","Subject")</f>
        <v>विषय</v>
      </c>
      <c r="H4" s="945" t="str">
        <f>IF($D$11="Hindi","विषयाध्यापक का नाम","Subject Teacher's Name")</f>
        <v>विषयाध्यापक का नाम</v>
      </c>
      <c r="I4" s="38"/>
      <c r="J4" s="38"/>
      <c r="K4" s="509"/>
      <c r="L4" s="63" t="s">
        <v>10</v>
      </c>
      <c r="M4" s="62">
        <v>70</v>
      </c>
      <c r="N4" s="62">
        <v>0</v>
      </c>
      <c r="O4" s="62">
        <v>100</v>
      </c>
      <c r="P4" s="62">
        <v>0</v>
      </c>
      <c r="Q4" s="61" t="s">
        <v>11</v>
      </c>
      <c r="R4" s="62">
        <v>50</v>
      </c>
      <c r="S4" s="62">
        <v>20</v>
      </c>
      <c r="T4" s="62">
        <v>70</v>
      </c>
      <c r="U4" s="62">
        <v>30</v>
      </c>
      <c r="V4" s="509"/>
      <c r="W4" s="38"/>
      <c r="X4" s="1"/>
      <c r="AA4" s="17">
        <f>IF(ISNUMBER(SEARCH($AC$2,AB4)),MAX($AA$3:AA3)+1,0)</f>
        <v>1</v>
      </c>
      <c r="AB4" s="17" t="str">
        <f>IF(L4="","",L4)</f>
        <v>ACCOUNTANCY</v>
      </c>
      <c r="AC4" s="17" t="str">
        <f>IFERROR(VLOOKUP(ROWS($AB$4:AB4),$AA$4:$AB$66,2,0),"")</f>
        <v>ACCOUNTANCY</v>
      </c>
      <c r="AF4" s="17" t="str">
        <f ca="1">OFFSET($AC$4,,,COUNTIF($AC$4:AC66,"?*"))</f>
        <v>ACCOUNTANCY</v>
      </c>
    </row>
    <row r="5" spans="1:32" ht="25.5" customHeight="1" thickTop="1" thickBot="1">
      <c r="A5" s="14"/>
      <c r="B5" s="479"/>
      <c r="C5" s="480"/>
      <c r="D5" s="481"/>
      <c r="E5" s="481"/>
      <c r="F5" s="42"/>
      <c r="G5" s="945"/>
      <c r="H5" s="945"/>
      <c r="I5" s="38"/>
      <c r="J5" s="38"/>
      <c r="K5" s="509"/>
      <c r="L5" s="63" t="s">
        <v>13</v>
      </c>
      <c r="M5" s="62">
        <v>70</v>
      </c>
      <c r="N5" s="62">
        <v>0</v>
      </c>
      <c r="O5" s="62">
        <v>100</v>
      </c>
      <c r="P5" s="62">
        <v>0</v>
      </c>
      <c r="Q5" s="61" t="s">
        <v>115</v>
      </c>
      <c r="R5" s="62">
        <v>50</v>
      </c>
      <c r="S5" s="62">
        <v>20</v>
      </c>
      <c r="T5" s="62">
        <v>70</v>
      </c>
      <c r="U5" s="62">
        <v>30</v>
      </c>
      <c r="V5" s="509"/>
      <c r="W5" s="38"/>
      <c r="X5" s="1"/>
      <c r="AA5" s="17">
        <f>IF(ISNUMBER(SEARCH($AC$2,AB5)),MAX($AA$3:AA4)+1,0)</f>
        <v>2</v>
      </c>
      <c r="AB5" s="17" t="str">
        <f t="shared" ref="AB5:AB24" si="0">IF(L5="","",L5)</f>
        <v>BUSINESS STUDIES</v>
      </c>
      <c r="AC5" s="17" t="str">
        <f>IFERROR(VLOOKUP(ROWS($AB$4:AB5),$AA$4:$AB$66,2,0),"")</f>
        <v>BUSINESS STUDIES</v>
      </c>
    </row>
    <row r="6" spans="1:32" ht="24.95" customHeight="1" thickTop="1" thickBot="1">
      <c r="A6" s="15"/>
      <c r="B6" s="479"/>
      <c r="C6" s="482" t="s">
        <v>240</v>
      </c>
      <c r="D6" s="483" t="s">
        <v>245</v>
      </c>
      <c r="E6" s="481"/>
      <c r="F6" s="503">
        <v>1</v>
      </c>
      <c r="G6" s="784" t="s">
        <v>297</v>
      </c>
      <c r="H6" s="504" t="s">
        <v>187</v>
      </c>
      <c r="I6" s="38"/>
      <c r="J6" s="38"/>
      <c r="K6" s="509"/>
      <c r="L6" s="63" t="s">
        <v>17</v>
      </c>
      <c r="M6" s="62">
        <v>70</v>
      </c>
      <c r="N6" s="62">
        <v>0</v>
      </c>
      <c r="O6" s="62">
        <v>100</v>
      </c>
      <c r="P6" s="62">
        <v>0</v>
      </c>
      <c r="Q6" s="61" t="s">
        <v>116</v>
      </c>
      <c r="R6" s="62">
        <v>50</v>
      </c>
      <c r="S6" s="62">
        <v>20</v>
      </c>
      <c r="T6" s="62">
        <v>70</v>
      </c>
      <c r="U6" s="62">
        <v>30</v>
      </c>
      <c r="V6" s="509"/>
      <c r="W6" s="38"/>
      <c r="X6" s="1"/>
      <c r="AA6" s="17">
        <f>IF(ISNUMBER(SEARCH($AC$2,AB6)),MAX($AA$3:AA5)+1,0)</f>
        <v>3</v>
      </c>
      <c r="AB6" s="17" t="str">
        <f t="shared" si="0"/>
        <v>ECONOMICS</v>
      </c>
      <c r="AC6" s="17" t="str">
        <f>IFERROR(VLOOKUP(ROWS($AB$4:AB6),$AA$4:$AB$66,2,0),"")</f>
        <v>ECONOMICS</v>
      </c>
    </row>
    <row r="7" spans="1:32" ht="24.95" customHeight="1" thickTop="1" thickBot="1">
      <c r="A7" s="1"/>
      <c r="B7" s="479"/>
      <c r="C7" s="484" t="s">
        <v>241</v>
      </c>
      <c r="D7" s="485" t="s">
        <v>246</v>
      </c>
      <c r="E7" s="481"/>
      <c r="F7" s="503">
        <v>2</v>
      </c>
      <c r="G7" s="785" t="s">
        <v>298</v>
      </c>
      <c r="H7" s="505" t="s">
        <v>191</v>
      </c>
      <c r="I7" s="38"/>
      <c r="J7" s="38"/>
      <c r="K7" s="509"/>
      <c r="L7" s="63" t="s">
        <v>18</v>
      </c>
      <c r="M7" s="62">
        <v>70</v>
      </c>
      <c r="N7" s="62">
        <v>0</v>
      </c>
      <c r="O7" s="62">
        <v>100</v>
      </c>
      <c r="P7" s="62">
        <v>0</v>
      </c>
      <c r="Q7" s="61" t="s">
        <v>12</v>
      </c>
      <c r="R7" s="62">
        <v>50</v>
      </c>
      <c r="S7" s="62">
        <v>20</v>
      </c>
      <c r="T7" s="62">
        <v>70</v>
      </c>
      <c r="U7" s="62">
        <v>30</v>
      </c>
      <c r="V7" s="509"/>
      <c r="W7" s="38"/>
      <c r="X7" s="1"/>
      <c r="AA7" s="17">
        <f>IF(ISNUMBER(SEARCH($AC$2,AB7)),MAX($AA$3:AA6)+1,0)</f>
        <v>4</v>
      </c>
      <c r="AB7" s="17" t="str">
        <f t="shared" si="0"/>
        <v>ENGLISH LITERATURE</v>
      </c>
      <c r="AC7" s="17" t="str">
        <f>IFERROR(VLOOKUP(ROWS($AB$4:AB7),$AA$4:$AB$66,2,0),"")</f>
        <v>ENGLISH LITERATURE</v>
      </c>
    </row>
    <row r="8" spans="1:32" ht="24.95" customHeight="1" thickTop="1" thickBot="1">
      <c r="A8" s="1"/>
      <c r="B8" s="479"/>
      <c r="C8" s="484" t="s">
        <v>242</v>
      </c>
      <c r="D8" s="486" t="s">
        <v>247</v>
      </c>
      <c r="E8" s="481"/>
      <c r="F8" s="503">
        <v>3</v>
      </c>
      <c r="G8" s="495" t="s">
        <v>31</v>
      </c>
      <c r="H8" s="505" t="s">
        <v>191</v>
      </c>
      <c r="I8" s="38"/>
      <c r="J8" s="38"/>
      <c r="K8" s="509"/>
      <c r="L8" s="63" t="s">
        <v>117</v>
      </c>
      <c r="M8" s="62">
        <v>70</v>
      </c>
      <c r="N8" s="62">
        <v>0</v>
      </c>
      <c r="O8" s="62">
        <v>100</v>
      </c>
      <c r="P8" s="62">
        <v>0</v>
      </c>
      <c r="Q8" s="61" t="s">
        <v>14</v>
      </c>
      <c r="R8" s="62">
        <v>50</v>
      </c>
      <c r="S8" s="62">
        <v>20</v>
      </c>
      <c r="T8" s="62">
        <v>70</v>
      </c>
      <c r="U8" s="62">
        <v>30</v>
      </c>
      <c r="V8" s="509"/>
      <c r="W8" s="38"/>
      <c r="X8" s="1"/>
      <c r="AA8" s="17">
        <f>IF(ISNUMBER(SEARCH($AC$2,AB8)),MAX($AA$3:AA7)+1,0)</f>
        <v>5</v>
      </c>
      <c r="AB8" s="17" t="str">
        <f t="shared" si="0"/>
        <v>ENVIRONMENTAL STUDIES</v>
      </c>
      <c r="AC8" s="17" t="str">
        <f>IFERROR(VLOOKUP(ROWS($AB$4:AB8),$AA$4:$AB$66,2,0),"")</f>
        <v>ENVIRONMENTAL STUDIES</v>
      </c>
    </row>
    <row r="9" spans="1:32" ht="24.95" customHeight="1" thickTop="1" thickBot="1">
      <c r="A9" s="1"/>
      <c r="B9" s="479"/>
      <c r="C9" s="484" t="s">
        <v>177</v>
      </c>
      <c r="D9" s="487" t="s">
        <v>184</v>
      </c>
      <c r="E9" s="481"/>
      <c r="F9" s="503">
        <v>4</v>
      </c>
      <c r="G9" s="496" t="s">
        <v>24</v>
      </c>
      <c r="H9" s="505" t="s">
        <v>186</v>
      </c>
      <c r="I9" s="38"/>
      <c r="J9" s="38"/>
      <c r="K9" s="509"/>
      <c r="L9" s="63" t="s">
        <v>19</v>
      </c>
      <c r="M9" s="62">
        <v>70</v>
      </c>
      <c r="N9" s="62">
        <v>0</v>
      </c>
      <c r="O9" s="62">
        <v>100</v>
      </c>
      <c r="P9" s="62">
        <v>0</v>
      </c>
      <c r="Q9" s="61" t="s">
        <v>15</v>
      </c>
      <c r="R9" s="62">
        <v>50</v>
      </c>
      <c r="S9" s="62">
        <v>20</v>
      </c>
      <c r="T9" s="62">
        <v>70</v>
      </c>
      <c r="U9" s="62">
        <v>30</v>
      </c>
      <c r="V9" s="509"/>
      <c r="W9" s="38"/>
      <c r="X9" s="1"/>
      <c r="AA9" s="17">
        <f>IF(ISNUMBER(SEARCH($AC$2,AB9)),MAX($AA$3:AA8)+1,0)</f>
        <v>6</v>
      </c>
      <c r="AB9" s="17" t="str">
        <f t="shared" si="0"/>
        <v>FARSI LITERATURE</v>
      </c>
      <c r="AC9" s="17" t="str">
        <f>IFERROR(VLOOKUP(ROWS($AB$4:AB9),$AA$4:$AB$66,2,0),"")</f>
        <v>FARSI LITERATURE</v>
      </c>
    </row>
    <row r="10" spans="1:32" ht="24.95" customHeight="1" thickTop="1" thickBot="1">
      <c r="A10" s="1"/>
      <c r="B10" s="479"/>
      <c r="C10" s="484" t="s">
        <v>178</v>
      </c>
      <c r="D10" s="488">
        <v>46106</v>
      </c>
      <c r="E10" s="481"/>
      <c r="F10" s="503">
        <v>5</v>
      </c>
      <c r="G10" s="496" t="s">
        <v>21</v>
      </c>
      <c r="H10" s="505" t="s">
        <v>188</v>
      </c>
      <c r="I10" s="38"/>
      <c r="J10" s="38"/>
      <c r="K10" s="509"/>
      <c r="L10" s="63" t="s">
        <v>22</v>
      </c>
      <c r="M10" s="62">
        <v>70</v>
      </c>
      <c r="N10" s="62">
        <v>0</v>
      </c>
      <c r="O10" s="62">
        <v>100</v>
      </c>
      <c r="P10" s="62">
        <v>0</v>
      </c>
      <c r="Q10" s="61" t="s">
        <v>20</v>
      </c>
      <c r="R10" s="62">
        <v>50</v>
      </c>
      <c r="S10" s="62">
        <v>20</v>
      </c>
      <c r="T10" s="62">
        <v>70</v>
      </c>
      <c r="U10" s="62">
        <v>30</v>
      </c>
      <c r="V10" s="509"/>
      <c r="W10" s="84" t="s">
        <v>193</v>
      </c>
      <c r="X10" s="1"/>
      <c r="AA10" s="17">
        <f>IF(ISNUMBER(SEARCH($AC$2,AB10)),MAX($AA$3:AA9)+1,0)</f>
        <v>7</v>
      </c>
      <c r="AB10" s="17" t="str">
        <f t="shared" si="0"/>
        <v>GUJRATI LITERATURE</v>
      </c>
      <c r="AC10" s="17" t="str">
        <f>IFERROR(VLOOKUP(ROWS($AB$4:AB10),$AA$4:$AB$66,2,0),"")</f>
        <v>GUJRATI LITERATURE</v>
      </c>
    </row>
    <row r="11" spans="1:32" ht="24.95" customHeight="1" thickTop="1" thickBot="1">
      <c r="A11" s="1"/>
      <c r="B11" s="479"/>
      <c r="C11" s="489" t="s">
        <v>179</v>
      </c>
      <c r="D11" s="490" t="s">
        <v>296</v>
      </c>
      <c r="E11" s="481"/>
      <c r="F11" s="503">
        <v>6</v>
      </c>
      <c r="G11" s="496" t="s">
        <v>28</v>
      </c>
      <c r="H11" s="505" t="s">
        <v>189</v>
      </c>
      <c r="I11" s="38"/>
      <c r="J11" s="38"/>
      <c r="K11" s="509"/>
      <c r="L11" s="63" t="s">
        <v>23</v>
      </c>
      <c r="M11" s="62">
        <v>70</v>
      </c>
      <c r="N11" s="62">
        <v>0</v>
      </c>
      <c r="O11" s="62">
        <v>100</v>
      </c>
      <c r="P11" s="62">
        <v>0</v>
      </c>
      <c r="Q11" s="61" t="s">
        <v>21</v>
      </c>
      <c r="R11" s="62">
        <v>50</v>
      </c>
      <c r="S11" s="62">
        <v>20</v>
      </c>
      <c r="T11" s="62">
        <v>70</v>
      </c>
      <c r="U11" s="62">
        <v>30</v>
      </c>
      <c r="V11" s="509"/>
      <c r="W11" s="38"/>
      <c r="X11" s="1"/>
      <c r="AA11" s="17">
        <f>IF(ISNUMBER(SEARCH($AC$2,AB11)),MAX($AA$3:AA10)+1,0)</f>
        <v>8</v>
      </c>
      <c r="AB11" s="17" t="str">
        <f t="shared" si="0"/>
        <v>HINDI LITERATURE</v>
      </c>
      <c r="AC11" s="17" t="str">
        <f>IFERROR(VLOOKUP(ROWS($AB$4:AB11),$AA$4:$AB$66,2,0),"")</f>
        <v>HINDI LITERATURE</v>
      </c>
    </row>
    <row r="12" spans="1:32" ht="24.95" customHeight="1" thickTop="1" thickBot="1">
      <c r="A12" s="1"/>
      <c r="B12" s="479"/>
      <c r="C12" s="484" t="s">
        <v>180</v>
      </c>
      <c r="D12" s="487" t="s">
        <v>314</v>
      </c>
      <c r="E12" s="481"/>
      <c r="F12" s="503">
        <v>7</v>
      </c>
      <c r="G12" s="496" t="s">
        <v>23</v>
      </c>
      <c r="H12" s="505"/>
      <c r="I12" s="38"/>
      <c r="J12" s="38"/>
      <c r="K12" s="509"/>
      <c r="L12" s="63" t="s">
        <v>24</v>
      </c>
      <c r="M12" s="62">
        <v>70</v>
      </c>
      <c r="N12" s="62">
        <v>0</v>
      </c>
      <c r="O12" s="62">
        <v>100</v>
      </c>
      <c r="P12" s="62">
        <v>0</v>
      </c>
      <c r="Q12" s="61" t="s">
        <v>25</v>
      </c>
      <c r="R12" s="62">
        <v>50</v>
      </c>
      <c r="S12" s="62">
        <v>20</v>
      </c>
      <c r="T12" s="62">
        <v>70</v>
      </c>
      <c r="U12" s="62">
        <v>30</v>
      </c>
      <c r="V12" s="509"/>
      <c r="W12" s="38"/>
      <c r="X12" s="1"/>
      <c r="AA12" s="17">
        <f>IF(ISNUMBER(SEARCH($AC$2,AB12)),MAX($AA$3:AA11)+1,0)</f>
        <v>9</v>
      </c>
      <c r="AB12" s="17" t="str">
        <f t="shared" si="0"/>
        <v>HISTORY</v>
      </c>
      <c r="AC12" s="17" t="str">
        <f>IFERROR(VLOOKUP(ROWS($AB$4:AB12),$AA$4:$AB$66,2,0),"")</f>
        <v>HISTORY</v>
      </c>
    </row>
    <row r="13" spans="1:32" ht="24.95" customHeight="1" thickTop="1" thickBot="1">
      <c r="A13" s="1"/>
      <c r="B13" s="479"/>
      <c r="C13" s="484" t="s">
        <v>310</v>
      </c>
      <c r="D13" s="831" t="s">
        <v>315</v>
      </c>
      <c r="E13" s="481"/>
      <c r="F13" s="503">
        <v>8</v>
      </c>
      <c r="G13" s="496" t="s">
        <v>287</v>
      </c>
      <c r="H13" s="505"/>
      <c r="I13" s="38"/>
      <c r="J13" s="38"/>
      <c r="K13" s="509"/>
      <c r="L13" s="63" t="s">
        <v>1</v>
      </c>
      <c r="M13" s="62">
        <v>70</v>
      </c>
      <c r="N13" s="62">
        <v>0</v>
      </c>
      <c r="O13" s="62">
        <v>100</v>
      </c>
      <c r="P13" s="62">
        <v>0</v>
      </c>
      <c r="Q13" s="61" t="s">
        <v>26</v>
      </c>
      <c r="R13" s="62">
        <v>50</v>
      </c>
      <c r="S13" s="62">
        <v>20</v>
      </c>
      <c r="T13" s="62">
        <v>70</v>
      </c>
      <c r="U13" s="62">
        <v>30</v>
      </c>
      <c r="V13" s="509"/>
      <c r="W13" s="38"/>
      <c r="X13" s="1"/>
      <c r="AA13" s="17">
        <f>IF(ISNUMBER(SEARCH($AC$2,AB13)),MAX($AA$3:AA12)+1,0)</f>
        <v>10</v>
      </c>
      <c r="AB13" s="17" t="str">
        <f t="shared" si="0"/>
        <v>MATHEMATICS</v>
      </c>
      <c r="AC13" s="17" t="str">
        <f>IFERROR(VLOOKUP(ROWS($AB$4:AB13),$AA$4:$AB$66,2,0),"")</f>
        <v>MATHEMATICS</v>
      </c>
    </row>
    <row r="14" spans="1:32" ht="24.95" customHeight="1" thickTop="1" thickBot="1">
      <c r="A14" s="1"/>
      <c r="B14" s="479"/>
      <c r="C14" s="484" t="s">
        <v>181</v>
      </c>
      <c r="D14" s="487" t="s">
        <v>191</v>
      </c>
      <c r="E14" s="481"/>
      <c r="F14" s="503">
        <v>9</v>
      </c>
      <c r="G14" s="496"/>
      <c r="H14" s="505"/>
      <c r="I14" s="38"/>
      <c r="J14" s="38"/>
      <c r="K14" s="509"/>
      <c r="L14" s="63" t="s">
        <v>29</v>
      </c>
      <c r="M14" s="62">
        <v>70</v>
      </c>
      <c r="N14" s="62">
        <v>0</v>
      </c>
      <c r="O14" s="62">
        <v>100</v>
      </c>
      <c r="P14" s="62">
        <v>0</v>
      </c>
      <c r="Q14" s="67" t="s">
        <v>122</v>
      </c>
      <c r="R14" s="62">
        <v>50</v>
      </c>
      <c r="S14" s="62">
        <v>20</v>
      </c>
      <c r="T14" s="62">
        <v>70</v>
      </c>
      <c r="U14" s="62">
        <v>30</v>
      </c>
      <c r="V14" s="509"/>
      <c r="W14" s="38"/>
      <c r="X14" s="1"/>
      <c r="AA14" s="17">
        <f>IF(ISNUMBER(SEARCH($AC$2,AB14)),MAX($AA$3:AA13)+1,0)</f>
        <v>11</v>
      </c>
      <c r="AB14" s="17" t="str">
        <f t="shared" si="0"/>
        <v>PHILOSOPHY</v>
      </c>
      <c r="AC14" s="17" t="str">
        <f>IFERROR(VLOOKUP(ROWS($AB$4:AB14),$AA$4:$AB$66,2,0),"")</f>
        <v>PHILOSOPHY</v>
      </c>
    </row>
    <row r="15" spans="1:32" ht="24.95" customHeight="1" thickTop="1" thickBot="1">
      <c r="A15" s="1"/>
      <c r="B15" s="479"/>
      <c r="C15" s="484" t="s">
        <v>182</v>
      </c>
      <c r="D15" s="487" t="s">
        <v>186</v>
      </c>
      <c r="E15" s="481"/>
      <c r="F15" s="503">
        <v>10</v>
      </c>
      <c r="G15" s="496"/>
      <c r="H15" s="505"/>
      <c r="I15" s="38"/>
      <c r="J15" s="38"/>
      <c r="K15" s="509"/>
      <c r="L15" s="64" t="s">
        <v>118</v>
      </c>
      <c r="M15" s="62">
        <v>70</v>
      </c>
      <c r="N15" s="62">
        <v>0</v>
      </c>
      <c r="O15" s="62">
        <v>100</v>
      </c>
      <c r="P15" s="62">
        <v>0</v>
      </c>
      <c r="Q15" s="61" t="s">
        <v>27</v>
      </c>
      <c r="R15" s="62">
        <v>50</v>
      </c>
      <c r="S15" s="62">
        <v>20</v>
      </c>
      <c r="T15" s="62">
        <v>70</v>
      </c>
      <c r="U15" s="62">
        <v>30</v>
      </c>
      <c r="V15" s="509"/>
      <c r="W15" s="38"/>
      <c r="X15" s="1"/>
      <c r="AA15" s="17">
        <f>IF(ISNUMBER(SEARCH($AC$2,AB15)),MAX($AA$3:AA14)+1,0)</f>
        <v>12</v>
      </c>
      <c r="AB15" s="17" t="str">
        <f t="shared" si="0"/>
        <v>PHYSICAL EDUCATION</v>
      </c>
      <c r="AC15" s="17" t="str">
        <f>IFERROR(VLOOKUP(ROWS($AB$4:AB15),$AA$4:$AB$66,2,0),"")</f>
        <v>PHYSICAL EDUCATION</v>
      </c>
    </row>
    <row r="16" spans="1:32" ht="24.95" customHeight="1" thickTop="1" thickBot="1">
      <c r="A16" s="1"/>
      <c r="B16" s="479"/>
      <c r="C16" s="484" t="s">
        <v>243</v>
      </c>
      <c r="D16" s="487" t="s">
        <v>185</v>
      </c>
      <c r="E16" s="481"/>
      <c r="F16" s="503">
        <v>11</v>
      </c>
      <c r="G16" s="496"/>
      <c r="H16" s="505"/>
      <c r="I16" s="38"/>
      <c r="J16" s="38"/>
      <c r="K16" s="509"/>
      <c r="L16" s="63" t="s">
        <v>31</v>
      </c>
      <c r="M16" s="62">
        <v>70</v>
      </c>
      <c r="N16" s="62">
        <v>0</v>
      </c>
      <c r="O16" s="62">
        <v>100</v>
      </c>
      <c r="P16" s="62">
        <v>0</v>
      </c>
      <c r="Q16" s="61" t="s">
        <v>30</v>
      </c>
      <c r="R16" s="62">
        <v>50</v>
      </c>
      <c r="S16" s="62">
        <v>20</v>
      </c>
      <c r="T16" s="62">
        <v>70</v>
      </c>
      <c r="U16" s="62">
        <v>30</v>
      </c>
      <c r="V16" s="509"/>
      <c r="W16" s="38"/>
      <c r="X16" s="1"/>
      <c r="AA16" s="17">
        <f>IF(ISNUMBER(SEARCH($AC$2,AB16)),MAX($AA$3:AA15)+1,0)</f>
        <v>13</v>
      </c>
      <c r="AB16" s="17" t="str">
        <f t="shared" si="0"/>
        <v>POLITICAL SCIENCE</v>
      </c>
      <c r="AC16" s="17" t="str">
        <f>IFERROR(VLOOKUP(ROWS($AB$4:AB16),$AA$4:$AB$66,2,0),"")</f>
        <v>POLITICAL SCIENCE</v>
      </c>
    </row>
    <row r="17" spans="1:29" ht="24.95" customHeight="1" thickTop="1" thickBot="1">
      <c r="A17" s="1"/>
      <c r="B17" s="479"/>
      <c r="C17" s="484" t="s">
        <v>295</v>
      </c>
      <c r="D17" s="491" t="s">
        <v>248</v>
      </c>
      <c r="E17" s="481"/>
      <c r="F17" s="503">
        <v>12</v>
      </c>
      <c r="G17" s="496"/>
      <c r="H17" s="505"/>
      <c r="I17" s="38"/>
      <c r="J17" s="38"/>
      <c r="K17" s="509"/>
      <c r="L17" s="63" t="s">
        <v>32</v>
      </c>
      <c r="M17" s="62">
        <v>70</v>
      </c>
      <c r="N17" s="62">
        <v>0</v>
      </c>
      <c r="O17" s="62">
        <v>100</v>
      </c>
      <c r="P17" s="62">
        <v>0</v>
      </c>
      <c r="Q17" s="61" t="s">
        <v>33</v>
      </c>
      <c r="R17" s="62">
        <v>50</v>
      </c>
      <c r="S17" s="62">
        <v>20</v>
      </c>
      <c r="T17" s="62">
        <v>70</v>
      </c>
      <c r="U17" s="62">
        <v>30</v>
      </c>
      <c r="V17" s="509"/>
      <c r="W17" s="38"/>
      <c r="X17" s="1"/>
      <c r="AA17" s="17">
        <f>IF(ISNUMBER(SEARCH($AC$2,AB17)),MAX($AA$3:AA16)+1,0)</f>
        <v>14</v>
      </c>
      <c r="AB17" s="17" t="str">
        <f t="shared" si="0"/>
        <v>PRAKRIT LITERATURE</v>
      </c>
      <c r="AC17" s="17" t="str">
        <f>IFERROR(VLOOKUP(ROWS($AB$4:AB17),$AA$4:$AB$66,2,0),"")</f>
        <v>PRAKRIT LITERATURE</v>
      </c>
    </row>
    <row r="18" spans="1:29" ht="24.95" customHeight="1" thickTop="1" thickBot="1">
      <c r="A18" s="1"/>
      <c r="B18" s="479"/>
      <c r="C18" s="484" t="s">
        <v>227</v>
      </c>
      <c r="D18" s="492">
        <v>46149</v>
      </c>
      <c r="E18" s="481"/>
      <c r="F18" s="503">
        <v>13</v>
      </c>
      <c r="G18" s="496"/>
      <c r="H18" s="505"/>
      <c r="I18" s="38"/>
      <c r="J18" s="38"/>
      <c r="K18" s="509"/>
      <c r="L18" s="63" t="s">
        <v>34</v>
      </c>
      <c r="M18" s="62">
        <v>70</v>
      </c>
      <c r="N18" s="62">
        <v>0</v>
      </c>
      <c r="O18" s="62">
        <v>100</v>
      </c>
      <c r="P18" s="62">
        <v>0</v>
      </c>
      <c r="Q18" s="507" t="s">
        <v>254</v>
      </c>
      <c r="R18" s="940" t="s">
        <v>120</v>
      </c>
      <c r="S18" s="940"/>
      <c r="T18" s="940" t="s">
        <v>121</v>
      </c>
      <c r="U18" s="940"/>
      <c r="V18" s="509"/>
      <c r="W18" s="38"/>
      <c r="X18" s="1"/>
      <c r="AA18" s="17">
        <f>IF(ISNUMBER(SEARCH($AC$2,AB18)),MAX($AA$3:AA17)+1,0)</f>
        <v>15</v>
      </c>
      <c r="AB18" s="17" t="str">
        <f t="shared" si="0"/>
        <v>PUBLIC ADMINISTRATION</v>
      </c>
      <c r="AC18" s="17" t="str">
        <f>IFERROR(VLOOKUP(ROWS($AB$4:AB18),$AA$4:$AB$66,2,0),"")</f>
        <v>PUBLIC ADMINISTRATION</v>
      </c>
    </row>
    <row r="19" spans="1:29" ht="24.95" customHeight="1" thickTop="1" thickBot="1">
      <c r="A19" s="1"/>
      <c r="B19" s="479"/>
      <c r="C19" s="493" t="s">
        <v>244</v>
      </c>
      <c r="D19" s="494" t="s">
        <v>231</v>
      </c>
      <c r="E19" s="481"/>
      <c r="F19" s="503">
        <v>14</v>
      </c>
      <c r="G19" s="497"/>
      <c r="H19" s="505"/>
      <c r="I19" s="38"/>
      <c r="J19" s="38"/>
      <c r="K19" s="509"/>
      <c r="L19" s="63" t="s">
        <v>35</v>
      </c>
      <c r="M19" s="62">
        <v>70</v>
      </c>
      <c r="N19" s="62">
        <v>0</v>
      </c>
      <c r="O19" s="62">
        <v>100</v>
      </c>
      <c r="P19" s="62">
        <v>0</v>
      </c>
      <c r="Q19" s="65" t="s">
        <v>255</v>
      </c>
      <c r="R19" s="60" t="s">
        <v>113</v>
      </c>
      <c r="S19" s="60" t="s">
        <v>114</v>
      </c>
      <c r="T19" s="60" t="s">
        <v>113</v>
      </c>
      <c r="U19" s="60" t="s">
        <v>114</v>
      </c>
      <c r="V19" s="509"/>
      <c r="W19" s="38"/>
      <c r="X19" s="1"/>
      <c r="AA19" s="17">
        <f>IF(ISNUMBER(SEARCH($AC$2,AB19)),MAX($AA$3:AA18)+1,0)</f>
        <v>16</v>
      </c>
      <c r="AB19" s="17" t="str">
        <f t="shared" si="0"/>
        <v>PUNJABI LITERATURE</v>
      </c>
      <c r="AC19" s="17" t="str">
        <f>IFERROR(VLOOKUP(ROWS($AB$4:AB19),$AA$4:$AB$66,2,0),"")</f>
        <v>PUNJABI LITERATURE</v>
      </c>
    </row>
    <row r="20" spans="1:29" ht="24.95" customHeight="1" thickTop="1" thickBot="1">
      <c r="A20" s="1"/>
      <c r="B20" s="479"/>
      <c r="C20" s="479"/>
      <c r="D20" s="479"/>
      <c r="E20" s="479"/>
      <c r="F20" s="503">
        <v>15</v>
      </c>
      <c r="G20" s="498" t="str">
        <f>IF($D$11="Hindi","जीवन कौशल","JEEVAN KAUSHAL")</f>
        <v>जीवन कौशल</v>
      </c>
      <c r="H20" s="505" t="s">
        <v>190</v>
      </c>
      <c r="I20" s="38"/>
      <c r="J20" s="38"/>
      <c r="K20" s="509"/>
      <c r="L20" s="63" t="s">
        <v>36</v>
      </c>
      <c r="M20" s="62">
        <v>70</v>
      </c>
      <c r="N20" s="62">
        <v>0</v>
      </c>
      <c r="O20" s="62">
        <v>100</v>
      </c>
      <c r="P20" s="62">
        <v>0</v>
      </c>
      <c r="Q20" s="61" t="s">
        <v>38</v>
      </c>
      <c r="R20" s="68">
        <v>70</v>
      </c>
      <c r="S20" s="68"/>
      <c r="T20" s="62">
        <v>100</v>
      </c>
      <c r="U20" s="62"/>
      <c r="V20" s="509"/>
      <c r="W20" s="38"/>
      <c r="X20" s="1"/>
      <c r="AA20" s="17">
        <f>IF(ISNUMBER(SEARCH($AC$2,AB20)),MAX($AA$3:AA19)+1,0)</f>
        <v>17</v>
      </c>
      <c r="AB20" s="17" t="str">
        <f t="shared" si="0"/>
        <v>RAJASTHANI LITERATURE</v>
      </c>
      <c r="AC20" s="17" t="str">
        <f>IFERROR(VLOOKUP(ROWS($AB$4:AB20),$AA$4:$AB$66,2,0),"")</f>
        <v>RAJASTHANI LITERATURE</v>
      </c>
    </row>
    <row r="21" spans="1:29" ht="24.95" customHeight="1" thickTop="1" thickBot="1">
      <c r="A21" s="1"/>
      <c r="B21" s="83"/>
      <c r="C21" s="83"/>
      <c r="D21" s="83"/>
      <c r="E21" s="83"/>
      <c r="F21" s="503">
        <v>16</v>
      </c>
      <c r="G21" s="502" t="str">
        <f>IF($D$11="Hindi","आजादी के बाद का स्वर्णिम भारत ","Azadi ke Baad ka Swarnim Bharat")</f>
        <v xml:space="preserve">आजादी के बाद का स्वर्णिम भारत </v>
      </c>
      <c r="H21" s="506" t="s">
        <v>234</v>
      </c>
      <c r="I21" s="38"/>
      <c r="J21" s="38"/>
      <c r="K21" s="509"/>
      <c r="L21" s="63" t="s">
        <v>37</v>
      </c>
      <c r="M21" s="62">
        <v>70</v>
      </c>
      <c r="N21" s="62">
        <v>0</v>
      </c>
      <c r="O21" s="62">
        <v>100</v>
      </c>
      <c r="P21" s="62">
        <v>0</v>
      </c>
      <c r="Q21" s="61" t="s">
        <v>39</v>
      </c>
      <c r="R21" s="68">
        <v>70</v>
      </c>
      <c r="S21" s="68"/>
      <c r="T21" s="62">
        <v>100</v>
      </c>
      <c r="U21" s="62"/>
      <c r="V21" s="509"/>
      <c r="W21" s="38"/>
      <c r="X21" s="1"/>
      <c r="AA21" s="17">
        <f>IF(ISNUMBER(SEARCH($AC$2,AB21)),MAX($AA$3:AA20)+1,0)</f>
        <v>18</v>
      </c>
      <c r="AB21" s="17" t="str">
        <f t="shared" si="0"/>
        <v>SANSKRIT LITERATURE</v>
      </c>
      <c r="AC21" s="17" t="str">
        <f>IFERROR(VLOOKUP(ROWS($AB$4:AB21),$AA$4:$AB$66,2,0),"")</f>
        <v>SANSKRIT LITERATURE</v>
      </c>
    </row>
    <row r="22" spans="1:29" ht="21.75" thickTop="1" thickBot="1">
      <c r="A22" s="1"/>
      <c r="B22" s="83"/>
      <c r="C22" s="83"/>
      <c r="D22" s="83"/>
      <c r="E22" s="83"/>
      <c r="F22" s="38"/>
      <c r="G22" s="38"/>
      <c r="H22" s="41"/>
      <c r="I22" s="38"/>
      <c r="J22" s="38"/>
      <c r="K22" s="509"/>
      <c r="L22" s="63" t="s">
        <v>40</v>
      </c>
      <c r="M22" s="62">
        <v>70</v>
      </c>
      <c r="N22" s="62">
        <v>0</v>
      </c>
      <c r="O22" s="62">
        <v>100</v>
      </c>
      <c r="P22" s="62">
        <v>0</v>
      </c>
      <c r="Q22" s="61" t="s">
        <v>43</v>
      </c>
      <c r="R22" s="68">
        <v>70</v>
      </c>
      <c r="S22" s="68"/>
      <c r="T22" s="62">
        <v>100</v>
      </c>
      <c r="U22" s="62"/>
      <c r="V22" s="509"/>
      <c r="W22" s="38"/>
      <c r="X22" s="1"/>
      <c r="AA22" s="17">
        <f>IF(ISNUMBER(SEARCH($AC$2,AB22)),MAX($AA$3:AA21)+1,0)</f>
        <v>19</v>
      </c>
      <c r="AB22" s="17" t="str">
        <f t="shared" si="0"/>
        <v>SINDHI LITERATURE</v>
      </c>
      <c r="AC22" s="17" t="str">
        <f>IFERROR(VLOOKUP(ROWS($AB$4:AB22),$AA$4:$AB$66,2,0),"")</f>
        <v>SINDHI LITERATURE</v>
      </c>
    </row>
    <row r="23" spans="1:29" ht="21.75" thickTop="1" thickBot="1">
      <c r="A23" s="1"/>
      <c r="B23" s="83"/>
      <c r="C23" s="38"/>
      <c r="D23" s="38"/>
      <c r="E23" s="83"/>
      <c r="F23" s="38"/>
      <c r="G23" s="38"/>
      <c r="H23" s="41"/>
      <c r="I23" s="38"/>
      <c r="J23" s="38"/>
      <c r="K23" s="509"/>
      <c r="L23" s="63" t="s">
        <v>41</v>
      </c>
      <c r="M23" s="62">
        <v>70</v>
      </c>
      <c r="N23" s="62">
        <v>0</v>
      </c>
      <c r="O23" s="62">
        <v>100</v>
      </c>
      <c r="P23" s="62">
        <v>0</v>
      </c>
      <c r="Q23" s="61" t="s">
        <v>42</v>
      </c>
      <c r="R23" s="68">
        <v>70</v>
      </c>
      <c r="S23" s="68"/>
      <c r="T23" s="62">
        <v>100</v>
      </c>
      <c r="U23" s="62"/>
      <c r="V23" s="509"/>
      <c r="W23" s="38"/>
      <c r="X23" s="1"/>
      <c r="AA23" s="17">
        <f>IF(ISNUMBER(SEARCH($AC$2,AB23)),MAX($AA$3:AA22)+1,0)</f>
        <v>20</v>
      </c>
      <c r="AB23" s="17" t="str">
        <f t="shared" si="0"/>
        <v>SOCIOLOGY</v>
      </c>
      <c r="AC23" s="17" t="str">
        <f>IFERROR(VLOOKUP(ROWS($AB$4:AB23),$AA$4:$AB$66,2,0),"")</f>
        <v>SOCIOLOGY</v>
      </c>
    </row>
    <row r="24" spans="1:29" ht="21.75" thickTop="1" thickBot="1">
      <c r="A24" s="1"/>
      <c r="B24" s="83"/>
      <c r="C24" s="38"/>
      <c r="D24" s="38"/>
      <c r="E24" s="38"/>
      <c r="F24" s="38"/>
      <c r="G24" s="38"/>
      <c r="H24" s="501">
        <v>1</v>
      </c>
      <c r="I24" s="38"/>
      <c r="J24" s="38"/>
      <c r="K24" s="509"/>
      <c r="L24" s="63" t="s">
        <v>44</v>
      </c>
      <c r="M24" s="62">
        <v>70</v>
      </c>
      <c r="N24" s="62">
        <v>0</v>
      </c>
      <c r="O24" s="62">
        <v>100</v>
      </c>
      <c r="P24" s="62">
        <v>0</v>
      </c>
      <c r="Q24" s="61" t="s">
        <v>132</v>
      </c>
      <c r="R24" s="68">
        <v>70</v>
      </c>
      <c r="S24" s="68"/>
      <c r="T24" s="62">
        <v>100</v>
      </c>
      <c r="U24" s="62"/>
      <c r="V24" s="509"/>
      <c r="W24" s="38"/>
      <c r="X24" s="1"/>
      <c r="AA24" s="17">
        <f>IF(ISNUMBER(SEARCH($AC$2,AB24)),MAX($AA$3:AA23)+1,0)</f>
        <v>21</v>
      </c>
      <c r="AB24" s="17" t="str">
        <f t="shared" si="0"/>
        <v>URDU LITERATURE</v>
      </c>
      <c r="AC24" s="17" t="str">
        <f>IFERROR(VLOOKUP(ROWS($AB$4:AB24),$AA$4:$AB$66,2,0),"")</f>
        <v>URDU LITERATURE</v>
      </c>
    </row>
    <row r="25" spans="1:29" ht="62.25" customHeight="1" thickTop="1" thickBot="1">
      <c r="A25" s="1"/>
      <c r="B25" s="83"/>
      <c r="C25" s="38"/>
      <c r="D25" s="38"/>
      <c r="E25" s="38"/>
      <c r="F25" s="38"/>
      <c r="G25" s="38"/>
      <c r="H25" s="500">
        <v>1</v>
      </c>
      <c r="I25" s="499"/>
      <c r="J25" s="38"/>
      <c r="K25" s="509"/>
      <c r="L25" s="507" t="s">
        <v>192</v>
      </c>
      <c r="M25" s="940" t="s">
        <v>120</v>
      </c>
      <c r="N25" s="940"/>
      <c r="O25" s="940" t="s">
        <v>121</v>
      </c>
      <c r="P25" s="940"/>
      <c r="Q25" s="507" t="s">
        <v>256</v>
      </c>
      <c r="R25" s="943" t="s">
        <v>258</v>
      </c>
      <c r="S25" s="944"/>
      <c r="T25" s="944"/>
      <c r="U25" s="511"/>
      <c r="V25" s="509"/>
      <c r="W25" s="38"/>
      <c r="X25" s="1"/>
      <c r="AA25" s="17">
        <f>IF(ISNUMBER(SEARCH($AC$2,AB25)),MAX($AA$3:AA24)+1,0)</f>
        <v>22</v>
      </c>
      <c r="AB25" s="17" t="str">
        <f>IF(Q4="","",Q4)</f>
        <v>AGRICULTURE</v>
      </c>
      <c r="AC25" s="17" t="str">
        <f>IFERROR(VLOOKUP(ROWS($AB$4:AB25),$AA$4:$AB$66,2,0),"")</f>
        <v>AGRICULTURE</v>
      </c>
    </row>
    <row r="26" spans="1:29" ht="28.5" customHeight="1" thickTop="1" thickBot="1">
      <c r="A26" s="1"/>
      <c r="B26" s="83"/>
      <c r="C26" s="38"/>
      <c r="D26" s="38"/>
      <c r="E26" s="38"/>
      <c r="F26" s="38"/>
      <c r="G26" s="38"/>
      <c r="H26" s="38"/>
      <c r="I26" s="38"/>
      <c r="J26" s="38"/>
      <c r="K26" s="509"/>
      <c r="L26" s="65" t="s">
        <v>253</v>
      </c>
      <c r="M26" s="60" t="s">
        <v>113</v>
      </c>
      <c r="N26" s="60" t="s">
        <v>114</v>
      </c>
      <c r="O26" s="60" t="s">
        <v>113</v>
      </c>
      <c r="P26" s="60" t="s">
        <v>114</v>
      </c>
      <c r="Q26" s="65" t="s">
        <v>257</v>
      </c>
      <c r="R26" s="60" t="s">
        <v>113</v>
      </c>
      <c r="S26" s="60" t="s">
        <v>259</v>
      </c>
      <c r="T26" s="60" t="s">
        <v>114</v>
      </c>
      <c r="U26" s="60"/>
      <c r="V26" s="509"/>
      <c r="W26" s="38"/>
      <c r="X26" s="1"/>
      <c r="AA26" s="17">
        <f>IF(ISNUMBER(SEARCH($AC$2,AB26)),MAX($AA$3:AA25)+1,0)</f>
        <v>23</v>
      </c>
      <c r="AB26" s="17" t="str">
        <f t="shared" ref="AB26:AB38" si="1">IF(Q5="","",Q5)</f>
        <v>AGRICULTURE BIOLOGY</v>
      </c>
      <c r="AC26" s="17" t="str">
        <f>IFERROR(VLOOKUP(ROWS($AB$4:AB26),$AA$4:$AB$66,2,0),"")</f>
        <v>AGRICULTURE BIOLOGY</v>
      </c>
    </row>
    <row r="27" spans="1:29" ht="21.75" customHeight="1" thickTop="1" thickBot="1">
      <c r="A27" s="1"/>
      <c r="B27" s="83"/>
      <c r="C27" s="38"/>
      <c r="D27" s="950" t="s">
        <v>103</v>
      </c>
      <c r="E27" s="38"/>
      <c r="F27" s="38"/>
      <c r="G27" s="942" t="s">
        <v>237</v>
      </c>
      <c r="H27" s="942"/>
      <c r="I27" s="38"/>
      <c r="J27" s="38"/>
      <c r="K27" s="509"/>
      <c r="L27" s="67" t="s">
        <v>123</v>
      </c>
      <c r="M27" s="68">
        <v>20</v>
      </c>
      <c r="N27" s="68">
        <v>50</v>
      </c>
      <c r="O27" s="62">
        <v>30</v>
      </c>
      <c r="P27" s="62">
        <v>70</v>
      </c>
      <c r="Q27" s="69" t="s">
        <v>133</v>
      </c>
      <c r="R27" s="62">
        <v>30</v>
      </c>
      <c r="S27" s="62">
        <v>20</v>
      </c>
      <c r="T27" s="62">
        <v>50</v>
      </c>
      <c r="U27" s="62"/>
      <c r="V27" s="509"/>
      <c r="W27" s="38"/>
      <c r="X27" s="1"/>
      <c r="AA27" s="17">
        <f>IF(ISNUMBER(SEARCH($AC$2,AB27)),MAX($AA$3:AA26)+1,0)</f>
        <v>24</v>
      </c>
      <c r="AB27" s="17" t="str">
        <f t="shared" si="1"/>
        <v>AGRICULTURE CHEMISTRY</v>
      </c>
      <c r="AC27" s="17" t="str">
        <f>IFERROR(VLOOKUP(ROWS($AB$4:AB27),$AA$4:$AB$66,2,0),"")</f>
        <v>AGRICULTURE CHEMISTRY</v>
      </c>
    </row>
    <row r="28" spans="1:29" ht="18" thickTop="1" thickBot="1">
      <c r="A28" s="1"/>
      <c r="B28" s="83"/>
      <c r="C28" s="38"/>
      <c r="D28" s="951"/>
      <c r="E28" s="38"/>
      <c r="F28" s="38"/>
      <c r="G28" s="38"/>
      <c r="H28" s="38"/>
      <c r="I28" s="38"/>
      <c r="J28" s="38"/>
      <c r="K28" s="509"/>
      <c r="L28" s="61" t="s">
        <v>16</v>
      </c>
      <c r="M28" s="68">
        <v>20</v>
      </c>
      <c r="N28" s="68">
        <v>50</v>
      </c>
      <c r="O28" s="62">
        <v>30</v>
      </c>
      <c r="P28" s="62">
        <v>70</v>
      </c>
      <c r="Q28" s="69" t="s">
        <v>134</v>
      </c>
      <c r="R28" s="62">
        <v>30</v>
      </c>
      <c r="S28" s="62">
        <v>20</v>
      </c>
      <c r="T28" s="62">
        <v>50</v>
      </c>
      <c r="U28" s="62"/>
      <c r="V28" s="509"/>
      <c r="W28" s="38"/>
      <c r="X28" s="1"/>
      <c r="AA28" s="17">
        <f>IF(ISNUMBER(SEARCH($AC$2,AB28)),MAX($AA$3:AA27)+1,0)</f>
        <v>25</v>
      </c>
      <c r="AB28" s="17" t="str">
        <f t="shared" si="1"/>
        <v>BIOLOGY</v>
      </c>
      <c r="AC28" s="17" t="str">
        <f>IFERROR(VLOOKUP(ROWS($AB$4:AB28),$AA$4:$AB$66,2,0),"")</f>
        <v>BIOLOGY</v>
      </c>
    </row>
    <row r="29" spans="1:29" ht="22.5" customHeight="1" thickTop="1" thickBot="1">
      <c r="A29" s="1"/>
      <c r="B29" s="83"/>
      <c r="C29" s="38"/>
      <c r="D29" s="953" t="s">
        <v>104</v>
      </c>
      <c r="E29" s="38"/>
      <c r="F29" s="38"/>
      <c r="G29" s="941" t="s">
        <v>312</v>
      </c>
      <c r="H29" s="941"/>
      <c r="I29" s="38"/>
      <c r="J29" s="38"/>
      <c r="K29" s="509"/>
      <c r="L29" s="67" t="s">
        <v>124</v>
      </c>
      <c r="M29" s="68">
        <v>20</v>
      </c>
      <c r="N29" s="68">
        <v>50</v>
      </c>
      <c r="O29" s="62">
        <v>30</v>
      </c>
      <c r="P29" s="62">
        <v>70</v>
      </c>
      <c r="Q29" s="69" t="s">
        <v>135</v>
      </c>
      <c r="R29" s="62">
        <v>30</v>
      </c>
      <c r="S29" s="62">
        <v>20</v>
      </c>
      <c r="T29" s="62">
        <v>50</v>
      </c>
      <c r="U29" s="62"/>
      <c r="V29" s="509"/>
      <c r="W29" s="38"/>
      <c r="X29" s="1"/>
      <c r="AA29" s="17">
        <f>IF(ISNUMBER(SEARCH($AC$2,AB29)),MAX($AA$3:AA28)+1,0)</f>
        <v>26</v>
      </c>
      <c r="AB29" s="17" t="str">
        <f t="shared" si="1"/>
        <v>CHEMISTRY</v>
      </c>
      <c r="AC29" s="17" t="str">
        <f>IFERROR(VLOOKUP(ROWS($AB$4:AB29),$AA$4:$AB$66,2,0),"")</f>
        <v>CHEMISTRY</v>
      </c>
    </row>
    <row r="30" spans="1:29" ht="17.25" customHeight="1" thickTop="1" thickBot="1">
      <c r="A30" s="1"/>
      <c r="B30" s="83"/>
      <c r="C30" s="38"/>
      <c r="D30" s="954"/>
      <c r="E30" s="38"/>
      <c r="F30" s="38"/>
      <c r="G30" s="38"/>
      <c r="H30" s="38"/>
      <c r="I30" s="38"/>
      <c r="J30" s="38"/>
      <c r="K30" s="509"/>
      <c r="L30" s="67" t="s">
        <v>125</v>
      </c>
      <c r="M30" s="68">
        <v>20</v>
      </c>
      <c r="N30" s="68">
        <v>50</v>
      </c>
      <c r="O30" s="62">
        <v>30</v>
      </c>
      <c r="P30" s="62">
        <v>70</v>
      </c>
      <c r="Q30" s="69" t="s">
        <v>136</v>
      </c>
      <c r="R30" s="62">
        <v>30</v>
      </c>
      <c r="S30" s="62">
        <v>20</v>
      </c>
      <c r="T30" s="62">
        <v>50</v>
      </c>
      <c r="U30" s="62"/>
      <c r="V30" s="509"/>
      <c r="W30" s="38"/>
      <c r="X30" s="1"/>
      <c r="AA30" s="17">
        <f>IF(ISNUMBER(SEARCH($AC$2,AB30)),MAX($AA$3:AA29)+1,0)</f>
        <v>27</v>
      </c>
      <c r="AB30" s="17" t="str">
        <f t="shared" si="1"/>
        <v>COMPUTER SCIENCE</v>
      </c>
      <c r="AC30" s="17" t="str">
        <f>IFERROR(VLOOKUP(ROWS($AB$4:AB30),$AA$4:$AB$66,2,0),"")</f>
        <v>COMPUTER SCIENCE</v>
      </c>
    </row>
    <row r="31" spans="1:29" ht="17.25" customHeight="1" thickTop="1" thickBot="1">
      <c r="A31" s="1"/>
      <c r="B31" s="83"/>
      <c r="C31" s="38"/>
      <c r="D31" s="955" t="s">
        <v>108</v>
      </c>
      <c r="E31" s="38"/>
      <c r="F31" s="38"/>
      <c r="G31" s="952" t="s">
        <v>238</v>
      </c>
      <c r="H31" s="38"/>
      <c r="I31" s="38"/>
      <c r="J31" s="38"/>
      <c r="K31" s="509"/>
      <c r="L31" s="67" t="s">
        <v>125</v>
      </c>
      <c r="M31" s="68">
        <v>20</v>
      </c>
      <c r="N31" s="68">
        <v>50</v>
      </c>
      <c r="O31" s="62">
        <v>30</v>
      </c>
      <c r="P31" s="62">
        <v>70</v>
      </c>
      <c r="Q31" s="69" t="s">
        <v>137</v>
      </c>
      <c r="R31" s="62">
        <v>30</v>
      </c>
      <c r="S31" s="62">
        <v>20</v>
      </c>
      <c r="T31" s="62">
        <v>50</v>
      </c>
      <c r="U31" s="62"/>
      <c r="V31" s="509"/>
      <c r="W31" s="38"/>
      <c r="X31" s="1"/>
      <c r="AA31" s="17">
        <f>IF(ISNUMBER(SEARCH($AC$2,AB31)),MAX($AA$3:AA30)+1,0)</f>
        <v>28</v>
      </c>
      <c r="AB31" s="17" t="str">
        <f t="shared" si="1"/>
        <v>GEO SCIENCE</v>
      </c>
      <c r="AC31" s="17" t="str">
        <f>IFERROR(VLOOKUP(ROWS($AB$4:AB31),$AA$4:$AB$66,2,0),"")</f>
        <v>GEO SCIENCE</v>
      </c>
    </row>
    <row r="32" spans="1:29" ht="17.25" customHeight="1" thickTop="1" thickBot="1">
      <c r="A32" s="1"/>
      <c r="B32" s="83"/>
      <c r="C32" s="38"/>
      <c r="D32" s="956"/>
      <c r="E32" s="38"/>
      <c r="F32" s="38"/>
      <c r="G32" s="952"/>
      <c r="H32" s="38"/>
      <c r="I32" s="38"/>
      <c r="J32" s="38"/>
      <c r="K32" s="509"/>
      <c r="L32" s="67" t="s">
        <v>126</v>
      </c>
      <c r="M32" s="68">
        <v>20</v>
      </c>
      <c r="N32" s="68">
        <v>50</v>
      </c>
      <c r="O32" s="62">
        <v>30</v>
      </c>
      <c r="P32" s="62">
        <v>70</v>
      </c>
      <c r="Q32" s="69" t="s">
        <v>138</v>
      </c>
      <c r="R32" s="62">
        <v>30</v>
      </c>
      <c r="S32" s="62">
        <v>20</v>
      </c>
      <c r="T32" s="62">
        <v>50</v>
      </c>
      <c r="U32" s="62"/>
      <c r="V32" s="509"/>
      <c r="W32" s="38"/>
      <c r="X32" s="1"/>
      <c r="AA32" s="17">
        <f>IF(ISNUMBER(SEARCH($AC$2,AB32)),MAX($AA$3:AA31)+1,0)</f>
        <v>29</v>
      </c>
      <c r="AB32" s="17" t="str">
        <f t="shared" si="1"/>
        <v>GEOGRAPHY</v>
      </c>
      <c r="AC32" s="17" t="str">
        <f>IFERROR(VLOOKUP(ROWS($AB$4:AB32),$AA$4:$AB$66,2,0),"")</f>
        <v>GEOGRAPHY</v>
      </c>
    </row>
    <row r="33" spans="1:29" ht="17.25" customHeight="1" thickTop="1" thickBot="1">
      <c r="A33" s="1"/>
      <c r="B33" s="83"/>
      <c r="C33" s="38"/>
      <c r="D33" s="957" t="s">
        <v>105</v>
      </c>
      <c r="E33" s="38"/>
      <c r="F33" s="38"/>
      <c r="G33" s="767">
        <v>46079</v>
      </c>
      <c r="H33" s="38"/>
      <c r="I33" s="38"/>
      <c r="J33" s="38"/>
      <c r="K33" s="509"/>
      <c r="L33" s="67" t="s">
        <v>127</v>
      </c>
      <c r="M33" s="68">
        <v>20</v>
      </c>
      <c r="N33" s="68">
        <v>50</v>
      </c>
      <c r="O33" s="62">
        <v>30</v>
      </c>
      <c r="P33" s="62">
        <v>70</v>
      </c>
      <c r="Q33" s="69" t="s">
        <v>139</v>
      </c>
      <c r="R33" s="62">
        <v>30</v>
      </c>
      <c r="S33" s="62">
        <v>20</v>
      </c>
      <c r="T33" s="62">
        <v>50</v>
      </c>
      <c r="U33" s="62"/>
      <c r="V33" s="509"/>
      <c r="W33" s="38"/>
      <c r="X33" s="1"/>
      <c r="AA33" s="17">
        <f>IF(ISNUMBER(SEARCH($AC$2,AB33)),MAX($AA$3:AA32)+1,0)</f>
        <v>30</v>
      </c>
      <c r="AB33" s="17" t="str">
        <f t="shared" si="1"/>
        <v>HOME SCIENCE</v>
      </c>
      <c r="AC33" s="17" t="str">
        <f>IFERROR(VLOOKUP(ROWS($AB$4:AB33),$AA$4:$AB$66,2,0),"")</f>
        <v>HOME SCIENCE</v>
      </c>
    </row>
    <row r="34" spans="1:29" ht="15.75" customHeight="1" thickTop="1" thickBot="1">
      <c r="A34" s="1"/>
      <c r="B34" s="83"/>
      <c r="C34" s="38"/>
      <c r="D34" s="958"/>
      <c r="E34" s="38"/>
      <c r="F34" s="38"/>
      <c r="G34" s="38"/>
      <c r="H34" s="38"/>
      <c r="I34" s="38"/>
      <c r="J34" s="38"/>
      <c r="K34" s="509"/>
      <c r="L34" s="67" t="s">
        <v>128</v>
      </c>
      <c r="M34" s="68">
        <v>20</v>
      </c>
      <c r="N34" s="68">
        <v>50</v>
      </c>
      <c r="O34" s="62">
        <v>30</v>
      </c>
      <c r="P34" s="62">
        <v>70</v>
      </c>
      <c r="Q34" s="69" t="s">
        <v>140</v>
      </c>
      <c r="R34" s="62">
        <v>30</v>
      </c>
      <c r="S34" s="62">
        <v>20</v>
      </c>
      <c r="T34" s="62">
        <v>50</v>
      </c>
      <c r="U34" s="62"/>
      <c r="V34" s="509"/>
      <c r="W34" s="38"/>
      <c r="X34" s="1"/>
      <c r="AA34" s="17">
        <f>IF(ISNUMBER(SEARCH($AC$2,AB34)),MAX($AA$3:AA33)+1,0)</f>
        <v>31</v>
      </c>
      <c r="AB34" s="17" t="str">
        <f t="shared" si="1"/>
        <v>INFORMATION PRACTICE</v>
      </c>
      <c r="AC34" s="17" t="str">
        <f>IFERROR(VLOOKUP(ROWS($AB$4:AB34),$AA$4:$AB$66,2,0),"")</f>
        <v>INFORMATION PRACTICE</v>
      </c>
    </row>
    <row r="35" spans="1:29" ht="15.75" customHeight="1" thickTop="1" thickBot="1">
      <c r="A35" s="1"/>
      <c r="B35" s="83"/>
      <c r="C35" s="38"/>
      <c r="D35" s="946" t="s">
        <v>309</v>
      </c>
      <c r="E35" s="38"/>
      <c r="F35" s="38"/>
      <c r="G35" s="38"/>
      <c r="H35" s="38"/>
      <c r="I35" s="38"/>
      <c r="J35" s="38"/>
      <c r="K35" s="509"/>
      <c r="L35" s="67" t="s">
        <v>129</v>
      </c>
      <c r="M35" s="68">
        <v>20</v>
      </c>
      <c r="N35" s="68">
        <v>50</v>
      </c>
      <c r="O35" s="62">
        <v>30</v>
      </c>
      <c r="P35" s="62">
        <v>70</v>
      </c>
      <c r="Q35" s="69" t="s">
        <v>141</v>
      </c>
      <c r="R35" s="62">
        <v>30</v>
      </c>
      <c r="S35" s="62">
        <v>20</v>
      </c>
      <c r="T35" s="62">
        <v>50</v>
      </c>
      <c r="U35" s="62"/>
      <c r="V35" s="509"/>
      <c r="W35" s="38"/>
      <c r="X35" s="1"/>
      <c r="AA35" s="17">
        <f>IF(ISNUMBER(SEARCH($AC$2,AB35)),MAX($AA$3:AA34)+1,0)</f>
        <v>32</v>
      </c>
      <c r="AB35" s="17" t="str">
        <f t="shared" si="1"/>
        <v>INFORMATION TECHNOLOGY AND PROCESSING 1</v>
      </c>
      <c r="AC35" s="17" t="str">
        <f>IFERROR(VLOOKUP(ROWS($AB$4:AB35),$AA$4:$AB$66,2,0),"")</f>
        <v>INFORMATION TECHNOLOGY AND PROCESSING 1</v>
      </c>
    </row>
    <row r="36" spans="1:29" ht="15.75" customHeight="1" thickTop="1" thickBot="1">
      <c r="A36" s="1"/>
      <c r="B36" s="83"/>
      <c r="C36" s="38"/>
      <c r="D36" s="947"/>
      <c r="E36" s="38"/>
      <c r="F36" s="38"/>
      <c r="G36" s="38"/>
      <c r="H36" s="38"/>
      <c r="I36" s="38"/>
      <c r="J36" s="38"/>
      <c r="K36" s="509"/>
      <c r="L36" s="67" t="s">
        <v>130</v>
      </c>
      <c r="M36" s="68">
        <v>20</v>
      </c>
      <c r="N36" s="68">
        <v>50</v>
      </c>
      <c r="O36" s="62">
        <v>30</v>
      </c>
      <c r="P36" s="62">
        <v>70</v>
      </c>
      <c r="Q36" s="69" t="s">
        <v>142</v>
      </c>
      <c r="R36" s="62">
        <v>30</v>
      </c>
      <c r="S36" s="62">
        <v>20</v>
      </c>
      <c r="T36" s="62">
        <v>50</v>
      </c>
      <c r="U36" s="62"/>
      <c r="V36" s="509"/>
      <c r="W36" s="38"/>
      <c r="X36" s="1"/>
      <c r="AA36" s="17">
        <f>IF(ISNUMBER(SEARCH($AC$2,AB36)),MAX($AA$3:AA35)+1,0)</f>
        <v>33</v>
      </c>
      <c r="AB36" s="17" t="str">
        <f t="shared" si="1"/>
        <v>MULTIMEDIA WEB TECH</v>
      </c>
      <c r="AC36" s="17" t="str">
        <f>IFERROR(VLOOKUP(ROWS($AB$4:AB36),$AA$4:$AB$66,2,0),"")</f>
        <v>MULTIMEDIA WEB TECH</v>
      </c>
    </row>
    <row r="37" spans="1:29" ht="16.5" customHeight="1" thickTop="1" thickBot="1">
      <c r="A37" s="1"/>
      <c r="B37" s="83"/>
      <c r="C37" s="38"/>
      <c r="D37" s="948" t="s">
        <v>106</v>
      </c>
      <c r="E37" s="38"/>
      <c r="F37" s="38"/>
      <c r="G37" s="38"/>
      <c r="H37" s="38"/>
      <c r="I37" s="38"/>
      <c r="J37" s="38"/>
      <c r="K37" s="509"/>
      <c r="L37" s="61" t="s">
        <v>131</v>
      </c>
      <c r="M37" s="68">
        <v>20</v>
      </c>
      <c r="N37" s="68">
        <v>50</v>
      </c>
      <c r="O37" s="62">
        <v>30</v>
      </c>
      <c r="P37" s="62">
        <v>70</v>
      </c>
      <c r="Q37" s="69"/>
      <c r="R37" s="62"/>
      <c r="S37" s="62"/>
      <c r="T37" s="62"/>
      <c r="U37" s="62"/>
      <c r="V37" s="509"/>
      <c r="W37" s="38"/>
      <c r="X37" s="1"/>
      <c r="AA37" s="17">
        <f>IF(ISNUMBER(SEARCH($AC$2,AB37)),MAX($AA$3:AA36)+1,0)</f>
        <v>34</v>
      </c>
      <c r="AB37" s="17" t="str">
        <f t="shared" si="1"/>
        <v>PHYSICS</v>
      </c>
      <c r="AC37" s="17" t="str">
        <f>IFERROR(VLOOKUP(ROWS($AB$4:AB37),$AA$4:$AB$66,2,0),"")</f>
        <v>PHYSICS</v>
      </c>
    </row>
    <row r="38" spans="1:29" ht="16.5" customHeight="1" thickTop="1" thickBot="1">
      <c r="A38" s="1"/>
      <c r="B38" s="83"/>
      <c r="C38" s="38"/>
      <c r="D38" s="949"/>
      <c r="E38" s="38"/>
      <c r="F38" s="38"/>
      <c r="G38" s="38"/>
      <c r="H38" s="38"/>
      <c r="I38" s="38"/>
      <c r="J38" s="38"/>
      <c r="K38" s="509"/>
      <c r="L38" s="63"/>
      <c r="M38" s="62"/>
      <c r="N38" s="62"/>
      <c r="O38" s="62"/>
      <c r="P38" s="62"/>
      <c r="Q38" s="69"/>
      <c r="R38" s="62"/>
      <c r="S38" s="62"/>
      <c r="T38" s="62"/>
      <c r="U38" s="62"/>
      <c r="V38" s="509"/>
      <c r="W38" s="38"/>
      <c r="X38" s="1"/>
      <c r="AA38" s="17">
        <f>IF(ISNUMBER(SEARCH($AC$2,AB38)),MAX($AA$3:AA37)+1,0)</f>
        <v>35</v>
      </c>
      <c r="AB38" s="17" t="str">
        <f t="shared" si="1"/>
        <v>PSYCHOLOGY</v>
      </c>
      <c r="AC38" s="17" t="str">
        <f>IFERROR(VLOOKUP(ROWS($AB$4:AB38),$AA$4:$AB$66,2,0),"")</f>
        <v>PSYCHOLOGY</v>
      </c>
    </row>
    <row r="39" spans="1:29" ht="16.5" customHeight="1">
      <c r="A39" s="1"/>
      <c r="B39" s="83"/>
      <c r="C39" s="38"/>
      <c r="D39" s="38"/>
      <c r="E39" s="38"/>
      <c r="F39" s="38"/>
      <c r="G39" s="38"/>
      <c r="H39" s="38"/>
      <c r="I39" s="38"/>
      <c r="J39" s="38"/>
      <c r="K39" s="510"/>
      <c r="L39" s="509"/>
      <c r="M39" s="509"/>
      <c r="N39" s="509"/>
      <c r="O39" s="509"/>
      <c r="P39" s="509"/>
      <c r="Q39" s="509"/>
      <c r="R39" s="509"/>
      <c r="S39" s="509"/>
      <c r="T39" s="509"/>
      <c r="U39" s="509"/>
      <c r="V39" s="510"/>
      <c r="W39" s="38"/>
      <c r="X39" s="1"/>
      <c r="AA39" s="17">
        <f>IF(ISNUMBER(SEARCH($AC$2,AB39)),MAX($AA$3:AA38)+1,0)</f>
        <v>36</v>
      </c>
      <c r="AB39" s="17" t="str">
        <f>IF(Q20="","",Q20)</f>
        <v>SHORT HAND (ENGLISH)</v>
      </c>
      <c r="AC39" s="17" t="str">
        <f>IFERROR(VLOOKUP(ROWS($AB$4:AB39),$AA$4:$AB$66,2,0),"")</f>
        <v>SHORT HAND (ENGLISH)</v>
      </c>
    </row>
    <row r="40" spans="1:29" ht="16.5" customHeight="1">
      <c r="A40" s="1"/>
      <c r="B40" s="1"/>
      <c r="C40" s="1"/>
      <c r="D40" s="1"/>
      <c r="E40" s="1"/>
      <c r="F40" s="1"/>
      <c r="G40" s="1"/>
      <c r="H40" s="1"/>
      <c r="I40" s="1"/>
      <c r="J40" s="1"/>
      <c r="K40" s="1"/>
      <c r="L40" s="1"/>
      <c r="M40" s="1"/>
      <c r="N40" s="1"/>
      <c r="O40" s="1"/>
      <c r="P40" s="1"/>
      <c r="Q40" s="1"/>
      <c r="R40" s="1"/>
      <c r="S40" s="1"/>
      <c r="T40" s="1"/>
      <c r="U40" s="1"/>
      <c r="V40" s="1"/>
      <c r="W40" s="1"/>
      <c r="X40" s="1"/>
      <c r="AA40" s="17">
        <f>IF(ISNUMBER(SEARCH($AC$2,AB40)),MAX($AA$3:AA39)+1,0)</f>
        <v>37</v>
      </c>
      <c r="AB40" s="17" t="str">
        <f t="shared" ref="AB40:AB43" si="2">IF(Q21="","",Q21)</f>
        <v>SHORT HAND (HINDI)</v>
      </c>
      <c r="AC40" s="17" t="str">
        <f>IFERROR(VLOOKUP(ROWS($AB$4:AB40),$AA$4:$AB$66,2,0),"")</f>
        <v>SHORT HAND (HINDI)</v>
      </c>
    </row>
    <row r="41" spans="1:29">
      <c r="AA41" s="17">
        <f>IF(ISNUMBER(SEARCH($AC$2,AB41)),MAX($AA$3:AA40)+1,0)</f>
        <v>38</v>
      </c>
      <c r="AB41" s="17" t="str">
        <f t="shared" si="2"/>
        <v>TYPING</v>
      </c>
      <c r="AC41" s="17" t="str">
        <f>IFERROR(VLOOKUP(ROWS($AB$4:AB41),$AA$4:$AB$66,2,0),"")</f>
        <v>TYPING</v>
      </c>
    </row>
    <row r="42" spans="1:29" hidden="1">
      <c r="AA42" s="17">
        <f>IF(ISNUMBER(SEARCH($AC$2,AB42)),MAX($AA$3:AA41)+1,0)</f>
        <v>39</v>
      </c>
      <c r="AB42" s="17" t="str">
        <f t="shared" si="2"/>
        <v>TYPING (ENGLISH)</v>
      </c>
      <c r="AC42" s="17" t="str">
        <f>IFERROR(VLOOKUP(ROWS($AB$4:AB42),$AA$4:$AB$66,2,0),"")</f>
        <v>TYPING (ENGLISH)</v>
      </c>
    </row>
    <row r="43" spans="1:29" hidden="1">
      <c r="AA43" s="17">
        <f>IF(ISNUMBER(SEARCH($AC$2,AB43)),MAX($AA$3:AA42)+1,0)</f>
        <v>40</v>
      </c>
      <c r="AB43" s="17" t="str">
        <f t="shared" si="2"/>
        <v>TYPING HINDI</v>
      </c>
      <c r="AC43" s="17" t="str">
        <f>IFERROR(VLOOKUP(ROWS($AB$4:AB43),$AA$4:$AB$66,2,0),"")</f>
        <v>TYPING HINDI</v>
      </c>
    </row>
    <row r="44" spans="1:29" hidden="1">
      <c r="AA44" s="17">
        <f>IF(ISNUMBER(SEARCH($AC$2,AB44)),MAX($AA$3:AA43)+1,0)</f>
        <v>41</v>
      </c>
      <c r="AB44" s="17" t="str">
        <f>IF(Q27="","",Q27)</f>
        <v>AUTOMOBILE</v>
      </c>
      <c r="AC44" s="17" t="str">
        <f>IFERROR(VLOOKUP(ROWS($AB$4:AB44),$AA$4:$AB$66,2,0),"")</f>
        <v>AUTOMOBILE</v>
      </c>
    </row>
    <row r="45" spans="1:29" hidden="1">
      <c r="AA45" s="17">
        <f>IF(ISNUMBER(SEARCH($AC$2,AB45)),MAX($AA$3:AA44)+1,0)</f>
        <v>42</v>
      </c>
      <c r="AB45" s="17" t="str">
        <f t="shared" ref="AB45:AB53" si="3">IF(Q28="","",Q28)</f>
        <v>BEAUTY AND HEALTH</v>
      </c>
      <c r="AC45" s="17" t="str">
        <f>IFERROR(VLOOKUP(ROWS($AB$4:AB45),$AA$4:$AB$66,2,0),"")</f>
        <v>BEAUTY AND HEALTH</v>
      </c>
    </row>
    <row r="46" spans="1:29" hidden="1">
      <c r="AA46" s="17">
        <f>IF(ISNUMBER(SEARCH($AC$2,AB46)),MAX($AA$3:AA45)+1,0)</f>
        <v>43</v>
      </c>
      <c r="AB46" s="17" t="str">
        <f t="shared" si="3"/>
        <v>DRESS DESIGNING AND HOME DECORATION</v>
      </c>
      <c r="AC46" s="17" t="str">
        <f>IFERROR(VLOOKUP(ROWS($AB$4:AB46),$AA$4:$AB$66,2,0),"")</f>
        <v>DRESS DESIGNING AND HOME DECORATION</v>
      </c>
    </row>
    <row r="47" spans="1:29" hidden="1">
      <c r="AA47" s="17">
        <f>IF(ISNUMBER(SEARCH($AC$2,AB47)),MAX($AA$3:AA46)+1,0)</f>
        <v>44</v>
      </c>
      <c r="AB47" s="17" t="str">
        <f t="shared" si="3"/>
        <v>ELECTRICALS AND ELECTRONICS</v>
      </c>
      <c r="AC47" s="17" t="str">
        <f>IFERROR(VLOOKUP(ROWS($AB$4:AB47),$AA$4:$AB$66,2,0),"")</f>
        <v>ELECTRICALS AND ELECTRONICS</v>
      </c>
    </row>
    <row r="48" spans="1:29" hidden="1">
      <c r="AA48" s="17">
        <f>IF(ISNUMBER(SEARCH($AC$2,AB48)),MAX($AA$3:AA47)+1,0)</f>
        <v>45</v>
      </c>
      <c r="AB48" s="17" t="str">
        <f t="shared" si="3"/>
        <v>HEALTH CARE</v>
      </c>
      <c r="AC48" s="17" t="str">
        <f>IFERROR(VLOOKUP(ROWS($AB$4:AB48),$AA$4:$AB$66,2,0),"")</f>
        <v>HEALTH CARE</v>
      </c>
    </row>
    <row r="49" spans="27:29" hidden="1">
      <c r="AA49" s="17">
        <f>IF(ISNUMBER(SEARCH($AC$2,AB49)),MAX($AA$3:AA48)+1,0)</f>
        <v>46</v>
      </c>
      <c r="AB49" s="17" t="str">
        <f t="shared" si="3"/>
        <v>INFORMATION TECHNOLOGY Ites</v>
      </c>
      <c r="AC49" s="17" t="str">
        <f>IFERROR(VLOOKUP(ROWS($AB$4:AB49),$AA$4:$AB$66,2,0),"")</f>
        <v>INFORMATION TECHNOLOGY Ites</v>
      </c>
    </row>
    <row r="50" spans="27:29" hidden="1">
      <c r="AA50" s="17">
        <f>IF(ISNUMBER(SEARCH($AC$2,AB50)),MAX($AA$3:AA49)+1,0)</f>
        <v>47</v>
      </c>
      <c r="AB50" s="17" t="str">
        <f t="shared" si="3"/>
        <v>MICRO IRRIGATION SYSTEM</v>
      </c>
      <c r="AC50" s="17" t="str">
        <f>IFERROR(VLOOKUP(ROWS($AB$4:AB50),$AA$4:$AB$66,2,0),"")</f>
        <v>MICRO IRRIGATION SYSTEM</v>
      </c>
    </row>
    <row r="51" spans="27:29" hidden="1">
      <c r="AA51" s="17">
        <f>IF(ISNUMBER(SEARCH($AC$2,AB51)),MAX($AA$3:AA50)+1,0)</f>
        <v>48</v>
      </c>
      <c r="AB51" s="17" t="str">
        <f t="shared" si="3"/>
        <v>PERSONAL SECURITY</v>
      </c>
      <c r="AC51" s="17" t="str">
        <f>IFERROR(VLOOKUP(ROWS($AB$4:AB51),$AA$4:$AB$66,2,0),"")</f>
        <v>PERSONAL SECURITY</v>
      </c>
    </row>
    <row r="52" spans="27:29" hidden="1">
      <c r="AA52" s="17">
        <f>IF(ISNUMBER(SEARCH($AC$2,AB52)),MAX($AA$3:AA51)+1,0)</f>
        <v>49</v>
      </c>
      <c r="AB52" s="17" t="str">
        <f t="shared" si="3"/>
        <v>RETAIL SALE</v>
      </c>
      <c r="AC52" s="17" t="str">
        <f>IFERROR(VLOOKUP(ROWS($AB$4:AB52),$AA$4:$AB$66,2,0),"")</f>
        <v>RETAIL SALE</v>
      </c>
    </row>
    <row r="53" spans="27:29" hidden="1">
      <c r="AA53" s="17">
        <f>IF(ISNUMBER(SEARCH($AC$2,AB53)),MAX($AA$3:AA52)+1,0)</f>
        <v>50</v>
      </c>
      <c r="AB53" s="17" t="str">
        <f t="shared" si="3"/>
        <v>TOURISM AND TRAVEL</v>
      </c>
      <c r="AC53" s="17" t="str">
        <f>IFERROR(VLOOKUP(ROWS($AB$4:AB53),$AA$4:$AB$66,2,0),"")</f>
        <v>TOURISM AND TRAVEL</v>
      </c>
    </row>
    <row r="54" spans="27:29" hidden="1">
      <c r="AA54" s="17">
        <f>IF(ISNUMBER(SEARCH($AC$2,AB54)),MAX($AA$3:AA53)+1,0)</f>
        <v>51</v>
      </c>
      <c r="AB54" s="17" t="str">
        <f>IF(L27="","",L27)</f>
        <v xml:space="preserve">DANCE KATTHAK </v>
      </c>
      <c r="AC54" s="17" t="str">
        <f>IFERROR(VLOOKUP(ROWS($AB$4:AB54),$AA$4:$AB$66,2,0),"")</f>
        <v xml:space="preserve">DANCE KATTHAK </v>
      </c>
    </row>
    <row r="55" spans="27:29" hidden="1">
      <c r="AA55" s="17">
        <f>IF(ISNUMBER(SEARCH($AC$2,AB55)),MAX($AA$3:AA54)+1,0)</f>
        <v>52</v>
      </c>
      <c r="AB55" s="17" t="str">
        <f t="shared" ref="AB55:AB65" si="4">IF(L28="","",L28)</f>
        <v>DRAWING</v>
      </c>
      <c r="AC55" s="17" t="str">
        <f>IFERROR(VLOOKUP(ROWS($AB$4:AB55),$AA$4:$AB$66,2,0),"")</f>
        <v>DRAWING</v>
      </c>
    </row>
    <row r="56" spans="27:29" hidden="1">
      <c r="AA56" s="17">
        <f>IF(ISNUMBER(SEARCH($AC$2,AB56)),MAX($AA$3:AA55)+1,0)</f>
        <v>53</v>
      </c>
      <c r="AB56" s="17" t="str">
        <f t="shared" si="4"/>
        <v>MUSIC INSTR. DILRUBA</v>
      </c>
      <c r="AC56" s="17" t="str">
        <f>IFERROR(VLOOKUP(ROWS($AB$4:AB56),$AA$4:$AB$66,2,0),"")</f>
        <v>MUSIC INSTR. DILRUBA</v>
      </c>
    </row>
    <row r="57" spans="27:29" hidden="1">
      <c r="AA57" s="17">
        <f>IF(ISNUMBER(SEARCH($AC$2,AB57)),MAX($AA$3:AA56)+1,0)</f>
        <v>54</v>
      </c>
      <c r="AB57" s="17" t="str">
        <f t="shared" si="4"/>
        <v>MUSIC INSTR. FLUTE</v>
      </c>
      <c r="AC57" s="17" t="str">
        <f>IFERROR(VLOOKUP(ROWS($AB$4:AB57),$AA$4:$AB$66,2,0),"")</f>
        <v>MUSIC INSTR. FLUTE</v>
      </c>
    </row>
    <row r="58" spans="27:29" hidden="1">
      <c r="AA58" s="17">
        <f>IF(ISNUMBER(SEARCH($AC$2,AB58)),MAX($AA$3:AA57)+1,0)</f>
        <v>55</v>
      </c>
      <c r="AB58" s="17" t="str">
        <f t="shared" si="4"/>
        <v>MUSIC INSTR. FLUTE</v>
      </c>
      <c r="AC58" s="17" t="str">
        <f>IFERROR(VLOOKUP(ROWS($AB$4:AB58),$AA$4:$AB$66,2,0),"")</f>
        <v>MUSIC INSTR. FLUTE</v>
      </c>
    </row>
    <row r="59" spans="27:29" hidden="1">
      <c r="AA59" s="17">
        <f>IF(ISNUMBER(SEARCH($AC$2,AB59)),MAX($AA$3:AA58)+1,0)</f>
        <v>56</v>
      </c>
      <c r="AB59" s="17" t="str">
        <f t="shared" si="4"/>
        <v>MUSIC INSTR. GUITAR</v>
      </c>
      <c r="AC59" s="17" t="str">
        <f>IFERROR(VLOOKUP(ROWS($AB$4:AB59),$AA$4:$AB$66,2,0),"")</f>
        <v>MUSIC INSTR. GUITAR</v>
      </c>
    </row>
    <row r="60" spans="27:29" hidden="1">
      <c r="AA60" s="17">
        <f>IF(ISNUMBER(SEARCH($AC$2,AB60)),MAX($AA$3:AA59)+1,0)</f>
        <v>57</v>
      </c>
      <c r="AB60" s="17" t="str">
        <f t="shared" si="4"/>
        <v>MUSIC INSTR. PKHAAVAJ</v>
      </c>
      <c r="AC60" s="17" t="str">
        <f>IFERROR(VLOOKUP(ROWS($AB$4:AB60),$AA$4:$AB$66,2,0),"")</f>
        <v>MUSIC INSTR. PKHAAVAJ</v>
      </c>
    </row>
    <row r="61" spans="27:29" hidden="1">
      <c r="AA61" s="17">
        <f>IF(ISNUMBER(SEARCH($AC$2,AB61)),MAX($AA$3:AA60)+1,0)</f>
        <v>58</v>
      </c>
      <c r="AB61" s="17" t="str">
        <f t="shared" si="4"/>
        <v>MUSIC INSTR. SAROD</v>
      </c>
      <c r="AC61" s="17" t="str">
        <f>IFERROR(VLOOKUP(ROWS($AB$4:AB61),$AA$4:$AB$66,2,0),"")</f>
        <v>MUSIC INSTR. SAROD</v>
      </c>
    </row>
    <row r="62" spans="27:29" hidden="1">
      <c r="AA62" s="17">
        <f>IF(ISNUMBER(SEARCH($AC$2,AB62)),MAX($AA$3:AA61)+1,0)</f>
        <v>59</v>
      </c>
      <c r="AB62" s="17" t="str">
        <f t="shared" si="4"/>
        <v>MUSIC INSTR. SITARA</v>
      </c>
      <c r="AC62" s="17" t="str">
        <f>IFERROR(VLOOKUP(ROWS($AB$4:AB62),$AA$4:$AB$66,2,0),"")</f>
        <v>MUSIC INSTR. SITARA</v>
      </c>
    </row>
    <row r="63" spans="27:29" hidden="1">
      <c r="AA63" s="17">
        <f>IF(ISNUMBER(SEARCH($AC$2,AB63)),MAX($AA$3:AA62)+1,0)</f>
        <v>60</v>
      </c>
      <c r="AB63" s="17" t="str">
        <f t="shared" si="4"/>
        <v>MUSIC INSTR. TABLA</v>
      </c>
      <c r="AC63" s="17" t="str">
        <f>IFERROR(VLOOKUP(ROWS($AB$4:AB63),$AA$4:$AB$66,2,0),"")</f>
        <v>MUSIC INSTR. TABLA</v>
      </c>
    </row>
    <row r="64" spans="27:29" hidden="1">
      <c r="AA64" s="17">
        <f>IF(ISNUMBER(SEARCH($AC$2,AB64)),MAX($AA$3:AA63)+1,0)</f>
        <v>61</v>
      </c>
      <c r="AB64" s="17" t="str">
        <f>IF(L37="","",L37)</f>
        <v xml:space="preserve">MUSIC VOCAL </v>
      </c>
      <c r="AC64" s="17" t="str">
        <f>IFERROR(VLOOKUP(ROWS($AB$4:AB64),$AA$4:$AB$66,2,0),"")</f>
        <v xml:space="preserve">MUSIC VOCAL </v>
      </c>
    </row>
    <row r="65" spans="27:29" hidden="1">
      <c r="AA65" s="17">
        <f>IF(ISNUMBER(SEARCH($AC$2,AB65)),MAX($AA$3:AA64)+1,0)</f>
        <v>0</v>
      </c>
      <c r="AB65" s="17" t="str">
        <f t="shared" si="4"/>
        <v/>
      </c>
      <c r="AC65" s="17" t="str">
        <f>IFERROR(VLOOKUP(ROWS($AB$4:AB65),$AA$4:$AB$66,2,0),"")</f>
        <v/>
      </c>
    </row>
    <row r="66" spans="27:29" hidden="1">
      <c r="AA66" s="17">
        <f>IF(ISNUMBER(SEARCH($AC$2,AB66)),MAX($AA$3:AA65)+1,0)</f>
        <v>0</v>
      </c>
      <c r="AB66" s="17" t="str">
        <f>IF(Q37="","",Q37)</f>
        <v/>
      </c>
      <c r="AC66" s="17" t="str">
        <f>IFERROR(VLOOKUP(ROWS($AB$4:AB66),$AA$4:$AB$66,2,0),"")</f>
        <v/>
      </c>
    </row>
    <row r="67" spans="27:29" hidden="1">
      <c r="AB67" s="17" t="str">
        <f>IF(Q38="","",Q38)</f>
        <v/>
      </c>
      <c r="AC67" s="17" t="str">
        <f>IFERROR(VLOOKUP(ROWS($AB$4:AB67),$AA$4:$AB$66,2,0),"")</f>
        <v/>
      </c>
    </row>
  </sheetData>
  <sheetProtection password="C1FB" sheet="1" formatCells="0" formatColumns="0" formatRows="0"/>
  <protectedRanges>
    <protectedRange sqref="F6:G21" name="Range12"/>
    <protectedRange sqref="D4:D5" name="Range11"/>
    <protectedRange sqref="D17" name="Range12_1"/>
    <protectedRange sqref="D6:D16 D18:D19" name="Range12_1_1"/>
  </protectedRanges>
  <mergeCells count="20">
    <mergeCell ref="D35:D36"/>
    <mergeCell ref="D37:D38"/>
    <mergeCell ref="D27:D28"/>
    <mergeCell ref="G31:G32"/>
    <mergeCell ref="D29:D30"/>
    <mergeCell ref="D31:D32"/>
    <mergeCell ref="D33:D34"/>
    <mergeCell ref="R2:S2"/>
    <mergeCell ref="T2:U2"/>
    <mergeCell ref="G29:H29"/>
    <mergeCell ref="G27:H27"/>
    <mergeCell ref="M25:N25"/>
    <mergeCell ref="O25:P25"/>
    <mergeCell ref="R18:S18"/>
    <mergeCell ref="T18:U18"/>
    <mergeCell ref="R25:T25"/>
    <mergeCell ref="M2:N2"/>
    <mergeCell ref="H4:H5"/>
    <mergeCell ref="G4:G5"/>
    <mergeCell ref="O2:P2"/>
  </mergeCells>
  <dataValidations xWindow="607" yWindow="683" count="5">
    <dataValidation type="list" allowBlank="1" showInputMessage="1" sqref="G8:G19">
      <formula1>Subject</formula1>
    </dataValidation>
    <dataValidation allowBlank="1" showErrorMessage="1" sqref="G6:G7"/>
    <dataValidation type="list" allowBlank="1" showInputMessage="1" showErrorMessage="1" sqref="D19">
      <formula1>"Yes, No"</formula1>
    </dataValidation>
    <dataValidation type="list" allowBlank="1" showInputMessage="1" showErrorMessage="1" sqref="D11">
      <formula1>"Hindi, English"</formula1>
    </dataValidation>
    <dataValidation type="list" allowBlank="1" showInputMessage="1" sqref="AC2">
      <formula1>OFFSET($AC$4,,,COUNTIF($AC$4:AC66,"?*"))</formula1>
    </dataValidation>
  </dataValidations>
  <hyperlinks>
    <hyperlink ref="G29" r:id="rId1"/>
    <hyperlink ref="D37" r:id="rId2"/>
    <hyperlink ref="C2" r:id="rId3"/>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sheetPr codeName="Sheet4"/>
  <dimension ref="A1:AV376"/>
  <sheetViews>
    <sheetView showGridLines="0" workbookViewId="0">
      <selection activeCell="P5" sqref="P5"/>
    </sheetView>
  </sheetViews>
  <sheetFormatPr defaultColWidth="0" defaultRowHeight="15" zeroHeight="1"/>
  <cols>
    <col min="1" max="1" width="6.625" style="116" customWidth="1"/>
    <col min="2" max="2" width="8.125" style="116" customWidth="1"/>
    <col min="3" max="3" width="9.5" style="116" customWidth="1"/>
    <col min="4" max="4" width="10.625" style="116" customWidth="1"/>
    <col min="5" max="5" width="9.125" style="116" customWidth="1"/>
    <col min="6" max="6" width="22.75" style="116" customWidth="1"/>
    <col min="7" max="7" width="19.75" style="116" customWidth="1"/>
    <col min="8" max="8" width="19.875" style="116" customWidth="1"/>
    <col min="9" max="9" width="14" style="116" customWidth="1"/>
    <col min="10" max="10" width="8.625" style="116" customWidth="1"/>
    <col min="11" max="11" width="10" style="116" customWidth="1"/>
    <col min="12" max="12" width="10.625" style="116" customWidth="1"/>
    <col min="13" max="13" width="10.75" style="116" customWidth="1"/>
    <col min="14" max="14" width="12.625" style="116" customWidth="1"/>
    <col min="15" max="17" width="9.125" style="116" customWidth="1"/>
    <col min="18" max="48" width="0" style="116" hidden="1" customWidth="1"/>
    <col min="49" max="16384" width="9.125" style="116" hidden="1"/>
  </cols>
  <sheetData>
    <row r="1" spans="1:17" ht="57" customHeight="1">
      <c r="A1" s="113"/>
      <c r="B1" s="961" t="str">
        <f>IF('Master Sheet'!D11="Hindi",CONCATENATE("विद्यालय का नाम :-","  ",'Master Sheet'!D8),CONCATENATE("School Name :-","  ",'Master Sheet'!D7))</f>
        <v xml:space="preserve">विद्यालय का नाम :-  महात्मा गाँधी राजकीय विद्यालय (अंग्रेजी माध्यम) बर, पाली </v>
      </c>
      <c r="C1" s="961"/>
      <c r="D1" s="961"/>
      <c r="E1" s="961"/>
      <c r="F1" s="961"/>
      <c r="G1" s="961"/>
      <c r="H1" s="961"/>
      <c r="I1" s="961"/>
      <c r="J1" s="961"/>
      <c r="K1" s="961"/>
      <c r="L1" s="959" t="s">
        <v>233</v>
      </c>
      <c r="M1" s="959"/>
      <c r="N1" s="114" t="s">
        <v>235</v>
      </c>
      <c r="O1" s="115"/>
      <c r="P1" s="115"/>
      <c r="Q1" s="115"/>
    </row>
    <row r="2" spans="1:17" ht="47.25" customHeight="1">
      <c r="A2" s="117" t="s">
        <v>251</v>
      </c>
      <c r="B2" s="117" t="s">
        <v>0</v>
      </c>
      <c r="C2" s="118" t="s">
        <v>2</v>
      </c>
      <c r="D2" s="118" t="s">
        <v>3</v>
      </c>
      <c r="E2" s="118" t="s">
        <v>250</v>
      </c>
      <c r="F2" s="118" t="s">
        <v>203</v>
      </c>
      <c r="G2" s="118" t="s">
        <v>204</v>
      </c>
      <c r="H2" s="118" t="s">
        <v>205</v>
      </c>
      <c r="I2" s="118" t="s">
        <v>249</v>
      </c>
      <c r="J2" s="118" t="s">
        <v>4</v>
      </c>
      <c r="K2" s="118" t="s">
        <v>5</v>
      </c>
      <c r="L2" s="962" t="s">
        <v>144</v>
      </c>
      <c r="M2" s="963"/>
      <c r="N2" s="960" t="s">
        <v>8</v>
      </c>
      <c r="O2" s="115"/>
      <c r="P2" s="115"/>
      <c r="Q2" s="115"/>
    </row>
    <row r="3" spans="1:17" ht="51" customHeight="1">
      <c r="A3" s="119" t="s">
        <v>232</v>
      </c>
      <c r="B3" s="119" t="s">
        <v>260</v>
      </c>
      <c r="C3" s="119" t="s">
        <v>194</v>
      </c>
      <c r="D3" s="119" t="s">
        <v>195</v>
      </c>
      <c r="E3" s="119" t="s">
        <v>196</v>
      </c>
      <c r="F3" s="119" t="s">
        <v>197</v>
      </c>
      <c r="G3" s="119" t="s">
        <v>198</v>
      </c>
      <c r="H3" s="119" t="s">
        <v>199</v>
      </c>
      <c r="I3" s="119" t="s">
        <v>201</v>
      </c>
      <c r="J3" s="119" t="s">
        <v>200</v>
      </c>
      <c r="K3" s="119" t="s">
        <v>202</v>
      </c>
      <c r="L3" s="120" t="s">
        <v>206</v>
      </c>
      <c r="M3" s="121" t="s">
        <v>207</v>
      </c>
      <c r="N3" s="960"/>
      <c r="O3" s="115"/>
      <c r="P3" s="115"/>
      <c r="Q3" s="115"/>
    </row>
    <row r="4" spans="1:17" ht="69.95" customHeight="1">
      <c r="A4" s="512">
        <v>1</v>
      </c>
      <c r="B4" s="512">
        <v>1101</v>
      </c>
      <c r="C4" s="520">
        <v>11</v>
      </c>
      <c r="D4" s="520" t="s">
        <v>6</v>
      </c>
      <c r="E4" s="520">
        <v>230</v>
      </c>
      <c r="F4" s="521" t="s">
        <v>6</v>
      </c>
      <c r="G4" s="521" t="s">
        <v>263</v>
      </c>
      <c r="H4" s="521" t="s">
        <v>272</v>
      </c>
      <c r="I4" s="524">
        <v>37622</v>
      </c>
      <c r="J4" s="533" t="s">
        <v>272</v>
      </c>
      <c r="K4" s="523" t="s">
        <v>277</v>
      </c>
      <c r="L4" s="522">
        <v>350</v>
      </c>
      <c r="M4" s="96">
        <v>340</v>
      </c>
      <c r="N4" s="97"/>
      <c r="O4" s="115"/>
      <c r="P4" s="115"/>
      <c r="Q4" s="115"/>
    </row>
    <row r="5" spans="1:17" ht="69.95" customHeight="1">
      <c r="A5" s="512">
        <v>2</v>
      </c>
      <c r="B5" s="512">
        <v>1102</v>
      </c>
      <c r="C5" s="520">
        <v>11</v>
      </c>
      <c r="D5" s="520" t="s">
        <v>6</v>
      </c>
      <c r="E5" s="520">
        <v>231</v>
      </c>
      <c r="F5" s="521" t="s">
        <v>45</v>
      </c>
      <c r="G5" s="521" t="s">
        <v>264</v>
      </c>
      <c r="H5" s="521" t="s">
        <v>270</v>
      </c>
      <c r="I5" s="524">
        <v>38090</v>
      </c>
      <c r="J5" s="533" t="s">
        <v>272</v>
      </c>
      <c r="K5" s="523" t="s">
        <v>276</v>
      </c>
      <c r="L5" s="95">
        <v>360</v>
      </c>
      <c r="M5" s="96">
        <v>344</v>
      </c>
      <c r="N5" s="97"/>
      <c r="O5" s="115"/>
      <c r="P5" s="115"/>
      <c r="Q5" s="115"/>
    </row>
    <row r="6" spans="1:17" ht="69.95" customHeight="1">
      <c r="A6" s="512">
        <v>3</v>
      </c>
      <c r="B6" s="512">
        <v>1103</v>
      </c>
      <c r="C6" s="520">
        <v>11</v>
      </c>
      <c r="D6" s="520" t="s">
        <v>6</v>
      </c>
      <c r="E6" s="520">
        <v>555</v>
      </c>
      <c r="F6" s="521" t="s">
        <v>77</v>
      </c>
      <c r="G6" s="521" t="s">
        <v>265</v>
      </c>
      <c r="H6" s="521" t="s">
        <v>271</v>
      </c>
      <c r="I6" s="524">
        <v>38414</v>
      </c>
      <c r="J6" s="533" t="s">
        <v>7</v>
      </c>
      <c r="K6" s="523" t="s">
        <v>280</v>
      </c>
      <c r="L6" s="95">
        <v>370</v>
      </c>
      <c r="M6" s="96">
        <v>346</v>
      </c>
      <c r="N6" s="97"/>
      <c r="O6" s="115"/>
      <c r="P6" s="115"/>
      <c r="Q6" s="115"/>
    </row>
    <row r="7" spans="1:17" ht="69.95" customHeight="1">
      <c r="A7" s="512">
        <v>4</v>
      </c>
      <c r="B7" s="512">
        <v>1104</v>
      </c>
      <c r="C7" s="520">
        <v>11</v>
      </c>
      <c r="D7" s="520" t="s">
        <v>6</v>
      </c>
      <c r="E7" s="520">
        <v>444</v>
      </c>
      <c r="F7" s="521" t="s">
        <v>73</v>
      </c>
      <c r="G7" s="521" t="s">
        <v>266</v>
      </c>
      <c r="H7" s="521" t="s">
        <v>273</v>
      </c>
      <c r="I7" s="524">
        <v>38874</v>
      </c>
      <c r="J7" s="533" t="s">
        <v>272</v>
      </c>
      <c r="K7" s="523" t="s">
        <v>279</v>
      </c>
      <c r="L7" s="95">
        <v>340</v>
      </c>
      <c r="M7" s="96">
        <v>330</v>
      </c>
      <c r="N7" s="97"/>
      <c r="O7" s="115"/>
      <c r="P7" s="115"/>
      <c r="Q7" s="115"/>
    </row>
    <row r="8" spans="1:17" ht="69.95" customHeight="1">
      <c r="A8" s="512">
        <v>5</v>
      </c>
      <c r="B8" s="512">
        <v>1105</v>
      </c>
      <c r="C8" s="520">
        <v>11</v>
      </c>
      <c r="D8" s="520" t="s">
        <v>6</v>
      </c>
      <c r="E8" s="520">
        <v>333</v>
      </c>
      <c r="F8" s="521" t="s">
        <v>217</v>
      </c>
      <c r="G8" s="521" t="s">
        <v>267</v>
      </c>
      <c r="H8" s="521" t="s">
        <v>274</v>
      </c>
      <c r="I8" s="524">
        <v>39270</v>
      </c>
      <c r="J8" s="533" t="s">
        <v>7</v>
      </c>
      <c r="K8" s="523" t="s">
        <v>278</v>
      </c>
      <c r="L8" s="95">
        <v>320</v>
      </c>
      <c r="M8" s="96">
        <v>318</v>
      </c>
      <c r="N8" s="97"/>
      <c r="O8" s="115"/>
      <c r="P8" s="115"/>
      <c r="Q8" s="115"/>
    </row>
    <row r="9" spans="1:17" ht="69.95" customHeight="1">
      <c r="A9" s="512">
        <v>6</v>
      </c>
      <c r="B9" s="512">
        <v>1106</v>
      </c>
      <c r="C9" s="520">
        <v>11</v>
      </c>
      <c r="D9" s="520" t="s">
        <v>6</v>
      </c>
      <c r="E9" s="520">
        <v>666</v>
      </c>
      <c r="F9" s="521" t="s">
        <v>7</v>
      </c>
      <c r="G9" s="521" t="s">
        <v>268</v>
      </c>
      <c r="H9" s="521" t="s">
        <v>275</v>
      </c>
      <c r="I9" s="524">
        <v>39668</v>
      </c>
      <c r="J9" s="533" t="s">
        <v>272</v>
      </c>
      <c r="K9" s="523" t="s">
        <v>276</v>
      </c>
      <c r="L9" s="95">
        <v>320</v>
      </c>
      <c r="M9" s="96">
        <v>310</v>
      </c>
      <c r="N9" s="97"/>
      <c r="O9" s="115"/>
      <c r="P9" s="115"/>
      <c r="Q9" s="115"/>
    </row>
    <row r="10" spans="1:17" ht="69.95" customHeight="1">
      <c r="A10" s="512">
        <v>7</v>
      </c>
      <c r="B10" s="512">
        <v>1107</v>
      </c>
      <c r="C10" s="520">
        <v>11</v>
      </c>
      <c r="D10" s="520" t="s">
        <v>6</v>
      </c>
      <c r="E10" s="520">
        <v>222</v>
      </c>
      <c r="F10" s="521" t="s">
        <v>112</v>
      </c>
      <c r="G10" s="521" t="s">
        <v>269</v>
      </c>
      <c r="H10" s="521" t="s">
        <v>68</v>
      </c>
      <c r="I10" s="524">
        <v>40065</v>
      </c>
      <c r="J10" s="533" t="s">
        <v>272</v>
      </c>
      <c r="K10" s="523" t="s">
        <v>277</v>
      </c>
      <c r="L10" s="95">
        <v>380</v>
      </c>
      <c r="M10" s="96">
        <v>370</v>
      </c>
      <c r="N10" s="97"/>
      <c r="O10" s="115"/>
      <c r="P10" s="115"/>
      <c r="Q10" s="115"/>
    </row>
    <row r="11" spans="1:17" ht="69.95" customHeight="1">
      <c r="A11" s="512">
        <v>8</v>
      </c>
      <c r="B11" s="512">
        <v>1108</v>
      </c>
      <c r="C11" s="520">
        <v>11</v>
      </c>
      <c r="D11" s="520" t="s">
        <v>6</v>
      </c>
      <c r="E11" s="520">
        <v>123</v>
      </c>
      <c r="F11" s="521" t="s">
        <v>271</v>
      </c>
      <c r="G11" s="521" t="s">
        <v>275</v>
      </c>
      <c r="H11" s="521" t="s">
        <v>74</v>
      </c>
      <c r="I11" s="524">
        <v>39763</v>
      </c>
      <c r="J11" s="533" t="s">
        <v>272</v>
      </c>
      <c r="K11" s="523" t="s">
        <v>276</v>
      </c>
      <c r="L11" s="95">
        <v>360</v>
      </c>
      <c r="M11" s="96">
        <v>330</v>
      </c>
      <c r="N11" s="97"/>
      <c r="O11" s="115"/>
      <c r="P11" s="115"/>
      <c r="Q11" s="115"/>
    </row>
    <row r="12" spans="1:17" ht="69.95" customHeight="1">
      <c r="A12" s="512">
        <v>9</v>
      </c>
      <c r="B12" s="512">
        <v>1109</v>
      </c>
      <c r="C12" s="520">
        <v>11</v>
      </c>
      <c r="D12" s="520" t="s">
        <v>6</v>
      </c>
      <c r="E12" s="520">
        <v>345</v>
      </c>
      <c r="F12" s="521" t="s">
        <v>273</v>
      </c>
      <c r="G12" s="521" t="s">
        <v>273</v>
      </c>
      <c r="H12" s="521" t="s">
        <v>270</v>
      </c>
      <c r="I12" s="524">
        <v>40795</v>
      </c>
      <c r="J12" s="533" t="s">
        <v>7</v>
      </c>
      <c r="K12" s="523" t="s">
        <v>280</v>
      </c>
      <c r="L12" s="95">
        <v>340</v>
      </c>
      <c r="M12" s="96">
        <v>330</v>
      </c>
      <c r="N12" s="97"/>
      <c r="O12" s="115"/>
      <c r="P12" s="115"/>
      <c r="Q12" s="115"/>
    </row>
    <row r="13" spans="1:17" ht="69.95" customHeight="1">
      <c r="A13" s="512">
        <v>10</v>
      </c>
      <c r="B13" s="512">
        <v>1110</v>
      </c>
      <c r="C13" s="520">
        <v>11</v>
      </c>
      <c r="D13" s="520" t="s">
        <v>6</v>
      </c>
      <c r="E13" s="520">
        <v>678</v>
      </c>
      <c r="F13" s="521" t="s">
        <v>68</v>
      </c>
      <c r="G13" s="521" t="s">
        <v>272</v>
      </c>
      <c r="H13" s="521" t="s">
        <v>45</v>
      </c>
      <c r="I13" s="524">
        <v>38841</v>
      </c>
      <c r="J13" s="533" t="s">
        <v>272</v>
      </c>
      <c r="K13" s="523" t="s">
        <v>281</v>
      </c>
      <c r="L13" s="95">
        <v>330</v>
      </c>
      <c r="M13" s="96">
        <v>310</v>
      </c>
      <c r="N13" s="97"/>
      <c r="O13" s="115"/>
      <c r="P13" s="115"/>
      <c r="Q13" s="115"/>
    </row>
    <row r="14" spans="1:17" ht="69.95" customHeight="1">
      <c r="A14" s="512">
        <v>11</v>
      </c>
      <c r="B14" s="512">
        <v>1111</v>
      </c>
      <c r="C14" s="520">
        <v>11</v>
      </c>
      <c r="D14" s="520" t="s">
        <v>6</v>
      </c>
      <c r="E14" s="520">
        <v>654</v>
      </c>
      <c r="F14" s="521" t="s">
        <v>272</v>
      </c>
      <c r="G14" s="521" t="s">
        <v>270</v>
      </c>
      <c r="H14" s="521" t="s">
        <v>6</v>
      </c>
      <c r="I14" s="524">
        <v>39635</v>
      </c>
      <c r="J14" s="533" t="s">
        <v>272</v>
      </c>
      <c r="K14" s="523" t="s">
        <v>278</v>
      </c>
      <c r="L14" s="95">
        <v>370</v>
      </c>
      <c r="M14" s="96">
        <v>360</v>
      </c>
      <c r="N14" s="97"/>
      <c r="O14" s="115"/>
      <c r="P14" s="115"/>
      <c r="Q14" s="115"/>
    </row>
    <row r="15" spans="1:17" ht="69.95" customHeight="1">
      <c r="A15" s="512">
        <v>12</v>
      </c>
      <c r="B15" s="512"/>
      <c r="C15" s="520"/>
      <c r="D15" s="520"/>
      <c r="E15" s="520"/>
      <c r="F15" s="521"/>
      <c r="G15" s="521"/>
      <c r="H15" s="521"/>
      <c r="I15" s="524"/>
      <c r="J15" s="533"/>
      <c r="K15" s="523"/>
      <c r="L15" s="95"/>
      <c r="M15" s="96"/>
      <c r="N15" s="97"/>
      <c r="O15" s="115"/>
      <c r="P15" s="115"/>
      <c r="Q15" s="115"/>
    </row>
    <row r="16" spans="1:17" ht="69.95" customHeight="1">
      <c r="A16" s="512">
        <v>13</v>
      </c>
      <c r="B16" s="512"/>
      <c r="C16" s="520"/>
      <c r="D16" s="520"/>
      <c r="E16" s="520"/>
      <c r="F16" s="521"/>
      <c r="G16" s="521"/>
      <c r="H16" s="521"/>
      <c r="I16" s="524"/>
      <c r="J16" s="533"/>
      <c r="K16" s="523"/>
      <c r="L16" s="95"/>
      <c r="M16" s="96"/>
      <c r="N16" s="97"/>
      <c r="O16" s="115"/>
      <c r="P16" s="115"/>
      <c r="Q16" s="115"/>
    </row>
    <row r="17" spans="1:17" ht="69.95" customHeight="1">
      <c r="A17" s="512">
        <v>14</v>
      </c>
      <c r="B17" s="512"/>
      <c r="C17" s="520"/>
      <c r="D17" s="520"/>
      <c r="E17" s="520"/>
      <c r="F17" s="521"/>
      <c r="G17" s="521"/>
      <c r="H17" s="521"/>
      <c r="I17" s="524"/>
      <c r="J17" s="533"/>
      <c r="K17" s="523"/>
      <c r="L17" s="95"/>
      <c r="M17" s="96"/>
      <c r="N17" s="97"/>
      <c r="O17" s="115"/>
      <c r="P17" s="115"/>
      <c r="Q17" s="115"/>
    </row>
    <row r="18" spans="1:17" ht="69.95" customHeight="1">
      <c r="A18" s="512">
        <v>15</v>
      </c>
      <c r="B18" s="512"/>
      <c r="C18" s="520"/>
      <c r="D18" s="520"/>
      <c r="E18" s="520"/>
      <c r="F18" s="521"/>
      <c r="G18" s="521"/>
      <c r="H18" s="521"/>
      <c r="I18" s="524"/>
      <c r="J18" s="533"/>
      <c r="K18" s="523"/>
      <c r="L18" s="95"/>
      <c r="M18" s="96"/>
      <c r="N18" s="97"/>
      <c r="O18" s="115"/>
      <c r="P18" s="115"/>
      <c r="Q18" s="115"/>
    </row>
    <row r="19" spans="1:17" ht="69.95" customHeight="1">
      <c r="A19" s="512">
        <v>16</v>
      </c>
      <c r="B19" s="512"/>
      <c r="C19" s="520"/>
      <c r="D19" s="520"/>
      <c r="E19" s="520"/>
      <c r="F19" s="521"/>
      <c r="G19" s="521"/>
      <c r="H19" s="521"/>
      <c r="I19" s="524"/>
      <c r="J19" s="533"/>
      <c r="K19" s="523"/>
      <c r="L19" s="95"/>
      <c r="M19" s="96"/>
      <c r="N19" s="97"/>
      <c r="O19" s="115"/>
      <c r="P19" s="115"/>
      <c r="Q19" s="115"/>
    </row>
    <row r="20" spans="1:17" ht="69.95" customHeight="1">
      <c r="A20" s="512">
        <v>17</v>
      </c>
      <c r="B20" s="512"/>
      <c r="C20" s="520"/>
      <c r="D20" s="520"/>
      <c r="E20" s="520"/>
      <c r="F20" s="521"/>
      <c r="G20" s="521"/>
      <c r="H20" s="521"/>
      <c r="I20" s="524"/>
      <c r="J20" s="533"/>
      <c r="K20" s="523"/>
      <c r="L20" s="95"/>
      <c r="M20" s="96"/>
      <c r="N20" s="97"/>
      <c r="O20" s="115"/>
      <c r="P20" s="115"/>
      <c r="Q20" s="115"/>
    </row>
    <row r="21" spans="1:17" ht="69.95" customHeight="1">
      <c r="A21" s="512">
        <v>18</v>
      </c>
      <c r="B21" s="512"/>
      <c r="C21" s="520"/>
      <c r="D21" s="520"/>
      <c r="E21" s="520"/>
      <c r="F21" s="521"/>
      <c r="G21" s="521"/>
      <c r="H21" s="521"/>
      <c r="I21" s="524"/>
      <c r="J21" s="533"/>
      <c r="K21" s="523"/>
      <c r="L21" s="95"/>
      <c r="M21" s="96"/>
      <c r="N21" s="97"/>
      <c r="O21" s="115"/>
      <c r="P21" s="115"/>
      <c r="Q21" s="115"/>
    </row>
    <row r="22" spans="1:17" ht="69.95" customHeight="1">
      <c r="A22" s="512">
        <v>19</v>
      </c>
      <c r="B22" s="512"/>
      <c r="C22" s="520"/>
      <c r="D22" s="520"/>
      <c r="E22" s="520"/>
      <c r="F22" s="521"/>
      <c r="G22" s="521"/>
      <c r="H22" s="521"/>
      <c r="I22" s="524"/>
      <c r="J22" s="533"/>
      <c r="K22" s="523"/>
      <c r="L22" s="95"/>
      <c r="M22" s="96"/>
      <c r="N22" s="97"/>
      <c r="O22" s="115"/>
      <c r="P22" s="115"/>
      <c r="Q22" s="115"/>
    </row>
    <row r="23" spans="1:17" ht="69.95" customHeight="1">
      <c r="A23" s="512">
        <v>20</v>
      </c>
      <c r="B23" s="512"/>
      <c r="C23" s="520"/>
      <c r="D23" s="520"/>
      <c r="E23" s="520"/>
      <c r="F23" s="521"/>
      <c r="G23" s="521"/>
      <c r="H23" s="521"/>
      <c r="I23" s="524"/>
      <c r="J23" s="533"/>
      <c r="K23" s="523"/>
      <c r="L23" s="95"/>
      <c r="M23" s="96"/>
      <c r="N23" s="97"/>
      <c r="O23" s="115"/>
      <c r="P23" s="115"/>
      <c r="Q23" s="115"/>
    </row>
    <row r="24" spans="1:17" ht="69.95" customHeight="1">
      <c r="A24" s="512">
        <v>21</v>
      </c>
      <c r="B24" s="512"/>
      <c r="C24" s="520"/>
      <c r="D24" s="520"/>
      <c r="E24" s="520"/>
      <c r="F24" s="521"/>
      <c r="G24" s="521"/>
      <c r="H24" s="521"/>
      <c r="I24" s="524"/>
      <c r="J24" s="533"/>
      <c r="K24" s="523"/>
      <c r="L24" s="95"/>
      <c r="M24" s="96"/>
      <c r="N24" s="97"/>
      <c r="O24" s="115"/>
      <c r="P24" s="115"/>
      <c r="Q24" s="115"/>
    </row>
    <row r="25" spans="1:17" ht="69.95" customHeight="1">
      <c r="A25" s="512">
        <v>22</v>
      </c>
      <c r="B25" s="512"/>
      <c r="C25" s="520"/>
      <c r="D25" s="520"/>
      <c r="E25" s="520"/>
      <c r="F25" s="521"/>
      <c r="G25" s="521"/>
      <c r="H25" s="521"/>
      <c r="I25" s="524"/>
      <c r="J25" s="533"/>
      <c r="K25" s="523"/>
      <c r="L25" s="95"/>
      <c r="M25" s="96"/>
      <c r="N25" s="97"/>
      <c r="O25" s="115"/>
      <c r="P25" s="115"/>
      <c r="Q25" s="115"/>
    </row>
    <row r="26" spans="1:17" ht="69.95" customHeight="1">
      <c r="A26" s="512">
        <v>23</v>
      </c>
      <c r="B26" s="512"/>
      <c r="C26" s="520"/>
      <c r="D26" s="520"/>
      <c r="E26" s="520"/>
      <c r="F26" s="521"/>
      <c r="G26" s="521"/>
      <c r="H26" s="521"/>
      <c r="I26" s="524"/>
      <c r="J26" s="533"/>
      <c r="K26" s="523"/>
      <c r="L26" s="95"/>
      <c r="M26" s="96"/>
      <c r="N26" s="97"/>
      <c r="O26" s="115"/>
      <c r="P26" s="115"/>
      <c r="Q26" s="115"/>
    </row>
    <row r="27" spans="1:17" ht="69.95" customHeight="1">
      <c r="A27" s="512">
        <v>24</v>
      </c>
      <c r="B27" s="512"/>
      <c r="C27" s="520"/>
      <c r="D27" s="520"/>
      <c r="E27" s="520"/>
      <c r="F27" s="521"/>
      <c r="G27" s="521"/>
      <c r="H27" s="521"/>
      <c r="I27" s="524"/>
      <c r="J27" s="533"/>
      <c r="K27" s="523"/>
      <c r="L27" s="95"/>
      <c r="M27" s="96"/>
      <c r="N27" s="97"/>
      <c r="O27" s="115"/>
      <c r="P27" s="115"/>
      <c r="Q27" s="115"/>
    </row>
    <row r="28" spans="1:17" ht="69.95" customHeight="1">
      <c r="A28" s="512">
        <v>25</v>
      </c>
      <c r="B28" s="512"/>
      <c r="C28" s="520"/>
      <c r="D28" s="520"/>
      <c r="E28" s="520"/>
      <c r="F28" s="521"/>
      <c r="G28" s="521"/>
      <c r="H28" s="521"/>
      <c r="I28" s="524"/>
      <c r="J28" s="533"/>
      <c r="K28" s="523"/>
      <c r="L28" s="95"/>
      <c r="M28" s="96"/>
      <c r="N28" s="97"/>
      <c r="O28" s="115"/>
      <c r="P28" s="115"/>
      <c r="Q28" s="115"/>
    </row>
    <row r="29" spans="1:17" ht="69.95" customHeight="1">
      <c r="A29" s="512">
        <v>26</v>
      </c>
      <c r="B29" s="512"/>
      <c r="C29" s="520"/>
      <c r="D29" s="520"/>
      <c r="E29" s="520"/>
      <c r="F29" s="521"/>
      <c r="G29" s="521"/>
      <c r="H29" s="521"/>
      <c r="I29" s="524"/>
      <c r="J29" s="533"/>
      <c r="K29" s="523"/>
      <c r="L29" s="95"/>
      <c r="M29" s="96"/>
      <c r="N29" s="97"/>
      <c r="O29" s="115"/>
      <c r="P29" s="115"/>
      <c r="Q29" s="115"/>
    </row>
    <row r="30" spans="1:17" ht="69.95" customHeight="1">
      <c r="A30" s="512">
        <v>27</v>
      </c>
      <c r="B30" s="512"/>
      <c r="C30" s="520"/>
      <c r="D30" s="520"/>
      <c r="E30" s="520"/>
      <c r="F30" s="521"/>
      <c r="G30" s="521"/>
      <c r="H30" s="521"/>
      <c r="I30" s="524"/>
      <c r="J30" s="533"/>
      <c r="K30" s="523"/>
      <c r="L30" s="95"/>
      <c r="M30" s="96"/>
      <c r="N30" s="97"/>
      <c r="O30" s="115"/>
      <c r="P30" s="115"/>
      <c r="Q30" s="115"/>
    </row>
    <row r="31" spans="1:17" ht="69.95" customHeight="1">
      <c r="A31" s="512">
        <v>28</v>
      </c>
      <c r="B31" s="512"/>
      <c r="C31" s="520"/>
      <c r="D31" s="520"/>
      <c r="E31" s="520"/>
      <c r="F31" s="521"/>
      <c r="G31" s="521"/>
      <c r="H31" s="521"/>
      <c r="I31" s="524"/>
      <c r="J31" s="533"/>
      <c r="K31" s="523"/>
      <c r="L31" s="95"/>
      <c r="M31" s="96"/>
      <c r="N31" s="97"/>
      <c r="O31" s="115"/>
      <c r="P31" s="115"/>
      <c r="Q31" s="115"/>
    </row>
    <row r="32" spans="1:17" ht="69.95" customHeight="1">
      <c r="A32" s="512">
        <v>29</v>
      </c>
      <c r="B32" s="512"/>
      <c r="C32" s="520"/>
      <c r="D32" s="520"/>
      <c r="E32" s="520"/>
      <c r="F32" s="521"/>
      <c r="G32" s="521"/>
      <c r="H32" s="521"/>
      <c r="I32" s="524"/>
      <c r="J32" s="533"/>
      <c r="K32" s="523"/>
      <c r="L32" s="95"/>
      <c r="M32" s="96"/>
      <c r="N32" s="97"/>
      <c r="O32" s="115"/>
      <c r="P32" s="115"/>
      <c r="Q32" s="115"/>
    </row>
    <row r="33" spans="1:17" ht="69.95" customHeight="1">
      <c r="A33" s="512">
        <v>30</v>
      </c>
      <c r="B33" s="512"/>
      <c r="C33" s="520"/>
      <c r="D33" s="520"/>
      <c r="E33" s="520"/>
      <c r="F33" s="521"/>
      <c r="G33" s="521"/>
      <c r="H33" s="521"/>
      <c r="I33" s="524"/>
      <c r="J33" s="533"/>
      <c r="K33" s="523"/>
      <c r="L33" s="95"/>
      <c r="M33" s="96"/>
      <c r="N33" s="97"/>
      <c r="O33" s="115"/>
      <c r="P33" s="115"/>
      <c r="Q33" s="115"/>
    </row>
    <row r="34" spans="1:17" ht="69.95" customHeight="1">
      <c r="A34" s="512">
        <v>31</v>
      </c>
      <c r="B34" s="512"/>
      <c r="C34" s="520"/>
      <c r="D34" s="520"/>
      <c r="E34" s="520"/>
      <c r="F34" s="521"/>
      <c r="G34" s="521"/>
      <c r="H34" s="521"/>
      <c r="I34" s="524"/>
      <c r="J34" s="533"/>
      <c r="K34" s="523"/>
      <c r="L34" s="95"/>
      <c r="M34" s="96"/>
      <c r="N34" s="97"/>
      <c r="O34" s="115"/>
      <c r="P34" s="115"/>
      <c r="Q34" s="115"/>
    </row>
    <row r="35" spans="1:17" ht="69.95" customHeight="1">
      <c r="A35" s="512">
        <v>32</v>
      </c>
      <c r="B35" s="512"/>
      <c r="C35" s="520"/>
      <c r="D35" s="520"/>
      <c r="E35" s="520"/>
      <c r="F35" s="521"/>
      <c r="G35" s="521"/>
      <c r="H35" s="521"/>
      <c r="I35" s="524"/>
      <c r="J35" s="533"/>
      <c r="K35" s="523"/>
      <c r="L35" s="95"/>
      <c r="M35" s="96"/>
      <c r="N35" s="97"/>
      <c r="O35" s="115"/>
      <c r="P35" s="115"/>
      <c r="Q35" s="115"/>
    </row>
    <row r="36" spans="1:17" ht="69.95" customHeight="1">
      <c r="A36" s="512">
        <v>33</v>
      </c>
      <c r="B36" s="512"/>
      <c r="C36" s="520"/>
      <c r="D36" s="520"/>
      <c r="E36" s="520"/>
      <c r="F36" s="521"/>
      <c r="G36" s="521"/>
      <c r="H36" s="521"/>
      <c r="I36" s="524"/>
      <c r="J36" s="533"/>
      <c r="K36" s="523"/>
      <c r="L36" s="95"/>
      <c r="M36" s="96"/>
      <c r="N36" s="97"/>
      <c r="O36" s="115"/>
      <c r="P36" s="115"/>
      <c r="Q36" s="115"/>
    </row>
    <row r="37" spans="1:17" ht="69.95" customHeight="1">
      <c r="A37" s="512">
        <v>34</v>
      </c>
      <c r="B37" s="512"/>
      <c r="C37" s="520"/>
      <c r="D37" s="520"/>
      <c r="E37" s="520"/>
      <c r="F37" s="521"/>
      <c r="G37" s="521"/>
      <c r="H37" s="521"/>
      <c r="I37" s="524"/>
      <c r="J37" s="533"/>
      <c r="K37" s="523"/>
      <c r="L37" s="95"/>
      <c r="M37" s="96"/>
      <c r="N37" s="97"/>
      <c r="O37" s="115"/>
      <c r="P37" s="115"/>
      <c r="Q37" s="115"/>
    </row>
    <row r="38" spans="1:17" ht="69.95" customHeight="1">
      <c r="A38" s="512">
        <v>35</v>
      </c>
      <c r="B38" s="512"/>
      <c r="C38" s="520"/>
      <c r="D38" s="520"/>
      <c r="E38" s="520"/>
      <c r="F38" s="521"/>
      <c r="G38" s="521"/>
      <c r="H38" s="521"/>
      <c r="I38" s="524"/>
      <c r="J38" s="533"/>
      <c r="K38" s="523"/>
      <c r="L38" s="95"/>
      <c r="M38" s="96"/>
      <c r="N38" s="97"/>
      <c r="O38" s="115"/>
      <c r="P38" s="115"/>
      <c r="Q38" s="115"/>
    </row>
    <row r="39" spans="1:17" ht="69.95" customHeight="1">
      <c r="A39" s="512">
        <v>36</v>
      </c>
      <c r="B39" s="512"/>
      <c r="C39" s="520"/>
      <c r="D39" s="520"/>
      <c r="E39" s="520"/>
      <c r="F39" s="521"/>
      <c r="G39" s="521"/>
      <c r="H39" s="521"/>
      <c r="I39" s="524"/>
      <c r="J39" s="533"/>
      <c r="K39" s="523"/>
      <c r="L39" s="95"/>
      <c r="M39" s="96"/>
      <c r="N39" s="97"/>
      <c r="O39" s="115"/>
      <c r="P39" s="115"/>
      <c r="Q39" s="115"/>
    </row>
    <row r="40" spans="1:17" ht="69.95" customHeight="1">
      <c r="A40" s="512">
        <v>37</v>
      </c>
      <c r="B40" s="512"/>
      <c r="C40" s="520"/>
      <c r="D40" s="520"/>
      <c r="E40" s="520"/>
      <c r="F40" s="521"/>
      <c r="G40" s="521"/>
      <c r="H40" s="521"/>
      <c r="I40" s="524"/>
      <c r="J40" s="533"/>
      <c r="K40" s="523"/>
      <c r="L40" s="95"/>
      <c r="M40" s="96"/>
      <c r="N40" s="97"/>
      <c r="O40" s="115"/>
      <c r="P40" s="115"/>
      <c r="Q40" s="115"/>
    </row>
    <row r="41" spans="1:17" ht="69.95" customHeight="1">
      <c r="A41" s="512">
        <v>38</v>
      </c>
      <c r="B41" s="512"/>
      <c r="C41" s="520"/>
      <c r="D41" s="520"/>
      <c r="E41" s="520"/>
      <c r="F41" s="521"/>
      <c r="G41" s="521"/>
      <c r="H41" s="521"/>
      <c r="I41" s="524"/>
      <c r="J41" s="533"/>
      <c r="K41" s="523"/>
      <c r="L41" s="95"/>
      <c r="M41" s="96"/>
      <c r="N41" s="97"/>
      <c r="O41" s="115"/>
      <c r="P41" s="115"/>
      <c r="Q41" s="115"/>
    </row>
    <row r="42" spans="1:17" ht="69.95" customHeight="1">
      <c r="A42" s="512">
        <v>39</v>
      </c>
      <c r="B42" s="512"/>
      <c r="C42" s="520"/>
      <c r="D42" s="520"/>
      <c r="E42" s="520"/>
      <c r="F42" s="521"/>
      <c r="G42" s="521"/>
      <c r="H42" s="521"/>
      <c r="I42" s="524"/>
      <c r="J42" s="533"/>
      <c r="K42" s="523"/>
      <c r="L42" s="95"/>
      <c r="M42" s="96"/>
      <c r="N42" s="97"/>
      <c r="O42" s="115"/>
      <c r="P42" s="115"/>
      <c r="Q42" s="115"/>
    </row>
    <row r="43" spans="1:17" ht="69.95" customHeight="1">
      <c r="A43" s="512">
        <v>40</v>
      </c>
      <c r="B43" s="512"/>
      <c r="C43" s="520"/>
      <c r="D43" s="520"/>
      <c r="E43" s="520"/>
      <c r="F43" s="521"/>
      <c r="G43" s="521"/>
      <c r="H43" s="521"/>
      <c r="I43" s="524"/>
      <c r="J43" s="533"/>
      <c r="K43" s="523"/>
      <c r="L43" s="95"/>
      <c r="M43" s="96"/>
      <c r="N43" s="97"/>
      <c r="O43" s="115"/>
      <c r="P43" s="115"/>
      <c r="Q43" s="115"/>
    </row>
    <row r="44" spans="1:17" ht="69.95" customHeight="1">
      <c r="A44" s="512">
        <v>41</v>
      </c>
      <c r="B44" s="512"/>
      <c r="C44" s="520"/>
      <c r="D44" s="520"/>
      <c r="E44" s="520"/>
      <c r="F44" s="521"/>
      <c r="G44" s="521"/>
      <c r="H44" s="521"/>
      <c r="I44" s="524"/>
      <c r="J44" s="533"/>
      <c r="K44" s="523"/>
      <c r="L44" s="95"/>
      <c r="M44" s="96"/>
      <c r="N44" s="97"/>
      <c r="O44" s="115"/>
      <c r="P44" s="115"/>
      <c r="Q44" s="115"/>
    </row>
    <row r="45" spans="1:17" ht="69.95" customHeight="1">
      <c r="A45" s="512">
        <v>42</v>
      </c>
      <c r="B45" s="512"/>
      <c r="C45" s="520"/>
      <c r="D45" s="520"/>
      <c r="E45" s="520"/>
      <c r="F45" s="521"/>
      <c r="G45" s="521"/>
      <c r="H45" s="521"/>
      <c r="I45" s="524"/>
      <c r="J45" s="533"/>
      <c r="K45" s="523"/>
      <c r="L45" s="95"/>
      <c r="M45" s="96"/>
      <c r="N45" s="97"/>
      <c r="O45" s="115"/>
      <c r="P45" s="115"/>
      <c r="Q45" s="115"/>
    </row>
    <row r="46" spans="1:17" ht="69.95" customHeight="1">
      <c r="A46" s="512">
        <v>43</v>
      </c>
      <c r="B46" s="512"/>
      <c r="C46" s="520"/>
      <c r="D46" s="520"/>
      <c r="E46" s="520"/>
      <c r="F46" s="521"/>
      <c r="G46" s="521"/>
      <c r="H46" s="521"/>
      <c r="I46" s="524"/>
      <c r="J46" s="533"/>
      <c r="K46" s="523"/>
      <c r="L46" s="95"/>
      <c r="M46" s="96"/>
      <c r="N46" s="97"/>
      <c r="O46" s="115"/>
      <c r="P46" s="115"/>
      <c r="Q46" s="115"/>
    </row>
    <row r="47" spans="1:17" ht="69.95" customHeight="1">
      <c r="A47" s="512">
        <v>44</v>
      </c>
      <c r="B47" s="512"/>
      <c r="C47" s="520"/>
      <c r="D47" s="520"/>
      <c r="E47" s="520"/>
      <c r="F47" s="521"/>
      <c r="G47" s="521"/>
      <c r="H47" s="521"/>
      <c r="I47" s="524"/>
      <c r="J47" s="533"/>
      <c r="K47" s="523"/>
      <c r="L47" s="95"/>
      <c r="M47" s="96"/>
      <c r="N47" s="97"/>
      <c r="O47" s="115"/>
      <c r="P47" s="115"/>
      <c r="Q47" s="115"/>
    </row>
    <row r="48" spans="1:17" ht="69.95" customHeight="1">
      <c r="A48" s="512">
        <v>45</v>
      </c>
      <c r="B48" s="512"/>
      <c r="C48" s="520"/>
      <c r="D48" s="520"/>
      <c r="E48" s="520"/>
      <c r="F48" s="521"/>
      <c r="G48" s="521"/>
      <c r="H48" s="521"/>
      <c r="I48" s="524"/>
      <c r="J48" s="533"/>
      <c r="K48" s="523"/>
      <c r="L48" s="95"/>
      <c r="M48" s="96"/>
      <c r="N48" s="97"/>
      <c r="O48" s="115"/>
      <c r="P48" s="115"/>
      <c r="Q48" s="115"/>
    </row>
    <row r="49" spans="1:17" ht="69.95" customHeight="1">
      <c r="A49" s="512">
        <v>46</v>
      </c>
      <c r="B49" s="512"/>
      <c r="C49" s="520"/>
      <c r="D49" s="520"/>
      <c r="E49" s="520"/>
      <c r="F49" s="521"/>
      <c r="G49" s="521"/>
      <c r="H49" s="521"/>
      <c r="I49" s="524"/>
      <c r="J49" s="533"/>
      <c r="K49" s="523"/>
      <c r="L49" s="95"/>
      <c r="M49" s="96"/>
      <c r="N49" s="97"/>
      <c r="O49" s="115"/>
      <c r="P49" s="115"/>
      <c r="Q49" s="115"/>
    </row>
    <row r="50" spans="1:17" ht="69.95" customHeight="1">
      <c r="A50" s="512">
        <v>47</v>
      </c>
      <c r="B50" s="512"/>
      <c r="C50" s="520"/>
      <c r="D50" s="520"/>
      <c r="E50" s="520"/>
      <c r="F50" s="521"/>
      <c r="G50" s="521"/>
      <c r="H50" s="521"/>
      <c r="I50" s="524"/>
      <c r="J50" s="533"/>
      <c r="K50" s="523"/>
      <c r="L50" s="95"/>
      <c r="M50" s="96"/>
      <c r="N50" s="97"/>
      <c r="O50" s="115"/>
      <c r="P50" s="115"/>
      <c r="Q50" s="115"/>
    </row>
    <row r="51" spans="1:17" ht="69.95" customHeight="1">
      <c r="A51" s="512">
        <v>48</v>
      </c>
      <c r="B51" s="512"/>
      <c r="C51" s="520"/>
      <c r="D51" s="520"/>
      <c r="E51" s="520"/>
      <c r="F51" s="521"/>
      <c r="G51" s="521"/>
      <c r="H51" s="521"/>
      <c r="I51" s="524"/>
      <c r="J51" s="533"/>
      <c r="K51" s="523"/>
      <c r="L51" s="95"/>
      <c r="M51" s="96"/>
      <c r="N51" s="97"/>
      <c r="O51" s="115"/>
      <c r="P51" s="115"/>
      <c r="Q51" s="115"/>
    </row>
    <row r="52" spans="1:17" ht="69.95" customHeight="1">
      <c r="A52" s="512">
        <v>49</v>
      </c>
      <c r="B52" s="512"/>
      <c r="C52" s="520"/>
      <c r="D52" s="520"/>
      <c r="E52" s="520"/>
      <c r="F52" s="521"/>
      <c r="G52" s="521"/>
      <c r="H52" s="521"/>
      <c r="I52" s="524"/>
      <c r="J52" s="533"/>
      <c r="K52" s="523"/>
      <c r="L52" s="95"/>
      <c r="M52" s="96"/>
      <c r="N52" s="97"/>
      <c r="O52" s="115"/>
      <c r="P52" s="115"/>
      <c r="Q52" s="115"/>
    </row>
    <row r="53" spans="1:17" ht="69.95" customHeight="1">
      <c r="A53" s="512">
        <v>50</v>
      </c>
      <c r="B53" s="512"/>
      <c r="C53" s="520"/>
      <c r="D53" s="520"/>
      <c r="E53" s="520"/>
      <c r="F53" s="521"/>
      <c r="G53" s="521"/>
      <c r="H53" s="521"/>
      <c r="I53" s="524"/>
      <c r="J53" s="533"/>
      <c r="K53" s="523"/>
      <c r="L53" s="95"/>
      <c r="M53" s="96"/>
      <c r="N53" s="97"/>
      <c r="O53" s="115"/>
      <c r="P53" s="115"/>
      <c r="Q53" s="115"/>
    </row>
    <row r="54" spans="1:17" ht="69.95" customHeight="1">
      <c r="A54" s="512">
        <v>51</v>
      </c>
      <c r="B54" s="512"/>
      <c r="C54" s="520"/>
      <c r="D54" s="520"/>
      <c r="E54" s="520"/>
      <c r="F54" s="521"/>
      <c r="G54" s="521"/>
      <c r="H54" s="521"/>
      <c r="I54" s="524"/>
      <c r="J54" s="533"/>
      <c r="K54" s="523"/>
      <c r="L54" s="95"/>
      <c r="M54" s="96"/>
      <c r="N54" s="97"/>
      <c r="O54" s="115"/>
      <c r="P54" s="115"/>
      <c r="Q54" s="115"/>
    </row>
    <row r="55" spans="1:17" ht="69.95" customHeight="1">
      <c r="A55" s="512">
        <v>52</v>
      </c>
      <c r="B55" s="512"/>
      <c r="C55" s="520"/>
      <c r="D55" s="520"/>
      <c r="E55" s="520"/>
      <c r="F55" s="521"/>
      <c r="G55" s="521"/>
      <c r="H55" s="521"/>
      <c r="I55" s="524"/>
      <c r="J55" s="533"/>
      <c r="K55" s="523"/>
      <c r="L55" s="95"/>
      <c r="M55" s="96"/>
      <c r="N55" s="97"/>
      <c r="O55" s="115"/>
      <c r="P55" s="115"/>
      <c r="Q55" s="115"/>
    </row>
    <row r="56" spans="1:17" ht="69.95" customHeight="1">
      <c r="A56" s="512">
        <v>53</v>
      </c>
      <c r="B56" s="512"/>
      <c r="C56" s="520"/>
      <c r="D56" s="520"/>
      <c r="E56" s="520"/>
      <c r="F56" s="521"/>
      <c r="G56" s="521"/>
      <c r="H56" s="521"/>
      <c r="I56" s="524"/>
      <c r="J56" s="533"/>
      <c r="K56" s="523"/>
      <c r="L56" s="95"/>
      <c r="M56" s="96"/>
      <c r="N56" s="97"/>
      <c r="O56" s="115"/>
      <c r="P56" s="115"/>
      <c r="Q56" s="115"/>
    </row>
    <row r="57" spans="1:17" ht="69.95" customHeight="1">
      <c r="A57" s="512">
        <v>54</v>
      </c>
      <c r="B57" s="512"/>
      <c r="C57" s="520"/>
      <c r="D57" s="520"/>
      <c r="E57" s="520"/>
      <c r="F57" s="521"/>
      <c r="G57" s="521"/>
      <c r="H57" s="521"/>
      <c r="I57" s="524"/>
      <c r="J57" s="533"/>
      <c r="K57" s="523"/>
      <c r="L57" s="95"/>
      <c r="M57" s="96"/>
      <c r="N57" s="97"/>
      <c r="O57" s="115"/>
      <c r="P57" s="115"/>
      <c r="Q57" s="115"/>
    </row>
    <row r="58" spans="1:17" ht="69.95" customHeight="1">
      <c r="A58" s="512">
        <v>55</v>
      </c>
      <c r="B58" s="512"/>
      <c r="C58" s="520"/>
      <c r="D58" s="520"/>
      <c r="E58" s="520"/>
      <c r="F58" s="521"/>
      <c r="G58" s="521"/>
      <c r="H58" s="521"/>
      <c r="I58" s="524"/>
      <c r="J58" s="533"/>
      <c r="K58" s="523"/>
      <c r="L58" s="95"/>
      <c r="M58" s="96"/>
      <c r="N58" s="97"/>
      <c r="O58" s="115"/>
      <c r="P58" s="115"/>
      <c r="Q58" s="115"/>
    </row>
    <row r="59" spans="1:17" ht="69.95" customHeight="1">
      <c r="A59" s="512">
        <v>56</v>
      </c>
      <c r="B59" s="512"/>
      <c r="C59" s="520"/>
      <c r="D59" s="520"/>
      <c r="E59" s="520"/>
      <c r="F59" s="521"/>
      <c r="G59" s="521"/>
      <c r="H59" s="521"/>
      <c r="I59" s="524"/>
      <c r="J59" s="533"/>
      <c r="K59" s="523"/>
      <c r="L59" s="95"/>
      <c r="M59" s="96"/>
      <c r="N59" s="97"/>
      <c r="O59" s="115"/>
      <c r="P59" s="115"/>
      <c r="Q59" s="115"/>
    </row>
    <row r="60" spans="1:17" ht="69.95" customHeight="1">
      <c r="A60" s="512">
        <v>57</v>
      </c>
      <c r="B60" s="512"/>
      <c r="C60" s="520"/>
      <c r="D60" s="520"/>
      <c r="E60" s="520"/>
      <c r="F60" s="521"/>
      <c r="G60" s="521"/>
      <c r="H60" s="521"/>
      <c r="I60" s="524"/>
      <c r="J60" s="533"/>
      <c r="K60" s="523"/>
      <c r="L60" s="95"/>
      <c r="M60" s="96"/>
      <c r="N60" s="97"/>
      <c r="O60" s="115"/>
      <c r="P60" s="115"/>
      <c r="Q60" s="115"/>
    </row>
    <row r="61" spans="1:17" ht="69.95" customHeight="1">
      <c r="A61" s="512">
        <v>58</v>
      </c>
      <c r="B61" s="512"/>
      <c r="C61" s="520"/>
      <c r="D61" s="520"/>
      <c r="E61" s="520"/>
      <c r="F61" s="521"/>
      <c r="G61" s="521"/>
      <c r="H61" s="521"/>
      <c r="I61" s="524"/>
      <c r="J61" s="533"/>
      <c r="K61" s="523"/>
      <c r="L61" s="95"/>
      <c r="M61" s="96"/>
      <c r="N61" s="97"/>
      <c r="O61" s="115"/>
      <c r="P61" s="115"/>
      <c r="Q61" s="115"/>
    </row>
    <row r="62" spans="1:17" ht="69.95" customHeight="1">
      <c r="A62" s="512">
        <v>59</v>
      </c>
      <c r="B62" s="512"/>
      <c r="C62" s="520"/>
      <c r="D62" s="520"/>
      <c r="E62" s="520"/>
      <c r="F62" s="521"/>
      <c r="G62" s="521"/>
      <c r="H62" s="521"/>
      <c r="I62" s="524"/>
      <c r="J62" s="533"/>
      <c r="K62" s="523"/>
      <c r="L62" s="95"/>
      <c r="M62" s="96"/>
      <c r="N62" s="97"/>
      <c r="O62" s="115"/>
      <c r="P62" s="115"/>
      <c r="Q62" s="115"/>
    </row>
    <row r="63" spans="1:17" ht="69.95" customHeight="1">
      <c r="A63" s="512">
        <v>60</v>
      </c>
      <c r="B63" s="512"/>
      <c r="C63" s="520"/>
      <c r="D63" s="520"/>
      <c r="E63" s="520"/>
      <c r="F63" s="521"/>
      <c r="G63" s="521"/>
      <c r="H63" s="521"/>
      <c r="I63" s="524"/>
      <c r="J63" s="533"/>
      <c r="K63" s="523"/>
      <c r="L63" s="95"/>
      <c r="M63" s="96"/>
      <c r="N63" s="97"/>
      <c r="O63" s="115"/>
      <c r="P63" s="115"/>
      <c r="Q63" s="115"/>
    </row>
    <row r="64" spans="1:17" ht="69.95" customHeight="1">
      <c r="A64" s="512">
        <v>61</v>
      </c>
      <c r="B64" s="512"/>
      <c r="C64" s="520"/>
      <c r="D64" s="520"/>
      <c r="E64" s="520"/>
      <c r="F64" s="521"/>
      <c r="G64" s="521"/>
      <c r="H64" s="521"/>
      <c r="I64" s="524"/>
      <c r="J64" s="533"/>
      <c r="K64" s="523"/>
      <c r="L64" s="95"/>
      <c r="M64" s="96"/>
      <c r="N64" s="97"/>
      <c r="O64" s="115"/>
      <c r="P64" s="115"/>
      <c r="Q64" s="115"/>
    </row>
    <row r="65" spans="1:17" ht="69.95" customHeight="1">
      <c r="A65" s="512">
        <v>62</v>
      </c>
      <c r="B65" s="512"/>
      <c r="C65" s="520"/>
      <c r="D65" s="520"/>
      <c r="E65" s="520"/>
      <c r="F65" s="521"/>
      <c r="G65" s="521"/>
      <c r="H65" s="521"/>
      <c r="I65" s="524"/>
      <c r="J65" s="533"/>
      <c r="K65" s="523"/>
      <c r="L65" s="95"/>
      <c r="M65" s="96"/>
      <c r="N65" s="97"/>
      <c r="O65" s="115"/>
      <c r="P65" s="115"/>
      <c r="Q65" s="115"/>
    </row>
    <row r="66" spans="1:17" ht="69.95" customHeight="1">
      <c r="A66" s="512">
        <v>63</v>
      </c>
      <c r="B66" s="512"/>
      <c r="C66" s="520"/>
      <c r="D66" s="520"/>
      <c r="E66" s="520"/>
      <c r="F66" s="521"/>
      <c r="G66" s="521"/>
      <c r="H66" s="521"/>
      <c r="I66" s="524"/>
      <c r="J66" s="533"/>
      <c r="K66" s="523"/>
      <c r="L66" s="95"/>
      <c r="M66" s="96"/>
      <c r="N66" s="97"/>
      <c r="O66" s="115"/>
      <c r="P66" s="115"/>
      <c r="Q66" s="115"/>
    </row>
    <row r="67" spans="1:17" ht="69.95" customHeight="1">
      <c r="A67" s="512">
        <v>64</v>
      </c>
      <c r="B67" s="512"/>
      <c r="C67" s="520"/>
      <c r="D67" s="520"/>
      <c r="E67" s="520"/>
      <c r="F67" s="521"/>
      <c r="G67" s="521"/>
      <c r="H67" s="521"/>
      <c r="I67" s="524"/>
      <c r="J67" s="533"/>
      <c r="K67" s="523"/>
      <c r="L67" s="95"/>
      <c r="M67" s="96"/>
      <c r="N67" s="97"/>
      <c r="O67" s="115"/>
      <c r="P67" s="115"/>
      <c r="Q67" s="115"/>
    </row>
    <row r="68" spans="1:17" ht="69.95" customHeight="1">
      <c r="A68" s="512">
        <v>65</v>
      </c>
      <c r="B68" s="512"/>
      <c r="C68" s="520"/>
      <c r="D68" s="520"/>
      <c r="E68" s="520"/>
      <c r="F68" s="521"/>
      <c r="G68" s="521"/>
      <c r="H68" s="521"/>
      <c r="I68" s="524"/>
      <c r="J68" s="533"/>
      <c r="K68" s="523"/>
      <c r="L68" s="95"/>
      <c r="M68" s="96"/>
      <c r="N68" s="97"/>
      <c r="O68" s="115"/>
      <c r="P68" s="115"/>
      <c r="Q68" s="115"/>
    </row>
    <row r="69" spans="1:17" ht="69.95" customHeight="1">
      <c r="A69" s="512">
        <v>66</v>
      </c>
      <c r="B69" s="512"/>
      <c r="C69" s="520"/>
      <c r="D69" s="520"/>
      <c r="E69" s="520"/>
      <c r="F69" s="521"/>
      <c r="G69" s="521"/>
      <c r="H69" s="521"/>
      <c r="I69" s="524"/>
      <c r="J69" s="533"/>
      <c r="K69" s="523"/>
      <c r="L69" s="95"/>
      <c r="M69" s="96"/>
      <c r="N69" s="97"/>
      <c r="O69" s="115"/>
      <c r="P69" s="115"/>
      <c r="Q69" s="115"/>
    </row>
    <row r="70" spans="1:17" ht="69.95" customHeight="1">
      <c r="A70" s="512">
        <v>67</v>
      </c>
      <c r="B70" s="512"/>
      <c r="C70" s="520"/>
      <c r="D70" s="520"/>
      <c r="E70" s="520"/>
      <c r="F70" s="521"/>
      <c r="G70" s="521"/>
      <c r="H70" s="521"/>
      <c r="I70" s="524"/>
      <c r="J70" s="533"/>
      <c r="K70" s="523"/>
      <c r="L70" s="95"/>
      <c r="M70" s="96"/>
      <c r="N70" s="97"/>
      <c r="O70" s="115"/>
      <c r="P70" s="115"/>
      <c r="Q70" s="115"/>
    </row>
    <row r="71" spans="1:17" ht="69.95" customHeight="1">
      <c r="A71" s="512">
        <v>68</v>
      </c>
      <c r="B71" s="512"/>
      <c r="C71" s="520"/>
      <c r="D71" s="520"/>
      <c r="E71" s="520"/>
      <c r="F71" s="521"/>
      <c r="G71" s="521"/>
      <c r="H71" s="521"/>
      <c r="I71" s="524"/>
      <c r="J71" s="533"/>
      <c r="K71" s="523"/>
      <c r="L71" s="95"/>
      <c r="M71" s="96"/>
      <c r="N71" s="97"/>
      <c r="O71" s="115"/>
      <c r="P71" s="115"/>
      <c r="Q71" s="115"/>
    </row>
    <row r="72" spans="1:17" ht="69.95" customHeight="1">
      <c r="A72" s="512">
        <v>69</v>
      </c>
      <c r="B72" s="512"/>
      <c r="C72" s="520"/>
      <c r="D72" s="520"/>
      <c r="E72" s="520"/>
      <c r="F72" s="521"/>
      <c r="G72" s="521"/>
      <c r="H72" s="521"/>
      <c r="I72" s="524"/>
      <c r="J72" s="533"/>
      <c r="K72" s="523"/>
      <c r="L72" s="95"/>
      <c r="M72" s="96"/>
      <c r="N72" s="97"/>
      <c r="O72" s="115"/>
      <c r="P72" s="115"/>
      <c r="Q72" s="115"/>
    </row>
    <row r="73" spans="1:17" ht="69.95" customHeight="1">
      <c r="A73" s="512">
        <v>70</v>
      </c>
      <c r="B73" s="512"/>
      <c r="C73" s="520"/>
      <c r="D73" s="520"/>
      <c r="E73" s="520"/>
      <c r="F73" s="521"/>
      <c r="G73" s="521"/>
      <c r="H73" s="521"/>
      <c r="I73" s="524"/>
      <c r="J73" s="533"/>
      <c r="K73" s="523"/>
      <c r="L73" s="95"/>
      <c r="M73" s="96"/>
      <c r="N73" s="97"/>
      <c r="O73" s="115"/>
      <c r="P73" s="115"/>
      <c r="Q73" s="115"/>
    </row>
    <row r="74" spans="1:17" ht="69.95" customHeight="1">
      <c r="A74" s="512">
        <v>71</v>
      </c>
      <c r="B74" s="512"/>
      <c r="C74" s="520"/>
      <c r="D74" s="520"/>
      <c r="E74" s="520"/>
      <c r="F74" s="521"/>
      <c r="G74" s="521"/>
      <c r="H74" s="521"/>
      <c r="I74" s="524"/>
      <c r="J74" s="533"/>
      <c r="K74" s="523"/>
      <c r="L74" s="95"/>
      <c r="M74" s="96"/>
      <c r="N74" s="97"/>
      <c r="O74" s="115"/>
      <c r="P74" s="115"/>
      <c r="Q74" s="115"/>
    </row>
    <row r="75" spans="1:17" ht="69.95" customHeight="1">
      <c r="A75" s="512">
        <v>72</v>
      </c>
      <c r="B75" s="512"/>
      <c r="C75" s="520"/>
      <c r="D75" s="520"/>
      <c r="E75" s="520"/>
      <c r="F75" s="521"/>
      <c r="G75" s="521"/>
      <c r="H75" s="521"/>
      <c r="I75" s="524"/>
      <c r="J75" s="533"/>
      <c r="K75" s="523"/>
      <c r="L75" s="95"/>
      <c r="M75" s="96"/>
      <c r="N75" s="97"/>
      <c r="O75" s="115"/>
      <c r="P75" s="115"/>
      <c r="Q75" s="115"/>
    </row>
    <row r="76" spans="1:17" ht="69.95" customHeight="1">
      <c r="A76" s="512">
        <v>73</v>
      </c>
      <c r="B76" s="512"/>
      <c r="C76" s="520"/>
      <c r="D76" s="520"/>
      <c r="E76" s="520"/>
      <c r="F76" s="521"/>
      <c r="G76" s="521"/>
      <c r="H76" s="521"/>
      <c r="I76" s="524"/>
      <c r="J76" s="533"/>
      <c r="K76" s="523"/>
      <c r="L76" s="95"/>
      <c r="M76" s="96"/>
      <c r="N76" s="97"/>
      <c r="O76" s="115"/>
      <c r="P76" s="115"/>
      <c r="Q76" s="115"/>
    </row>
    <row r="77" spans="1:17" ht="69.95" customHeight="1">
      <c r="A77" s="512">
        <v>74</v>
      </c>
      <c r="B77" s="512"/>
      <c r="C77" s="520"/>
      <c r="D77" s="520"/>
      <c r="E77" s="520"/>
      <c r="F77" s="521"/>
      <c r="G77" s="521"/>
      <c r="H77" s="521"/>
      <c r="I77" s="524"/>
      <c r="J77" s="533"/>
      <c r="K77" s="523"/>
      <c r="L77" s="95"/>
      <c r="M77" s="96"/>
      <c r="N77" s="97"/>
      <c r="O77" s="115"/>
      <c r="P77" s="115"/>
      <c r="Q77" s="115"/>
    </row>
    <row r="78" spans="1:17" ht="69.95" customHeight="1">
      <c r="A78" s="512">
        <v>75</v>
      </c>
      <c r="B78" s="512"/>
      <c r="C78" s="520"/>
      <c r="D78" s="520"/>
      <c r="E78" s="520"/>
      <c r="F78" s="521"/>
      <c r="G78" s="521"/>
      <c r="H78" s="521"/>
      <c r="I78" s="524"/>
      <c r="J78" s="533"/>
      <c r="K78" s="523"/>
      <c r="L78" s="95"/>
      <c r="M78" s="96"/>
      <c r="N78" s="97"/>
      <c r="O78" s="115"/>
      <c r="P78" s="115"/>
      <c r="Q78" s="115"/>
    </row>
    <row r="79" spans="1:17" ht="69.95" customHeight="1">
      <c r="A79" s="512">
        <v>76</v>
      </c>
      <c r="B79" s="512"/>
      <c r="C79" s="520"/>
      <c r="D79" s="520"/>
      <c r="E79" s="520"/>
      <c r="F79" s="521"/>
      <c r="G79" s="521"/>
      <c r="H79" s="521"/>
      <c r="I79" s="524"/>
      <c r="J79" s="533"/>
      <c r="K79" s="523"/>
      <c r="L79" s="95"/>
      <c r="M79" s="96"/>
      <c r="N79" s="97"/>
      <c r="O79" s="115"/>
      <c r="P79" s="115"/>
      <c r="Q79" s="115"/>
    </row>
    <row r="80" spans="1:17" ht="69.95" customHeight="1">
      <c r="A80" s="512">
        <v>77</v>
      </c>
      <c r="B80" s="512"/>
      <c r="C80" s="520"/>
      <c r="D80" s="520"/>
      <c r="E80" s="520"/>
      <c r="F80" s="521"/>
      <c r="G80" s="521"/>
      <c r="H80" s="521"/>
      <c r="I80" s="524"/>
      <c r="J80" s="533"/>
      <c r="K80" s="523"/>
      <c r="L80" s="95"/>
      <c r="M80" s="96"/>
      <c r="N80" s="97"/>
      <c r="O80" s="115"/>
      <c r="P80" s="115"/>
      <c r="Q80" s="115"/>
    </row>
    <row r="81" spans="1:17" ht="69.95" customHeight="1">
      <c r="A81" s="512">
        <v>78</v>
      </c>
      <c r="B81" s="512"/>
      <c r="C81" s="520"/>
      <c r="D81" s="520"/>
      <c r="E81" s="520"/>
      <c r="F81" s="521"/>
      <c r="G81" s="521"/>
      <c r="H81" s="521"/>
      <c r="I81" s="524"/>
      <c r="J81" s="533"/>
      <c r="K81" s="523"/>
      <c r="L81" s="95"/>
      <c r="M81" s="96"/>
      <c r="N81" s="97"/>
      <c r="O81" s="115"/>
      <c r="P81" s="115"/>
      <c r="Q81" s="115"/>
    </row>
    <row r="82" spans="1:17" ht="69.95" customHeight="1">
      <c r="A82" s="512">
        <v>79</v>
      </c>
      <c r="B82" s="512"/>
      <c r="C82" s="520"/>
      <c r="D82" s="520"/>
      <c r="E82" s="520"/>
      <c r="F82" s="521"/>
      <c r="G82" s="521"/>
      <c r="H82" s="521"/>
      <c r="I82" s="524"/>
      <c r="J82" s="533"/>
      <c r="K82" s="523"/>
      <c r="L82" s="95"/>
      <c r="M82" s="96"/>
      <c r="N82" s="97"/>
      <c r="O82" s="115"/>
      <c r="P82" s="115"/>
      <c r="Q82" s="115"/>
    </row>
    <row r="83" spans="1:17" ht="69.95" customHeight="1">
      <c r="A83" s="512">
        <v>80</v>
      </c>
      <c r="B83" s="512"/>
      <c r="C83" s="520"/>
      <c r="D83" s="520"/>
      <c r="E83" s="520"/>
      <c r="F83" s="521"/>
      <c r="G83" s="521"/>
      <c r="H83" s="521"/>
      <c r="I83" s="524"/>
      <c r="J83" s="533"/>
      <c r="K83" s="523"/>
      <c r="L83" s="95"/>
      <c r="M83" s="96"/>
      <c r="N83" s="97"/>
      <c r="O83" s="115"/>
      <c r="P83" s="115"/>
      <c r="Q83" s="115"/>
    </row>
    <row r="84" spans="1:17" ht="69.95" customHeight="1">
      <c r="A84" s="512">
        <v>81</v>
      </c>
      <c r="B84" s="512"/>
      <c r="C84" s="520"/>
      <c r="D84" s="520"/>
      <c r="E84" s="520"/>
      <c r="F84" s="521"/>
      <c r="G84" s="521"/>
      <c r="H84" s="521"/>
      <c r="I84" s="524"/>
      <c r="J84" s="533"/>
      <c r="K84" s="523"/>
      <c r="L84" s="95"/>
      <c r="M84" s="96"/>
      <c r="N84" s="97"/>
      <c r="O84" s="115"/>
      <c r="P84" s="115"/>
      <c r="Q84" s="115"/>
    </row>
    <row r="85" spans="1:17" ht="69.95" customHeight="1">
      <c r="A85" s="512">
        <v>82</v>
      </c>
      <c r="B85" s="512"/>
      <c r="C85" s="520"/>
      <c r="D85" s="520"/>
      <c r="E85" s="520"/>
      <c r="F85" s="521"/>
      <c r="G85" s="521"/>
      <c r="H85" s="521"/>
      <c r="I85" s="524"/>
      <c r="J85" s="533"/>
      <c r="K85" s="523"/>
      <c r="L85" s="95"/>
      <c r="M85" s="96"/>
      <c r="N85" s="97"/>
      <c r="O85" s="115"/>
      <c r="P85" s="115"/>
      <c r="Q85" s="115"/>
    </row>
    <row r="86" spans="1:17" ht="69.95" customHeight="1">
      <c r="A86" s="512">
        <v>83</v>
      </c>
      <c r="B86" s="512"/>
      <c r="C86" s="520"/>
      <c r="D86" s="520"/>
      <c r="E86" s="520"/>
      <c r="F86" s="521"/>
      <c r="G86" s="521"/>
      <c r="H86" s="521"/>
      <c r="I86" s="524"/>
      <c r="J86" s="533"/>
      <c r="K86" s="523"/>
      <c r="L86" s="95"/>
      <c r="M86" s="96"/>
      <c r="N86" s="97"/>
      <c r="O86" s="115"/>
      <c r="P86" s="115"/>
      <c r="Q86" s="115"/>
    </row>
    <row r="87" spans="1:17" ht="69.95" customHeight="1">
      <c r="A87" s="512">
        <v>84</v>
      </c>
      <c r="B87" s="512"/>
      <c r="C87" s="520"/>
      <c r="D87" s="520"/>
      <c r="E87" s="520"/>
      <c r="F87" s="521"/>
      <c r="G87" s="521"/>
      <c r="H87" s="521"/>
      <c r="I87" s="524"/>
      <c r="J87" s="533"/>
      <c r="K87" s="523"/>
      <c r="L87" s="95"/>
      <c r="M87" s="96"/>
      <c r="N87" s="97"/>
      <c r="O87" s="115"/>
      <c r="P87" s="115"/>
      <c r="Q87" s="115"/>
    </row>
    <row r="88" spans="1:17" ht="69.95" customHeight="1">
      <c r="A88" s="512">
        <v>85</v>
      </c>
      <c r="B88" s="512"/>
      <c r="C88" s="520"/>
      <c r="D88" s="520"/>
      <c r="E88" s="520"/>
      <c r="F88" s="521"/>
      <c r="G88" s="521"/>
      <c r="H88" s="521"/>
      <c r="I88" s="524"/>
      <c r="J88" s="533"/>
      <c r="K88" s="523"/>
      <c r="L88" s="95"/>
      <c r="M88" s="96"/>
      <c r="N88" s="97"/>
      <c r="O88" s="115"/>
      <c r="P88" s="115"/>
      <c r="Q88" s="115"/>
    </row>
    <row r="89" spans="1:17" ht="69.95" customHeight="1">
      <c r="A89" s="512">
        <v>86</v>
      </c>
      <c r="B89" s="512"/>
      <c r="C89" s="520"/>
      <c r="D89" s="520"/>
      <c r="E89" s="520"/>
      <c r="F89" s="521"/>
      <c r="G89" s="521"/>
      <c r="H89" s="521"/>
      <c r="I89" s="524"/>
      <c r="J89" s="533"/>
      <c r="K89" s="523"/>
      <c r="L89" s="95"/>
      <c r="M89" s="96"/>
      <c r="N89" s="97"/>
      <c r="O89" s="115"/>
      <c r="P89" s="115"/>
      <c r="Q89" s="115"/>
    </row>
    <row r="90" spans="1:17" ht="69.95" customHeight="1">
      <c r="A90" s="512">
        <v>87</v>
      </c>
      <c r="B90" s="512"/>
      <c r="C90" s="520"/>
      <c r="D90" s="520"/>
      <c r="E90" s="520"/>
      <c r="F90" s="521"/>
      <c r="G90" s="521"/>
      <c r="H90" s="521"/>
      <c r="I90" s="524"/>
      <c r="J90" s="533"/>
      <c r="K90" s="523"/>
      <c r="L90" s="95"/>
      <c r="M90" s="96"/>
      <c r="N90" s="97"/>
      <c r="O90" s="115"/>
      <c r="P90" s="115"/>
      <c r="Q90" s="115"/>
    </row>
    <row r="91" spans="1:17" ht="69.95" customHeight="1">
      <c r="A91" s="512">
        <v>88</v>
      </c>
      <c r="B91" s="512"/>
      <c r="C91" s="520"/>
      <c r="D91" s="520"/>
      <c r="E91" s="520"/>
      <c r="F91" s="521"/>
      <c r="G91" s="521"/>
      <c r="H91" s="521"/>
      <c r="I91" s="524"/>
      <c r="J91" s="533"/>
      <c r="K91" s="523"/>
      <c r="L91" s="95"/>
      <c r="M91" s="96"/>
      <c r="N91" s="97"/>
      <c r="O91" s="115"/>
      <c r="P91" s="115"/>
      <c r="Q91" s="115"/>
    </row>
    <row r="92" spans="1:17" ht="69.95" customHeight="1">
      <c r="A92" s="512">
        <v>89</v>
      </c>
      <c r="B92" s="512"/>
      <c r="C92" s="520"/>
      <c r="D92" s="520"/>
      <c r="E92" s="520"/>
      <c r="F92" s="521"/>
      <c r="G92" s="521"/>
      <c r="H92" s="521"/>
      <c r="I92" s="524"/>
      <c r="J92" s="533"/>
      <c r="K92" s="523"/>
      <c r="L92" s="95"/>
      <c r="M92" s="96"/>
      <c r="N92" s="97"/>
      <c r="O92" s="115"/>
      <c r="P92" s="115"/>
      <c r="Q92" s="115"/>
    </row>
    <row r="93" spans="1:17" ht="69.95" customHeight="1">
      <c r="A93" s="512">
        <v>90</v>
      </c>
      <c r="B93" s="512"/>
      <c r="C93" s="520"/>
      <c r="D93" s="520"/>
      <c r="E93" s="520"/>
      <c r="F93" s="521"/>
      <c r="G93" s="521"/>
      <c r="H93" s="521"/>
      <c r="I93" s="524"/>
      <c r="J93" s="533"/>
      <c r="K93" s="523"/>
      <c r="L93" s="95"/>
      <c r="M93" s="96"/>
      <c r="N93" s="97"/>
      <c r="O93" s="115"/>
      <c r="P93" s="115"/>
      <c r="Q93" s="115"/>
    </row>
    <row r="94" spans="1:17" ht="69.95" customHeight="1">
      <c r="A94" s="512">
        <v>91</v>
      </c>
      <c r="B94" s="512"/>
      <c r="C94" s="520"/>
      <c r="D94" s="520"/>
      <c r="E94" s="520"/>
      <c r="F94" s="521"/>
      <c r="G94" s="521"/>
      <c r="H94" s="521"/>
      <c r="I94" s="524"/>
      <c r="J94" s="533"/>
      <c r="K94" s="523"/>
      <c r="L94" s="95"/>
      <c r="M94" s="96"/>
      <c r="N94" s="97"/>
      <c r="O94" s="115"/>
      <c r="P94" s="115"/>
      <c r="Q94" s="115"/>
    </row>
    <row r="95" spans="1:17" ht="69.95" customHeight="1">
      <c r="A95" s="512">
        <v>92</v>
      </c>
      <c r="B95" s="512"/>
      <c r="C95" s="520"/>
      <c r="D95" s="520"/>
      <c r="E95" s="520"/>
      <c r="F95" s="521"/>
      <c r="G95" s="521"/>
      <c r="H95" s="521"/>
      <c r="I95" s="524"/>
      <c r="J95" s="533"/>
      <c r="K95" s="523"/>
      <c r="L95" s="95"/>
      <c r="M95" s="96"/>
      <c r="N95" s="97"/>
      <c r="O95" s="115"/>
      <c r="P95" s="115"/>
      <c r="Q95" s="115"/>
    </row>
    <row r="96" spans="1:17" ht="69.95" customHeight="1">
      <c r="A96" s="512">
        <v>93</v>
      </c>
      <c r="B96" s="512"/>
      <c r="C96" s="520"/>
      <c r="D96" s="520"/>
      <c r="E96" s="520"/>
      <c r="F96" s="521"/>
      <c r="G96" s="521"/>
      <c r="H96" s="521"/>
      <c r="I96" s="524"/>
      <c r="J96" s="533"/>
      <c r="K96" s="523"/>
      <c r="L96" s="95"/>
      <c r="M96" s="96"/>
      <c r="N96" s="97"/>
      <c r="O96" s="115"/>
      <c r="P96" s="115"/>
      <c r="Q96" s="115"/>
    </row>
    <row r="97" spans="1:17" ht="69.95" customHeight="1">
      <c r="A97" s="512">
        <v>94</v>
      </c>
      <c r="B97" s="512"/>
      <c r="C97" s="520"/>
      <c r="D97" s="520"/>
      <c r="E97" s="520"/>
      <c r="F97" s="521"/>
      <c r="G97" s="521"/>
      <c r="H97" s="521"/>
      <c r="I97" s="524"/>
      <c r="J97" s="533"/>
      <c r="K97" s="523"/>
      <c r="L97" s="95"/>
      <c r="M97" s="96"/>
      <c r="N97" s="97"/>
      <c r="O97" s="115"/>
      <c r="P97" s="115"/>
      <c r="Q97" s="115"/>
    </row>
    <row r="98" spans="1:17" ht="69.95" customHeight="1">
      <c r="A98" s="512">
        <v>95</v>
      </c>
      <c r="B98" s="512"/>
      <c r="C98" s="520"/>
      <c r="D98" s="520"/>
      <c r="E98" s="520"/>
      <c r="F98" s="521"/>
      <c r="G98" s="521"/>
      <c r="H98" s="521"/>
      <c r="I98" s="524"/>
      <c r="J98" s="533"/>
      <c r="K98" s="523"/>
      <c r="L98" s="95"/>
      <c r="M98" s="96"/>
      <c r="N98" s="97"/>
      <c r="O98" s="115"/>
      <c r="P98" s="115"/>
      <c r="Q98" s="115"/>
    </row>
    <row r="99" spans="1:17" ht="69.95" customHeight="1">
      <c r="A99" s="512">
        <v>96</v>
      </c>
      <c r="B99" s="512"/>
      <c r="C99" s="520"/>
      <c r="D99" s="520"/>
      <c r="E99" s="520"/>
      <c r="F99" s="521"/>
      <c r="G99" s="521"/>
      <c r="H99" s="521"/>
      <c r="I99" s="524"/>
      <c r="J99" s="533"/>
      <c r="K99" s="523"/>
      <c r="L99" s="95"/>
      <c r="M99" s="96"/>
      <c r="N99" s="97"/>
      <c r="O99" s="115"/>
      <c r="P99" s="115"/>
      <c r="Q99" s="115"/>
    </row>
    <row r="100" spans="1:17" ht="69.95" customHeight="1">
      <c r="A100" s="512">
        <v>97</v>
      </c>
      <c r="B100" s="512"/>
      <c r="C100" s="520"/>
      <c r="D100" s="520"/>
      <c r="E100" s="520"/>
      <c r="F100" s="521"/>
      <c r="G100" s="521"/>
      <c r="H100" s="521"/>
      <c r="I100" s="524"/>
      <c r="J100" s="533"/>
      <c r="K100" s="523"/>
      <c r="L100" s="95"/>
      <c r="M100" s="96"/>
      <c r="N100" s="97"/>
      <c r="O100" s="115"/>
      <c r="P100" s="115"/>
      <c r="Q100" s="115"/>
    </row>
    <row r="101" spans="1:17" ht="69.95" customHeight="1">
      <c r="A101" s="512">
        <v>98</v>
      </c>
      <c r="B101" s="512"/>
      <c r="C101" s="520"/>
      <c r="D101" s="520"/>
      <c r="E101" s="520"/>
      <c r="F101" s="521"/>
      <c r="G101" s="521"/>
      <c r="H101" s="521"/>
      <c r="I101" s="524"/>
      <c r="J101" s="533"/>
      <c r="K101" s="523"/>
      <c r="L101" s="95"/>
      <c r="M101" s="96"/>
      <c r="N101" s="97"/>
      <c r="O101" s="115"/>
      <c r="P101" s="115"/>
      <c r="Q101" s="115"/>
    </row>
    <row r="102" spans="1:17" ht="69.95" customHeight="1">
      <c r="A102" s="512">
        <v>99</v>
      </c>
      <c r="B102" s="512"/>
      <c r="C102" s="520"/>
      <c r="D102" s="520"/>
      <c r="E102" s="520"/>
      <c r="F102" s="521"/>
      <c r="G102" s="521"/>
      <c r="H102" s="521"/>
      <c r="I102" s="524"/>
      <c r="J102" s="533"/>
      <c r="K102" s="523"/>
      <c r="L102" s="95"/>
      <c r="M102" s="96"/>
      <c r="N102" s="97"/>
      <c r="O102" s="115"/>
      <c r="P102" s="115"/>
      <c r="Q102" s="115"/>
    </row>
    <row r="103" spans="1:17" ht="69.95" customHeight="1">
      <c r="A103" s="512">
        <v>100</v>
      </c>
      <c r="B103" s="512"/>
      <c r="C103" s="520"/>
      <c r="D103" s="520"/>
      <c r="E103" s="520"/>
      <c r="F103" s="521"/>
      <c r="G103" s="521"/>
      <c r="H103" s="521"/>
      <c r="I103" s="524"/>
      <c r="J103" s="533"/>
      <c r="K103" s="523"/>
      <c r="L103" s="95"/>
      <c r="M103" s="96"/>
      <c r="N103" s="97"/>
      <c r="O103" s="115"/>
      <c r="P103" s="115"/>
      <c r="Q103" s="115"/>
    </row>
    <row r="104" spans="1:17" ht="69.95" customHeight="1">
      <c r="A104" s="512">
        <v>101</v>
      </c>
      <c r="B104" s="512"/>
      <c r="C104" s="520"/>
      <c r="D104" s="520"/>
      <c r="E104" s="520"/>
      <c r="F104" s="521"/>
      <c r="G104" s="521"/>
      <c r="H104" s="521"/>
      <c r="I104" s="524"/>
      <c r="J104" s="533"/>
      <c r="K104" s="523"/>
      <c r="L104" s="95"/>
      <c r="M104" s="96"/>
      <c r="N104" s="97"/>
      <c r="O104" s="115"/>
      <c r="P104" s="115"/>
      <c r="Q104" s="115"/>
    </row>
    <row r="105" spans="1:17" ht="69.95" customHeight="1">
      <c r="A105" s="512">
        <v>102</v>
      </c>
      <c r="B105" s="512"/>
      <c r="C105" s="520"/>
      <c r="D105" s="520"/>
      <c r="E105" s="520"/>
      <c r="F105" s="521"/>
      <c r="G105" s="521"/>
      <c r="H105" s="521"/>
      <c r="I105" s="524"/>
      <c r="J105" s="533"/>
      <c r="K105" s="523"/>
      <c r="L105" s="95"/>
      <c r="M105" s="96"/>
      <c r="N105" s="97"/>
      <c r="O105" s="115"/>
      <c r="P105" s="115"/>
      <c r="Q105" s="115"/>
    </row>
    <row r="106" spans="1:17" ht="69.95" customHeight="1">
      <c r="A106" s="512">
        <v>103</v>
      </c>
      <c r="B106" s="512"/>
      <c r="C106" s="520"/>
      <c r="D106" s="520"/>
      <c r="E106" s="520"/>
      <c r="F106" s="521"/>
      <c r="G106" s="521"/>
      <c r="H106" s="521"/>
      <c r="I106" s="524"/>
      <c r="J106" s="533"/>
      <c r="K106" s="523"/>
      <c r="L106" s="95"/>
      <c r="M106" s="96"/>
      <c r="N106" s="97"/>
      <c r="O106" s="115"/>
      <c r="P106" s="115"/>
      <c r="Q106" s="115"/>
    </row>
    <row r="107" spans="1:17" ht="69.95" customHeight="1">
      <c r="A107" s="512">
        <v>104</v>
      </c>
      <c r="B107" s="512"/>
      <c r="C107" s="520"/>
      <c r="D107" s="520"/>
      <c r="E107" s="520"/>
      <c r="F107" s="521"/>
      <c r="G107" s="521"/>
      <c r="H107" s="521"/>
      <c r="I107" s="524"/>
      <c r="J107" s="533"/>
      <c r="K107" s="523"/>
      <c r="L107" s="95"/>
      <c r="M107" s="96"/>
      <c r="N107" s="97"/>
      <c r="O107" s="115"/>
      <c r="P107" s="115"/>
      <c r="Q107" s="115"/>
    </row>
    <row r="108" spans="1:17" ht="69.95" customHeight="1">
      <c r="A108" s="512">
        <v>105</v>
      </c>
      <c r="B108" s="512"/>
      <c r="C108" s="520"/>
      <c r="D108" s="520"/>
      <c r="E108" s="520"/>
      <c r="F108" s="521"/>
      <c r="G108" s="521"/>
      <c r="H108" s="521"/>
      <c r="I108" s="524"/>
      <c r="J108" s="533"/>
      <c r="K108" s="523"/>
      <c r="L108" s="95"/>
      <c r="M108" s="96"/>
      <c r="N108" s="97"/>
      <c r="O108" s="115"/>
      <c r="P108" s="115"/>
      <c r="Q108" s="115"/>
    </row>
    <row r="109" spans="1:17" ht="69.95" customHeight="1">
      <c r="A109" s="512">
        <v>106</v>
      </c>
      <c r="B109" s="512"/>
      <c r="C109" s="520"/>
      <c r="D109" s="520"/>
      <c r="E109" s="520"/>
      <c r="F109" s="521"/>
      <c r="G109" s="521"/>
      <c r="H109" s="521"/>
      <c r="I109" s="524"/>
      <c r="J109" s="533"/>
      <c r="K109" s="523"/>
      <c r="L109" s="95"/>
      <c r="M109" s="96"/>
      <c r="N109" s="97"/>
      <c r="O109" s="115"/>
      <c r="P109" s="115"/>
      <c r="Q109" s="115"/>
    </row>
    <row r="110" spans="1:17" ht="69.95" customHeight="1">
      <c r="A110" s="512">
        <v>107</v>
      </c>
      <c r="B110" s="512"/>
      <c r="C110" s="520"/>
      <c r="D110" s="520"/>
      <c r="E110" s="520"/>
      <c r="F110" s="521"/>
      <c r="G110" s="521"/>
      <c r="H110" s="521"/>
      <c r="I110" s="524"/>
      <c r="J110" s="533"/>
      <c r="K110" s="523"/>
      <c r="L110" s="95"/>
      <c r="M110" s="96"/>
      <c r="N110" s="97"/>
      <c r="O110" s="115"/>
      <c r="P110" s="115"/>
      <c r="Q110" s="115"/>
    </row>
    <row r="111" spans="1:17" ht="69.95" customHeight="1">
      <c r="A111" s="512">
        <v>108</v>
      </c>
      <c r="B111" s="512"/>
      <c r="C111" s="520"/>
      <c r="D111" s="520"/>
      <c r="E111" s="520"/>
      <c r="F111" s="521"/>
      <c r="G111" s="521"/>
      <c r="H111" s="521"/>
      <c r="I111" s="524"/>
      <c r="J111" s="533"/>
      <c r="K111" s="523"/>
      <c r="L111" s="95"/>
      <c r="M111" s="96"/>
      <c r="N111" s="97"/>
      <c r="O111" s="115"/>
      <c r="P111" s="115"/>
      <c r="Q111" s="115"/>
    </row>
    <row r="112" spans="1:17" ht="69.95" customHeight="1">
      <c r="A112" s="512">
        <v>109</v>
      </c>
      <c r="B112" s="512"/>
      <c r="C112" s="520"/>
      <c r="D112" s="520"/>
      <c r="E112" s="520"/>
      <c r="F112" s="521"/>
      <c r="G112" s="521"/>
      <c r="H112" s="521"/>
      <c r="I112" s="524"/>
      <c r="J112" s="533"/>
      <c r="K112" s="523"/>
      <c r="L112" s="95"/>
      <c r="M112" s="96"/>
      <c r="N112" s="97"/>
      <c r="O112" s="115"/>
      <c r="P112" s="115"/>
      <c r="Q112" s="115"/>
    </row>
    <row r="113" spans="1:17" ht="69.95" customHeight="1">
      <c r="A113" s="512">
        <v>110</v>
      </c>
      <c r="B113" s="512"/>
      <c r="C113" s="520"/>
      <c r="D113" s="520"/>
      <c r="E113" s="520"/>
      <c r="F113" s="521"/>
      <c r="G113" s="521"/>
      <c r="H113" s="521"/>
      <c r="I113" s="524"/>
      <c r="J113" s="533"/>
      <c r="K113" s="523"/>
      <c r="L113" s="95"/>
      <c r="M113" s="96"/>
      <c r="N113" s="97"/>
      <c r="O113" s="115"/>
      <c r="P113" s="115"/>
      <c r="Q113" s="115"/>
    </row>
    <row r="114" spans="1:17" ht="69.95" customHeight="1">
      <c r="A114" s="512">
        <v>111</v>
      </c>
      <c r="B114" s="512"/>
      <c r="C114" s="520"/>
      <c r="D114" s="520"/>
      <c r="E114" s="520"/>
      <c r="F114" s="521"/>
      <c r="G114" s="521"/>
      <c r="H114" s="521"/>
      <c r="I114" s="524"/>
      <c r="J114" s="533"/>
      <c r="K114" s="523"/>
      <c r="L114" s="95"/>
      <c r="M114" s="96"/>
      <c r="N114" s="97"/>
      <c r="O114" s="115"/>
      <c r="P114" s="115"/>
      <c r="Q114" s="115"/>
    </row>
    <row r="115" spans="1:17" ht="69.95" customHeight="1">
      <c r="A115" s="512">
        <v>112</v>
      </c>
      <c r="B115" s="512"/>
      <c r="C115" s="520"/>
      <c r="D115" s="520"/>
      <c r="E115" s="520"/>
      <c r="F115" s="521"/>
      <c r="G115" s="521"/>
      <c r="H115" s="521"/>
      <c r="I115" s="524"/>
      <c r="J115" s="533"/>
      <c r="K115" s="523"/>
      <c r="L115" s="95"/>
      <c r="M115" s="96"/>
      <c r="N115" s="97"/>
      <c r="O115" s="115"/>
      <c r="P115" s="115"/>
      <c r="Q115" s="115"/>
    </row>
    <row r="116" spans="1:17" ht="69.95" customHeight="1">
      <c r="A116" s="512">
        <v>113</v>
      </c>
      <c r="B116" s="512"/>
      <c r="C116" s="520"/>
      <c r="D116" s="520"/>
      <c r="E116" s="520"/>
      <c r="F116" s="521"/>
      <c r="G116" s="521"/>
      <c r="H116" s="521"/>
      <c r="I116" s="524"/>
      <c r="J116" s="533"/>
      <c r="K116" s="523"/>
      <c r="L116" s="95"/>
      <c r="M116" s="96"/>
      <c r="N116" s="97"/>
      <c r="O116" s="115"/>
      <c r="P116" s="115"/>
      <c r="Q116" s="115"/>
    </row>
    <row r="117" spans="1:17" ht="69.95" customHeight="1">
      <c r="A117" s="512">
        <v>114</v>
      </c>
      <c r="B117" s="512"/>
      <c r="C117" s="520"/>
      <c r="D117" s="520"/>
      <c r="E117" s="520"/>
      <c r="F117" s="521"/>
      <c r="G117" s="521"/>
      <c r="H117" s="521"/>
      <c r="I117" s="524"/>
      <c r="J117" s="533"/>
      <c r="K117" s="523"/>
      <c r="L117" s="95"/>
      <c r="M117" s="96"/>
      <c r="N117" s="97"/>
      <c r="O117" s="115"/>
      <c r="P117" s="115"/>
      <c r="Q117" s="115"/>
    </row>
    <row r="118" spans="1:17" ht="69.95" customHeight="1">
      <c r="A118" s="512">
        <v>115</v>
      </c>
      <c r="B118" s="512"/>
      <c r="C118" s="520"/>
      <c r="D118" s="520"/>
      <c r="E118" s="520"/>
      <c r="F118" s="521"/>
      <c r="G118" s="521"/>
      <c r="H118" s="521"/>
      <c r="I118" s="524"/>
      <c r="J118" s="533"/>
      <c r="K118" s="523"/>
      <c r="L118" s="95"/>
      <c r="M118" s="96"/>
      <c r="N118" s="97"/>
      <c r="O118" s="115"/>
      <c r="P118" s="115"/>
      <c r="Q118" s="115"/>
    </row>
    <row r="119" spans="1:17" ht="69.95" customHeight="1">
      <c r="A119" s="512">
        <v>116</v>
      </c>
      <c r="B119" s="512"/>
      <c r="C119" s="520"/>
      <c r="D119" s="520"/>
      <c r="E119" s="520"/>
      <c r="F119" s="521"/>
      <c r="G119" s="521"/>
      <c r="H119" s="521"/>
      <c r="I119" s="524"/>
      <c r="J119" s="533"/>
      <c r="K119" s="523"/>
      <c r="L119" s="95"/>
      <c r="M119" s="96"/>
      <c r="N119" s="97"/>
      <c r="O119" s="115"/>
      <c r="P119" s="115"/>
      <c r="Q119" s="115"/>
    </row>
    <row r="120" spans="1:17" ht="69.95" customHeight="1">
      <c r="A120" s="512">
        <v>117</v>
      </c>
      <c r="B120" s="512"/>
      <c r="C120" s="520"/>
      <c r="D120" s="520"/>
      <c r="E120" s="520"/>
      <c r="F120" s="521"/>
      <c r="G120" s="521"/>
      <c r="H120" s="521"/>
      <c r="I120" s="524"/>
      <c r="J120" s="533"/>
      <c r="K120" s="523"/>
      <c r="L120" s="95"/>
      <c r="M120" s="96"/>
      <c r="N120" s="97"/>
      <c r="O120" s="115"/>
      <c r="P120" s="115"/>
      <c r="Q120" s="115"/>
    </row>
    <row r="121" spans="1:17" ht="69.95" customHeight="1">
      <c r="A121" s="512">
        <v>118</v>
      </c>
      <c r="B121" s="512"/>
      <c r="C121" s="520"/>
      <c r="D121" s="520"/>
      <c r="E121" s="520"/>
      <c r="F121" s="521"/>
      <c r="G121" s="521"/>
      <c r="H121" s="521"/>
      <c r="I121" s="524"/>
      <c r="J121" s="533"/>
      <c r="K121" s="523"/>
      <c r="L121" s="95"/>
      <c r="M121" s="96"/>
      <c r="N121" s="97"/>
      <c r="O121" s="115"/>
      <c r="P121" s="115"/>
      <c r="Q121" s="115"/>
    </row>
    <row r="122" spans="1:17" ht="69.95" customHeight="1">
      <c r="A122" s="512">
        <v>119</v>
      </c>
      <c r="B122" s="512"/>
      <c r="C122" s="520"/>
      <c r="D122" s="520"/>
      <c r="E122" s="520"/>
      <c r="F122" s="521"/>
      <c r="G122" s="521"/>
      <c r="H122" s="521"/>
      <c r="I122" s="524"/>
      <c r="J122" s="533"/>
      <c r="K122" s="523"/>
      <c r="L122" s="95"/>
      <c r="M122" s="96"/>
      <c r="N122" s="97"/>
      <c r="O122" s="115"/>
      <c r="P122" s="115"/>
      <c r="Q122" s="115"/>
    </row>
    <row r="123" spans="1:17" ht="69.95" customHeight="1">
      <c r="A123" s="512">
        <v>120</v>
      </c>
      <c r="B123" s="512"/>
      <c r="C123" s="520"/>
      <c r="D123" s="520"/>
      <c r="E123" s="520"/>
      <c r="F123" s="521"/>
      <c r="G123" s="521"/>
      <c r="H123" s="521"/>
      <c r="I123" s="524"/>
      <c r="J123" s="533"/>
      <c r="K123" s="523"/>
      <c r="L123" s="95"/>
      <c r="M123" s="96"/>
      <c r="N123" s="97"/>
      <c r="O123" s="115"/>
      <c r="P123" s="115"/>
      <c r="Q123" s="115"/>
    </row>
    <row r="124" spans="1:17" ht="69.95" customHeight="1">
      <c r="A124" s="512">
        <v>121</v>
      </c>
      <c r="B124" s="512"/>
      <c r="C124" s="520"/>
      <c r="D124" s="520"/>
      <c r="E124" s="520"/>
      <c r="F124" s="521"/>
      <c r="G124" s="521"/>
      <c r="H124" s="521"/>
      <c r="I124" s="524"/>
      <c r="J124" s="533"/>
      <c r="K124" s="523"/>
      <c r="L124" s="95"/>
      <c r="M124" s="96"/>
      <c r="N124" s="97"/>
      <c r="O124" s="115"/>
      <c r="P124" s="115"/>
      <c r="Q124" s="115"/>
    </row>
    <row r="125" spans="1:17" ht="69.95" customHeight="1">
      <c r="A125" s="512">
        <v>122</v>
      </c>
      <c r="B125" s="512"/>
      <c r="C125" s="520"/>
      <c r="D125" s="520"/>
      <c r="E125" s="520"/>
      <c r="F125" s="521"/>
      <c r="G125" s="521"/>
      <c r="H125" s="521"/>
      <c r="I125" s="524"/>
      <c r="J125" s="533"/>
      <c r="K125" s="523"/>
      <c r="L125" s="95"/>
      <c r="M125" s="96"/>
      <c r="N125" s="97"/>
      <c r="O125" s="115"/>
      <c r="P125" s="115"/>
      <c r="Q125" s="115"/>
    </row>
    <row r="126" spans="1:17" ht="69.95" customHeight="1">
      <c r="A126" s="512">
        <v>123</v>
      </c>
      <c r="B126" s="512"/>
      <c r="C126" s="520"/>
      <c r="D126" s="520"/>
      <c r="E126" s="520"/>
      <c r="F126" s="521"/>
      <c r="G126" s="521"/>
      <c r="H126" s="521"/>
      <c r="I126" s="524"/>
      <c r="J126" s="533"/>
      <c r="K126" s="523"/>
      <c r="L126" s="95"/>
      <c r="M126" s="96"/>
      <c r="N126" s="97"/>
      <c r="O126" s="115"/>
      <c r="P126" s="115"/>
      <c r="Q126" s="115"/>
    </row>
    <row r="127" spans="1:17" ht="69.95" customHeight="1">
      <c r="A127" s="512">
        <v>124</v>
      </c>
      <c r="B127" s="512"/>
      <c r="C127" s="520"/>
      <c r="D127" s="520"/>
      <c r="E127" s="520"/>
      <c r="F127" s="521"/>
      <c r="G127" s="521"/>
      <c r="H127" s="521"/>
      <c r="I127" s="524"/>
      <c r="J127" s="533"/>
      <c r="K127" s="523"/>
      <c r="L127" s="95"/>
      <c r="M127" s="96"/>
      <c r="N127" s="97"/>
      <c r="O127" s="115"/>
      <c r="P127" s="115"/>
      <c r="Q127" s="115"/>
    </row>
    <row r="128" spans="1:17" ht="69.95" customHeight="1">
      <c r="A128" s="512">
        <v>125</v>
      </c>
      <c r="B128" s="512"/>
      <c r="C128" s="520"/>
      <c r="D128" s="520"/>
      <c r="E128" s="520"/>
      <c r="F128" s="521"/>
      <c r="G128" s="521"/>
      <c r="H128" s="521"/>
      <c r="I128" s="524"/>
      <c r="J128" s="533"/>
      <c r="K128" s="523"/>
      <c r="L128" s="95"/>
      <c r="M128" s="96"/>
      <c r="N128" s="97"/>
      <c r="O128" s="115"/>
      <c r="P128" s="115"/>
      <c r="Q128" s="115"/>
    </row>
    <row r="129" spans="1:17" ht="69.95" customHeight="1">
      <c r="A129" s="512">
        <v>126</v>
      </c>
      <c r="B129" s="512"/>
      <c r="C129" s="520"/>
      <c r="D129" s="520"/>
      <c r="E129" s="520"/>
      <c r="F129" s="521"/>
      <c r="G129" s="521"/>
      <c r="H129" s="521"/>
      <c r="I129" s="524"/>
      <c r="J129" s="533"/>
      <c r="K129" s="523"/>
      <c r="L129" s="95"/>
      <c r="M129" s="96"/>
      <c r="N129" s="97"/>
      <c r="O129" s="115"/>
      <c r="P129" s="115"/>
      <c r="Q129" s="115"/>
    </row>
    <row r="130" spans="1:17" ht="69.95" customHeight="1">
      <c r="A130" s="512">
        <v>127</v>
      </c>
      <c r="B130" s="512"/>
      <c r="C130" s="520"/>
      <c r="D130" s="520"/>
      <c r="E130" s="520"/>
      <c r="F130" s="521"/>
      <c r="G130" s="521"/>
      <c r="H130" s="521"/>
      <c r="I130" s="524"/>
      <c r="J130" s="533"/>
      <c r="K130" s="523"/>
      <c r="L130" s="95"/>
      <c r="M130" s="96"/>
      <c r="N130" s="97"/>
      <c r="O130" s="115"/>
      <c r="P130" s="115"/>
      <c r="Q130" s="115"/>
    </row>
    <row r="131" spans="1:17" ht="69.95" customHeight="1">
      <c r="A131" s="512">
        <v>128</v>
      </c>
      <c r="B131" s="512"/>
      <c r="C131" s="520"/>
      <c r="D131" s="520"/>
      <c r="E131" s="520"/>
      <c r="F131" s="521"/>
      <c r="G131" s="521"/>
      <c r="H131" s="521"/>
      <c r="I131" s="524"/>
      <c r="J131" s="533"/>
      <c r="K131" s="523"/>
      <c r="L131" s="95"/>
      <c r="M131" s="96"/>
      <c r="N131" s="97"/>
      <c r="O131" s="115"/>
      <c r="P131" s="115"/>
      <c r="Q131" s="115"/>
    </row>
    <row r="132" spans="1:17" ht="69.95" customHeight="1">
      <c r="A132" s="512">
        <v>129</v>
      </c>
      <c r="B132" s="512"/>
      <c r="C132" s="520"/>
      <c r="D132" s="520"/>
      <c r="E132" s="520"/>
      <c r="F132" s="521"/>
      <c r="G132" s="521"/>
      <c r="H132" s="521"/>
      <c r="I132" s="524"/>
      <c r="J132" s="533"/>
      <c r="K132" s="523"/>
      <c r="L132" s="95"/>
      <c r="M132" s="96"/>
      <c r="N132" s="97"/>
      <c r="O132" s="115"/>
      <c r="P132" s="115"/>
      <c r="Q132" s="115"/>
    </row>
    <row r="133" spans="1:17" ht="69.95" customHeight="1">
      <c r="A133" s="512">
        <v>130</v>
      </c>
      <c r="B133" s="512"/>
      <c r="C133" s="520"/>
      <c r="D133" s="520"/>
      <c r="E133" s="520"/>
      <c r="F133" s="521"/>
      <c r="G133" s="521"/>
      <c r="H133" s="521"/>
      <c r="I133" s="524"/>
      <c r="J133" s="533"/>
      <c r="K133" s="523"/>
      <c r="L133" s="95"/>
      <c r="M133" s="96"/>
      <c r="N133" s="97"/>
      <c r="O133" s="115"/>
      <c r="P133" s="115"/>
      <c r="Q133" s="115"/>
    </row>
    <row r="134" spans="1:17" ht="69.95" customHeight="1">
      <c r="A134" s="512">
        <v>131</v>
      </c>
      <c r="B134" s="512"/>
      <c r="C134" s="520"/>
      <c r="D134" s="520"/>
      <c r="E134" s="520"/>
      <c r="F134" s="521"/>
      <c r="G134" s="521"/>
      <c r="H134" s="521"/>
      <c r="I134" s="524"/>
      <c r="J134" s="533"/>
      <c r="K134" s="523"/>
      <c r="L134" s="95"/>
      <c r="M134" s="96"/>
      <c r="N134" s="97"/>
      <c r="O134" s="115"/>
      <c r="P134" s="115"/>
      <c r="Q134" s="115"/>
    </row>
    <row r="135" spans="1:17" ht="69.95" customHeight="1">
      <c r="A135" s="512">
        <v>132</v>
      </c>
      <c r="B135" s="512"/>
      <c r="C135" s="520"/>
      <c r="D135" s="520"/>
      <c r="E135" s="520"/>
      <c r="F135" s="521"/>
      <c r="G135" s="521"/>
      <c r="H135" s="521"/>
      <c r="I135" s="524"/>
      <c r="J135" s="533"/>
      <c r="K135" s="523"/>
      <c r="L135" s="95"/>
      <c r="M135" s="96"/>
      <c r="N135" s="97"/>
      <c r="O135" s="115"/>
      <c r="P135" s="115"/>
      <c r="Q135" s="115"/>
    </row>
    <row r="136" spans="1:17" ht="69.95" customHeight="1">
      <c r="A136" s="512">
        <v>133</v>
      </c>
      <c r="B136" s="512"/>
      <c r="C136" s="520"/>
      <c r="D136" s="520"/>
      <c r="E136" s="520"/>
      <c r="F136" s="521"/>
      <c r="G136" s="521"/>
      <c r="H136" s="521"/>
      <c r="I136" s="524"/>
      <c r="J136" s="533"/>
      <c r="K136" s="523"/>
      <c r="L136" s="95"/>
      <c r="M136" s="96"/>
      <c r="N136" s="97"/>
      <c r="O136" s="115"/>
      <c r="P136" s="115"/>
      <c r="Q136" s="115"/>
    </row>
    <row r="137" spans="1:17" ht="69.95" customHeight="1">
      <c r="A137" s="512">
        <v>134</v>
      </c>
      <c r="B137" s="512"/>
      <c r="C137" s="520"/>
      <c r="D137" s="520"/>
      <c r="E137" s="520"/>
      <c r="F137" s="521"/>
      <c r="G137" s="521"/>
      <c r="H137" s="521"/>
      <c r="I137" s="524"/>
      <c r="J137" s="533"/>
      <c r="K137" s="523"/>
      <c r="L137" s="95"/>
      <c r="M137" s="96"/>
      <c r="N137" s="97"/>
      <c r="O137" s="115"/>
      <c r="P137" s="115"/>
      <c r="Q137" s="115"/>
    </row>
    <row r="138" spans="1:17" ht="69.95" customHeight="1">
      <c r="A138" s="512">
        <v>135</v>
      </c>
      <c r="B138" s="512"/>
      <c r="C138" s="520"/>
      <c r="D138" s="520"/>
      <c r="E138" s="520"/>
      <c r="F138" s="521"/>
      <c r="G138" s="521"/>
      <c r="H138" s="521"/>
      <c r="I138" s="524"/>
      <c r="J138" s="533"/>
      <c r="K138" s="523"/>
      <c r="L138" s="95"/>
      <c r="M138" s="96"/>
      <c r="N138" s="97"/>
      <c r="O138" s="115"/>
      <c r="P138" s="115"/>
      <c r="Q138" s="115"/>
    </row>
    <row r="139" spans="1:17" ht="69.95" customHeight="1">
      <c r="A139" s="512">
        <v>136</v>
      </c>
      <c r="B139" s="512"/>
      <c r="C139" s="520"/>
      <c r="D139" s="520"/>
      <c r="E139" s="520"/>
      <c r="F139" s="521"/>
      <c r="G139" s="521"/>
      <c r="H139" s="521"/>
      <c r="I139" s="524"/>
      <c r="J139" s="533"/>
      <c r="K139" s="523"/>
      <c r="L139" s="95"/>
      <c r="M139" s="96"/>
      <c r="N139" s="97"/>
      <c r="O139" s="115"/>
      <c r="P139" s="115"/>
      <c r="Q139" s="115"/>
    </row>
    <row r="140" spans="1:17" ht="69.95" customHeight="1">
      <c r="A140" s="512">
        <v>137</v>
      </c>
      <c r="B140" s="512"/>
      <c r="C140" s="520"/>
      <c r="D140" s="520"/>
      <c r="E140" s="520"/>
      <c r="F140" s="521"/>
      <c r="G140" s="521"/>
      <c r="H140" s="521"/>
      <c r="I140" s="524"/>
      <c r="J140" s="533"/>
      <c r="K140" s="523"/>
      <c r="L140" s="95"/>
      <c r="M140" s="96"/>
      <c r="N140" s="97"/>
      <c r="O140" s="115"/>
      <c r="P140" s="115"/>
      <c r="Q140" s="115"/>
    </row>
    <row r="141" spans="1:17" ht="69.95" customHeight="1">
      <c r="A141" s="512">
        <v>138</v>
      </c>
      <c r="B141" s="512"/>
      <c r="C141" s="520"/>
      <c r="D141" s="520"/>
      <c r="E141" s="520"/>
      <c r="F141" s="521"/>
      <c r="G141" s="521"/>
      <c r="H141" s="521"/>
      <c r="I141" s="524"/>
      <c r="J141" s="533"/>
      <c r="K141" s="523"/>
      <c r="L141" s="95"/>
      <c r="M141" s="96"/>
      <c r="N141" s="97"/>
      <c r="O141" s="115"/>
      <c r="P141" s="115"/>
      <c r="Q141" s="115"/>
    </row>
    <row r="142" spans="1:17" ht="69.95" customHeight="1">
      <c r="A142" s="512">
        <v>139</v>
      </c>
      <c r="B142" s="512"/>
      <c r="C142" s="520"/>
      <c r="D142" s="520"/>
      <c r="E142" s="520"/>
      <c r="F142" s="521"/>
      <c r="G142" s="521"/>
      <c r="H142" s="521"/>
      <c r="I142" s="524"/>
      <c r="J142" s="533"/>
      <c r="K142" s="523"/>
      <c r="L142" s="95"/>
      <c r="M142" s="96"/>
      <c r="N142" s="97"/>
      <c r="O142" s="115"/>
      <c r="P142" s="115"/>
      <c r="Q142" s="115"/>
    </row>
    <row r="143" spans="1:17" ht="69.95" customHeight="1">
      <c r="A143" s="512">
        <v>140</v>
      </c>
      <c r="B143" s="512"/>
      <c r="C143" s="520"/>
      <c r="D143" s="520"/>
      <c r="E143" s="520"/>
      <c r="F143" s="521"/>
      <c r="G143" s="521"/>
      <c r="H143" s="521"/>
      <c r="I143" s="524"/>
      <c r="J143" s="533"/>
      <c r="K143" s="523"/>
      <c r="L143" s="95"/>
      <c r="M143" s="96"/>
      <c r="N143" s="97"/>
      <c r="O143" s="115"/>
      <c r="P143" s="115"/>
      <c r="Q143" s="115"/>
    </row>
    <row r="144" spans="1:17" ht="69.95" customHeight="1">
      <c r="A144" s="512">
        <v>141</v>
      </c>
      <c r="B144" s="512"/>
      <c r="C144" s="520"/>
      <c r="D144" s="520"/>
      <c r="E144" s="520"/>
      <c r="F144" s="521"/>
      <c r="G144" s="521"/>
      <c r="H144" s="521"/>
      <c r="I144" s="524"/>
      <c r="J144" s="533"/>
      <c r="K144" s="523"/>
      <c r="L144" s="95"/>
      <c r="M144" s="96"/>
      <c r="N144" s="97"/>
      <c r="O144" s="115"/>
      <c r="P144" s="115"/>
      <c r="Q144" s="115"/>
    </row>
    <row r="145" spans="1:17" ht="69.95" customHeight="1">
      <c r="A145" s="512">
        <v>142</v>
      </c>
      <c r="B145" s="512"/>
      <c r="C145" s="520"/>
      <c r="D145" s="520"/>
      <c r="E145" s="520"/>
      <c r="F145" s="521"/>
      <c r="G145" s="521"/>
      <c r="H145" s="521"/>
      <c r="I145" s="524"/>
      <c r="J145" s="533"/>
      <c r="K145" s="523"/>
      <c r="L145" s="95"/>
      <c r="M145" s="96"/>
      <c r="N145" s="97"/>
      <c r="O145" s="115"/>
      <c r="P145" s="115"/>
      <c r="Q145" s="115"/>
    </row>
    <row r="146" spans="1:17" ht="69.95" customHeight="1">
      <c r="A146" s="512">
        <v>143</v>
      </c>
      <c r="B146" s="512"/>
      <c r="C146" s="520"/>
      <c r="D146" s="520"/>
      <c r="E146" s="520"/>
      <c r="F146" s="521"/>
      <c r="G146" s="521"/>
      <c r="H146" s="521"/>
      <c r="I146" s="524"/>
      <c r="J146" s="533"/>
      <c r="K146" s="523"/>
      <c r="L146" s="95"/>
      <c r="M146" s="96"/>
      <c r="N146" s="97"/>
      <c r="O146" s="115"/>
      <c r="P146" s="115"/>
      <c r="Q146" s="115"/>
    </row>
    <row r="147" spans="1:17" ht="69.95" customHeight="1">
      <c r="A147" s="512">
        <v>144</v>
      </c>
      <c r="B147" s="512"/>
      <c r="C147" s="520"/>
      <c r="D147" s="520"/>
      <c r="E147" s="520"/>
      <c r="F147" s="521"/>
      <c r="G147" s="521"/>
      <c r="H147" s="521"/>
      <c r="I147" s="524"/>
      <c r="J147" s="533"/>
      <c r="K147" s="523"/>
      <c r="L147" s="95"/>
      <c r="M147" s="96"/>
      <c r="N147" s="97"/>
      <c r="O147" s="115"/>
      <c r="P147" s="115"/>
      <c r="Q147" s="115"/>
    </row>
    <row r="148" spans="1:17" ht="69.95" customHeight="1">
      <c r="A148" s="512">
        <v>145</v>
      </c>
      <c r="B148" s="512"/>
      <c r="C148" s="520"/>
      <c r="D148" s="520"/>
      <c r="E148" s="520"/>
      <c r="F148" s="521"/>
      <c r="G148" s="521"/>
      <c r="H148" s="521"/>
      <c r="I148" s="524"/>
      <c r="J148" s="533"/>
      <c r="K148" s="523"/>
      <c r="L148" s="95"/>
      <c r="M148" s="96"/>
      <c r="N148" s="97"/>
      <c r="O148" s="115"/>
      <c r="P148" s="115"/>
      <c r="Q148" s="115"/>
    </row>
    <row r="149" spans="1:17" ht="69.95" customHeight="1">
      <c r="A149" s="512">
        <v>146</v>
      </c>
      <c r="B149" s="512"/>
      <c r="C149" s="520"/>
      <c r="D149" s="520"/>
      <c r="E149" s="520"/>
      <c r="F149" s="521"/>
      <c r="G149" s="521"/>
      <c r="H149" s="521"/>
      <c r="I149" s="524"/>
      <c r="J149" s="533"/>
      <c r="K149" s="523"/>
      <c r="L149" s="95"/>
      <c r="M149" s="96"/>
      <c r="N149" s="97"/>
      <c r="O149" s="115"/>
      <c r="P149" s="115"/>
      <c r="Q149" s="115"/>
    </row>
    <row r="150" spans="1:17" ht="69.95" customHeight="1">
      <c r="A150" s="512">
        <v>147</v>
      </c>
      <c r="B150" s="512"/>
      <c r="C150" s="520"/>
      <c r="D150" s="520"/>
      <c r="E150" s="520"/>
      <c r="F150" s="521"/>
      <c r="G150" s="521"/>
      <c r="H150" s="521"/>
      <c r="I150" s="524"/>
      <c r="J150" s="533"/>
      <c r="K150" s="523"/>
      <c r="L150" s="95"/>
      <c r="M150" s="96"/>
      <c r="N150" s="97"/>
      <c r="O150" s="115"/>
      <c r="P150" s="115"/>
      <c r="Q150" s="115"/>
    </row>
    <row r="151" spans="1:17" ht="69.95" customHeight="1">
      <c r="A151" s="512">
        <v>148</v>
      </c>
      <c r="B151" s="512"/>
      <c r="C151" s="520"/>
      <c r="D151" s="520"/>
      <c r="E151" s="520"/>
      <c r="F151" s="521"/>
      <c r="G151" s="521"/>
      <c r="H151" s="521"/>
      <c r="I151" s="524"/>
      <c r="J151" s="533"/>
      <c r="K151" s="523"/>
      <c r="L151" s="95"/>
      <c r="M151" s="96"/>
      <c r="N151" s="97"/>
      <c r="O151" s="115"/>
      <c r="P151" s="115"/>
      <c r="Q151" s="115"/>
    </row>
    <row r="152" spans="1:17" ht="69.95" customHeight="1">
      <c r="A152" s="512">
        <v>149</v>
      </c>
      <c r="B152" s="512"/>
      <c r="C152" s="520"/>
      <c r="D152" s="520"/>
      <c r="E152" s="520"/>
      <c r="F152" s="521"/>
      <c r="G152" s="521"/>
      <c r="H152" s="521"/>
      <c r="I152" s="524"/>
      <c r="J152" s="533"/>
      <c r="K152" s="523"/>
      <c r="L152" s="95"/>
      <c r="M152" s="96"/>
      <c r="N152" s="97"/>
      <c r="O152" s="115"/>
      <c r="P152" s="115"/>
      <c r="Q152" s="115"/>
    </row>
    <row r="153" spans="1:17" ht="69.95" customHeight="1">
      <c r="A153" s="512">
        <v>150</v>
      </c>
      <c r="B153" s="512"/>
      <c r="C153" s="520"/>
      <c r="D153" s="520"/>
      <c r="E153" s="520"/>
      <c r="F153" s="521"/>
      <c r="G153" s="521"/>
      <c r="H153" s="521"/>
      <c r="I153" s="524"/>
      <c r="J153" s="533"/>
      <c r="K153" s="523"/>
      <c r="L153" s="95"/>
      <c r="M153" s="96"/>
      <c r="N153" s="97"/>
      <c r="O153" s="115"/>
      <c r="P153" s="115"/>
      <c r="Q153" s="115"/>
    </row>
    <row r="154" spans="1:17" ht="69.95" customHeight="1">
      <c r="A154" s="512">
        <v>151</v>
      </c>
      <c r="B154" s="512"/>
      <c r="C154" s="520"/>
      <c r="D154" s="520"/>
      <c r="E154" s="520"/>
      <c r="F154" s="521"/>
      <c r="G154" s="521"/>
      <c r="H154" s="521"/>
      <c r="I154" s="524"/>
      <c r="J154" s="533"/>
      <c r="K154" s="523"/>
      <c r="L154" s="95"/>
      <c r="M154" s="96"/>
      <c r="N154" s="97"/>
      <c r="O154" s="115"/>
      <c r="P154" s="115"/>
      <c r="Q154" s="115"/>
    </row>
    <row r="155" spans="1:17" ht="69.95" customHeight="1">
      <c r="A155" s="512">
        <v>152</v>
      </c>
      <c r="B155" s="512"/>
      <c r="C155" s="520"/>
      <c r="D155" s="520"/>
      <c r="E155" s="520"/>
      <c r="F155" s="521"/>
      <c r="G155" s="521"/>
      <c r="H155" s="521"/>
      <c r="I155" s="524"/>
      <c r="J155" s="533"/>
      <c r="K155" s="523"/>
      <c r="L155" s="95"/>
      <c r="M155" s="96"/>
      <c r="N155" s="97"/>
      <c r="O155" s="115"/>
      <c r="P155" s="115"/>
      <c r="Q155" s="115"/>
    </row>
    <row r="156" spans="1:17" ht="69.95" customHeight="1">
      <c r="A156" s="512">
        <v>153</v>
      </c>
      <c r="B156" s="512"/>
      <c r="C156" s="520"/>
      <c r="D156" s="520"/>
      <c r="E156" s="520"/>
      <c r="F156" s="521"/>
      <c r="G156" s="521"/>
      <c r="H156" s="521"/>
      <c r="I156" s="524"/>
      <c r="J156" s="533"/>
      <c r="K156" s="523"/>
      <c r="L156" s="95"/>
      <c r="M156" s="96"/>
      <c r="N156" s="97"/>
      <c r="O156" s="115"/>
      <c r="P156" s="115"/>
      <c r="Q156" s="115"/>
    </row>
    <row r="157" spans="1:17" ht="69.95" customHeight="1">
      <c r="A157" s="512">
        <v>154</v>
      </c>
      <c r="B157" s="512"/>
      <c r="C157" s="520"/>
      <c r="D157" s="520"/>
      <c r="E157" s="520"/>
      <c r="F157" s="521"/>
      <c r="G157" s="521"/>
      <c r="H157" s="521"/>
      <c r="I157" s="524"/>
      <c r="J157" s="533"/>
      <c r="K157" s="523"/>
      <c r="L157" s="95"/>
      <c r="M157" s="96"/>
      <c r="N157" s="97"/>
      <c r="O157" s="115"/>
      <c r="P157" s="115"/>
      <c r="Q157" s="115"/>
    </row>
    <row r="158" spans="1:17" ht="69.95" customHeight="1">
      <c r="A158" s="512">
        <v>155</v>
      </c>
      <c r="B158" s="512"/>
      <c r="C158" s="520"/>
      <c r="D158" s="520"/>
      <c r="E158" s="520"/>
      <c r="F158" s="521"/>
      <c r="G158" s="521"/>
      <c r="H158" s="521"/>
      <c r="I158" s="524"/>
      <c r="J158" s="533"/>
      <c r="K158" s="523"/>
      <c r="L158" s="95"/>
      <c r="M158" s="96"/>
      <c r="N158" s="97"/>
      <c r="O158" s="115"/>
      <c r="P158" s="115"/>
      <c r="Q158" s="115"/>
    </row>
    <row r="159" spans="1:17" ht="69.95" customHeight="1">
      <c r="A159" s="512">
        <v>156</v>
      </c>
      <c r="B159" s="512"/>
      <c r="C159" s="520"/>
      <c r="D159" s="520"/>
      <c r="E159" s="520"/>
      <c r="F159" s="521"/>
      <c r="G159" s="521"/>
      <c r="H159" s="521"/>
      <c r="I159" s="524"/>
      <c r="J159" s="533"/>
      <c r="K159" s="523"/>
      <c r="L159" s="95"/>
      <c r="M159" s="96"/>
      <c r="N159" s="97"/>
      <c r="O159" s="115"/>
      <c r="P159" s="115"/>
      <c r="Q159" s="115"/>
    </row>
    <row r="160" spans="1:17" ht="69.95" customHeight="1">
      <c r="A160" s="512">
        <v>157</v>
      </c>
      <c r="B160" s="512"/>
      <c r="C160" s="520"/>
      <c r="D160" s="520"/>
      <c r="E160" s="520"/>
      <c r="F160" s="521"/>
      <c r="G160" s="521"/>
      <c r="H160" s="521"/>
      <c r="I160" s="524"/>
      <c r="J160" s="533"/>
      <c r="K160" s="523"/>
      <c r="L160" s="95"/>
      <c r="M160" s="96"/>
      <c r="N160" s="97"/>
      <c r="O160" s="115"/>
      <c r="P160" s="115"/>
      <c r="Q160" s="115"/>
    </row>
    <row r="161" spans="1:17" ht="69.95" customHeight="1">
      <c r="A161" s="512">
        <v>158</v>
      </c>
      <c r="B161" s="512"/>
      <c r="C161" s="520"/>
      <c r="D161" s="520"/>
      <c r="E161" s="520"/>
      <c r="F161" s="521"/>
      <c r="G161" s="521"/>
      <c r="H161" s="521"/>
      <c r="I161" s="524"/>
      <c r="J161" s="533"/>
      <c r="K161" s="523"/>
      <c r="L161" s="95"/>
      <c r="M161" s="96"/>
      <c r="N161" s="97"/>
      <c r="O161" s="115"/>
      <c r="P161" s="115"/>
      <c r="Q161" s="115"/>
    </row>
    <row r="162" spans="1:17" ht="69.95" customHeight="1">
      <c r="A162" s="512">
        <v>159</v>
      </c>
      <c r="B162" s="512"/>
      <c r="C162" s="520"/>
      <c r="D162" s="520"/>
      <c r="E162" s="520"/>
      <c r="F162" s="521"/>
      <c r="G162" s="521"/>
      <c r="H162" s="521"/>
      <c r="I162" s="524"/>
      <c r="J162" s="533"/>
      <c r="K162" s="523"/>
      <c r="L162" s="95"/>
      <c r="M162" s="96"/>
      <c r="N162" s="97"/>
      <c r="O162" s="115"/>
      <c r="P162" s="115"/>
      <c r="Q162" s="115"/>
    </row>
    <row r="163" spans="1:17" ht="69.95" customHeight="1">
      <c r="A163" s="512">
        <v>160</v>
      </c>
      <c r="B163" s="512"/>
      <c r="C163" s="520"/>
      <c r="D163" s="520"/>
      <c r="E163" s="520"/>
      <c r="F163" s="521"/>
      <c r="G163" s="521"/>
      <c r="H163" s="521"/>
      <c r="I163" s="524"/>
      <c r="J163" s="533"/>
      <c r="K163" s="523"/>
      <c r="L163" s="95"/>
      <c r="M163" s="96"/>
      <c r="N163" s="97"/>
      <c r="O163" s="115"/>
      <c r="P163" s="115"/>
      <c r="Q163" s="115"/>
    </row>
    <row r="164" spans="1:17" ht="69.95" customHeight="1">
      <c r="A164" s="512">
        <v>161</v>
      </c>
      <c r="B164" s="512"/>
      <c r="C164" s="520"/>
      <c r="D164" s="520"/>
      <c r="E164" s="520"/>
      <c r="F164" s="521"/>
      <c r="G164" s="521"/>
      <c r="H164" s="521"/>
      <c r="I164" s="524"/>
      <c r="J164" s="533"/>
      <c r="K164" s="523"/>
      <c r="L164" s="95"/>
      <c r="M164" s="96"/>
      <c r="N164" s="97"/>
      <c r="O164" s="115"/>
      <c r="P164" s="115"/>
      <c r="Q164" s="115"/>
    </row>
    <row r="165" spans="1:17" ht="69.95" customHeight="1">
      <c r="A165" s="512">
        <v>162</v>
      </c>
      <c r="B165" s="512"/>
      <c r="C165" s="520"/>
      <c r="D165" s="520"/>
      <c r="E165" s="520"/>
      <c r="F165" s="521"/>
      <c r="G165" s="521"/>
      <c r="H165" s="521"/>
      <c r="I165" s="524"/>
      <c r="J165" s="533"/>
      <c r="K165" s="523"/>
      <c r="L165" s="95"/>
      <c r="M165" s="96"/>
      <c r="N165" s="97"/>
      <c r="O165" s="115"/>
      <c r="P165" s="115"/>
      <c r="Q165" s="115"/>
    </row>
    <row r="166" spans="1:17" ht="69.95" customHeight="1">
      <c r="A166" s="512">
        <v>163</v>
      </c>
      <c r="B166" s="512"/>
      <c r="C166" s="520"/>
      <c r="D166" s="520"/>
      <c r="E166" s="520"/>
      <c r="F166" s="521"/>
      <c r="G166" s="521"/>
      <c r="H166" s="521"/>
      <c r="I166" s="524"/>
      <c r="J166" s="533"/>
      <c r="K166" s="523"/>
      <c r="L166" s="95"/>
      <c r="M166" s="96"/>
      <c r="N166" s="97"/>
      <c r="O166" s="115"/>
      <c r="P166" s="115"/>
      <c r="Q166" s="115"/>
    </row>
    <row r="167" spans="1:17" ht="69.95" customHeight="1">
      <c r="A167" s="512">
        <v>164</v>
      </c>
      <c r="B167" s="512"/>
      <c r="C167" s="520"/>
      <c r="D167" s="520"/>
      <c r="E167" s="520"/>
      <c r="F167" s="521"/>
      <c r="G167" s="521"/>
      <c r="H167" s="521"/>
      <c r="I167" s="524"/>
      <c r="J167" s="533"/>
      <c r="K167" s="523"/>
      <c r="L167" s="95"/>
      <c r="M167" s="96"/>
      <c r="N167" s="97"/>
      <c r="O167" s="115"/>
      <c r="P167" s="115"/>
      <c r="Q167" s="115"/>
    </row>
    <row r="168" spans="1:17" ht="69.95" customHeight="1">
      <c r="A168" s="512">
        <v>165</v>
      </c>
      <c r="B168" s="512"/>
      <c r="C168" s="520"/>
      <c r="D168" s="520"/>
      <c r="E168" s="520"/>
      <c r="F168" s="521"/>
      <c r="G168" s="521"/>
      <c r="H168" s="521"/>
      <c r="I168" s="524"/>
      <c r="J168" s="533"/>
      <c r="K168" s="523"/>
      <c r="L168" s="95"/>
      <c r="M168" s="96"/>
      <c r="N168" s="97"/>
      <c r="O168" s="115"/>
      <c r="P168" s="115"/>
      <c r="Q168" s="115"/>
    </row>
    <row r="169" spans="1:17" ht="69.95" customHeight="1">
      <c r="A169" s="512">
        <v>166</v>
      </c>
      <c r="B169" s="512"/>
      <c r="C169" s="520"/>
      <c r="D169" s="520"/>
      <c r="E169" s="520"/>
      <c r="F169" s="521"/>
      <c r="G169" s="521"/>
      <c r="H169" s="521"/>
      <c r="I169" s="524"/>
      <c r="J169" s="533"/>
      <c r="K169" s="523"/>
      <c r="L169" s="95"/>
      <c r="M169" s="96"/>
      <c r="N169" s="97"/>
      <c r="O169" s="115"/>
      <c r="P169" s="115"/>
      <c r="Q169" s="115"/>
    </row>
    <row r="170" spans="1:17" ht="69.95" customHeight="1">
      <c r="A170" s="512">
        <v>167</v>
      </c>
      <c r="B170" s="512"/>
      <c r="C170" s="520"/>
      <c r="D170" s="520"/>
      <c r="E170" s="520"/>
      <c r="F170" s="521"/>
      <c r="G170" s="521"/>
      <c r="H170" s="521"/>
      <c r="I170" s="524"/>
      <c r="J170" s="533"/>
      <c r="K170" s="523"/>
      <c r="L170" s="95"/>
      <c r="M170" s="96"/>
      <c r="N170" s="97"/>
      <c r="O170" s="115"/>
      <c r="P170" s="115"/>
      <c r="Q170" s="115"/>
    </row>
    <row r="171" spans="1:17" ht="69.95" customHeight="1">
      <c r="A171" s="512">
        <v>168</v>
      </c>
      <c r="B171" s="512"/>
      <c r="C171" s="520"/>
      <c r="D171" s="520"/>
      <c r="E171" s="520"/>
      <c r="F171" s="521"/>
      <c r="G171" s="521"/>
      <c r="H171" s="521"/>
      <c r="I171" s="524"/>
      <c r="J171" s="533"/>
      <c r="K171" s="523"/>
      <c r="L171" s="95"/>
      <c r="M171" s="96"/>
      <c r="N171" s="97"/>
      <c r="O171" s="115"/>
      <c r="P171" s="115"/>
      <c r="Q171" s="115"/>
    </row>
    <row r="172" spans="1:17" ht="69.95" customHeight="1">
      <c r="A172" s="512">
        <v>169</v>
      </c>
      <c r="B172" s="512"/>
      <c r="C172" s="520"/>
      <c r="D172" s="520"/>
      <c r="E172" s="520"/>
      <c r="F172" s="521"/>
      <c r="G172" s="521"/>
      <c r="H172" s="521"/>
      <c r="I172" s="524"/>
      <c r="J172" s="533"/>
      <c r="K172" s="523"/>
      <c r="L172" s="95"/>
      <c r="M172" s="96"/>
      <c r="N172" s="97"/>
      <c r="O172" s="115"/>
      <c r="P172" s="115"/>
      <c r="Q172" s="115"/>
    </row>
    <row r="173" spans="1:17" ht="69.95" customHeight="1">
      <c r="A173" s="512">
        <v>170</v>
      </c>
      <c r="B173" s="512"/>
      <c r="C173" s="520"/>
      <c r="D173" s="520"/>
      <c r="E173" s="520"/>
      <c r="F173" s="521"/>
      <c r="G173" s="521"/>
      <c r="H173" s="521"/>
      <c r="I173" s="524"/>
      <c r="J173" s="533"/>
      <c r="K173" s="523"/>
      <c r="L173" s="95"/>
      <c r="M173" s="96"/>
      <c r="N173" s="97"/>
      <c r="O173" s="115"/>
      <c r="P173" s="115"/>
      <c r="Q173" s="115"/>
    </row>
    <row r="174" spans="1:17" ht="69.95" customHeight="1">
      <c r="A174" s="512">
        <v>171</v>
      </c>
      <c r="B174" s="512"/>
      <c r="C174" s="520"/>
      <c r="D174" s="520"/>
      <c r="E174" s="520"/>
      <c r="F174" s="521"/>
      <c r="G174" s="521"/>
      <c r="H174" s="521"/>
      <c r="I174" s="524"/>
      <c r="J174" s="533"/>
      <c r="K174" s="523"/>
      <c r="L174" s="95"/>
      <c r="M174" s="96"/>
      <c r="N174" s="97"/>
      <c r="O174" s="115"/>
      <c r="P174" s="115"/>
      <c r="Q174" s="115"/>
    </row>
    <row r="175" spans="1:17" ht="69.95" customHeight="1">
      <c r="A175" s="512">
        <v>172</v>
      </c>
      <c r="B175" s="512"/>
      <c r="C175" s="520"/>
      <c r="D175" s="520"/>
      <c r="E175" s="520"/>
      <c r="F175" s="521"/>
      <c r="G175" s="521"/>
      <c r="H175" s="521"/>
      <c r="I175" s="524"/>
      <c r="J175" s="533"/>
      <c r="K175" s="523"/>
      <c r="L175" s="95"/>
      <c r="M175" s="96"/>
      <c r="N175" s="97"/>
      <c r="O175" s="115"/>
      <c r="P175" s="115"/>
      <c r="Q175" s="115"/>
    </row>
    <row r="176" spans="1:17" ht="69.95" customHeight="1">
      <c r="A176" s="512">
        <v>173</v>
      </c>
      <c r="B176" s="512"/>
      <c r="C176" s="520"/>
      <c r="D176" s="520"/>
      <c r="E176" s="520"/>
      <c r="F176" s="521"/>
      <c r="G176" s="521"/>
      <c r="H176" s="521"/>
      <c r="I176" s="524"/>
      <c r="J176" s="533"/>
      <c r="K176" s="523"/>
      <c r="L176" s="95"/>
      <c r="M176" s="96"/>
      <c r="N176" s="97"/>
      <c r="O176" s="115"/>
      <c r="P176" s="115"/>
      <c r="Q176" s="115"/>
    </row>
    <row r="177" spans="1:17" ht="69.95" customHeight="1">
      <c r="A177" s="512">
        <v>174</v>
      </c>
      <c r="B177" s="512"/>
      <c r="C177" s="520"/>
      <c r="D177" s="520"/>
      <c r="E177" s="520"/>
      <c r="F177" s="521"/>
      <c r="G177" s="521"/>
      <c r="H177" s="521"/>
      <c r="I177" s="524"/>
      <c r="J177" s="533"/>
      <c r="K177" s="523"/>
      <c r="L177" s="95"/>
      <c r="M177" s="96"/>
      <c r="N177" s="97"/>
      <c r="O177" s="115"/>
      <c r="P177" s="115"/>
      <c r="Q177" s="115"/>
    </row>
    <row r="178" spans="1:17" ht="69.95" customHeight="1">
      <c r="A178" s="512">
        <v>175</v>
      </c>
      <c r="B178" s="512"/>
      <c r="C178" s="520"/>
      <c r="D178" s="520"/>
      <c r="E178" s="520"/>
      <c r="F178" s="521"/>
      <c r="G178" s="521"/>
      <c r="H178" s="521"/>
      <c r="I178" s="524"/>
      <c r="J178" s="533"/>
      <c r="K178" s="523"/>
      <c r="L178" s="95"/>
      <c r="M178" s="96"/>
      <c r="N178" s="97"/>
      <c r="O178" s="115"/>
      <c r="P178" s="115"/>
      <c r="Q178" s="115"/>
    </row>
    <row r="179" spans="1:17" ht="69.95" customHeight="1">
      <c r="A179" s="512">
        <v>176</v>
      </c>
      <c r="B179" s="512"/>
      <c r="C179" s="520"/>
      <c r="D179" s="520"/>
      <c r="E179" s="520"/>
      <c r="F179" s="521"/>
      <c r="G179" s="521"/>
      <c r="H179" s="521"/>
      <c r="I179" s="524"/>
      <c r="J179" s="533"/>
      <c r="K179" s="523"/>
      <c r="L179" s="95"/>
      <c r="M179" s="96"/>
      <c r="N179" s="97"/>
      <c r="O179" s="115"/>
      <c r="P179" s="115"/>
      <c r="Q179" s="115"/>
    </row>
    <row r="180" spans="1:17" ht="69.95" customHeight="1">
      <c r="A180" s="512">
        <v>177</v>
      </c>
      <c r="B180" s="512"/>
      <c r="C180" s="520"/>
      <c r="D180" s="520"/>
      <c r="E180" s="520"/>
      <c r="F180" s="521"/>
      <c r="G180" s="521"/>
      <c r="H180" s="521"/>
      <c r="I180" s="524"/>
      <c r="J180" s="533"/>
      <c r="K180" s="523"/>
      <c r="L180" s="95"/>
      <c r="M180" s="96"/>
      <c r="N180" s="97"/>
      <c r="O180" s="115"/>
      <c r="P180" s="115"/>
      <c r="Q180" s="115"/>
    </row>
    <row r="181" spans="1:17" ht="69.95" customHeight="1">
      <c r="A181" s="512">
        <v>178</v>
      </c>
      <c r="B181" s="512"/>
      <c r="C181" s="520"/>
      <c r="D181" s="520"/>
      <c r="E181" s="520"/>
      <c r="F181" s="521"/>
      <c r="G181" s="521"/>
      <c r="H181" s="521"/>
      <c r="I181" s="524"/>
      <c r="J181" s="533"/>
      <c r="K181" s="523"/>
      <c r="L181" s="95"/>
      <c r="M181" s="96"/>
      <c r="N181" s="97"/>
      <c r="O181" s="115"/>
      <c r="P181" s="115"/>
      <c r="Q181" s="115"/>
    </row>
    <row r="182" spans="1:17" ht="69.95" customHeight="1">
      <c r="A182" s="512">
        <v>179</v>
      </c>
      <c r="B182" s="512"/>
      <c r="C182" s="520"/>
      <c r="D182" s="520"/>
      <c r="E182" s="520"/>
      <c r="F182" s="521"/>
      <c r="G182" s="521"/>
      <c r="H182" s="521"/>
      <c r="I182" s="524"/>
      <c r="J182" s="533"/>
      <c r="K182" s="523"/>
      <c r="L182" s="95"/>
      <c r="M182" s="96"/>
      <c r="N182" s="97"/>
      <c r="O182" s="115"/>
      <c r="P182" s="115"/>
      <c r="Q182" s="115"/>
    </row>
    <row r="183" spans="1:17" ht="69.95" customHeight="1">
      <c r="A183" s="512">
        <v>180</v>
      </c>
      <c r="B183" s="512"/>
      <c r="C183" s="520"/>
      <c r="D183" s="520"/>
      <c r="E183" s="520"/>
      <c r="F183" s="521"/>
      <c r="G183" s="521"/>
      <c r="H183" s="521"/>
      <c r="I183" s="524"/>
      <c r="J183" s="533"/>
      <c r="K183" s="523"/>
      <c r="L183" s="95"/>
      <c r="M183" s="96"/>
      <c r="N183" s="97"/>
      <c r="O183" s="115"/>
      <c r="P183" s="115"/>
      <c r="Q183" s="115"/>
    </row>
    <row r="184" spans="1:17" ht="69.95" customHeight="1">
      <c r="A184" s="512">
        <v>181</v>
      </c>
      <c r="B184" s="512"/>
      <c r="C184" s="520"/>
      <c r="D184" s="520"/>
      <c r="E184" s="520"/>
      <c r="F184" s="521"/>
      <c r="G184" s="521"/>
      <c r="H184" s="521"/>
      <c r="I184" s="524"/>
      <c r="J184" s="533"/>
      <c r="K184" s="523"/>
      <c r="L184" s="95"/>
      <c r="M184" s="96"/>
      <c r="N184" s="97"/>
      <c r="O184" s="115"/>
      <c r="P184" s="115"/>
      <c r="Q184" s="115"/>
    </row>
    <row r="185" spans="1:17" ht="69.95" customHeight="1">
      <c r="A185" s="512">
        <v>182</v>
      </c>
      <c r="B185" s="512"/>
      <c r="C185" s="520"/>
      <c r="D185" s="520"/>
      <c r="E185" s="520"/>
      <c r="F185" s="521"/>
      <c r="G185" s="521"/>
      <c r="H185" s="521"/>
      <c r="I185" s="524"/>
      <c r="J185" s="533"/>
      <c r="K185" s="523"/>
      <c r="L185" s="95"/>
      <c r="M185" s="96"/>
      <c r="N185" s="97"/>
      <c r="O185" s="115"/>
      <c r="P185" s="115"/>
      <c r="Q185" s="115"/>
    </row>
    <row r="186" spans="1:17" ht="69.95" customHeight="1">
      <c r="A186" s="512">
        <v>183</v>
      </c>
      <c r="B186" s="512"/>
      <c r="C186" s="520"/>
      <c r="D186" s="520"/>
      <c r="E186" s="520"/>
      <c r="F186" s="521"/>
      <c r="G186" s="521"/>
      <c r="H186" s="521"/>
      <c r="I186" s="524"/>
      <c r="J186" s="533"/>
      <c r="K186" s="523"/>
      <c r="L186" s="95"/>
      <c r="M186" s="96"/>
      <c r="N186" s="97"/>
      <c r="O186" s="115"/>
      <c r="P186" s="115"/>
      <c r="Q186" s="115"/>
    </row>
    <row r="187" spans="1:17" ht="69.95" customHeight="1">
      <c r="A187" s="512">
        <v>184</v>
      </c>
      <c r="B187" s="512"/>
      <c r="C187" s="520"/>
      <c r="D187" s="520"/>
      <c r="E187" s="520"/>
      <c r="F187" s="521"/>
      <c r="G187" s="521"/>
      <c r="H187" s="521"/>
      <c r="I187" s="524"/>
      <c r="J187" s="533"/>
      <c r="K187" s="523"/>
      <c r="L187" s="95"/>
      <c r="M187" s="96"/>
      <c r="N187" s="97"/>
      <c r="O187" s="115"/>
      <c r="P187" s="115"/>
      <c r="Q187" s="115"/>
    </row>
    <row r="188" spans="1:17" ht="69.95" customHeight="1">
      <c r="A188" s="512">
        <v>185</v>
      </c>
      <c r="B188" s="512"/>
      <c r="C188" s="520"/>
      <c r="D188" s="520"/>
      <c r="E188" s="520"/>
      <c r="F188" s="521"/>
      <c r="G188" s="521"/>
      <c r="H188" s="521"/>
      <c r="I188" s="524"/>
      <c r="J188" s="533"/>
      <c r="K188" s="523"/>
      <c r="L188" s="95"/>
      <c r="M188" s="96"/>
      <c r="N188" s="97"/>
      <c r="O188" s="115"/>
      <c r="P188" s="115"/>
      <c r="Q188" s="115"/>
    </row>
    <row r="189" spans="1:17" ht="69.95" customHeight="1">
      <c r="A189" s="512">
        <v>186</v>
      </c>
      <c r="B189" s="512"/>
      <c r="C189" s="520"/>
      <c r="D189" s="520"/>
      <c r="E189" s="520"/>
      <c r="F189" s="521"/>
      <c r="G189" s="521"/>
      <c r="H189" s="521"/>
      <c r="I189" s="524"/>
      <c r="J189" s="533"/>
      <c r="K189" s="523"/>
      <c r="L189" s="95"/>
      <c r="M189" s="96"/>
      <c r="N189" s="97"/>
      <c r="O189" s="115"/>
      <c r="P189" s="115"/>
      <c r="Q189" s="115"/>
    </row>
    <row r="190" spans="1:17" ht="69.95" customHeight="1">
      <c r="A190" s="512">
        <v>187</v>
      </c>
      <c r="B190" s="512"/>
      <c r="C190" s="520"/>
      <c r="D190" s="520"/>
      <c r="E190" s="520"/>
      <c r="F190" s="521"/>
      <c r="G190" s="521"/>
      <c r="H190" s="521"/>
      <c r="I190" s="524"/>
      <c r="J190" s="533"/>
      <c r="K190" s="523"/>
      <c r="L190" s="95"/>
      <c r="M190" s="96"/>
      <c r="N190" s="97"/>
      <c r="O190" s="115"/>
      <c r="P190" s="115"/>
      <c r="Q190" s="115"/>
    </row>
    <row r="191" spans="1:17" ht="69.95" customHeight="1">
      <c r="A191" s="512">
        <v>188</v>
      </c>
      <c r="B191" s="512"/>
      <c r="C191" s="520"/>
      <c r="D191" s="520"/>
      <c r="E191" s="520"/>
      <c r="F191" s="521"/>
      <c r="G191" s="521"/>
      <c r="H191" s="521"/>
      <c r="I191" s="524"/>
      <c r="J191" s="533"/>
      <c r="K191" s="523"/>
      <c r="L191" s="95"/>
      <c r="M191" s="96"/>
      <c r="N191" s="97"/>
      <c r="O191" s="115"/>
      <c r="P191" s="115"/>
      <c r="Q191" s="115"/>
    </row>
    <row r="192" spans="1:17" ht="69.95" customHeight="1">
      <c r="A192" s="512">
        <v>189</v>
      </c>
      <c r="B192" s="512"/>
      <c r="C192" s="520"/>
      <c r="D192" s="520"/>
      <c r="E192" s="520"/>
      <c r="F192" s="521"/>
      <c r="G192" s="521"/>
      <c r="H192" s="521"/>
      <c r="I192" s="524"/>
      <c r="J192" s="533"/>
      <c r="K192" s="523"/>
      <c r="L192" s="95"/>
      <c r="M192" s="96"/>
      <c r="N192" s="97"/>
      <c r="O192" s="115"/>
      <c r="P192" s="115"/>
      <c r="Q192" s="115"/>
    </row>
    <row r="193" spans="1:17" ht="69.95" customHeight="1">
      <c r="A193" s="512">
        <v>190</v>
      </c>
      <c r="B193" s="512"/>
      <c r="C193" s="520"/>
      <c r="D193" s="520"/>
      <c r="E193" s="520"/>
      <c r="F193" s="521"/>
      <c r="G193" s="521"/>
      <c r="H193" s="521"/>
      <c r="I193" s="524"/>
      <c r="J193" s="533"/>
      <c r="K193" s="523"/>
      <c r="L193" s="95"/>
      <c r="M193" s="96"/>
      <c r="N193" s="97"/>
      <c r="O193" s="115"/>
      <c r="P193" s="115"/>
      <c r="Q193" s="115"/>
    </row>
    <row r="194" spans="1:17" ht="69.95" customHeight="1">
      <c r="A194" s="512">
        <v>191</v>
      </c>
      <c r="B194" s="512"/>
      <c r="C194" s="520"/>
      <c r="D194" s="520"/>
      <c r="E194" s="520"/>
      <c r="F194" s="521"/>
      <c r="G194" s="521"/>
      <c r="H194" s="521"/>
      <c r="I194" s="524"/>
      <c r="J194" s="533"/>
      <c r="K194" s="523"/>
      <c r="L194" s="95"/>
      <c r="M194" s="96"/>
      <c r="N194" s="97"/>
      <c r="O194" s="115"/>
      <c r="P194" s="115"/>
      <c r="Q194" s="115"/>
    </row>
    <row r="195" spans="1:17" ht="69.95" customHeight="1">
      <c r="A195" s="512">
        <v>192</v>
      </c>
      <c r="B195" s="512"/>
      <c r="C195" s="520"/>
      <c r="D195" s="520"/>
      <c r="E195" s="520"/>
      <c r="F195" s="521"/>
      <c r="G195" s="521"/>
      <c r="H195" s="521"/>
      <c r="I195" s="524"/>
      <c r="J195" s="533"/>
      <c r="K195" s="523"/>
      <c r="L195" s="95"/>
      <c r="M195" s="96"/>
      <c r="N195" s="97"/>
      <c r="O195" s="115"/>
      <c r="P195" s="115"/>
      <c r="Q195" s="115"/>
    </row>
    <row r="196" spans="1:17" ht="69.95" customHeight="1">
      <c r="A196" s="512">
        <v>193</v>
      </c>
      <c r="B196" s="512"/>
      <c r="C196" s="520"/>
      <c r="D196" s="520"/>
      <c r="E196" s="520"/>
      <c r="F196" s="521"/>
      <c r="G196" s="521"/>
      <c r="H196" s="521"/>
      <c r="I196" s="524"/>
      <c r="J196" s="533"/>
      <c r="K196" s="523"/>
      <c r="L196" s="95"/>
      <c r="M196" s="96"/>
      <c r="N196" s="97"/>
      <c r="O196" s="115"/>
      <c r="P196" s="115"/>
      <c r="Q196" s="115"/>
    </row>
    <row r="197" spans="1:17" ht="69.95" customHeight="1">
      <c r="A197" s="512">
        <v>194</v>
      </c>
      <c r="B197" s="512"/>
      <c r="C197" s="520"/>
      <c r="D197" s="520"/>
      <c r="E197" s="520"/>
      <c r="F197" s="521"/>
      <c r="G197" s="521"/>
      <c r="H197" s="521"/>
      <c r="I197" s="524"/>
      <c r="J197" s="533"/>
      <c r="K197" s="523"/>
      <c r="L197" s="95"/>
      <c r="M197" s="96"/>
      <c r="N197" s="97"/>
      <c r="O197" s="115"/>
      <c r="P197" s="115"/>
      <c r="Q197" s="115"/>
    </row>
    <row r="198" spans="1:17" ht="69.95" customHeight="1">
      <c r="A198" s="512">
        <v>195</v>
      </c>
      <c r="B198" s="512"/>
      <c r="C198" s="520"/>
      <c r="D198" s="520"/>
      <c r="E198" s="520"/>
      <c r="F198" s="521"/>
      <c r="G198" s="521"/>
      <c r="H198" s="521"/>
      <c r="I198" s="524"/>
      <c r="J198" s="533"/>
      <c r="K198" s="523"/>
      <c r="L198" s="95"/>
      <c r="M198" s="96"/>
      <c r="N198" s="97"/>
      <c r="O198" s="115"/>
      <c r="P198" s="115"/>
      <c r="Q198" s="115"/>
    </row>
    <row r="199" spans="1:17" ht="69.95" customHeight="1">
      <c r="A199" s="512">
        <v>196</v>
      </c>
      <c r="B199" s="512"/>
      <c r="C199" s="520"/>
      <c r="D199" s="520"/>
      <c r="E199" s="520"/>
      <c r="F199" s="521"/>
      <c r="G199" s="521"/>
      <c r="H199" s="521"/>
      <c r="I199" s="524"/>
      <c r="J199" s="533"/>
      <c r="K199" s="523"/>
      <c r="L199" s="95"/>
      <c r="M199" s="96"/>
      <c r="N199" s="97"/>
      <c r="O199" s="115"/>
      <c r="P199" s="115"/>
      <c r="Q199" s="115"/>
    </row>
    <row r="200" spans="1:17" ht="69.95" customHeight="1">
      <c r="A200" s="512">
        <v>197</v>
      </c>
      <c r="B200" s="512"/>
      <c r="C200" s="520"/>
      <c r="D200" s="520"/>
      <c r="E200" s="520"/>
      <c r="F200" s="521"/>
      <c r="G200" s="521"/>
      <c r="H200" s="521"/>
      <c r="I200" s="524"/>
      <c r="J200" s="533"/>
      <c r="K200" s="523"/>
      <c r="L200" s="95"/>
      <c r="M200" s="96"/>
      <c r="N200" s="97"/>
      <c r="O200" s="115"/>
      <c r="P200" s="115"/>
      <c r="Q200" s="115"/>
    </row>
    <row r="201" spans="1:17" ht="69.95" customHeight="1">
      <c r="A201" s="512">
        <v>198</v>
      </c>
      <c r="B201" s="512"/>
      <c r="C201" s="520"/>
      <c r="D201" s="520"/>
      <c r="E201" s="520"/>
      <c r="F201" s="521"/>
      <c r="G201" s="521"/>
      <c r="H201" s="521"/>
      <c r="I201" s="524"/>
      <c r="J201" s="533"/>
      <c r="K201" s="523"/>
      <c r="L201" s="95"/>
      <c r="M201" s="96"/>
      <c r="N201" s="97"/>
      <c r="O201" s="115"/>
      <c r="P201" s="115"/>
      <c r="Q201" s="115"/>
    </row>
    <row r="202" spans="1:17" ht="69.95" customHeight="1">
      <c r="A202" s="512">
        <v>199</v>
      </c>
      <c r="B202" s="512"/>
      <c r="C202" s="520"/>
      <c r="D202" s="520"/>
      <c r="E202" s="520"/>
      <c r="F202" s="521"/>
      <c r="G202" s="521"/>
      <c r="H202" s="521"/>
      <c r="I202" s="524"/>
      <c r="J202" s="533"/>
      <c r="K202" s="523"/>
      <c r="L202" s="95"/>
      <c r="M202" s="96"/>
      <c r="N202" s="97"/>
      <c r="O202" s="115"/>
      <c r="P202" s="115"/>
      <c r="Q202" s="115"/>
    </row>
    <row r="203" spans="1:17" ht="69.95" customHeight="1">
      <c r="A203" s="512">
        <v>200</v>
      </c>
      <c r="B203" s="512"/>
      <c r="C203" s="520"/>
      <c r="D203" s="520"/>
      <c r="E203" s="520"/>
      <c r="F203" s="521"/>
      <c r="G203" s="521"/>
      <c r="H203" s="521"/>
      <c r="I203" s="524"/>
      <c r="J203" s="533"/>
      <c r="K203" s="523"/>
      <c r="L203" s="95"/>
      <c r="M203" s="96"/>
      <c r="N203" s="97"/>
      <c r="O203" s="115"/>
      <c r="P203" s="115"/>
      <c r="Q203" s="115"/>
    </row>
    <row r="204" spans="1:17">
      <c r="A204" s="122"/>
      <c r="B204" s="122"/>
      <c r="C204" s="123"/>
      <c r="D204" s="124"/>
      <c r="E204" s="125"/>
      <c r="F204" s="125"/>
      <c r="G204" s="125"/>
      <c r="H204" s="125"/>
      <c r="I204" s="125"/>
      <c r="J204" s="125"/>
      <c r="K204" s="125"/>
      <c r="L204" s="115"/>
      <c r="M204" s="115"/>
      <c r="N204" s="115"/>
      <c r="O204" s="115"/>
      <c r="P204" s="115"/>
      <c r="Q204" s="115"/>
    </row>
    <row r="205" spans="1:17" ht="15" customHeight="1">
      <c r="A205" s="115"/>
      <c r="B205" s="115"/>
      <c r="C205" s="115"/>
      <c r="D205" s="115"/>
      <c r="E205" s="115"/>
      <c r="F205" s="115"/>
      <c r="G205" s="115"/>
      <c r="H205" s="115"/>
      <c r="I205" s="115"/>
      <c r="J205" s="115"/>
      <c r="K205" s="115"/>
      <c r="L205" s="115"/>
      <c r="M205" s="115"/>
      <c r="N205" s="115"/>
      <c r="O205" s="115"/>
      <c r="P205" s="115"/>
      <c r="Q205" s="115"/>
    </row>
    <row r="206" spans="1:17">
      <c r="A206" s="115"/>
      <c r="B206" s="115"/>
      <c r="C206" s="115"/>
      <c r="D206" s="115"/>
      <c r="E206" s="115"/>
      <c r="F206" s="115"/>
      <c r="G206" s="115"/>
      <c r="H206" s="115"/>
      <c r="I206" s="115"/>
      <c r="J206" s="115"/>
      <c r="K206" s="115"/>
      <c r="L206" s="115"/>
      <c r="M206" s="115"/>
      <c r="N206" s="115"/>
      <c r="O206" s="115"/>
      <c r="P206" s="115"/>
      <c r="Q206" s="115"/>
    </row>
    <row r="207" spans="1:17" hidden="1"/>
    <row r="208" spans="1:17"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formatCells="0" formatColumns="0" formatRows="0"/>
  <dataConsolidate/>
  <mergeCells count="4">
    <mergeCell ref="L1:M1"/>
    <mergeCell ref="N2:N3"/>
    <mergeCell ref="B1:K1"/>
    <mergeCell ref="L2:M2"/>
  </mergeCells>
  <conditionalFormatting sqref="L3:M3">
    <cfRule type="cellIs" dxfId="236" priority="3" stopIfTrue="1" operator="equal">
      <formula>0</formula>
    </cfRule>
  </conditionalFormatting>
  <dataValidations count="4">
    <dataValidation type="list" allowBlank="1" showInputMessage="1" showErrorMessage="1" error="Fill section " sqref="D4:D203">
      <formula1>"ALL, A, B, C, D, E, F, G, H"</formula1>
    </dataValidation>
    <dataValidation type="whole" operator="lessThanOrEqual" allowBlank="1" showInputMessage="1" showErrorMessage="1" error="कुल कार्य दिवस से ज्यादा उपस्थिति enter नहीं कर सकते है " sqref="M4:M203">
      <formula1>L4</formula1>
    </dataValidation>
    <dataValidation type="list" allowBlank="1" showInputMessage="1" showErrorMessage="1" sqref="J4:J203">
      <formula1>"F, M"</formula1>
    </dataValidation>
    <dataValidation type="list" allowBlank="1" showInputMessage="1" showErrorMessage="1" sqref="K4:K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sheetPr codeName="Sheet1"/>
  <dimension ref="A1:CI237"/>
  <sheetViews>
    <sheetView showGridLines="0" workbookViewId="0">
      <pane xSplit="10" ySplit="7" topLeftCell="K8" activePane="bottomRight" state="frozen"/>
      <selection pane="topRight" activeCell="J1" sqref="J1"/>
      <selection pane="bottomLeft" activeCell="A8" sqref="A8"/>
      <selection pane="bottomRight" activeCell="M12" sqref="M12"/>
    </sheetView>
  </sheetViews>
  <sheetFormatPr defaultColWidth="0" defaultRowHeight="20.25" zeroHeight="1"/>
  <cols>
    <col min="1" max="1" width="5.75" style="5" customWidth="1"/>
    <col min="2" max="2" width="9" style="5" customWidth="1"/>
    <col min="3" max="3" width="5.875" style="5" customWidth="1"/>
    <col min="4" max="4" width="8.25" style="5" customWidth="1"/>
    <col min="5" max="5" width="13.875" style="5" customWidth="1"/>
    <col min="6" max="6" width="24" style="5" customWidth="1"/>
    <col min="7" max="7" width="24.875" style="5" customWidth="1"/>
    <col min="8" max="8" width="26" style="5" customWidth="1"/>
    <col min="9" max="9" width="5.875" style="5" customWidth="1"/>
    <col min="10" max="10" width="5.125" style="5" customWidth="1"/>
    <col min="11" max="24" width="5.75" style="5" customWidth="1"/>
    <col min="25" max="28" width="6.625" style="5" customWidth="1"/>
    <col min="29" max="32" width="5.75" style="5" customWidth="1"/>
    <col min="33" max="36" width="6.625" style="5" customWidth="1"/>
    <col min="37" max="37" width="6.125" style="5" customWidth="1"/>
    <col min="38" max="38" width="5.875" style="5" customWidth="1"/>
    <col min="39" max="40" width="5.75" style="5" customWidth="1"/>
    <col min="41" max="44" width="6.625" style="5" customWidth="1"/>
    <col min="45" max="48" width="5.75" style="5" customWidth="1"/>
    <col min="49" max="53" width="7.125" style="5" customWidth="1"/>
    <col min="54" max="56" width="6.625" style="5" customWidth="1"/>
    <col min="57" max="61" width="5.75" style="5" customWidth="1"/>
    <col min="62" max="62" width="3.75" style="5" customWidth="1"/>
    <col min="63" max="65" width="5.75" style="5" hidden="1" customWidth="1"/>
    <col min="66" max="87" width="25.875" style="5" hidden="1" customWidth="1"/>
    <col min="88" max="16384" width="5.75" style="5" hidden="1"/>
  </cols>
  <sheetData>
    <row r="1" spans="1:66" ht="24.75" customHeight="1" thickTop="1" thickBot="1">
      <c r="A1" s="1060" t="str">
        <f>IF('Master Sheet'!D11="Hindi",CONCATENATE("विद्यालय का नाम :-","  ",'Master Sheet'!D8),CONCATENATE("School Name :-","  ",'Master Sheet'!D7))</f>
        <v xml:space="preserve">विद्यालय का नाम :-  महात्मा गाँधी राजकीय विद्यालय (अंग्रेजी माध्यम) बर, पाली </v>
      </c>
      <c r="B1" s="1060"/>
      <c r="C1" s="1060"/>
      <c r="D1" s="1060"/>
      <c r="E1" s="1060"/>
      <c r="F1" s="1060"/>
      <c r="G1" s="567" t="str">
        <f>IF('Master Sheet'!$D$11="Hindi","सत्र :-","Session :-")</f>
        <v>सत्र :-</v>
      </c>
      <c r="H1" s="832" t="str">
        <f>IF('Master Sheet'!D13="","",'Master Sheet'!D13)</f>
        <v>2025-2026</v>
      </c>
      <c r="I1" s="1062"/>
      <c r="J1" s="1063"/>
      <c r="K1" s="1007" t="str">
        <f>'Master Sheet'!G6</f>
        <v>Com. Hindi</v>
      </c>
      <c r="L1" s="1008"/>
      <c r="M1" s="1008"/>
      <c r="N1" s="1008"/>
      <c r="O1" s="1008"/>
      <c r="P1" s="1013" t="str">
        <f>'Master Sheet'!G7</f>
        <v>Com. English</v>
      </c>
      <c r="Q1" s="1014"/>
      <c r="R1" s="1014"/>
      <c r="S1" s="1014"/>
      <c r="T1" s="1014"/>
      <c r="U1" s="1020" t="s">
        <v>213</v>
      </c>
      <c r="V1" s="1021"/>
      <c r="W1" s="1021"/>
      <c r="X1" s="1021"/>
      <c r="Y1" s="1021"/>
      <c r="Z1" s="1021"/>
      <c r="AA1" s="1021"/>
      <c r="AB1" s="1021"/>
      <c r="AC1" s="1022" t="s">
        <v>214</v>
      </c>
      <c r="AD1" s="1023"/>
      <c r="AE1" s="1023"/>
      <c r="AF1" s="1023"/>
      <c r="AG1" s="1023"/>
      <c r="AH1" s="1023"/>
      <c r="AI1" s="1023"/>
      <c r="AJ1" s="1023"/>
      <c r="AK1" s="1035" t="s">
        <v>215</v>
      </c>
      <c r="AL1" s="1036"/>
      <c r="AM1" s="1036"/>
      <c r="AN1" s="1036"/>
      <c r="AO1" s="1036"/>
      <c r="AP1" s="1036"/>
      <c r="AQ1" s="1036"/>
      <c r="AR1" s="1036"/>
      <c r="AS1" s="995" t="s">
        <v>282</v>
      </c>
      <c r="AT1" s="996"/>
      <c r="AU1" s="996"/>
      <c r="AV1" s="996"/>
      <c r="AW1" s="996"/>
      <c r="AX1" s="996"/>
      <c r="AY1" s="555"/>
      <c r="AZ1" s="555"/>
      <c r="BA1" s="781">
        <f>AW220</f>
        <v>2</v>
      </c>
      <c r="BB1" s="1005"/>
      <c r="BC1" s="1005"/>
      <c r="BD1" s="1005"/>
      <c r="BE1" s="964" t="str">
        <f>'Master Sheet'!G21</f>
        <v xml:space="preserve">आजादी के बाद का स्वर्णिम भारत </v>
      </c>
      <c r="BF1" s="965"/>
      <c r="BG1" s="965"/>
      <c r="BH1" s="965"/>
      <c r="BI1" s="965"/>
      <c r="BJ1" s="4"/>
    </row>
    <row r="2" spans="1:66" ht="30" customHeight="1" thickTop="1" thickBot="1">
      <c r="A2" s="1060"/>
      <c r="B2" s="1060"/>
      <c r="C2" s="1060"/>
      <c r="D2" s="1060"/>
      <c r="E2" s="1060"/>
      <c r="F2" s="1060"/>
      <c r="G2" s="567" t="str">
        <f>IF('Master Sheet'!$D$11="Hindi","कक्षा :-","Class :-")</f>
        <v>कक्षा :-</v>
      </c>
      <c r="H2" s="94">
        <v>11</v>
      </c>
      <c r="I2" s="1064"/>
      <c r="J2" s="1065"/>
      <c r="K2" s="1009"/>
      <c r="L2" s="1010"/>
      <c r="M2" s="1010"/>
      <c r="N2" s="1010"/>
      <c r="O2" s="1010"/>
      <c r="P2" s="1015"/>
      <c r="Q2" s="1016"/>
      <c r="R2" s="1016"/>
      <c r="S2" s="1016"/>
      <c r="T2" s="1016"/>
      <c r="U2" s="1024" t="s">
        <v>31</v>
      </c>
      <c r="V2" s="1025"/>
      <c r="W2" s="1025"/>
      <c r="X2" s="1073"/>
      <c r="Y2" s="1024" t="s">
        <v>12</v>
      </c>
      <c r="Z2" s="1025"/>
      <c r="AA2" s="1024"/>
      <c r="AB2" s="1025"/>
      <c r="AC2" s="1075" t="s">
        <v>24</v>
      </c>
      <c r="AD2" s="1076"/>
      <c r="AE2" s="1076"/>
      <c r="AF2" s="1077"/>
      <c r="AG2" s="1024" t="s">
        <v>10</v>
      </c>
      <c r="AH2" s="1025"/>
      <c r="AI2" s="1024" t="s">
        <v>17</v>
      </c>
      <c r="AJ2" s="1025"/>
      <c r="AK2" s="1081" t="s">
        <v>21</v>
      </c>
      <c r="AL2" s="1082"/>
      <c r="AM2" s="1082"/>
      <c r="AN2" s="1083"/>
      <c r="AO2" s="999" t="s">
        <v>25</v>
      </c>
      <c r="AP2" s="1000"/>
      <c r="AQ2" s="999" t="s">
        <v>43</v>
      </c>
      <c r="AR2" s="1000"/>
      <c r="AS2" s="999" t="s">
        <v>1</v>
      </c>
      <c r="AT2" s="1000"/>
      <c r="AU2" s="1000"/>
      <c r="AV2" s="1001"/>
      <c r="AW2" s="999" t="s">
        <v>142</v>
      </c>
      <c r="AX2" s="1000"/>
      <c r="AY2" s="999" t="s">
        <v>137</v>
      </c>
      <c r="AZ2" s="1000"/>
      <c r="BA2" s="1001"/>
      <c r="BB2" s="1006" t="str">
        <f>'Master Sheet'!G20</f>
        <v>जीवन कौशल</v>
      </c>
      <c r="BC2" s="1006"/>
      <c r="BD2" s="1006"/>
      <c r="BE2" s="973" t="str">
        <f>'Master Sheet'!H21</f>
        <v>Pravin Kumar</v>
      </c>
      <c r="BF2" s="974"/>
      <c r="BG2" s="974"/>
      <c r="BH2" s="975"/>
      <c r="BI2" s="975"/>
      <c r="BJ2" s="4"/>
    </row>
    <row r="3" spans="1:66" ht="30" customHeight="1" thickTop="1" thickBot="1">
      <c r="A3" s="1061"/>
      <c r="B3" s="1061"/>
      <c r="C3" s="1061"/>
      <c r="D3" s="1061"/>
      <c r="E3" s="1061"/>
      <c r="F3" s="1061"/>
      <c r="G3" s="568" t="str">
        <f>IF('Master Sheet'!$D$11="Hindi","संकाय :-","Faculty :-")</f>
        <v>संकाय :-</v>
      </c>
      <c r="H3" s="98" t="s">
        <v>283</v>
      </c>
      <c r="I3" s="1039" t="s">
        <v>211</v>
      </c>
      <c r="J3" s="1043" t="s">
        <v>212</v>
      </c>
      <c r="K3" s="1011" t="str">
        <f>IF('Master Sheet'!H6="","",'Master Sheet'!H6)</f>
        <v>Radheshyam</v>
      </c>
      <c r="L3" s="1012"/>
      <c r="M3" s="1012"/>
      <c r="N3" s="1012"/>
      <c r="O3" s="1012"/>
      <c r="P3" s="1017" t="str">
        <f>IF('Master Sheet'!H7="","",'Master Sheet'!H7)</f>
        <v>Heeralal Jat</v>
      </c>
      <c r="Q3" s="1018"/>
      <c r="R3" s="1018"/>
      <c r="S3" s="1019"/>
      <c r="T3" s="1019"/>
      <c r="U3" s="1029" t="str">
        <f>IFERROR(IF(AND(U2=""),"A",VLOOKUP(U2,'Master Sheet'!$G$8:$H$19,2,0)),"")</f>
        <v>Heeralal Jat</v>
      </c>
      <c r="V3" s="1030"/>
      <c r="W3" s="1030"/>
      <c r="X3" s="1074"/>
      <c r="Y3" s="1027" t="str">
        <f>IFERROR(IF(AND(Y2=""),"B",VLOOKUP(Y2,'Master Sheet'!$G$8:$H$19,2,0)),"")</f>
        <v/>
      </c>
      <c r="Z3" s="1028"/>
      <c r="AA3" s="1029" t="str">
        <f>IFERROR(IF(AND(AA2=""),"C",VLOOKUP(AA2,'Master Sheet'!$G$8:$H$19,2,0)),"")</f>
        <v>C</v>
      </c>
      <c r="AB3" s="1030"/>
      <c r="AC3" s="1078" t="str">
        <f>IFERROR(IF(AND(AC2=""),"A",VLOOKUP(AC2,'Master Sheet'!$G$8:$H$19,2,0)),"")</f>
        <v>Rakesh Kumar</v>
      </c>
      <c r="AD3" s="1079"/>
      <c r="AE3" s="1079"/>
      <c r="AF3" s="1080"/>
      <c r="AG3" s="1031" t="str">
        <f>IFERROR(IF(AND(AG2=""),"B",VLOOKUP(AG2,'Master Sheet'!$G$8:$H$19,2,0)),"")</f>
        <v/>
      </c>
      <c r="AH3" s="1032"/>
      <c r="AI3" s="1031" t="str">
        <f>IFERROR(IF(AND(AI2=""),"C",VLOOKUP(AI2,'Master Sheet'!$G$8:$H$19,2,0)),"")</f>
        <v/>
      </c>
      <c r="AJ3" s="1032"/>
      <c r="AK3" s="1084" t="str">
        <f>IFERROR(IF(AND(AK2=""),"A",VLOOKUP(AK2,'Master Sheet'!$G$8:$H$19,2,0)),"")</f>
        <v>Yogendra</v>
      </c>
      <c r="AL3" s="1085"/>
      <c r="AM3" s="1085"/>
      <c r="AN3" s="1086"/>
      <c r="AO3" s="1033" t="str">
        <f>IFERROR(IF(AND(AO2=""),"B",VLOOKUP(AO2,'Master Sheet'!$G$8:$H$19,2,0)),"")</f>
        <v/>
      </c>
      <c r="AP3" s="1034"/>
      <c r="AQ3" s="1033" t="str">
        <f>IFERROR(IF(AND(AQ2=""),"C",VLOOKUP(AQ2,'Master Sheet'!$G$8:$H$19,2,0)),"")</f>
        <v/>
      </c>
      <c r="AR3" s="1034"/>
      <c r="AS3" s="1002" t="str">
        <f>IFERROR(IF(AND(AS2=""),"A",VLOOKUP(AS2,'Master Sheet'!$G$8:$H$19,2,0)),"")</f>
        <v/>
      </c>
      <c r="AT3" s="1003"/>
      <c r="AU3" s="1003"/>
      <c r="AV3" s="1004"/>
      <c r="AW3" s="982" t="str">
        <f>IFERROR(IF(AND(AW2=""),"B",VLOOKUP(AW2,'Master Sheet'!$G$8:$H$19,2,0)),"")</f>
        <v/>
      </c>
      <c r="AX3" s="983"/>
      <c r="AY3" s="982" t="str">
        <f>IFERROR(IF(AND(AY2=""),"C",VLOOKUP(AY2,'Master Sheet'!$G$8:$H$19,2,0)),"")</f>
        <v/>
      </c>
      <c r="AZ3" s="983"/>
      <c r="BA3" s="984"/>
      <c r="BB3" s="1026" t="str">
        <f>IF('Master Sheet'!H20="","",'Master Sheet'!H20)</f>
        <v>Lalit Kumar</v>
      </c>
      <c r="BC3" s="1026"/>
      <c r="BD3" s="1026"/>
      <c r="BE3" s="979" t="str">
        <f>IF('Master Sheet'!$D$11="Hindi","सामयिक परख","Seasonal Exam")</f>
        <v>सामयिक परख</v>
      </c>
      <c r="BF3" s="980"/>
      <c r="BG3" s="981"/>
      <c r="BH3" s="978" t="str">
        <f>IF('Master Sheet'!$D$11="Hindi","अर्द्धवार्षिक","Half Yearly")</f>
        <v>अर्द्धवार्षिक</v>
      </c>
      <c r="BI3" s="978" t="str">
        <f>IF('Master Sheet'!$D$11="Hindi","वार्षिक","Yearly Exam")</f>
        <v>वार्षिक</v>
      </c>
      <c r="BJ3" s="4"/>
      <c r="BN3" s="2" t="s">
        <v>9</v>
      </c>
    </row>
    <row r="4" spans="1:66" ht="39" customHeight="1" thickTop="1" thickBot="1">
      <c r="A4" s="1055" t="s">
        <v>208</v>
      </c>
      <c r="B4" s="1055" t="s">
        <v>209</v>
      </c>
      <c r="C4" s="1055" t="s">
        <v>262</v>
      </c>
      <c r="D4" s="1055" t="s">
        <v>261</v>
      </c>
      <c r="E4" s="1055" t="s">
        <v>210</v>
      </c>
      <c r="F4" s="1068" t="str">
        <f>IF('Master Sheet'!$D$11="Hindi","विद्यार्थी विवरण","Student Details")</f>
        <v>विद्यार्थी विवरण</v>
      </c>
      <c r="G4" s="1068"/>
      <c r="H4" s="1068"/>
      <c r="I4" s="1039"/>
      <c r="J4" s="1043"/>
      <c r="K4" s="1057" t="str">
        <f>IF('Master Sheet'!$D$11="Hindi","सामयिक परख","Seasonal Exam")</f>
        <v>सामयिक परख</v>
      </c>
      <c r="L4" s="1058"/>
      <c r="M4" s="1058"/>
      <c r="N4" s="1059" t="str">
        <f>IF('Master Sheet'!$D$11="Hindi","अर्द्धवार्षिक","Half Yearly")</f>
        <v>अर्द्धवार्षिक</v>
      </c>
      <c r="O4" s="1059" t="str">
        <f>IF('Master Sheet'!$D$11="Hindi","वार्षिक","Yearly Exam")</f>
        <v>वार्षिक</v>
      </c>
      <c r="P4" s="1069" t="str">
        <f>IF('Master Sheet'!$D$11="Hindi","सामयिक परख","Seasonal Exam")</f>
        <v>सामयिक परख</v>
      </c>
      <c r="Q4" s="1070"/>
      <c r="R4" s="1070"/>
      <c r="S4" s="978" t="str">
        <f>IF('Master Sheet'!$D$11="Hindi","अर्द्धवार्षिक","Half Yearly")</f>
        <v>अर्द्धवार्षिक</v>
      </c>
      <c r="T4" s="978" t="str">
        <f>IF('Master Sheet'!$D$11="Hindi","वार्षिक","Yearly Exam")</f>
        <v>वार्षिक</v>
      </c>
      <c r="U4" s="1051" t="str">
        <f>IF('Master Sheet'!$D$11="Hindi","विषय कोड","Subject Code")</f>
        <v>विषय कोड</v>
      </c>
      <c r="V4" s="990" t="str">
        <f>IF('Master Sheet'!$D$11="Hindi","सामयिक परख","Seasonal Exam")</f>
        <v>सामयिक परख</v>
      </c>
      <c r="W4" s="990"/>
      <c r="X4" s="990"/>
      <c r="Y4" s="989" t="str">
        <f>IF('Master Sheet'!$D$11="Hindi","अर्द्धवार्षिक","Half Yearly")</f>
        <v>अर्द्धवार्षिक</v>
      </c>
      <c r="Z4" s="989"/>
      <c r="AA4" s="990" t="str">
        <f>IF('Master Sheet'!$D$11="Hindi","वार्षिक","Yearly Exam")</f>
        <v>वार्षिक</v>
      </c>
      <c r="AB4" s="990"/>
      <c r="AC4" s="1046" t="str">
        <f>IF('Master Sheet'!$D$11="Hindi","विषय कोड","Subject Code")</f>
        <v>विषय कोड</v>
      </c>
      <c r="AD4" s="1050" t="str">
        <f>IF('Master Sheet'!$D$11="Hindi","सामयिक परख","Seasonal Exam")</f>
        <v>सामयिक परख</v>
      </c>
      <c r="AE4" s="1050"/>
      <c r="AF4" s="1050"/>
      <c r="AG4" s="1049" t="str">
        <f>IF('Master Sheet'!$D$11="Hindi","अर्द्धवार्षिक","Half Yearly")</f>
        <v>अर्द्धवार्षिक</v>
      </c>
      <c r="AH4" s="1049"/>
      <c r="AI4" s="1050" t="str">
        <f>IF('Master Sheet'!$D$11="Hindi","वार्षिक","Yearly Exam")</f>
        <v>वार्षिक</v>
      </c>
      <c r="AJ4" s="1050"/>
      <c r="AK4" s="991" t="str">
        <f>IF('Master Sheet'!$D$11="Hindi","विषय कोड","Subject Code")</f>
        <v>विषय कोड</v>
      </c>
      <c r="AL4" s="985" t="str">
        <f>IF('Master Sheet'!$D$11="Hindi","सामयिक परख","Seasonal Exam")</f>
        <v>सामयिक परख</v>
      </c>
      <c r="AM4" s="985"/>
      <c r="AN4" s="985"/>
      <c r="AO4" s="994" t="str">
        <f>IF('Master Sheet'!$D$11="Hindi","अर्द्धवार्षिक","Half Yearly")</f>
        <v>अर्द्धवार्षिक</v>
      </c>
      <c r="AP4" s="994"/>
      <c r="AQ4" s="985" t="str">
        <f>IF('Master Sheet'!$D$11="Hindi","वार्षिक","Yearly Exam")</f>
        <v>वार्षिक</v>
      </c>
      <c r="AR4" s="985"/>
      <c r="AS4" s="986" t="str">
        <f>IF('Master Sheet'!$D$11="Hindi","विषय कोड","Subject Code")</f>
        <v>विषय कोड</v>
      </c>
      <c r="AT4" s="990" t="str">
        <f>IF('Master Sheet'!$D$11="Hindi","सामयिक परख","Seasonal Exam")</f>
        <v>सामयिक परख</v>
      </c>
      <c r="AU4" s="990"/>
      <c r="AV4" s="990"/>
      <c r="AW4" s="989" t="str">
        <f>IF('Master Sheet'!$D$11="Hindi","अर्द्धवार्षिक","Half Yearly")</f>
        <v>अर्द्धवार्षिक</v>
      </c>
      <c r="AX4" s="989"/>
      <c r="AY4" s="990" t="str">
        <f>IF('Master Sheet'!$D$11="Hindi","वार्षिक","Yearly Exam")</f>
        <v>वार्षिक</v>
      </c>
      <c r="AZ4" s="990"/>
      <c r="BA4" s="990"/>
      <c r="BB4" s="1054" t="str">
        <f>IF('Master Sheet'!$D$11="Hindi","अनिवार्य प्रवृति","Compulsory Tendency")</f>
        <v>अनिवार्य प्रवृति</v>
      </c>
      <c r="BC4" s="1054" t="str">
        <f>IF('Master Sheet'!$D$11="Hindi","वैकल्पिक प्रवृति","Alternative Tendency")</f>
        <v>वैकल्पिक प्रवृति</v>
      </c>
      <c r="BD4" s="1045" t="str">
        <f>IF('Master Sheet'!$D$11="Hindi","वार्षिक परीक्षा","Yearly Exam")</f>
        <v>वार्षिक परीक्षा</v>
      </c>
      <c r="BE4" s="969" t="str">
        <f>IF('Master Sheet'!$D$11="Hindi","प्रथम परख ","First Test")</f>
        <v xml:space="preserve">प्रथम परख </v>
      </c>
      <c r="BF4" s="971" t="str">
        <f>IF('Master Sheet'!$D$11="Hindi","द्वितीय परख","Second Test")</f>
        <v>द्वितीय परख</v>
      </c>
      <c r="BG4" s="976" t="str">
        <f>IF('Master Sheet'!$D$11="Hindi","तृतीय परख","Third Test")</f>
        <v>तृतीय परख</v>
      </c>
      <c r="BH4" s="978"/>
      <c r="BI4" s="978"/>
      <c r="BJ4" s="4"/>
      <c r="BN4" s="3" t="str">
        <f>IF('Master Sheet'!L4="","",'Master Sheet'!L4)</f>
        <v>ACCOUNTANCY</v>
      </c>
    </row>
    <row r="5" spans="1:66" s="7" customFormat="1" ht="69.75" customHeight="1" thickTop="1" thickBot="1">
      <c r="A5" s="1055"/>
      <c r="B5" s="1055"/>
      <c r="C5" s="1055"/>
      <c r="D5" s="1055"/>
      <c r="E5" s="1071"/>
      <c r="F5" s="569" t="s">
        <v>197</v>
      </c>
      <c r="G5" s="569" t="s">
        <v>198</v>
      </c>
      <c r="H5" s="570" t="s">
        <v>199</v>
      </c>
      <c r="I5" s="1039"/>
      <c r="J5" s="1043"/>
      <c r="K5" s="128" t="str">
        <f>IF('Master Sheet'!$D$11="Hindi","प्रथम परख ","First Test")</f>
        <v xml:space="preserve">प्रथम परख </v>
      </c>
      <c r="L5" s="128" t="str">
        <f>IF('Master Sheet'!$D$11="Hindi","द्वितीय परख","Second Test")</f>
        <v>द्वितीय परख</v>
      </c>
      <c r="M5" s="518" t="str">
        <f>IF('Master Sheet'!$D$11="Hindi","तृतीय परख","Third Test")</f>
        <v>तृतीय परख</v>
      </c>
      <c r="N5" s="1059"/>
      <c r="O5" s="1059"/>
      <c r="P5" s="519" t="str">
        <f>IF('Master Sheet'!$D$11="Hindi","प्रथम परख ","First Test")</f>
        <v xml:space="preserve">प्रथम परख </v>
      </c>
      <c r="Q5" s="129" t="str">
        <f>IF('Master Sheet'!$D$11="Hindi","द्वितीय परख","Second Test")</f>
        <v>द्वितीय परख</v>
      </c>
      <c r="R5" s="534" t="str">
        <f>IF('Master Sheet'!$D$11="Hindi","तृतीय परख","Third Test")</f>
        <v>तृतीय परख</v>
      </c>
      <c r="S5" s="978"/>
      <c r="T5" s="978"/>
      <c r="U5" s="1052"/>
      <c r="V5" s="85" t="str">
        <f>IF('Master Sheet'!$D$11="Hindi","प्रथम परख ","First Test")</f>
        <v xml:space="preserve">प्रथम परख </v>
      </c>
      <c r="W5" s="85" t="str">
        <f>IF('Master Sheet'!$D$11="Hindi","द्वितीय परख","Second Test")</f>
        <v>द्वितीय परख</v>
      </c>
      <c r="X5" s="85" t="str">
        <f>IF('Master Sheet'!$D$11="Hindi","तृतीय परख","Third Test")</f>
        <v>तृतीय परख</v>
      </c>
      <c r="Y5" s="86" t="str">
        <f>IF('Master Sheet'!$D$11="Hindi","सैद्धांतिक","Theoretical")</f>
        <v>सैद्धांतिक</v>
      </c>
      <c r="Z5" s="535" t="str">
        <f>IF('Master Sheet'!$D$11="Hindi","प्रायोगिक","Practical")</f>
        <v>प्रायोगिक</v>
      </c>
      <c r="AA5" s="537" t="str">
        <f>IF('Master Sheet'!$D$11="Hindi","सैद्धांतिक","Theoretical")</f>
        <v>सैद्धांतिक</v>
      </c>
      <c r="AB5" s="538" t="str">
        <f>IF('Master Sheet'!$D$11="Hindi","प्रायोगिक","Practical")</f>
        <v>प्रायोगिक</v>
      </c>
      <c r="AC5" s="1047"/>
      <c r="AD5" s="87" t="str">
        <f>IF('Master Sheet'!$D$11="Hindi","प्रथम परख ","First Test")</f>
        <v xml:space="preserve">प्रथम परख </v>
      </c>
      <c r="AE5" s="87" t="str">
        <f>IF('Master Sheet'!$D$11="Hindi","द्वितीय परख","Second Test")</f>
        <v>द्वितीय परख</v>
      </c>
      <c r="AF5" s="87" t="str">
        <f>IF('Master Sheet'!$D$11="Hindi","तृतीय परख","Third Test")</f>
        <v>तृतीय परख</v>
      </c>
      <c r="AG5" s="88" t="str">
        <f>IF('Master Sheet'!$D$11="Hindi","सैद्धांतिक","Theoretical")</f>
        <v>सैद्धांतिक</v>
      </c>
      <c r="AH5" s="539" t="str">
        <f>IF('Master Sheet'!$D$11="Hindi","प्रायोगिक","Practical")</f>
        <v>प्रायोगिक</v>
      </c>
      <c r="AI5" s="540" t="str">
        <f>IF('Master Sheet'!$D$11="Hindi","सैद्धांतिक","Theoretical")</f>
        <v>सैद्धांतिक</v>
      </c>
      <c r="AJ5" s="541" t="str">
        <f>IF('Master Sheet'!$D$11="Hindi","प्रायोगिक","Practical")</f>
        <v>प्रायोगिक</v>
      </c>
      <c r="AK5" s="992"/>
      <c r="AL5" s="89" t="str">
        <f>IF('Master Sheet'!$D$11="Hindi","प्रथम परख ","First Test")</f>
        <v xml:space="preserve">प्रथम परख </v>
      </c>
      <c r="AM5" s="89" t="str">
        <f>IF('Master Sheet'!$D$11="Hindi","द्वितीय परख","Second Test")</f>
        <v>द्वितीय परख</v>
      </c>
      <c r="AN5" s="89" t="str">
        <f>IF('Master Sheet'!$D$11="Hindi","तृतीय परख","Third Test")</f>
        <v>तृतीय परख</v>
      </c>
      <c r="AO5" s="90" t="str">
        <f>IF('Master Sheet'!$D$11="Hindi","सैद्धांतिक","Theoretical")</f>
        <v>सैद्धांतिक</v>
      </c>
      <c r="AP5" s="542" t="str">
        <f>IF('Master Sheet'!$D$11="Hindi","प्रायोगिक","Practical")</f>
        <v>प्रायोगिक</v>
      </c>
      <c r="AQ5" s="543" t="str">
        <f>IF('Master Sheet'!$D$11="Hindi","सैद्धांतिक","Theoretical")</f>
        <v>सैद्धांतिक</v>
      </c>
      <c r="AR5" s="544" t="str">
        <f>IF('Master Sheet'!$D$11="Hindi","प्रायोगिक","Practical")</f>
        <v>प्रायोगिक</v>
      </c>
      <c r="AS5" s="987"/>
      <c r="AT5" s="85" t="str">
        <f>IF('Master Sheet'!$D$11="Hindi","प्रथम परख ","First Test")</f>
        <v xml:space="preserve">प्रथम परख </v>
      </c>
      <c r="AU5" s="85" t="str">
        <f>IF('Master Sheet'!$D$11="Hindi","द्वितीय परख","Second Test")</f>
        <v>द्वितीय परख</v>
      </c>
      <c r="AV5" s="85" t="str">
        <f>IF('Master Sheet'!$D$11="Hindi","तृतीय परख","Third Test")</f>
        <v>तृतीय परख</v>
      </c>
      <c r="AW5" s="86" t="str">
        <f>IF('Master Sheet'!$D$11="Hindi","सैद्धांतिक","Theoretical")</f>
        <v>सैद्धांतिक</v>
      </c>
      <c r="AX5" s="535" t="str">
        <f>IF('Master Sheet'!$D$11="Hindi","प्रायोगिक","Practical")</f>
        <v>प्रायोगिक</v>
      </c>
      <c r="AY5" s="537" t="str">
        <f>IF('Master Sheet'!$D$11="Hindi","सैद्धांतिक","Theoretical")</f>
        <v>सैद्धांतिक</v>
      </c>
      <c r="AZ5" s="537" t="str">
        <f>IF('Master Sheet'!$D$11="Hindi","पोर्टफोलियो","Portfolio")</f>
        <v>पोर्टफोलियो</v>
      </c>
      <c r="BA5" s="538" t="str">
        <f>IF('Master Sheet'!$D$11="Hindi","प्रायोगिक","Practical")</f>
        <v>प्रायोगिक</v>
      </c>
      <c r="BB5" s="1054"/>
      <c r="BC5" s="1054"/>
      <c r="BD5" s="1045"/>
      <c r="BE5" s="970"/>
      <c r="BF5" s="972"/>
      <c r="BG5" s="977"/>
      <c r="BH5" s="978"/>
      <c r="BI5" s="978"/>
      <c r="BJ5" s="6"/>
      <c r="BN5" s="3" t="str">
        <f>IF('Master Sheet'!L5="","",'Master Sheet'!L5)</f>
        <v>BUSINESS STUDIES</v>
      </c>
    </row>
    <row r="6" spans="1:66" ht="23.25" customHeight="1" thickTop="1" thickBot="1">
      <c r="A6" s="1055"/>
      <c r="B6" s="1055"/>
      <c r="C6" s="1055"/>
      <c r="D6" s="1055"/>
      <c r="E6" s="1071"/>
      <c r="F6" s="1066" t="s">
        <v>203</v>
      </c>
      <c r="G6" s="1066" t="s">
        <v>204</v>
      </c>
      <c r="H6" s="1067" t="s">
        <v>205</v>
      </c>
      <c r="I6" s="1039"/>
      <c r="J6" s="1043"/>
      <c r="K6" s="966">
        <v>10</v>
      </c>
      <c r="L6" s="966">
        <v>10</v>
      </c>
      <c r="M6" s="966">
        <v>10</v>
      </c>
      <c r="N6" s="968">
        <v>70</v>
      </c>
      <c r="O6" s="968">
        <v>100</v>
      </c>
      <c r="P6" s="966">
        <v>10</v>
      </c>
      <c r="Q6" s="966">
        <v>10</v>
      </c>
      <c r="R6" s="966">
        <v>10</v>
      </c>
      <c r="S6" s="968">
        <v>70</v>
      </c>
      <c r="T6" s="968">
        <v>100</v>
      </c>
      <c r="U6" s="1052"/>
      <c r="V6" s="997">
        <v>10</v>
      </c>
      <c r="W6" s="997">
        <v>10</v>
      </c>
      <c r="X6" s="997">
        <v>10</v>
      </c>
      <c r="Y6" s="49">
        <v>50</v>
      </c>
      <c r="Z6" s="49">
        <v>20</v>
      </c>
      <c r="AA6" s="536">
        <v>70</v>
      </c>
      <c r="AB6" s="536">
        <v>30</v>
      </c>
      <c r="AC6" s="1047"/>
      <c r="AD6" s="997">
        <v>10</v>
      </c>
      <c r="AE6" s="997">
        <v>10</v>
      </c>
      <c r="AF6" s="997">
        <v>10</v>
      </c>
      <c r="AG6" s="49">
        <v>50</v>
      </c>
      <c r="AH6" s="49">
        <v>20</v>
      </c>
      <c r="AI6" s="536">
        <v>70</v>
      </c>
      <c r="AJ6" s="536">
        <v>30</v>
      </c>
      <c r="AK6" s="992"/>
      <c r="AL6" s="997">
        <v>10</v>
      </c>
      <c r="AM6" s="997">
        <v>10</v>
      </c>
      <c r="AN6" s="997">
        <v>10</v>
      </c>
      <c r="AO6" s="49">
        <v>50</v>
      </c>
      <c r="AP6" s="49">
        <v>20</v>
      </c>
      <c r="AQ6" s="536">
        <v>70</v>
      </c>
      <c r="AR6" s="536">
        <v>30</v>
      </c>
      <c r="AS6" s="987"/>
      <c r="AT6" s="997">
        <v>10</v>
      </c>
      <c r="AU6" s="997">
        <v>10</v>
      </c>
      <c r="AV6" s="997">
        <v>10</v>
      </c>
      <c r="AW6" s="49">
        <v>50</v>
      </c>
      <c r="AX6" s="49">
        <v>20</v>
      </c>
      <c r="AY6" s="536">
        <v>30</v>
      </c>
      <c r="AZ6" s="536">
        <v>20</v>
      </c>
      <c r="BA6" s="536">
        <v>50</v>
      </c>
      <c r="BB6" s="1041">
        <v>30</v>
      </c>
      <c r="BC6" s="1041">
        <v>30</v>
      </c>
      <c r="BD6" s="1037">
        <v>40</v>
      </c>
      <c r="BE6" s="966">
        <v>10</v>
      </c>
      <c r="BF6" s="966">
        <v>10</v>
      </c>
      <c r="BG6" s="966">
        <v>10</v>
      </c>
      <c r="BH6" s="968">
        <v>70</v>
      </c>
      <c r="BI6" s="968">
        <v>100</v>
      </c>
      <c r="BJ6" s="8"/>
      <c r="BN6" s="3" t="str">
        <f>IF('Master Sheet'!L6="","",'Master Sheet'!L6)</f>
        <v>ECONOMICS</v>
      </c>
    </row>
    <row r="7" spans="1:66" ht="21.75" customHeight="1" thickTop="1" thickBot="1">
      <c r="A7" s="1056"/>
      <c r="B7" s="1056"/>
      <c r="C7" s="1056"/>
      <c r="D7" s="1056"/>
      <c r="E7" s="1072"/>
      <c r="F7" s="1066"/>
      <c r="G7" s="1066"/>
      <c r="H7" s="1067"/>
      <c r="I7" s="1040"/>
      <c r="J7" s="1044"/>
      <c r="K7" s="967"/>
      <c r="L7" s="967"/>
      <c r="M7" s="967"/>
      <c r="N7" s="967"/>
      <c r="O7" s="967"/>
      <c r="P7" s="967"/>
      <c r="Q7" s="967"/>
      <c r="R7" s="967"/>
      <c r="S7" s="967"/>
      <c r="T7" s="967"/>
      <c r="U7" s="1053"/>
      <c r="V7" s="998"/>
      <c r="W7" s="998"/>
      <c r="X7" s="998"/>
      <c r="Y7" s="50">
        <v>70</v>
      </c>
      <c r="Z7" s="50"/>
      <c r="AA7" s="51">
        <v>100</v>
      </c>
      <c r="AB7" s="51"/>
      <c r="AC7" s="1048"/>
      <c r="AD7" s="998"/>
      <c r="AE7" s="998"/>
      <c r="AF7" s="998"/>
      <c r="AG7" s="50">
        <v>70</v>
      </c>
      <c r="AH7" s="50"/>
      <c r="AI7" s="51">
        <v>100</v>
      </c>
      <c r="AJ7" s="51"/>
      <c r="AK7" s="993"/>
      <c r="AL7" s="998"/>
      <c r="AM7" s="998"/>
      <c r="AN7" s="998"/>
      <c r="AO7" s="50">
        <v>70</v>
      </c>
      <c r="AP7" s="50"/>
      <c r="AQ7" s="51">
        <v>100</v>
      </c>
      <c r="AR7" s="51"/>
      <c r="AS7" s="988"/>
      <c r="AT7" s="998"/>
      <c r="AU7" s="998"/>
      <c r="AV7" s="998"/>
      <c r="AW7" s="50">
        <v>70</v>
      </c>
      <c r="AX7" s="50"/>
      <c r="AY7" s="51">
        <v>100</v>
      </c>
      <c r="AZ7" s="51"/>
      <c r="BA7" s="51">
        <v>30</v>
      </c>
      <c r="BB7" s="1042"/>
      <c r="BC7" s="1042"/>
      <c r="BD7" s="1038"/>
      <c r="BE7" s="967"/>
      <c r="BF7" s="967"/>
      <c r="BG7" s="967"/>
      <c r="BH7" s="967"/>
      <c r="BI7" s="967"/>
      <c r="BJ7" s="8"/>
      <c r="BN7" s="3" t="str">
        <f>IF('Master Sheet'!L7="","",'Master Sheet'!L7)</f>
        <v>ENGLISH LITERATURE</v>
      </c>
    </row>
    <row r="8" spans="1:66">
      <c r="A8" s="513">
        <f>IF('Student DATA Entry'!A4="","",'Student DATA Entry'!A4)</f>
        <v>1</v>
      </c>
      <c r="B8" s="527">
        <f>IF('Student DATA Entry'!B4="","",'Student DATA Entry'!B4)</f>
        <v>1101</v>
      </c>
      <c r="C8" s="514" t="str">
        <f>IF('Student DATA Entry'!D4="","",'Student DATA Entry'!D4)</f>
        <v>A</v>
      </c>
      <c r="D8" s="529">
        <f>IF('Student DATA Entry'!E4="","",'Student DATA Entry'!E4)</f>
        <v>230</v>
      </c>
      <c r="E8" s="531">
        <f>IF('Student DATA Entry'!I4="","",'Student DATA Entry'!I4)</f>
        <v>37622</v>
      </c>
      <c r="F8" s="515" t="str">
        <f>IF('Student DATA Entry'!F4="","",UPPER('Student DATA Entry'!F4))</f>
        <v>A</v>
      </c>
      <c r="G8" s="515" t="str">
        <f>IF('Student DATA Entry'!G4="","",UPPER('Student DATA Entry'!G4))</f>
        <v>X</v>
      </c>
      <c r="H8" s="515" t="str">
        <f>IF('Student DATA Entry'!H4="","",UPPER('Student DATA Entry'!H4))</f>
        <v>M</v>
      </c>
      <c r="I8" s="525" t="str">
        <f>IF('Student DATA Entry'!K4="","",UPPER('Student DATA Entry'!K4))</f>
        <v>GEN</v>
      </c>
      <c r="J8" s="559" t="str">
        <f>IF('Student DATA Entry'!J4="","",UPPER('Student DATA Entry'!J4))</f>
        <v>M</v>
      </c>
      <c r="K8" s="101">
        <v>8</v>
      </c>
      <c r="L8" s="45">
        <v>8</v>
      </c>
      <c r="M8" s="45">
        <v>9</v>
      </c>
      <c r="N8" s="46">
        <v>46</v>
      </c>
      <c r="O8" s="102">
        <v>70</v>
      </c>
      <c r="P8" s="101">
        <v>8</v>
      </c>
      <c r="Q8" s="45">
        <v>5</v>
      </c>
      <c r="R8" s="45">
        <v>8</v>
      </c>
      <c r="S8" s="46">
        <v>48</v>
      </c>
      <c r="T8" s="102">
        <v>74</v>
      </c>
      <c r="U8" s="101" t="s">
        <v>6</v>
      </c>
      <c r="V8" s="45">
        <v>8</v>
      </c>
      <c r="W8" s="45">
        <v>9</v>
      </c>
      <c r="X8" s="45">
        <v>10</v>
      </c>
      <c r="Y8" s="55">
        <v>45</v>
      </c>
      <c r="Z8" s="55"/>
      <c r="AA8" s="56">
        <v>57</v>
      </c>
      <c r="AB8" s="563"/>
      <c r="AC8" s="101" t="s">
        <v>6</v>
      </c>
      <c r="AD8" s="45">
        <v>5</v>
      </c>
      <c r="AE8" s="45">
        <v>9</v>
      </c>
      <c r="AF8" s="45">
        <v>8</v>
      </c>
      <c r="AG8" s="55">
        <v>55</v>
      </c>
      <c r="AH8" s="55"/>
      <c r="AI8" s="56">
        <v>81</v>
      </c>
      <c r="AJ8" s="563"/>
      <c r="AK8" s="101" t="s">
        <v>6</v>
      </c>
      <c r="AL8" s="45" t="s">
        <v>110</v>
      </c>
      <c r="AM8" s="45">
        <v>6</v>
      </c>
      <c r="AN8" s="45">
        <v>8</v>
      </c>
      <c r="AO8" s="55">
        <v>40</v>
      </c>
      <c r="AP8" s="55">
        <v>10</v>
      </c>
      <c r="AQ8" s="56">
        <v>56</v>
      </c>
      <c r="AR8" s="563">
        <v>11</v>
      </c>
      <c r="AS8" s="44" t="s">
        <v>6</v>
      </c>
      <c r="AT8" s="45">
        <v>10</v>
      </c>
      <c r="AU8" s="45">
        <v>5</v>
      </c>
      <c r="AV8" s="45">
        <v>4</v>
      </c>
      <c r="AW8" s="55">
        <v>65</v>
      </c>
      <c r="AX8" s="55"/>
      <c r="AY8" s="56">
        <v>89</v>
      </c>
      <c r="AZ8" s="108"/>
      <c r="BA8" s="108"/>
      <c r="BB8" s="557">
        <v>25</v>
      </c>
      <c r="BC8" s="558">
        <v>20</v>
      </c>
      <c r="BD8" s="102">
        <v>38</v>
      </c>
      <c r="BE8" s="101">
        <v>9</v>
      </c>
      <c r="BF8" s="45">
        <v>9</v>
      </c>
      <c r="BG8" s="45">
        <v>9</v>
      </c>
      <c r="BH8" s="46">
        <v>45</v>
      </c>
      <c r="BI8" s="102">
        <v>98</v>
      </c>
      <c r="BJ8" s="9"/>
      <c r="BN8" s="3" t="str">
        <f>IF('Master Sheet'!L8="","",'Master Sheet'!L8)</f>
        <v>ENVIRONMENTAL STUDIES</v>
      </c>
    </row>
    <row r="9" spans="1:66">
      <c r="A9" s="516">
        <f>IF('Student DATA Entry'!A5="","",'Student DATA Entry'!A5)</f>
        <v>2</v>
      </c>
      <c r="B9" s="528">
        <f>IF('Student DATA Entry'!B5="","",'Student DATA Entry'!B5)</f>
        <v>1102</v>
      </c>
      <c r="C9" s="126" t="str">
        <f>IF('Student DATA Entry'!D5="","",'Student DATA Entry'!D5)</f>
        <v>A</v>
      </c>
      <c r="D9" s="530">
        <f>IF('Student DATA Entry'!E5="","",'Student DATA Entry'!E5)</f>
        <v>231</v>
      </c>
      <c r="E9" s="532">
        <f>IF('Student DATA Entry'!I5="","",'Student DATA Entry'!I5)</f>
        <v>38090</v>
      </c>
      <c r="F9" s="127" t="str">
        <f>IF('Student DATA Entry'!F5="","",UPPER('Student DATA Entry'!F5))</f>
        <v>B</v>
      </c>
      <c r="G9" s="127" t="str">
        <f>IF('Student DATA Entry'!G5="","",UPPER('Student DATA Entry'!G5))</f>
        <v>Y</v>
      </c>
      <c r="H9" s="127" t="str">
        <f>IF('Student DATA Entry'!H5="","",UPPER('Student DATA Entry'!H5))</f>
        <v>N</v>
      </c>
      <c r="I9" s="526" t="str">
        <f>IF('Student DATA Entry'!K5="","",UPPER('Student DATA Entry'!K5))</f>
        <v>OBC</v>
      </c>
      <c r="J9" s="560" t="str">
        <f>IF('Student DATA Entry'!J5="","",UPPER('Student DATA Entry'!J5))</f>
        <v>M</v>
      </c>
      <c r="K9" s="103">
        <v>8</v>
      </c>
      <c r="L9" s="19">
        <v>9</v>
      </c>
      <c r="M9" s="19">
        <v>7</v>
      </c>
      <c r="N9" s="20">
        <v>46</v>
      </c>
      <c r="O9" s="104">
        <v>45</v>
      </c>
      <c r="P9" s="103">
        <v>9</v>
      </c>
      <c r="Q9" s="19">
        <v>5</v>
      </c>
      <c r="R9" s="19">
        <v>7</v>
      </c>
      <c r="S9" s="20">
        <v>41</v>
      </c>
      <c r="T9" s="104">
        <v>71</v>
      </c>
      <c r="U9" s="103" t="s">
        <v>45</v>
      </c>
      <c r="V9" s="19">
        <v>9</v>
      </c>
      <c r="W9" s="19">
        <v>10</v>
      </c>
      <c r="X9" s="19">
        <v>8</v>
      </c>
      <c r="Y9" s="52">
        <v>34</v>
      </c>
      <c r="Z9" s="52">
        <v>8</v>
      </c>
      <c r="AA9" s="57">
        <v>53</v>
      </c>
      <c r="AB9" s="564">
        <v>10</v>
      </c>
      <c r="AC9" s="103" t="s">
        <v>45</v>
      </c>
      <c r="AD9" s="19">
        <v>8</v>
      </c>
      <c r="AE9" s="19">
        <v>10</v>
      </c>
      <c r="AF9" s="19">
        <v>9</v>
      </c>
      <c r="AG9" s="52">
        <v>45</v>
      </c>
      <c r="AH9" s="52">
        <v>16</v>
      </c>
      <c r="AI9" s="57">
        <v>42</v>
      </c>
      <c r="AJ9" s="564">
        <v>25</v>
      </c>
      <c r="AK9" s="103" t="s">
        <v>45</v>
      </c>
      <c r="AL9" s="19">
        <v>4</v>
      </c>
      <c r="AM9" s="19">
        <v>4</v>
      </c>
      <c r="AN9" s="19">
        <v>9</v>
      </c>
      <c r="AO9" s="52">
        <v>10</v>
      </c>
      <c r="AP9" s="52"/>
      <c r="AQ9" s="57">
        <v>35</v>
      </c>
      <c r="AR9" s="564"/>
      <c r="AS9" s="18"/>
      <c r="AT9" s="19"/>
      <c r="AU9" s="19"/>
      <c r="AV9" s="19"/>
      <c r="AW9" s="52"/>
      <c r="AX9" s="52"/>
      <c r="AY9" s="57"/>
      <c r="AZ9" s="109"/>
      <c r="BA9" s="109"/>
      <c r="BB9" s="549">
        <v>26</v>
      </c>
      <c r="BC9" s="550">
        <v>25</v>
      </c>
      <c r="BD9" s="104">
        <v>36</v>
      </c>
      <c r="BE9" s="103">
        <v>8</v>
      </c>
      <c r="BF9" s="19">
        <v>8</v>
      </c>
      <c r="BG9" s="19">
        <v>8</v>
      </c>
      <c r="BH9" s="20">
        <v>50</v>
      </c>
      <c r="BI9" s="104">
        <v>80</v>
      </c>
      <c r="BJ9" s="9"/>
      <c r="BN9" s="3" t="str">
        <f>IF('Master Sheet'!L9="","",'Master Sheet'!L9)</f>
        <v>FARSI LITERATURE</v>
      </c>
    </row>
    <row r="10" spans="1:66">
      <c r="A10" s="516">
        <f>IF('Student DATA Entry'!A6="","",'Student DATA Entry'!A6)</f>
        <v>3</v>
      </c>
      <c r="B10" s="528">
        <f>IF('Student DATA Entry'!B6="","",'Student DATA Entry'!B6)</f>
        <v>1103</v>
      </c>
      <c r="C10" s="126" t="str">
        <f>IF('Student DATA Entry'!D6="","",'Student DATA Entry'!D6)</f>
        <v>A</v>
      </c>
      <c r="D10" s="530">
        <f>IF('Student DATA Entry'!E6="","",'Student DATA Entry'!E6)</f>
        <v>555</v>
      </c>
      <c r="E10" s="532">
        <f>IF('Student DATA Entry'!I6="","",'Student DATA Entry'!I6)</f>
        <v>38414</v>
      </c>
      <c r="F10" s="127" t="str">
        <f>IF('Student DATA Entry'!F6="","",UPPER('Student DATA Entry'!F6))</f>
        <v>C</v>
      </c>
      <c r="G10" s="127" t="str">
        <f>IF('Student DATA Entry'!G6="","",UPPER('Student DATA Entry'!G6))</f>
        <v>Z</v>
      </c>
      <c r="H10" s="127" t="str">
        <f>IF('Student DATA Entry'!H6="","",UPPER('Student DATA Entry'!H6))</f>
        <v>O</v>
      </c>
      <c r="I10" s="526" t="str">
        <f>IF('Student DATA Entry'!K6="","",UPPER('Student DATA Entry'!K6))</f>
        <v>SC</v>
      </c>
      <c r="J10" s="560" t="str">
        <f>IF('Student DATA Entry'!J6="","",UPPER('Student DATA Entry'!J6))</f>
        <v>F</v>
      </c>
      <c r="K10" s="103">
        <v>9</v>
      </c>
      <c r="L10" s="19">
        <v>9</v>
      </c>
      <c r="M10" s="19">
        <v>8</v>
      </c>
      <c r="N10" s="20">
        <v>41</v>
      </c>
      <c r="O10" s="104">
        <v>65</v>
      </c>
      <c r="P10" s="103">
        <v>9</v>
      </c>
      <c r="Q10" s="19">
        <v>6</v>
      </c>
      <c r="R10" s="19">
        <v>9</v>
      </c>
      <c r="S10" s="20">
        <v>42</v>
      </c>
      <c r="T10" s="104">
        <v>70</v>
      </c>
      <c r="U10" s="103" t="s">
        <v>6</v>
      </c>
      <c r="V10" s="19">
        <v>9</v>
      </c>
      <c r="W10" s="19">
        <v>9</v>
      </c>
      <c r="X10" s="19">
        <v>9</v>
      </c>
      <c r="Y10" s="52">
        <v>40</v>
      </c>
      <c r="Z10" s="52"/>
      <c r="AA10" s="57">
        <v>45</v>
      </c>
      <c r="AB10" s="564"/>
      <c r="AC10" s="103" t="s">
        <v>45</v>
      </c>
      <c r="AD10" s="19">
        <v>9</v>
      </c>
      <c r="AE10" s="19">
        <v>10</v>
      </c>
      <c r="AF10" s="19">
        <v>8</v>
      </c>
      <c r="AG10" s="52">
        <v>30</v>
      </c>
      <c r="AH10" s="52">
        <v>11</v>
      </c>
      <c r="AI10" s="57">
        <v>54</v>
      </c>
      <c r="AJ10" s="564">
        <v>24</v>
      </c>
      <c r="AK10" s="103" t="s">
        <v>6</v>
      </c>
      <c r="AL10" s="19">
        <v>6</v>
      </c>
      <c r="AM10" s="19">
        <v>7</v>
      </c>
      <c r="AN10" s="19">
        <v>8</v>
      </c>
      <c r="AO10" s="52">
        <v>31</v>
      </c>
      <c r="AP10" s="52">
        <v>11</v>
      </c>
      <c r="AQ10" s="57">
        <v>40</v>
      </c>
      <c r="AR10" s="564">
        <v>12</v>
      </c>
      <c r="AS10" s="18"/>
      <c r="AT10" s="19"/>
      <c r="AU10" s="19"/>
      <c r="AV10" s="19"/>
      <c r="AW10" s="52"/>
      <c r="AX10" s="52"/>
      <c r="AY10" s="57"/>
      <c r="AZ10" s="109"/>
      <c r="BA10" s="109"/>
      <c r="BB10" s="549">
        <v>26</v>
      </c>
      <c r="BC10" s="550">
        <v>29</v>
      </c>
      <c r="BD10" s="104">
        <v>32</v>
      </c>
      <c r="BE10" s="103">
        <v>8</v>
      </c>
      <c r="BF10" s="19">
        <v>8</v>
      </c>
      <c r="BG10" s="19">
        <v>8</v>
      </c>
      <c r="BH10" s="20">
        <v>50</v>
      </c>
      <c r="BI10" s="104">
        <v>80</v>
      </c>
      <c r="BJ10" s="9"/>
      <c r="BN10" s="3" t="str">
        <f>IF('Master Sheet'!L10="","",'Master Sheet'!L10)</f>
        <v>GUJRATI LITERATURE</v>
      </c>
    </row>
    <row r="11" spans="1:66">
      <c r="A11" s="516">
        <f>IF('Student DATA Entry'!A7="","",'Student DATA Entry'!A7)</f>
        <v>4</v>
      </c>
      <c r="B11" s="528">
        <f>IF('Student DATA Entry'!B7="","",'Student DATA Entry'!B7)</f>
        <v>1104</v>
      </c>
      <c r="C11" s="126" t="str">
        <f>IF('Student DATA Entry'!D7="","",'Student DATA Entry'!D7)</f>
        <v>A</v>
      </c>
      <c r="D11" s="530">
        <f>IF('Student DATA Entry'!E7="","",'Student DATA Entry'!E7)</f>
        <v>444</v>
      </c>
      <c r="E11" s="532">
        <f>IF('Student DATA Entry'!I7="","",'Student DATA Entry'!I7)</f>
        <v>38874</v>
      </c>
      <c r="F11" s="127" t="str">
        <f>IF('Student DATA Entry'!F7="","",UPPER('Student DATA Entry'!F7))</f>
        <v>D</v>
      </c>
      <c r="G11" s="127" t="str">
        <f>IF('Student DATA Entry'!G7="","",UPPER('Student DATA Entry'!G7))</f>
        <v>W</v>
      </c>
      <c r="H11" s="127" t="str">
        <f>IF('Student DATA Entry'!H7="","",UPPER('Student DATA Entry'!H7))</f>
        <v>P</v>
      </c>
      <c r="I11" s="526" t="str">
        <f>IF('Student DATA Entry'!K7="","",UPPER('Student DATA Entry'!K7))</f>
        <v>ST</v>
      </c>
      <c r="J11" s="560" t="str">
        <f>IF('Student DATA Entry'!J7="","",UPPER('Student DATA Entry'!J7))</f>
        <v>M</v>
      </c>
      <c r="K11" s="103">
        <v>5</v>
      </c>
      <c r="L11" s="19">
        <v>7</v>
      </c>
      <c r="M11" s="19">
        <v>8</v>
      </c>
      <c r="N11" s="20">
        <v>32</v>
      </c>
      <c r="O11" s="104">
        <v>54</v>
      </c>
      <c r="P11" s="103">
        <v>3</v>
      </c>
      <c r="Q11" s="19">
        <v>3</v>
      </c>
      <c r="R11" s="19">
        <v>9</v>
      </c>
      <c r="S11" s="20">
        <v>48</v>
      </c>
      <c r="T11" s="104">
        <v>73</v>
      </c>
      <c r="U11" s="103" t="s">
        <v>45</v>
      </c>
      <c r="V11" s="19">
        <v>8</v>
      </c>
      <c r="W11" s="19">
        <v>9</v>
      </c>
      <c r="X11" s="19">
        <v>7</v>
      </c>
      <c r="Y11" s="52">
        <v>28</v>
      </c>
      <c r="Z11" s="52">
        <v>10</v>
      </c>
      <c r="AA11" s="57">
        <v>47</v>
      </c>
      <c r="AB11" s="564">
        <v>19</v>
      </c>
      <c r="AC11" s="103" t="s">
        <v>6</v>
      </c>
      <c r="AD11" s="19">
        <v>5</v>
      </c>
      <c r="AE11" s="19">
        <v>5</v>
      </c>
      <c r="AF11" s="19">
        <v>7</v>
      </c>
      <c r="AG11" s="52">
        <v>32</v>
      </c>
      <c r="AH11" s="52"/>
      <c r="AI11" s="57">
        <v>56</v>
      </c>
      <c r="AJ11" s="564"/>
      <c r="AK11" s="103" t="s">
        <v>6</v>
      </c>
      <c r="AL11" s="19">
        <v>3</v>
      </c>
      <c r="AM11" s="19">
        <v>7</v>
      </c>
      <c r="AN11" s="19">
        <v>9</v>
      </c>
      <c r="AO11" s="52">
        <v>45</v>
      </c>
      <c r="AP11" s="52">
        <v>15</v>
      </c>
      <c r="AQ11" s="57">
        <v>65</v>
      </c>
      <c r="AR11" s="564">
        <v>28</v>
      </c>
      <c r="AS11" s="18" t="s">
        <v>45</v>
      </c>
      <c r="AT11" s="19"/>
      <c r="AU11" s="19"/>
      <c r="AV11" s="19"/>
      <c r="AW11" s="52"/>
      <c r="AX11" s="52"/>
      <c r="AY11" s="57">
        <v>25</v>
      </c>
      <c r="AZ11" s="109">
        <v>18</v>
      </c>
      <c r="BA11" s="109">
        <v>45</v>
      </c>
      <c r="BB11" s="549">
        <v>25</v>
      </c>
      <c r="BC11" s="550">
        <v>25</v>
      </c>
      <c r="BD11" s="104">
        <v>31</v>
      </c>
      <c r="BE11" s="103">
        <v>8</v>
      </c>
      <c r="BF11" s="19">
        <v>8</v>
      </c>
      <c r="BG11" s="19">
        <v>8</v>
      </c>
      <c r="BH11" s="20">
        <v>50</v>
      </c>
      <c r="BI11" s="104">
        <v>80</v>
      </c>
      <c r="BJ11" s="9"/>
      <c r="BN11" s="3" t="str">
        <f>IF('Master Sheet'!L11="","",'Master Sheet'!L11)</f>
        <v>HINDI LITERATURE</v>
      </c>
    </row>
    <row r="12" spans="1:66">
      <c r="A12" s="516">
        <f>IF('Student DATA Entry'!A8="","",'Student DATA Entry'!A8)</f>
        <v>5</v>
      </c>
      <c r="B12" s="528">
        <f>IF('Student DATA Entry'!B8="","",'Student DATA Entry'!B8)</f>
        <v>1105</v>
      </c>
      <c r="C12" s="126" t="str">
        <f>IF('Student DATA Entry'!D8="","",'Student DATA Entry'!D8)</f>
        <v>A</v>
      </c>
      <c r="D12" s="530">
        <f>IF('Student DATA Entry'!E8="","",'Student DATA Entry'!E8)</f>
        <v>333</v>
      </c>
      <c r="E12" s="532">
        <f>IF('Student DATA Entry'!I8="","",'Student DATA Entry'!I8)</f>
        <v>39270</v>
      </c>
      <c r="F12" s="127" t="str">
        <f>IF('Student DATA Entry'!F8="","",UPPER('Student DATA Entry'!F8))</f>
        <v>E</v>
      </c>
      <c r="G12" s="127" t="str">
        <f>IF('Student DATA Entry'!G8="","",UPPER('Student DATA Entry'!G8))</f>
        <v>V</v>
      </c>
      <c r="H12" s="127" t="str">
        <f>IF('Student DATA Entry'!H8="","",UPPER('Student DATA Entry'!H8))</f>
        <v>Q</v>
      </c>
      <c r="I12" s="526" t="str">
        <f>IF('Student DATA Entry'!K8="","",UPPER('Student DATA Entry'!K8))</f>
        <v>SBC</v>
      </c>
      <c r="J12" s="560" t="str">
        <f>IF('Student DATA Entry'!J8="","",UPPER('Student DATA Entry'!J8))</f>
        <v>F</v>
      </c>
      <c r="K12" s="103">
        <v>7</v>
      </c>
      <c r="L12" s="19">
        <v>9</v>
      </c>
      <c r="M12" s="19">
        <v>8</v>
      </c>
      <c r="N12" s="20">
        <v>36</v>
      </c>
      <c r="O12" s="104">
        <v>63</v>
      </c>
      <c r="P12" s="103">
        <v>9</v>
      </c>
      <c r="Q12" s="19">
        <v>5</v>
      </c>
      <c r="R12" s="19">
        <v>9</v>
      </c>
      <c r="S12" s="20">
        <v>47</v>
      </c>
      <c r="T12" s="104">
        <v>63</v>
      </c>
      <c r="U12" s="103" t="s">
        <v>45</v>
      </c>
      <c r="V12" s="19">
        <v>7</v>
      </c>
      <c r="W12" s="19">
        <v>9</v>
      </c>
      <c r="X12" s="19">
        <v>7</v>
      </c>
      <c r="Y12" s="52">
        <v>22</v>
      </c>
      <c r="Z12" s="52">
        <v>9</v>
      </c>
      <c r="AA12" s="57">
        <v>56</v>
      </c>
      <c r="AB12" s="564">
        <v>18</v>
      </c>
      <c r="AC12" s="103" t="s">
        <v>45</v>
      </c>
      <c r="AD12" s="19">
        <v>7</v>
      </c>
      <c r="AE12" s="19">
        <v>9</v>
      </c>
      <c r="AF12" s="19">
        <v>4</v>
      </c>
      <c r="AG12" s="52">
        <v>30</v>
      </c>
      <c r="AH12" s="52">
        <v>12</v>
      </c>
      <c r="AI12" s="57">
        <v>58</v>
      </c>
      <c r="AJ12" s="564">
        <v>16</v>
      </c>
      <c r="AK12" s="103" t="s">
        <v>6</v>
      </c>
      <c r="AL12" s="19">
        <v>8</v>
      </c>
      <c r="AM12" s="19">
        <v>8</v>
      </c>
      <c r="AN12" s="19">
        <v>8</v>
      </c>
      <c r="AO12" s="52">
        <v>44</v>
      </c>
      <c r="AP12" s="52">
        <v>16</v>
      </c>
      <c r="AQ12" s="57">
        <v>60</v>
      </c>
      <c r="AR12" s="564">
        <v>22</v>
      </c>
      <c r="AS12" s="18" t="s">
        <v>45</v>
      </c>
      <c r="AT12" s="19"/>
      <c r="AU12" s="19"/>
      <c r="AV12" s="19"/>
      <c r="AW12" s="52"/>
      <c r="AX12" s="52"/>
      <c r="AY12" s="57">
        <v>27</v>
      </c>
      <c r="AZ12" s="109">
        <v>18</v>
      </c>
      <c r="BA12" s="109">
        <v>46</v>
      </c>
      <c r="BB12" s="549">
        <v>26</v>
      </c>
      <c r="BC12" s="550">
        <v>27</v>
      </c>
      <c r="BD12" s="104">
        <v>30</v>
      </c>
      <c r="BE12" s="103">
        <v>8</v>
      </c>
      <c r="BF12" s="19">
        <v>8</v>
      </c>
      <c r="BG12" s="19">
        <v>8</v>
      </c>
      <c r="BH12" s="20">
        <v>50</v>
      </c>
      <c r="BI12" s="104">
        <v>80</v>
      </c>
      <c r="BJ12" s="9"/>
      <c r="BN12" s="3" t="str">
        <f>IF('Master Sheet'!L12="","",'Master Sheet'!L12)</f>
        <v>HISTORY</v>
      </c>
    </row>
    <row r="13" spans="1:66">
      <c r="A13" s="516">
        <f>IF('Student DATA Entry'!A9="","",'Student DATA Entry'!A9)</f>
        <v>6</v>
      </c>
      <c r="B13" s="528">
        <f>IF('Student DATA Entry'!B9="","",'Student DATA Entry'!B9)</f>
        <v>1106</v>
      </c>
      <c r="C13" s="126" t="str">
        <f>IF('Student DATA Entry'!D9="","",'Student DATA Entry'!D9)</f>
        <v>A</v>
      </c>
      <c r="D13" s="530">
        <f>IF('Student DATA Entry'!E9="","",'Student DATA Entry'!E9)</f>
        <v>666</v>
      </c>
      <c r="E13" s="532">
        <f>IF('Student DATA Entry'!I9="","",'Student DATA Entry'!I9)</f>
        <v>39668</v>
      </c>
      <c r="F13" s="127" t="str">
        <f>IF('Student DATA Entry'!F9="","",UPPER('Student DATA Entry'!F9))</f>
        <v>F</v>
      </c>
      <c r="G13" s="127" t="str">
        <f>IF('Student DATA Entry'!G9="","",UPPER('Student DATA Entry'!G9))</f>
        <v>U</v>
      </c>
      <c r="H13" s="127" t="str">
        <f>IF('Student DATA Entry'!H9="","",UPPER('Student DATA Entry'!H9))</f>
        <v>R</v>
      </c>
      <c r="I13" s="526" t="str">
        <f>IF('Student DATA Entry'!K9="","",UPPER('Student DATA Entry'!K9))</f>
        <v>OBC</v>
      </c>
      <c r="J13" s="560" t="str">
        <f>IF('Student DATA Entry'!J9="","",UPPER('Student DATA Entry'!J9))</f>
        <v>M</v>
      </c>
      <c r="K13" s="103">
        <v>10</v>
      </c>
      <c r="L13" s="19">
        <v>9</v>
      </c>
      <c r="M13" s="19">
        <v>8</v>
      </c>
      <c r="N13" s="52">
        <v>42</v>
      </c>
      <c r="O13" s="104">
        <v>45</v>
      </c>
      <c r="P13" s="103">
        <v>10</v>
      </c>
      <c r="Q13" s="19">
        <v>9</v>
      </c>
      <c r="R13" s="19">
        <v>9</v>
      </c>
      <c r="S13" s="52">
        <v>46</v>
      </c>
      <c r="T13" s="104">
        <v>65</v>
      </c>
      <c r="U13" s="103" t="s">
        <v>6</v>
      </c>
      <c r="V13" s="19">
        <v>10</v>
      </c>
      <c r="W13" s="19">
        <v>10</v>
      </c>
      <c r="X13" s="19">
        <v>7</v>
      </c>
      <c r="Y13" s="52">
        <v>20</v>
      </c>
      <c r="Z13" s="52"/>
      <c r="AA13" s="57">
        <v>25</v>
      </c>
      <c r="AB13" s="564"/>
      <c r="AC13" s="103" t="s">
        <v>77</v>
      </c>
      <c r="AD13" s="19">
        <v>10</v>
      </c>
      <c r="AE13" s="19">
        <v>10</v>
      </c>
      <c r="AF13" s="19">
        <v>5</v>
      </c>
      <c r="AG13" s="52">
        <v>41</v>
      </c>
      <c r="AH13" s="52"/>
      <c r="AI13" s="57">
        <v>60</v>
      </c>
      <c r="AJ13" s="564"/>
      <c r="AK13" s="103" t="s">
        <v>6</v>
      </c>
      <c r="AL13" s="19">
        <v>5</v>
      </c>
      <c r="AM13" s="19">
        <v>5</v>
      </c>
      <c r="AN13" s="19">
        <v>5</v>
      </c>
      <c r="AO13" s="52">
        <v>25</v>
      </c>
      <c r="AP13" s="52">
        <v>15</v>
      </c>
      <c r="AQ13" s="57">
        <v>35</v>
      </c>
      <c r="AR13" s="564">
        <v>20</v>
      </c>
      <c r="AS13" s="18" t="s">
        <v>77</v>
      </c>
      <c r="AT13" s="19"/>
      <c r="AU13" s="19"/>
      <c r="AV13" s="19"/>
      <c r="AW13" s="52"/>
      <c r="AX13" s="52"/>
      <c r="AY13" s="57">
        <v>25</v>
      </c>
      <c r="AZ13" s="109">
        <v>15</v>
      </c>
      <c r="BA13" s="109">
        <v>40</v>
      </c>
      <c r="BB13" s="549">
        <v>26</v>
      </c>
      <c r="BC13" s="550">
        <v>27</v>
      </c>
      <c r="BD13" s="104">
        <v>32</v>
      </c>
      <c r="BE13" s="103">
        <v>8</v>
      </c>
      <c r="BF13" s="19">
        <v>8</v>
      </c>
      <c r="BG13" s="19">
        <v>8</v>
      </c>
      <c r="BH13" s="20">
        <v>52</v>
      </c>
      <c r="BI13" s="104">
        <v>72</v>
      </c>
      <c r="BJ13" s="9"/>
      <c r="BN13" s="3" t="str">
        <f>IF('Master Sheet'!L13="","",'Master Sheet'!L13)</f>
        <v>MATHEMATICS</v>
      </c>
    </row>
    <row r="14" spans="1:66">
      <c r="A14" s="516">
        <f>IF('Student DATA Entry'!A10="","",'Student DATA Entry'!A10)</f>
        <v>7</v>
      </c>
      <c r="B14" s="528">
        <f>IF('Student DATA Entry'!B10="","",'Student DATA Entry'!B10)</f>
        <v>1107</v>
      </c>
      <c r="C14" s="126" t="str">
        <f>IF('Student DATA Entry'!D10="","",'Student DATA Entry'!D10)</f>
        <v>A</v>
      </c>
      <c r="D14" s="530">
        <f>IF('Student DATA Entry'!E10="","",'Student DATA Entry'!E10)</f>
        <v>222</v>
      </c>
      <c r="E14" s="532">
        <f>IF('Student DATA Entry'!I10="","",'Student DATA Entry'!I10)</f>
        <v>40065</v>
      </c>
      <c r="F14" s="127" t="str">
        <f>IF('Student DATA Entry'!F10="","",UPPER('Student DATA Entry'!F10))</f>
        <v>G</v>
      </c>
      <c r="G14" s="127" t="str">
        <f>IF('Student DATA Entry'!G10="","",UPPER('Student DATA Entry'!G10))</f>
        <v>T</v>
      </c>
      <c r="H14" s="127" t="str">
        <f>IF('Student DATA Entry'!H10="","",UPPER('Student DATA Entry'!H10))</f>
        <v>S</v>
      </c>
      <c r="I14" s="526" t="str">
        <f>IF('Student DATA Entry'!K10="","",UPPER('Student DATA Entry'!K10))</f>
        <v>GEN</v>
      </c>
      <c r="J14" s="560" t="str">
        <f>IF('Student DATA Entry'!J10="","",UPPER('Student DATA Entry'!J10))</f>
        <v>M</v>
      </c>
      <c r="K14" s="103">
        <v>7</v>
      </c>
      <c r="L14" s="19">
        <v>9</v>
      </c>
      <c r="M14" s="19">
        <v>8</v>
      </c>
      <c r="N14" s="52">
        <v>43</v>
      </c>
      <c r="O14" s="104">
        <v>43</v>
      </c>
      <c r="P14" s="103">
        <v>10</v>
      </c>
      <c r="Q14" s="19">
        <v>6</v>
      </c>
      <c r="R14" s="19">
        <v>9</v>
      </c>
      <c r="S14" s="52">
        <v>41</v>
      </c>
      <c r="T14" s="104">
        <v>64</v>
      </c>
      <c r="U14" s="103" t="s">
        <v>6</v>
      </c>
      <c r="V14" s="19">
        <v>7</v>
      </c>
      <c r="W14" s="19">
        <v>4</v>
      </c>
      <c r="X14" s="19">
        <v>6</v>
      </c>
      <c r="Y14" s="52">
        <v>14</v>
      </c>
      <c r="Z14" s="52"/>
      <c r="AA14" s="57">
        <v>30</v>
      </c>
      <c r="AB14" s="564"/>
      <c r="AC14" s="103" t="s">
        <v>6</v>
      </c>
      <c r="AD14" s="19">
        <v>8</v>
      </c>
      <c r="AE14" s="19">
        <v>10</v>
      </c>
      <c r="AF14" s="19">
        <v>8</v>
      </c>
      <c r="AG14" s="52">
        <v>45</v>
      </c>
      <c r="AH14" s="52"/>
      <c r="AI14" s="57">
        <v>54</v>
      </c>
      <c r="AJ14" s="564"/>
      <c r="AK14" s="103" t="s">
        <v>45</v>
      </c>
      <c r="AL14" s="19">
        <v>4</v>
      </c>
      <c r="AM14" s="19">
        <v>4</v>
      </c>
      <c r="AN14" s="19">
        <v>9</v>
      </c>
      <c r="AO14" s="52">
        <v>32</v>
      </c>
      <c r="AP14" s="52"/>
      <c r="AQ14" s="57">
        <v>39</v>
      </c>
      <c r="AR14" s="564"/>
      <c r="AS14" s="18"/>
      <c r="AT14" s="19"/>
      <c r="AU14" s="19"/>
      <c r="AV14" s="19"/>
      <c r="AW14" s="52"/>
      <c r="AX14" s="52"/>
      <c r="AY14" s="57"/>
      <c r="AZ14" s="109"/>
      <c r="BA14" s="109"/>
      <c r="BB14" s="549">
        <v>26</v>
      </c>
      <c r="BC14" s="550">
        <v>27</v>
      </c>
      <c r="BD14" s="104">
        <v>32</v>
      </c>
      <c r="BE14" s="103">
        <v>8</v>
      </c>
      <c r="BF14" s="19">
        <v>8</v>
      </c>
      <c r="BG14" s="19">
        <v>8</v>
      </c>
      <c r="BH14" s="20">
        <v>52</v>
      </c>
      <c r="BI14" s="104">
        <v>73</v>
      </c>
      <c r="BJ14" s="9"/>
      <c r="BN14" s="3" t="str">
        <f>IF('Master Sheet'!L14="","",'Master Sheet'!L14)</f>
        <v>PHILOSOPHY</v>
      </c>
    </row>
    <row r="15" spans="1:66">
      <c r="A15" s="516">
        <f>IF('Student DATA Entry'!A11="","",'Student DATA Entry'!A11)</f>
        <v>8</v>
      </c>
      <c r="B15" s="528">
        <f>IF('Student DATA Entry'!B11="","",'Student DATA Entry'!B11)</f>
        <v>1108</v>
      </c>
      <c r="C15" s="126" t="str">
        <f>IF('Student DATA Entry'!D11="","",'Student DATA Entry'!D11)</f>
        <v>A</v>
      </c>
      <c r="D15" s="530">
        <f>IF('Student DATA Entry'!E11="","",'Student DATA Entry'!E11)</f>
        <v>123</v>
      </c>
      <c r="E15" s="532">
        <f>IF('Student DATA Entry'!I11="","",'Student DATA Entry'!I11)</f>
        <v>39763</v>
      </c>
      <c r="F15" s="127" t="str">
        <f>IF('Student DATA Entry'!F11="","",UPPER('Student DATA Entry'!F11))</f>
        <v>O</v>
      </c>
      <c r="G15" s="127" t="str">
        <f>IF('Student DATA Entry'!G11="","",UPPER('Student DATA Entry'!G11))</f>
        <v>R</v>
      </c>
      <c r="H15" s="127" t="str">
        <f>IF('Student DATA Entry'!H11="","",UPPER('Student DATA Entry'!H11))</f>
        <v>I</v>
      </c>
      <c r="I15" s="526" t="str">
        <f>IF('Student DATA Entry'!K11="","",UPPER('Student DATA Entry'!K11))</f>
        <v>OBC</v>
      </c>
      <c r="J15" s="560" t="str">
        <f>IF('Student DATA Entry'!J11="","",UPPER('Student DATA Entry'!J11))</f>
        <v>M</v>
      </c>
      <c r="K15" s="103">
        <v>10</v>
      </c>
      <c r="L15" s="19">
        <v>10</v>
      </c>
      <c r="M15" s="19">
        <v>8</v>
      </c>
      <c r="N15" s="52">
        <v>46</v>
      </c>
      <c r="O15" s="104">
        <v>25</v>
      </c>
      <c r="P15" s="103">
        <v>8</v>
      </c>
      <c r="Q15" s="19">
        <v>5</v>
      </c>
      <c r="R15" s="19">
        <v>9</v>
      </c>
      <c r="S15" s="52">
        <v>42</v>
      </c>
      <c r="T15" s="104">
        <v>61</v>
      </c>
      <c r="U15" s="103" t="s">
        <v>6</v>
      </c>
      <c r="V15" s="19">
        <v>10</v>
      </c>
      <c r="W15" s="19">
        <v>5</v>
      </c>
      <c r="X15" s="19">
        <v>7</v>
      </c>
      <c r="Y15" s="52">
        <v>17</v>
      </c>
      <c r="Z15" s="52"/>
      <c r="AA15" s="57">
        <v>27</v>
      </c>
      <c r="AB15" s="564"/>
      <c r="AC15" s="103" t="s">
        <v>6</v>
      </c>
      <c r="AD15" s="19">
        <v>10</v>
      </c>
      <c r="AE15" s="19">
        <v>10</v>
      </c>
      <c r="AF15" s="19">
        <v>7</v>
      </c>
      <c r="AG15" s="52">
        <v>32</v>
      </c>
      <c r="AH15" s="52"/>
      <c r="AI15" s="57">
        <v>65</v>
      </c>
      <c r="AJ15" s="564"/>
      <c r="AK15" s="103" t="s">
        <v>45</v>
      </c>
      <c r="AL15" s="19">
        <v>3</v>
      </c>
      <c r="AM15" s="19">
        <v>3</v>
      </c>
      <c r="AN15" s="19">
        <v>7</v>
      </c>
      <c r="AO15" s="52">
        <v>10</v>
      </c>
      <c r="AP15" s="52"/>
      <c r="AQ15" s="57">
        <v>45</v>
      </c>
      <c r="AR15" s="564"/>
      <c r="AS15" s="18"/>
      <c r="AT15" s="19"/>
      <c r="AU15" s="19"/>
      <c r="AV15" s="19"/>
      <c r="AW15" s="52"/>
      <c r="AX15" s="52"/>
      <c r="AY15" s="57"/>
      <c r="AZ15" s="109"/>
      <c r="BA15" s="109"/>
      <c r="BB15" s="549">
        <v>26</v>
      </c>
      <c r="BC15" s="550">
        <v>27</v>
      </c>
      <c r="BD15" s="104">
        <v>32</v>
      </c>
      <c r="BE15" s="103">
        <v>8</v>
      </c>
      <c r="BF15" s="19">
        <v>8</v>
      </c>
      <c r="BG15" s="19">
        <v>8</v>
      </c>
      <c r="BH15" s="20">
        <v>52</v>
      </c>
      <c r="BI15" s="104">
        <v>65</v>
      </c>
      <c r="BJ15" s="9"/>
      <c r="BN15" s="3" t="str">
        <f>IF('Master Sheet'!L15="","",'Master Sheet'!L15)</f>
        <v>PHYSICAL EDUCATION</v>
      </c>
    </row>
    <row r="16" spans="1:66">
      <c r="A16" s="516">
        <f>IF('Student DATA Entry'!A12="","",'Student DATA Entry'!A12)</f>
        <v>9</v>
      </c>
      <c r="B16" s="528">
        <f>IF('Student DATA Entry'!B12="","",'Student DATA Entry'!B12)</f>
        <v>1109</v>
      </c>
      <c r="C16" s="126" t="str">
        <f>IF('Student DATA Entry'!D12="","",'Student DATA Entry'!D12)</f>
        <v>A</v>
      </c>
      <c r="D16" s="530">
        <f>IF('Student DATA Entry'!E12="","",'Student DATA Entry'!E12)</f>
        <v>345</v>
      </c>
      <c r="E16" s="532">
        <f>IF('Student DATA Entry'!I12="","",'Student DATA Entry'!I12)</f>
        <v>40795</v>
      </c>
      <c r="F16" s="127" t="str">
        <f>IF('Student DATA Entry'!F12="","",UPPER('Student DATA Entry'!F12))</f>
        <v>P</v>
      </c>
      <c r="G16" s="127" t="str">
        <f>IF('Student DATA Entry'!G12="","",UPPER('Student DATA Entry'!G12))</f>
        <v>P</v>
      </c>
      <c r="H16" s="127" t="str">
        <f>IF('Student DATA Entry'!H12="","",UPPER('Student DATA Entry'!H12))</f>
        <v>N</v>
      </c>
      <c r="I16" s="526" t="str">
        <f>IF('Student DATA Entry'!K12="","",UPPER('Student DATA Entry'!K12))</f>
        <v>SC</v>
      </c>
      <c r="J16" s="560" t="str">
        <f>IF('Student DATA Entry'!J12="","",UPPER('Student DATA Entry'!J12))</f>
        <v>F</v>
      </c>
      <c r="K16" s="103">
        <v>9</v>
      </c>
      <c r="L16" s="19">
        <v>9</v>
      </c>
      <c r="M16" s="19">
        <v>8</v>
      </c>
      <c r="N16" s="52">
        <v>37</v>
      </c>
      <c r="O16" s="104">
        <v>35</v>
      </c>
      <c r="P16" s="103">
        <v>8</v>
      </c>
      <c r="Q16" s="19">
        <v>4</v>
      </c>
      <c r="R16" s="19">
        <v>9</v>
      </c>
      <c r="S16" s="52">
        <v>38</v>
      </c>
      <c r="T16" s="104">
        <v>45</v>
      </c>
      <c r="U16" s="103" t="s">
        <v>6</v>
      </c>
      <c r="V16" s="19">
        <v>7</v>
      </c>
      <c r="W16" s="19">
        <v>9</v>
      </c>
      <c r="X16" s="19">
        <v>7</v>
      </c>
      <c r="Y16" s="52">
        <v>10</v>
      </c>
      <c r="Z16" s="52"/>
      <c r="AA16" s="57">
        <v>10</v>
      </c>
      <c r="AB16" s="564"/>
      <c r="AC16" s="103" t="s">
        <v>6</v>
      </c>
      <c r="AD16" s="19">
        <v>5</v>
      </c>
      <c r="AE16" s="19">
        <v>2</v>
      </c>
      <c r="AF16" s="19"/>
      <c r="AG16" s="52">
        <v>37</v>
      </c>
      <c r="AH16" s="52"/>
      <c r="AI16" s="57">
        <v>69</v>
      </c>
      <c r="AJ16" s="564"/>
      <c r="AK16" s="103" t="s">
        <v>45</v>
      </c>
      <c r="AL16" s="19">
        <v>3</v>
      </c>
      <c r="AM16" s="19">
        <v>3</v>
      </c>
      <c r="AN16" s="19">
        <v>7</v>
      </c>
      <c r="AO16" s="52">
        <v>47</v>
      </c>
      <c r="AP16" s="52"/>
      <c r="AQ16" s="57">
        <v>56</v>
      </c>
      <c r="AR16" s="564"/>
      <c r="AS16" s="18"/>
      <c r="AT16" s="19"/>
      <c r="AU16" s="19"/>
      <c r="AV16" s="19"/>
      <c r="AW16" s="52"/>
      <c r="AX16" s="52"/>
      <c r="AY16" s="57"/>
      <c r="AZ16" s="109"/>
      <c r="BA16" s="109"/>
      <c r="BB16" s="549">
        <v>26</v>
      </c>
      <c r="BC16" s="550">
        <v>27</v>
      </c>
      <c r="BD16" s="104">
        <v>32</v>
      </c>
      <c r="BE16" s="103">
        <v>8</v>
      </c>
      <c r="BF16" s="19">
        <v>8</v>
      </c>
      <c r="BG16" s="19">
        <v>8</v>
      </c>
      <c r="BH16" s="20">
        <v>52</v>
      </c>
      <c r="BI16" s="104">
        <v>69</v>
      </c>
      <c r="BJ16" s="9"/>
      <c r="BN16" s="3" t="str">
        <f>IF('Master Sheet'!L16="","",'Master Sheet'!L16)</f>
        <v>POLITICAL SCIENCE</v>
      </c>
    </row>
    <row r="17" spans="1:66">
      <c r="A17" s="516">
        <f>IF('Student DATA Entry'!A13="","",'Student DATA Entry'!A13)</f>
        <v>10</v>
      </c>
      <c r="B17" s="528">
        <f>IF('Student DATA Entry'!B13="","",'Student DATA Entry'!B13)</f>
        <v>1110</v>
      </c>
      <c r="C17" s="126" t="str">
        <f>IF('Student DATA Entry'!D13="","",'Student DATA Entry'!D13)</f>
        <v>A</v>
      </c>
      <c r="D17" s="530">
        <f>IF('Student DATA Entry'!E13="","",'Student DATA Entry'!E13)</f>
        <v>678</v>
      </c>
      <c r="E17" s="532">
        <f>IF('Student DATA Entry'!I13="","",'Student DATA Entry'!I13)</f>
        <v>38841</v>
      </c>
      <c r="F17" s="127" t="str">
        <f>IF('Student DATA Entry'!F13="","",UPPER('Student DATA Entry'!F13))</f>
        <v>S</v>
      </c>
      <c r="G17" s="127" t="str">
        <f>IF('Student DATA Entry'!G13="","",UPPER('Student DATA Entry'!G13))</f>
        <v>M</v>
      </c>
      <c r="H17" s="127" t="str">
        <f>IF('Student DATA Entry'!H13="","",UPPER('Student DATA Entry'!H13))</f>
        <v>B</v>
      </c>
      <c r="I17" s="526" t="str">
        <f>IF('Student DATA Entry'!K13="","",UPPER('Student DATA Entry'!K13))</f>
        <v>MIN</v>
      </c>
      <c r="J17" s="560" t="str">
        <f>IF('Student DATA Entry'!J13="","",UPPER('Student DATA Entry'!J13))</f>
        <v>M</v>
      </c>
      <c r="K17" s="103">
        <v>7</v>
      </c>
      <c r="L17" s="19">
        <v>10</v>
      </c>
      <c r="M17" s="19">
        <v>8</v>
      </c>
      <c r="N17" s="52">
        <v>44</v>
      </c>
      <c r="O17" s="104">
        <v>30</v>
      </c>
      <c r="P17" s="103">
        <v>8</v>
      </c>
      <c r="Q17" s="19">
        <v>4</v>
      </c>
      <c r="R17" s="19">
        <v>9</v>
      </c>
      <c r="S17" s="52">
        <v>35</v>
      </c>
      <c r="T17" s="104">
        <v>46</v>
      </c>
      <c r="U17" s="103" t="s">
        <v>6</v>
      </c>
      <c r="V17" s="19" t="s">
        <v>111</v>
      </c>
      <c r="W17" s="19">
        <v>7</v>
      </c>
      <c r="X17" s="19">
        <v>7</v>
      </c>
      <c r="Y17" s="52">
        <v>15</v>
      </c>
      <c r="Z17" s="52"/>
      <c r="AA17" s="57">
        <v>36</v>
      </c>
      <c r="AB17" s="564"/>
      <c r="AC17" s="103" t="s">
        <v>6</v>
      </c>
      <c r="AD17" s="19">
        <v>9</v>
      </c>
      <c r="AE17" s="19">
        <v>7</v>
      </c>
      <c r="AF17" s="19"/>
      <c r="AG17" s="52">
        <v>35</v>
      </c>
      <c r="AH17" s="52"/>
      <c r="AI17" s="57">
        <v>35</v>
      </c>
      <c r="AJ17" s="564"/>
      <c r="AK17" s="103" t="s">
        <v>77</v>
      </c>
      <c r="AL17" s="19">
        <v>3</v>
      </c>
      <c r="AM17" s="19">
        <v>5</v>
      </c>
      <c r="AN17" s="19">
        <v>7</v>
      </c>
      <c r="AO17" s="52">
        <v>45</v>
      </c>
      <c r="AP17" s="52"/>
      <c r="AQ17" s="57">
        <v>45</v>
      </c>
      <c r="AR17" s="564"/>
      <c r="AS17" s="18"/>
      <c r="AT17" s="19"/>
      <c r="AU17" s="19"/>
      <c r="AV17" s="19"/>
      <c r="AW17" s="52"/>
      <c r="AX17" s="52"/>
      <c r="AY17" s="57"/>
      <c r="AZ17" s="109"/>
      <c r="BA17" s="109"/>
      <c r="BB17" s="549">
        <v>26</v>
      </c>
      <c r="BC17" s="550">
        <v>27</v>
      </c>
      <c r="BD17" s="104">
        <v>32</v>
      </c>
      <c r="BE17" s="103">
        <v>8</v>
      </c>
      <c r="BF17" s="19">
        <v>8</v>
      </c>
      <c r="BG17" s="19">
        <v>8</v>
      </c>
      <c r="BH17" s="20">
        <v>52</v>
      </c>
      <c r="BI17" s="104">
        <v>68</v>
      </c>
      <c r="BJ17" s="9"/>
      <c r="BN17" s="3" t="str">
        <f>IF('Master Sheet'!L17="","",'Master Sheet'!L17)</f>
        <v>PRAKRIT LITERATURE</v>
      </c>
    </row>
    <row r="18" spans="1:66">
      <c r="A18" s="516">
        <f>IF('Student DATA Entry'!A14="","",'Student DATA Entry'!A14)</f>
        <v>11</v>
      </c>
      <c r="B18" s="528">
        <f>IF('Student DATA Entry'!B14="","",'Student DATA Entry'!B14)</f>
        <v>1111</v>
      </c>
      <c r="C18" s="126" t="str">
        <f>IF('Student DATA Entry'!D14="","",'Student DATA Entry'!D14)</f>
        <v>A</v>
      </c>
      <c r="D18" s="530">
        <f>IF('Student DATA Entry'!E14="","",'Student DATA Entry'!E14)</f>
        <v>654</v>
      </c>
      <c r="E18" s="532">
        <f>IF('Student DATA Entry'!I14="","",'Student DATA Entry'!I14)</f>
        <v>39635</v>
      </c>
      <c r="F18" s="127" t="str">
        <f>IF('Student DATA Entry'!F14="","",UPPER('Student DATA Entry'!F14))</f>
        <v>M</v>
      </c>
      <c r="G18" s="127" t="str">
        <f>IF('Student DATA Entry'!G14="","",UPPER('Student DATA Entry'!G14))</f>
        <v>N</v>
      </c>
      <c r="H18" s="127" t="str">
        <f>IF('Student DATA Entry'!H14="","",UPPER('Student DATA Entry'!H14))</f>
        <v>A</v>
      </c>
      <c r="I18" s="526" t="str">
        <f>IF('Student DATA Entry'!K14="","",UPPER('Student DATA Entry'!K14))</f>
        <v>SBC</v>
      </c>
      <c r="J18" s="560" t="str">
        <f>IF('Student DATA Entry'!J14="","",UPPER('Student DATA Entry'!J14))</f>
        <v>M</v>
      </c>
      <c r="K18" s="103" t="s">
        <v>111</v>
      </c>
      <c r="L18" s="19" t="s">
        <v>111</v>
      </c>
      <c r="M18" s="19">
        <v>8</v>
      </c>
      <c r="N18" s="52">
        <v>30</v>
      </c>
      <c r="O18" s="104">
        <v>32</v>
      </c>
      <c r="P18" s="103">
        <v>5</v>
      </c>
      <c r="Q18" s="19">
        <v>4</v>
      </c>
      <c r="R18" s="19">
        <v>9</v>
      </c>
      <c r="S18" s="52">
        <v>34</v>
      </c>
      <c r="T18" s="104">
        <v>46</v>
      </c>
      <c r="U18" s="103" t="s">
        <v>6</v>
      </c>
      <c r="V18" s="19" t="s">
        <v>109</v>
      </c>
      <c r="W18" s="19">
        <v>9</v>
      </c>
      <c r="X18" s="19">
        <v>7</v>
      </c>
      <c r="Y18" s="52">
        <v>35</v>
      </c>
      <c r="Z18" s="52"/>
      <c r="AA18" s="57">
        <v>38</v>
      </c>
      <c r="AB18" s="564"/>
      <c r="AC18" s="103" t="s">
        <v>6</v>
      </c>
      <c r="AD18" s="19">
        <v>8</v>
      </c>
      <c r="AE18" s="19">
        <v>6</v>
      </c>
      <c r="AF18" s="19"/>
      <c r="AG18" s="52">
        <v>43</v>
      </c>
      <c r="AH18" s="52"/>
      <c r="AI18" s="57">
        <v>36</v>
      </c>
      <c r="AJ18" s="564"/>
      <c r="AK18" s="103" t="s">
        <v>6</v>
      </c>
      <c r="AL18" s="19">
        <v>3</v>
      </c>
      <c r="AM18" s="19">
        <v>6</v>
      </c>
      <c r="AN18" s="19">
        <v>7</v>
      </c>
      <c r="AO18" s="52">
        <v>19</v>
      </c>
      <c r="AP18" s="52">
        <v>10</v>
      </c>
      <c r="AQ18" s="57">
        <v>47</v>
      </c>
      <c r="AR18" s="564">
        <v>15</v>
      </c>
      <c r="AS18" s="18"/>
      <c r="AT18" s="19"/>
      <c r="AU18" s="19"/>
      <c r="AV18" s="19"/>
      <c r="AW18" s="52"/>
      <c r="AX18" s="52"/>
      <c r="AY18" s="57"/>
      <c r="AZ18" s="109"/>
      <c r="BA18" s="109"/>
      <c r="BB18" s="549">
        <v>26</v>
      </c>
      <c r="BC18" s="550">
        <v>27</v>
      </c>
      <c r="BD18" s="104">
        <v>32</v>
      </c>
      <c r="BE18" s="103">
        <v>8</v>
      </c>
      <c r="BF18" s="19">
        <v>8</v>
      </c>
      <c r="BG18" s="19">
        <v>8</v>
      </c>
      <c r="BH18" s="20">
        <v>52</v>
      </c>
      <c r="BI18" s="104">
        <v>68</v>
      </c>
      <c r="BJ18" s="9"/>
      <c r="BN18" s="3" t="str">
        <f>IF('Master Sheet'!L18="","",'Master Sheet'!L18)</f>
        <v>PUBLIC ADMINISTRATION</v>
      </c>
    </row>
    <row r="19" spans="1:66">
      <c r="A19" s="516">
        <f>IF('Student DATA Entry'!A15="","",'Student DATA Entry'!A15)</f>
        <v>12</v>
      </c>
      <c r="B19" s="528" t="str">
        <f>IF('Student DATA Entry'!B15="","",'Student DATA Entry'!B15)</f>
        <v/>
      </c>
      <c r="C19" s="126" t="str">
        <f>IF('Student DATA Entry'!D15="","",'Student DATA Entry'!D15)</f>
        <v/>
      </c>
      <c r="D19" s="530" t="str">
        <f>IF('Student DATA Entry'!E15="","",'Student DATA Entry'!E15)</f>
        <v/>
      </c>
      <c r="E19" s="532" t="str">
        <f>IF('Student DATA Entry'!I15="","",'Student DATA Entry'!I15)</f>
        <v/>
      </c>
      <c r="F19" s="127" t="str">
        <f>IF('Student DATA Entry'!F15="","",UPPER('Student DATA Entry'!F15))</f>
        <v/>
      </c>
      <c r="G19" s="127" t="str">
        <f>IF('Student DATA Entry'!G15="","",UPPER('Student DATA Entry'!G15))</f>
        <v/>
      </c>
      <c r="H19" s="127" t="str">
        <f>IF('Student DATA Entry'!H15="","",UPPER('Student DATA Entry'!H15))</f>
        <v/>
      </c>
      <c r="I19" s="526" t="str">
        <f>IF('Student DATA Entry'!K15="","",UPPER('Student DATA Entry'!K15))</f>
        <v/>
      </c>
      <c r="J19" s="560" t="str">
        <f>IF('Student DATA Entry'!J15="","",UPPER('Student DATA Entry'!J15))</f>
        <v/>
      </c>
      <c r="K19" s="103" t="s">
        <v>111</v>
      </c>
      <c r="L19" s="19">
        <v>8</v>
      </c>
      <c r="M19" s="19">
        <v>8</v>
      </c>
      <c r="N19" s="52">
        <v>43</v>
      </c>
      <c r="O19" s="104">
        <v>46</v>
      </c>
      <c r="P19" s="103">
        <v>7</v>
      </c>
      <c r="Q19" s="19">
        <v>5</v>
      </c>
      <c r="R19" s="19">
        <v>9</v>
      </c>
      <c r="S19" s="52">
        <v>36</v>
      </c>
      <c r="T19" s="104">
        <v>48</v>
      </c>
      <c r="U19" s="103" t="s">
        <v>6</v>
      </c>
      <c r="V19" s="19" t="s">
        <v>111</v>
      </c>
      <c r="W19" s="19">
        <v>8</v>
      </c>
      <c r="X19" s="19">
        <v>7</v>
      </c>
      <c r="Y19" s="52">
        <v>25</v>
      </c>
      <c r="Z19" s="52"/>
      <c r="AA19" s="57">
        <v>39</v>
      </c>
      <c r="AB19" s="564"/>
      <c r="AC19" s="103" t="s">
        <v>6</v>
      </c>
      <c r="AD19" s="19">
        <v>7</v>
      </c>
      <c r="AE19" s="19">
        <v>10</v>
      </c>
      <c r="AF19" s="19"/>
      <c r="AG19" s="52">
        <v>46</v>
      </c>
      <c r="AH19" s="52"/>
      <c r="AI19" s="57">
        <v>37</v>
      </c>
      <c r="AJ19" s="564"/>
      <c r="AK19" s="103" t="s">
        <v>6</v>
      </c>
      <c r="AL19" s="19">
        <v>4</v>
      </c>
      <c r="AM19" s="19">
        <v>5</v>
      </c>
      <c r="AN19" s="19">
        <v>8</v>
      </c>
      <c r="AO19" s="52">
        <v>33</v>
      </c>
      <c r="AP19" s="52">
        <v>10</v>
      </c>
      <c r="AQ19" s="57">
        <v>53</v>
      </c>
      <c r="AR19" s="564">
        <v>18</v>
      </c>
      <c r="AS19" s="18"/>
      <c r="AT19" s="19"/>
      <c r="AU19" s="19"/>
      <c r="AV19" s="19"/>
      <c r="AW19" s="52"/>
      <c r="AX19" s="52"/>
      <c r="AY19" s="57"/>
      <c r="AZ19" s="109"/>
      <c r="BA19" s="109"/>
      <c r="BB19" s="549">
        <v>26</v>
      </c>
      <c r="BC19" s="550">
        <v>27</v>
      </c>
      <c r="BD19" s="104">
        <v>32</v>
      </c>
      <c r="BE19" s="103">
        <v>8</v>
      </c>
      <c r="BF19" s="19">
        <v>8</v>
      </c>
      <c r="BG19" s="19">
        <v>8</v>
      </c>
      <c r="BH19" s="20">
        <v>50</v>
      </c>
      <c r="BI19" s="104">
        <v>68</v>
      </c>
      <c r="BJ19" s="9"/>
      <c r="BN19" s="3" t="str">
        <f>IF('Master Sheet'!L19="","",'Master Sheet'!L19)</f>
        <v>PUNJABI LITERATURE</v>
      </c>
    </row>
    <row r="20" spans="1:66">
      <c r="A20" s="516">
        <f>IF('Student DATA Entry'!A16="","",'Student DATA Entry'!A16)</f>
        <v>13</v>
      </c>
      <c r="B20" s="528" t="str">
        <f>IF('Student DATA Entry'!B16="","",'Student DATA Entry'!B16)</f>
        <v/>
      </c>
      <c r="C20" s="126" t="str">
        <f>IF('Student DATA Entry'!D16="","",'Student DATA Entry'!D16)</f>
        <v/>
      </c>
      <c r="D20" s="530" t="str">
        <f>IF('Student DATA Entry'!E16="","",'Student DATA Entry'!E16)</f>
        <v/>
      </c>
      <c r="E20" s="532" t="str">
        <f>IF('Student DATA Entry'!I16="","",'Student DATA Entry'!I16)</f>
        <v/>
      </c>
      <c r="F20" s="127" t="str">
        <f>IF('Student DATA Entry'!F16="","",UPPER('Student DATA Entry'!F16))</f>
        <v/>
      </c>
      <c r="G20" s="127" t="str">
        <f>IF('Student DATA Entry'!G16="","",UPPER('Student DATA Entry'!G16))</f>
        <v/>
      </c>
      <c r="H20" s="127" t="str">
        <f>IF('Student DATA Entry'!H16="","",UPPER('Student DATA Entry'!H16))</f>
        <v/>
      </c>
      <c r="I20" s="526" t="str">
        <f>IF('Student DATA Entry'!K16="","",UPPER('Student DATA Entry'!K16))</f>
        <v/>
      </c>
      <c r="J20" s="560" t="str">
        <f>IF('Student DATA Entry'!J16="","",UPPER('Student DATA Entry'!J16))</f>
        <v/>
      </c>
      <c r="K20" s="103" t="s">
        <v>109</v>
      </c>
      <c r="L20" s="19" t="s">
        <v>110</v>
      </c>
      <c r="M20" s="19">
        <v>8</v>
      </c>
      <c r="N20" s="52">
        <v>25</v>
      </c>
      <c r="O20" s="104">
        <v>70</v>
      </c>
      <c r="P20" s="103">
        <v>7</v>
      </c>
      <c r="Q20" s="19">
        <v>5</v>
      </c>
      <c r="R20" s="19">
        <v>9</v>
      </c>
      <c r="S20" s="52">
        <v>38</v>
      </c>
      <c r="T20" s="104">
        <v>47</v>
      </c>
      <c r="U20" s="103" t="s">
        <v>6</v>
      </c>
      <c r="V20" s="19">
        <v>9</v>
      </c>
      <c r="W20" s="19">
        <v>8</v>
      </c>
      <c r="X20" s="19">
        <v>7</v>
      </c>
      <c r="Y20" s="52">
        <v>47</v>
      </c>
      <c r="Z20" s="52"/>
      <c r="AA20" s="57">
        <v>78</v>
      </c>
      <c r="AB20" s="564"/>
      <c r="AC20" s="103" t="s">
        <v>6</v>
      </c>
      <c r="AD20" s="19">
        <v>20</v>
      </c>
      <c r="AE20" s="19">
        <v>20</v>
      </c>
      <c r="AF20" s="19"/>
      <c r="AG20" s="52">
        <v>45</v>
      </c>
      <c r="AH20" s="52"/>
      <c r="AI20" s="57">
        <v>78</v>
      </c>
      <c r="AJ20" s="564"/>
      <c r="AK20" s="103" t="s">
        <v>6</v>
      </c>
      <c r="AL20" s="19">
        <v>20</v>
      </c>
      <c r="AM20" s="19">
        <v>20</v>
      </c>
      <c r="AN20" s="19">
        <v>8</v>
      </c>
      <c r="AO20" s="52">
        <v>32</v>
      </c>
      <c r="AP20" s="52">
        <v>12</v>
      </c>
      <c r="AQ20" s="57">
        <v>50</v>
      </c>
      <c r="AR20" s="564">
        <v>19</v>
      </c>
      <c r="AS20" s="18"/>
      <c r="AT20" s="19"/>
      <c r="AU20" s="19"/>
      <c r="AV20" s="19"/>
      <c r="AW20" s="52"/>
      <c r="AX20" s="52"/>
      <c r="AY20" s="57"/>
      <c r="AZ20" s="109"/>
      <c r="BA20" s="109"/>
      <c r="BB20" s="549">
        <v>24</v>
      </c>
      <c r="BC20" s="550">
        <v>25</v>
      </c>
      <c r="BD20" s="104">
        <v>32</v>
      </c>
      <c r="BE20" s="103">
        <v>8</v>
      </c>
      <c r="BF20" s="19">
        <v>8</v>
      </c>
      <c r="BG20" s="19">
        <v>8</v>
      </c>
      <c r="BH20" s="20">
        <v>50</v>
      </c>
      <c r="BI20" s="104">
        <v>68</v>
      </c>
      <c r="BJ20" s="9"/>
      <c r="BN20" s="3" t="str">
        <f>IF('Master Sheet'!L20="","",'Master Sheet'!L20)</f>
        <v>RAJASTHANI LITERATURE</v>
      </c>
    </row>
    <row r="21" spans="1:66">
      <c r="A21" s="516">
        <f>IF('Student DATA Entry'!A17="","",'Student DATA Entry'!A17)</f>
        <v>14</v>
      </c>
      <c r="B21" s="528" t="str">
        <f>IF('Student DATA Entry'!B17="","",'Student DATA Entry'!B17)</f>
        <v/>
      </c>
      <c r="C21" s="126" t="str">
        <f>IF('Student DATA Entry'!D17="","",'Student DATA Entry'!D17)</f>
        <v/>
      </c>
      <c r="D21" s="530" t="str">
        <f>IF('Student DATA Entry'!E17="","",'Student DATA Entry'!E17)</f>
        <v/>
      </c>
      <c r="E21" s="532" t="str">
        <f>IF('Student DATA Entry'!I17="","",'Student DATA Entry'!I17)</f>
        <v/>
      </c>
      <c r="F21" s="127" t="str">
        <f>IF('Student DATA Entry'!F17="","",UPPER('Student DATA Entry'!F17))</f>
        <v/>
      </c>
      <c r="G21" s="127" t="str">
        <f>IF('Student DATA Entry'!G17="","",UPPER('Student DATA Entry'!G17))</f>
        <v/>
      </c>
      <c r="H21" s="127" t="str">
        <f>IF('Student DATA Entry'!H17="","",UPPER('Student DATA Entry'!H17))</f>
        <v/>
      </c>
      <c r="I21" s="526" t="str">
        <f>IF('Student DATA Entry'!K17="","",UPPER('Student DATA Entry'!K17))</f>
        <v/>
      </c>
      <c r="J21" s="560" t="str">
        <f>IF('Student DATA Entry'!J17="","",UPPER('Student DATA Entry'!J17))</f>
        <v/>
      </c>
      <c r="K21" s="103" t="s">
        <v>110</v>
      </c>
      <c r="L21" s="19" t="s">
        <v>110</v>
      </c>
      <c r="M21" s="19">
        <v>8</v>
      </c>
      <c r="N21" s="52">
        <v>30</v>
      </c>
      <c r="O21" s="104">
        <v>60</v>
      </c>
      <c r="P21" s="103">
        <v>8</v>
      </c>
      <c r="Q21" s="19">
        <v>5</v>
      </c>
      <c r="R21" s="19">
        <v>9</v>
      </c>
      <c r="S21" s="52" t="s">
        <v>46</v>
      </c>
      <c r="T21" s="104">
        <v>56</v>
      </c>
      <c r="U21" s="103" t="s">
        <v>6</v>
      </c>
      <c r="V21" s="19">
        <v>8</v>
      </c>
      <c r="W21" s="19">
        <v>8</v>
      </c>
      <c r="X21" s="19">
        <v>7</v>
      </c>
      <c r="Y21" s="52">
        <v>32</v>
      </c>
      <c r="Z21" s="52"/>
      <c r="AA21" s="57">
        <v>41</v>
      </c>
      <c r="AB21" s="564"/>
      <c r="AC21" s="103" t="s">
        <v>6</v>
      </c>
      <c r="AD21" s="19">
        <v>6</v>
      </c>
      <c r="AE21" s="19">
        <v>8</v>
      </c>
      <c r="AF21" s="19"/>
      <c r="AG21" s="52">
        <v>44</v>
      </c>
      <c r="AH21" s="52"/>
      <c r="AI21" s="57">
        <v>39</v>
      </c>
      <c r="AJ21" s="564"/>
      <c r="AK21" s="103" t="s">
        <v>6</v>
      </c>
      <c r="AL21" s="19">
        <v>4</v>
      </c>
      <c r="AM21" s="19">
        <v>4</v>
      </c>
      <c r="AN21" s="19">
        <v>8</v>
      </c>
      <c r="AO21" s="52">
        <v>30</v>
      </c>
      <c r="AP21" s="52">
        <v>13</v>
      </c>
      <c r="AQ21" s="57">
        <v>56</v>
      </c>
      <c r="AR21" s="564">
        <v>18</v>
      </c>
      <c r="AS21" s="18"/>
      <c r="AT21" s="19"/>
      <c r="AU21" s="19"/>
      <c r="AV21" s="19"/>
      <c r="AW21" s="52"/>
      <c r="AX21" s="52"/>
      <c r="AY21" s="57"/>
      <c r="AZ21" s="109"/>
      <c r="BA21" s="109"/>
      <c r="BB21" s="549">
        <v>24</v>
      </c>
      <c r="BC21" s="550">
        <v>25</v>
      </c>
      <c r="BD21" s="104">
        <v>32</v>
      </c>
      <c r="BE21" s="103">
        <v>8</v>
      </c>
      <c r="BF21" s="19">
        <v>8</v>
      </c>
      <c r="BG21" s="19">
        <v>8</v>
      </c>
      <c r="BH21" s="20">
        <v>50</v>
      </c>
      <c r="BI21" s="104">
        <v>68</v>
      </c>
      <c r="BJ21" s="9"/>
      <c r="BN21" s="3" t="str">
        <f>IF('Master Sheet'!L21="","",'Master Sheet'!L21)</f>
        <v>SANSKRIT LITERATURE</v>
      </c>
    </row>
    <row r="22" spans="1:66">
      <c r="A22" s="516">
        <f>IF('Student DATA Entry'!A18="","",'Student DATA Entry'!A18)</f>
        <v>15</v>
      </c>
      <c r="B22" s="528" t="str">
        <f>IF('Student DATA Entry'!B18="","",'Student DATA Entry'!B18)</f>
        <v/>
      </c>
      <c r="C22" s="126" t="str">
        <f>IF('Student DATA Entry'!D18="","",'Student DATA Entry'!D18)</f>
        <v/>
      </c>
      <c r="D22" s="530" t="str">
        <f>IF('Student DATA Entry'!E18="","",'Student DATA Entry'!E18)</f>
        <v/>
      </c>
      <c r="E22" s="532" t="str">
        <f>IF('Student DATA Entry'!I18="","",'Student DATA Entry'!I18)</f>
        <v/>
      </c>
      <c r="F22" s="127" t="str">
        <f>IF('Student DATA Entry'!F18="","",UPPER('Student DATA Entry'!F18))</f>
        <v/>
      </c>
      <c r="G22" s="127" t="str">
        <f>IF('Student DATA Entry'!G18="","",UPPER('Student DATA Entry'!G18))</f>
        <v/>
      </c>
      <c r="H22" s="127" t="str">
        <f>IF('Student DATA Entry'!H18="","",UPPER('Student DATA Entry'!H18))</f>
        <v/>
      </c>
      <c r="I22" s="526" t="str">
        <f>IF('Student DATA Entry'!K18="","",UPPER('Student DATA Entry'!K18))</f>
        <v/>
      </c>
      <c r="J22" s="560" t="str">
        <f>IF('Student DATA Entry'!J18="","",UPPER('Student DATA Entry'!J18))</f>
        <v/>
      </c>
      <c r="K22" s="103">
        <v>20</v>
      </c>
      <c r="L22" s="19">
        <v>20</v>
      </c>
      <c r="M22" s="19">
        <v>8</v>
      </c>
      <c r="N22" s="52">
        <v>25</v>
      </c>
      <c r="O22" s="104">
        <v>50</v>
      </c>
      <c r="P22" s="103">
        <v>9</v>
      </c>
      <c r="Q22" s="19">
        <v>9</v>
      </c>
      <c r="R22" s="19">
        <v>9</v>
      </c>
      <c r="S22" s="52">
        <v>20</v>
      </c>
      <c r="T22" s="104">
        <v>54</v>
      </c>
      <c r="U22" s="103" t="s">
        <v>6</v>
      </c>
      <c r="V22" s="19">
        <v>10</v>
      </c>
      <c r="W22" s="19">
        <v>7</v>
      </c>
      <c r="X22" s="19">
        <v>7</v>
      </c>
      <c r="Y22" s="52">
        <v>65</v>
      </c>
      <c r="Z22" s="52"/>
      <c r="AA22" s="57">
        <v>42</v>
      </c>
      <c r="AB22" s="564"/>
      <c r="AC22" s="103" t="s">
        <v>6</v>
      </c>
      <c r="AD22" s="19">
        <v>10</v>
      </c>
      <c r="AE22" s="19">
        <v>10</v>
      </c>
      <c r="AF22" s="19"/>
      <c r="AG22" s="52">
        <v>37</v>
      </c>
      <c r="AH22" s="52"/>
      <c r="AI22" s="57">
        <v>54</v>
      </c>
      <c r="AJ22" s="564"/>
      <c r="AK22" s="103" t="s">
        <v>6</v>
      </c>
      <c r="AL22" s="19">
        <v>9</v>
      </c>
      <c r="AM22" s="19">
        <v>9</v>
      </c>
      <c r="AN22" s="19">
        <v>8</v>
      </c>
      <c r="AO22" s="52">
        <v>28</v>
      </c>
      <c r="AP22" s="52">
        <v>14</v>
      </c>
      <c r="AQ22" s="57">
        <v>35</v>
      </c>
      <c r="AR22" s="564">
        <v>30</v>
      </c>
      <c r="AS22" s="18"/>
      <c r="AT22" s="19"/>
      <c r="AU22" s="19"/>
      <c r="AV22" s="19"/>
      <c r="AW22" s="52"/>
      <c r="AX22" s="52"/>
      <c r="AY22" s="57"/>
      <c r="AZ22" s="109"/>
      <c r="BA22" s="109"/>
      <c r="BB22" s="549">
        <v>24</v>
      </c>
      <c r="BC22" s="550">
        <v>25</v>
      </c>
      <c r="BD22" s="104">
        <v>32</v>
      </c>
      <c r="BE22" s="103">
        <v>8</v>
      </c>
      <c r="BF22" s="19">
        <v>8</v>
      </c>
      <c r="BG22" s="19">
        <v>8</v>
      </c>
      <c r="BH22" s="20">
        <v>50</v>
      </c>
      <c r="BI22" s="104">
        <v>68</v>
      </c>
      <c r="BJ22" s="9"/>
      <c r="BN22" s="3" t="str">
        <f>IF('Master Sheet'!L22="","",'Master Sheet'!L22)</f>
        <v>SINDHI LITERATURE</v>
      </c>
    </row>
    <row r="23" spans="1:66">
      <c r="A23" s="516">
        <f>IF('Student DATA Entry'!A19="","",'Student DATA Entry'!A19)</f>
        <v>16</v>
      </c>
      <c r="B23" s="528" t="str">
        <f>IF('Student DATA Entry'!B19="","",'Student DATA Entry'!B19)</f>
        <v/>
      </c>
      <c r="C23" s="126" t="str">
        <f>IF('Student DATA Entry'!D19="","",'Student DATA Entry'!D19)</f>
        <v/>
      </c>
      <c r="D23" s="530" t="str">
        <f>IF('Student DATA Entry'!E19="","",'Student DATA Entry'!E19)</f>
        <v/>
      </c>
      <c r="E23" s="532" t="str">
        <f>IF('Student DATA Entry'!I19="","",'Student DATA Entry'!I19)</f>
        <v/>
      </c>
      <c r="F23" s="127" t="str">
        <f>IF('Student DATA Entry'!F19="","",UPPER('Student DATA Entry'!F19))</f>
        <v/>
      </c>
      <c r="G23" s="127" t="str">
        <f>IF('Student DATA Entry'!G19="","",UPPER('Student DATA Entry'!G19))</f>
        <v/>
      </c>
      <c r="H23" s="127" t="str">
        <f>IF('Student DATA Entry'!H19="","",UPPER('Student DATA Entry'!H19))</f>
        <v/>
      </c>
      <c r="I23" s="526" t="str">
        <f>IF('Student DATA Entry'!K19="","",UPPER('Student DATA Entry'!K19))</f>
        <v/>
      </c>
      <c r="J23" s="560" t="str">
        <f>IF('Student DATA Entry'!J19="","",UPPER('Student DATA Entry'!J19))</f>
        <v/>
      </c>
      <c r="K23" s="103">
        <v>10</v>
      </c>
      <c r="L23" s="19">
        <v>9</v>
      </c>
      <c r="M23" s="19">
        <v>8</v>
      </c>
      <c r="N23" s="52">
        <v>26</v>
      </c>
      <c r="O23" s="104">
        <v>54</v>
      </c>
      <c r="P23" s="103">
        <v>8</v>
      </c>
      <c r="Q23" s="19">
        <v>10</v>
      </c>
      <c r="R23" s="19">
        <v>9</v>
      </c>
      <c r="S23" s="52">
        <v>15</v>
      </c>
      <c r="T23" s="104">
        <v>65</v>
      </c>
      <c r="U23" s="103" t="s">
        <v>45</v>
      </c>
      <c r="V23" s="19">
        <v>7</v>
      </c>
      <c r="W23" s="19">
        <v>8</v>
      </c>
      <c r="X23" s="19">
        <v>7</v>
      </c>
      <c r="Y23" s="52">
        <v>30</v>
      </c>
      <c r="Z23" s="52">
        <v>10</v>
      </c>
      <c r="AA23" s="57">
        <v>25</v>
      </c>
      <c r="AB23" s="564">
        <v>29</v>
      </c>
      <c r="AC23" s="103" t="s">
        <v>6</v>
      </c>
      <c r="AD23" s="19">
        <v>11</v>
      </c>
      <c r="AE23" s="19">
        <v>12</v>
      </c>
      <c r="AF23" s="19"/>
      <c r="AG23" s="52">
        <v>45</v>
      </c>
      <c r="AH23" s="52"/>
      <c r="AI23" s="57">
        <v>45</v>
      </c>
      <c r="AJ23" s="564"/>
      <c r="AK23" s="103" t="s">
        <v>6</v>
      </c>
      <c r="AL23" s="19">
        <v>10</v>
      </c>
      <c r="AM23" s="19">
        <v>8</v>
      </c>
      <c r="AN23" s="19">
        <v>9</v>
      </c>
      <c r="AO23" s="52">
        <v>31</v>
      </c>
      <c r="AP23" s="52">
        <v>12</v>
      </c>
      <c r="AQ23" s="57">
        <v>40</v>
      </c>
      <c r="AR23" s="564">
        <v>25</v>
      </c>
      <c r="AS23" s="18"/>
      <c r="AT23" s="19"/>
      <c r="AU23" s="19"/>
      <c r="AV23" s="19"/>
      <c r="AW23" s="52"/>
      <c r="AX23" s="52"/>
      <c r="AY23" s="57"/>
      <c r="AZ23" s="109"/>
      <c r="BA23" s="109"/>
      <c r="BB23" s="549">
        <v>24</v>
      </c>
      <c r="BC23" s="550">
        <v>25</v>
      </c>
      <c r="BD23" s="104">
        <v>32</v>
      </c>
      <c r="BE23" s="103">
        <v>8</v>
      </c>
      <c r="BF23" s="19">
        <v>8</v>
      </c>
      <c r="BG23" s="19">
        <v>8</v>
      </c>
      <c r="BH23" s="20">
        <v>50</v>
      </c>
      <c r="BI23" s="104">
        <v>68</v>
      </c>
      <c r="BJ23" s="9"/>
      <c r="BN23" s="3" t="str">
        <f>IF('Master Sheet'!L23="","",'Master Sheet'!L23)</f>
        <v>SOCIOLOGY</v>
      </c>
    </row>
    <row r="24" spans="1:66">
      <c r="A24" s="516">
        <f>IF('Student DATA Entry'!A20="","",'Student DATA Entry'!A20)</f>
        <v>17</v>
      </c>
      <c r="B24" s="528" t="str">
        <f>IF('Student DATA Entry'!B20="","",'Student DATA Entry'!B20)</f>
        <v/>
      </c>
      <c r="C24" s="126" t="str">
        <f>IF('Student DATA Entry'!D20="","",'Student DATA Entry'!D20)</f>
        <v/>
      </c>
      <c r="D24" s="530" t="str">
        <f>IF('Student DATA Entry'!E20="","",'Student DATA Entry'!E20)</f>
        <v/>
      </c>
      <c r="E24" s="532" t="str">
        <f>IF('Student DATA Entry'!I20="","",'Student DATA Entry'!I20)</f>
        <v/>
      </c>
      <c r="F24" s="127" t="str">
        <f>IF('Student DATA Entry'!F20="","",UPPER('Student DATA Entry'!F20))</f>
        <v/>
      </c>
      <c r="G24" s="127" t="str">
        <f>IF('Student DATA Entry'!G20="","",UPPER('Student DATA Entry'!G20))</f>
        <v/>
      </c>
      <c r="H24" s="127" t="str">
        <f>IF('Student DATA Entry'!H20="","",UPPER('Student DATA Entry'!H20))</f>
        <v/>
      </c>
      <c r="I24" s="526" t="str">
        <f>IF('Student DATA Entry'!K20="","",UPPER('Student DATA Entry'!K20))</f>
        <v/>
      </c>
      <c r="J24" s="560" t="str">
        <f>IF('Student DATA Entry'!J20="","",UPPER('Student DATA Entry'!J20))</f>
        <v/>
      </c>
      <c r="K24" s="103">
        <v>10</v>
      </c>
      <c r="L24" s="19">
        <v>8</v>
      </c>
      <c r="M24" s="19">
        <v>8</v>
      </c>
      <c r="N24" s="52">
        <v>24</v>
      </c>
      <c r="O24" s="104">
        <v>52</v>
      </c>
      <c r="P24" s="103">
        <v>7</v>
      </c>
      <c r="Q24" s="19">
        <v>10</v>
      </c>
      <c r="R24" s="19">
        <v>9</v>
      </c>
      <c r="S24" s="52">
        <v>14</v>
      </c>
      <c r="T24" s="104">
        <v>64</v>
      </c>
      <c r="U24" s="103" t="s">
        <v>45</v>
      </c>
      <c r="V24" s="19">
        <v>6</v>
      </c>
      <c r="W24" s="19">
        <v>9</v>
      </c>
      <c r="X24" s="19">
        <v>7</v>
      </c>
      <c r="Y24" s="52">
        <v>22</v>
      </c>
      <c r="Z24" s="52">
        <v>10</v>
      </c>
      <c r="AA24" s="57">
        <v>26</v>
      </c>
      <c r="AB24" s="564">
        <v>27</v>
      </c>
      <c r="AC24" s="103" t="s">
        <v>6</v>
      </c>
      <c r="AD24" s="19">
        <v>12</v>
      </c>
      <c r="AE24" s="19">
        <v>13</v>
      </c>
      <c r="AF24" s="19"/>
      <c r="AG24" s="52">
        <v>41</v>
      </c>
      <c r="AH24" s="52"/>
      <c r="AI24" s="57">
        <v>46</v>
      </c>
      <c r="AJ24" s="564"/>
      <c r="AK24" s="103" t="s">
        <v>6</v>
      </c>
      <c r="AL24" s="19">
        <v>11</v>
      </c>
      <c r="AM24" s="19">
        <v>9</v>
      </c>
      <c r="AN24" s="19">
        <v>9</v>
      </c>
      <c r="AO24" s="52">
        <v>30</v>
      </c>
      <c r="AP24" s="52">
        <v>10</v>
      </c>
      <c r="AQ24" s="57">
        <v>41</v>
      </c>
      <c r="AR24" s="564">
        <v>25</v>
      </c>
      <c r="AS24" s="18"/>
      <c r="AT24" s="19"/>
      <c r="AU24" s="19"/>
      <c r="AV24" s="19"/>
      <c r="AW24" s="52"/>
      <c r="AX24" s="52"/>
      <c r="AY24" s="57"/>
      <c r="AZ24" s="109"/>
      <c r="BA24" s="109"/>
      <c r="BB24" s="549">
        <v>24</v>
      </c>
      <c r="BC24" s="550">
        <v>25</v>
      </c>
      <c r="BD24" s="104">
        <v>32</v>
      </c>
      <c r="BE24" s="103">
        <v>8</v>
      </c>
      <c r="BF24" s="19">
        <v>8</v>
      </c>
      <c r="BG24" s="19">
        <v>8</v>
      </c>
      <c r="BH24" s="20">
        <v>50</v>
      </c>
      <c r="BI24" s="104">
        <v>68</v>
      </c>
      <c r="BJ24" s="9"/>
      <c r="BN24" s="3" t="str">
        <f>IF('Master Sheet'!L24="","",'Master Sheet'!L24)</f>
        <v>URDU LITERATURE</v>
      </c>
    </row>
    <row r="25" spans="1:66">
      <c r="A25" s="516">
        <f>IF('Student DATA Entry'!A21="","",'Student DATA Entry'!A21)</f>
        <v>18</v>
      </c>
      <c r="B25" s="528" t="str">
        <f>IF('Student DATA Entry'!B21="","",'Student DATA Entry'!B21)</f>
        <v/>
      </c>
      <c r="C25" s="126" t="str">
        <f>IF('Student DATA Entry'!D21="","",'Student DATA Entry'!D21)</f>
        <v/>
      </c>
      <c r="D25" s="530" t="str">
        <f>IF('Student DATA Entry'!E21="","",'Student DATA Entry'!E21)</f>
        <v/>
      </c>
      <c r="E25" s="532" t="str">
        <f>IF('Student DATA Entry'!I21="","",'Student DATA Entry'!I21)</f>
        <v/>
      </c>
      <c r="F25" s="127" t="str">
        <f>IF('Student DATA Entry'!F21="","",UPPER('Student DATA Entry'!F21))</f>
        <v/>
      </c>
      <c r="G25" s="127" t="str">
        <f>IF('Student DATA Entry'!G21="","",UPPER('Student DATA Entry'!G21))</f>
        <v/>
      </c>
      <c r="H25" s="127" t="str">
        <f>IF('Student DATA Entry'!H21="","",UPPER('Student DATA Entry'!H21))</f>
        <v/>
      </c>
      <c r="I25" s="526" t="str">
        <f>IF('Student DATA Entry'!K21="","",UPPER('Student DATA Entry'!K21))</f>
        <v/>
      </c>
      <c r="J25" s="560" t="str">
        <f>IF('Student DATA Entry'!J21="","",UPPER('Student DATA Entry'!J21))</f>
        <v/>
      </c>
      <c r="K25" s="103">
        <v>10</v>
      </c>
      <c r="L25" s="19">
        <v>9</v>
      </c>
      <c r="M25" s="19">
        <v>8</v>
      </c>
      <c r="N25" s="52">
        <v>26</v>
      </c>
      <c r="O25" s="104">
        <v>54</v>
      </c>
      <c r="P25" s="103">
        <v>8</v>
      </c>
      <c r="Q25" s="19">
        <v>10</v>
      </c>
      <c r="R25" s="19">
        <v>9</v>
      </c>
      <c r="S25" s="52">
        <v>18</v>
      </c>
      <c r="T25" s="104">
        <v>61</v>
      </c>
      <c r="U25" s="103" t="s">
        <v>45</v>
      </c>
      <c r="V25" s="19">
        <v>5</v>
      </c>
      <c r="W25" s="19">
        <v>4</v>
      </c>
      <c r="X25" s="19">
        <v>7</v>
      </c>
      <c r="Y25" s="52">
        <v>22</v>
      </c>
      <c r="Z25" s="52">
        <v>10</v>
      </c>
      <c r="AA25" s="57">
        <v>28</v>
      </c>
      <c r="AB25" s="564">
        <v>28</v>
      </c>
      <c r="AC25" s="103" t="s">
        <v>6</v>
      </c>
      <c r="AD25" s="19">
        <v>13</v>
      </c>
      <c r="AE25" s="19">
        <v>14</v>
      </c>
      <c r="AF25" s="19"/>
      <c r="AG25" s="52">
        <v>42</v>
      </c>
      <c r="AH25" s="52"/>
      <c r="AI25" s="57">
        <v>48</v>
      </c>
      <c r="AJ25" s="564"/>
      <c r="AK25" s="103" t="s">
        <v>6</v>
      </c>
      <c r="AL25" s="19">
        <v>12</v>
      </c>
      <c r="AM25" s="19">
        <v>5</v>
      </c>
      <c r="AN25" s="19">
        <v>9</v>
      </c>
      <c r="AO25" s="52">
        <v>25</v>
      </c>
      <c r="AP25" s="52">
        <v>12</v>
      </c>
      <c r="AQ25" s="57">
        <v>45</v>
      </c>
      <c r="AR25" s="564">
        <v>26</v>
      </c>
      <c r="AS25" s="18"/>
      <c r="AT25" s="19"/>
      <c r="AU25" s="19"/>
      <c r="AV25" s="19"/>
      <c r="AW25" s="52"/>
      <c r="AX25" s="52"/>
      <c r="AY25" s="57"/>
      <c r="AZ25" s="109"/>
      <c r="BA25" s="109"/>
      <c r="BB25" s="549">
        <v>24</v>
      </c>
      <c r="BC25" s="550">
        <v>25</v>
      </c>
      <c r="BD25" s="104">
        <v>32</v>
      </c>
      <c r="BE25" s="103">
        <v>8</v>
      </c>
      <c r="BF25" s="19">
        <v>8</v>
      </c>
      <c r="BG25" s="19">
        <v>8</v>
      </c>
      <c r="BH25" s="20">
        <v>50</v>
      </c>
      <c r="BI25" s="104">
        <v>68</v>
      </c>
      <c r="BJ25" s="9"/>
      <c r="BN25" s="3" t="str">
        <f>IF('Master Sheet'!L25="","",'Master Sheet'!L25)</f>
        <v>Optional Subject List</v>
      </c>
    </row>
    <row r="26" spans="1:66">
      <c r="A26" s="516">
        <f>IF('Student DATA Entry'!A22="","",'Student DATA Entry'!A22)</f>
        <v>19</v>
      </c>
      <c r="B26" s="528" t="str">
        <f>IF('Student DATA Entry'!B22="","",'Student DATA Entry'!B22)</f>
        <v/>
      </c>
      <c r="C26" s="126" t="str">
        <f>IF('Student DATA Entry'!D22="","",'Student DATA Entry'!D22)</f>
        <v/>
      </c>
      <c r="D26" s="530" t="str">
        <f>IF('Student DATA Entry'!E22="","",'Student DATA Entry'!E22)</f>
        <v/>
      </c>
      <c r="E26" s="532" t="str">
        <f>IF('Student DATA Entry'!I22="","",'Student DATA Entry'!I22)</f>
        <v/>
      </c>
      <c r="F26" s="127" t="str">
        <f>IF('Student DATA Entry'!F22="","",UPPER('Student DATA Entry'!F22))</f>
        <v/>
      </c>
      <c r="G26" s="127" t="str">
        <f>IF('Student DATA Entry'!G22="","",UPPER('Student DATA Entry'!G22))</f>
        <v/>
      </c>
      <c r="H26" s="127" t="str">
        <f>IF('Student DATA Entry'!H22="","",UPPER('Student DATA Entry'!H22))</f>
        <v/>
      </c>
      <c r="I26" s="526" t="str">
        <f>IF('Student DATA Entry'!K22="","",UPPER('Student DATA Entry'!K22))</f>
        <v/>
      </c>
      <c r="J26" s="560" t="str">
        <f>IF('Student DATA Entry'!J22="","",UPPER('Student DATA Entry'!J22))</f>
        <v/>
      </c>
      <c r="K26" s="103">
        <v>4</v>
      </c>
      <c r="L26" s="19">
        <v>4</v>
      </c>
      <c r="M26" s="19">
        <v>8</v>
      </c>
      <c r="N26" s="52">
        <v>24</v>
      </c>
      <c r="O26" s="104">
        <v>24</v>
      </c>
      <c r="P26" s="103">
        <v>7</v>
      </c>
      <c r="Q26" s="19">
        <v>10</v>
      </c>
      <c r="R26" s="19">
        <v>9</v>
      </c>
      <c r="S26" s="52">
        <v>25</v>
      </c>
      <c r="T26" s="104">
        <v>61</v>
      </c>
      <c r="U26" s="103" t="s">
        <v>45</v>
      </c>
      <c r="V26" s="19">
        <v>9</v>
      </c>
      <c r="W26" s="19">
        <v>6</v>
      </c>
      <c r="X26" s="19">
        <v>7</v>
      </c>
      <c r="Y26" s="52">
        <v>12</v>
      </c>
      <c r="Z26" s="52">
        <v>12</v>
      </c>
      <c r="AA26" s="57">
        <v>12</v>
      </c>
      <c r="AB26" s="564">
        <v>12</v>
      </c>
      <c r="AC26" s="103" t="s">
        <v>6</v>
      </c>
      <c r="AD26" s="19">
        <v>3</v>
      </c>
      <c r="AE26" s="19">
        <v>4</v>
      </c>
      <c r="AF26" s="19"/>
      <c r="AG26" s="52">
        <v>20</v>
      </c>
      <c r="AH26" s="52"/>
      <c r="AI26" s="57">
        <v>22</v>
      </c>
      <c r="AJ26" s="564"/>
      <c r="AK26" s="103" t="s">
        <v>6</v>
      </c>
      <c r="AL26" s="19">
        <v>14</v>
      </c>
      <c r="AM26" s="19">
        <v>10</v>
      </c>
      <c r="AN26" s="19"/>
      <c r="AO26" s="52">
        <v>26</v>
      </c>
      <c r="AP26" s="52">
        <v>10</v>
      </c>
      <c r="AQ26" s="57">
        <v>35</v>
      </c>
      <c r="AR26" s="564">
        <v>24</v>
      </c>
      <c r="AS26" s="18"/>
      <c r="AT26" s="19"/>
      <c r="AU26" s="19"/>
      <c r="AV26" s="19"/>
      <c r="AW26" s="52"/>
      <c r="AX26" s="52"/>
      <c r="AY26" s="57"/>
      <c r="AZ26" s="109"/>
      <c r="BA26" s="109"/>
      <c r="BB26" s="549">
        <v>24</v>
      </c>
      <c r="BC26" s="550">
        <v>25</v>
      </c>
      <c r="BD26" s="104">
        <v>32</v>
      </c>
      <c r="BE26" s="103">
        <v>7</v>
      </c>
      <c r="BF26" s="19">
        <v>7</v>
      </c>
      <c r="BG26" s="19">
        <v>7</v>
      </c>
      <c r="BH26" s="20">
        <v>41</v>
      </c>
      <c r="BI26" s="104">
        <v>68</v>
      </c>
      <c r="BJ26" s="9"/>
      <c r="BN26" s="3" t="str">
        <f>IF('Master Sheet'!L26="","",'Master Sheet'!L26)</f>
        <v>Practical_2_Optional_Subject_List</v>
      </c>
    </row>
    <row r="27" spans="1:66">
      <c r="A27" s="516">
        <f>IF('Student DATA Entry'!A23="","",'Student DATA Entry'!A23)</f>
        <v>20</v>
      </c>
      <c r="B27" s="528" t="str">
        <f>IF('Student DATA Entry'!B23="","",'Student DATA Entry'!B23)</f>
        <v/>
      </c>
      <c r="C27" s="126" t="str">
        <f>IF('Student DATA Entry'!D23="","",'Student DATA Entry'!D23)</f>
        <v/>
      </c>
      <c r="D27" s="530" t="str">
        <f>IF('Student DATA Entry'!E23="","",'Student DATA Entry'!E23)</f>
        <v/>
      </c>
      <c r="E27" s="532" t="str">
        <f>IF('Student DATA Entry'!I23="","",'Student DATA Entry'!I23)</f>
        <v/>
      </c>
      <c r="F27" s="127" t="str">
        <f>IF('Student DATA Entry'!F23="","",UPPER('Student DATA Entry'!F23))</f>
        <v/>
      </c>
      <c r="G27" s="127" t="str">
        <f>IF('Student DATA Entry'!G23="","",UPPER('Student DATA Entry'!G23))</f>
        <v/>
      </c>
      <c r="H27" s="127" t="str">
        <f>IF('Student DATA Entry'!H23="","",UPPER('Student DATA Entry'!H23))</f>
        <v/>
      </c>
      <c r="I27" s="526" t="str">
        <f>IF('Student DATA Entry'!K23="","",UPPER('Student DATA Entry'!K23))</f>
        <v/>
      </c>
      <c r="J27" s="560" t="str">
        <f>IF('Student DATA Entry'!J23="","",UPPER('Student DATA Entry'!J23))</f>
        <v/>
      </c>
      <c r="K27" s="103">
        <v>15</v>
      </c>
      <c r="L27" s="19">
        <v>9</v>
      </c>
      <c r="M27" s="19">
        <v>8</v>
      </c>
      <c r="N27" s="52">
        <v>28</v>
      </c>
      <c r="O27" s="104">
        <v>52</v>
      </c>
      <c r="P27" s="103">
        <v>8</v>
      </c>
      <c r="Q27" s="19">
        <v>10</v>
      </c>
      <c r="R27" s="19">
        <v>9</v>
      </c>
      <c r="S27" s="52">
        <v>24</v>
      </c>
      <c r="T27" s="104">
        <v>62</v>
      </c>
      <c r="U27" s="103" t="s">
        <v>6</v>
      </c>
      <c r="V27" s="19">
        <v>8</v>
      </c>
      <c r="W27" s="19">
        <v>5</v>
      </c>
      <c r="X27" s="19">
        <v>7</v>
      </c>
      <c r="Y27" s="52">
        <v>40</v>
      </c>
      <c r="Z27" s="52"/>
      <c r="AA27" s="57">
        <v>45</v>
      </c>
      <c r="AB27" s="564"/>
      <c r="AC27" s="103" t="s">
        <v>45</v>
      </c>
      <c r="AD27" s="19">
        <v>15</v>
      </c>
      <c r="AE27" s="19">
        <v>10</v>
      </c>
      <c r="AF27" s="19"/>
      <c r="AG27" s="52">
        <v>40</v>
      </c>
      <c r="AH27" s="52"/>
      <c r="AI27" s="57">
        <v>50</v>
      </c>
      <c r="AJ27" s="564"/>
      <c r="AK27" s="103" t="s">
        <v>6</v>
      </c>
      <c r="AL27" s="19">
        <v>15</v>
      </c>
      <c r="AM27" s="19">
        <v>10</v>
      </c>
      <c r="AN27" s="19"/>
      <c r="AO27" s="52">
        <v>24</v>
      </c>
      <c r="AP27" s="52">
        <v>12</v>
      </c>
      <c r="AQ27" s="57">
        <v>50</v>
      </c>
      <c r="AR27" s="564">
        <v>28</v>
      </c>
      <c r="AS27" s="18"/>
      <c r="AT27" s="19"/>
      <c r="AU27" s="19"/>
      <c r="AV27" s="19"/>
      <c r="AW27" s="52"/>
      <c r="AX27" s="52"/>
      <c r="AY27" s="57"/>
      <c r="AZ27" s="109"/>
      <c r="BA27" s="109"/>
      <c r="BB27" s="549">
        <v>24</v>
      </c>
      <c r="BC27" s="550">
        <v>25</v>
      </c>
      <c r="BD27" s="104">
        <v>32</v>
      </c>
      <c r="BE27" s="103">
        <v>7</v>
      </c>
      <c r="BF27" s="19">
        <v>7</v>
      </c>
      <c r="BG27" s="19">
        <v>7</v>
      </c>
      <c r="BH27" s="20">
        <v>41</v>
      </c>
      <c r="BI27" s="104">
        <v>68</v>
      </c>
      <c r="BJ27" s="9"/>
      <c r="BN27" s="3" t="str">
        <f>IF('Master Sheet'!L27="","",'Master Sheet'!L27)</f>
        <v xml:space="preserve">DANCE KATTHAK </v>
      </c>
    </row>
    <row r="28" spans="1:66">
      <c r="A28" s="516">
        <f>IF('Student DATA Entry'!A24="","",'Student DATA Entry'!A24)</f>
        <v>21</v>
      </c>
      <c r="B28" s="528" t="str">
        <f>IF('Student DATA Entry'!B24="","",'Student DATA Entry'!B24)</f>
        <v/>
      </c>
      <c r="C28" s="126" t="str">
        <f>IF('Student DATA Entry'!D24="","",'Student DATA Entry'!D24)</f>
        <v/>
      </c>
      <c r="D28" s="530" t="str">
        <f>IF('Student DATA Entry'!E24="","",'Student DATA Entry'!E24)</f>
        <v/>
      </c>
      <c r="E28" s="532" t="str">
        <f>IF('Student DATA Entry'!I24="","",'Student DATA Entry'!I24)</f>
        <v/>
      </c>
      <c r="F28" s="127" t="str">
        <f>IF('Student DATA Entry'!F24="","",UPPER('Student DATA Entry'!F24))</f>
        <v/>
      </c>
      <c r="G28" s="127" t="str">
        <f>IF('Student DATA Entry'!G24="","",UPPER('Student DATA Entry'!G24))</f>
        <v/>
      </c>
      <c r="H28" s="127" t="str">
        <f>IF('Student DATA Entry'!H24="","",UPPER('Student DATA Entry'!H24))</f>
        <v/>
      </c>
      <c r="I28" s="526" t="str">
        <f>IF('Student DATA Entry'!K24="","",UPPER('Student DATA Entry'!K24))</f>
        <v/>
      </c>
      <c r="J28" s="560" t="str">
        <f>IF('Student DATA Entry'!J24="","",UPPER('Student DATA Entry'!J24))</f>
        <v/>
      </c>
      <c r="K28" s="103">
        <v>12</v>
      </c>
      <c r="L28" s="19">
        <v>8</v>
      </c>
      <c r="M28" s="19">
        <v>8</v>
      </c>
      <c r="N28" s="52">
        <v>29</v>
      </c>
      <c r="O28" s="104">
        <v>51</v>
      </c>
      <c r="P28" s="103">
        <v>9</v>
      </c>
      <c r="Q28" s="19">
        <v>10</v>
      </c>
      <c r="R28" s="19">
        <v>9</v>
      </c>
      <c r="S28" s="52">
        <v>28</v>
      </c>
      <c r="T28" s="104">
        <v>65</v>
      </c>
      <c r="U28" s="103" t="s">
        <v>6</v>
      </c>
      <c r="V28" s="19">
        <v>7</v>
      </c>
      <c r="W28" s="19">
        <v>6</v>
      </c>
      <c r="X28" s="19">
        <v>7</v>
      </c>
      <c r="Y28" s="52">
        <v>41</v>
      </c>
      <c r="Z28" s="52"/>
      <c r="AA28" s="57">
        <v>48</v>
      </c>
      <c r="AB28" s="564"/>
      <c r="AC28" s="103" t="s">
        <v>45</v>
      </c>
      <c r="AD28" s="19">
        <v>12</v>
      </c>
      <c r="AE28" s="19">
        <v>12</v>
      </c>
      <c r="AF28" s="19"/>
      <c r="AG28" s="52">
        <v>45</v>
      </c>
      <c r="AH28" s="52"/>
      <c r="AI28" s="57">
        <v>52</v>
      </c>
      <c r="AJ28" s="564"/>
      <c r="AK28" s="103" t="s">
        <v>6</v>
      </c>
      <c r="AL28" s="19">
        <v>17</v>
      </c>
      <c r="AM28" s="19">
        <v>10</v>
      </c>
      <c r="AN28" s="19"/>
      <c r="AO28" s="52">
        <v>28</v>
      </c>
      <c r="AP28" s="52">
        <v>10</v>
      </c>
      <c r="AQ28" s="57">
        <v>42</v>
      </c>
      <c r="AR28" s="564">
        <v>26</v>
      </c>
      <c r="AS28" s="18"/>
      <c r="AT28" s="19"/>
      <c r="AU28" s="19"/>
      <c r="AV28" s="19"/>
      <c r="AW28" s="52"/>
      <c r="AX28" s="52"/>
      <c r="AY28" s="57"/>
      <c r="AZ28" s="109"/>
      <c r="BA28" s="109"/>
      <c r="BB28" s="549">
        <v>24</v>
      </c>
      <c r="BC28" s="550">
        <v>25</v>
      </c>
      <c r="BD28" s="104">
        <v>32</v>
      </c>
      <c r="BE28" s="103">
        <v>7</v>
      </c>
      <c r="BF28" s="19">
        <v>7</v>
      </c>
      <c r="BG28" s="19">
        <v>7</v>
      </c>
      <c r="BH28" s="20">
        <v>41</v>
      </c>
      <c r="BI28" s="104">
        <v>68</v>
      </c>
      <c r="BJ28" s="9"/>
      <c r="BN28" s="3" t="str">
        <f>IF('Master Sheet'!L28="","",'Master Sheet'!L28)</f>
        <v>DRAWING</v>
      </c>
    </row>
    <row r="29" spans="1:66">
      <c r="A29" s="516">
        <f>IF('Student DATA Entry'!A25="","",'Student DATA Entry'!A25)</f>
        <v>22</v>
      </c>
      <c r="B29" s="528" t="str">
        <f>IF('Student DATA Entry'!B25="","",'Student DATA Entry'!B25)</f>
        <v/>
      </c>
      <c r="C29" s="126" t="str">
        <f>IF('Student DATA Entry'!D25="","",'Student DATA Entry'!D25)</f>
        <v/>
      </c>
      <c r="D29" s="530" t="str">
        <f>IF('Student DATA Entry'!E25="","",'Student DATA Entry'!E25)</f>
        <v/>
      </c>
      <c r="E29" s="532" t="str">
        <f>IF('Student DATA Entry'!I25="","",'Student DATA Entry'!I25)</f>
        <v/>
      </c>
      <c r="F29" s="127" t="str">
        <f>IF('Student DATA Entry'!F25="","",UPPER('Student DATA Entry'!F25))</f>
        <v/>
      </c>
      <c r="G29" s="127" t="str">
        <f>IF('Student DATA Entry'!G25="","",UPPER('Student DATA Entry'!G25))</f>
        <v/>
      </c>
      <c r="H29" s="127" t="str">
        <f>IF('Student DATA Entry'!H25="","",UPPER('Student DATA Entry'!H25))</f>
        <v/>
      </c>
      <c r="I29" s="526" t="str">
        <f>IF('Student DATA Entry'!K25="","",UPPER('Student DATA Entry'!K25))</f>
        <v/>
      </c>
      <c r="J29" s="560" t="str">
        <f>IF('Student DATA Entry'!J25="","",UPPER('Student DATA Entry'!J25))</f>
        <v/>
      </c>
      <c r="K29" s="103">
        <v>13</v>
      </c>
      <c r="L29" s="19">
        <v>7</v>
      </c>
      <c r="M29" s="19">
        <v>8</v>
      </c>
      <c r="N29" s="52">
        <v>27</v>
      </c>
      <c r="O29" s="104">
        <v>54</v>
      </c>
      <c r="P29" s="103">
        <v>8</v>
      </c>
      <c r="Q29" s="19">
        <v>10</v>
      </c>
      <c r="R29" s="19">
        <v>9</v>
      </c>
      <c r="S29" s="52">
        <v>29</v>
      </c>
      <c r="T29" s="104">
        <v>68</v>
      </c>
      <c r="U29" s="103" t="s">
        <v>6</v>
      </c>
      <c r="V29" s="19">
        <v>9</v>
      </c>
      <c r="W29" s="19">
        <v>8</v>
      </c>
      <c r="X29" s="19">
        <v>7</v>
      </c>
      <c r="Y29" s="52">
        <v>40</v>
      </c>
      <c r="Z29" s="52"/>
      <c r="AA29" s="57">
        <v>47</v>
      </c>
      <c r="AB29" s="564"/>
      <c r="AC29" s="103" t="s">
        <v>45</v>
      </c>
      <c r="AD29" s="19">
        <v>14</v>
      </c>
      <c r="AE29" s="19">
        <v>10</v>
      </c>
      <c r="AF29" s="19"/>
      <c r="AG29" s="52">
        <v>48</v>
      </c>
      <c r="AH29" s="52"/>
      <c r="AI29" s="57">
        <v>52</v>
      </c>
      <c r="AJ29" s="564"/>
      <c r="AK29" s="103" t="s">
        <v>6</v>
      </c>
      <c r="AL29" s="19">
        <v>10</v>
      </c>
      <c r="AM29" s="19">
        <v>12</v>
      </c>
      <c r="AN29" s="19"/>
      <c r="AO29" s="52">
        <v>29</v>
      </c>
      <c r="AP29" s="52">
        <v>8</v>
      </c>
      <c r="AQ29" s="57">
        <v>45</v>
      </c>
      <c r="AR29" s="564">
        <v>24</v>
      </c>
      <c r="AS29" s="18"/>
      <c r="AT29" s="19"/>
      <c r="AU29" s="19"/>
      <c r="AV29" s="19"/>
      <c r="AW29" s="52"/>
      <c r="AX29" s="52"/>
      <c r="AY29" s="57"/>
      <c r="AZ29" s="109"/>
      <c r="BA29" s="109"/>
      <c r="BB29" s="549">
        <v>20</v>
      </c>
      <c r="BC29" s="550">
        <v>30</v>
      </c>
      <c r="BD29" s="104">
        <v>32</v>
      </c>
      <c r="BE29" s="103">
        <v>7</v>
      </c>
      <c r="BF29" s="19">
        <v>7</v>
      </c>
      <c r="BG29" s="19">
        <v>7</v>
      </c>
      <c r="BH29" s="20">
        <v>41</v>
      </c>
      <c r="BI29" s="104">
        <v>68</v>
      </c>
      <c r="BJ29" s="9"/>
      <c r="BN29" s="3" t="str">
        <f>IF('Master Sheet'!L29="","",'Master Sheet'!L29)</f>
        <v>MUSIC INSTR. DILRUBA</v>
      </c>
    </row>
    <row r="30" spans="1:66">
      <c r="A30" s="516">
        <f>IF('Student DATA Entry'!A26="","",'Student DATA Entry'!A26)</f>
        <v>23</v>
      </c>
      <c r="B30" s="528" t="str">
        <f>IF('Student DATA Entry'!B26="","",'Student DATA Entry'!B26)</f>
        <v/>
      </c>
      <c r="C30" s="126" t="str">
        <f>IF('Student DATA Entry'!D26="","",'Student DATA Entry'!D26)</f>
        <v/>
      </c>
      <c r="D30" s="530" t="str">
        <f>IF('Student DATA Entry'!E26="","",'Student DATA Entry'!E26)</f>
        <v/>
      </c>
      <c r="E30" s="532" t="str">
        <f>IF('Student DATA Entry'!I26="","",'Student DATA Entry'!I26)</f>
        <v/>
      </c>
      <c r="F30" s="127" t="str">
        <f>IF('Student DATA Entry'!F26="","",UPPER('Student DATA Entry'!F26))</f>
        <v/>
      </c>
      <c r="G30" s="127" t="str">
        <f>IF('Student DATA Entry'!G26="","",UPPER('Student DATA Entry'!G26))</f>
        <v/>
      </c>
      <c r="H30" s="127" t="str">
        <f>IF('Student DATA Entry'!H26="","",UPPER('Student DATA Entry'!H26))</f>
        <v/>
      </c>
      <c r="I30" s="526" t="str">
        <f>IF('Student DATA Entry'!K26="","",UPPER('Student DATA Entry'!K26))</f>
        <v/>
      </c>
      <c r="J30" s="560" t="str">
        <f>IF('Student DATA Entry'!J26="","",UPPER('Student DATA Entry'!J26))</f>
        <v/>
      </c>
      <c r="K30" s="103">
        <v>14</v>
      </c>
      <c r="L30" s="19">
        <v>4</v>
      </c>
      <c r="M30" s="19">
        <v>8</v>
      </c>
      <c r="N30" s="52">
        <v>28</v>
      </c>
      <c r="O30" s="104">
        <v>52</v>
      </c>
      <c r="P30" s="103">
        <v>7</v>
      </c>
      <c r="Q30" s="19">
        <v>10</v>
      </c>
      <c r="R30" s="19">
        <v>9</v>
      </c>
      <c r="S30" s="52">
        <v>27</v>
      </c>
      <c r="T30" s="104">
        <v>69</v>
      </c>
      <c r="U30" s="103" t="s">
        <v>6</v>
      </c>
      <c r="V30" s="19">
        <v>8</v>
      </c>
      <c r="W30" s="19">
        <v>8</v>
      </c>
      <c r="X30" s="19">
        <v>7</v>
      </c>
      <c r="Y30" s="52">
        <v>40</v>
      </c>
      <c r="Z30" s="52"/>
      <c r="AA30" s="57">
        <v>48</v>
      </c>
      <c r="AB30" s="564"/>
      <c r="AC30" s="103" t="s">
        <v>45</v>
      </c>
      <c r="AD30" s="19">
        <v>15</v>
      </c>
      <c r="AE30" s="19">
        <v>10</v>
      </c>
      <c r="AF30" s="19"/>
      <c r="AG30" s="52">
        <v>40</v>
      </c>
      <c r="AH30" s="52"/>
      <c r="AI30" s="57">
        <v>54</v>
      </c>
      <c r="AJ30" s="564"/>
      <c r="AK30" s="103" t="s">
        <v>6</v>
      </c>
      <c r="AL30" s="19">
        <v>12</v>
      </c>
      <c r="AM30" s="19">
        <v>14</v>
      </c>
      <c r="AN30" s="19"/>
      <c r="AO30" s="52">
        <v>24</v>
      </c>
      <c r="AP30" s="52">
        <v>9</v>
      </c>
      <c r="AQ30" s="57">
        <v>46</v>
      </c>
      <c r="AR30" s="564">
        <v>19</v>
      </c>
      <c r="AS30" s="18"/>
      <c r="AT30" s="19"/>
      <c r="AU30" s="19"/>
      <c r="AV30" s="19"/>
      <c r="AW30" s="52"/>
      <c r="AX30" s="52"/>
      <c r="AY30" s="57"/>
      <c r="AZ30" s="109"/>
      <c r="BA30" s="109"/>
      <c r="BB30" s="549">
        <v>20</v>
      </c>
      <c r="BC30" s="550">
        <v>30</v>
      </c>
      <c r="BD30" s="104">
        <v>32</v>
      </c>
      <c r="BE30" s="103">
        <v>7</v>
      </c>
      <c r="BF30" s="19">
        <v>7</v>
      </c>
      <c r="BG30" s="19">
        <v>7</v>
      </c>
      <c r="BH30" s="20">
        <v>41</v>
      </c>
      <c r="BI30" s="104">
        <v>68</v>
      </c>
      <c r="BJ30" s="9"/>
      <c r="BN30" s="3" t="str">
        <f>IF('Master Sheet'!L30="","",'Master Sheet'!L30)</f>
        <v>MUSIC INSTR. FLUTE</v>
      </c>
    </row>
    <row r="31" spans="1:66">
      <c r="A31" s="516">
        <f>IF('Student DATA Entry'!A27="","",'Student DATA Entry'!A27)</f>
        <v>24</v>
      </c>
      <c r="B31" s="528" t="str">
        <f>IF('Student DATA Entry'!B27="","",'Student DATA Entry'!B27)</f>
        <v/>
      </c>
      <c r="C31" s="126" t="str">
        <f>IF('Student DATA Entry'!D27="","",'Student DATA Entry'!D27)</f>
        <v/>
      </c>
      <c r="D31" s="530" t="str">
        <f>IF('Student DATA Entry'!E27="","",'Student DATA Entry'!E27)</f>
        <v/>
      </c>
      <c r="E31" s="532" t="str">
        <f>IF('Student DATA Entry'!I27="","",'Student DATA Entry'!I27)</f>
        <v/>
      </c>
      <c r="F31" s="127" t="str">
        <f>IF('Student DATA Entry'!F27="","",UPPER('Student DATA Entry'!F27))</f>
        <v/>
      </c>
      <c r="G31" s="127" t="str">
        <f>IF('Student DATA Entry'!G27="","",UPPER('Student DATA Entry'!G27))</f>
        <v/>
      </c>
      <c r="H31" s="127" t="str">
        <f>IF('Student DATA Entry'!H27="","",UPPER('Student DATA Entry'!H27))</f>
        <v/>
      </c>
      <c r="I31" s="526" t="str">
        <f>IF('Student DATA Entry'!K27="","",UPPER('Student DATA Entry'!K27))</f>
        <v/>
      </c>
      <c r="J31" s="560" t="str">
        <f>IF('Student DATA Entry'!J27="","",UPPER('Student DATA Entry'!J27))</f>
        <v/>
      </c>
      <c r="K31" s="103">
        <v>15</v>
      </c>
      <c r="L31" s="19">
        <v>5</v>
      </c>
      <c r="M31" s="19">
        <v>8</v>
      </c>
      <c r="N31" s="52">
        <v>29</v>
      </c>
      <c r="O31" s="104">
        <v>52</v>
      </c>
      <c r="P31" s="103">
        <v>4</v>
      </c>
      <c r="Q31" s="19">
        <v>10</v>
      </c>
      <c r="R31" s="19">
        <v>9</v>
      </c>
      <c r="S31" s="52">
        <v>36</v>
      </c>
      <c r="T31" s="104">
        <v>67</v>
      </c>
      <c r="U31" s="103" t="s">
        <v>6</v>
      </c>
      <c r="V31" s="19">
        <v>5</v>
      </c>
      <c r="W31" s="19">
        <v>8</v>
      </c>
      <c r="X31" s="19">
        <v>7</v>
      </c>
      <c r="Y31" s="52">
        <v>36</v>
      </c>
      <c r="Z31" s="52"/>
      <c r="AA31" s="57">
        <v>47</v>
      </c>
      <c r="AB31" s="564"/>
      <c r="AC31" s="103" t="s">
        <v>45</v>
      </c>
      <c r="AD31" s="19">
        <v>16</v>
      </c>
      <c r="AE31" s="19">
        <v>12</v>
      </c>
      <c r="AF31" s="19"/>
      <c r="AG31" s="52">
        <v>41</v>
      </c>
      <c r="AH31" s="52"/>
      <c r="AI31" s="57">
        <v>56</v>
      </c>
      <c r="AJ31" s="564"/>
      <c r="AK31" s="103" t="s">
        <v>6</v>
      </c>
      <c r="AL31" s="19">
        <v>15</v>
      </c>
      <c r="AM31" s="19">
        <v>15</v>
      </c>
      <c r="AN31" s="19"/>
      <c r="AO31" s="52">
        <v>28</v>
      </c>
      <c r="AP31" s="52">
        <v>14</v>
      </c>
      <c r="AQ31" s="57">
        <v>39</v>
      </c>
      <c r="AR31" s="564">
        <v>28</v>
      </c>
      <c r="AS31" s="18"/>
      <c r="AT31" s="19"/>
      <c r="AU31" s="19"/>
      <c r="AV31" s="19"/>
      <c r="AW31" s="52"/>
      <c r="AX31" s="52"/>
      <c r="AY31" s="57"/>
      <c r="AZ31" s="109"/>
      <c r="BA31" s="109"/>
      <c r="BB31" s="549">
        <v>20</v>
      </c>
      <c r="BC31" s="550">
        <v>30</v>
      </c>
      <c r="BD31" s="104">
        <v>32</v>
      </c>
      <c r="BE31" s="103">
        <v>7</v>
      </c>
      <c r="BF31" s="19">
        <v>7</v>
      </c>
      <c r="BG31" s="19">
        <v>7</v>
      </c>
      <c r="BH31" s="20">
        <v>41</v>
      </c>
      <c r="BI31" s="104">
        <v>68</v>
      </c>
      <c r="BJ31" s="9"/>
      <c r="BN31" s="3" t="str">
        <f>IF('Master Sheet'!L31="","",'Master Sheet'!L31)</f>
        <v>MUSIC INSTR. FLUTE</v>
      </c>
    </row>
    <row r="32" spans="1:66">
      <c r="A32" s="516">
        <f>IF('Student DATA Entry'!A28="","",'Student DATA Entry'!A28)</f>
        <v>25</v>
      </c>
      <c r="B32" s="528" t="str">
        <f>IF('Student DATA Entry'!B28="","",'Student DATA Entry'!B28)</f>
        <v/>
      </c>
      <c r="C32" s="126" t="str">
        <f>IF('Student DATA Entry'!D28="","",'Student DATA Entry'!D28)</f>
        <v/>
      </c>
      <c r="D32" s="530" t="str">
        <f>IF('Student DATA Entry'!E28="","",'Student DATA Entry'!E28)</f>
        <v/>
      </c>
      <c r="E32" s="532" t="str">
        <f>IF('Student DATA Entry'!I28="","",'Student DATA Entry'!I28)</f>
        <v/>
      </c>
      <c r="F32" s="127" t="str">
        <f>IF('Student DATA Entry'!F28="","",UPPER('Student DATA Entry'!F28))</f>
        <v/>
      </c>
      <c r="G32" s="127" t="str">
        <f>IF('Student DATA Entry'!G28="","",UPPER('Student DATA Entry'!G28))</f>
        <v/>
      </c>
      <c r="H32" s="127" t="str">
        <f>IF('Student DATA Entry'!H28="","",UPPER('Student DATA Entry'!H28))</f>
        <v/>
      </c>
      <c r="I32" s="526" t="str">
        <f>IF('Student DATA Entry'!K28="","",UPPER('Student DATA Entry'!K28))</f>
        <v/>
      </c>
      <c r="J32" s="560" t="str">
        <f>IF('Student DATA Entry'!J28="","",UPPER('Student DATA Entry'!J28))</f>
        <v/>
      </c>
      <c r="K32" s="103">
        <v>16</v>
      </c>
      <c r="L32" s="19">
        <v>6</v>
      </c>
      <c r="M32" s="19">
        <v>8</v>
      </c>
      <c r="N32" s="52">
        <v>28</v>
      </c>
      <c r="O32" s="104">
        <v>51</v>
      </c>
      <c r="P32" s="103">
        <v>5</v>
      </c>
      <c r="Q32" s="19">
        <v>10</v>
      </c>
      <c r="R32" s="19">
        <v>9</v>
      </c>
      <c r="S32" s="52">
        <v>35</v>
      </c>
      <c r="T32" s="104">
        <v>64</v>
      </c>
      <c r="U32" s="103" t="s">
        <v>6</v>
      </c>
      <c r="V32" s="19">
        <v>4</v>
      </c>
      <c r="W32" s="19">
        <v>7</v>
      </c>
      <c r="X32" s="19">
        <v>7</v>
      </c>
      <c r="Y32" s="52">
        <v>35</v>
      </c>
      <c r="Z32" s="52"/>
      <c r="AA32" s="57">
        <v>49</v>
      </c>
      <c r="AB32" s="564"/>
      <c r="AC32" s="103" t="s">
        <v>45</v>
      </c>
      <c r="AD32" s="19">
        <v>14</v>
      </c>
      <c r="AE32" s="19">
        <v>13</v>
      </c>
      <c r="AF32" s="19"/>
      <c r="AG32" s="52">
        <v>45</v>
      </c>
      <c r="AH32" s="52"/>
      <c r="AI32" s="57">
        <v>51</v>
      </c>
      <c r="AJ32" s="564"/>
      <c r="AK32" s="103" t="s">
        <v>6</v>
      </c>
      <c r="AL32" s="19">
        <v>14</v>
      </c>
      <c r="AM32" s="19">
        <v>14</v>
      </c>
      <c r="AN32" s="19"/>
      <c r="AO32" s="52">
        <v>29</v>
      </c>
      <c r="AP32" s="52">
        <v>10</v>
      </c>
      <c r="AQ32" s="57">
        <v>35</v>
      </c>
      <c r="AR32" s="564">
        <v>24</v>
      </c>
      <c r="AS32" s="18"/>
      <c r="AT32" s="19"/>
      <c r="AU32" s="19"/>
      <c r="AV32" s="19"/>
      <c r="AW32" s="52"/>
      <c r="AX32" s="52"/>
      <c r="AY32" s="57"/>
      <c r="AZ32" s="109"/>
      <c r="BA32" s="109"/>
      <c r="BB32" s="549">
        <v>20</v>
      </c>
      <c r="BC32" s="550">
        <v>30</v>
      </c>
      <c r="BD32" s="104">
        <v>32</v>
      </c>
      <c r="BE32" s="103">
        <v>7</v>
      </c>
      <c r="BF32" s="19">
        <v>7</v>
      </c>
      <c r="BG32" s="19">
        <v>7</v>
      </c>
      <c r="BH32" s="20">
        <v>41</v>
      </c>
      <c r="BI32" s="104">
        <v>68</v>
      </c>
      <c r="BJ32" s="9"/>
      <c r="BN32" s="3" t="str">
        <f>IF('Master Sheet'!L32="","",'Master Sheet'!L32)</f>
        <v>MUSIC INSTR. GUITAR</v>
      </c>
    </row>
    <row r="33" spans="1:66">
      <c r="A33" s="516">
        <f>IF('Student DATA Entry'!A29="","",'Student DATA Entry'!A29)</f>
        <v>26</v>
      </c>
      <c r="B33" s="528" t="str">
        <f>IF('Student DATA Entry'!B29="","",'Student DATA Entry'!B29)</f>
        <v/>
      </c>
      <c r="C33" s="126" t="str">
        <f>IF('Student DATA Entry'!D29="","",'Student DATA Entry'!D29)</f>
        <v/>
      </c>
      <c r="D33" s="530" t="str">
        <f>IF('Student DATA Entry'!E29="","",'Student DATA Entry'!E29)</f>
        <v/>
      </c>
      <c r="E33" s="532" t="str">
        <f>IF('Student DATA Entry'!I29="","",'Student DATA Entry'!I29)</f>
        <v/>
      </c>
      <c r="F33" s="127" t="str">
        <f>IF('Student DATA Entry'!F29="","",UPPER('Student DATA Entry'!F29))</f>
        <v/>
      </c>
      <c r="G33" s="127" t="str">
        <f>IF('Student DATA Entry'!G29="","",UPPER('Student DATA Entry'!G29))</f>
        <v/>
      </c>
      <c r="H33" s="127" t="str">
        <f>IF('Student DATA Entry'!H29="","",UPPER('Student DATA Entry'!H29))</f>
        <v/>
      </c>
      <c r="I33" s="526" t="str">
        <f>IF('Student DATA Entry'!K29="","",UPPER('Student DATA Entry'!K29))</f>
        <v/>
      </c>
      <c r="J33" s="560" t="str">
        <f>IF('Student DATA Entry'!J29="","",UPPER('Student DATA Entry'!J29))</f>
        <v/>
      </c>
      <c r="K33" s="103">
        <v>13</v>
      </c>
      <c r="L33" s="19">
        <v>9</v>
      </c>
      <c r="M33" s="19">
        <v>8</v>
      </c>
      <c r="N33" s="52">
        <v>27</v>
      </c>
      <c r="O33" s="104">
        <v>50</v>
      </c>
      <c r="P33" s="103">
        <v>8</v>
      </c>
      <c r="Q33" s="19">
        <v>10</v>
      </c>
      <c r="R33" s="19">
        <v>9</v>
      </c>
      <c r="S33" s="52">
        <v>32</v>
      </c>
      <c r="T33" s="104">
        <v>61</v>
      </c>
      <c r="U33" s="103" t="s">
        <v>6</v>
      </c>
      <c r="V33" s="19">
        <v>8</v>
      </c>
      <c r="W33" s="19">
        <v>8</v>
      </c>
      <c r="X33" s="19">
        <v>7</v>
      </c>
      <c r="Y33" s="52">
        <v>35</v>
      </c>
      <c r="Z33" s="52"/>
      <c r="AA33" s="57">
        <v>52</v>
      </c>
      <c r="AB33" s="564"/>
      <c r="AC33" s="103" t="s">
        <v>45</v>
      </c>
      <c r="AD33" s="19">
        <v>15</v>
      </c>
      <c r="AE33" s="19">
        <v>14</v>
      </c>
      <c r="AF33" s="19"/>
      <c r="AG33" s="52">
        <v>40</v>
      </c>
      <c r="AH33" s="52"/>
      <c r="AI33" s="57">
        <v>50</v>
      </c>
      <c r="AJ33" s="564"/>
      <c r="AK33" s="103" t="s">
        <v>45</v>
      </c>
      <c r="AL33" s="19">
        <v>16</v>
      </c>
      <c r="AM33" s="19">
        <v>15</v>
      </c>
      <c r="AN33" s="19"/>
      <c r="AO33" s="52">
        <v>45</v>
      </c>
      <c r="AP33" s="52"/>
      <c r="AQ33" s="57">
        <v>74</v>
      </c>
      <c r="AR33" s="564"/>
      <c r="AS33" s="18"/>
      <c r="AT33" s="19"/>
      <c r="AU33" s="19"/>
      <c r="AV33" s="19"/>
      <c r="AW33" s="52"/>
      <c r="AX33" s="52"/>
      <c r="AY33" s="57"/>
      <c r="AZ33" s="109"/>
      <c r="BA33" s="109"/>
      <c r="BB33" s="549">
        <v>20</v>
      </c>
      <c r="BC33" s="550">
        <v>30</v>
      </c>
      <c r="BD33" s="104">
        <v>32</v>
      </c>
      <c r="BE33" s="103">
        <v>7</v>
      </c>
      <c r="BF33" s="19">
        <v>7</v>
      </c>
      <c r="BG33" s="19">
        <v>7</v>
      </c>
      <c r="BH33" s="20">
        <v>41</v>
      </c>
      <c r="BI33" s="104">
        <v>68</v>
      </c>
      <c r="BJ33" s="9"/>
      <c r="BN33" s="3" t="str">
        <f>IF('Master Sheet'!L33="","",'Master Sheet'!L33)</f>
        <v>MUSIC INSTR. PKHAAVAJ</v>
      </c>
    </row>
    <row r="34" spans="1:66">
      <c r="A34" s="516">
        <f>IF('Student DATA Entry'!A30="","",'Student DATA Entry'!A30)</f>
        <v>27</v>
      </c>
      <c r="B34" s="528" t="str">
        <f>IF('Student DATA Entry'!B30="","",'Student DATA Entry'!B30)</f>
        <v/>
      </c>
      <c r="C34" s="126" t="str">
        <f>IF('Student DATA Entry'!D30="","",'Student DATA Entry'!D30)</f>
        <v/>
      </c>
      <c r="D34" s="530" t="str">
        <f>IF('Student DATA Entry'!E30="","",'Student DATA Entry'!E30)</f>
        <v/>
      </c>
      <c r="E34" s="532" t="str">
        <f>IF('Student DATA Entry'!I30="","",'Student DATA Entry'!I30)</f>
        <v/>
      </c>
      <c r="F34" s="127" t="str">
        <f>IF('Student DATA Entry'!F30="","",UPPER('Student DATA Entry'!F30))</f>
        <v/>
      </c>
      <c r="G34" s="127" t="str">
        <f>IF('Student DATA Entry'!G30="","",UPPER('Student DATA Entry'!G30))</f>
        <v/>
      </c>
      <c r="H34" s="127" t="str">
        <f>IF('Student DATA Entry'!H30="","",UPPER('Student DATA Entry'!H30))</f>
        <v/>
      </c>
      <c r="I34" s="526" t="str">
        <f>IF('Student DATA Entry'!K30="","",UPPER('Student DATA Entry'!K30))</f>
        <v/>
      </c>
      <c r="J34" s="560" t="str">
        <f>IF('Student DATA Entry'!J30="","",UPPER('Student DATA Entry'!J30))</f>
        <v/>
      </c>
      <c r="K34" s="103">
        <v>15</v>
      </c>
      <c r="L34" s="19">
        <v>8</v>
      </c>
      <c r="M34" s="19">
        <v>8</v>
      </c>
      <c r="N34" s="52">
        <v>28</v>
      </c>
      <c r="O34" s="104">
        <v>50</v>
      </c>
      <c r="P34" s="103">
        <v>9</v>
      </c>
      <c r="Q34" s="19">
        <v>10</v>
      </c>
      <c r="R34" s="19">
        <v>9</v>
      </c>
      <c r="S34" s="52">
        <v>31</v>
      </c>
      <c r="T34" s="104">
        <v>69</v>
      </c>
      <c r="U34" s="103" t="s">
        <v>6</v>
      </c>
      <c r="V34" s="19">
        <v>7</v>
      </c>
      <c r="W34" s="19">
        <v>9</v>
      </c>
      <c r="X34" s="19">
        <v>7</v>
      </c>
      <c r="Y34" s="52">
        <v>39</v>
      </c>
      <c r="Z34" s="52"/>
      <c r="AA34" s="57">
        <v>58</v>
      </c>
      <c r="AB34" s="564"/>
      <c r="AC34" s="103" t="s">
        <v>45</v>
      </c>
      <c r="AD34" s="19">
        <v>16</v>
      </c>
      <c r="AE34" s="19">
        <v>15</v>
      </c>
      <c r="AF34" s="19"/>
      <c r="AG34" s="52">
        <v>41</v>
      </c>
      <c r="AH34" s="52"/>
      <c r="AI34" s="57">
        <v>47</v>
      </c>
      <c r="AJ34" s="564"/>
      <c r="AK34" s="103" t="s">
        <v>45</v>
      </c>
      <c r="AL34" s="19">
        <v>14</v>
      </c>
      <c r="AM34" s="19">
        <v>14</v>
      </c>
      <c r="AN34" s="19"/>
      <c r="AO34" s="52">
        <v>31</v>
      </c>
      <c r="AP34" s="52"/>
      <c r="AQ34" s="57">
        <v>71</v>
      </c>
      <c r="AR34" s="564"/>
      <c r="AS34" s="18"/>
      <c r="AT34" s="19"/>
      <c r="AU34" s="19"/>
      <c r="AV34" s="19"/>
      <c r="AW34" s="52"/>
      <c r="AX34" s="52"/>
      <c r="AY34" s="57"/>
      <c r="AZ34" s="109"/>
      <c r="BA34" s="109"/>
      <c r="BB34" s="549">
        <v>20</v>
      </c>
      <c r="BC34" s="550">
        <v>30</v>
      </c>
      <c r="BD34" s="104">
        <v>32</v>
      </c>
      <c r="BE34" s="103">
        <v>7</v>
      </c>
      <c r="BF34" s="19">
        <v>7</v>
      </c>
      <c r="BG34" s="19">
        <v>7</v>
      </c>
      <c r="BH34" s="20">
        <v>41</v>
      </c>
      <c r="BI34" s="104">
        <v>68</v>
      </c>
      <c r="BJ34" s="9"/>
      <c r="BN34" s="3" t="str">
        <f>IF('Master Sheet'!L34="","",'Master Sheet'!L34)</f>
        <v>MUSIC INSTR. SAROD</v>
      </c>
    </row>
    <row r="35" spans="1:66">
      <c r="A35" s="516">
        <f>IF('Student DATA Entry'!A31="","",'Student DATA Entry'!A31)</f>
        <v>28</v>
      </c>
      <c r="B35" s="528" t="str">
        <f>IF('Student DATA Entry'!B31="","",'Student DATA Entry'!B31)</f>
        <v/>
      </c>
      <c r="C35" s="126" t="str">
        <f>IF('Student DATA Entry'!D31="","",'Student DATA Entry'!D31)</f>
        <v/>
      </c>
      <c r="D35" s="530" t="str">
        <f>IF('Student DATA Entry'!E31="","",'Student DATA Entry'!E31)</f>
        <v/>
      </c>
      <c r="E35" s="532" t="str">
        <f>IF('Student DATA Entry'!I31="","",'Student DATA Entry'!I31)</f>
        <v/>
      </c>
      <c r="F35" s="127" t="str">
        <f>IF('Student DATA Entry'!F31="","",UPPER('Student DATA Entry'!F31))</f>
        <v/>
      </c>
      <c r="G35" s="127" t="str">
        <f>IF('Student DATA Entry'!G31="","",UPPER('Student DATA Entry'!G31))</f>
        <v/>
      </c>
      <c r="H35" s="127" t="str">
        <f>IF('Student DATA Entry'!H31="","",UPPER('Student DATA Entry'!H31))</f>
        <v/>
      </c>
      <c r="I35" s="526" t="str">
        <f>IF('Student DATA Entry'!K31="","",UPPER('Student DATA Entry'!K31))</f>
        <v/>
      </c>
      <c r="J35" s="560" t="str">
        <f>IF('Student DATA Entry'!J31="","",UPPER('Student DATA Entry'!J31))</f>
        <v/>
      </c>
      <c r="K35" s="103">
        <v>14</v>
      </c>
      <c r="L35" s="19">
        <v>7</v>
      </c>
      <c r="M35" s="19">
        <v>8</v>
      </c>
      <c r="N35" s="52">
        <v>29</v>
      </c>
      <c r="O35" s="104">
        <v>50</v>
      </c>
      <c r="P35" s="103">
        <v>8</v>
      </c>
      <c r="Q35" s="19">
        <v>10</v>
      </c>
      <c r="R35" s="19">
        <v>9</v>
      </c>
      <c r="S35" s="52">
        <v>25</v>
      </c>
      <c r="T35" s="104">
        <v>68</v>
      </c>
      <c r="U35" s="103" t="s">
        <v>45</v>
      </c>
      <c r="V35" s="19">
        <v>10</v>
      </c>
      <c r="W35" s="19">
        <v>6</v>
      </c>
      <c r="X35" s="19">
        <v>7</v>
      </c>
      <c r="Y35" s="52">
        <v>25</v>
      </c>
      <c r="Z35" s="52">
        <v>14</v>
      </c>
      <c r="AA35" s="57">
        <v>41</v>
      </c>
      <c r="AB35" s="564">
        <v>26</v>
      </c>
      <c r="AC35" s="103" t="s">
        <v>45</v>
      </c>
      <c r="AD35" s="19">
        <v>14</v>
      </c>
      <c r="AE35" s="19">
        <v>12</v>
      </c>
      <c r="AF35" s="19"/>
      <c r="AG35" s="52">
        <v>42</v>
      </c>
      <c r="AH35" s="52"/>
      <c r="AI35" s="57">
        <v>48</v>
      </c>
      <c r="AJ35" s="564"/>
      <c r="AK35" s="103" t="s">
        <v>6</v>
      </c>
      <c r="AL35" s="19">
        <v>16</v>
      </c>
      <c r="AM35" s="19">
        <v>10</v>
      </c>
      <c r="AN35" s="19"/>
      <c r="AO35" s="52">
        <v>21</v>
      </c>
      <c r="AP35" s="52">
        <v>10</v>
      </c>
      <c r="AQ35" s="57">
        <v>35</v>
      </c>
      <c r="AR35" s="564">
        <v>22</v>
      </c>
      <c r="AS35" s="18"/>
      <c r="AT35" s="19"/>
      <c r="AU35" s="19"/>
      <c r="AV35" s="19"/>
      <c r="AW35" s="52"/>
      <c r="AX35" s="52"/>
      <c r="AY35" s="57"/>
      <c r="AZ35" s="109"/>
      <c r="BA35" s="109"/>
      <c r="BB35" s="549">
        <v>20</v>
      </c>
      <c r="BC35" s="550">
        <v>30</v>
      </c>
      <c r="BD35" s="104">
        <v>32</v>
      </c>
      <c r="BE35" s="103">
        <v>7</v>
      </c>
      <c r="BF35" s="19">
        <v>7</v>
      </c>
      <c r="BG35" s="19">
        <v>7</v>
      </c>
      <c r="BH35" s="20">
        <v>41</v>
      </c>
      <c r="BI35" s="104">
        <v>68</v>
      </c>
      <c r="BJ35" s="9"/>
      <c r="BN35" s="3" t="str">
        <f>IF('Master Sheet'!L35="","",'Master Sheet'!L35)</f>
        <v>MUSIC INSTR. SITARA</v>
      </c>
    </row>
    <row r="36" spans="1:66">
      <c r="A36" s="516">
        <f>IF('Student DATA Entry'!A32="","",'Student DATA Entry'!A32)</f>
        <v>29</v>
      </c>
      <c r="B36" s="528" t="str">
        <f>IF('Student DATA Entry'!B32="","",'Student DATA Entry'!B32)</f>
        <v/>
      </c>
      <c r="C36" s="126" t="str">
        <f>IF('Student DATA Entry'!D32="","",'Student DATA Entry'!D32)</f>
        <v/>
      </c>
      <c r="D36" s="530" t="str">
        <f>IF('Student DATA Entry'!E32="","",'Student DATA Entry'!E32)</f>
        <v/>
      </c>
      <c r="E36" s="532" t="str">
        <f>IF('Student DATA Entry'!I32="","",'Student DATA Entry'!I32)</f>
        <v/>
      </c>
      <c r="F36" s="127" t="str">
        <f>IF('Student DATA Entry'!F32="","",UPPER('Student DATA Entry'!F32))</f>
        <v/>
      </c>
      <c r="G36" s="127" t="str">
        <f>IF('Student DATA Entry'!G32="","",UPPER('Student DATA Entry'!G32))</f>
        <v/>
      </c>
      <c r="H36" s="127" t="str">
        <f>IF('Student DATA Entry'!H32="","",UPPER('Student DATA Entry'!H32))</f>
        <v/>
      </c>
      <c r="I36" s="526" t="str">
        <f>IF('Student DATA Entry'!K32="","",UPPER('Student DATA Entry'!K32))</f>
        <v/>
      </c>
      <c r="J36" s="560" t="str">
        <f>IF('Student DATA Entry'!J32="","",UPPER('Student DATA Entry'!J32))</f>
        <v/>
      </c>
      <c r="K36" s="103">
        <v>15</v>
      </c>
      <c r="L36" s="19">
        <v>2</v>
      </c>
      <c r="M36" s="19">
        <v>8</v>
      </c>
      <c r="N36" s="52">
        <v>21</v>
      </c>
      <c r="O36" s="104">
        <v>52</v>
      </c>
      <c r="P36" s="103">
        <v>9</v>
      </c>
      <c r="Q36" s="19">
        <v>10</v>
      </c>
      <c r="R36" s="19">
        <v>9</v>
      </c>
      <c r="S36" s="52">
        <v>26</v>
      </c>
      <c r="T36" s="104">
        <v>63</v>
      </c>
      <c r="U36" s="103" t="s">
        <v>45</v>
      </c>
      <c r="V36" s="19">
        <v>10</v>
      </c>
      <c r="W36" s="19">
        <v>5</v>
      </c>
      <c r="X36" s="19">
        <v>7</v>
      </c>
      <c r="Y36" s="52">
        <v>24</v>
      </c>
      <c r="Z36" s="52">
        <v>12</v>
      </c>
      <c r="AA36" s="57">
        <v>45</v>
      </c>
      <c r="AB36" s="564">
        <v>25</v>
      </c>
      <c r="AC36" s="103" t="s">
        <v>45</v>
      </c>
      <c r="AD36" s="19">
        <v>15</v>
      </c>
      <c r="AE36" s="19">
        <v>14</v>
      </c>
      <c r="AF36" s="19"/>
      <c r="AG36" s="52">
        <v>40</v>
      </c>
      <c r="AH36" s="52"/>
      <c r="AI36" s="57">
        <v>49</v>
      </c>
      <c r="AJ36" s="564"/>
      <c r="AK36" s="103" t="s">
        <v>45</v>
      </c>
      <c r="AL36" s="19">
        <v>15</v>
      </c>
      <c r="AM36" s="19">
        <v>12</v>
      </c>
      <c r="AN36" s="19"/>
      <c r="AO36" s="52">
        <v>31</v>
      </c>
      <c r="AP36" s="52"/>
      <c r="AQ36" s="57">
        <v>30</v>
      </c>
      <c r="AR36" s="564"/>
      <c r="AS36" s="18"/>
      <c r="AT36" s="19"/>
      <c r="AU36" s="19"/>
      <c r="AV36" s="19"/>
      <c r="AW36" s="52"/>
      <c r="AX36" s="52"/>
      <c r="AY36" s="57"/>
      <c r="AZ36" s="109"/>
      <c r="BA36" s="109"/>
      <c r="BB36" s="549">
        <v>20</v>
      </c>
      <c r="BC36" s="550">
        <v>30</v>
      </c>
      <c r="BD36" s="104">
        <v>32</v>
      </c>
      <c r="BE36" s="103">
        <v>7</v>
      </c>
      <c r="BF36" s="19">
        <v>7</v>
      </c>
      <c r="BG36" s="19">
        <v>7</v>
      </c>
      <c r="BH36" s="20">
        <v>41</v>
      </c>
      <c r="BI36" s="104">
        <v>68</v>
      </c>
      <c r="BJ36" s="9"/>
      <c r="BN36" s="3" t="str">
        <f>IF('Master Sheet'!L36="","",'Master Sheet'!L36)</f>
        <v>MUSIC INSTR. TABLA</v>
      </c>
    </row>
    <row r="37" spans="1:66">
      <c r="A37" s="516">
        <f>IF('Student DATA Entry'!A33="","",'Student DATA Entry'!A33)</f>
        <v>30</v>
      </c>
      <c r="B37" s="528" t="str">
        <f>IF('Student DATA Entry'!B33="","",'Student DATA Entry'!B33)</f>
        <v/>
      </c>
      <c r="C37" s="126" t="str">
        <f>IF('Student DATA Entry'!D33="","",'Student DATA Entry'!D33)</f>
        <v/>
      </c>
      <c r="D37" s="530" t="str">
        <f>IF('Student DATA Entry'!E33="","",'Student DATA Entry'!E33)</f>
        <v/>
      </c>
      <c r="E37" s="532" t="str">
        <f>IF('Student DATA Entry'!I33="","",'Student DATA Entry'!I33)</f>
        <v/>
      </c>
      <c r="F37" s="127" t="str">
        <f>IF('Student DATA Entry'!F33="","",UPPER('Student DATA Entry'!F33))</f>
        <v/>
      </c>
      <c r="G37" s="127" t="str">
        <f>IF('Student DATA Entry'!G33="","",UPPER('Student DATA Entry'!G33))</f>
        <v/>
      </c>
      <c r="H37" s="127" t="str">
        <f>IF('Student DATA Entry'!H33="","",UPPER('Student DATA Entry'!H33))</f>
        <v/>
      </c>
      <c r="I37" s="526" t="str">
        <f>IF('Student DATA Entry'!K33="","",UPPER('Student DATA Entry'!K33))</f>
        <v/>
      </c>
      <c r="J37" s="560" t="str">
        <f>IF('Student DATA Entry'!J33="","",UPPER('Student DATA Entry'!J33))</f>
        <v/>
      </c>
      <c r="K37" s="103">
        <v>14</v>
      </c>
      <c r="L37" s="19">
        <v>5</v>
      </c>
      <c r="M37" s="19">
        <v>8</v>
      </c>
      <c r="N37" s="52">
        <v>25</v>
      </c>
      <c r="O37" s="104">
        <v>58</v>
      </c>
      <c r="P37" s="103">
        <v>8</v>
      </c>
      <c r="Q37" s="19">
        <v>10</v>
      </c>
      <c r="R37" s="19">
        <v>9</v>
      </c>
      <c r="S37" s="52">
        <v>28</v>
      </c>
      <c r="T37" s="104">
        <v>65</v>
      </c>
      <c r="U37" s="103" t="s">
        <v>45</v>
      </c>
      <c r="V37" s="19">
        <v>10</v>
      </c>
      <c r="W37" s="19">
        <v>10</v>
      </c>
      <c r="X37" s="19">
        <v>7</v>
      </c>
      <c r="Y37" s="52">
        <v>29</v>
      </c>
      <c r="Z37" s="52">
        <v>10</v>
      </c>
      <c r="AA37" s="57">
        <v>40</v>
      </c>
      <c r="AB37" s="564">
        <v>25</v>
      </c>
      <c r="AC37" s="103" t="s">
        <v>45</v>
      </c>
      <c r="AD37" s="19">
        <v>14</v>
      </c>
      <c r="AE37" s="19">
        <v>15</v>
      </c>
      <c r="AF37" s="19"/>
      <c r="AG37" s="52">
        <v>41</v>
      </c>
      <c r="AH37" s="52"/>
      <c r="AI37" s="57">
        <v>50</v>
      </c>
      <c r="AJ37" s="564"/>
      <c r="AK37" s="103" t="s">
        <v>45</v>
      </c>
      <c r="AL37" s="19">
        <v>14</v>
      </c>
      <c r="AM37" s="19">
        <v>13</v>
      </c>
      <c r="AN37" s="19"/>
      <c r="AO37" s="52">
        <v>30</v>
      </c>
      <c r="AP37" s="52"/>
      <c r="AQ37" s="57">
        <v>35</v>
      </c>
      <c r="AR37" s="564"/>
      <c r="AS37" s="18"/>
      <c r="AT37" s="19"/>
      <c r="AU37" s="19"/>
      <c r="AV37" s="19"/>
      <c r="AW37" s="52"/>
      <c r="AX37" s="52"/>
      <c r="AY37" s="57"/>
      <c r="AZ37" s="109"/>
      <c r="BA37" s="109"/>
      <c r="BB37" s="549">
        <v>20</v>
      </c>
      <c r="BC37" s="550">
        <v>30</v>
      </c>
      <c r="BD37" s="104">
        <v>32</v>
      </c>
      <c r="BE37" s="103">
        <v>7</v>
      </c>
      <c r="BF37" s="19">
        <v>7</v>
      </c>
      <c r="BG37" s="19">
        <v>7</v>
      </c>
      <c r="BH37" s="20">
        <v>41</v>
      </c>
      <c r="BI37" s="104">
        <v>70</v>
      </c>
      <c r="BJ37" s="9"/>
      <c r="BN37" s="3" t="str">
        <f>IF('Master Sheet'!L37="","",'Master Sheet'!L37)</f>
        <v xml:space="preserve">MUSIC VOCAL </v>
      </c>
    </row>
    <row r="38" spans="1:66">
      <c r="A38" s="516">
        <f>IF('Student DATA Entry'!A34="","",'Student DATA Entry'!A34)</f>
        <v>31</v>
      </c>
      <c r="B38" s="528" t="str">
        <f>IF('Student DATA Entry'!B34="","",'Student DATA Entry'!B34)</f>
        <v/>
      </c>
      <c r="C38" s="126" t="str">
        <f>IF('Student DATA Entry'!D34="","",'Student DATA Entry'!D34)</f>
        <v/>
      </c>
      <c r="D38" s="530" t="str">
        <f>IF('Student DATA Entry'!E34="","",'Student DATA Entry'!E34)</f>
        <v/>
      </c>
      <c r="E38" s="532" t="str">
        <f>IF('Student DATA Entry'!I34="","",'Student DATA Entry'!I34)</f>
        <v/>
      </c>
      <c r="F38" s="127" t="str">
        <f>IF('Student DATA Entry'!F34="","",UPPER('Student DATA Entry'!F34))</f>
        <v/>
      </c>
      <c r="G38" s="127" t="str">
        <f>IF('Student DATA Entry'!G34="","",UPPER('Student DATA Entry'!G34))</f>
        <v/>
      </c>
      <c r="H38" s="127" t="str">
        <f>IF('Student DATA Entry'!H34="","",UPPER('Student DATA Entry'!H34))</f>
        <v/>
      </c>
      <c r="I38" s="526" t="str">
        <f>IF('Student DATA Entry'!K34="","",UPPER('Student DATA Entry'!K34))</f>
        <v/>
      </c>
      <c r="J38" s="560" t="str">
        <f>IF('Student DATA Entry'!J34="","",UPPER('Student DATA Entry'!J34))</f>
        <v/>
      </c>
      <c r="K38" s="103"/>
      <c r="L38" s="19"/>
      <c r="M38" s="19"/>
      <c r="N38" s="52"/>
      <c r="O38" s="104"/>
      <c r="P38" s="103"/>
      <c r="Q38" s="19"/>
      <c r="R38" s="19"/>
      <c r="S38" s="52"/>
      <c r="T38" s="104"/>
      <c r="U38" s="103"/>
      <c r="V38" s="19"/>
      <c r="W38" s="19"/>
      <c r="X38" s="19"/>
      <c r="Y38" s="52"/>
      <c r="Z38" s="52"/>
      <c r="AA38" s="57"/>
      <c r="AB38" s="564"/>
      <c r="AC38" s="103"/>
      <c r="AD38" s="19"/>
      <c r="AE38" s="19"/>
      <c r="AF38" s="19"/>
      <c r="AG38" s="52"/>
      <c r="AH38" s="52"/>
      <c r="AI38" s="57"/>
      <c r="AJ38" s="564"/>
      <c r="AK38" s="103"/>
      <c r="AL38" s="19"/>
      <c r="AM38" s="19"/>
      <c r="AN38" s="19"/>
      <c r="AO38" s="52"/>
      <c r="AP38" s="52"/>
      <c r="AQ38" s="57"/>
      <c r="AR38" s="564"/>
      <c r="AS38" s="18"/>
      <c r="AT38" s="19"/>
      <c r="AU38" s="19"/>
      <c r="AV38" s="19"/>
      <c r="AW38" s="52"/>
      <c r="AX38" s="52"/>
      <c r="AY38" s="57"/>
      <c r="AZ38" s="109"/>
      <c r="BA38" s="109"/>
      <c r="BB38" s="549"/>
      <c r="BC38" s="550"/>
      <c r="BD38" s="104"/>
      <c r="BE38" s="103">
        <v>7</v>
      </c>
      <c r="BF38" s="19">
        <v>7</v>
      </c>
      <c r="BG38" s="19">
        <v>7</v>
      </c>
      <c r="BH38" s="20">
        <v>41</v>
      </c>
      <c r="BI38" s="104">
        <v>70</v>
      </c>
      <c r="BJ38" s="9"/>
      <c r="BN38" s="3" t="str">
        <f>IF('Master Sheet'!L38="","",'Master Sheet'!L38)</f>
        <v/>
      </c>
    </row>
    <row r="39" spans="1:66">
      <c r="A39" s="516">
        <f>IF('Student DATA Entry'!A35="","",'Student DATA Entry'!A35)</f>
        <v>32</v>
      </c>
      <c r="B39" s="528" t="str">
        <f>IF('Student DATA Entry'!B35="","",'Student DATA Entry'!B35)</f>
        <v/>
      </c>
      <c r="C39" s="126" t="str">
        <f>IF('Student DATA Entry'!D35="","",'Student DATA Entry'!D35)</f>
        <v/>
      </c>
      <c r="D39" s="530" t="str">
        <f>IF('Student DATA Entry'!E35="","",'Student DATA Entry'!E35)</f>
        <v/>
      </c>
      <c r="E39" s="532" t="str">
        <f>IF('Student DATA Entry'!I35="","",'Student DATA Entry'!I35)</f>
        <v/>
      </c>
      <c r="F39" s="127" t="str">
        <f>IF('Student DATA Entry'!F35="","",UPPER('Student DATA Entry'!F35))</f>
        <v/>
      </c>
      <c r="G39" s="127" t="str">
        <f>IF('Student DATA Entry'!G35="","",UPPER('Student DATA Entry'!G35))</f>
        <v/>
      </c>
      <c r="H39" s="127" t="str">
        <f>IF('Student DATA Entry'!H35="","",UPPER('Student DATA Entry'!H35))</f>
        <v/>
      </c>
      <c r="I39" s="526" t="str">
        <f>IF('Student DATA Entry'!K35="","",UPPER('Student DATA Entry'!K35))</f>
        <v/>
      </c>
      <c r="J39" s="560" t="str">
        <f>IF('Student DATA Entry'!J35="","",UPPER('Student DATA Entry'!J35))</f>
        <v/>
      </c>
      <c r="K39" s="103"/>
      <c r="L39" s="19"/>
      <c r="M39" s="19"/>
      <c r="N39" s="52"/>
      <c r="O39" s="104"/>
      <c r="P39" s="103"/>
      <c r="Q39" s="19"/>
      <c r="R39" s="19"/>
      <c r="S39" s="52"/>
      <c r="T39" s="104"/>
      <c r="U39" s="103"/>
      <c r="V39" s="19"/>
      <c r="W39" s="19"/>
      <c r="X39" s="19"/>
      <c r="Y39" s="52"/>
      <c r="Z39" s="52"/>
      <c r="AA39" s="57"/>
      <c r="AB39" s="564"/>
      <c r="AC39" s="103"/>
      <c r="AD39" s="19"/>
      <c r="AE39" s="19"/>
      <c r="AF39" s="19"/>
      <c r="AG39" s="52"/>
      <c r="AH39" s="52"/>
      <c r="AI39" s="57"/>
      <c r="AJ39" s="564"/>
      <c r="AK39" s="103"/>
      <c r="AL39" s="19"/>
      <c r="AM39" s="19"/>
      <c r="AN39" s="19"/>
      <c r="AO39" s="52"/>
      <c r="AP39" s="52"/>
      <c r="AQ39" s="57"/>
      <c r="AR39" s="564"/>
      <c r="AS39" s="18"/>
      <c r="AT39" s="19"/>
      <c r="AU39" s="19"/>
      <c r="AV39" s="19"/>
      <c r="AW39" s="52"/>
      <c r="AX39" s="52"/>
      <c r="AY39" s="57"/>
      <c r="AZ39" s="109"/>
      <c r="BA39" s="109"/>
      <c r="BB39" s="549"/>
      <c r="BC39" s="550"/>
      <c r="BD39" s="104"/>
      <c r="BE39" s="103"/>
      <c r="BF39" s="19"/>
      <c r="BG39" s="19"/>
      <c r="BH39" s="20"/>
      <c r="BI39" s="104"/>
      <c r="BJ39" s="9"/>
      <c r="BN39" s="3" t="e">
        <f>IF('Master Sheet'!#REF!="","",'Master Sheet'!#REF!)</f>
        <v>#REF!</v>
      </c>
    </row>
    <row r="40" spans="1:66">
      <c r="A40" s="516">
        <f>IF('Student DATA Entry'!A36="","",'Student DATA Entry'!A36)</f>
        <v>33</v>
      </c>
      <c r="B40" s="528" t="str">
        <f>IF('Student DATA Entry'!B36="","",'Student DATA Entry'!B36)</f>
        <v/>
      </c>
      <c r="C40" s="126" t="str">
        <f>IF('Student DATA Entry'!D36="","",'Student DATA Entry'!D36)</f>
        <v/>
      </c>
      <c r="D40" s="530" t="str">
        <f>IF('Student DATA Entry'!E36="","",'Student DATA Entry'!E36)</f>
        <v/>
      </c>
      <c r="E40" s="532" t="str">
        <f>IF('Student DATA Entry'!I36="","",'Student DATA Entry'!I36)</f>
        <v/>
      </c>
      <c r="F40" s="127" t="str">
        <f>IF('Student DATA Entry'!F36="","",UPPER('Student DATA Entry'!F36))</f>
        <v/>
      </c>
      <c r="G40" s="127" t="str">
        <f>IF('Student DATA Entry'!G36="","",UPPER('Student DATA Entry'!G36))</f>
        <v/>
      </c>
      <c r="H40" s="127" t="str">
        <f>IF('Student DATA Entry'!H36="","",UPPER('Student DATA Entry'!H36))</f>
        <v/>
      </c>
      <c r="I40" s="526" t="str">
        <f>IF('Student DATA Entry'!K36="","",UPPER('Student DATA Entry'!K36))</f>
        <v/>
      </c>
      <c r="J40" s="560" t="str">
        <f>IF('Student DATA Entry'!J36="","",UPPER('Student DATA Entry'!J36))</f>
        <v/>
      </c>
      <c r="K40" s="103"/>
      <c r="L40" s="19"/>
      <c r="M40" s="19"/>
      <c r="N40" s="52"/>
      <c r="O40" s="104"/>
      <c r="P40" s="103"/>
      <c r="Q40" s="19"/>
      <c r="R40" s="19"/>
      <c r="S40" s="52"/>
      <c r="T40" s="104"/>
      <c r="U40" s="103"/>
      <c r="V40" s="19"/>
      <c r="W40" s="19"/>
      <c r="X40" s="19"/>
      <c r="Y40" s="52"/>
      <c r="Z40" s="52"/>
      <c r="AA40" s="57"/>
      <c r="AB40" s="564"/>
      <c r="AC40" s="103"/>
      <c r="AD40" s="19"/>
      <c r="AE40" s="19"/>
      <c r="AF40" s="19"/>
      <c r="AG40" s="52"/>
      <c r="AH40" s="52"/>
      <c r="AI40" s="57"/>
      <c r="AJ40" s="564"/>
      <c r="AK40" s="103"/>
      <c r="AL40" s="19"/>
      <c r="AM40" s="19"/>
      <c r="AN40" s="19"/>
      <c r="AO40" s="52"/>
      <c r="AP40" s="52"/>
      <c r="AQ40" s="57"/>
      <c r="AR40" s="564"/>
      <c r="AS40" s="18"/>
      <c r="AT40" s="19"/>
      <c r="AU40" s="19"/>
      <c r="AV40" s="19"/>
      <c r="AW40" s="52"/>
      <c r="AX40" s="52"/>
      <c r="AY40" s="57"/>
      <c r="AZ40" s="109"/>
      <c r="BA40" s="109"/>
      <c r="BB40" s="549"/>
      <c r="BC40" s="550"/>
      <c r="BD40" s="104"/>
      <c r="BE40" s="103"/>
      <c r="BF40" s="19"/>
      <c r="BG40" s="19"/>
      <c r="BH40" s="20"/>
      <c r="BI40" s="104"/>
      <c r="BJ40" s="9"/>
      <c r="BN40" s="3" t="e">
        <f>IF('Master Sheet'!#REF!="","",'Master Sheet'!#REF!)</f>
        <v>#REF!</v>
      </c>
    </row>
    <row r="41" spans="1:66">
      <c r="A41" s="516">
        <f>IF('Student DATA Entry'!A37="","",'Student DATA Entry'!A37)</f>
        <v>34</v>
      </c>
      <c r="B41" s="528" t="str">
        <f>IF('Student DATA Entry'!B37="","",'Student DATA Entry'!B37)</f>
        <v/>
      </c>
      <c r="C41" s="126" t="str">
        <f>IF('Student DATA Entry'!D37="","",'Student DATA Entry'!D37)</f>
        <v/>
      </c>
      <c r="D41" s="530" t="str">
        <f>IF('Student DATA Entry'!E37="","",'Student DATA Entry'!E37)</f>
        <v/>
      </c>
      <c r="E41" s="532" t="str">
        <f>IF('Student DATA Entry'!I37="","",'Student DATA Entry'!I37)</f>
        <v/>
      </c>
      <c r="F41" s="127" t="str">
        <f>IF('Student DATA Entry'!F37="","",UPPER('Student DATA Entry'!F37))</f>
        <v/>
      </c>
      <c r="G41" s="127" t="str">
        <f>IF('Student DATA Entry'!G37="","",UPPER('Student DATA Entry'!G37))</f>
        <v/>
      </c>
      <c r="H41" s="127" t="str">
        <f>IF('Student DATA Entry'!H37="","",UPPER('Student DATA Entry'!H37))</f>
        <v/>
      </c>
      <c r="I41" s="526" t="str">
        <f>IF('Student DATA Entry'!K37="","",UPPER('Student DATA Entry'!K37))</f>
        <v/>
      </c>
      <c r="J41" s="560" t="str">
        <f>IF('Student DATA Entry'!J37="","",UPPER('Student DATA Entry'!J37))</f>
        <v/>
      </c>
      <c r="K41" s="103"/>
      <c r="L41" s="19"/>
      <c r="M41" s="19"/>
      <c r="N41" s="52"/>
      <c r="O41" s="104"/>
      <c r="P41" s="103"/>
      <c r="Q41" s="19"/>
      <c r="R41" s="19"/>
      <c r="S41" s="52"/>
      <c r="T41" s="104"/>
      <c r="U41" s="103"/>
      <c r="V41" s="19"/>
      <c r="W41" s="19"/>
      <c r="X41" s="19"/>
      <c r="Y41" s="52"/>
      <c r="Z41" s="52"/>
      <c r="AA41" s="57"/>
      <c r="AB41" s="564"/>
      <c r="AC41" s="103"/>
      <c r="AD41" s="19"/>
      <c r="AE41" s="19"/>
      <c r="AF41" s="19"/>
      <c r="AG41" s="52"/>
      <c r="AH41" s="52"/>
      <c r="AI41" s="57"/>
      <c r="AJ41" s="564"/>
      <c r="AK41" s="103"/>
      <c r="AL41" s="19"/>
      <c r="AM41" s="19"/>
      <c r="AN41" s="19"/>
      <c r="AO41" s="52"/>
      <c r="AP41" s="52"/>
      <c r="AQ41" s="57"/>
      <c r="AR41" s="564"/>
      <c r="AS41" s="18"/>
      <c r="AT41" s="19"/>
      <c r="AU41" s="19"/>
      <c r="AV41" s="19"/>
      <c r="AW41" s="52"/>
      <c r="AX41" s="52"/>
      <c r="AY41" s="57"/>
      <c r="AZ41" s="109"/>
      <c r="BA41" s="109"/>
      <c r="BB41" s="549"/>
      <c r="BC41" s="550"/>
      <c r="BD41" s="104"/>
      <c r="BE41" s="103"/>
      <c r="BF41" s="19"/>
      <c r="BG41" s="19"/>
      <c r="BH41" s="20"/>
      <c r="BI41" s="104"/>
      <c r="BJ41" s="9"/>
      <c r="BN41" s="3" t="e">
        <f>IF('Master Sheet'!#REF!="","",'Master Sheet'!#REF!)</f>
        <v>#REF!</v>
      </c>
    </row>
    <row r="42" spans="1:66">
      <c r="A42" s="516">
        <f>IF('Student DATA Entry'!A38="","",'Student DATA Entry'!A38)</f>
        <v>35</v>
      </c>
      <c r="B42" s="528" t="str">
        <f>IF('Student DATA Entry'!B38="","",'Student DATA Entry'!B38)</f>
        <v/>
      </c>
      <c r="C42" s="126" t="str">
        <f>IF('Student DATA Entry'!D38="","",'Student DATA Entry'!D38)</f>
        <v/>
      </c>
      <c r="D42" s="530" t="str">
        <f>IF('Student DATA Entry'!E38="","",'Student DATA Entry'!E38)</f>
        <v/>
      </c>
      <c r="E42" s="532" t="str">
        <f>IF('Student DATA Entry'!I38="","",'Student DATA Entry'!I38)</f>
        <v/>
      </c>
      <c r="F42" s="127" t="str">
        <f>IF('Student DATA Entry'!F38="","",UPPER('Student DATA Entry'!F38))</f>
        <v/>
      </c>
      <c r="G42" s="127" t="str">
        <f>IF('Student DATA Entry'!G38="","",UPPER('Student DATA Entry'!G38))</f>
        <v/>
      </c>
      <c r="H42" s="127" t="str">
        <f>IF('Student DATA Entry'!H38="","",UPPER('Student DATA Entry'!H38))</f>
        <v/>
      </c>
      <c r="I42" s="526" t="str">
        <f>IF('Student DATA Entry'!K38="","",UPPER('Student DATA Entry'!K38))</f>
        <v/>
      </c>
      <c r="J42" s="560" t="str">
        <f>IF('Student DATA Entry'!J38="","",UPPER('Student DATA Entry'!J38))</f>
        <v/>
      </c>
      <c r="K42" s="103"/>
      <c r="L42" s="19"/>
      <c r="M42" s="19"/>
      <c r="N42" s="52"/>
      <c r="O42" s="104"/>
      <c r="P42" s="103"/>
      <c r="Q42" s="19"/>
      <c r="R42" s="19"/>
      <c r="S42" s="52"/>
      <c r="T42" s="104"/>
      <c r="U42" s="103"/>
      <c r="V42" s="19"/>
      <c r="W42" s="19"/>
      <c r="X42" s="19"/>
      <c r="Y42" s="52"/>
      <c r="Z42" s="52"/>
      <c r="AA42" s="57"/>
      <c r="AB42" s="564"/>
      <c r="AC42" s="103"/>
      <c r="AD42" s="19"/>
      <c r="AE42" s="19"/>
      <c r="AF42" s="19"/>
      <c r="AG42" s="52"/>
      <c r="AH42" s="52"/>
      <c r="AI42" s="57"/>
      <c r="AJ42" s="564"/>
      <c r="AK42" s="103"/>
      <c r="AL42" s="19"/>
      <c r="AM42" s="19"/>
      <c r="AN42" s="19"/>
      <c r="AO42" s="52"/>
      <c r="AP42" s="52"/>
      <c r="AQ42" s="57"/>
      <c r="AR42" s="564"/>
      <c r="AS42" s="18"/>
      <c r="AT42" s="19"/>
      <c r="AU42" s="19"/>
      <c r="AV42" s="19"/>
      <c r="AW42" s="52"/>
      <c r="AX42" s="52"/>
      <c r="AY42" s="57"/>
      <c r="AZ42" s="109"/>
      <c r="BA42" s="109"/>
      <c r="BB42" s="549"/>
      <c r="BC42" s="550"/>
      <c r="BD42" s="104"/>
      <c r="BE42" s="103"/>
      <c r="BF42" s="19"/>
      <c r="BG42" s="19"/>
      <c r="BH42" s="20"/>
      <c r="BI42" s="104"/>
      <c r="BJ42" s="9"/>
      <c r="BN42" s="3" t="e">
        <f>IF('Master Sheet'!#REF!="","",'Master Sheet'!#REF!)</f>
        <v>#REF!</v>
      </c>
    </row>
    <row r="43" spans="1:66">
      <c r="A43" s="516">
        <f>IF('Student DATA Entry'!A39="","",'Student DATA Entry'!A39)</f>
        <v>36</v>
      </c>
      <c r="B43" s="528" t="str">
        <f>IF('Student DATA Entry'!B39="","",'Student DATA Entry'!B39)</f>
        <v/>
      </c>
      <c r="C43" s="126" t="str">
        <f>IF('Student DATA Entry'!D39="","",'Student DATA Entry'!D39)</f>
        <v/>
      </c>
      <c r="D43" s="530" t="str">
        <f>IF('Student DATA Entry'!E39="","",'Student DATA Entry'!E39)</f>
        <v/>
      </c>
      <c r="E43" s="532" t="str">
        <f>IF('Student DATA Entry'!I39="","",'Student DATA Entry'!I39)</f>
        <v/>
      </c>
      <c r="F43" s="127" t="str">
        <f>IF('Student DATA Entry'!F39="","",UPPER('Student DATA Entry'!F39))</f>
        <v/>
      </c>
      <c r="G43" s="127" t="str">
        <f>IF('Student DATA Entry'!G39="","",UPPER('Student DATA Entry'!G39))</f>
        <v/>
      </c>
      <c r="H43" s="127" t="str">
        <f>IF('Student DATA Entry'!H39="","",UPPER('Student DATA Entry'!H39))</f>
        <v/>
      </c>
      <c r="I43" s="526" t="str">
        <f>IF('Student DATA Entry'!K39="","",UPPER('Student DATA Entry'!K39))</f>
        <v/>
      </c>
      <c r="J43" s="560" t="str">
        <f>IF('Student DATA Entry'!J39="","",UPPER('Student DATA Entry'!J39))</f>
        <v/>
      </c>
      <c r="K43" s="103"/>
      <c r="L43" s="19"/>
      <c r="M43" s="19"/>
      <c r="N43" s="52"/>
      <c r="O43" s="104"/>
      <c r="P43" s="103"/>
      <c r="Q43" s="19"/>
      <c r="R43" s="19"/>
      <c r="S43" s="52"/>
      <c r="T43" s="104"/>
      <c r="U43" s="103"/>
      <c r="V43" s="19"/>
      <c r="W43" s="19"/>
      <c r="X43" s="19"/>
      <c r="Y43" s="52"/>
      <c r="Z43" s="52"/>
      <c r="AA43" s="57"/>
      <c r="AB43" s="564"/>
      <c r="AC43" s="103"/>
      <c r="AD43" s="19"/>
      <c r="AE43" s="19"/>
      <c r="AF43" s="19"/>
      <c r="AG43" s="52"/>
      <c r="AH43" s="52"/>
      <c r="AI43" s="57"/>
      <c r="AJ43" s="564"/>
      <c r="AK43" s="103"/>
      <c r="AL43" s="19"/>
      <c r="AM43" s="19"/>
      <c r="AN43" s="19"/>
      <c r="AO43" s="52"/>
      <c r="AP43" s="52"/>
      <c r="AQ43" s="57"/>
      <c r="AR43" s="564"/>
      <c r="AS43" s="18"/>
      <c r="AT43" s="19"/>
      <c r="AU43" s="19"/>
      <c r="AV43" s="19"/>
      <c r="AW43" s="52"/>
      <c r="AX43" s="52"/>
      <c r="AY43" s="57"/>
      <c r="AZ43" s="109"/>
      <c r="BA43" s="109"/>
      <c r="BB43" s="549"/>
      <c r="BC43" s="550"/>
      <c r="BD43" s="104"/>
      <c r="BE43" s="103"/>
      <c r="BF43" s="19"/>
      <c r="BG43" s="19"/>
      <c r="BH43" s="20"/>
      <c r="BI43" s="104"/>
      <c r="BJ43" s="9"/>
      <c r="BN43" s="3" t="e">
        <f>IF('Master Sheet'!#REF!="","",'Master Sheet'!#REF!)</f>
        <v>#REF!</v>
      </c>
    </row>
    <row r="44" spans="1:66">
      <c r="A44" s="516">
        <f>IF('Student DATA Entry'!A40="","",'Student DATA Entry'!A40)</f>
        <v>37</v>
      </c>
      <c r="B44" s="528" t="str">
        <f>IF('Student DATA Entry'!B40="","",'Student DATA Entry'!B40)</f>
        <v/>
      </c>
      <c r="C44" s="126" t="str">
        <f>IF('Student DATA Entry'!D40="","",'Student DATA Entry'!D40)</f>
        <v/>
      </c>
      <c r="D44" s="530" t="str">
        <f>IF('Student DATA Entry'!E40="","",'Student DATA Entry'!E40)</f>
        <v/>
      </c>
      <c r="E44" s="532" t="str">
        <f>IF('Student DATA Entry'!I40="","",'Student DATA Entry'!I40)</f>
        <v/>
      </c>
      <c r="F44" s="127" t="str">
        <f>IF('Student DATA Entry'!F40="","",UPPER('Student DATA Entry'!F40))</f>
        <v/>
      </c>
      <c r="G44" s="127" t="str">
        <f>IF('Student DATA Entry'!G40="","",UPPER('Student DATA Entry'!G40))</f>
        <v/>
      </c>
      <c r="H44" s="127" t="str">
        <f>IF('Student DATA Entry'!H40="","",UPPER('Student DATA Entry'!H40))</f>
        <v/>
      </c>
      <c r="I44" s="526" t="str">
        <f>IF('Student DATA Entry'!K40="","",UPPER('Student DATA Entry'!K40))</f>
        <v/>
      </c>
      <c r="J44" s="560" t="str">
        <f>IF('Student DATA Entry'!J40="","",UPPER('Student DATA Entry'!J40))</f>
        <v/>
      </c>
      <c r="K44" s="103"/>
      <c r="L44" s="19"/>
      <c r="M44" s="19"/>
      <c r="N44" s="52"/>
      <c r="O44" s="104"/>
      <c r="P44" s="103"/>
      <c r="Q44" s="19"/>
      <c r="R44" s="19"/>
      <c r="S44" s="52"/>
      <c r="T44" s="104"/>
      <c r="U44" s="103"/>
      <c r="V44" s="19"/>
      <c r="W44" s="19"/>
      <c r="X44" s="19"/>
      <c r="Y44" s="52"/>
      <c r="Z44" s="52"/>
      <c r="AA44" s="57"/>
      <c r="AB44" s="564"/>
      <c r="AC44" s="103"/>
      <c r="AD44" s="19"/>
      <c r="AE44" s="19"/>
      <c r="AF44" s="19"/>
      <c r="AG44" s="52"/>
      <c r="AH44" s="52"/>
      <c r="AI44" s="57"/>
      <c r="AJ44" s="564"/>
      <c r="AK44" s="103"/>
      <c r="AL44" s="19"/>
      <c r="AM44" s="19"/>
      <c r="AN44" s="19"/>
      <c r="AO44" s="52"/>
      <c r="AP44" s="52"/>
      <c r="AQ44" s="57"/>
      <c r="AR44" s="564"/>
      <c r="AS44" s="18"/>
      <c r="AT44" s="19"/>
      <c r="AU44" s="19"/>
      <c r="AV44" s="19"/>
      <c r="AW44" s="52"/>
      <c r="AX44" s="52"/>
      <c r="AY44" s="57"/>
      <c r="AZ44" s="109"/>
      <c r="BA44" s="109"/>
      <c r="BB44" s="549"/>
      <c r="BC44" s="550"/>
      <c r="BD44" s="104"/>
      <c r="BE44" s="103"/>
      <c r="BF44" s="19"/>
      <c r="BG44" s="19"/>
      <c r="BH44" s="20"/>
      <c r="BI44" s="104"/>
      <c r="BJ44" s="9"/>
      <c r="BN44" s="3" t="e">
        <f>IF('Master Sheet'!#REF!="","",'Master Sheet'!#REF!)</f>
        <v>#REF!</v>
      </c>
    </row>
    <row r="45" spans="1:66">
      <c r="A45" s="516">
        <f>IF('Student DATA Entry'!A41="","",'Student DATA Entry'!A41)</f>
        <v>38</v>
      </c>
      <c r="B45" s="528" t="str">
        <f>IF('Student DATA Entry'!B41="","",'Student DATA Entry'!B41)</f>
        <v/>
      </c>
      <c r="C45" s="126" t="str">
        <f>IF('Student DATA Entry'!D41="","",'Student DATA Entry'!D41)</f>
        <v/>
      </c>
      <c r="D45" s="530" t="str">
        <f>IF('Student DATA Entry'!E41="","",'Student DATA Entry'!E41)</f>
        <v/>
      </c>
      <c r="E45" s="532" t="str">
        <f>IF('Student DATA Entry'!I41="","",'Student DATA Entry'!I41)</f>
        <v/>
      </c>
      <c r="F45" s="127" t="str">
        <f>IF('Student DATA Entry'!F41="","",UPPER('Student DATA Entry'!F41))</f>
        <v/>
      </c>
      <c r="G45" s="127" t="str">
        <f>IF('Student DATA Entry'!G41="","",UPPER('Student DATA Entry'!G41))</f>
        <v/>
      </c>
      <c r="H45" s="127" t="str">
        <f>IF('Student DATA Entry'!H41="","",UPPER('Student DATA Entry'!H41))</f>
        <v/>
      </c>
      <c r="I45" s="526" t="str">
        <f>IF('Student DATA Entry'!K41="","",UPPER('Student DATA Entry'!K41))</f>
        <v/>
      </c>
      <c r="J45" s="560" t="str">
        <f>IF('Student DATA Entry'!J41="","",UPPER('Student DATA Entry'!J41))</f>
        <v/>
      </c>
      <c r="K45" s="103"/>
      <c r="L45" s="19"/>
      <c r="M45" s="19"/>
      <c r="N45" s="52"/>
      <c r="O45" s="104"/>
      <c r="P45" s="103"/>
      <c r="Q45" s="19"/>
      <c r="R45" s="19"/>
      <c r="S45" s="52"/>
      <c r="T45" s="104"/>
      <c r="U45" s="103"/>
      <c r="V45" s="19"/>
      <c r="W45" s="19"/>
      <c r="X45" s="19"/>
      <c r="Y45" s="52"/>
      <c r="Z45" s="52"/>
      <c r="AA45" s="57"/>
      <c r="AB45" s="564"/>
      <c r="AC45" s="103"/>
      <c r="AD45" s="19"/>
      <c r="AE45" s="19"/>
      <c r="AF45" s="19"/>
      <c r="AG45" s="52"/>
      <c r="AH45" s="52"/>
      <c r="AI45" s="57"/>
      <c r="AJ45" s="564"/>
      <c r="AK45" s="103"/>
      <c r="AL45" s="19"/>
      <c r="AM45" s="19"/>
      <c r="AN45" s="19"/>
      <c r="AO45" s="52"/>
      <c r="AP45" s="52"/>
      <c r="AQ45" s="57"/>
      <c r="AR45" s="564"/>
      <c r="AS45" s="18"/>
      <c r="AT45" s="19"/>
      <c r="AU45" s="19"/>
      <c r="AV45" s="19"/>
      <c r="AW45" s="52"/>
      <c r="AX45" s="52"/>
      <c r="AY45" s="57"/>
      <c r="AZ45" s="109"/>
      <c r="BA45" s="109"/>
      <c r="BB45" s="549"/>
      <c r="BC45" s="550"/>
      <c r="BD45" s="104"/>
      <c r="BE45" s="103"/>
      <c r="BF45" s="19"/>
      <c r="BG45" s="19"/>
      <c r="BH45" s="20"/>
      <c r="BI45" s="104"/>
      <c r="BJ45" s="9"/>
      <c r="BN45" s="3" t="e">
        <f>IF('Master Sheet'!#REF!="","",'Master Sheet'!#REF!)</f>
        <v>#REF!</v>
      </c>
    </row>
    <row r="46" spans="1:66">
      <c r="A46" s="516">
        <f>IF('Student DATA Entry'!A42="","",'Student DATA Entry'!A42)</f>
        <v>39</v>
      </c>
      <c r="B46" s="528" t="str">
        <f>IF('Student DATA Entry'!B42="","",'Student DATA Entry'!B42)</f>
        <v/>
      </c>
      <c r="C46" s="126" t="str">
        <f>IF('Student DATA Entry'!D42="","",'Student DATA Entry'!D42)</f>
        <v/>
      </c>
      <c r="D46" s="530" t="str">
        <f>IF('Student DATA Entry'!E42="","",'Student DATA Entry'!E42)</f>
        <v/>
      </c>
      <c r="E46" s="532" t="str">
        <f>IF('Student DATA Entry'!I42="","",'Student DATA Entry'!I42)</f>
        <v/>
      </c>
      <c r="F46" s="127" t="str">
        <f>IF('Student DATA Entry'!F42="","",UPPER('Student DATA Entry'!F42))</f>
        <v/>
      </c>
      <c r="G46" s="127" t="str">
        <f>IF('Student DATA Entry'!G42="","",UPPER('Student DATA Entry'!G42))</f>
        <v/>
      </c>
      <c r="H46" s="127" t="str">
        <f>IF('Student DATA Entry'!H42="","",UPPER('Student DATA Entry'!H42))</f>
        <v/>
      </c>
      <c r="I46" s="526" t="str">
        <f>IF('Student DATA Entry'!K42="","",UPPER('Student DATA Entry'!K42))</f>
        <v/>
      </c>
      <c r="J46" s="560" t="str">
        <f>IF('Student DATA Entry'!J42="","",UPPER('Student DATA Entry'!J42))</f>
        <v/>
      </c>
      <c r="K46" s="103"/>
      <c r="L46" s="19"/>
      <c r="M46" s="19"/>
      <c r="N46" s="52"/>
      <c r="O46" s="104"/>
      <c r="P46" s="103"/>
      <c r="Q46" s="19"/>
      <c r="R46" s="19"/>
      <c r="S46" s="52"/>
      <c r="T46" s="104"/>
      <c r="U46" s="103"/>
      <c r="V46" s="19"/>
      <c r="W46" s="19"/>
      <c r="X46" s="19"/>
      <c r="Y46" s="52"/>
      <c r="Z46" s="52"/>
      <c r="AA46" s="57"/>
      <c r="AB46" s="564"/>
      <c r="AC46" s="103"/>
      <c r="AD46" s="19"/>
      <c r="AE46" s="19"/>
      <c r="AF46" s="19"/>
      <c r="AG46" s="52"/>
      <c r="AH46" s="52"/>
      <c r="AI46" s="57"/>
      <c r="AJ46" s="564"/>
      <c r="AK46" s="103"/>
      <c r="AL46" s="19"/>
      <c r="AM46" s="19"/>
      <c r="AN46" s="19"/>
      <c r="AO46" s="52"/>
      <c r="AP46" s="52"/>
      <c r="AQ46" s="57"/>
      <c r="AR46" s="564"/>
      <c r="AS46" s="18"/>
      <c r="AT46" s="19"/>
      <c r="AU46" s="19"/>
      <c r="AV46" s="19"/>
      <c r="AW46" s="52"/>
      <c r="AX46" s="52"/>
      <c r="AY46" s="57"/>
      <c r="AZ46" s="109"/>
      <c r="BA46" s="109"/>
      <c r="BB46" s="549"/>
      <c r="BC46" s="550"/>
      <c r="BD46" s="104"/>
      <c r="BE46" s="103"/>
      <c r="BF46" s="19"/>
      <c r="BG46" s="19"/>
      <c r="BH46" s="20"/>
      <c r="BI46" s="104"/>
      <c r="BJ46" s="9"/>
      <c r="BN46" s="3" t="e">
        <f>IF('Master Sheet'!#REF!="","",'Master Sheet'!#REF!)</f>
        <v>#REF!</v>
      </c>
    </row>
    <row r="47" spans="1:66">
      <c r="A47" s="516">
        <f>IF('Student DATA Entry'!A43="","",'Student DATA Entry'!A43)</f>
        <v>40</v>
      </c>
      <c r="B47" s="528" t="str">
        <f>IF('Student DATA Entry'!B43="","",'Student DATA Entry'!B43)</f>
        <v/>
      </c>
      <c r="C47" s="126" t="str">
        <f>IF('Student DATA Entry'!D43="","",'Student DATA Entry'!D43)</f>
        <v/>
      </c>
      <c r="D47" s="530" t="str">
        <f>IF('Student DATA Entry'!E43="","",'Student DATA Entry'!E43)</f>
        <v/>
      </c>
      <c r="E47" s="532" t="str">
        <f>IF('Student DATA Entry'!I43="","",'Student DATA Entry'!I43)</f>
        <v/>
      </c>
      <c r="F47" s="127" t="str">
        <f>IF('Student DATA Entry'!F43="","",UPPER('Student DATA Entry'!F43))</f>
        <v/>
      </c>
      <c r="G47" s="127" t="str">
        <f>IF('Student DATA Entry'!G43="","",UPPER('Student DATA Entry'!G43))</f>
        <v/>
      </c>
      <c r="H47" s="127" t="str">
        <f>IF('Student DATA Entry'!H43="","",UPPER('Student DATA Entry'!H43))</f>
        <v/>
      </c>
      <c r="I47" s="526" t="str">
        <f>IF('Student DATA Entry'!K43="","",UPPER('Student DATA Entry'!K43))</f>
        <v/>
      </c>
      <c r="J47" s="560" t="str">
        <f>IF('Student DATA Entry'!J43="","",UPPER('Student DATA Entry'!J43))</f>
        <v/>
      </c>
      <c r="K47" s="103"/>
      <c r="L47" s="19"/>
      <c r="M47" s="19"/>
      <c r="N47" s="52"/>
      <c r="O47" s="104"/>
      <c r="P47" s="103"/>
      <c r="Q47" s="19"/>
      <c r="R47" s="19"/>
      <c r="S47" s="52"/>
      <c r="T47" s="104"/>
      <c r="U47" s="103"/>
      <c r="V47" s="19"/>
      <c r="W47" s="19"/>
      <c r="X47" s="19"/>
      <c r="Y47" s="52"/>
      <c r="Z47" s="52"/>
      <c r="AA47" s="57"/>
      <c r="AB47" s="564"/>
      <c r="AC47" s="103"/>
      <c r="AD47" s="19"/>
      <c r="AE47" s="19"/>
      <c r="AF47" s="19"/>
      <c r="AG47" s="52"/>
      <c r="AH47" s="52"/>
      <c r="AI47" s="57"/>
      <c r="AJ47" s="564"/>
      <c r="AK47" s="103"/>
      <c r="AL47" s="19"/>
      <c r="AM47" s="19"/>
      <c r="AN47" s="19"/>
      <c r="AO47" s="52"/>
      <c r="AP47" s="52"/>
      <c r="AQ47" s="57"/>
      <c r="AR47" s="564"/>
      <c r="AS47" s="18"/>
      <c r="AT47" s="19"/>
      <c r="AU47" s="19"/>
      <c r="AV47" s="19"/>
      <c r="AW47" s="52"/>
      <c r="AX47" s="52"/>
      <c r="AY47" s="57"/>
      <c r="AZ47" s="109"/>
      <c r="BA47" s="109"/>
      <c r="BB47" s="549"/>
      <c r="BC47" s="550"/>
      <c r="BD47" s="104"/>
      <c r="BE47" s="103"/>
      <c r="BF47" s="19"/>
      <c r="BG47" s="19"/>
      <c r="BH47" s="20"/>
      <c r="BI47" s="104"/>
      <c r="BJ47" s="9"/>
    </row>
    <row r="48" spans="1:66">
      <c r="A48" s="516">
        <f>IF('Student DATA Entry'!A44="","",'Student DATA Entry'!A44)</f>
        <v>41</v>
      </c>
      <c r="B48" s="528" t="str">
        <f>IF('Student DATA Entry'!B44="","",'Student DATA Entry'!B44)</f>
        <v/>
      </c>
      <c r="C48" s="126" t="str">
        <f>IF('Student DATA Entry'!D44="","",'Student DATA Entry'!D44)</f>
        <v/>
      </c>
      <c r="D48" s="530" t="str">
        <f>IF('Student DATA Entry'!E44="","",'Student DATA Entry'!E44)</f>
        <v/>
      </c>
      <c r="E48" s="532" t="str">
        <f>IF('Student DATA Entry'!I44="","",'Student DATA Entry'!I44)</f>
        <v/>
      </c>
      <c r="F48" s="127" t="str">
        <f>IF('Student DATA Entry'!F44="","",UPPER('Student DATA Entry'!F44))</f>
        <v/>
      </c>
      <c r="G48" s="127" t="str">
        <f>IF('Student DATA Entry'!G44="","",UPPER('Student DATA Entry'!G44))</f>
        <v/>
      </c>
      <c r="H48" s="127" t="str">
        <f>IF('Student DATA Entry'!H44="","",UPPER('Student DATA Entry'!H44))</f>
        <v/>
      </c>
      <c r="I48" s="526" t="str">
        <f>IF('Student DATA Entry'!K44="","",UPPER('Student DATA Entry'!K44))</f>
        <v/>
      </c>
      <c r="J48" s="560" t="str">
        <f>IF('Student DATA Entry'!J44="","",UPPER('Student DATA Entry'!J44))</f>
        <v/>
      </c>
      <c r="K48" s="103"/>
      <c r="L48" s="19"/>
      <c r="M48" s="19"/>
      <c r="N48" s="52"/>
      <c r="O48" s="104"/>
      <c r="P48" s="103"/>
      <c r="Q48" s="19"/>
      <c r="R48" s="19"/>
      <c r="S48" s="52"/>
      <c r="T48" s="104"/>
      <c r="U48" s="103"/>
      <c r="V48" s="19"/>
      <c r="W48" s="19"/>
      <c r="X48" s="19"/>
      <c r="Y48" s="52"/>
      <c r="Z48" s="52"/>
      <c r="AA48" s="57"/>
      <c r="AB48" s="564"/>
      <c r="AC48" s="103"/>
      <c r="AD48" s="19"/>
      <c r="AE48" s="19"/>
      <c r="AF48" s="19"/>
      <c r="AG48" s="52"/>
      <c r="AH48" s="52"/>
      <c r="AI48" s="57"/>
      <c r="AJ48" s="564"/>
      <c r="AK48" s="103"/>
      <c r="AL48" s="19"/>
      <c r="AM48" s="19"/>
      <c r="AN48" s="19"/>
      <c r="AO48" s="52"/>
      <c r="AP48" s="52"/>
      <c r="AQ48" s="57"/>
      <c r="AR48" s="564"/>
      <c r="AS48" s="18"/>
      <c r="AT48" s="19"/>
      <c r="AU48" s="19"/>
      <c r="AV48" s="19"/>
      <c r="AW48" s="52"/>
      <c r="AX48" s="52"/>
      <c r="AY48" s="57"/>
      <c r="AZ48" s="109"/>
      <c r="BA48" s="109"/>
      <c r="BB48" s="549"/>
      <c r="BC48" s="550"/>
      <c r="BD48" s="104"/>
      <c r="BE48" s="103"/>
      <c r="BF48" s="19"/>
      <c r="BG48" s="19"/>
      <c r="BH48" s="20"/>
      <c r="BI48" s="104"/>
      <c r="BJ48" s="9"/>
    </row>
    <row r="49" spans="1:62">
      <c r="A49" s="516">
        <f>IF('Student DATA Entry'!A45="","",'Student DATA Entry'!A45)</f>
        <v>42</v>
      </c>
      <c r="B49" s="528" t="str">
        <f>IF('Student DATA Entry'!B45="","",'Student DATA Entry'!B45)</f>
        <v/>
      </c>
      <c r="C49" s="126" t="str">
        <f>IF('Student DATA Entry'!D45="","",'Student DATA Entry'!D45)</f>
        <v/>
      </c>
      <c r="D49" s="530" t="str">
        <f>IF('Student DATA Entry'!E45="","",'Student DATA Entry'!E45)</f>
        <v/>
      </c>
      <c r="E49" s="532" t="str">
        <f>IF('Student DATA Entry'!I45="","",'Student DATA Entry'!I45)</f>
        <v/>
      </c>
      <c r="F49" s="127" t="str">
        <f>IF('Student DATA Entry'!F45="","",UPPER('Student DATA Entry'!F45))</f>
        <v/>
      </c>
      <c r="G49" s="127" t="str">
        <f>IF('Student DATA Entry'!G45="","",UPPER('Student DATA Entry'!G45))</f>
        <v/>
      </c>
      <c r="H49" s="127" t="str">
        <f>IF('Student DATA Entry'!H45="","",UPPER('Student DATA Entry'!H45))</f>
        <v/>
      </c>
      <c r="I49" s="526" t="str">
        <f>IF('Student DATA Entry'!K45="","",UPPER('Student DATA Entry'!K45))</f>
        <v/>
      </c>
      <c r="J49" s="560" t="str">
        <f>IF('Student DATA Entry'!J45="","",UPPER('Student DATA Entry'!J45))</f>
        <v/>
      </c>
      <c r="K49" s="103"/>
      <c r="L49" s="19"/>
      <c r="M49" s="19"/>
      <c r="N49" s="52"/>
      <c r="O49" s="104"/>
      <c r="P49" s="103"/>
      <c r="Q49" s="19"/>
      <c r="R49" s="19"/>
      <c r="S49" s="52"/>
      <c r="T49" s="104"/>
      <c r="U49" s="103"/>
      <c r="V49" s="19"/>
      <c r="W49" s="19"/>
      <c r="X49" s="19"/>
      <c r="Y49" s="52"/>
      <c r="Z49" s="52"/>
      <c r="AA49" s="57"/>
      <c r="AB49" s="564"/>
      <c r="AC49" s="103"/>
      <c r="AD49" s="19"/>
      <c r="AE49" s="19"/>
      <c r="AF49" s="19"/>
      <c r="AG49" s="52"/>
      <c r="AH49" s="52"/>
      <c r="AI49" s="57"/>
      <c r="AJ49" s="564"/>
      <c r="AK49" s="103"/>
      <c r="AL49" s="19"/>
      <c r="AM49" s="19"/>
      <c r="AN49" s="19"/>
      <c r="AO49" s="52"/>
      <c r="AP49" s="52"/>
      <c r="AQ49" s="57"/>
      <c r="AR49" s="564"/>
      <c r="AS49" s="18"/>
      <c r="AT49" s="19"/>
      <c r="AU49" s="19"/>
      <c r="AV49" s="19"/>
      <c r="AW49" s="52"/>
      <c r="AX49" s="52"/>
      <c r="AY49" s="57"/>
      <c r="AZ49" s="109"/>
      <c r="BA49" s="109"/>
      <c r="BB49" s="549"/>
      <c r="BC49" s="550"/>
      <c r="BD49" s="104"/>
      <c r="BE49" s="103"/>
      <c r="BF49" s="19"/>
      <c r="BG49" s="19"/>
      <c r="BH49" s="20"/>
      <c r="BI49" s="104"/>
      <c r="BJ49" s="9"/>
    </row>
    <row r="50" spans="1:62">
      <c r="A50" s="516">
        <f>IF('Student DATA Entry'!A46="","",'Student DATA Entry'!A46)</f>
        <v>43</v>
      </c>
      <c r="B50" s="528" t="str">
        <f>IF('Student DATA Entry'!B46="","",'Student DATA Entry'!B46)</f>
        <v/>
      </c>
      <c r="C50" s="126" t="str">
        <f>IF('Student DATA Entry'!D46="","",'Student DATA Entry'!D46)</f>
        <v/>
      </c>
      <c r="D50" s="530" t="str">
        <f>IF('Student DATA Entry'!E46="","",'Student DATA Entry'!E46)</f>
        <v/>
      </c>
      <c r="E50" s="532" t="str">
        <f>IF('Student DATA Entry'!I46="","",'Student DATA Entry'!I46)</f>
        <v/>
      </c>
      <c r="F50" s="127" t="str">
        <f>IF('Student DATA Entry'!F46="","",UPPER('Student DATA Entry'!F46))</f>
        <v/>
      </c>
      <c r="G50" s="127" t="str">
        <f>IF('Student DATA Entry'!G46="","",UPPER('Student DATA Entry'!G46))</f>
        <v/>
      </c>
      <c r="H50" s="127" t="str">
        <f>IF('Student DATA Entry'!H46="","",UPPER('Student DATA Entry'!H46))</f>
        <v/>
      </c>
      <c r="I50" s="526" t="str">
        <f>IF('Student DATA Entry'!K46="","",UPPER('Student DATA Entry'!K46))</f>
        <v/>
      </c>
      <c r="J50" s="560" t="str">
        <f>IF('Student DATA Entry'!J46="","",UPPER('Student DATA Entry'!J46))</f>
        <v/>
      </c>
      <c r="K50" s="103"/>
      <c r="L50" s="19"/>
      <c r="M50" s="19"/>
      <c r="N50" s="52"/>
      <c r="O50" s="104"/>
      <c r="P50" s="103"/>
      <c r="Q50" s="19"/>
      <c r="R50" s="19"/>
      <c r="S50" s="52"/>
      <c r="T50" s="104"/>
      <c r="U50" s="103"/>
      <c r="V50" s="19"/>
      <c r="W50" s="19"/>
      <c r="X50" s="19"/>
      <c r="Y50" s="52"/>
      <c r="Z50" s="52"/>
      <c r="AA50" s="57"/>
      <c r="AB50" s="564"/>
      <c r="AC50" s="103"/>
      <c r="AD50" s="19"/>
      <c r="AE50" s="19"/>
      <c r="AF50" s="19"/>
      <c r="AG50" s="52"/>
      <c r="AH50" s="52"/>
      <c r="AI50" s="57"/>
      <c r="AJ50" s="564"/>
      <c r="AK50" s="103"/>
      <c r="AL50" s="19"/>
      <c r="AM50" s="19"/>
      <c r="AN50" s="19"/>
      <c r="AO50" s="52"/>
      <c r="AP50" s="52"/>
      <c r="AQ50" s="57"/>
      <c r="AR50" s="564"/>
      <c r="AS50" s="18"/>
      <c r="AT50" s="19"/>
      <c r="AU50" s="19"/>
      <c r="AV50" s="19"/>
      <c r="AW50" s="52"/>
      <c r="AX50" s="52"/>
      <c r="AY50" s="57"/>
      <c r="AZ50" s="109"/>
      <c r="BA50" s="109"/>
      <c r="BB50" s="549"/>
      <c r="BC50" s="550"/>
      <c r="BD50" s="104"/>
      <c r="BE50" s="103"/>
      <c r="BF50" s="19"/>
      <c r="BG50" s="19"/>
      <c r="BH50" s="20"/>
      <c r="BI50" s="104"/>
      <c r="BJ50" s="9"/>
    </row>
    <row r="51" spans="1:62">
      <c r="A51" s="516">
        <f>IF('Student DATA Entry'!A47="","",'Student DATA Entry'!A47)</f>
        <v>44</v>
      </c>
      <c r="B51" s="528" t="str">
        <f>IF('Student DATA Entry'!B47="","",'Student DATA Entry'!B47)</f>
        <v/>
      </c>
      <c r="C51" s="126" t="str">
        <f>IF('Student DATA Entry'!D47="","",'Student DATA Entry'!D47)</f>
        <v/>
      </c>
      <c r="D51" s="530" t="str">
        <f>IF('Student DATA Entry'!E47="","",'Student DATA Entry'!E47)</f>
        <v/>
      </c>
      <c r="E51" s="532" t="str">
        <f>IF('Student DATA Entry'!I47="","",'Student DATA Entry'!I47)</f>
        <v/>
      </c>
      <c r="F51" s="127" t="str">
        <f>IF('Student DATA Entry'!F47="","",UPPER('Student DATA Entry'!F47))</f>
        <v/>
      </c>
      <c r="G51" s="127" t="str">
        <f>IF('Student DATA Entry'!G47="","",UPPER('Student DATA Entry'!G47))</f>
        <v/>
      </c>
      <c r="H51" s="127" t="str">
        <f>IF('Student DATA Entry'!H47="","",UPPER('Student DATA Entry'!H47))</f>
        <v/>
      </c>
      <c r="I51" s="526" t="str">
        <f>IF('Student DATA Entry'!K47="","",UPPER('Student DATA Entry'!K47))</f>
        <v/>
      </c>
      <c r="J51" s="560" t="str">
        <f>IF('Student DATA Entry'!J47="","",UPPER('Student DATA Entry'!J47))</f>
        <v/>
      </c>
      <c r="K51" s="103"/>
      <c r="L51" s="19"/>
      <c r="M51" s="19"/>
      <c r="N51" s="52"/>
      <c r="O51" s="104"/>
      <c r="P51" s="103"/>
      <c r="Q51" s="19"/>
      <c r="R51" s="19"/>
      <c r="S51" s="52"/>
      <c r="T51" s="104"/>
      <c r="U51" s="103"/>
      <c r="V51" s="19"/>
      <c r="W51" s="19"/>
      <c r="X51" s="19"/>
      <c r="Y51" s="52"/>
      <c r="Z51" s="52"/>
      <c r="AA51" s="57"/>
      <c r="AB51" s="564"/>
      <c r="AC51" s="103"/>
      <c r="AD51" s="19"/>
      <c r="AE51" s="19"/>
      <c r="AF51" s="19"/>
      <c r="AG51" s="52"/>
      <c r="AH51" s="52"/>
      <c r="AI51" s="57"/>
      <c r="AJ51" s="564"/>
      <c r="AK51" s="103"/>
      <c r="AL51" s="19"/>
      <c r="AM51" s="19"/>
      <c r="AN51" s="19"/>
      <c r="AO51" s="52"/>
      <c r="AP51" s="52"/>
      <c r="AQ51" s="57"/>
      <c r="AR51" s="564"/>
      <c r="AS51" s="18"/>
      <c r="AT51" s="19"/>
      <c r="AU51" s="19"/>
      <c r="AV51" s="19"/>
      <c r="AW51" s="52"/>
      <c r="AX51" s="52"/>
      <c r="AY51" s="57"/>
      <c r="AZ51" s="109"/>
      <c r="BA51" s="109"/>
      <c r="BB51" s="549"/>
      <c r="BC51" s="550"/>
      <c r="BD51" s="104"/>
      <c r="BE51" s="103"/>
      <c r="BF51" s="19"/>
      <c r="BG51" s="19"/>
      <c r="BH51" s="20"/>
      <c r="BI51" s="104"/>
      <c r="BJ51" s="9"/>
    </row>
    <row r="52" spans="1:62">
      <c r="A52" s="516">
        <f>IF('Student DATA Entry'!A48="","",'Student DATA Entry'!A48)</f>
        <v>45</v>
      </c>
      <c r="B52" s="528" t="str">
        <f>IF('Student DATA Entry'!B48="","",'Student DATA Entry'!B48)</f>
        <v/>
      </c>
      <c r="C52" s="126" t="str">
        <f>IF('Student DATA Entry'!D48="","",'Student DATA Entry'!D48)</f>
        <v/>
      </c>
      <c r="D52" s="530" t="str">
        <f>IF('Student DATA Entry'!E48="","",'Student DATA Entry'!E48)</f>
        <v/>
      </c>
      <c r="E52" s="532" t="str">
        <f>IF('Student DATA Entry'!I48="","",'Student DATA Entry'!I48)</f>
        <v/>
      </c>
      <c r="F52" s="127" t="str">
        <f>IF('Student DATA Entry'!F48="","",UPPER('Student DATA Entry'!F48))</f>
        <v/>
      </c>
      <c r="G52" s="127" t="str">
        <f>IF('Student DATA Entry'!G48="","",UPPER('Student DATA Entry'!G48))</f>
        <v/>
      </c>
      <c r="H52" s="127" t="str">
        <f>IF('Student DATA Entry'!H48="","",UPPER('Student DATA Entry'!H48))</f>
        <v/>
      </c>
      <c r="I52" s="526" t="str">
        <f>IF('Student DATA Entry'!K48="","",UPPER('Student DATA Entry'!K48))</f>
        <v/>
      </c>
      <c r="J52" s="560" t="str">
        <f>IF('Student DATA Entry'!J48="","",UPPER('Student DATA Entry'!J48))</f>
        <v/>
      </c>
      <c r="K52" s="103"/>
      <c r="L52" s="19"/>
      <c r="M52" s="19"/>
      <c r="N52" s="52"/>
      <c r="O52" s="104"/>
      <c r="P52" s="103"/>
      <c r="Q52" s="19"/>
      <c r="R52" s="19"/>
      <c r="S52" s="52"/>
      <c r="T52" s="104"/>
      <c r="U52" s="103"/>
      <c r="V52" s="19"/>
      <c r="W52" s="19"/>
      <c r="X52" s="19"/>
      <c r="Y52" s="52"/>
      <c r="Z52" s="52"/>
      <c r="AA52" s="57"/>
      <c r="AB52" s="564"/>
      <c r="AC52" s="103"/>
      <c r="AD52" s="19"/>
      <c r="AE52" s="19"/>
      <c r="AF52" s="19"/>
      <c r="AG52" s="52"/>
      <c r="AH52" s="52"/>
      <c r="AI52" s="57"/>
      <c r="AJ52" s="564"/>
      <c r="AK52" s="103"/>
      <c r="AL52" s="19"/>
      <c r="AM52" s="19"/>
      <c r="AN52" s="19"/>
      <c r="AO52" s="52"/>
      <c r="AP52" s="52"/>
      <c r="AQ52" s="57"/>
      <c r="AR52" s="564"/>
      <c r="AS52" s="18"/>
      <c r="AT52" s="19"/>
      <c r="AU52" s="19"/>
      <c r="AV52" s="19"/>
      <c r="AW52" s="52"/>
      <c r="AX52" s="52"/>
      <c r="AY52" s="57"/>
      <c r="AZ52" s="109"/>
      <c r="BA52" s="109"/>
      <c r="BB52" s="549"/>
      <c r="BC52" s="550"/>
      <c r="BD52" s="104"/>
      <c r="BE52" s="103"/>
      <c r="BF52" s="19"/>
      <c r="BG52" s="19"/>
      <c r="BH52" s="20"/>
      <c r="BI52" s="104"/>
      <c r="BJ52" s="9"/>
    </row>
    <row r="53" spans="1:62">
      <c r="A53" s="516">
        <f>IF('Student DATA Entry'!A49="","",'Student DATA Entry'!A49)</f>
        <v>46</v>
      </c>
      <c r="B53" s="528" t="str">
        <f>IF('Student DATA Entry'!B49="","",'Student DATA Entry'!B49)</f>
        <v/>
      </c>
      <c r="C53" s="126" t="str">
        <f>IF('Student DATA Entry'!D49="","",'Student DATA Entry'!D49)</f>
        <v/>
      </c>
      <c r="D53" s="530" t="str">
        <f>IF('Student DATA Entry'!E49="","",'Student DATA Entry'!E49)</f>
        <v/>
      </c>
      <c r="E53" s="532" t="str">
        <f>IF('Student DATA Entry'!I49="","",'Student DATA Entry'!I49)</f>
        <v/>
      </c>
      <c r="F53" s="127" t="str">
        <f>IF('Student DATA Entry'!F49="","",UPPER('Student DATA Entry'!F49))</f>
        <v/>
      </c>
      <c r="G53" s="127" t="str">
        <f>IF('Student DATA Entry'!G49="","",UPPER('Student DATA Entry'!G49))</f>
        <v/>
      </c>
      <c r="H53" s="127" t="str">
        <f>IF('Student DATA Entry'!H49="","",UPPER('Student DATA Entry'!H49))</f>
        <v/>
      </c>
      <c r="I53" s="526" t="str">
        <f>IF('Student DATA Entry'!K49="","",UPPER('Student DATA Entry'!K49))</f>
        <v/>
      </c>
      <c r="J53" s="560" t="str">
        <f>IF('Student DATA Entry'!J49="","",UPPER('Student DATA Entry'!J49))</f>
        <v/>
      </c>
      <c r="K53" s="103"/>
      <c r="L53" s="19"/>
      <c r="M53" s="19"/>
      <c r="N53" s="52"/>
      <c r="O53" s="104"/>
      <c r="P53" s="103"/>
      <c r="Q53" s="19"/>
      <c r="R53" s="19"/>
      <c r="S53" s="52"/>
      <c r="T53" s="104"/>
      <c r="U53" s="103"/>
      <c r="V53" s="19"/>
      <c r="W53" s="19"/>
      <c r="X53" s="19"/>
      <c r="Y53" s="52"/>
      <c r="Z53" s="52"/>
      <c r="AA53" s="57"/>
      <c r="AB53" s="564"/>
      <c r="AC53" s="103"/>
      <c r="AD53" s="19"/>
      <c r="AE53" s="19"/>
      <c r="AF53" s="19"/>
      <c r="AG53" s="52"/>
      <c r="AH53" s="52"/>
      <c r="AI53" s="57"/>
      <c r="AJ53" s="564"/>
      <c r="AK53" s="103"/>
      <c r="AL53" s="19"/>
      <c r="AM53" s="19"/>
      <c r="AN53" s="19"/>
      <c r="AO53" s="52"/>
      <c r="AP53" s="52"/>
      <c r="AQ53" s="57"/>
      <c r="AR53" s="564"/>
      <c r="AS53" s="18"/>
      <c r="AT53" s="19"/>
      <c r="AU53" s="19"/>
      <c r="AV53" s="19"/>
      <c r="AW53" s="52"/>
      <c r="AX53" s="52"/>
      <c r="AY53" s="57"/>
      <c r="AZ53" s="109"/>
      <c r="BA53" s="109"/>
      <c r="BB53" s="549"/>
      <c r="BC53" s="550"/>
      <c r="BD53" s="104"/>
      <c r="BE53" s="103"/>
      <c r="BF53" s="19"/>
      <c r="BG53" s="19"/>
      <c r="BH53" s="20"/>
      <c r="BI53" s="104"/>
      <c r="BJ53" s="9"/>
    </row>
    <row r="54" spans="1:62">
      <c r="A54" s="516">
        <f>IF('Student DATA Entry'!A50="","",'Student DATA Entry'!A50)</f>
        <v>47</v>
      </c>
      <c r="B54" s="528" t="str">
        <f>IF('Student DATA Entry'!B50="","",'Student DATA Entry'!B50)</f>
        <v/>
      </c>
      <c r="C54" s="126" t="str">
        <f>IF('Student DATA Entry'!D50="","",'Student DATA Entry'!D50)</f>
        <v/>
      </c>
      <c r="D54" s="530" t="str">
        <f>IF('Student DATA Entry'!E50="","",'Student DATA Entry'!E50)</f>
        <v/>
      </c>
      <c r="E54" s="532" t="str">
        <f>IF('Student DATA Entry'!I50="","",'Student DATA Entry'!I50)</f>
        <v/>
      </c>
      <c r="F54" s="127" t="str">
        <f>IF('Student DATA Entry'!F50="","",UPPER('Student DATA Entry'!F50))</f>
        <v/>
      </c>
      <c r="G54" s="127" t="str">
        <f>IF('Student DATA Entry'!G50="","",UPPER('Student DATA Entry'!G50))</f>
        <v/>
      </c>
      <c r="H54" s="127" t="str">
        <f>IF('Student DATA Entry'!H50="","",UPPER('Student DATA Entry'!H50))</f>
        <v/>
      </c>
      <c r="I54" s="526" t="str">
        <f>IF('Student DATA Entry'!K50="","",UPPER('Student DATA Entry'!K50))</f>
        <v/>
      </c>
      <c r="J54" s="560" t="str">
        <f>IF('Student DATA Entry'!J50="","",UPPER('Student DATA Entry'!J50))</f>
        <v/>
      </c>
      <c r="K54" s="103"/>
      <c r="L54" s="19"/>
      <c r="M54" s="19"/>
      <c r="N54" s="52"/>
      <c r="O54" s="104"/>
      <c r="P54" s="103"/>
      <c r="Q54" s="19"/>
      <c r="R54" s="19"/>
      <c r="S54" s="52"/>
      <c r="T54" s="104"/>
      <c r="U54" s="103"/>
      <c r="V54" s="19"/>
      <c r="W54" s="19"/>
      <c r="X54" s="19"/>
      <c r="Y54" s="52"/>
      <c r="Z54" s="52"/>
      <c r="AA54" s="57"/>
      <c r="AB54" s="564"/>
      <c r="AC54" s="103"/>
      <c r="AD54" s="19"/>
      <c r="AE54" s="19"/>
      <c r="AF54" s="19"/>
      <c r="AG54" s="52"/>
      <c r="AH54" s="52"/>
      <c r="AI54" s="57"/>
      <c r="AJ54" s="564"/>
      <c r="AK54" s="103"/>
      <c r="AL54" s="19"/>
      <c r="AM54" s="19"/>
      <c r="AN54" s="19"/>
      <c r="AO54" s="52"/>
      <c r="AP54" s="52"/>
      <c r="AQ54" s="57"/>
      <c r="AR54" s="564"/>
      <c r="AS54" s="18"/>
      <c r="AT54" s="19"/>
      <c r="AU54" s="19"/>
      <c r="AV54" s="19"/>
      <c r="AW54" s="52"/>
      <c r="AX54" s="52"/>
      <c r="AY54" s="57"/>
      <c r="AZ54" s="109"/>
      <c r="BA54" s="109"/>
      <c r="BB54" s="549"/>
      <c r="BC54" s="550"/>
      <c r="BD54" s="104"/>
      <c r="BE54" s="103"/>
      <c r="BF54" s="19"/>
      <c r="BG54" s="19"/>
      <c r="BH54" s="20"/>
      <c r="BI54" s="104"/>
      <c r="BJ54" s="9"/>
    </row>
    <row r="55" spans="1:62">
      <c r="A55" s="516">
        <f>IF('Student DATA Entry'!A51="","",'Student DATA Entry'!A51)</f>
        <v>48</v>
      </c>
      <c r="B55" s="528" t="str">
        <f>IF('Student DATA Entry'!B51="","",'Student DATA Entry'!B51)</f>
        <v/>
      </c>
      <c r="C55" s="126" t="str">
        <f>IF('Student DATA Entry'!D51="","",'Student DATA Entry'!D51)</f>
        <v/>
      </c>
      <c r="D55" s="530" t="str">
        <f>IF('Student DATA Entry'!E51="","",'Student DATA Entry'!E51)</f>
        <v/>
      </c>
      <c r="E55" s="532" t="str">
        <f>IF('Student DATA Entry'!I51="","",'Student DATA Entry'!I51)</f>
        <v/>
      </c>
      <c r="F55" s="127" t="str">
        <f>IF('Student DATA Entry'!F51="","",UPPER('Student DATA Entry'!F51))</f>
        <v/>
      </c>
      <c r="G55" s="127" t="str">
        <f>IF('Student DATA Entry'!G51="","",UPPER('Student DATA Entry'!G51))</f>
        <v/>
      </c>
      <c r="H55" s="127" t="str">
        <f>IF('Student DATA Entry'!H51="","",UPPER('Student DATA Entry'!H51))</f>
        <v/>
      </c>
      <c r="I55" s="526" t="str">
        <f>IF('Student DATA Entry'!K51="","",UPPER('Student DATA Entry'!K51))</f>
        <v/>
      </c>
      <c r="J55" s="560" t="str">
        <f>IF('Student DATA Entry'!J51="","",UPPER('Student DATA Entry'!J51))</f>
        <v/>
      </c>
      <c r="K55" s="103"/>
      <c r="L55" s="19"/>
      <c r="M55" s="19"/>
      <c r="N55" s="52"/>
      <c r="O55" s="104"/>
      <c r="P55" s="103"/>
      <c r="Q55" s="19"/>
      <c r="R55" s="19"/>
      <c r="S55" s="52"/>
      <c r="T55" s="104"/>
      <c r="U55" s="103"/>
      <c r="V55" s="19"/>
      <c r="W55" s="19"/>
      <c r="X55" s="19"/>
      <c r="Y55" s="52"/>
      <c r="Z55" s="52"/>
      <c r="AA55" s="57"/>
      <c r="AB55" s="564"/>
      <c r="AC55" s="103"/>
      <c r="AD55" s="19"/>
      <c r="AE55" s="19"/>
      <c r="AF55" s="19"/>
      <c r="AG55" s="52"/>
      <c r="AH55" s="52"/>
      <c r="AI55" s="57"/>
      <c r="AJ55" s="564"/>
      <c r="AK55" s="103"/>
      <c r="AL55" s="19"/>
      <c r="AM55" s="19"/>
      <c r="AN55" s="19"/>
      <c r="AO55" s="52"/>
      <c r="AP55" s="52"/>
      <c r="AQ55" s="57"/>
      <c r="AR55" s="564"/>
      <c r="AS55" s="18"/>
      <c r="AT55" s="19"/>
      <c r="AU55" s="19"/>
      <c r="AV55" s="19"/>
      <c r="AW55" s="52"/>
      <c r="AX55" s="52"/>
      <c r="AY55" s="57"/>
      <c r="AZ55" s="109"/>
      <c r="BA55" s="109"/>
      <c r="BB55" s="549"/>
      <c r="BC55" s="550"/>
      <c r="BD55" s="104"/>
      <c r="BE55" s="103"/>
      <c r="BF55" s="19"/>
      <c r="BG55" s="19"/>
      <c r="BH55" s="20"/>
      <c r="BI55" s="104"/>
      <c r="BJ55" s="9"/>
    </row>
    <row r="56" spans="1:62">
      <c r="A56" s="516">
        <f>IF('Student DATA Entry'!A52="","",'Student DATA Entry'!A52)</f>
        <v>49</v>
      </c>
      <c r="B56" s="528" t="str">
        <f>IF('Student DATA Entry'!B52="","",'Student DATA Entry'!B52)</f>
        <v/>
      </c>
      <c r="C56" s="126" t="str">
        <f>IF('Student DATA Entry'!D52="","",'Student DATA Entry'!D52)</f>
        <v/>
      </c>
      <c r="D56" s="530" t="str">
        <f>IF('Student DATA Entry'!E52="","",'Student DATA Entry'!E52)</f>
        <v/>
      </c>
      <c r="E56" s="532" t="str">
        <f>IF('Student DATA Entry'!I52="","",'Student DATA Entry'!I52)</f>
        <v/>
      </c>
      <c r="F56" s="127" t="str">
        <f>IF('Student DATA Entry'!F52="","",UPPER('Student DATA Entry'!F52))</f>
        <v/>
      </c>
      <c r="G56" s="127" t="str">
        <f>IF('Student DATA Entry'!G52="","",UPPER('Student DATA Entry'!G52))</f>
        <v/>
      </c>
      <c r="H56" s="127" t="str">
        <f>IF('Student DATA Entry'!H52="","",UPPER('Student DATA Entry'!H52))</f>
        <v/>
      </c>
      <c r="I56" s="526" t="str">
        <f>IF('Student DATA Entry'!K52="","",UPPER('Student DATA Entry'!K52))</f>
        <v/>
      </c>
      <c r="J56" s="560" t="str">
        <f>IF('Student DATA Entry'!J52="","",UPPER('Student DATA Entry'!J52))</f>
        <v/>
      </c>
      <c r="K56" s="103"/>
      <c r="L56" s="19"/>
      <c r="M56" s="19"/>
      <c r="N56" s="52"/>
      <c r="O56" s="104"/>
      <c r="P56" s="103"/>
      <c r="Q56" s="19"/>
      <c r="R56" s="19"/>
      <c r="S56" s="52"/>
      <c r="T56" s="104"/>
      <c r="U56" s="103"/>
      <c r="V56" s="19"/>
      <c r="W56" s="19"/>
      <c r="X56" s="19"/>
      <c r="Y56" s="52"/>
      <c r="Z56" s="52"/>
      <c r="AA56" s="57"/>
      <c r="AB56" s="564"/>
      <c r="AC56" s="103"/>
      <c r="AD56" s="19"/>
      <c r="AE56" s="19"/>
      <c r="AF56" s="19"/>
      <c r="AG56" s="52"/>
      <c r="AH56" s="52"/>
      <c r="AI56" s="57"/>
      <c r="AJ56" s="564"/>
      <c r="AK56" s="103"/>
      <c r="AL56" s="19"/>
      <c r="AM56" s="19"/>
      <c r="AN56" s="19"/>
      <c r="AO56" s="52"/>
      <c r="AP56" s="52"/>
      <c r="AQ56" s="57"/>
      <c r="AR56" s="564"/>
      <c r="AS56" s="18"/>
      <c r="AT56" s="19"/>
      <c r="AU56" s="19"/>
      <c r="AV56" s="19"/>
      <c r="AW56" s="52"/>
      <c r="AX56" s="52"/>
      <c r="AY56" s="57"/>
      <c r="AZ56" s="109"/>
      <c r="BA56" s="109"/>
      <c r="BB56" s="549"/>
      <c r="BC56" s="550"/>
      <c r="BD56" s="104"/>
      <c r="BE56" s="103"/>
      <c r="BF56" s="19"/>
      <c r="BG56" s="19"/>
      <c r="BH56" s="20"/>
      <c r="BI56" s="104"/>
      <c r="BJ56" s="9"/>
    </row>
    <row r="57" spans="1:62">
      <c r="A57" s="516">
        <f>IF('Student DATA Entry'!A53="","",'Student DATA Entry'!A53)</f>
        <v>50</v>
      </c>
      <c r="B57" s="528" t="str">
        <f>IF('Student DATA Entry'!B53="","",'Student DATA Entry'!B53)</f>
        <v/>
      </c>
      <c r="C57" s="126" t="str">
        <f>IF('Student DATA Entry'!D53="","",'Student DATA Entry'!D53)</f>
        <v/>
      </c>
      <c r="D57" s="530" t="str">
        <f>IF('Student DATA Entry'!E53="","",'Student DATA Entry'!E53)</f>
        <v/>
      </c>
      <c r="E57" s="532" t="str">
        <f>IF('Student DATA Entry'!I53="","",'Student DATA Entry'!I53)</f>
        <v/>
      </c>
      <c r="F57" s="127" t="str">
        <f>IF('Student DATA Entry'!F53="","",UPPER('Student DATA Entry'!F53))</f>
        <v/>
      </c>
      <c r="G57" s="127" t="str">
        <f>IF('Student DATA Entry'!G53="","",UPPER('Student DATA Entry'!G53))</f>
        <v/>
      </c>
      <c r="H57" s="127" t="str">
        <f>IF('Student DATA Entry'!H53="","",UPPER('Student DATA Entry'!H53))</f>
        <v/>
      </c>
      <c r="I57" s="526" t="str">
        <f>IF('Student DATA Entry'!K53="","",UPPER('Student DATA Entry'!K53))</f>
        <v/>
      </c>
      <c r="J57" s="560" t="str">
        <f>IF('Student DATA Entry'!J53="","",UPPER('Student DATA Entry'!J53))</f>
        <v/>
      </c>
      <c r="K57" s="103"/>
      <c r="L57" s="19"/>
      <c r="M57" s="19"/>
      <c r="N57" s="52"/>
      <c r="O57" s="104"/>
      <c r="P57" s="103"/>
      <c r="Q57" s="19"/>
      <c r="R57" s="19"/>
      <c r="S57" s="52"/>
      <c r="T57" s="104"/>
      <c r="U57" s="103"/>
      <c r="V57" s="19"/>
      <c r="W57" s="19"/>
      <c r="X57" s="19"/>
      <c r="Y57" s="52"/>
      <c r="Z57" s="52"/>
      <c r="AA57" s="57"/>
      <c r="AB57" s="564"/>
      <c r="AC57" s="103"/>
      <c r="AD57" s="19"/>
      <c r="AE57" s="19"/>
      <c r="AF57" s="19"/>
      <c r="AG57" s="52"/>
      <c r="AH57" s="52"/>
      <c r="AI57" s="57"/>
      <c r="AJ57" s="564"/>
      <c r="AK57" s="103"/>
      <c r="AL57" s="19"/>
      <c r="AM57" s="19"/>
      <c r="AN57" s="19"/>
      <c r="AO57" s="52"/>
      <c r="AP57" s="52"/>
      <c r="AQ57" s="57"/>
      <c r="AR57" s="564"/>
      <c r="AS57" s="18"/>
      <c r="AT57" s="19"/>
      <c r="AU57" s="19"/>
      <c r="AV57" s="19"/>
      <c r="AW57" s="52"/>
      <c r="AX57" s="52"/>
      <c r="AY57" s="57"/>
      <c r="AZ57" s="109"/>
      <c r="BA57" s="109"/>
      <c r="BB57" s="549"/>
      <c r="BC57" s="550"/>
      <c r="BD57" s="104"/>
      <c r="BE57" s="103"/>
      <c r="BF57" s="19"/>
      <c r="BG57" s="19"/>
      <c r="BH57" s="20"/>
      <c r="BI57" s="104"/>
      <c r="BJ57" s="9"/>
    </row>
    <row r="58" spans="1:62">
      <c r="A58" s="516">
        <f>IF('Student DATA Entry'!A54="","",'Student DATA Entry'!A54)</f>
        <v>51</v>
      </c>
      <c r="B58" s="528" t="str">
        <f>IF('Student DATA Entry'!B54="","",'Student DATA Entry'!B54)</f>
        <v/>
      </c>
      <c r="C58" s="126" t="str">
        <f>IF('Student DATA Entry'!D54="","",'Student DATA Entry'!D54)</f>
        <v/>
      </c>
      <c r="D58" s="530" t="str">
        <f>IF('Student DATA Entry'!E54="","",'Student DATA Entry'!E54)</f>
        <v/>
      </c>
      <c r="E58" s="532" t="str">
        <f>IF('Student DATA Entry'!I54="","",'Student DATA Entry'!I54)</f>
        <v/>
      </c>
      <c r="F58" s="127" t="str">
        <f>IF('Student DATA Entry'!F54="","",UPPER('Student DATA Entry'!F54))</f>
        <v/>
      </c>
      <c r="G58" s="127" t="str">
        <f>IF('Student DATA Entry'!G54="","",UPPER('Student DATA Entry'!G54))</f>
        <v/>
      </c>
      <c r="H58" s="127" t="str">
        <f>IF('Student DATA Entry'!H54="","",UPPER('Student DATA Entry'!H54))</f>
        <v/>
      </c>
      <c r="I58" s="526" t="str">
        <f>IF('Student DATA Entry'!K54="","",UPPER('Student DATA Entry'!K54))</f>
        <v/>
      </c>
      <c r="J58" s="560" t="str">
        <f>IF('Student DATA Entry'!J54="","",UPPER('Student DATA Entry'!J54))</f>
        <v/>
      </c>
      <c r="K58" s="103"/>
      <c r="L58" s="19"/>
      <c r="M58" s="19"/>
      <c r="N58" s="52"/>
      <c r="O58" s="104"/>
      <c r="P58" s="103"/>
      <c r="Q58" s="19"/>
      <c r="R58" s="19"/>
      <c r="S58" s="52"/>
      <c r="T58" s="104"/>
      <c r="U58" s="103"/>
      <c r="V58" s="19"/>
      <c r="W58" s="19"/>
      <c r="X58" s="19"/>
      <c r="Y58" s="52"/>
      <c r="Z58" s="52"/>
      <c r="AA58" s="57"/>
      <c r="AB58" s="564"/>
      <c r="AC58" s="103"/>
      <c r="AD58" s="19"/>
      <c r="AE58" s="19"/>
      <c r="AF58" s="19"/>
      <c r="AG58" s="52"/>
      <c r="AH58" s="52"/>
      <c r="AI58" s="57"/>
      <c r="AJ58" s="564"/>
      <c r="AK58" s="103"/>
      <c r="AL58" s="19"/>
      <c r="AM58" s="19"/>
      <c r="AN58" s="19"/>
      <c r="AO58" s="52"/>
      <c r="AP58" s="52"/>
      <c r="AQ58" s="57"/>
      <c r="AR58" s="564"/>
      <c r="AS58" s="18"/>
      <c r="AT58" s="19"/>
      <c r="AU58" s="19"/>
      <c r="AV58" s="19"/>
      <c r="AW58" s="52"/>
      <c r="AX58" s="52"/>
      <c r="AY58" s="57"/>
      <c r="AZ58" s="109"/>
      <c r="BA58" s="109"/>
      <c r="BB58" s="549"/>
      <c r="BC58" s="550"/>
      <c r="BD58" s="104"/>
      <c r="BE58" s="103"/>
      <c r="BF58" s="19"/>
      <c r="BG58" s="19"/>
      <c r="BH58" s="20"/>
      <c r="BI58" s="104"/>
      <c r="BJ58" s="9"/>
    </row>
    <row r="59" spans="1:62">
      <c r="A59" s="516">
        <f>IF('Student DATA Entry'!A55="","",'Student DATA Entry'!A55)</f>
        <v>52</v>
      </c>
      <c r="B59" s="528" t="str">
        <f>IF('Student DATA Entry'!B55="","",'Student DATA Entry'!B55)</f>
        <v/>
      </c>
      <c r="C59" s="126" t="str">
        <f>IF('Student DATA Entry'!D55="","",'Student DATA Entry'!D55)</f>
        <v/>
      </c>
      <c r="D59" s="530" t="str">
        <f>IF('Student DATA Entry'!E55="","",'Student DATA Entry'!E55)</f>
        <v/>
      </c>
      <c r="E59" s="532" t="str">
        <f>IF('Student DATA Entry'!I55="","",'Student DATA Entry'!I55)</f>
        <v/>
      </c>
      <c r="F59" s="127" t="str">
        <f>IF('Student DATA Entry'!F55="","",UPPER('Student DATA Entry'!F55))</f>
        <v/>
      </c>
      <c r="G59" s="127" t="str">
        <f>IF('Student DATA Entry'!G55="","",UPPER('Student DATA Entry'!G55))</f>
        <v/>
      </c>
      <c r="H59" s="127" t="str">
        <f>IF('Student DATA Entry'!H55="","",UPPER('Student DATA Entry'!H55))</f>
        <v/>
      </c>
      <c r="I59" s="526" t="str">
        <f>IF('Student DATA Entry'!K55="","",UPPER('Student DATA Entry'!K55))</f>
        <v/>
      </c>
      <c r="J59" s="560" t="str">
        <f>IF('Student DATA Entry'!J55="","",UPPER('Student DATA Entry'!J55))</f>
        <v/>
      </c>
      <c r="K59" s="103"/>
      <c r="L59" s="19"/>
      <c r="M59" s="19"/>
      <c r="N59" s="52"/>
      <c r="O59" s="104"/>
      <c r="P59" s="103"/>
      <c r="Q59" s="19"/>
      <c r="R59" s="19"/>
      <c r="S59" s="52"/>
      <c r="T59" s="104"/>
      <c r="U59" s="103"/>
      <c r="V59" s="19"/>
      <c r="W59" s="19"/>
      <c r="X59" s="19"/>
      <c r="Y59" s="52"/>
      <c r="Z59" s="52"/>
      <c r="AA59" s="57"/>
      <c r="AB59" s="564"/>
      <c r="AC59" s="103"/>
      <c r="AD59" s="19"/>
      <c r="AE59" s="19"/>
      <c r="AF59" s="19"/>
      <c r="AG59" s="52"/>
      <c r="AH59" s="52"/>
      <c r="AI59" s="57"/>
      <c r="AJ59" s="564"/>
      <c r="AK59" s="103"/>
      <c r="AL59" s="19"/>
      <c r="AM59" s="19"/>
      <c r="AN59" s="19"/>
      <c r="AO59" s="52"/>
      <c r="AP59" s="52"/>
      <c r="AQ59" s="57"/>
      <c r="AR59" s="564"/>
      <c r="AS59" s="18"/>
      <c r="AT59" s="19"/>
      <c r="AU59" s="19"/>
      <c r="AV59" s="19"/>
      <c r="AW59" s="52"/>
      <c r="AX59" s="52"/>
      <c r="AY59" s="57"/>
      <c r="AZ59" s="109"/>
      <c r="BA59" s="109"/>
      <c r="BB59" s="549"/>
      <c r="BC59" s="550"/>
      <c r="BD59" s="104"/>
      <c r="BE59" s="103"/>
      <c r="BF59" s="19"/>
      <c r="BG59" s="19"/>
      <c r="BH59" s="20"/>
      <c r="BI59" s="104"/>
      <c r="BJ59" s="9"/>
    </row>
    <row r="60" spans="1:62">
      <c r="A60" s="516">
        <f>IF('Student DATA Entry'!A56="","",'Student DATA Entry'!A56)</f>
        <v>53</v>
      </c>
      <c r="B60" s="528" t="str">
        <f>IF('Student DATA Entry'!B56="","",'Student DATA Entry'!B56)</f>
        <v/>
      </c>
      <c r="C60" s="126" t="str">
        <f>IF('Student DATA Entry'!D56="","",'Student DATA Entry'!D56)</f>
        <v/>
      </c>
      <c r="D60" s="530" t="str">
        <f>IF('Student DATA Entry'!E56="","",'Student DATA Entry'!E56)</f>
        <v/>
      </c>
      <c r="E60" s="532" t="str">
        <f>IF('Student DATA Entry'!I56="","",'Student DATA Entry'!I56)</f>
        <v/>
      </c>
      <c r="F60" s="127" t="str">
        <f>IF('Student DATA Entry'!F56="","",UPPER('Student DATA Entry'!F56))</f>
        <v/>
      </c>
      <c r="G60" s="127" t="str">
        <f>IF('Student DATA Entry'!G56="","",UPPER('Student DATA Entry'!G56))</f>
        <v/>
      </c>
      <c r="H60" s="127" t="str">
        <f>IF('Student DATA Entry'!H56="","",UPPER('Student DATA Entry'!H56))</f>
        <v/>
      </c>
      <c r="I60" s="526" t="str">
        <f>IF('Student DATA Entry'!K56="","",UPPER('Student DATA Entry'!K56))</f>
        <v/>
      </c>
      <c r="J60" s="560" t="str">
        <f>IF('Student DATA Entry'!J56="","",UPPER('Student DATA Entry'!J56))</f>
        <v/>
      </c>
      <c r="K60" s="103"/>
      <c r="L60" s="19"/>
      <c r="M60" s="19"/>
      <c r="N60" s="52"/>
      <c r="O60" s="104"/>
      <c r="P60" s="103"/>
      <c r="Q60" s="19"/>
      <c r="R60" s="19"/>
      <c r="S60" s="52"/>
      <c r="T60" s="104"/>
      <c r="U60" s="103"/>
      <c r="V60" s="19"/>
      <c r="W60" s="19"/>
      <c r="X60" s="19"/>
      <c r="Y60" s="52"/>
      <c r="Z60" s="52"/>
      <c r="AA60" s="57"/>
      <c r="AB60" s="564"/>
      <c r="AC60" s="103"/>
      <c r="AD60" s="19"/>
      <c r="AE60" s="19"/>
      <c r="AF60" s="19"/>
      <c r="AG60" s="52"/>
      <c r="AH60" s="52"/>
      <c r="AI60" s="57"/>
      <c r="AJ60" s="564"/>
      <c r="AK60" s="103"/>
      <c r="AL60" s="19"/>
      <c r="AM60" s="19"/>
      <c r="AN60" s="19"/>
      <c r="AO60" s="52"/>
      <c r="AP60" s="52"/>
      <c r="AQ60" s="57"/>
      <c r="AR60" s="564"/>
      <c r="AS60" s="18"/>
      <c r="AT60" s="19"/>
      <c r="AU60" s="19"/>
      <c r="AV60" s="19"/>
      <c r="AW60" s="52"/>
      <c r="AX60" s="52"/>
      <c r="AY60" s="57"/>
      <c r="AZ60" s="109"/>
      <c r="BA60" s="109"/>
      <c r="BB60" s="549"/>
      <c r="BC60" s="550"/>
      <c r="BD60" s="104"/>
      <c r="BE60" s="103"/>
      <c r="BF60" s="19"/>
      <c r="BG60" s="19"/>
      <c r="BH60" s="20"/>
      <c r="BI60" s="104"/>
      <c r="BJ60" s="9"/>
    </row>
    <row r="61" spans="1:62">
      <c r="A61" s="516">
        <f>IF('Student DATA Entry'!A57="","",'Student DATA Entry'!A57)</f>
        <v>54</v>
      </c>
      <c r="B61" s="528" t="str">
        <f>IF('Student DATA Entry'!B57="","",'Student DATA Entry'!B57)</f>
        <v/>
      </c>
      <c r="C61" s="126" t="str">
        <f>IF('Student DATA Entry'!D57="","",'Student DATA Entry'!D57)</f>
        <v/>
      </c>
      <c r="D61" s="530" t="str">
        <f>IF('Student DATA Entry'!E57="","",'Student DATA Entry'!E57)</f>
        <v/>
      </c>
      <c r="E61" s="532" t="str">
        <f>IF('Student DATA Entry'!I57="","",'Student DATA Entry'!I57)</f>
        <v/>
      </c>
      <c r="F61" s="127" t="str">
        <f>IF('Student DATA Entry'!F57="","",UPPER('Student DATA Entry'!F57))</f>
        <v/>
      </c>
      <c r="G61" s="127" t="str">
        <f>IF('Student DATA Entry'!G57="","",UPPER('Student DATA Entry'!G57))</f>
        <v/>
      </c>
      <c r="H61" s="127" t="str">
        <f>IF('Student DATA Entry'!H57="","",UPPER('Student DATA Entry'!H57))</f>
        <v/>
      </c>
      <c r="I61" s="526" t="str">
        <f>IF('Student DATA Entry'!K57="","",UPPER('Student DATA Entry'!K57))</f>
        <v/>
      </c>
      <c r="J61" s="560" t="str">
        <f>IF('Student DATA Entry'!J57="","",UPPER('Student DATA Entry'!J57))</f>
        <v/>
      </c>
      <c r="K61" s="103"/>
      <c r="L61" s="19"/>
      <c r="M61" s="19"/>
      <c r="N61" s="52"/>
      <c r="O61" s="104"/>
      <c r="P61" s="103"/>
      <c r="Q61" s="19"/>
      <c r="R61" s="19"/>
      <c r="S61" s="52"/>
      <c r="T61" s="104"/>
      <c r="U61" s="103"/>
      <c r="V61" s="19"/>
      <c r="W61" s="19"/>
      <c r="X61" s="19"/>
      <c r="Y61" s="52"/>
      <c r="Z61" s="52"/>
      <c r="AA61" s="57"/>
      <c r="AB61" s="564"/>
      <c r="AC61" s="103"/>
      <c r="AD61" s="19"/>
      <c r="AE61" s="19"/>
      <c r="AF61" s="19"/>
      <c r="AG61" s="52"/>
      <c r="AH61" s="52"/>
      <c r="AI61" s="57"/>
      <c r="AJ61" s="564"/>
      <c r="AK61" s="103"/>
      <c r="AL61" s="19"/>
      <c r="AM61" s="19"/>
      <c r="AN61" s="19"/>
      <c r="AO61" s="52"/>
      <c r="AP61" s="52"/>
      <c r="AQ61" s="57"/>
      <c r="AR61" s="564"/>
      <c r="AS61" s="18"/>
      <c r="AT61" s="19"/>
      <c r="AU61" s="19"/>
      <c r="AV61" s="19"/>
      <c r="AW61" s="52"/>
      <c r="AX61" s="52"/>
      <c r="AY61" s="57"/>
      <c r="AZ61" s="109"/>
      <c r="BA61" s="109"/>
      <c r="BB61" s="549"/>
      <c r="BC61" s="550"/>
      <c r="BD61" s="104"/>
      <c r="BE61" s="103"/>
      <c r="BF61" s="19"/>
      <c r="BG61" s="19"/>
      <c r="BH61" s="20"/>
      <c r="BI61" s="104"/>
      <c r="BJ61" s="9"/>
    </row>
    <row r="62" spans="1:62">
      <c r="A62" s="516">
        <f>IF('Student DATA Entry'!A58="","",'Student DATA Entry'!A58)</f>
        <v>55</v>
      </c>
      <c r="B62" s="528" t="str">
        <f>IF('Student DATA Entry'!B58="","",'Student DATA Entry'!B58)</f>
        <v/>
      </c>
      <c r="C62" s="126" t="str">
        <f>IF('Student DATA Entry'!D58="","",'Student DATA Entry'!D58)</f>
        <v/>
      </c>
      <c r="D62" s="530" t="str">
        <f>IF('Student DATA Entry'!E58="","",'Student DATA Entry'!E58)</f>
        <v/>
      </c>
      <c r="E62" s="532" t="str">
        <f>IF('Student DATA Entry'!I58="","",'Student DATA Entry'!I58)</f>
        <v/>
      </c>
      <c r="F62" s="127" t="str">
        <f>IF('Student DATA Entry'!F58="","",UPPER('Student DATA Entry'!F58))</f>
        <v/>
      </c>
      <c r="G62" s="127" t="str">
        <f>IF('Student DATA Entry'!G58="","",UPPER('Student DATA Entry'!G58))</f>
        <v/>
      </c>
      <c r="H62" s="127" t="str">
        <f>IF('Student DATA Entry'!H58="","",UPPER('Student DATA Entry'!H58))</f>
        <v/>
      </c>
      <c r="I62" s="526" t="str">
        <f>IF('Student DATA Entry'!K58="","",UPPER('Student DATA Entry'!K58))</f>
        <v/>
      </c>
      <c r="J62" s="560" t="str">
        <f>IF('Student DATA Entry'!J58="","",UPPER('Student DATA Entry'!J58))</f>
        <v/>
      </c>
      <c r="K62" s="103"/>
      <c r="L62" s="19"/>
      <c r="M62" s="19"/>
      <c r="N62" s="52"/>
      <c r="O62" s="104"/>
      <c r="P62" s="103"/>
      <c r="Q62" s="19"/>
      <c r="R62" s="19"/>
      <c r="S62" s="52"/>
      <c r="T62" s="104"/>
      <c r="U62" s="103"/>
      <c r="V62" s="19"/>
      <c r="W62" s="19"/>
      <c r="X62" s="19"/>
      <c r="Y62" s="52"/>
      <c r="Z62" s="52"/>
      <c r="AA62" s="57"/>
      <c r="AB62" s="564"/>
      <c r="AC62" s="103"/>
      <c r="AD62" s="19"/>
      <c r="AE62" s="19"/>
      <c r="AF62" s="19"/>
      <c r="AG62" s="52"/>
      <c r="AH62" s="52"/>
      <c r="AI62" s="57"/>
      <c r="AJ62" s="564"/>
      <c r="AK62" s="103"/>
      <c r="AL62" s="19"/>
      <c r="AM62" s="19"/>
      <c r="AN62" s="19"/>
      <c r="AO62" s="52"/>
      <c r="AP62" s="52"/>
      <c r="AQ62" s="57"/>
      <c r="AR62" s="564"/>
      <c r="AS62" s="18"/>
      <c r="AT62" s="19"/>
      <c r="AU62" s="19"/>
      <c r="AV62" s="19"/>
      <c r="AW62" s="52"/>
      <c r="AX62" s="52"/>
      <c r="AY62" s="57"/>
      <c r="AZ62" s="109"/>
      <c r="BA62" s="109"/>
      <c r="BB62" s="549"/>
      <c r="BC62" s="550"/>
      <c r="BD62" s="104"/>
      <c r="BE62" s="103"/>
      <c r="BF62" s="19"/>
      <c r="BG62" s="19"/>
      <c r="BH62" s="20"/>
      <c r="BI62" s="104"/>
      <c r="BJ62" s="9"/>
    </row>
    <row r="63" spans="1:62">
      <c r="A63" s="516">
        <f>IF('Student DATA Entry'!A59="","",'Student DATA Entry'!A59)</f>
        <v>56</v>
      </c>
      <c r="B63" s="528" t="str">
        <f>IF('Student DATA Entry'!B59="","",'Student DATA Entry'!B59)</f>
        <v/>
      </c>
      <c r="C63" s="126" t="str">
        <f>IF('Student DATA Entry'!D59="","",'Student DATA Entry'!D59)</f>
        <v/>
      </c>
      <c r="D63" s="530" t="str">
        <f>IF('Student DATA Entry'!E59="","",'Student DATA Entry'!E59)</f>
        <v/>
      </c>
      <c r="E63" s="532" t="str">
        <f>IF('Student DATA Entry'!I59="","",'Student DATA Entry'!I59)</f>
        <v/>
      </c>
      <c r="F63" s="127" t="str">
        <f>IF('Student DATA Entry'!F59="","",UPPER('Student DATA Entry'!F59))</f>
        <v/>
      </c>
      <c r="G63" s="127" t="str">
        <f>IF('Student DATA Entry'!G59="","",UPPER('Student DATA Entry'!G59))</f>
        <v/>
      </c>
      <c r="H63" s="127" t="str">
        <f>IF('Student DATA Entry'!H59="","",UPPER('Student DATA Entry'!H59))</f>
        <v/>
      </c>
      <c r="I63" s="526" t="str">
        <f>IF('Student DATA Entry'!K59="","",UPPER('Student DATA Entry'!K59))</f>
        <v/>
      </c>
      <c r="J63" s="560" t="str">
        <f>IF('Student DATA Entry'!J59="","",UPPER('Student DATA Entry'!J59))</f>
        <v/>
      </c>
      <c r="K63" s="103"/>
      <c r="L63" s="19"/>
      <c r="M63" s="19"/>
      <c r="N63" s="52"/>
      <c r="O63" s="104"/>
      <c r="P63" s="103"/>
      <c r="Q63" s="19"/>
      <c r="R63" s="19"/>
      <c r="S63" s="52"/>
      <c r="T63" s="104"/>
      <c r="U63" s="103"/>
      <c r="V63" s="19"/>
      <c r="W63" s="19"/>
      <c r="X63" s="19"/>
      <c r="Y63" s="52"/>
      <c r="Z63" s="52"/>
      <c r="AA63" s="57"/>
      <c r="AB63" s="564"/>
      <c r="AC63" s="103"/>
      <c r="AD63" s="19"/>
      <c r="AE63" s="19"/>
      <c r="AF63" s="19"/>
      <c r="AG63" s="52"/>
      <c r="AH63" s="52"/>
      <c r="AI63" s="57"/>
      <c r="AJ63" s="564"/>
      <c r="AK63" s="103"/>
      <c r="AL63" s="19"/>
      <c r="AM63" s="19"/>
      <c r="AN63" s="19"/>
      <c r="AO63" s="52"/>
      <c r="AP63" s="52"/>
      <c r="AQ63" s="57"/>
      <c r="AR63" s="564"/>
      <c r="AS63" s="18"/>
      <c r="AT63" s="19"/>
      <c r="AU63" s="19"/>
      <c r="AV63" s="19"/>
      <c r="AW63" s="52"/>
      <c r="AX63" s="52"/>
      <c r="AY63" s="57"/>
      <c r="AZ63" s="109"/>
      <c r="BA63" s="109"/>
      <c r="BB63" s="549"/>
      <c r="BC63" s="550"/>
      <c r="BD63" s="104"/>
      <c r="BE63" s="103"/>
      <c r="BF63" s="19"/>
      <c r="BG63" s="19"/>
      <c r="BH63" s="20"/>
      <c r="BI63" s="104"/>
      <c r="BJ63" s="9"/>
    </row>
    <row r="64" spans="1:62">
      <c r="A64" s="516">
        <f>IF('Student DATA Entry'!A60="","",'Student DATA Entry'!A60)</f>
        <v>57</v>
      </c>
      <c r="B64" s="528" t="str">
        <f>IF('Student DATA Entry'!B60="","",'Student DATA Entry'!B60)</f>
        <v/>
      </c>
      <c r="C64" s="126" t="str">
        <f>IF('Student DATA Entry'!D60="","",'Student DATA Entry'!D60)</f>
        <v/>
      </c>
      <c r="D64" s="530" t="str">
        <f>IF('Student DATA Entry'!E60="","",'Student DATA Entry'!E60)</f>
        <v/>
      </c>
      <c r="E64" s="532" t="str">
        <f>IF('Student DATA Entry'!I60="","",'Student DATA Entry'!I60)</f>
        <v/>
      </c>
      <c r="F64" s="127" t="str">
        <f>IF('Student DATA Entry'!F60="","",UPPER('Student DATA Entry'!F60))</f>
        <v/>
      </c>
      <c r="G64" s="127" t="str">
        <f>IF('Student DATA Entry'!G60="","",UPPER('Student DATA Entry'!G60))</f>
        <v/>
      </c>
      <c r="H64" s="127" t="str">
        <f>IF('Student DATA Entry'!H60="","",UPPER('Student DATA Entry'!H60))</f>
        <v/>
      </c>
      <c r="I64" s="526" t="str">
        <f>IF('Student DATA Entry'!K60="","",UPPER('Student DATA Entry'!K60))</f>
        <v/>
      </c>
      <c r="J64" s="560" t="str">
        <f>IF('Student DATA Entry'!J60="","",UPPER('Student DATA Entry'!J60))</f>
        <v/>
      </c>
      <c r="K64" s="103"/>
      <c r="L64" s="19"/>
      <c r="M64" s="19"/>
      <c r="N64" s="52"/>
      <c r="O64" s="104"/>
      <c r="P64" s="103"/>
      <c r="Q64" s="19"/>
      <c r="R64" s="19"/>
      <c r="S64" s="52"/>
      <c r="T64" s="104"/>
      <c r="U64" s="103"/>
      <c r="V64" s="19"/>
      <c r="W64" s="19"/>
      <c r="X64" s="19"/>
      <c r="Y64" s="52"/>
      <c r="Z64" s="52"/>
      <c r="AA64" s="57"/>
      <c r="AB64" s="564"/>
      <c r="AC64" s="103"/>
      <c r="AD64" s="19"/>
      <c r="AE64" s="19"/>
      <c r="AF64" s="19"/>
      <c r="AG64" s="52"/>
      <c r="AH64" s="52"/>
      <c r="AI64" s="57"/>
      <c r="AJ64" s="564"/>
      <c r="AK64" s="103"/>
      <c r="AL64" s="19"/>
      <c r="AM64" s="19"/>
      <c r="AN64" s="19"/>
      <c r="AO64" s="52"/>
      <c r="AP64" s="52"/>
      <c r="AQ64" s="57"/>
      <c r="AR64" s="564"/>
      <c r="AS64" s="18"/>
      <c r="AT64" s="19"/>
      <c r="AU64" s="19"/>
      <c r="AV64" s="19"/>
      <c r="AW64" s="52"/>
      <c r="AX64" s="52"/>
      <c r="AY64" s="57"/>
      <c r="AZ64" s="109"/>
      <c r="BA64" s="109"/>
      <c r="BB64" s="549"/>
      <c r="BC64" s="550"/>
      <c r="BD64" s="104"/>
      <c r="BE64" s="103"/>
      <c r="BF64" s="19"/>
      <c r="BG64" s="19"/>
      <c r="BH64" s="20"/>
      <c r="BI64" s="104"/>
      <c r="BJ64" s="9"/>
    </row>
    <row r="65" spans="1:62">
      <c r="A65" s="516">
        <f>IF('Student DATA Entry'!A61="","",'Student DATA Entry'!A61)</f>
        <v>58</v>
      </c>
      <c r="B65" s="528" t="str">
        <f>IF('Student DATA Entry'!B61="","",'Student DATA Entry'!B61)</f>
        <v/>
      </c>
      <c r="C65" s="126" t="str">
        <f>IF('Student DATA Entry'!D61="","",'Student DATA Entry'!D61)</f>
        <v/>
      </c>
      <c r="D65" s="530" t="str">
        <f>IF('Student DATA Entry'!E61="","",'Student DATA Entry'!E61)</f>
        <v/>
      </c>
      <c r="E65" s="532" t="str">
        <f>IF('Student DATA Entry'!I61="","",'Student DATA Entry'!I61)</f>
        <v/>
      </c>
      <c r="F65" s="127" t="str">
        <f>IF('Student DATA Entry'!F61="","",UPPER('Student DATA Entry'!F61))</f>
        <v/>
      </c>
      <c r="G65" s="127" t="str">
        <f>IF('Student DATA Entry'!G61="","",UPPER('Student DATA Entry'!G61))</f>
        <v/>
      </c>
      <c r="H65" s="127" t="str">
        <f>IF('Student DATA Entry'!H61="","",UPPER('Student DATA Entry'!H61))</f>
        <v/>
      </c>
      <c r="I65" s="526" t="str">
        <f>IF('Student DATA Entry'!K61="","",UPPER('Student DATA Entry'!K61))</f>
        <v/>
      </c>
      <c r="J65" s="560" t="str">
        <f>IF('Student DATA Entry'!J61="","",UPPER('Student DATA Entry'!J61))</f>
        <v/>
      </c>
      <c r="K65" s="103"/>
      <c r="L65" s="19"/>
      <c r="M65" s="19"/>
      <c r="N65" s="52"/>
      <c r="O65" s="104"/>
      <c r="P65" s="103"/>
      <c r="Q65" s="19"/>
      <c r="R65" s="19"/>
      <c r="S65" s="52"/>
      <c r="T65" s="104"/>
      <c r="U65" s="103"/>
      <c r="V65" s="19"/>
      <c r="W65" s="19"/>
      <c r="X65" s="19"/>
      <c r="Y65" s="52"/>
      <c r="Z65" s="52"/>
      <c r="AA65" s="57"/>
      <c r="AB65" s="564"/>
      <c r="AC65" s="103"/>
      <c r="AD65" s="19"/>
      <c r="AE65" s="19"/>
      <c r="AF65" s="19"/>
      <c r="AG65" s="52"/>
      <c r="AH65" s="52"/>
      <c r="AI65" s="57"/>
      <c r="AJ65" s="564"/>
      <c r="AK65" s="103"/>
      <c r="AL65" s="19"/>
      <c r="AM65" s="19"/>
      <c r="AN65" s="19"/>
      <c r="AO65" s="52"/>
      <c r="AP65" s="52"/>
      <c r="AQ65" s="57"/>
      <c r="AR65" s="564"/>
      <c r="AS65" s="18"/>
      <c r="AT65" s="19"/>
      <c r="AU65" s="19"/>
      <c r="AV65" s="19"/>
      <c r="AW65" s="52"/>
      <c r="AX65" s="52"/>
      <c r="AY65" s="57"/>
      <c r="AZ65" s="109"/>
      <c r="BA65" s="109"/>
      <c r="BB65" s="549"/>
      <c r="BC65" s="550"/>
      <c r="BD65" s="104"/>
      <c r="BE65" s="103"/>
      <c r="BF65" s="19"/>
      <c r="BG65" s="19"/>
      <c r="BH65" s="20"/>
      <c r="BI65" s="104"/>
      <c r="BJ65" s="9"/>
    </row>
    <row r="66" spans="1:62">
      <c r="A66" s="516">
        <f>IF('Student DATA Entry'!A62="","",'Student DATA Entry'!A62)</f>
        <v>59</v>
      </c>
      <c r="B66" s="528" t="str">
        <f>IF('Student DATA Entry'!B62="","",'Student DATA Entry'!B62)</f>
        <v/>
      </c>
      <c r="C66" s="126" t="str">
        <f>IF('Student DATA Entry'!D62="","",'Student DATA Entry'!D62)</f>
        <v/>
      </c>
      <c r="D66" s="530" t="str">
        <f>IF('Student DATA Entry'!E62="","",'Student DATA Entry'!E62)</f>
        <v/>
      </c>
      <c r="E66" s="532" t="str">
        <f>IF('Student DATA Entry'!I62="","",'Student DATA Entry'!I62)</f>
        <v/>
      </c>
      <c r="F66" s="127" t="str">
        <f>IF('Student DATA Entry'!F62="","",UPPER('Student DATA Entry'!F62))</f>
        <v/>
      </c>
      <c r="G66" s="127" t="str">
        <f>IF('Student DATA Entry'!G62="","",UPPER('Student DATA Entry'!G62))</f>
        <v/>
      </c>
      <c r="H66" s="127" t="str">
        <f>IF('Student DATA Entry'!H62="","",UPPER('Student DATA Entry'!H62))</f>
        <v/>
      </c>
      <c r="I66" s="526" t="str">
        <f>IF('Student DATA Entry'!K62="","",UPPER('Student DATA Entry'!K62))</f>
        <v/>
      </c>
      <c r="J66" s="560" t="str">
        <f>IF('Student DATA Entry'!J62="","",UPPER('Student DATA Entry'!J62))</f>
        <v/>
      </c>
      <c r="K66" s="103"/>
      <c r="L66" s="19"/>
      <c r="M66" s="19"/>
      <c r="N66" s="52"/>
      <c r="O66" s="104"/>
      <c r="P66" s="103"/>
      <c r="Q66" s="19"/>
      <c r="R66" s="19"/>
      <c r="S66" s="52"/>
      <c r="T66" s="104"/>
      <c r="U66" s="103"/>
      <c r="V66" s="19"/>
      <c r="W66" s="19"/>
      <c r="X66" s="19"/>
      <c r="Y66" s="52"/>
      <c r="Z66" s="52"/>
      <c r="AA66" s="57"/>
      <c r="AB66" s="564"/>
      <c r="AC66" s="103"/>
      <c r="AD66" s="19"/>
      <c r="AE66" s="19"/>
      <c r="AF66" s="19"/>
      <c r="AG66" s="52"/>
      <c r="AH66" s="52"/>
      <c r="AI66" s="57"/>
      <c r="AJ66" s="564"/>
      <c r="AK66" s="103"/>
      <c r="AL66" s="19"/>
      <c r="AM66" s="19"/>
      <c r="AN66" s="19"/>
      <c r="AO66" s="52"/>
      <c r="AP66" s="52"/>
      <c r="AQ66" s="57"/>
      <c r="AR66" s="564"/>
      <c r="AS66" s="18"/>
      <c r="AT66" s="19"/>
      <c r="AU66" s="19"/>
      <c r="AV66" s="19"/>
      <c r="AW66" s="52"/>
      <c r="AX66" s="52"/>
      <c r="AY66" s="57"/>
      <c r="AZ66" s="109"/>
      <c r="BA66" s="109"/>
      <c r="BB66" s="549"/>
      <c r="BC66" s="550"/>
      <c r="BD66" s="104"/>
      <c r="BE66" s="103"/>
      <c r="BF66" s="19"/>
      <c r="BG66" s="19"/>
      <c r="BH66" s="20"/>
      <c r="BI66" s="104"/>
      <c r="BJ66" s="9"/>
    </row>
    <row r="67" spans="1:62">
      <c r="A67" s="516">
        <f>IF('Student DATA Entry'!A63="","",'Student DATA Entry'!A63)</f>
        <v>60</v>
      </c>
      <c r="B67" s="528" t="str">
        <f>IF('Student DATA Entry'!B63="","",'Student DATA Entry'!B63)</f>
        <v/>
      </c>
      <c r="C67" s="126" t="str">
        <f>IF('Student DATA Entry'!D63="","",'Student DATA Entry'!D63)</f>
        <v/>
      </c>
      <c r="D67" s="530" t="str">
        <f>IF('Student DATA Entry'!E63="","",'Student DATA Entry'!E63)</f>
        <v/>
      </c>
      <c r="E67" s="532" t="str">
        <f>IF('Student DATA Entry'!I63="","",'Student DATA Entry'!I63)</f>
        <v/>
      </c>
      <c r="F67" s="127" t="str">
        <f>IF('Student DATA Entry'!F63="","",UPPER('Student DATA Entry'!F63))</f>
        <v/>
      </c>
      <c r="G67" s="127" t="str">
        <f>IF('Student DATA Entry'!G63="","",UPPER('Student DATA Entry'!G63))</f>
        <v/>
      </c>
      <c r="H67" s="127" t="str">
        <f>IF('Student DATA Entry'!H63="","",UPPER('Student DATA Entry'!H63))</f>
        <v/>
      </c>
      <c r="I67" s="526" t="str">
        <f>IF('Student DATA Entry'!K63="","",UPPER('Student DATA Entry'!K63))</f>
        <v/>
      </c>
      <c r="J67" s="560" t="str">
        <f>IF('Student DATA Entry'!J63="","",UPPER('Student DATA Entry'!J63))</f>
        <v/>
      </c>
      <c r="K67" s="103"/>
      <c r="L67" s="19"/>
      <c r="M67" s="19"/>
      <c r="N67" s="52"/>
      <c r="O67" s="104"/>
      <c r="P67" s="103"/>
      <c r="Q67" s="19"/>
      <c r="R67" s="19"/>
      <c r="S67" s="52"/>
      <c r="T67" s="104"/>
      <c r="U67" s="103"/>
      <c r="V67" s="19"/>
      <c r="W67" s="19"/>
      <c r="X67" s="19"/>
      <c r="Y67" s="52"/>
      <c r="Z67" s="52"/>
      <c r="AA67" s="57"/>
      <c r="AB67" s="564"/>
      <c r="AC67" s="103"/>
      <c r="AD67" s="19"/>
      <c r="AE67" s="19"/>
      <c r="AF67" s="19"/>
      <c r="AG67" s="52"/>
      <c r="AH67" s="52"/>
      <c r="AI67" s="57"/>
      <c r="AJ67" s="564"/>
      <c r="AK67" s="103"/>
      <c r="AL67" s="19"/>
      <c r="AM67" s="19"/>
      <c r="AN67" s="19"/>
      <c r="AO67" s="52"/>
      <c r="AP67" s="52"/>
      <c r="AQ67" s="57"/>
      <c r="AR67" s="564"/>
      <c r="AS67" s="18"/>
      <c r="AT67" s="19"/>
      <c r="AU67" s="19"/>
      <c r="AV67" s="19"/>
      <c r="AW67" s="52"/>
      <c r="AX67" s="52"/>
      <c r="AY67" s="57"/>
      <c r="AZ67" s="109"/>
      <c r="BA67" s="109"/>
      <c r="BB67" s="549"/>
      <c r="BC67" s="550"/>
      <c r="BD67" s="104"/>
      <c r="BE67" s="103"/>
      <c r="BF67" s="19"/>
      <c r="BG67" s="19"/>
      <c r="BH67" s="20"/>
      <c r="BI67" s="104"/>
      <c r="BJ67" s="9"/>
    </row>
    <row r="68" spans="1:62">
      <c r="A68" s="516">
        <f>IF('Student DATA Entry'!A64="","",'Student DATA Entry'!A64)</f>
        <v>61</v>
      </c>
      <c r="B68" s="528" t="str">
        <f>IF('Student DATA Entry'!B64="","",'Student DATA Entry'!B64)</f>
        <v/>
      </c>
      <c r="C68" s="126" t="str">
        <f>IF('Student DATA Entry'!D64="","",'Student DATA Entry'!D64)</f>
        <v/>
      </c>
      <c r="D68" s="530" t="str">
        <f>IF('Student DATA Entry'!E64="","",'Student DATA Entry'!E64)</f>
        <v/>
      </c>
      <c r="E68" s="532" t="str">
        <f>IF('Student DATA Entry'!I64="","",'Student DATA Entry'!I64)</f>
        <v/>
      </c>
      <c r="F68" s="127" t="str">
        <f>IF('Student DATA Entry'!F64="","",UPPER('Student DATA Entry'!F64))</f>
        <v/>
      </c>
      <c r="G68" s="127" t="str">
        <f>IF('Student DATA Entry'!G64="","",UPPER('Student DATA Entry'!G64))</f>
        <v/>
      </c>
      <c r="H68" s="127" t="str">
        <f>IF('Student DATA Entry'!H64="","",UPPER('Student DATA Entry'!H64))</f>
        <v/>
      </c>
      <c r="I68" s="526" t="str">
        <f>IF('Student DATA Entry'!K64="","",UPPER('Student DATA Entry'!K64))</f>
        <v/>
      </c>
      <c r="J68" s="560" t="str">
        <f>IF('Student DATA Entry'!J64="","",UPPER('Student DATA Entry'!J64))</f>
        <v/>
      </c>
      <c r="K68" s="103"/>
      <c r="L68" s="19"/>
      <c r="M68" s="19"/>
      <c r="N68" s="52"/>
      <c r="O68" s="104"/>
      <c r="P68" s="103"/>
      <c r="Q68" s="19"/>
      <c r="R68" s="19"/>
      <c r="S68" s="52"/>
      <c r="T68" s="104"/>
      <c r="U68" s="103"/>
      <c r="V68" s="19"/>
      <c r="W68" s="19"/>
      <c r="X68" s="19"/>
      <c r="Y68" s="52"/>
      <c r="Z68" s="52"/>
      <c r="AA68" s="57"/>
      <c r="AB68" s="564"/>
      <c r="AC68" s="103"/>
      <c r="AD68" s="19"/>
      <c r="AE68" s="19"/>
      <c r="AF68" s="19"/>
      <c r="AG68" s="52"/>
      <c r="AH68" s="52"/>
      <c r="AI68" s="57"/>
      <c r="AJ68" s="564"/>
      <c r="AK68" s="103"/>
      <c r="AL68" s="19"/>
      <c r="AM68" s="19"/>
      <c r="AN68" s="19"/>
      <c r="AO68" s="52"/>
      <c r="AP68" s="52"/>
      <c r="AQ68" s="57"/>
      <c r="AR68" s="564"/>
      <c r="AS68" s="18"/>
      <c r="AT68" s="19"/>
      <c r="AU68" s="19"/>
      <c r="AV68" s="19"/>
      <c r="AW68" s="52"/>
      <c r="AX68" s="52"/>
      <c r="AY68" s="57"/>
      <c r="AZ68" s="109"/>
      <c r="BA68" s="109"/>
      <c r="BB68" s="549"/>
      <c r="BC68" s="550"/>
      <c r="BD68" s="104"/>
      <c r="BE68" s="103"/>
      <c r="BF68" s="19"/>
      <c r="BG68" s="19"/>
      <c r="BH68" s="20"/>
      <c r="BI68" s="104"/>
      <c r="BJ68" s="9"/>
    </row>
    <row r="69" spans="1:62">
      <c r="A69" s="516">
        <f>IF('Student DATA Entry'!A65="","",'Student DATA Entry'!A65)</f>
        <v>62</v>
      </c>
      <c r="B69" s="528" t="str">
        <f>IF('Student DATA Entry'!B65="","",'Student DATA Entry'!B65)</f>
        <v/>
      </c>
      <c r="C69" s="126" t="str">
        <f>IF('Student DATA Entry'!D65="","",'Student DATA Entry'!D65)</f>
        <v/>
      </c>
      <c r="D69" s="530" t="str">
        <f>IF('Student DATA Entry'!E65="","",'Student DATA Entry'!E65)</f>
        <v/>
      </c>
      <c r="E69" s="532" t="str">
        <f>IF('Student DATA Entry'!I65="","",'Student DATA Entry'!I65)</f>
        <v/>
      </c>
      <c r="F69" s="127" t="str">
        <f>IF('Student DATA Entry'!F65="","",UPPER('Student DATA Entry'!F65))</f>
        <v/>
      </c>
      <c r="G69" s="127" t="str">
        <f>IF('Student DATA Entry'!G65="","",UPPER('Student DATA Entry'!G65))</f>
        <v/>
      </c>
      <c r="H69" s="127" t="str">
        <f>IF('Student DATA Entry'!H65="","",UPPER('Student DATA Entry'!H65))</f>
        <v/>
      </c>
      <c r="I69" s="526" t="str">
        <f>IF('Student DATA Entry'!K65="","",UPPER('Student DATA Entry'!K65))</f>
        <v/>
      </c>
      <c r="J69" s="560" t="str">
        <f>IF('Student DATA Entry'!J65="","",UPPER('Student DATA Entry'!J65))</f>
        <v/>
      </c>
      <c r="K69" s="103"/>
      <c r="L69" s="19"/>
      <c r="M69" s="19"/>
      <c r="N69" s="52"/>
      <c r="O69" s="104"/>
      <c r="P69" s="103"/>
      <c r="Q69" s="19"/>
      <c r="R69" s="19"/>
      <c r="S69" s="52"/>
      <c r="T69" s="104"/>
      <c r="U69" s="103"/>
      <c r="V69" s="19"/>
      <c r="W69" s="19"/>
      <c r="X69" s="19"/>
      <c r="Y69" s="52"/>
      <c r="Z69" s="52"/>
      <c r="AA69" s="57"/>
      <c r="AB69" s="564"/>
      <c r="AC69" s="103"/>
      <c r="AD69" s="19"/>
      <c r="AE69" s="19"/>
      <c r="AF69" s="19"/>
      <c r="AG69" s="52"/>
      <c r="AH69" s="52"/>
      <c r="AI69" s="57"/>
      <c r="AJ69" s="564"/>
      <c r="AK69" s="103"/>
      <c r="AL69" s="19"/>
      <c r="AM69" s="19"/>
      <c r="AN69" s="19"/>
      <c r="AO69" s="52"/>
      <c r="AP69" s="52"/>
      <c r="AQ69" s="57"/>
      <c r="AR69" s="564"/>
      <c r="AS69" s="18"/>
      <c r="AT69" s="19"/>
      <c r="AU69" s="19"/>
      <c r="AV69" s="19"/>
      <c r="AW69" s="52"/>
      <c r="AX69" s="52"/>
      <c r="AY69" s="57"/>
      <c r="AZ69" s="109"/>
      <c r="BA69" s="109"/>
      <c r="BB69" s="549"/>
      <c r="BC69" s="550"/>
      <c r="BD69" s="104"/>
      <c r="BE69" s="103"/>
      <c r="BF69" s="19"/>
      <c r="BG69" s="19"/>
      <c r="BH69" s="20"/>
      <c r="BI69" s="104"/>
      <c r="BJ69" s="9"/>
    </row>
    <row r="70" spans="1:62">
      <c r="A70" s="516">
        <f>IF('Student DATA Entry'!A66="","",'Student DATA Entry'!A66)</f>
        <v>63</v>
      </c>
      <c r="B70" s="528" t="str">
        <f>IF('Student DATA Entry'!B66="","",'Student DATA Entry'!B66)</f>
        <v/>
      </c>
      <c r="C70" s="126" t="str">
        <f>IF('Student DATA Entry'!D66="","",'Student DATA Entry'!D66)</f>
        <v/>
      </c>
      <c r="D70" s="530" t="str">
        <f>IF('Student DATA Entry'!E66="","",'Student DATA Entry'!E66)</f>
        <v/>
      </c>
      <c r="E70" s="532" t="str">
        <f>IF('Student DATA Entry'!I66="","",'Student DATA Entry'!I66)</f>
        <v/>
      </c>
      <c r="F70" s="127" t="str">
        <f>IF('Student DATA Entry'!F66="","",UPPER('Student DATA Entry'!F66))</f>
        <v/>
      </c>
      <c r="G70" s="127" t="str">
        <f>IF('Student DATA Entry'!G66="","",UPPER('Student DATA Entry'!G66))</f>
        <v/>
      </c>
      <c r="H70" s="127" t="str">
        <f>IF('Student DATA Entry'!H66="","",UPPER('Student DATA Entry'!H66))</f>
        <v/>
      </c>
      <c r="I70" s="526" t="str">
        <f>IF('Student DATA Entry'!K66="","",UPPER('Student DATA Entry'!K66))</f>
        <v/>
      </c>
      <c r="J70" s="560" t="str">
        <f>IF('Student DATA Entry'!J66="","",UPPER('Student DATA Entry'!J66))</f>
        <v/>
      </c>
      <c r="K70" s="103"/>
      <c r="L70" s="19"/>
      <c r="M70" s="19"/>
      <c r="N70" s="52"/>
      <c r="O70" s="104"/>
      <c r="P70" s="103"/>
      <c r="Q70" s="19"/>
      <c r="R70" s="19"/>
      <c r="S70" s="52"/>
      <c r="T70" s="104"/>
      <c r="U70" s="103"/>
      <c r="V70" s="19"/>
      <c r="W70" s="19"/>
      <c r="X70" s="19"/>
      <c r="Y70" s="52"/>
      <c r="Z70" s="52"/>
      <c r="AA70" s="57"/>
      <c r="AB70" s="564"/>
      <c r="AC70" s="103"/>
      <c r="AD70" s="19"/>
      <c r="AE70" s="19"/>
      <c r="AF70" s="19"/>
      <c r="AG70" s="52"/>
      <c r="AH70" s="52"/>
      <c r="AI70" s="57"/>
      <c r="AJ70" s="564"/>
      <c r="AK70" s="103"/>
      <c r="AL70" s="19"/>
      <c r="AM70" s="19"/>
      <c r="AN70" s="19"/>
      <c r="AO70" s="52"/>
      <c r="AP70" s="52"/>
      <c r="AQ70" s="57"/>
      <c r="AR70" s="564"/>
      <c r="AS70" s="18"/>
      <c r="AT70" s="19"/>
      <c r="AU70" s="19"/>
      <c r="AV70" s="19"/>
      <c r="AW70" s="52"/>
      <c r="AX70" s="52"/>
      <c r="AY70" s="57"/>
      <c r="AZ70" s="109"/>
      <c r="BA70" s="109"/>
      <c r="BB70" s="549"/>
      <c r="BC70" s="550"/>
      <c r="BD70" s="104"/>
      <c r="BE70" s="103"/>
      <c r="BF70" s="19"/>
      <c r="BG70" s="19"/>
      <c r="BH70" s="20"/>
      <c r="BI70" s="104"/>
      <c r="BJ70" s="9"/>
    </row>
    <row r="71" spans="1:62">
      <c r="A71" s="516">
        <f>IF('Student DATA Entry'!A67="","",'Student DATA Entry'!A67)</f>
        <v>64</v>
      </c>
      <c r="B71" s="528" t="str">
        <f>IF('Student DATA Entry'!B67="","",'Student DATA Entry'!B67)</f>
        <v/>
      </c>
      <c r="C71" s="126" t="str">
        <f>IF('Student DATA Entry'!D67="","",'Student DATA Entry'!D67)</f>
        <v/>
      </c>
      <c r="D71" s="530" t="str">
        <f>IF('Student DATA Entry'!E67="","",'Student DATA Entry'!E67)</f>
        <v/>
      </c>
      <c r="E71" s="532" t="str">
        <f>IF('Student DATA Entry'!I67="","",'Student DATA Entry'!I67)</f>
        <v/>
      </c>
      <c r="F71" s="127" t="str">
        <f>IF('Student DATA Entry'!F67="","",UPPER('Student DATA Entry'!F67))</f>
        <v/>
      </c>
      <c r="G71" s="127" t="str">
        <f>IF('Student DATA Entry'!G67="","",UPPER('Student DATA Entry'!G67))</f>
        <v/>
      </c>
      <c r="H71" s="127" t="str">
        <f>IF('Student DATA Entry'!H67="","",UPPER('Student DATA Entry'!H67))</f>
        <v/>
      </c>
      <c r="I71" s="526" t="str">
        <f>IF('Student DATA Entry'!K67="","",UPPER('Student DATA Entry'!K67))</f>
        <v/>
      </c>
      <c r="J71" s="560" t="str">
        <f>IF('Student DATA Entry'!J67="","",UPPER('Student DATA Entry'!J67))</f>
        <v/>
      </c>
      <c r="K71" s="103"/>
      <c r="L71" s="19"/>
      <c r="M71" s="19"/>
      <c r="N71" s="52"/>
      <c r="O71" s="104"/>
      <c r="P71" s="103"/>
      <c r="Q71" s="19"/>
      <c r="R71" s="19"/>
      <c r="S71" s="52"/>
      <c r="T71" s="104"/>
      <c r="U71" s="103"/>
      <c r="V71" s="19"/>
      <c r="W71" s="19"/>
      <c r="X71" s="19"/>
      <c r="Y71" s="52"/>
      <c r="Z71" s="52"/>
      <c r="AA71" s="57"/>
      <c r="AB71" s="564"/>
      <c r="AC71" s="103"/>
      <c r="AD71" s="19"/>
      <c r="AE71" s="19"/>
      <c r="AF71" s="19"/>
      <c r="AG71" s="52"/>
      <c r="AH71" s="52"/>
      <c r="AI71" s="57"/>
      <c r="AJ71" s="564"/>
      <c r="AK71" s="103"/>
      <c r="AL71" s="19"/>
      <c r="AM71" s="19"/>
      <c r="AN71" s="19"/>
      <c r="AO71" s="52"/>
      <c r="AP71" s="52"/>
      <c r="AQ71" s="57"/>
      <c r="AR71" s="564"/>
      <c r="AS71" s="18"/>
      <c r="AT71" s="19"/>
      <c r="AU71" s="19"/>
      <c r="AV71" s="19"/>
      <c r="AW71" s="52"/>
      <c r="AX71" s="52"/>
      <c r="AY71" s="57"/>
      <c r="AZ71" s="109"/>
      <c r="BA71" s="109"/>
      <c r="BB71" s="549"/>
      <c r="BC71" s="550"/>
      <c r="BD71" s="104"/>
      <c r="BE71" s="103"/>
      <c r="BF71" s="19"/>
      <c r="BG71" s="19"/>
      <c r="BH71" s="20"/>
      <c r="BI71" s="104"/>
      <c r="BJ71" s="9"/>
    </row>
    <row r="72" spans="1:62">
      <c r="A72" s="516">
        <f>IF('Student DATA Entry'!A68="","",'Student DATA Entry'!A68)</f>
        <v>65</v>
      </c>
      <c r="B72" s="528" t="str">
        <f>IF('Student DATA Entry'!B68="","",'Student DATA Entry'!B68)</f>
        <v/>
      </c>
      <c r="C72" s="126" t="str">
        <f>IF('Student DATA Entry'!D68="","",'Student DATA Entry'!D68)</f>
        <v/>
      </c>
      <c r="D72" s="530" t="str">
        <f>IF('Student DATA Entry'!E68="","",'Student DATA Entry'!E68)</f>
        <v/>
      </c>
      <c r="E72" s="532" t="str">
        <f>IF('Student DATA Entry'!I68="","",'Student DATA Entry'!I68)</f>
        <v/>
      </c>
      <c r="F72" s="127" t="str">
        <f>IF('Student DATA Entry'!F68="","",UPPER('Student DATA Entry'!F68))</f>
        <v/>
      </c>
      <c r="G72" s="127" t="str">
        <f>IF('Student DATA Entry'!G68="","",UPPER('Student DATA Entry'!G68))</f>
        <v/>
      </c>
      <c r="H72" s="127" t="str">
        <f>IF('Student DATA Entry'!H68="","",UPPER('Student DATA Entry'!H68))</f>
        <v/>
      </c>
      <c r="I72" s="526" t="str">
        <f>IF('Student DATA Entry'!K68="","",UPPER('Student DATA Entry'!K68))</f>
        <v/>
      </c>
      <c r="J72" s="560" t="str">
        <f>IF('Student DATA Entry'!J68="","",UPPER('Student DATA Entry'!J68))</f>
        <v/>
      </c>
      <c r="K72" s="103"/>
      <c r="L72" s="19"/>
      <c r="M72" s="19"/>
      <c r="N72" s="52"/>
      <c r="O72" s="104"/>
      <c r="P72" s="103"/>
      <c r="Q72" s="19"/>
      <c r="R72" s="19"/>
      <c r="S72" s="52"/>
      <c r="T72" s="104"/>
      <c r="U72" s="103"/>
      <c r="V72" s="19"/>
      <c r="W72" s="19"/>
      <c r="X72" s="19"/>
      <c r="Y72" s="52"/>
      <c r="Z72" s="52"/>
      <c r="AA72" s="57"/>
      <c r="AB72" s="564"/>
      <c r="AC72" s="103"/>
      <c r="AD72" s="19"/>
      <c r="AE72" s="19"/>
      <c r="AF72" s="19"/>
      <c r="AG72" s="52"/>
      <c r="AH72" s="52"/>
      <c r="AI72" s="57"/>
      <c r="AJ72" s="564"/>
      <c r="AK72" s="103"/>
      <c r="AL72" s="19"/>
      <c r="AM72" s="19"/>
      <c r="AN72" s="19"/>
      <c r="AO72" s="52"/>
      <c r="AP72" s="52"/>
      <c r="AQ72" s="57"/>
      <c r="AR72" s="564"/>
      <c r="AS72" s="18"/>
      <c r="AT72" s="19"/>
      <c r="AU72" s="19"/>
      <c r="AV72" s="19"/>
      <c r="AW72" s="52"/>
      <c r="AX72" s="52"/>
      <c r="AY72" s="57"/>
      <c r="AZ72" s="109"/>
      <c r="BA72" s="109"/>
      <c r="BB72" s="549"/>
      <c r="BC72" s="550"/>
      <c r="BD72" s="104"/>
      <c r="BE72" s="103"/>
      <c r="BF72" s="19"/>
      <c r="BG72" s="19"/>
      <c r="BH72" s="20"/>
      <c r="BI72" s="104"/>
      <c r="BJ72" s="9"/>
    </row>
    <row r="73" spans="1:62">
      <c r="A73" s="516">
        <f>IF('Student DATA Entry'!A69="","",'Student DATA Entry'!A69)</f>
        <v>66</v>
      </c>
      <c r="B73" s="528" t="str">
        <f>IF('Student DATA Entry'!B69="","",'Student DATA Entry'!B69)</f>
        <v/>
      </c>
      <c r="C73" s="126" t="str">
        <f>IF('Student DATA Entry'!D69="","",'Student DATA Entry'!D69)</f>
        <v/>
      </c>
      <c r="D73" s="530" t="str">
        <f>IF('Student DATA Entry'!E69="","",'Student DATA Entry'!E69)</f>
        <v/>
      </c>
      <c r="E73" s="532" t="str">
        <f>IF('Student DATA Entry'!I69="","",'Student DATA Entry'!I69)</f>
        <v/>
      </c>
      <c r="F73" s="127" t="str">
        <f>IF('Student DATA Entry'!F69="","",UPPER('Student DATA Entry'!F69))</f>
        <v/>
      </c>
      <c r="G73" s="127" t="str">
        <f>IF('Student DATA Entry'!G69="","",UPPER('Student DATA Entry'!G69))</f>
        <v/>
      </c>
      <c r="H73" s="127" t="str">
        <f>IF('Student DATA Entry'!H69="","",UPPER('Student DATA Entry'!H69))</f>
        <v/>
      </c>
      <c r="I73" s="526" t="str">
        <f>IF('Student DATA Entry'!K69="","",UPPER('Student DATA Entry'!K69))</f>
        <v/>
      </c>
      <c r="J73" s="560" t="str">
        <f>IF('Student DATA Entry'!J69="","",UPPER('Student DATA Entry'!J69))</f>
        <v/>
      </c>
      <c r="K73" s="103"/>
      <c r="L73" s="19"/>
      <c r="M73" s="19"/>
      <c r="N73" s="52"/>
      <c r="O73" s="104"/>
      <c r="P73" s="103"/>
      <c r="Q73" s="19"/>
      <c r="R73" s="19"/>
      <c r="S73" s="52"/>
      <c r="T73" s="104"/>
      <c r="U73" s="103"/>
      <c r="V73" s="19"/>
      <c r="W73" s="19"/>
      <c r="X73" s="19"/>
      <c r="Y73" s="52"/>
      <c r="Z73" s="52"/>
      <c r="AA73" s="57"/>
      <c r="AB73" s="564"/>
      <c r="AC73" s="103"/>
      <c r="AD73" s="19"/>
      <c r="AE73" s="19"/>
      <c r="AF73" s="19"/>
      <c r="AG73" s="52"/>
      <c r="AH73" s="52"/>
      <c r="AI73" s="57"/>
      <c r="AJ73" s="564"/>
      <c r="AK73" s="103"/>
      <c r="AL73" s="19"/>
      <c r="AM73" s="19"/>
      <c r="AN73" s="19"/>
      <c r="AO73" s="52"/>
      <c r="AP73" s="52"/>
      <c r="AQ73" s="57"/>
      <c r="AR73" s="564"/>
      <c r="AS73" s="18"/>
      <c r="AT73" s="19"/>
      <c r="AU73" s="19"/>
      <c r="AV73" s="19"/>
      <c r="AW73" s="52"/>
      <c r="AX73" s="52"/>
      <c r="AY73" s="57"/>
      <c r="AZ73" s="109"/>
      <c r="BA73" s="109"/>
      <c r="BB73" s="549"/>
      <c r="BC73" s="550"/>
      <c r="BD73" s="104"/>
      <c r="BE73" s="103"/>
      <c r="BF73" s="19"/>
      <c r="BG73" s="19"/>
      <c r="BH73" s="20"/>
      <c r="BI73" s="104"/>
      <c r="BJ73" s="9"/>
    </row>
    <row r="74" spans="1:62">
      <c r="A74" s="516">
        <f>IF('Student DATA Entry'!A70="","",'Student DATA Entry'!A70)</f>
        <v>67</v>
      </c>
      <c r="B74" s="528" t="str">
        <f>IF('Student DATA Entry'!B70="","",'Student DATA Entry'!B70)</f>
        <v/>
      </c>
      <c r="C74" s="126" t="str">
        <f>IF('Student DATA Entry'!D70="","",'Student DATA Entry'!D70)</f>
        <v/>
      </c>
      <c r="D74" s="530" t="str">
        <f>IF('Student DATA Entry'!E70="","",'Student DATA Entry'!E70)</f>
        <v/>
      </c>
      <c r="E74" s="532" t="str">
        <f>IF('Student DATA Entry'!I70="","",'Student DATA Entry'!I70)</f>
        <v/>
      </c>
      <c r="F74" s="127" t="str">
        <f>IF('Student DATA Entry'!F70="","",UPPER('Student DATA Entry'!F70))</f>
        <v/>
      </c>
      <c r="G74" s="127" t="str">
        <f>IF('Student DATA Entry'!G70="","",UPPER('Student DATA Entry'!G70))</f>
        <v/>
      </c>
      <c r="H74" s="127" t="str">
        <f>IF('Student DATA Entry'!H70="","",UPPER('Student DATA Entry'!H70))</f>
        <v/>
      </c>
      <c r="I74" s="526" t="str">
        <f>IF('Student DATA Entry'!K70="","",UPPER('Student DATA Entry'!K70))</f>
        <v/>
      </c>
      <c r="J74" s="560" t="str">
        <f>IF('Student DATA Entry'!J70="","",UPPER('Student DATA Entry'!J70))</f>
        <v/>
      </c>
      <c r="K74" s="103"/>
      <c r="L74" s="19"/>
      <c r="M74" s="19"/>
      <c r="N74" s="52"/>
      <c r="O74" s="104"/>
      <c r="P74" s="103"/>
      <c r="Q74" s="19"/>
      <c r="R74" s="19"/>
      <c r="S74" s="52"/>
      <c r="T74" s="104"/>
      <c r="U74" s="103"/>
      <c r="V74" s="19"/>
      <c r="W74" s="19"/>
      <c r="X74" s="19"/>
      <c r="Y74" s="52"/>
      <c r="Z74" s="52"/>
      <c r="AA74" s="57"/>
      <c r="AB74" s="564"/>
      <c r="AC74" s="103"/>
      <c r="AD74" s="19"/>
      <c r="AE74" s="19"/>
      <c r="AF74" s="19"/>
      <c r="AG74" s="52"/>
      <c r="AH74" s="52"/>
      <c r="AI74" s="57"/>
      <c r="AJ74" s="564"/>
      <c r="AK74" s="103"/>
      <c r="AL74" s="19"/>
      <c r="AM74" s="19"/>
      <c r="AN74" s="19"/>
      <c r="AO74" s="52"/>
      <c r="AP74" s="52"/>
      <c r="AQ74" s="57"/>
      <c r="AR74" s="564"/>
      <c r="AS74" s="18"/>
      <c r="AT74" s="19"/>
      <c r="AU74" s="19"/>
      <c r="AV74" s="19"/>
      <c r="AW74" s="52"/>
      <c r="AX74" s="52"/>
      <c r="AY74" s="57"/>
      <c r="AZ74" s="109"/>
      <c r="BA74" s="109"/>
      <c r="BB74" s="549"/>
      <c r="BC74" s="550"/>
      <c r="BD74" s="104"/>
      <c r="BE74" s="103"/>
      <c r="BF74" s="19"/>
      <c r="BG74" s="19"/>
      <c r="BH74" s="20"/>
      <c r="BI74" s="104"/>
      <c r="BJ74" s="9"/>
    </row>
    <row r="75" spans="1:62">
      <c r="A75" s="516">
        <f>IF('Student DATA Entry'!A71="","",'Student DATA Entry'!A71)</f>
        <v>68</v>
      </c>
      <c r="B75" s="528" t="str">
        <f>IF('Student DATA Entry'!B71="","",'Student DATA Entry'!B71)</f>
        <v/>
      </c>
      <c r="C75" s="126" t="str">
        <f>IF('Student DATA Entry'!D71="","",'Student DATA Entry'!D71)</f>
        <v/>
      </c>
      <c r="D75" s="530" t="str">
        <f>IF('Student DATA Entry'!E71="","",'Student DATA Entry'!E71)</f>
        <v/>
      </c>
      <c r="E75" s="532" t="str">
        <f>IF('Student DATA Entry'!I71="","",'Student DATA Entry'!I71)</f>
        <v/>
      </c>
      <c r="F75" s="127" t="str">
        <f>IF('Student DATA Entry'!F71="","",UPPER('Student DATA Entry'!F71))</f>
        <v/>
      </c>
      <c r="G75" s="127" t="str">
        <f>IF('Student DATA Entry'!G71="","",UPPER('Student DATA Entry'!G71))</f>
        <v/>
      </c>
      <c r="H75" s="127" t="str">
        <f>IF('Student DATA Entry'!H71="","",UPPER('Student DATA Entry'!H71))</f>
        <v/>
      </c>
      <c r="I75" s="526" t="str">
        <f>IF('Student DATA Entry'!K71="","",UPPER('Student DATA Entry'!K71))</f>
        <v/>
      </c>
      <c r="J75" s="560" t="str">
        <f>IF('Student DATA Entry'!J71="","",UPPER('Student DATA Entry'!J71))</f>
        <v/>
      </c>
      <c r="K75" s="103"/>
      <c r="L75" s="19"/>
      <c r="M75" s="19"/>
      <c r="N75" s="52"/>
      <c r="O75" s="104"/>
      <c r="P75" s="103"/>
      <c r="Q75" s="19"/>
      <c r="R75" s="19"/>
      <c r="S75" s="52"/>
      <c r="T75" s="104"/>
      <c r="U75" s="103"/>
      <c r="V75" s="19"/>
      <c r="W75" s="19"/>
      <c r="X75" s="19"/>
      <c r="Y75" s="52"/>
      <c r="Z75" s="52"/>
      <c r="AA75" s="57"/>
      <c r="AB75" s="564"/>
      <c r="AC75" s="103"/>
      <c r="AD75" s="19"/>
      <c r="AE75" s="19"/>
      <c r="AF75" s="19"/>
      <c r="AG75" s="52"/>
      <c r="AH75" s="52"/>
      <c r="AI75" s="57"/>
      <c r="AJ75" s="564"/>
      <c r="AK75" s="103"/>
      <c r="AL75" s="19"/>
      <c r="AM75" s="19"/>
      <c r="AN75" s="19"/>
      <c r="AO75" s="52"/>
      <c r="AP75" s="52"/>
      <c r="AQ75" s="57"/>
      <c r="AR75" s="564"/>
      <c r="AS75" s="18"/>
      <c r="AT75" s="19"/>
      <c r="AU75" s="19"/>
      <c r="AV75" s="19"/>
      <c r="AW75" s="52"/>
      <c r="AX75" s="52"/>
      <c r="AY75" s="57"/>
      <c r="AZ75" s="109"/>
      <c r="BA75" s="109"/>
      <c r="BB75" s="549"/>
      <c r="BC75" s="550"/>
      <c r="BD75" s="104"/>
      <c r="BE75" s="103"/>
      <c r="BF75" s="19"/>
      <c r="BG75" s="19"/>
      <c r="BH75" s="20"/>
      <c r="BI75" s="104"/>
      <c r="BJ75" s="9"/>
    </row>
    <row r="76" spans="1:62">
      <c r="A76" s="516">
        <f>IF('Student DATA Entry'!A72="","",'Student DATA Entry'!A72)</f>
        <v>69</v>
      </c>
      <c r="B76" s="528" t="str">
        <f>IF('Student DATA Entry'!B72="","",'Student DATA Entry'!B72)</f>
        <v/>
      </c>
      <c r="C76" s="126" t="str">
        <f>IF('Student DATA Entry'!D72="","",'Student DATA Entry'!D72)</f>
        <v/>
      </c>
      <c r="D76" s="530" t="str">
        <f>IF('Student DATA Entry'!E72="","",'Student DATA Entry'!E72)</f>
        <v/>
      </c>
      <c r="E76" s="532" t="str">
        <f>IF('Student DATA Entry'!I72="","",'Student DATA Entry'!I72)</f>
        <v/>
      </c>
      <c r="F76" s="127" t="str">
        <f>IF('Student DATA Entry'!F72="","",UPPER('Student DATA Entry'!F72))</f>
        <v/>
      </c>
      <c r="G76" s="127" t="str">
        <f>IF('Student DATA Entry'!G72="","",UPPER('Student DATA Entry'!G72))</f>
        <v/>
      </c>
      <c r="H76" s="127" t="str">
        <f>IF('Student DATA Entry'!H72="","",UPPER('Student DATA Entry'!H72))</f>
        <v/>
      </c>
      <c r="I76" s="526" t="str">
        <f>IF('Student DATA Entry'!K72="","",UPPER('Student DATA Entry'!K72))</f>
        <v/>
      </c>
      <c r="J76" s="560" t="str">
        <f>IF('Student DATA Entry'!J72="","",UPPER('Student DATA Entry'!J72))</f>
        <v/>
      </c>
      <c r="K76" s="103"/>
      <c r="L76" s="19"/>
      <c r="M76" s="19"/>
      <c r="N76" s="52"/>
      <c r="O76" s="104"/>
      <c r="P76" s="103"/>
      <c r="Q76" s="19"/>
      <c r="R76" s="19"/>
      <c r="S76" s="52"/>
      <c r="T76" s="104"/>
      <c r="U76" s="103"/>
      <c r="V76" s="19"/>
      <c r="W76" s="19"/>
      <c r="X76" s="19"/>
      <c r="Y76" s="52"/>
      <c r="Z76" s="52"/>
      <c r="AA76" s="57"/>
      <c r="AB76" s="564"/>
      <c r="AC76" s="103"/>
      <c r="AD76" s="19"/>
      <c r="AE76" s="19"/>
      <c r="AF76" s="19"/>
      <c r="AG76" s="52"/>
      <c r="AH76" s="52"/>
      <c r="AI76" s="57"/>
      <c r="AJ76" s="564"/>
      <c r="AK76" s="103"/>
      <c r="AL76" s="19"/>
      <c r="AM76" s="19"/>
      <c r="AN76" s="19"/>
      <c r="AO76" s="52"/>
      <c r="AP76" s="52"/>
      <c r="AQ76" s="57"/>
      <c r="AR76" s="564"/>
      <c r="AS76" s="18"/>
      <c r="AT76" s="19"/>
      <c r="AU76" s="19"/>
      <c r="AV76" s="19"/>
      <c r="AW76" s="52"/>
      <c r="AX76" s="52"/>
      <c r="AY76" s="57"/>
      <c r="AZ76" s="109"/>
      <c r="BA76" s="109"/>
      <c r="BB76" s="549"/>
      <c r="BC76" s="550"/>
      <c r="BD76" s="104"/>
      <c r="BE76" s="103"/>
      <c r="BF76" s="19"/>
      <c r="BG76" s="19"/>
      <c r="BH76" s="20"/>
      <c r="BI76" s="104"/>
      <c r="BJ76" s="9"/>
    </row>
    <row r="77" spans="1:62">
      <c r="A77" s="516">
        <f>IF('Student DATA Entry'!A73="","",'Student DATA Entry'!A73)</f>
        <v>70</v>
      </c>
      <c r="B77" s="528" t="str">
        <f>IF('Student DATA Entry'!B73="","",'Student DATA Entry'!B73)</f>
        <v/>
      </c>
      <c r="C77" s="126" t="str">
        <f>IF('Student DATA Entry'!D73="","",'Student DATA Entry'!D73)</f>
        <v/>
      </c>
      <c r="D77" s="530" t="str">
        <f>IF('Student DATA Entry'!E73="","",'Student DATA Entry'!E73)</f>
        <v/>
      </c>
      <c r="E77" s="532" t="str">
        <f>IF('Student DATA Entry'!I73="","",'Student DATA Entry'!I73)</f>
        <v/>
      </c>
      <c r="F77" s="127" t="str">
        <f>IF('Student DATA Entry'!F73="","",UPPER('Student DATA Entry'!F73))</f>
        <v/>
      </c>
      <c r="G77" s="127" t="str">
        <f>IF('Student DATA Entry'!G73="","",UPPER('Student DATA Entry'!G73))</f>
        <v/>
      </c>
      <c r="H77" s="127" t="str">
        <f>IF('Student DATA Entry'!H73="","",UPPER('Student DATA Entry'!H73))</f>
        <v/>
      </c>
      <c r="I77" s="526" t="str">
        <f>IF('Student DATA Entry'!K73="","",UPPER('Student DATA Entry'!K73))</f>
        <v/>
      </c>
      <c r="J77" s="560" t="str">
        <f>IF('Student DATA Entry'!J73="","",UPPER('Student DATA Entry'!J73))</f>
        <v/>
      </c>
      <c r="K77" s="103"/>
      <c r="L77" s="19"/>
      <c r="M77" s="19"/>
      <c r="N77" s="52"/>
      <c r="O77" s="104"/>
      <c r="P77" s="103"/>
      <c r="Q77" s="19"/>
      <c r="R77" s="19"/>
      <c r="S77" s="52"/>
      <c r="T77" s="104"/>
      <c r="U77" s="103"/>
      <c r="V77" s="19"/>
      <c r="W77" s="19"/>
      <c r="X77" s="19"/>
      <c r="Y77" s="52"/>
      <c r="Z77" s="52"/>
      <c r="AA77" s="57"/>
      <c r="AB77" s="564"/>
      <c r="AC77" s="103"/>
      <c r="AD77" s="19"/>
      <c r="AE77" s="19"/>
      <c r="AF77" s="19"/>
      <c r="AG77" s="52"/>
      <c r="AH77" s="52"/>
      <c r="AI77" s="57"/>
      <c r="AJ77" s="564"/>
      <c r="AK77" s="103"/>
      <c r="AL77" s="19"/>
      <c r="AM77" s="19"/>
      <c r="AN77" s="19"/>
      <c r="AO77" s="52"/>
      <c r="AP77" s="52"/>
      <c r="AQ77" s="57"/>
      <c r="AR77" s="564"/>
      <c r="AS77" s="18"/>
      <c r="AT77" s="19"/>
      <c r="AU77" s="19"/>
      <c r="AV77" s="19"/>
      <c r="AW77" s="52"/>
      <c r="AX77" s="52"/>
      <c r="AY77" s="57"/>
      <c r="AZ77" s="109"/>
      <c r="BA77" s="109"/>
      <c r="BB77" s="549"/>
      <c r="BC77" s="550"/>
      <c r="BD77" s="104"/>
      <c r="BE77" s="103"/>
      <c r="BF77" s="19"/>
      <c r="BG77" s="19"/>
      <c r="BH77" s="20"/>
      <c r="BI77" s="104"/>
      <c r="BJ77" s="9"/>
    </row>
    <row r="78" spans="1:62">
      <c r="A78" s="516">
        <f>IF('Student DATA Entry'!A74="","",'Student DATA Entry'!A74)</f>
        <v>71</v>
      </c>
      <c r="B78" s="528" t="str">
        <f>IF('Student DATA Entry'!B74="","",'Student DATA Entry'!B74)</f>
        <v/>
      </c>
      <c r="C78" s="126" t="str">
        <f>IF('Student DATA Entry'!D74="","",'Student DATA Entry'!D74)</f>
        <v/>
      </c>
      <c r="D78" s="530" t="str">
        <f>IF('Student DATA Entry'!E74="","",'Student DATA Entry'!E74)</f>
        <v/>
      </c>
      <c r="E78" s="532" t="str">
        <f>IF('Student DATA Entry'!I74="","",'Student DATA Entry'!I74)</f>
        <v/>
      </c>
      <c r="F78" s="127" t="str">
        <f>IF('Student DATA Entry'!F74="","",UPPER('Student DATA Entry'!F74))</f>
        <v/>
      </c>
      <c r="G78" s="127" t="str">
        <f>IF('Student DATA Entry'!G74="","",UPPER('Student DATA Entry'!G74))</f>
        <v/>
      </c>
      <c r="H78" s="127" t="str">
        <f>IF('Student DATA Entry'!H74="","",UPPER('Student DATA Entry'!H74))</f>
        <v/>
      </c>
      <c r="I78" s="526" t="str">
        <f>IF('Student DATA Entry'!K74="","",UPPER('Student DATA Entry'!K74))</f>
        <v/>
      </c>
      <c r="J78" s="560" t="str">
        <f>IF('Student DATA Entry'!J74="","",UPPER('Student DATA Entry'!J74))</f>
        <v/>
      </c>
      <c r="K78" s="103"/>
      <c r="L78" s="19"/>
      <c r="M78" s="19"/>
      <c r="N78" s="52"/>
      <c r="O78" s="104"/>
      <c r="P78" s="103"/>
      <c r="Q78" s="19"/>
      <c r="R78" s="19"/>
      <c r="S78" s="52"/>
      <c r="T78" s="104"/>
      <c r="U78" s="103"/>
      <c r="V78" s="19"/>
      <c r="W78" s="19"/>
      <c r="X78" s="19"/>
      <c r="Y78" s="52"/>
      <c r="Z78" s="52"/>
      <c r="AA78" s="57"/>
      <c r="AB78" s="564"/>
      <c r="AC78" s="103"/>
      <c r="AD78" s="19"/>
      <c r="AE78" s="19"/>
      <c r="AF78" s="19"/>
      <c r="AG78" s="52"/>
      <c r="AH78" s="52"/>
      <c r="AI78" s="57"/>
      <c r="AJ78" s="564"/>
      <c r="AK78" s="103"/>
      <c r="AL78" s="19"/>
      <c r="AM78" s="19"/>
      <c r="AN78" s="19"/>
      <c r="AO78" s="52"/>
      <c r="AP78" s="52"/>
      <c r="AQ78" s="57"/>
      <c r="AR78" s="564"/>
      <c r="AS78" s="18"/>
      <c r="AT78" s="19"/>
      <c r="AU78" s="19"/>
      <c r="AV78" s="19"/>
      <c r="AW78" s="52"/>
      <c r="AX78" s="52"/>
      <c r="AY78" s="57"/>
      <c r="AZ78" s="109"/>
      <c r="BA78" s="109"/>
      <c r="BB78" s="549"/>
      <c r="BC78" s="550"/>
      <c r="BD78" s="104"/>
      <c r="BE78" s="103"/>
      <c r="BF78" s="19"/>
      <c r="BG78" s="19"/>
      <c r="BH78" s="20"/>
      <c r="BI78" s="104"/>
      <c r="BJ78" s="9"/>
    </row>
    <row r="79" spans="1:62">
      <c r="A79" s="516">
        <f>IF('Student DATA Entry'!A75="","",'Student DATA Entry'!A75)</f>
        <v>72</v>
      </c>
      <c r="B79" s="528" t="str">
        <f>IF('Student DATA Entry'!B75="","",'Student DATA Entry'!B75)</f>
        <v/>
      </c>
      <c r="C79" s="126" t="str">
        <f>IF('Student DATA Entry'!D75="","",'Student DATA Entry'!D75)</f>
        <v/>
      </c>
      <c r="D79" s="530" t="str">
        <f>IF('Student DATA Entry'!E75="","",'Student DATA Entry'!E75)</f>
        <v/>
      </c>
      <c r="E79" s="532" t="str">
        <f>IF('Student DATA Entry'!I75="","",'Student DATA Entry'!I75)</f>
        <v/>
      </c>
      <c r="F79" s="127" t="str">
        <f>IF('Student DATA Entry'!F75="","",UPPER('Student DATA Entry'!F75))</f>
        <v/>
      </c>
      <c r="G79" s="127" t="str">
        <f>IF('Student DATA Entry'!G75="","",UPPER('Student DATA Entry'!G75))</f>
        <v/>
      </c>
      <c r="H79" s="127" t="str">
        <f>IF('Student DATA Entry'!H75="","",UPPER('Student DATA Entry'!H75))</f>
        <v/>
      </c>
      <c r="I79" s="526" t="str">
        <f>IF('Student DATA Entry'!K75="","",UPPER('Student DATA Entry'!K75))</f>
        <v/>
      </c>
      <c r="J79" s="560" t="str">
        <f>IF('Student DATA Entry'!J75="","",UPPER('Student DATA Entry'!J75))</f>
        <v/>
      </c>
      <c r="K79" s="103"/>
      <c r="L79" s="19"/>
      <c r="M79" s="19"/>
      <c r="N79" s="52"/>
      <c r="O79" s="104"/>
      <c r="P79" s="103"/>
      <c r="Q79" s="19"/>
      <c r="R79" s="19"/>
      <c r="S79" s="52"/>
      <c r="T79" s="104"/>
      <c r="U79" s="103"/>
      <c r="V79" s="19"/>
      <c r="W79" s="19"/>
      <c r="X79" s="19"/>
      <c r="Y79" s="52"/>
      <c r="Z79" s="52"/>
      <c r="AA79" s="57"/>
      <c r="AB79" s="564"/>
      <c r="AC79" s="103"/>
      <c r="AD79" s="19"/>
      <c r="AE79" s="19"/>
      <c r="AF79" s="19"/>
      <c r="AG79" s="52"/>
      <c r="AH79" s="52"/>
      <c r="AI79" s="57"/>
      <c r="AJ79" s="564"/>
      <c r="AK79" s="103"/>
      <c r="AL79" s="19"/>
      <c r="AM79" s="19"/>
      <c r="AN79" s="19"/>
      <c r="AO79" s="52"/>
      <c r="AP79" s="52"/>
      <c r="AQ79" s="57"/>
      <c r="AR79" s="564"/>
      <c r="AS79" s="18"/>
      <c r="AT79" s="19"/>
      <c r="AU79" s="19"/>
      <c r="AV79" s="19"/>
      <c r="AW79" s="52"/>
      <c r="AX79" s="52"/>
      <c r="AY79" s="57"/>
      <c r="AZ79" s="109"/>
      <c r="BA79" s="109"/>
      <c r="BB79" s="549"/>
      <c r="BC79" s="550"/>
      <c r="BD79" s="104"/>
      <c r="BE79" s="103"/>
      <c r="BF79" s="19"/>
      <c r="BG79" s="19"/>
      <c r="BH79" s="20"/>
      <c r="BI79" s="104"/>
      <c r="BJ79" s="9"/>
    </row>
    <row r="80" spans="1:62">
      <c r="A80" s="516">
        <f>IF('Student DATA Entry'!A76="","",'Student DATA Entry'!A76)</f>
        <v>73</v>
      </c>
      <c r="B80" s="528" t="str">
        <f>IF('Student DATA Entry'!B76="","",'Student DATA Entry'!B76)</f>
        <v/>
      </c>
      <c r="C80" s="126" t="str">
        <f>IF('Student DATA Entry'!D76="","",'Student DATA Entry'!D76)</f>
        <v/>
      </c>
      <c r="D80" s="530" t="str">
        <f>IF('Student DATA Entry'!E76="","",'Student DATA Entry'!E76)</f>
        <v/>
      </c>
      <c r="E80" s="532" t="str">
        <f>IF('Student DATA Entry'!I76="","",'Student DATA Entry'!I76)</f>
        <v/>
      </c>
      <c r="F80" s="127" t="str">
        <f>IF('Student DATA Entry'!F76="","",UPPER('Student DATA Entry'!F76))</f>
        <v/>
      </c>
      <c r="G80" s="127" t="str">
        <f>IF('Student DATA Entry'!G76="","",UPPER('Student DATA Entry'!G76))</f>
        <v/>
      </c>
      <c r="H80" s="127" t="str">
        <f>IF('Student DATA Entry'!H76="","",UPPER('Student DATA Entry'!H76))</f>
        <v/>
      </c>
      <c r="I80" s="526" t="str">
        <f>IF('Student DATA Entry'!K76="","",UPPER('Student DATA Entry'!K76))</f>
        <v/>
      </c>
      <c r="J80" s="560" t="str">
        <f>IF('Student DATA Entry'!J76="","",UPPER('Student DATA Entry'!J76))</f>
        <v/>
      </c>
      <c r="K80" s="103"/>
      <c r="L80" s="19"/>
      <c r="M80" s="19"/>
      <c r="N80" s="52"/>
      <c r="O80" s="104"/>
      <c r="P80" s="103"/>
      <c r="Q80" s="19"/>
      <c r="R80" s="19"/>
      <c r="S80" s="52"/>
      <c r="T80" s="104"/>
      <c r="U80" s="103"/>
      <c r="V80" s="19"/>
      <c r="W80" s="19"/>
      <c r="X80" s="19"/>
      <c r="Y80" s="52"/>
      <c r="Z80" s="52"/>
      <c r="AA80" s="57"/>
      <c r="AB80" s="564"/>
      <c r="AC80" s="103"/>
      <c r="AD80" s="19"/>
      <c r="AE80" s="19"/>
      <c r="AF80" s="19"/>
      <c r="AG80" s="52"/>
      <c r="AH80" s="52"/>
      <c r="AI80" s="57"/>
      <c r="AJ80" s="564"/>
      <c r="AK80" s="103"/>
      <c r="AL80" s="19"/>
      <c r="AM80" s="19"/>
      <c r="AN80" s="19"/>
      <c r="AO80" s="52"/>
      <c r="AP80" s="52"/>
      <c r="AQ80" s="57"/>
      <c r="AR80" s="564"/>
      <c r="AS80" s="18"/>
      <c r="AT80" s="19"/>
      <c r="AU80" s="19"/>
      <c r="AV80" s="19"/>
      <c r="AW80" s="52"/>
      <c r="AX80" s="52"/>
      <c r="AY80" s="57"/>
      <c r="AZ80" s="109"/>
      <c r="BA80" s="109"/>
      <c r="BB80" s="549"/>
      <c r="BC80" s="550"/>
      <c r="BD80" s="104"/>
      <c r="BE80" s="103"/>
      <c r="BF80" s="19"/>
      <c r="BG80" s="19"/>
      <c r="BH80" s="20"/>
      <c r="BI80" s="104"/>
      <c r="BJ80" s="9"/>
    </row>
    <row r="81" spans="1:62">
      <c r="A81" s="516">
        <f>IF('Student DATA Entry'!A77="","",'Student DATA Entry'!A77)</f>
        <v>74</v>
      </c>
      <c r="B81" s="528" t="str">
        <f>IF('Student DATA Entry'!B77="","",'Student DATA Entry'!B77)</f>
        <v/>
      </c>
      <c r="C81" s="126" t="str">
        <f>IF('Student DATA Entry'!D77="","",'Student DATA Entry'!D77)</f>
        <v/>
      </c>
      <c r="D81" s="530" t="str">
        <f>IF('Student DATA Entry'!E77="","",'Student DATA Entry'!E77)</f>
        <v/>
      </c>
      <c r="E81" s="532" t="str">
        <f>IF('Student DATA Entry'!I77="","",'Student DATA Entry'!I77)</f>
        <v/>
      </c>
      <c r="F81" s="127" t="str">
        <f>IF('Student DATA Entry'!F77="","",UPPER('Student DATA Entry'!F77))</f>
        <v/>
      </c>
      <c r="G81" s="127" t="str">
        <f>IF('Student DATA Entry'!G77="","",UPPER('Student DATA Entry'!G77))</f>
        <v/>
      </c>
      <c r="H81" s="127" t="str">
        <f>IF('Student DATA Entry'!H77="","",UPPER('Student DATA Entry'!H77))</f>
        <v/>
      </c>
      <c r="I81" s="526" t="str">
        <f>IF('Student DATA Entry'!K77="","",UPPER('Student DATA Entry'!K77))</f>
        <v/>
      </c>
      <c r="J81" s="560" t="str">
        <f>IF('Student DATA Entry'!J77="","",UPPER('Student DATA Entry'!J77))</f>
        <v/>
      </c>
      <c r="K81" s="103"/>
      <c r="L81" s="19"/>
      <c r="M81" s="19"/>
      <c r="N81" s="52"/>
      <c r="O81" s="104"/>
      <c r="P81" s="103"/>
      <c r="Q81" s="19"/>
      <c r="R81" s="19"/>
      <c r="S81" s="52"/>
      <c r="T81" s="104"/>
      <c r="U81" s="103"/>
      <c r="V81" s="19"/>
      <c r="W81" s="19"/>
      <c r="X81" s="19"/>
      <c r="Y81" s="52"/>
      <c r="Z81" s="52"/>
      <c r="AA81" s="57"/>
      <c r="AB81" s="564"/>
      <c r="AC81" s="103"/>
      <c r="AD81" s="19"/>
      <c r="AE81" s="19"/>
      <c r="AF81" s="19"/>
      <c r="AG81" s="52"/>
      <c r="AH81" s="52"/>
      <c r="AI81" s="57"/>
      <c r="AJ81" s="564"/>
      <c r="AK81" s="103"/>
      <c r="AL81" s="19"/>
      <c r="AM81" s="19"/>
      <c r="AN81" s="19"/>
      <c r="AO81" s="52"/>
      <c r="AP81" s="52"/>
      <c r="AQ81" s="57"/>
      <c r="AR81" s="564"/>
      <c r="AS81" s="18"/>
      <c r="AT81" s="19"/>
      <c r="AU81" s="19"/>
      <c r="AV81" s="19"/>
      <c r="AW81" s="52"/>
      <c r="AX81" s="52"/>
      <c r="AY81" s="57"/>
      <c r="AZ81" s="109"/>
      <c r="BA81" s="109"/>
      <c r="BB81" s="549"/>
      <c r="BC81" s="550"/>
      <c r="BD81" s="104"/>
      <c r="BE81" s="103"/>
      <c r="BF81" s="19"/>
      <c r="BG81" s="19"/>
      <c r="BH81" s="20"/>
      <c r="BI81" s="104"/>
      <c r="BJ81" s="9"/>
    </row>
    <row r="82" spans="1:62">
      <c r="A82" s="516">
        <f>IF('Student DATA Entry'!A78="","",'Student DATA Entry'!A78)</f>
        <v>75</v>
      </c>
      <c r="B82" s="528" t="str">
        <f>IF('Student DATA Entry'!B78="","",'Student DATA Entry'!B78)</f>
        <v/>
      </c>
      <c r="C82" s="126" t="str">
        <f>IF('Student DATA Entry'!D78="","",'Student DATA Entry'!D78)</f>
        <v/>
      </c>
      <c r="D82" s="530" t="str">
        <f>IF('Student DATA Entry'!E78="","",'Student DATA Entry'!E78)</f>
        <v/>
      </c>
      <c r="E82" s="532" t="str">
        <f>IF('Student DATA Entry'!I78="","",'Student DATA Entry'!I78)</f>
        <v/>
      </c>
      <c r="F82" s="127" t="str">
        <f>IF('Student DATA Entry'!F78="","",UPPER('Student DATA Entry'!F78))</f>
        <v/>
      </c>
      <c r="G82" s="127" t="str">
        <f>IF('Student DATA Entry'!G78="","",UPPER('Student DATA Entry'!G78))</f>
        <v/>
      </c>
      <c r="H82" s="127" t="str">
        <f>IF('Student DATA Entry'!H78="","",UPPER('Student DATA Entry'!H78))</f>
        <v/>
      </c>
      <c r="I82" s="526" t="str">
        <f>IF('Student DATA Entry'!K78="","",UPPER('Student DATA Entry'!K78))</f>
        <v/>
      </c>
      <c r="J82" s="560" t="str">
        <f>IF('Student DATA Entry'!J78="","",UPPER('Student DATA Entry'!J78))</f>
        <v/>
      </c>
      <c r="K82" s="103"/>
      <c r="L82" s="19"/>
      <c r="M82" s="19"/>
      <c r="N82" s="52"/>
      <c r="O82" s="104"/>
      <c r="P82" s="103"/>
      <c r="Q82" s="19"/>
      <c r="R82" s="19"/>
      <c r="S82" s="52"/>
      <c r="T82" s="104"/>
      <c r="U82" s="103"/>
      <c r="V82" s="19"/>
      <c r="W82" s="19"/>
      <c r="X82" s="19"/>
      <c r="Y82" s="52"/>
      <c r="Z82" s="52"/>
      <c r="AA82" s="57"/>
      <c r="AB82" s="564"/>
      <c r="AC82" s="103"/>
      <c r="AD82" s="19"/>
      <c r="AE82" s="19"/>
      <c r="AF82" s="19"/>
      <c r="AG82" s="52"/>
      <c r="AH82" s="52"/>
      <c r="AI82" s="57"/>
      <c r="AJ82" s="564"/>
      <c r="AK82" s="103"/>
      <c r="AL82" s="19"/>
      <c r="AM82" s="19"/>
      <c r="AN82" s="19"/>
      <c r="AO82" s="52"/>
      <c r="AP82" s="52"/>
      <c r="AQ82" s="57"/>
      <c r="AR82" s="564"/>
      <c r="AS82" s="18"/>
      <c r="AT82" s="19"/>
      <c r="AU82" s="19"/>
      <c r="AV82" s="19"/>
      <c r="AW82" s="52"/>
      <c r="AX82" s="52"/>
      <c r="AY82" s="57"/>
      <c r="AZ82" s="109"/>
      <c r="BA82" s="109"/>
      <c r="BB82" s="549"/>
      <c r="BC82" s="550"/>
      <c r="BD82" s="104"/>
      <c r="BE82" s="103"/>
      <c r="BF82" s="19"/>
      <c r="BG82" s="19"/>
      <c r="BH82" s="20"/>
      <c r="BI82" s="104"/>
      <c r="BJ82" s="9"/>
    </row>
    <row r="83" spans="1:62">
      <c r="A83" s="516">
        <f>IF('Student DATA Entry'!A79="","",'Student DATA Entry'!A79)</f>
        <v>76</v>
      </c>
      <c r="B83" s="528" t="str">
        <f>IF('Student DATA Entry'!B79="","",'Student DATA Entry'!B79)</f>
        <v/>
      </c>
      <c r="C83" s="126" t="str">
        <f>IF('Student DATA Entry'!D79="","",'Student DATA Entry'!D79)</f>
        <v/>
      </c>
      <c r="D83" s="530" t="str">
        <f>IF('Student DATA Entry'!E79="","",'Student DATA Entry'!E79)</f>
        <v/>
      </c>
      <c r="E83" s="532" t="str">
        <f>IF('Student DATA Entry'!I79="","",'Student DATA Entry'!I79)</f>
        <v/>
      </c>
      <c r="F83" s="127" t="str">
        <f>IF('Student DATA Entry'!F79="","",UPPER('Student DATA Entry'!F79))</f>
        <v/>
      </c>
      <c r="G83" s="127" t="str">
        <f>IF('Student DATA Entry'!G79="","",UPPER('Student DATA Entry'!G79))</f>
        <v/>
      </c>
      <c r="H83" s="127" t="str">
        <f>IF('Student DATA Entry'!H79="","",UPPER('Student DATA Entry'!H79))</f>
        <v/>
      </c>
      <c r="I83" s="526" t="str">
        <f>IF('Student DATA Entry'!K79="","",UPPER('Student DATA Entry'!K79))</f>
        <v/>
      </c>
      <c r="J83" s="560" t="str">
        <f>IF('Student DATA Entry'!J79="","",UPPER('Student DATA Entry'!J79))</f>
        <v/>
      </c>
      <c r="K83" s="103"/>
      <c r="L83" s="19"/>
      <c r="M83" s="19"/>
      <c r="N83" s="52"/>
      <c r="O83" s="104"/>
      <c r="P83" s="103"/>
      <c r="Q83" s="19"/>
      <c r="R83" s="19"/>
      <c r="S83" s="52"/>
      <c r="T83" s="104"/>
      <c r="U83" s="103"/>
      <c r="V83" s="19"/>
      <c r="W83" s="19"/>
      <c r="X83" s="19"/>
      <c r="Y83" s="52"/>
      <c r="Z83" s="52"/>
      <c r="AA83" s="57"/>
      <c r="AB83" s="564"/>
      <c r="AC83" s="103"/>
      <c r="AD83" s="19"/>
      <c r="AE83" s="19"/>
      <c r="AF83" s="19"/>
      <c r="AG83" s="52"/>
      <c r="AH83" s="52"/>
      <c r="AI83" s="57"/>
      <c r="AJ83" s="564"/>
      <c r="AK83" s="103"/>
      <c r="AL83" s="19"/>
      <c r="AM83" s="19"/>
      <c r="AN83" s="19"/>
      <c r="AO83" s="52"/>
      <c r="AP83" s="52"/>
      <c r="AQ83" s="57"/>
      <c r="AR83" s="564"/>
      <c r="AS83" s="18"/>
      <c r="AT83" s="19"/>
      <c r="AU83" s="19"/>
      <c r="AV83" s="19"/>
      <c r="AW83" s="52"/>
      <c r="AX83" s="52"/>
      <c r="AY83" s="57"/>
      <c r="AZ83" s="109"/>
      <c r="BA83" s="109"/>
      <c r="BB83" s="549"/>
      <c r="BC83" s="550"/>
      <c r="BD83" s="104"/>
      <c r="BE83" s="103"/>
      <c r="BF83" s="19"/>
      <c r="BG83" s="19"/>
      <c r="BH83" s="20"/>
      <c r="BI83" s="104"/>
      <c r="BJ83" s="9"/>
    </row>
    <row r="84" spans="1:62">
      <c r="A84" s="516">
        <f>IF('Student DATA Entry'!A80="","",'Student DATA Entry'!A80)</f>
        <v>77</v>
      </c>
      <c r="B84" s="528" t="str">
        <f>IF('Student DATA Entry'!B80="","",'Student DATA Entry'!B80)</f>
        <v/>
      </c>
      <c r="C84" s="126" t="str">
        <f>IF('Student DATA Entry'!D80="","",'Student DATA Entry'!D80)</f>
        <v/>
      </c>
      <c r="D84" s="530" t="str">
        <f>IF('Student DATA Entry'!E80="","",'Student DATA Entry'!E80)</f>
        <v/>
      </c>
      <c r="E84" s="532" t="str">
        <f>IF('Student DATA Entry'!I80="","",'Student DATA Entry'!I80)</f>
        <v/>
      </c>
      <c r="F84" s="127" t="str">
        <f>IF('Student DATA Entry'!F80="","",UPPER('Student DATA Entry'!F80))</f>
        <v/>
      </c>
      <c r="G84" s="127" t="str">
        <f>IF('Student DATA Entry'!G80="","",UPPER('Student DATA Entry'!G80))</f>
        <v/>
      </c>
      <c r="H84" s="127" t="str">
        <f>IF('Student DATA Entry'!H80="","",UPPER('Student DATA Entry'!H80))</f>
        <v/>
      </c>
      <c r="I84" s="526" t="str">
        <f>IF('Student DATA Entry'!K80="","",UPPER('Student DATA Entry'!K80))</f>
        <v/>
      </c>
      <c r="J84" s="560" t="str">
        <f>IF('Student DATA Entry'!J80="","",UPPER('Student DATA Entry'!J80))</f>
        <v/>
      </c>
      <c r="K84" s="103"/>
      <c r="L84" s="19"/>
      <c r="M84" s="19"/>
      <c r="N84" s="52"/>
      <c r="O84" s="104"/>
      <c r="P84" s="103"/>
      <c r="Q84" s="19"/>
      <c r="R84" s="19"/>
      <c r="S84" s="52"/>
      <c r="T84" s="104"/>
      <c r="U84" s="103"/>
      <c r="V84" s="19"/>
      <c r="W84" s="19"/>
      <c r="X84" s="19"/>
      <c r="Y84" s="52"/>
      <c r="Z84" s="52"/>
      <c r="AA84" s="57"/>
      <c r="AB84" s="564"/>
      <c r="AC84" s="103"/>
      <c r="AD84" s="19"/>
      <c r="AE84" s="19"/>
      <c r="AF84" s="19"/>
      <c r="AG84" s="52"/>
      <c r="AH84" s="52"/>
      <c r="AI84" s="57"/>
      <c r="AJ84" s="564"/>
      <c r="AK84" s="103"/>
      <c r="AL84" s="19"/>
      <c r="AM84" s="19"/>
      <c r="AN84" s="19"/>
      <c r="AO84" s="52"/>
      <c r="AP84" s="52"/>
      <c r="AQ84" s="57"/>
      <c r="AR84" s="564"/>
      <c r="AS84" s="18"/>
      <c r="AT84" s="19"/>
      <c r="AU84" s="19"/>
      <c r="AV84" s="19"/>
      <c r="AW84" s="52"/>
      <c r="AX84" s="52"/>
      <c r="AY84" s="57"/>
      <c r="AZ84" s="109"/>
      <c r="BA84" s="109"/>
      <c r="BB84" s="549"/>
      <c r="BC84" s="550"/>
      <c r="BD84" s="104"/>
      <c r="BE84" s="103"/>
      <c r="BF84" s="19"/>
      <c r="BG84" s="19"/>
      <c r="BH84" s="20"/>
      <c r="BI84" s="104"/>
      <c r="BJ84" s="9"/>
    </row>
    <row r="85" spans="1:62">
      <c r="A85" s="516">
        <f>IF('Student DATA Entry'!A81="","",'Student DATA Entry'!A81)</f>
        <v>78</v>
      </c>
      <c r="B85" s="528" t="str">
        <f>IF('Student DATA Entry'!B81="","",'Student DATA Entry'!B81)</f>
        <v/>
      </c>
      <c r="C85" s="126" t="str">
        <f>IF('Student DATA Entry'!D81="","",'Student DATA Entry'!D81)</f>
        <v/>
      </c>
      <c r="D85" s="530" t="str">
        <f>IF('Student DATA Entry'!E81="","",'Student DATA Entry'!E81)</f>
        <v/>
      </c>
      <c r="E85" s="532" t="str">
        <f>IF('Student DATA Entry'!I81="","",'Student DATA Entry'!I81)</f>
        <v/>
      </c>
      <c r="F85" s="127" t="str">
        <f>IF('Student DATA Entry'!F81="","",UPPER('Student DATA Entry'!F81))</f>
        <v/>
      </c>
      <c r="G85" s="127" t="str">
        <f>IF('Student DATA Entry'!G81="","",UPPER('Student DATA Entry'!G81))</f>
        <v/>
      </c>
      <c r="H85" s="127" t="str">
        <f>IF('Student DATA Entry'!H81="","",UPPER('Student DATA Entry'!H81))</f>
        <v/>
      </c>
      <c r="I85" s="526" t="str">
        <f>IF('Student DATA Entry'!K81="","",UPPER('Student DATA Entry'!K81))</f>
        <v/>
      </c>
      <c r="J85" s="560" t="str">
        <f>IF('Student DATA Entry'!J81="","",UPPER('Student DATA Entry'!J81))</f>
        <v/>
      </c>
      <c r="K85" s="103"/>
      <c r="L85" s="19"/>
      <c r="M85" s="19"/>
      <c r="N85" s="52"/>
      <c r="O85" s="104"/>
      <c r="P85" s="103"/>
      <c r="Q85" s="19"/>
      <c r="R85" s="19"/>
      <c r="S85" s="52"/>
      <c r="T85" s="104"/>
      <c r="U85" s="103"/>
      <c r="V85" s="19"/>
      <c r="W85" s="19"/>
      <c r="X85" s="19"/>
      <c r="Y85" s="52"/>
      <c r="Z85" s="52"/>
      <c r="AA85" s="57"/>
      <c r="AB85" s="564"/>
      <c r="AC85" s="103"/>
      <c r="AD85" s="19"/>
      <c r="AE85" s="19"/>
      <c r="AF85" s="19"/>
      <c r="AG85" s="52"/>
      <c r="AH85" s="52"/>
      <c r="AI85" s="57"/>
      <c r="AJ85" s="564"/>
      <c r="AK85" s="103"/>
      <c r="AL85" s="19"/>
      <c r="AM85" s="19"/>
      <c r="AN85" s="19"/>
      <c r="AO85" s="52"/>
      <c r="AP85" s="52"/>
      <c r="AQ85" s="57"/>
      <c r="AR85" s="564"/>
      <c r="AS85" s="18"/>
      <c r="AT85" s="19"/>
      <c r="AU85" s="19"/>
      <c r="AV85" s="19"/>
      <c r="AW85" s="52"/>
      <c r="AX85" s="52"/>
      <c r="AY85" s="57"/>
      <c r="AZ85" s="109"/>
      <c r="BA85" s="109"/>
      <c r="BB85" s="549"/>
      <c r="BC85" s="550"/>
      <c r="BD85" s="104"/>
      <c r="BE85" s="103"/>
      <c r="BF85" s="19"/>
      <c r="BG85" s="19"/>
      <c r="BH85" s="20"/>
      <c r="BI85" s="104"/>
      <c r="BJ85" s="9"/>
    </row>
    <row r="86" spans="1:62">
      <c r="A86" s="516">
        <f>IF('Student DATA Entry'!A82="","",'Student DATA Entry'!A82)</f>
        <v>79</v>
      </c>
      <c r="B86" s="528" t="str">
        <f>IF('Student DATA Entry'!B82="","",'Student DATA Entry'!B82)</f>
        <v/>
      </c>
      <c r="C86" s="126" t="str">
        <f>IF('Student DATA Entry'!D82="","",'Student DATA Entry'!D82)</f>
        <v/>
      </c>
      <c r="D86" s="530" t="str">
        <f>IF('Student DATA Entry'!E82="","",'Student DATA Entry'!E82)</f>
        <v/>
      </c>
      <c r="E86" s="532" t="str">
        <f>IF('Student DATA Entry'!I82="","",'Student DATA Entry'!I82)</f>
        <v/>
      </c>
      <c r="F86" s="127" t="str">
        <f>IF('Student DATA Entry'!F82="","",UPPER('Student DATA Entry'!F82))</f>
        <v/>
      </c>
      <c r="G86" s="127" t="str">
        <f>IF('Student DATA Entry'!G82="","",UPPER('Student DATA Entry'!G82))</f>
        <v/>
      </c>
      <c r="H86" s="127" t="str">
        <f>IF('Student DATA Entry'!H82="","",UPPER('Student DATA Entry'!H82))</f>
        <v/>
      </c>
      <c r="I86" s="526" t="str">
        <f>IF('Student DATA Entry'!K82="","",UPPER('Student DATA Entry'!K82))</f>
        <v/>
      </c>
      <c r="J86" s="560" t="str">
        <f>IF('Student DATA Entry'!J82="","",UPPER('Student DATA Entry'!J82))</f>
        <v/>
      </c>
      <c r="K86" s="103"/>
      <c r="L86" s="19"/>
      <c r="M86" s="19"/>
      <c r="N86" s="52"/>
      <c r="O86" s="104"/>
      <c r="P86" s="103"/>
      <c r="Q86" s="19"/>
      <c r="R86" s="19"/>
      <c r="S86" s="52"/>
      <c r="T86" s="104"/>
      <c r="U86" s="103"/>
      <c r="V86" s="19"/>
      <c r="W86" s="19"/>
      <c r="X86" s="19"/>
      <c r="Y86" s="52"/>
      <c r="Z86" s="52"/>
      <c r="AA86" s="57"/>
      <c r="AB86" s="564"/>
      <c r="AC86" s="103"/>
      <c r="AD86" s="19"/>
      <c r="AE86" s="19"/>
      <c r="AF86" s="19"/>
      <c r="AG86" s="52"/>
      <c r="AH86" s="52"/>
      <c r="AI86" s="57"/>
      <c r="AJ86" s="564"/>
      <c r="AK86" s="103"/>
      <c r="AL86" s="19"/>
      <c r="AM86" s="19"/>
      <c r="AN86" s="19"/>
      <c r="AO86" s="52"/>
      <c r="AP86" s="52"/>
      <c r="AQ86" s="57"/>
      <c r="AR86" s="564"/>
      <c r="AS86" s="18"/>
      <c r="AT86" s="19"/>
      <c r="AU86" s="19"/>
      <c r="AV86" s="19"/>
      <c r="AW86" s="52"/>
      <c r="AX86" s="52"/>
      <c r="AY86" s="57"/>
      <c r="AZ86" s="109"/>
      <c r="BA86" s="109"/>
      <c r="BB86" s="549"/>
      <c r="BC86" s="550"/>
      <c r="BD86" s="104"/>
      <c r="BE86" s="103"/>
      <c r="BF86" s="19"/>
      <c r="BG86" s="19"/>
      <c r="BH86" s="20"/>
      <c r="BI86" s="104"/>
      <c r="BJ86" s="9"/>
    </row>
    <row r="87" spans="1:62">
      <c r="A87" s="516">
        <f>IF('Student DATA Entry'!A83="","",'Student DATA Entry'!A83)</f>
        <v>80</v>
      </c>
      <c r="B87" s="528" t="str">
        <f>IF('Student DATA Entry'!B83="","",'Student DATA Entry'!B83)</f>
        <v/>
      </c>
      <c r="C87" s="126" t="str">
        <f>IF('Student DATA Entry'!D83="","",'Student DATA Entry'!D83)</f>
        <v/>
      </c>
      <c r="D87" s="530" t="str">
        <f>IF('Student DATA Entry'!E83="","",'Student DATA Entry'!E83)</f>
        <v/>
      </c>
      <c r="E87" s="532" t="str">
        <f>IF('Student DATA Entry'!I83="","",'Student DATA Entry'!I83)</f>
        <v/>
      </c>
      <c r="F87" s="127" t="str">
        <f>IF('Student DATA Entry'!F83="","",UPPER('Student DATA Entry'!F83))</f>
        <v/>
      </c>
      <c r="G87" s="127" t="str">
        <f>IF('Student DATA Entry'!G83="","",UPPER('Student DATA Entry'!G83))</f>
        <v/>
      </c>
      <c r="H87" s="127" t="str">
        <f>IF('Student DATA Entry'!H83="","",UPPER('Student DATA Entry'!H83))</f>
        <v/>
      </c>
      <c r="I87" s="526" t="str">
        <f>IF('Student DATA Entry'!K83="","",UPPER('Student DATA Entry'!K83))</f>
        <v/>
      </c>
      <c r="J87" s="560" t="str">
        <f>IF('Student DATA Entry'!J83="","",UPPER('Student DATA Entry'!J83))</f>
        <v/>
      </c>
      <c r="K87" s="103"/>
      <c r="L87" s="19"/>
      <c r="M87" s="19"/>
      <c r="N87" s="52"/>
      <c r="O87" s="104"/>
      <c r="P87" s="103"/>
      <c r="Q87" s="19"/>
      <c r="R87" s="19"/>
      <c r="S87" s="52"/>
      <c r="T87" s="104"/>
      <c r="U87" s="103"/>
      <c r="V87" s="19"/>
      <c r="W87" s="19"/>
      <c r="X87" s="19"/>
      <c r="Y87" s="52"/>
      <c r="Z87" s="52"/>
      <c r="AA87" s="57"/>
      <c r="AB87" s="564"/>
      <c r="AC87" s="103"/>
      <c r="AD87" s="19"/>
      <c r="AE87" s="19"/>
      <c r="AF87" s="19"/>
      <c r="AG87" s="52"/>
      <c r="AH87" s="52"/>
      <c r="AI87" s="57"/>
      <c r="AJ87" s="564"/>
      <c r="AK87" s="103"/>
      <c r="AL87" s="19"/>
      <c r="AM87" s="19"/>
      <c r="AN87" s="19"/>
      <c r="AO87" s="52"/>
      <c r="AP87" s="52"/>
      <c r="AQ87" s="57"/>
      <c r="AR87" s="564"/>
      <c r="AS87" s="18"/>
      <c r="AT87" s="19"/>
      <c r="AU87" s="19"/>
      <c r="AV87" s="19"/>
      <c r="AW87" s="52"/>
      <c r="AX87" s="52"/>
      <c r="AY87" s="57"/>
      <c r="AZ87" s="109"/>
      <c r="BA87" s="109"/>
      <c r="BB87" s="549"/>
      <c r="BC87" s="550"/>
      <c r="BD87" s="104"/>
      <c r="BE87" s="103"/>
      <c r="BF87" s="19"/>
      <c r="BG87" s="19"/>
      <c r="BH87" s="20"/>
      <c r="BI87" s="104"/>
      <c r="BJ87" s="9"/>
    </row>
    <row r="88" spans="1:62">
      <c r="A88" s="516">
        <f>IF('Student DATA Entry'!A84="","",'Student DATA Entry'!A84)</f>
        <v>81</v>
      </c>
      <c r="B88" s="528" t="str">
        <f>IF('Student DATA Entry'!B84="","",'Student DATA Entry'!B84)</f>
        <v/>
      </c>
      <c r="C88" s="126" t="str">
        <f>IF('Student DATA Entry'!D84="","",'Student DATA Entry'!D84)</f>
        <v/>
      </c>
      <c r="D88" s="530" t="str">
        <f>IF('Student DATA Entry'!E84="","",'Student DATA Entry'!E84)</f>
        <v/>
      </c>
      <c r="E88" s="532" t="str">
        <f>IF('Student DATA Entry'!I84="","",'Student DATA Entry'!I84)</f>
        <v/>
      </c>
      <c r="F88" s="127" t="str">
        <f>IF('Student DATA Entry'!F84="","",UPPER('Student DATA Entry'!F84))</f>
        <v/>
      </c>
      <c r="G88" s="127" t="str">
        <f>IF('Student DATA Entry'!G84="","",UPPER('Student DATA Entry'!G84))</f>
        <v/>
      </c>
      <c r="H88" s="127" t="str">
        <f>IF('Student DATA Entry'!H84="","",UPPER('Student DATA Entry'!H84))</f>
        <v/>
      </c>
      <c r="I88" s="526" t="str">
        <f>IF('Student DATA Entry'!K84="","",UPPER('Student DATA Entry'!K84))</f>
        <v/>
      </c>
      <c r="J88" s="560" t="str">
        <f>IF('Student DATA Entry'!J84="","",UPPER('Student DATA Entry'!J84))</f>
        <v/>
      </c>
      <c r="K88" s="103"/>
      <c r="L88" s="19"/>
      <c r="M88" s="19"/>
      <c r="N88" s="52"/>
      <c r="O88" s="104"/>
      <c r="P88" s="103"/>
      <c r="Q88" s="19"/>
      <c r="R88" s="19"/>
      <c r="S88" s="52"/>
      <c r="T88" s="104"/>
      <c r="U88" s="103"/>
      <c r="V88" s="19"/>
      <c r="W88" s="19"/>
      <c r="X88" s="19"/>
      <c r="Y88" s="52"/>
      <c r="Z88" s="52"/>
      <c r="AA88" s="57"/>
      <c r="AB88" s="564"/>
      <c r="AC88" s="103"/>
      <c r="AD88" s="19"/>
      <c r="AE88" s="19"/>
      <c r="AF88" s="19"/>
      <c r="AG88" s="52"/>
      <c r="AH88" s="52"/>
      <c r="AI88" s="57"/>
      <c r="AJ88" s="564"/>
      <c r="AK88" s="103"/>
      <c r="AL88" s="19"/>
      <c r="AM88" s="19"/>
      <c r="AN88" s="19"/>
      <c r="AO88" s="52"/>
      <c r="AP88" s="52"/>
      <c r="AQ88" s="57"/>
      <c r="AR88" s="564"/>
      <c r="AS88" s="18"/>
      <c r="AT88" s="19"/>
      <c r="AU88" s="19"/>
      <c r="AV88" s="19"/>
      <c r="AW88" s="52"/>
      <c r="AX88" s="52"/>
      <c r="AY88" s="57"/>
      <c r="AZ88" s="109"/>
      <c r="BA88" s="109"/>
      <c r="BB88" s="549"/>
      <c r="BC88" s="550"/>
      <c r="BD88" s="104"/>
      <c r="BE88" s="103"/>
      <c r="BF88" s="19"/>
      <c r="BG88" s="19"/>
      <c r="BH88" s="20"/>
      <c r="BI88" s="104"/>
      <c r="BJ88" s="9"/>
    </row>
    <row r="89" spans="1:62">
      <c r="A89" s="516">
        <f>IF('Student DATA Entry'!A85="","",'Student DATA Entry'!A85)</f>
        <v>82</v>
      </c>
      <c r="B89" s="528" t="str">
        <f>IF('Student DATA Entry'!B85="","",'Student DATA Entry'!B85)</f>
        <v/>
      </c>
      <c r="C89" s="126" t="str">
        <f>IF('Student DATA Entry'!D85="","",'Student DATA Entry'!D85)</f>
        <v/>
      </c>
      <c r="D89" s="530" t="str">
        <f>IF('Student DATA Entry'!E85="","",'Student DATA Entry'!E85)</f>
        <v/>
      </c>
      <c r="E89" s="532" t="str">
        <f>IF('Student DATA Entry'!I85="","",'Student DATA Entry'!I85)</f>
        <v/>
      </c>
      <c r="F89" s="127" t="str">
        <f>IF('Student DATA Entry'!F85="","",UPPER('Student DATA Entry'!F85))</f>
        <v/>
      </c>
      <c r="G89" s="127" t="str">
        <f>IF('Student DATA Entry'!G85="","",UPPER('Student DATA Entry'!G85))</f>
        <v/>
      </c>
      <c r="H89" s="127" t="str">
        <f>IF('Student DATA Entry'!H85="","",UPPER('Student DATA Entry'!H85))</f>
        <v/>
      </c>
      <c r="I89" s="526" t="str">
        <f>IF('Student DATA Entry'!K85="","",UPPER('Student DATA Entry'!K85))</f>
        <v/>
      </c>
      <c r="J89" s="560" t="str">
        <f>IF('Student DATA Entry'!J85="","",UPPER('Student DATA Entry'!J85))</f>
        <v/>
      </c>
      <c r="K89" s="103"/>
      <c r="L89" s="19"/>
      <c r="M89" s="19"/>
      <c r="N89" s="52"/>
      <c r="O89" s="104"/>
      <c r="P89" s="103"/>
      <c r="Q89" s="19"/>
      <c r="R89" s="19"/>
      <c r="S89" s="52"/>
      <c r="T89" s="104"/>
      <c r="U89" s="103"/>
      <c r="V89" s="19"/>
      <c r="W89" s="19"/>
      <c r="X89" s="19"/>
      <c r="Y89" s="52"/>
      <c r="Z89" s="52"/>
      <c r="AA89" s="57"/>
      <c r="AB89" s="564"/>
      <c r="AC89" s="103"/>
      <c r="AD89" s="19"/>
      <c r="AE89" s="19"/>
      <c r="AF89" s="19"/>
      <c r="AG89" s="52"/>
      <c r="AH89" s="52"/>
      <c r="AI89" s="57"/>
      <c r="AJ89" s="564"/>
      <c r="AK89" s="103"/>
      <c r="AL89" s="19"/>
      <c r="AM89" s="19"/>
      <c r="AN89" s="19"/>
      <c r="AO89" s="52"/>
      <c r="AP89" s="52"/>
      <c r="AQ89" s="57"/>
      <c r="AR89" s="564"/>
      <c r="AS89" s="18"/>
      <c r="AT89" s="19"/>
      <c r="AU89" s="19"/>
      <c r="AV89" s="19"/>
      <c r="AW89" s="52"/>
      <c r="AX89" s="52"/>
      <c r="AY89" s="57"/>
      <c r="AZ89" s="109"/>
      <c r="BA89" s="109"/>
      <c r="BB89" s="549"/>
      <c r="BC89" s="550"/>
      <c r="BD89" s="104"/>
      <c r="BE89" s="103"/>
      <c r="BF89" s="19"/>
      <c r="BG89" s="19"/>
      <c r="BH89" s="20"/>
      <c r="BI89" s="104"/>
      <c r="BJ89" s="9"/>
    </row>
    <row r="90" spans="1:62">
      <c r="A90" s="516">
        <f>IF('Student DATA Entry'!A86="","",'Student DATA Entry'!A86)</f>
        <v>83</v>
      </c>
      <c r="B90" s="528" t="str">
        <f>IF('Student DATA Entry'!B86="","",'Student DATA Entry'!B86)</f>
        <v/>
      </c>
      <c r="C90" s="126" t="str">
        <f>IF('Student DATA Entry'!D86="","",'Student DATA Entry'!D86)</f>
        <v/>
      </c>
      <c r="D90" s="530" t="str">
        <f>IF('Student DATA Entry'!E86="","",'Student DATA Entry'!E86)</f>
        <v/>
      </c>
      <c r="E90" s="532" t="str">
        <f>IF('Student DATA Entry'!I86="","",'Student DATA Entry'!I86)</f>
        <v/>
      </c>
      <c r="F90" s="127" t="str">
        <f>IF('Student DATA Entry'!F86="","",UPPER('Student DATA Entry'!F86))</f>
        <v/>
      </c>
      <c r="G90" s="127" t="str">
        <f>IF('Student DATA Entry'!G86="","",UPPER('Student DATA Entry'!G86))</f>
        <v/>
      </c>
      <c r="H90" s="127" t="str">
        <f>IF('Student DATA Entry'!H86="","",UPPER('Student DATA Entry'!H86))</f>
        <v/>
      </c>
      <c r="I90" s="526" t="str">
        <f>IF('Student DATA Entry'!K86="","",UPPER('Student DATA Entry'!K86))</f>
        <v/>
      </c>
      <c r="J90" s="560" t="str">
        <f>IF('Student DATA Entry'!J86="","",UPPER('Student DATA Entry'!J86))</f>
        <v/>
      </c>
      <c r="K90" s="103"/>
      <c r="L90" s="19"/>
      <c r="M90" s="19"/>
      <c r="N90" s="52"/>
      <c r="O90" s="104"/>
      <c r="P90" s="103"/>
      <c r="Q90" s="19"/>
      <c r="R90" s="19"/>
      <c r="S90" s="52"/>
      <c r="T90" s="104"/>
      <c r="U90" s="103"/>
      <c r="V90" s="19"/>
      <c r="W90" s="19"/>
      <c r="X90" s="19"/>
      <c r="Y90" s="52"/>
      <c r="Z90" s="52"/>
      <c r="AA90" s="57"/>
      <c r="AB90" s="564"/>
      <c r="AC90" s="103"/>
      <c r="AD90" s="19"/>
      <c r="AE90" s="19"/>
      <c r="AF90" s="19"/>
      <c r="AG90" s="52"/>
      <c r="AH90" s="52"/>
      <c r="AI90" s="57"/>
      <c r="AJ90" s="564"/>
      <c r="AK90" s="103"/>
      <c r="AL90" s="19"/>
      <c r="AM90" s="19"/>
      <c r="AN90" s="19"/>
      <c r="AO90" s="52"/>
      <c r="AP90" s="52"/>
      <c r="AQ90" s="57"/>
      <c r="AR90" s="564"/>
      <c r="AS90" s="18"/>
      <c r="AT90" s="19"/>
      <c r="AU90" s="19"/>
      <c r="AV90" s="19"/>
      <c r="AW90" s="52"/>
      <c r="AX90" s="52"/>
      <c r="AY90" s="57"/>
      <c r="AZ90" s="109"/>
      <c r="BA90" s="109"/>
      <c r="BB90" s="549"/>
      <c r="BC90" s="550"/>
      <c r="BD90" s="104"/>
      <c r="BE90" s="103"/>
      <c r="BF90" s="19"/>
      <c r="BG90" s="19"/>
      <c r="BH90" s="20"/>
      <c r="BI90" s="104"/>
      <c r="BJ90" s="9"/>
    </row>
    <row r="91" spans="1:62">
      <c r="A91" s="516">
        <f>IF('Student DATA Entry'!A87="","",'Student DATA Entry'!A87)</f>
        <v>84</v>
      </c>
      <c r="B91" s="528" t="str">
        <f>IF('Student DATA Entry'!B87="","",'Student DATA Entry'!B87)</f>
        <v/>
      </c>
      <c r="C91" s="126" t="str">
        <f>IF('Student DATA Entry'!D87="","",'Student DATA Entry'!D87)</f>
        <v/>
      </c>
      <c r="D91" s="530" t="str">
        <f>IF('Student DATA Entry'!E87="","",'Student DATA Entry'!E87)</f>
        <v/>
      </c>
      <c r="E91" s="532" t="str">
        <f>IF('Student DATA Entry'!I87="","",'Student DATA Entry'!I87)</f>
        <v/>
      </c>
      <c r="F91" s="127" t="str">
        <f>IF('Student DATA Entry'!F87="","",UPPER('Student DATA Entry'!F87))</f>
        <v/>
      </c>
      <c r="G91" s="127" t="str">
        <f>IF('Student DATA Entry'!G87="","",UPPER('Student DATA Entry'!G87))</f>
        <v/>
      </c>
      <c r="H91" s="127" t="str">
        <f>IF('Student DATA Entry'!H87="","",UPPER('Student DATA Entry'!H87))</f>
        <v/>
      </c>
      <c r="I91" s="526" t="str">
        <f>IF('Student DATA Entry'!K87="","",UPPER('Student DATA Entry'!K87))</f>
        <v/>
      </c>
      <c r="J91" s="560" t="str">
        <f>IF('Student DATA Entry'!J87="","",UPPER('Student DATA Entry'!J87))</f>
        <v/>
      </c>
      <c r="K91" s="103"/>
      <c r="L91" s="19"/>
      <c r="M91" s="19"/>
      <c r="N91" s="52"/>
      <c r="O91" s="104"/>
      <c r="P91" s="103"/>
      <c r="Q91" s="19"/>
      <c r="R91" s="19"/>
      <c r="S91" s="52"/>
      <c r="T91" s="104"/>
      <c r="U91" s="103"/>
      <c r="V91" s="19"/>
      <c r="W91" s="19"/>
      <c r="X91" s="19"/>
      <c r="Y91" s="52"/>
      <c r="Z91" s="52"/>
      <c r="AA91" s="57"/>
      <c r="AB91" s="564"/>
      <c r="AC91" s="103"/>
      <c r="AD91" s="19"/>
      <c r="AE91" s="19"/>
      <c r="AF91" s="19"/>
      <c r="AG91" s="52"/>
      <c r="AH91" s="52"/>
      <c r="AI91" s="57"/>
      <c r="AJ91" s="564"/>
      <c r="AK91" s="103"/>
      <c r="AL91" s="19"/>
      <c r="AM91" s="19"/>
      <c r="AN91" s="19"/>
      <c r="AO91" s="52"/>
      <c r="AP91" s="52"/>
      <c r="AQ91" s="57"/>
      <c r="AR91" s="564"/>
      <c r="AS91" s="18"/>
      <c r="AT91" s="19"/>
      <c r="AU91" s="19"/>
      <c r="AV91" s="19"/>
      <c r="AW91" s="52"/>
      <c r="AX91" s="52"/>
      <c r="AY91" s="57"/>
      <c r="AZ91" s="109"/>
      <c r="BA91" s="109"/>
      <c r="BB91" s="549"/>
      <c r="BC91" s="550"/>
      <c r="BD91" s="104"/>
      <c r="BE91" s="103"/>
      <c r="BF91" s="19"/>
      <c r="BG91" s="19"/>
      <c r="BH91" s="20"/>
      <c r="BI91" s="104"/>
      <c r="BJ91" s="9"/>
    </row>
    <row r="92" spans="1:62">
      <c r="A92" s="516">
        <f>IF('Student DATA Entry'!A88="","",'Student DATA Entry'!A88)</f>
        <v>85</v>
      </c>
      <c r="B92" s="528" t="str">
        <f>IF('Student DATA Entry'!B88="","",'Student DATA Entry'!B88)</f>
        <v/>
      </c>
      <c r="C92" s="126" t="str">
        <f>IF('Student DATA Entry'!D88="","",'Student DATA Entry'!D88)</f>
        <v/>
      </c>
      <c r="D92" s="530" t="str">
        <f>IF('Student DATA Entry'!E88="","",'Student DATA Entry'!E88)</f>
        <v/>
      </c>
      <c r="E92" s="532" t="str">
        <f>IF('Student DATA Entry'!I88="","",'Student DATA Entry'!I88)</f>
        <v/>
      </c>
      <c r="F92" s="127" t="str">
        <f>IF('Student DATA Entry'!F88="","",UPPER('Student DATA Entry'!F88))</f>
        <v/>
      </c>
      <c r="G92" s="127" t="str">
        <f>IF('Student DATA Entry'!G88="","",UPPER('Student DATA Entry'!G88))</f>
        <v/>
      </c>
      <c r="H92" s="127" t="str">
        <f>IF('Student DATA Entry'!H88="","",UPPER('Student DATA Entry'!H88))</f>
        <v/>
      </c>
      <c r="I92" s="526" t="str">
        <f>IF('Student DATA Entry'!K88="","",UPPER('Student DATA Entry'!K88))</f>
        <v/>
      </c>
      <c r="J92" s="560" t="str">
        <f>IF('Student DATA Entry'!J88="","",UPPER('Student DATA Entry'!J88))</f>
        <v/>
      </c>
      <c r="K92" s="103"/>
      <c r="L92" s="19"/>
      <c r="M92" s="19"/>
      <c r="N92" s="52"/>
      <c r="O92" s="104"/>
      <c r="P92" s="103"/>
      <c r="Q92" s="19"/>
      <c r="R92" s="19"/>
      <c r="S92" s="52"/>
      <c r="T92" s="104"/>
      <c r="U92" s="103"/>
      <c r="V92" s="19"/>
      <c r="W92" s="19"/>
      <c r="X92" s="19"/>
      <c r="Y92" s="52"/>
      <c r="Z92" s="52"/>
      <c r="AA92" s="57"/>
      <c r="AB92" s="564"/>
      <c r="AC92" s="103"/>
      <c r="AD92" s="19"/>
      <c r="AE92" s="19"/>
      <c r="AF92" s="19"/>
      <c r="AG92" s="52"/>
      <c r="AH92" s="52"/>
      <c r="AI92" s="57"/>
      <c r="AJ92" s="564"/>
      <c r="AK92" s="103"/>
      <c r="AL92" s="19"/>
      <c r="AM92" s="19"/>
      <c r="AN92" s="19"/>
      <c r="AO92" s="52"/>
      <c r="AP92" s="52"/>
      <c r="AQ92" s="57"/>
      <c r="AR92" s="564"/>
      <c r="AS92" s="18"/>
      <c r="AT92" s="19"/>
      <c r="AU92" s="19"/>
      <c r="AV92" s="19"/>
      <c r="AW92" s="52"/>
      <c r="AX92" s="52"/>
      <c r="AY92" s="57"/>
      <c r="AZ92" s="109"/>
      <c r="BA92" s="109"/>
      <c r="BB92" s="549"/>
      <c r="BC92" s="550"/>
      <c r="BD92" s="104"/>
      <c r="BE92" s="103"/>
      <c r="BF92" s="19"/>
      <c r="BG92" s="19"/>
      <c r="BH92" s="20"/>
      <c r="BI92" s="104"/>
      <c r="BJ92" s="9"/>
    </row>
    <row r="93" spans="1:62">
      <c r="A93" s="516">
        <f>IF('Student DATA Entry'!A89="","",'Student DATA Entry'!A89)</f>
        <v>86</v>
      </c>
      <c r="B93" s="528" t="str">
        <f>IF('Student DATA Entry'!B89="","",'Student DATA Entry'!B89)</f>
        <v/>
      </c>
      <c r="C93" s="126" t="str">
        <f>IF('Student DATA Entry'!D89="","",'Student DATA Entry'!D89)</f>
        <v/>
      </c>
      <c r="D93" s="530" t="str">
        <f>IF('Student DATA Entry'!E89="","",'Student DATA Entry'!E89)</f>
        <v/>
      </c>
      <c r="E93" s="532" t="str">
        <f>IF('Student DATA Entry'!I89="","",'Student DATA Entry'!I89)</f>
        <v/>
      </c>
      <c r="F93" s="127" t="str">
        <f>IF('Student DATA Entry'!F89="","",UPPER('Student DATA Entry'!F89))</f>
        <v/>
      </c>
      <c r="G93" s="127" t="str">
        <f>IF('Student DATA Entry'!G89="","",UPPER('Student DATA Entry'!G89))</f>
        <v/>
      </c>
      <c r="H93" s="127" t="str">
        <f>IF('Student DATA Entry'!H89="","",UPPER('Student DATA Entry'!H89))</f>
        <v/>
      </c>
      <c r="I93" s="526" t="str">
        <f>IF('Student DATA Entry'!K89="","",UPPER('Student DATA Entry'!K89))</f>
        <v/>
      </c>
      <c r="J93" s="560" t="str">
        <f>IF('Student DATA Entry'!J89="","",UPPER('Student DATA Entry'!J89))</f>
        <v/>
      </c>
      <c r="K93" s="103"/>
      <c r="L93" s="19"/>
      <c r="M93" s="19"/>
      <c r="N93" s="52"/>
      <c r="O93" s="104"/>
      <c r="P93" s="103"/>
      <c r="Q93" s="19"/>
      <c r="R93" s="19"/>
      <c r="S93" s="52"/>
      <c r="T93" s="104"/>
      <c r="U93" s="103"/>
      <c r="V93" s="19"/>
      <c r="W93" s="19"/>
      <c r="X93" s="19"/>
      <c r="Y93" s="52"/>
      <c r="Z93" s="52"/>
      <c r="AA93" s="57"/>
      <c r="AB93" s="564"/>
      <c r="AC93" s="103"/>
      <c r="AD93" s="19"/>
      <c r="AE93" s="19"/>
      <c r="AF93" s="19"/>
      <c r="AG93" s="52"/>
      <c r="AH93" s="52"/>
      <c r="AI93" s="57"/>
      <c r="AJ93" s="564"/>
      <c r="AK93" s="103"/>
      <c r="AL93" s="19"/>
      <c r="AM93" s="19"/>
      <c r="AN93" s="19"/>
      <c r="AO93" s="52"/>
      <c r="AP93" s="52"/>
      <c r="AQ93" s="57"/>
      <c r="AR93" s="564"/>
      <c r="AS93" s="18"/>
      <c r="AT93" s="19"/>
      <c r="AU93" s="19"/>
      <c r="AV93" s="19"/>
      <c r="AW93" s="52"/>
      <c r="AX93" s="52"/>
      <c r="AY93" s="57"/>
      <c r="AZ93" s="109"/>
      <c r="BA93" s="109"/>
      <c r="BB93" s="549"/>
      <c r="BC93" s="550"/>
      <c r="BD93" s="104"/>
      <c r="BE93" s="103"/>
      <c r="BF93" s="19"/>
      <c r="BG93" s="19"/>
      <c r="BH93" s="20"/>
      <c r="BI93" s="104"/>
      <c r="BJ93" s="9"/>
    </row>
    <row r="94" spans="1:62">
      <c r="A94" s="516">
        <f>IF('Student DATA Entry'!A90="","",'Student DATA Entry'!A90)</f>
        <v>87</v>
      </c>
      <c r="B94" s="528" t="str">
        <f>IF('Student DATA Entry'!B90="","",'Student DATA Entry'!B90)</f>
        <v/>
      </c>
      <c r="C94" s="126" t="str">
        <f>IF('Student DATA Entry'!D90="","",'Student DATA Entry'!D90)</f>
        <v/>
      </c>
      <c r="D94" s="530" t="str">
        <f>IF('Student DATA Entry'!E90="","",'Student DATA Entry'!E90)</f>
        <v/>
      </c>
      <c r="E94" s="532" t="str">
        <f>IF('Student DATA Entry'!I90="","",'Student DATA Entry'!I90)</f>
        <v/>
      </c>
      <c r="F94" s="127" t="str">
        <f>IF('Student DATA Entry'!F90="","",UPPER('Student DATA Entry'!F90))</f>
        <v/>
      </c>
      <c r="G94" s="127" t="str">
        <f>IF('Student DATA Entry'!G90="","",UPPER('Student DATA Entry'!G90))</f>
        <v/>
      </c>
      <c r="H94" s="127" t="str">
        <f>IF('Student DATA Entry'!H90="","",UPPER('Student DATA Entry'!H90))</f>
        <v/>
      </c>
      <c r="I94" s="526" t="str">
        <f>IF('Student DATA Entry'!K90="","",UPPER('Student DATA Entry'!K90))</f>
        <v/>
      </c>
      <c r="J94" s="560" t="str">
        <f>IF('Student DATA Entry'!J90="","",UPPER('Student DATA Entry'!J90))</f>
        <v/>
      </c>
      <c r="K94" s="103"/>
      <c r="L94" s="19"/>
      <c r="M94" s="19"/>
      <c r="N94" s="52"/>
      <c r="O94" s="104"/>
      <c r="P94" s="103"/>
      <c r="Q94" s="19"/>
      <c r="R94" s="19"/>
      <c r="S94" s="52"/>
      <c r="T94" s="104"/>
      <c r="U94" s="103"/>
      <c r="V94" s="19"/>
      <c r="W94" s="19"/>
      <c r="X94" s="19"/>
      <c r="Y94" s="52"/>
      <c r="Z94" s="52"/>
      <c r="AA94" s="57"/>
      <c r="AB94" s="564"/>
      <c r="AC94" s="103"/>
      <c r="AD94" s="19"/>
      <c r="AE94" s="19"/>
      <c r="AF94" s="19"/>
      <c r="AG94" s="52"/>
      <c r="AH94" s="52"/>
      <c r="AI94" s="57"/>
      <c r="AJ94" s="564"/>
      <c r="AK94" s="103"/>
      <c r="AL94" s="19"/>
      <c r="AM94" s="19"/>
      <c r="AN94" s="19"/>
      <c r="AO94" s="52"/>
      <c r="AP94" s="52"/>
      <c r="AQ94" s="57"/>
      <c r="AR94" s="564"/>
      <c r="AS94" s="18"/>
      <c r="AT94" s="19"/>
      <c r="AU94" s="19"/>
      <c r="AV94" s="19"/>
      <c r="AW94" s="52"/>
      <c r="AX94" s="52"/>
      <c r="AY94" s="57"/>
      <c r="AZ94" s="109"/>
      <c r="BA94" s="109"/>
      <c r="BB94" s="549"/>
      <c r="BC94" s="550"/>
      <c r="BD94" s="104"/>
      <c r="BE94" s="103"/>
      <c r="BF94" s="19"/>
      <c r="BG94" s="19"/>
      <c r="BH94" s="20"/>
      <c r="BI94" s="104"/>
      <c r="BJ94" s="9"/>
    </row>
    <row r="95" spans="1:62">
      <c r="A95" s="516">
        <f>IF('Student DATA Entry'!A91="","",'Student DATA Entry'!A91)</f>
        <v>88</v>
      </c>
      <c r="B95" s="528" t="str">
        <f>IF('Student DATA Entry'!B91="","",'Student DATA Entry'!B91)</f>
        <v/>
      </c>
      <c r="C95" s="126" t="str">
        <f>IF('Student DATA Entry'!D91="","",'Student DATA Entry'!D91)</f>
        <v/>
      </c>
      <c r="D95" s="530" t="str">
        <f>IF('Student DATA Entry'!E91="","",'Student DATA Entry'!E91)</f>
        <v/>
      </c>
      <c r="E95" s="532" t="str">
        <f>IF('Student DATA Entry'!I91="","",'Student DATA Entry'!I91)</f>
        <v/>
      </c>
      <c r="F95" s="127" t="str">
        <f>IF('Student DATA Entry'!F91="","",UPPER('Student DATA Entry'!F91))</f>
        <v/>
      </c>
      <c r="G95" s="127" t="str">
        <f>IF('Student DATA Entry'!G91="","",UPPER('Student DATA Entry'!G91))</f>
        <v/>
      </c>
      <c r="H95" s="127" t="str">
        <f>IF('Student DATA Entry'!H91="","",UPPER('Student DATA Entry'!H91))</f>
        <v/>
      </c>
      <c r="I95" s="526" t="str">
        <f>IF('Student DATA Entry'!K91="","",UPPER('Student DATA Entry'!K91))</f>
        <v/>
      </c>
      <c r="J95" s="560" t="str">
        <f>IF('Student DATA Entry'!J91="","",UPPER('Student DATA Entry'!J91))</f>
        <v/>
      </c>
      <c r="K95" s="103"/>
      <c r="L95" s="19"/>
      <c r="M95" s="19"/>
      <c r="N95" s="52"/>
      <c r="O95" s="104"/>
      <c r="P95" s="103"/>
      <c r="Q95" s="19"/>
      <c r="R95" s="19"/>
      <c r="S95" s="52"/>
      <c r="T95" s="104"/>
      <c r="U95" s="103"/>
      <c r="V95" s="19"/>
      <c r="W95" s="19"/>
      <c r="X95" s="19"/>
      <c r="Y95" s="52"/>
      <c r="Z95" s="52"/>
      <c r="AA95" s="57"/>
      <c r="AB95" s="564"/>
      <c r="AC95" s="103"/>
      <c r="AD95" s="19"/>
      <c r="AE95" s="19"/>
      <c r="AF95" s="19"/>
      <c r="AG95" s="52"/>
      <c r="AH95" s="52"/>
      <c r="AI95" s="57"/>
      <c r="AJ95" s="564"/>
      <c r="AK95" s="103"/>
      <c r="AL95" s="19"/>
      <c r="AM95" s="19"/>
      <c r="AN95" s="19"/>
      <c r="AO95" s="52"/>
      <c r="AP95" s="52"/>
      <c r="AQ95" s="57"/>
      <c r="AR95" s="564"/>
      <c r="AS95" s="18"/>
      <c r="AT95" s="19"/>
      <c r="AU95" s="19"/>
      <c r="AV95" s="19"/>
      <c r="AW95" s="52"/>
      <c r="AX95" s="52"/>
      <c r="AY95" s="57"/>
      <c r="AZ95" s="109"/>
      <c r="BA95" s="109"/>
      <c r="BB95" s="549"/>
      <c r="BC95" s="550"/>
      <c r="BD95" s="104"/>
      <c r="BE95" s="103"/>
      <c r="BF95" s="19"/>
      <c r="BG95" s="19"/>
      <c r="BH95" s="20"/>
      <c r="BI95" s="104"/>
      <c r="BJ95" s="9"/>
    </row>
    <row r="96" spans="1:62">
      <c r="A96" s="516">
        <f>IF('Student DATA Entry'!A92="","",'Student DATA Entry'!A92)</f>
        <v>89</v>
      </c>
      <c r="B96" s="528" t="str">
        <f>IF('Student DATA Entry'!B92="","",'Student DATA Entry'!B92)</f>
        <v/>
      </c>
      <c r="C96" s="126" t="str">
        <f>IF('Student DATA Entry'!D92="","",'Student DATA Entry'!D92)</f>
        <v/>
      </c>
      <c r="D96" s="530" t="str">
        <f>IF('Student DATA Entry'!E92="","",'Student DATA Entry'!E92)</f>
        <v/>
      </c>
      <c r="E96" s="532" t="str">
        <f>IF('Student DATA Entry'!I92="","",'Student DATA Entry'!I92)</f>
        <v/>
      </c>
      <c r="F96" s="127" t="str">
        <f>IF('Student DATA Entry'!F92="","",UPPER('Student DATA Entry'!F92))</f>
        <v/>
      </c>
      <c r="G96" s="127" t="str">
        <f>IF('Student DATA Entry'!G92="","",UPPER('Student DATA Entry'!G92))</f>
        <v/>
      </c>
      <c r="H96" s="127" t="str">
        <f>IF('Student DATA Entry'!H92="","",UPPER('Student DATA Entry'!H92))</f>
        <v/>
      </c>
      <c r="I96" s="526" t="str">
        <f>IF('Student DATA Entry'!K92="","",UPPER('Student DATA Entry'!K92))</f>
        <v/>
      </c>
      <c r="J96" s="560" t="str">
        <f>IF('Student DATA Entry'!J92="","",UPPER('Student DATA Entry'!J92))</f>
        <v/>
      </c>
      <c r="K96" s="103"/>
      <c r="L96" s="19"/>
      <c r="M96" s="19"/>
      <c r="N96" s="52"/>
      <c r="O96" s="104"/>
      <c r="P96" s="103"/>
      <c r="Q96" s="19"/>
      <c r="R96" s="19"/>
      <c r="S96" s="52"/>
      <c r="T96" s="104"/>
      <c r="U96" s="103"/>
      <c r="V96" s="19"/>
      <c r="W96" s="19"/>
      <c r="X96" s="19"/>
      <c r="Y96" s="52"/>
      <c r="Z96" s="52"/>
      <c r="AA96" s="57"/>
      <c r="AB96" s="564"/>
      <c r="AC96" s="103"/>
      <c r="AD96" s="19"/>
      <c r="AE96" s="19"/>
      <c r="AF96" s="19"/>
      <c r="AG96" s="52"/>
      <c r="AH96" s="52"/>
      <c r="AI96" s="57"/>
      <c r="AJ96" s="564"/>
      <c r="AK96" s="103"/>
      <c r="AL96" s="19"/>
      <c r="AM96" s="19"/>
      <c r="AN96" s="19"/>
      <c r="AO96" s="52"/>
      <c r="AP96" s="52"/>
      <c r="AQ96" s="57"/>
      <c r="AR96" s="564"/>
      <c r="AS96" s="18"/>
      <c r="AT96" s="19"/>
      <c r="AU96" s="19"/>
      <c r="AV96" s="19"/>
      <c r="AW96" s="52"/>
      <c r="AX96" s="52"/>
      <c r="AY96" s="57"/>
      <c r="AZ96" s="109"/>
      <c r="BA96" s="109"/>
      <c r="BB96" s="549"/>
      <c r="BC96" s="550"/>
      <c r="BD96" s="104"/>
      <c r="BE96" s="103"/>
      <c r="BF96" s="19"/>
      <c r="BG96" s="19"/>
      <c r="BH96" s="20"/>
      <c r="BI96" s="104"/>
      <c r="BJ96" s="9"/>
    </row>
    <row r="97" spans="1:62">
      <c r="A97" s="516">
        <f>IF('Student DATA Entry'!A93="","",'Student DATA Entry'!A93)</f>
        <v>90</v>
      </c>
      <c r="B97" s="528" t="str">
        <f>IF('Student DATA Entry'!B93="","",'Student DATA Entry'!B93)</f>
        <v/>
      </c>
      <c r="C97" s="126" t="str">
        <f>IF('Student DATA Entry'!D93="","",'Student DATA Entry'!D93)</f>
        <v/>
      </c>
      <c r="D97" s="530" t="str">
        <f>IF('Student DATA Entry'!E93="","",'Student DATA Entry'!E93)</f>
        <v/>
      </c>
      <c r="E97" s="532" t="str">
        <f>IF('Student DATA Entry'!I93="","",'Student DATA Entry'!I93)</f>
        <v/>
      </c>
      <c r="F97" s="127" t="str">
        <f>IF('Student DATA Entry'!F93="","",UPPER('Student DATA Entry'!F93))</f>
        <v/>
      </c>
      <c r="G97" s="127" t="str">
        <f>IF('Student DATA Entry'!G93="","",UPPER('Student DATA Entry'!G93))</f>
        <v/>
      </c>
      <c r="H97" s="127" t="str">
        <f>IF('Student DATA Entry'!H93="","",UPPER('Student DATA Entry'!H93))</f>
        <v/>
      </c>
      <c r="I97" s="526" t="str">
        <f>IF('Student DATA Entry'!K93="","",UPPER('Student DATA Entry'!K93))</f>
        <v/>
      </c>
      <c r="J97" s="560" t="str">
        <f>IF('Student DATA Entry'!J93="","",UPPER('Student DATA Entry'!J93))</f>
        <v/>
      </c>
      <c r="K97" s="103"/>
      <c r="L97" s="19"/>
      <c r="M97" s="19"/>
      <c r="N97" s="52"/>
      <c r="O97" s="104"/>
      <c r="P97" s="103"/>
      <c r="Q97" s="19"/>
      <c r="R97" s="19"/>
      <c r="S97" s="52"/>
      <c r="T97" s="104"/>
      <c r="U97" s="103"/>
      <c r="V97" s="19"/>
      <c r="W97" s="19"/>
      <c r="X97" s="19"/>
      <c r="Y97" s="52"/>
      <c r="Z97" s="52"/>
      <c r="AA97" s="57"/>
      <c r="AB97" s="564"/>
      <c r="AC97" s="103"/>
      <c r="AD97" s="19"/>
      <c r="AE97" s="19"/>
      <c r="AF97" s="19"/>
      <c r="AG97" s="52"/>
      <c r="AH97" s="52"/>
      <c r="AI97" s="57"/>
      <c r="AJ97" s="564"/>
      <c r="AK97" s="103"/>
      <c r="AL97" s="19"/>
      <c r="AM97" s="19"/>
      <c r="AN97" s="19"/>
      <c r="AO97" s="52"/>
      <c r="AP97" s="52"/>
      <c r="AQ97" s="57"/>
      <c r="AR97" s="564"/>
      <c r="AS97" s="18"/>
      <c r="AT97" s="19"/>
      <c r="AU97" s="19"/>
      <c r="AV97" s="19"/>
      <c r="AW97" s="52"/>
      <c r="AX97" s="52"/>
      <c r="AY97" s="57"/>
      <c r="AZ97" s="109"/>
      <c r="BA97" s="109"/>
      <c r="BB97" s="549"/>
      <c r="BC97" s="550"/>
      <c r="BD97" s="104"/>
      <c r="BE97" s="103"/>
      <c r="BF97" s="19"/>
      <c r="BG97" s="19"/>
      <c r="BH97" s="20"/>
      <c r="BI97" s="104"/>
      <c r="BJ97" s="9"/>
    </row>
    <row r="98" spans="1:62">
      <c r="A98" s="516">
        <f>IF('Student DATA Entry'!A94="","",'Student DATA Entry'!A94)</f>
        <v>91</v>
      </c>
      <c r="B98" s="528" t="str">
        <f>IF('Student DATA Entry'!B94="","",'Student DATA Entry'!B94)</f>
        <v/>
      </c>
      <c r="C98" s="126" t="str">
        <f>IF('Student DATA Entry'!D94="","",'Student DATA Entry'!D94)</f>
        <v/>
      </c>
      <c r="D98" s="530" t="str">
        <f>IF('Student DATA Entry'!E94="","",'Student DATA Entry'!E94)</f>
        <v/>
      </c>
      <c r="E98" s="532" t="str">
        <f>IF('Student DATA Entry'!I94="","",'Student DATA Entry'!I94)</f>
        <v/>
      </c>
      <c r="F98" s="127" t="str">
        <f>IF('Student DATA Entry'!F94="","",UPPER('Student DATA Entry'!F94))</f>
        <v/>
      </c>
      <c r="G98" s="127" t="str">
        <f>IF('Student DATA Entry'!G94="","",UPPER('Student DATA Entry'!G94))</f>
        <v/>
      </c>
      <c r="H98" s="127" t="str">
        <f>IF('Student DATA Entry'!H94="","",UPPER('Student DATA Entry'!H94))</f>
        <v/>
      </c>
      <c r="I98" s="526" t="str">
        <f>IF('Student DATA Entry'!K94="","",UPPER('Student DATA Entry'!K94))</f>
        <v/>
      </c>
      <c r="J98" s="560" t="str">
        <f>IF('Student DATA Entry'!J94="","",UPPER('Student DATA Entry'!J94))</f>
        <v/>
      </c>
      <c r="K98" s="103"/>
      <c r="L98" s="19"/>
      <c r="M98" s="19"/>
      <c r="N98" s="52"/>
      <c r="O98" s="104"/>
      <c r="P98" s="103"/>
      <c r="Q98" s="19"/>
      <c r="R98" s="19"/>
      <c r="S98" s="52"/>
      <c r="T98" s="104"/>
      <c r="U98" s="103"/>
      <c r="V98" s="19"/>
      <c r="W98" s="19"/>
      <c r="X98" s="19"/>
      <c r="Y98" s="52"/>
      <c r="Z98" s="52"/>
      <c r="AA98" s="57"/>
      <c r="AB98" s="564"/>
      <c r="AC98" s="103"/>
      <c r="AD98" s="19"/>
      <c r="AE98" s="19"/>
      <c r="AF98" s="19"/>
      <c r="AG98" s="52"/>
      <c r="AH98" s="52"/>
      <c r="AI98" s="57"/>
      <c r="AJ98" s="564"/>
      <c r="AK98" s="103"/>
      <c r="AL98" s="19"/>
      <c r="AM98" s="19"/>
      <c r="AN98" s="19"/>
      <c r="AO98" s="52"/>
      <c r="AP98" s="52"/>
      <c r="AQ98" s="57"/>
      <c r="AR98" s="564"/>
      <c r="AS98" s="18"/>
      <c r="AT98" s="19"/>
      <c r="AU98" s="19"/>
      <c r="AV98" s="19"/>
      <c r="AW98" s="52"/>
      <c r="AX98" s="52"/>
      <c r="AY98" s="57"/>
      <c r="AZ98" s="109"/>
      <c r="BA98" s="109"/>
      <c r="BB98" s="549"/>
      <c r="BC98" s="550"/>
      <c r="BD98" s="104"/>
      <c r="BE98" s="103"/>
      <c r="BF98" s="19"/>
      <c r="BG98" s="19"/>
      <c r="BH98" s="20"/>
      <c r="BI98" s="104"/>
      <c r="BJ98" s="9"/>
    </row>
    <row r="99" spans="1:62">
      <c r="A99" s="516">
        <f>IF('Student DATA Entry'!A95="","",'Student DATA Entry'!A95)</f>
        <v>92</v>
      </c>
      <c r="B99" s="528" t="str">
        <f>IF('Student DATA Entry'!B95="","",'Student DATA Entry'!B95)</f>
        <v/>
      </c>
      <c r="C99" s="126" t="str">
        <f>IF('Student DATA Entry'!D95="","",'Student DATA Entry'!D95)</f>
        <v/>
      </c>
      <c r="D99" s="530" t="str">
        <f>IF('Student DATA Entry'!E95="","",'Student DATA Entry'!E95)</f>
        <v/>
      </c>
      <c r="E99" s="532" t="str">
        <f>IF('Student DATA Entry'!I95="","",'Student DATA Entry'!I95)</f>
        <v/>
      </c>
      <c r="F99" s="127" t="str">
        <f>IF('Student DATA Entry'!F95="","",UPPER('Student DATA Entry'!F95))</f>
        <v/>
      </c>
      <c r="G99" s="127" t="str">
        <f>IF('Student DATA Entry'!G95="","",UPPER('Student DATA Entry'!G95))</f>
        <v/>
      </c>
      <c r="H99" s="127" t="str">
        <f>IF('Student DATA Entry'!H95="","",UPPER('Student DATA Entry'!H95))</f>
        <v/>
      </c>
      <c r="I99" s="526" t="str">
        <f>IF('Student DATA Entry'!K95="","",UPPER('Student DATA Entry'!K95))</f>
        <v/>
      </c>
      <c r="J99" s="560" t="str">
        <f>IF('Student DATA Entry'!J95="","",UPPER('Student DATA Entry'!J95))</f>
        <v/>
      </c>
      <c r="K99" s="103"/>
      <c r="L99" s="19"/>
      <c r="M99" s="19"/>
      <c r="N99" s="52"/>
      <c r="O99" s="104"/>
      <c r="P99" s="103"/>
      <c r="Q99" s="19"/>
      <c r="R99" s="19"/>
      <c r="S99" s="52"/>
      <c r="T99" s="104"/>
      <c r="U99" s="103"/>
      <c r="V99" s="19"/>
      <c r="W99" s="19"/>
      <c r="X99" s="19"/>
      <c r="Y99" s="52"/>
      <c r="Z99" s="52"/>
      <c r="AA99" s="57"/>
      <c r="AB99" s="564"/>
      <c r="AC99" s="103"/>
      <c r="AD99" s="19"/>
      <c r="AE99" s="19"/>
      <c r="AF99" s="19"/>
      <c r="AG99" s="52"/>
      <c r="AH99" s="52"/>
      <c r="AI99" s="57"/>
      <c r="AJ99" s="564"/>
      <c r="AK99" s="103"/>
      <c r="AL99" s="19"/>
      <c r="AM99" s="19"/>
      <c r="AN99" s="19"/>
      <c r="AO99" s="52"/>
      <c r="AP99" s="52"/>
      <c r="AQ99" s="57"/>
      <c r="AR99" s="564"/>
      <c r="AS99" s="18"/>
      <c r="AT99" s="19"/>
      <c r="AU99" s="19"/>
      <c r="AV99" s="19"/>
      <c r="AW99" s="52"/>
      <c r="AX99" s="52"/>
      <c r="AY99" s="57"/>
      <c r="AZ99" s="109"/>
      <c r="BA99" s="109"/>
      <c r="BB99" s="549"/>
      <c r="BC99" s="550"/>
      <c r="BD99" s="104"/>
      <c r="BE99" s="103"/>
      <c r="BF99" s="19"/>
      <c r="BG99" s="19"/>
      <c r="BH99" s="20"/>
      <c r="BI99" s="104"/>
      <c r="BJ99" s="9"/>
    </row>
    <row r="100" spans="1:62">
      <c r="A100" s="516">
        <f>IF('Student DATA Entry'!A96="","",'Student DATA Entry'!A96)</f>
        <v>93</v>
      </c>
      <c r="B100" s="528" t="str">
        <f>IF('Student DATA Entry'!B96="","",'Student DATA Entry'!B96)</f>
        <v/>
      </c>
      <c r="C100" s="126" t="str">
        <f>IF('Student DATA Entry'!D96="","",'Student DATA Entry'!D96)</f>
        <v/>
      </c>
      <c r="D100" s="530" t="str">
        <f>IF('Student DATA Entry'!E96="","",'Student DATA Entry'!E96)</f>
        <v/>
      </c>
      <c r="E100" s="532" t="str">
        <f>IF('Student DATA Entry'!I96="","",'Student DATA Entry'!I96)</f>
        <v/>
      </c>
      <c r="F100" s="127" t="str">
        <f>IF('Student DATA Entry'!F96="","",UPPER('Student DATA Entry'!F96))</f>
        <v/>
      </c>
      <c r="G100" s="127" t="str">
        <f>IF('Student DATA Entry'!G96="","",UPPER('Student DATA Entry'!G96))</f>
        <v/>
      </c>
      <c r="H100" s="127" t="str">
        <f>IF('Student DATA Entry'!H96="","",UPPER('Student DATA Entry'!H96))</f>
        <v/>
      </c>
      <c r="I100" s="526" t="str">
        <f>IF('Student DATA Entry'!K96="","",UPPER('Student DATA Entry'!K96))</f>
        <v/>
      </c>
      <c r="J100" s="560" t="str">
        <f>IF('Student DATA Entry'!J96="","",UPPER('Student DATA Entry'!J96))</f>
        <v/>
      </c>
      <c r="K100" s="103"/>
      <c r="L100" s="19"/>
      <c r="M100" s="19"/>
      <c r="N100" s="52"/>
      <c r="O100" s="104"/>
      <c r="P100" s="103"/>
      <c r="Q100" s="19"/>
      <c r="R100" s="19"/>
      <c r="S100" s="52"/>
      <c r="T100" s="104"/>
      <c r="U100" s="103"/>
      <c r="V100" s="19"/>
      <c r="W100" s="19"/>
      <c r="X100" s="19"/>
      <c r="Y100" s="52"/>
      <c r="Z100" s="52"/>
      <c r="AA100" s="57"/>
      <c r="AB100" s="564"/>
      <c r="AC100" s="103"/>
      <c r="AD100" s="19"/>
      <c r="AE100" s="19"/>
      <c r="AF100" s="19"/>
      <c r="AG100" s="52"/>
      <c r="AH100" s="52"/>
      <c r="AI100" s="57"/>
      <c r="AJ100" s="564"/>
      <c r="AK100" s="103"/>
      <c r="AL100" s="19"/>
      <c r="AM100" s="19"/>
      <c r="AN100" s="19"/>
      <c r="AO100" s="52"/>
      <c r="AP100" s="52"/>
      <c r="AQ100" s="57"/>
      <c r="AR100" s="564"/>
      <c r="AS100" s="18"/>
      <c r="AT100" s="19"/>
      <c r="AU100" s="19"/>
      <c r="AV100" s="19"/>
      <c r="AW100" s="52"/>
      <c r="AX100" s="52"/>
      <c r="AY100" s="57"/>
      <c r="AZ100" s="109"/>
      <c r="BA100" s="109"/>
      <c r="BB100" s="549"/>
      <c r="BC100" s="550"/>
      <c r="BD100" s="104"/>
      <c r="BE100" s="103"/>
      <c r="BF100" s="19"/>
      <c r="BG100" s="19"/>
      <c r="BH100" s="20"/>
      <c r="BI100" s="104"/>
      <c r="BJ100" s="9"/>
    </row>
    <row r="101" spans="1:62">
      <c r="A101" s="516">
        <f>IF('Student DATA Entry'!A97="","",'Student DATA Entry'!A97)</f>
        <v>94</v>
      </c>
      <c r="B101" s="528" t="str">
        <f>IF('Student DATA Entry'!B97="","",'Student DATA Entry'!B97)</f>
        <v/>
      </c>
      <c r="C101" s="126" t="str">
        <f>IF('Student DATA Entry'!D97="","",'Student DATA Entry'!D97)</f>
        <v/>
      </c>
      <c r="D101" s="530" t="str">
        <f>IF('Student DATA Entry'!E97="","",'Student DATA Entry'!E97)</f>
        <v/>
      </c>
      <c r="E101" s="532" t="str">
        <f>IF('Student DATA Entry'!I97="","",'Student DATA Entry'!I97)</f>
        <v/>
      </c>
      <c r="F101" s="127" t="str">
        <f>IF('Student DATA Entry'!F97="","",UPPER('Student DATA Entry'!F97))</f>
        <v/>
      </c>
      <c r="G101" s="127" t="str">
        <f>IF('Student DATA Entry'!G97="","",UPPER('Student DATA Entry'!G97))</f>
        <v/>
      </c>
      <c r="H101" s="127" t="str">
        <f>IF('Student DATA Entry'!H97="","",UPPER('Student DATA Entry'!H97))</f>
        <v/>
      </c>
      <c r="I101" s="526" t="str">
        <f>IF('Student DATA Entry'!K97="","",UPPER('Student DATA Entry'!K97))</f>
        <v/>
      </c>
      <c r="J101" s="560" t="str">
        <f>IF('Student DATA Entry'!J97="","",UPPER('Student DATA Entry'!J97))</f>
        <v/>
      </c>
      <c r="K101" s="103"/>
      <c r="L101" s="19"/>
      <c r="M101" s="19"/>
      <c r="N101" s="52"/>
      <c r="O101" s="104"/>
      <c r="P101" s="103"/>
      <c r="Q101" s="19"/>
      <c r="R101" s="19"/>
      <c r="S101" s="52"/>
      <c r="T101" s="104"/>
      <c r="U101" s="103"/>
      <c r="V101" s="19"/>
      <c r="W101" s="19"/>
      <c r="X101" s="19"/>
      <c r="Y101" s="52"/>
      <c r="Z101" s="52"/>
      <c r="AA101" s="57"/>
      <c r="AB101" s="564"/>
      <c r="AC101" s="103"/>
      <c r="AD101" s="19"/>
      <c r="AE101" s="19"/>
      <c r="AF101" s="19"/>
      <c r="AG101" s="52"/>
      <c r="AH101" s="52"/>
      <c r="AI101" s="57"/>
      <c r="AJ101" s="564"/>
      <c r="AK101" s="103"/>
      <c r="AL101" s="19"/>
      <c r="AM101" s="19"/>
      <c r="AN101" s="19"/>
      <c r="AO101" s="52"/>
      <c r="AP101" s="52"/>
      <c r="AQ101" s="57"/>
      <c r="AR101" s="564"/>
      <c r="AS101" s="18"/>
      <c r="AT101" s="19"/>
      <c r="AU101" s="19"/>
      <c r="AV101" s="19"/>
      <c r="AW101" s="52"/>
      <c r="AX101" s="52"/>
      <c r="AY101" s="57"/>
      <c r="AZ101" s="109"/>
      <c r="BA101" s="109"/>
      <c r="BB101" s="549"/>
      <c r="BC101" s="550"/>
      <c r="BD101" s="104"/>
      <c r="BE101" s="103"/>
      <c r="BF101" s="19"/>
      <c r="BG101" s="19"/>
      <c r="BH101" s="20"/>
      <c r="BI101" s="104"/>
      <c r="BJ101" s="9"/>
    </row>
    <row r="102" spans="1:62">
      <c r="A102" s="516">
        <f>IF('Student DATA Entry'!A98="","",'Student DATA Entry'!A98)</f>
        <v>95</v>
      </c>
      <c r="B102" s="528" t="str">
        <f>IF('Student DATA Entry'!B98="","",'Student DATA Entry'!B98)</f>
        <v/>
      </c>
      <c r="C102" s="126" t="str">
        <f>IF('Student DATA Entry'!D98="","",'Student DATA Entry'!D98)</f>
        <v/>
      </c>
      <c r="D102" s="530" t="str">
        <f>IF('Student DATA Entry'!E98="","",'Student DATA Entry'!E98)</f>
        <v/>
      </c>
      <c r="E102" s="532" t="str">
        <f>IF('Student DATA Entry'!I98="","",'Student DATA Entry'!I98)</f>
        <v/>
      </c>
      <c r="F102" s="127" t="str">
        <f>IF('Student DATA Entry'!F98="","",UPPER('Student DATA Entry'!F98))</f>
        <v/>
      </c>
      <c r="G102" s="127" t="str">
        <f>IF('Student DATA Entry'!G98="","",UPPER('Student DATA Entry'!G98))</f>
        <v/>
      </c>
      <c r="H102" s="127" t="str">
        <f>IF('Student DATA Entry'!H98="","",UPPER('Student DATA Entry'!H98))</f>
        <v/>
      </c>
      <c r="I102" s="526" t="str">
        <f>IF('Student DATA Entry'!K98="","",UPPER('Student DATA Entry'!K98))</f>
        <v/>
      </c>
      <c r="J102" s="560" t="str">
        <f>IF('Student DATA Entry'!J98="","",UPPER('Student DATA Entry'!J98))</f>
        <v/>
      </c>
      <c r="K102" s="103"/>
      <c r="L102" s="19"/>
      <c r="M102" s="19"/>
      <c r="N102" s="52"/>
      <c r="O102" s="104"/>
      <c r="P102" s="103"/>
      <c r="Q102" s="19"/>
      <c r="R102" s="19"/>
      <c r="S102" s="52"/>
      <c r="T102" s="104"/>
      <c r="U102" s="103"/>
      <c r="V102" s="19"/>
      <c r="W102" s="19"/>
      <c r="X102" s="19"/>
      <c r="Y102" s="52"/>
      <c r="Z102" s="52"/>
      <c r="AA102" s="57"/>
      <c r="AB102" s="564"/>
      <c r="AC102" s="103"/>
      <c r="AD102" s="19"/>
      <c r="AE102" s="19"/>
      <c r="AF102" s="19"/>
      <c r="AG102" s="52"/>
      <c r="AH102" s="52"/>
      <c r="AI102" s="57"/>
      <c r="AJ102" s="564"/>
      <c r="AK102" s="103"/>
      <c r="AL102" s="19"/>
      <c r="AM102" s="19"/>
      <c r="AN102" s="19"/>
      <c r="AO102" s="52"/>
      <c r="AP102" s="52"/>
      <c r="AQ102" s="57"/>
      <c r="AR102" s="564"/>
      <c r="AS102" s="18"/>
      <c r="AT102" s="19"/>
      <c r="AU102" s="19"/>
      <c r="AV102" s="19"/>
      <c r="AW102" s="52"/>
      <c r="AX102" s="52"/>
      <c r="AY102" s="57"/>
      <c r="AZ102" s="109"/>
      <c r="BA102" s="109"/>
      <c r="BB102" s="549"/>
      <c r="BC102" s="550"/>
      <c r="BD102" s="104"/>
      <c r="BE102" s="103"/>
      <c r="BF102" s="19"/>
      <c r="BG102" s="19"/>
      <c r="BH102" s="20"/>
      <c r="BI102" s="104"/>
      <c r="BJ102" s="9"/>
    </row>
    <row r="103" spans="1:62">
      <c r="A103" s="516">
        <f>IF('Student DATA Entry'!A99="","",'Student DATA Entry'!A99)</f>
        <v>96</v>
      </c>
      <c r="B103" s="528" t="str">
        <f>IF('Student DATA Entry'!B99="","",'Student DATA Entry'!B99)</f>
        <v/>
      </c>
      <c r="C103" s="126" t="str">
        <f>IF('Student DATA Entry'!D99="","",'Student DATA Entry'!D99)</f>
        <v/>
      </c>
      <c r="D103" s="530" t="str">
        <f>IF('Student DATA Entry'!E99="","",'Student DATA Entry'!E99)</f>
        <v/>
      </c>
      <c r="E103" s="532" t="str">
        <f>IF('Student DATA Entry'!I99="","",'Student DATA Entry'!I99)</f>
        <v/>
      </c>
      <c r="F103" s="127" t="str">
        <f>IF('Student DATA Entry'!F99="","",UPPER('Student DATA Entry'!F99))</f>
        <v/>
      </c>
      <c r="G103" s="127" t="str">
        <f>IF('Student DATA Entry'!G99="","",UPPER('Student DATA Entry'!G99))</f>
        <v/>
      </c>
      <c r="H103" s="127" t="str">
        <f>IF('Student DATA Entry'!H99="","",UPPER('Student DATA Entry'!H99))</f>
        <v/>
      </c>
      <c r="I103" s="526" t="str">
        <f>IF('Student DATA Entry'!K99="","",UPPER('Student DATA Entry'!K99))</f>
        <v/>
      </c>
      <c r="J103" s="560" t="str">
        <f>IF('Student DATA Entry'!J99="","",UPPER('Student DATA Entry'!J99))</f>
        <v/>
      </c>
      <c r="K103" s="103"/>
      <c r="L103" s="19"/>
      <c r="M103" s="19"/>
      <c r="N103" s="52"/>
      <c r="O103" s="104"/>
      <c r="P103" s="103"/>
      <c r="Q103" s="19"/>
      <c r="R103" s="19"/>
      <c r="S103" s="52"/>
      <c r="T103" s="104"/>
      <c r="U103" s="103"/>
      <c r="V103" s="19"/>
      <c r="W103" s="19"/>
      <c r="X103" s="19"/>
      <c r="Y103" s="52"/>
      <c r="Z103" s="52"/>
      <c r="AA103" s="57"/>
      <c r="AB103" s="564"/>
      <c r="AC103" s="103"/>
      <c r="AD103" s="19"/>
      <c r="AE103" s="19"/>
      <c r="AF103" s="19"/>
      <c r="AG103" s="52"/>
      <c r="AH103" s="52"/>
      <c r="AI103" s="57"/>
      <c r="AJ103" s="564"/>
      <c r="AK103" s="103"/>
      <c r="AL103" s="19"/>
      <c r="AM103" s="19"/>
      <c r="AN103" s="19"/>
      <c r="AO103" s="52"/>
      <c r="AP103" s="52"/>
      <c r="AQ103" s="57"/>
      <c r="AR103" s="564"/>
      <c r="AS103" s="18"/>
      <c r="AT103" s="19"/>
      <c r="AU103" s="19"/>
      <c r="AV103" s="19"/>
      <c r="AW103" s="52"/>
      <c r="AX103" s="52"/>
      <c r="AY103" s="57"/>
      <c r="AZ103" s="109"/>
      <c r="BA103" s="109"/>
      <c r="BB103" s="549"/>
      <c r="BC103" s="550"/>
      <c r="BD103" s="104"/>
      <c r="BE103" s="103"/>
      <c r="BF103" s="19"/>
      <c r="BG103" s="19"/>
      <c r="BH103" s="20"/>
      <c r="BI103" s="104"/>
      <c r="BJ103" s="9"/>
    </row>
    <row r="104" spans="1:62">
      <c r="A104" s="516">
        <f>IF('Student DATA Entry'!A100="","",'Student DATA Entry'!A100)</f>
        <v>97</v>
      </c>
      <c r="B104" s="528" t="str">
        <f>IF('Student DATA Entry'!B100="","",'Student DATA Entry'!B100)</f>
        <v/>
      </c>
      <c r="C104" s="126" t="str">
        <f>IF('Student DATA Entry'!D100="","",'Student DATA Entry'!D100)</f>
        <v/>
      </c>
      <c r="D104" s="530" t="str">
        <f>IF('Student DATA Entry'!E100="","",'Student DATA Entry'!E100)</f>
        <v/>
      </c>
      <c r="E104" s="532" t="str">
        <f>IF('Student DATA Entry'!I100="","",'Student DATA Entry'!I100)</f>
        <v/>
      </c>
      <c r="F104" s="127" t="str">
        <f>IF('Student DATA Entry'!F100="","",UPPER('Student DATA Entry'!F100))</f>
        <v/>
      </c>
      <c r="G104" s="127" t="str">
        <f>IF('Student DATA Entry'!G100="","",UPPER('Student DATA Entry'!G100))</f>
        <v/>
      </c>
      <c r="H104" s="127" t="str">
        <f>IF('Student DATA Entry'!H100="","",UPPER('Student DATA Entry'!H100))</f>
        <v/>
      </c>
      <c r="I104" s="526" t="str">
        <f>IF('Student DATA Entry'!K100="","",UPPER('Student DATA Entry'!K100))</f>
        <v/>
      </c>
      <c r="J104" s="560" t="str">
        <f>IF('Student DATA Entry'!J100="","",UPPER('Student DATA Entry'!J100))</f>
        <v/>
      </c>
      <c r="K104" s="103"/>
      <c r="L104" s="19"/>
      <c r="M104" s="19"/>
      <c r="N104" s="52"/>
      <c r="O104" s="104"/>
      <c r="P104" s="103"/>
      <c r="Q104" s="19"/>
      <c r="R104" s="19"/>
      <c r="S104" s="52"/>
      <c r="T104" s="104"/>
      <c r="U104" s="103"/>
      <c r="V104" s="19"/>
      <c r="W104" s="19"/>
      <c r="X104" s="19"/>
      <c r="Y104" s="52"/>
      <c r="Z104" s="52"/>
      <c r="AA104" s="57"/>
      <c r="AB104" s="564"/>
      <c r="AC104" s="103"/>
      <c r="AD104" s="19"/>
      <c r="AE104" s="19"/>
      <c r="AF104" s="19"/>
      <c r="AG104" s="52"/>
      <c r="AH104" s="52"/>
      <c r="AI104" s="57"/>
      <c r="AJ104" s="564"/>
      <c r="AK104" s="103"/>
      <c r="AL104" s="19"/>
      <c r="AM104" s="19"/>
      <c r="AN104" s="19"/>
      <c r="AO104" s="52"/>
      <c r="AP104" s="52"/>
      <c r="AQ104" s="57"/>
      <c r="AR104" s="564"/>
      <c r="AS104" s="18"/>
      <c r="AT104" s="19"/>
      <c r="AU104" s="19"/>
      <c r="AV104" s="19"/>
      <c r="AW104" s="52"/>
      <c r="AX104" s="52"/>
      <c r="AY104" s="57"/>
      <c r="AZ104" s="109"/>
      <c r="BA104" s="109"/>
      <c r="BB104" s="549"/>
      <c r="BC104" s="550"/>
      <c r="BD104" s="104"/>
      <c r="BE104" s="103"/>
      <c r="BF104" s="19"/>
      <c r="BG104" s="19"/>
      <c r="BH104" s="20"/>
      <c r="BI104" s="104"/>
      <c r="BJ104" s="9"/>
    </row>
    <row r="105" spans="1:62">
      <c r="A105" s="516">
        <f>IF('Student DATA Entry'!A101="","",'Student DATA Entry'!A101)</f>
        <v>98</v>
      </c>
      <c r="B105" s="528" t="str">
        <f>IF('Student DATA Entry'!B101="","",'Student DATA Entry'!B101)</f>
        <v/>
      </c>
      <c r="C105" s="126" t="str">
        <f>IF('Student DATA Entry'!D101="","",'Student DATA Entry'!D101)</f>
        <v/>
      </c>
      <c r="D105" s="530" t="str">
        <f>IF('Student DATA Entry'!E101="","",'Student DATA Entry'!E101)</f>
        <v/>
      </c>
      <c r="E105" s="532" t="str">
        <f>IF('Student DATA Entry'!I101="","",'Student DATA Entry'!I101)</f>
        <v/>
      </c>
      <c r="F105" s="127" t="str">
        <f>IF('Student DATA Entry'!F101="","",UPPER('Student DATA Entry'!F101))</f>
        <v/>
      </c>
      <c r="G105" s="127" t="str">
        <f>IF('Student DATA Entry'!G101="","",UPPER('Student DATA Entry'!G101))</f>
        <v/>
      </c>
      <c r="H105" s="127" t="str">
        <f>IF('Student DATA Entry'!H101="","",UPPER('Student DATA Entry'!H101))</f>
        <v/>
      </c>
      <c r="I105" s="526" t="str">
        <f>IF('Student DATA Entry'!K101="","",UPPER('Student DATA Entry'!K101))</f>
        <v/>
      </c>
      <c r="J105" s="560" t="str">
        <f>IF('Student DATA Entry'!J101="","",UPPER('Student DATA Entry'!J101))</f>
        <v/>
      </c>
      <c r="K105" s="103"/>
      <c r="L105" s="19"/>
      <c r="M105" s="19"/>
      <c r="N105" s="52"/>
      <c r="O105" s="104"/>
      <c r="P105" s="103"/>
      <c r="Q105" s="19"/>
      <c r="R105" s="19"/>
      <c r="S105" s="52"/>
      <c r="T105" s="104"/>
      <c r="U105" s="103"/>
      <c r="V105" s="19"/>
      <c r="W105" s="19"/>
      <c r="X105" s="19"/>
      <c r="Y105" s="52"/>
      <c r="Z105" s="52"/>
      <c r="AA105" s="57"/>
      <c r="AB105" s="564"/>
      <c r="AC105" s="103"/>
      <c r="AD105" s="19"/>
      <c r="AE105" s="19"/>
      <c r="AF105" s="19"/>
      <c r="AG105" s="52"/>
      <c r="AH105" s="52"/>
      <c r="AI105" s="57"/>
      <c r="AJ105" s="564"/>
      <c r="AK105" s="103"/>
      <c r="AL105" s="19"/>
      <c r="AM105" s="19"/>
      <c r="AN105" s="19"/>
      <c r="AO105" s="52"/>
      <c r="AP105" s="52"/>
      <c r="AQ105" s="57"/>
      <c r="AR105" s="564"/>
      <c r="AS105" s="18"/>
      <c r="AT105" s="19"/>
      <c r="AU105" s="19"/>
      <c r="AV105" s="19"/>
      <c r="AW105" s="52"/>
      <c r="AX105" s="52"/>
      <c r="AY105" s="57"/>
      <c r="AZ105" s="109"/>
      <c r="BA105" s="109"/>
      <c r="BB105" s="549"/>
      <c r="BC105" s="550"/>
      <c r="BD105" s="104"/>
      <c r="BE105" s="103"/>
      <c r="BF105" s="19"/>
      <c r="BG105" s="19"/>
      <c r="BH105" s="20"/>
      <c r="BI105" s="104"/>
      <c r="BJ105" s="9"/>
    </row>
    <row r="106" spans="1:62">
      <c r="A106" s="516">
        <f>IF('Student DATA Entry'!A102="","",'Student DATA Entry'!A102)</f>
        <v>99</v>
      </c>
      <c r="B106" s="528" t="str">
        <f>IF('Student DATA Entry'!B102="","",'Student DATA Entry'!B102)</f>
        <v/>
      </c>
      <c r="C106" s="126" t="str">
        <f>IF('Student DATA Entry'!D102="","",'Student DATA Entry'!D102)</f>
        <v/>
      </c>
      <c r="D106" s="530" t="str">
        <f>IF('Student DATA Entry'!E102="","",'Student DATA Entry'!E102)</f>
        <v/>
      </c>
      <c r="E106" s="532" t="str">
        <f>IF('Student DATA Entry'!I102="","",'Student DATA Entry'!I102)</f>
        <v/>
      </c>
      <c r="F106" s="127" t="str">
        <f>IF('Student DATA Entry'!F102="","",UPPER('Student DATA Entry'!F102))</f>
        <v/>
      </c>
      <c r="G106" s="127" t="str">
        <f>IF('Student DATA Entry'!G102="","",UPPER('Student DATA Entry'!G102))</f>
        <v/>
      </c>
      <c r="H106" s="127" t="str">
        <f>IF('Student DATA Entry'!H102="","",UPPER('Student DATA Entry'!H102))</f>
        <v/>
      </c>
      <c r="I106" s="526" t="str">
        <f>IF('Student DATA Entry'!K102="","",UPPER('Student DATA Entry'!K102))</f>
        <v/>
      </c>
      <c r="J106" s="560" t="str">
        <f>IF('Student DATA Entry'!J102="","",UPPER('Student DATA Entry'!J102))</f>
        <v/>
      </c>
      <c r="K106" s="103"/>
      <c r="L106" s="19"/>
      <c r="M106" s="19"/>
      <c r="N106" s="52"/>
      <c r="O106" s="104"/>
      <c r="P106" s="103"/>
      <c r="Q106" s="19"/>
      <c r="R106" s="19"/>
      <c r="S106" s="52"/>
      <c r="T106" s="104"/>
      <c r="U106" s="103"/>
      <c r="V106" s="19"/>
      <c r="W106" s="19"/>
      <c r="X106" s="19"/>
      <c r="Y106" s="52"/>
      <c r="Z106" s="52"/>
      <c r="AA106" s="57"/>
      <c r="AB106" s="564"/>
      <c r="AC106" s="103"/>
      <c r="AD106" s="19"/>
      <c r="AE106" s="19"/>
      <c r="AF106" s="19"/>
      <c r="AG106" s="52"/>
      <c r="AH106" s="52"/>
      <c r="AI106" s="57"/>
      <c r="AJ106" s="564"/>
      <c r="AK106" s="103"/>
      <c r="AL106" s="19"/>
      <c r="AM106" s="19"/>
      <c r="AN106" s="19"/>
      <c r="AO106" s="52"/>
      <c r="AP106" s="52"/>
      <c r="AQ106" s="57"/>
      <c r="AR106" s="564"/>
      <c r="AS106" s="18"/>
      <c r="AT106" s="19"/>
      <c r="AU106" s="19"/>
      <c r="AV106" s="19"/>
      <c r="AW106" s="52"/>
      <c r="AX106" s="52"/>
      <c r="AY106" s="57"/>
      <c r="AZ106" s="109"/>
      <c r="BA106" s="109"/>
      <c r="BB106" s="549"/>
      <c r="BC106" s="550"/>
      <c r="BD106" s="104"/>
      <c r="BE106" s="103"/>
      <c r="BF106" s="19"/>
      <c r="BG106" s="19"/>
      <c r="BH106" s="20"/>
      <c r="BI106" s="104"/>
      <c r="BJ106" s="8"/>
    </row>
    <row r="107" spans="1:62">
      <c r="A107" s="516">
        <f>IF('Student DATA Entry'!A103="","",'Student DATA Entry'!A103)</f>
        <v>100</v>
      </c>
      <c r="B107" s="528" t="str">
        <f>IF('Student DATA Entry'!B103="","",'Student DATA Entry'!B103)</f>
        <v/>
      </c>
      <c r="C107" s="126" t="str">
        <f>IF('Student DATA Entry'!D103="","",'Student DATA Entry'!D103)</f>
        <v/>
      </c>
      <c r="D107" s="530" t="str">
        <f>IF('Student DATA Entry'!E103="","",'Student DATA Entry'!E103)</f>
        <v/>
      </c>
      <c r="E107" s="532" t="str">
        <f>IF('Student DATA Entry'!I103="","",'Student DATA Entry'!I103)</f>
        <v/>
      </c>
      <c r="F107" s="127" t="str">
        <f>IF('Student DATA Entry'!F103="","",UPPER('Student DATA Entry'!F103))</f>
        <v/>
      </c>
      <c r="G107" s="127" t="str">
        <f>IF('Student DATA Entry'!G103="","",UPPER('Student DATA Entry'!G103))</f>
        <v/>
      </c>
      <c r="H107" s="127" t="str">
        <f>IF('Student DATA Entry'!H103="","",UPPER('Student DATA Entry'!H103))</f>
        <v/>
      </c>
      <c r="I107" s="526" t="str">
        <f>IF('Student DATA Entry'!K103="","",UPPER('Student DATA Entry'!K103))</f>
        <v/>
      </c>
      <c r="J107" s="560" t="str">
        <f>IF('Student DATA Entry'!J103="","",UPPER('Student DATA Entry'!J103))</f>
        <v/>
      </c>
      <c r="K107" s="561"/>
      <c r="L107" s="43"/>
      <c r="M107" s="43"/>
      <c r="N107" s="53"/>
      <c r="O107" s="562"/>
      <c r="P107" s="561"/>
      <c r="Q107" s="43"/>
      <c r="R107" s="43"/>
      <c r="S107" s="53"/>
      <c r="T107" s="562"/>
      <c r="U107" s="103"/>
      <c r="V107" s="43"/>
      <c r="W107" s="43"/>
      <c r="X107" s="43"/>
      <c r="Y107" s="53"/>
      <c r="Z107" s="53"/>
      <c r="AA107" s="58"/>
      <c r="AB107" s="565"/>
      <c r="AC107" s="103"/>
      <c r="AD107" s="43"/>
      <c r="AE107" s="43"/>
      <c r="AF107" s="43"/>
      <c r="AG107" s="53"/>
      <c r="AH107" s="53"/>
      <c r="AI107" s="58"/>
      <c r="AJ107" s="565"/>
      <c r="AK107" s="103"/>
      <c r="AL107" s="43"/>
      <c r="AM107" s="43"/>
      <c r="AN107" s="43"/>
      <c r="AO107" s="53"/>
      <c r="AP107" s="53"/>
      <c r="AQ107" s="58"/>
      <c r="AR107" s="565"/>
      <c r="AS107" s="18"/>
      <c r="AT107" s="43"/>
      <c r="AU107" s="43"/>
      <c r="AV107" s="43"/>
      <c r="AW107" s="52"/>
      <c r="AX107" s="53"/>
      <c r="AY107" s="57"/>
      <c r="AZ107" s="110"/>
      <c r="BA107" s="110"/>
      <c r="BB107" s="551"/>
      <c r="BC107" s="552"/>
      <c r="BD107" s="104"/>
      <c r="BE107" s="103"/>
      <c r="BF107" s="19"/>
      <c r="BG107" s="19"/>
      <c r="BH107" s="20"/>
      <c r="BI107" s="104"/>
      <c r="BJ107" s="8"/>
    </row>
    <row r="108" spans="1:62">
      <c r="A108" s="516">
        <f>IF('Student DATA Entry'!A104="","",'Student DATA Entry'!A104)</f>
        <v>101</v>
      </c>
      <c r="B108" s="528" t="str">
        <f>IF('Student DATA Entry'!B104="","",'Student DATA Entry'!B104)</f>
        <v/>
      </c>
      <c r="C108" s="126" t="str">
        <f>IF('Student DATA Entry'!D104="","",'Student DATA Entry'!D104)</f>
        <v/>
      </c>
      <c r="D108" s="530" t="str">
        <f>IF('Student DATA Entry'!E104="","",'Student DATA Entry'!E104)</f>
        <v/>
      </c>
      <c r="E108" s="532" t="str">
        <f>IF('Student DATA Entry'!I104="","",'Student DATA Entry'!I104)</f>
        <v/>
      </c>
      <c r="F108" s="127" t="str">
        <f>IF('Student DATA Entry'!F104="","",UPPER('Student DATA Entry'!F104))</f>
        <v/>
      </c>
      <c r="G108" s="127" t="str">
        <f>IF('Student DATA Entry'!G104="","",UPPER('Student DATA Entry'!G104))</f>
        <v/>
      </c>
      <c r="H108" s="127" t="str">
        <f>IF('Student DATA Entry'!H104="","",UPPER('Student DATA Entry'!H104))</f>
        <v/>
      </c>
      <c r="I108" s="526" t="str">
        <f>IF('Student DATA Entry'!K104="","",UPPER('Student DATA Entry'!K104))</f>
        <v/>
      </c>
      <c r="J108" s="560" t="str">
        <f>IF('Student DATA Entry'!J104="","",UPPER('Student DATA Entry'!J104))</f>
        <v/>
      </c>
      <c r="K108" s="561"/>
      <c r="L108" s="43"/>
      <c r="M108" s="43"/>
      <c r="N108" s="53"/>
      <c r="O108" s="562"/>
      <c r="P108" s="561"/>
      <c r="Q108" s="43"/>
      <c r="R108" s="43"/>
      <c r="S108" s="53"/>
      <c r="T108" s="562"/>
      <c r="U108" s="103"/>
      <c r="V108" s="43"/>
      <c r="W108" s="43"/>
      <c r="X108" s="43"/>
      <c r="Y108" s="53"/>
      <c r="Z108" s="53"/>
      <c r="AA108" s="58"/>
      <c r="AB108" s="565"/>
      <c r="AC108" s="103"/>
      <c r="AD108" s="43"/>
      <c r="AE108" s="43"/>
      <c r="AF108" s="43"/>
      <c r="AG108" s="53"/>
      <c r="AH108" s="53"/>
      <c r="AI108" s="58"/>
      <c r="AJ108" s="565"/>
      <c r="AK108" s="103"/>
      <c r="AL108" s="43"/>
      <c r="AM108" s="43"/>
      <c r="AN108" s="43"/>
      <c r="AO108" s="53"/>
      <c r="AP108" s="53"/>
      <c r="AQ108" s="58"/>
      <c r="AR108" s="565"/>
      <c r="AS108" s="18"/>
      <c r="AT108" s="43"/>
      <c r="AU108" s="43"/>
      <c r="AV108" s="43"/>
      <c r="AW108" s="52"/>
      <c r="AX108" s="53"/>
      <c r="AY108" s="57"/>
      <c r="AZ108" s="110"/>
      <c r="BA108" s="110"/>
      <c r="BB108" s="551"/>
      <c r="BC108" s="552"/>
      <c r="BD108" s="104"/>
      <c r="BE108" s="103"/>
      <c r="BF108" s="19"/>
      <c r="BG108" s="19"/>
      <c r="BH108" s="20"/>
      <c r="BI108" s="104"/>
      <c r="BJ108" s="8"/>
    </row>
    <row r="109" spans="1:62">
      <c r="A109" s="516">
        <f>IF('Student DATA Entry'!A105="","",'Student DATA Entry'!A105)</f>
        <v>102</v>
      </c>
      <c r="B109" s="528" t="str">
        <f>IF('Student DATA Entry'!B105="","",'Student DATA Entry'!B105)</f>
        <v/>
      </c>
      <c r="C109" s="126" t="str">
        <f>IF('Student DATA Entry'!D105="","",'Student DATA Entry'!D105)</f>
        <v/>
      </c>
      <c r="D109" s="530" t="str">
        <f>IF('Student DATA Entry'!E105="","",'Student DATA Entry'!E105)</f>
        <v/>
      </c>
      <c r="E109" s="532" t="str">
        <f>IF('Student DATA Entry'!I105="","",'Student DATA Entry'!I105)</f>
        <v/>
      </c>
      <c r="F109" s="127" t="str">
        <f>IF('Student DATA Entry'!F105="","",UPPER('Student DATA Entry'!F105))</f>
        <v/>
      </c>
      <c r="G109" s="127" t="str">
        <f>IF('Student DATA Entry'!G105="","",UPPER('Student DATA Entry'!G105))</f>
        <v/>
      </c>
      <c r="H109" s="127" t="str">
        <f>IF('Student DATA Entry'!H105="","",UPPER('Student DATA Entry'!H105))</f>
        <v/>
      </c>
      <c r="I109" s="526" t="str">
        <f>IF('Student DATA Entry'!K105="","",UPPER('Student DATA Entry'!K105))</f>
        <v/>
      </c>
      <c r="J109" s="560" t="str">
        <f>IF('Student DATA Entry'!J105="","",UPPER('Student DATA Entry'!J105))</f>
        <v/>
      </c>
      <c r="K109" s="561"/>
      <c r="L109" s="43"/>
      <c r="M109" s="43"/>
      <c r="N109" s="53"/>
      <c r="O109" s="562"/>
      <c r="P109" s="561"/>
      <c r="Q109" s="43"/>
      <c r="R109" s="43"/>
      <c r="S109" s="53"/>
      <c r="T109" s="562"/>
      <c r="U109" s="103"/>
      <c r="V109" s="43"/>
      <c r="W109" s="43"/>
      <c r="X109" s="43"/>
      <c r="Y109" s="53"/>
      <c r="Z109" s="53"/>
      <c r="AA109" s="58"/>
      <c r="AB109" s="565"/>
      <c r="AC109" s="103"/>
      <c r="AD109" s="43"/>
      <c r="AE109" s="43"/>
      <c r="AF109" s="43"/>
      <c r="AG109" s="53"/>
      <c r="AH109" s="53"/>
      <c r="AI109" s="58"/>
      <c r="AJ109" s="565"/>
      <c r="AK109" s="103"/>
      <c r="AL109" s="43"/>
      <c r="AM109" s="43"/>
      <c r="AN109" s="43"/>
      <c r="AO109" s="53"/>
      <c r="AP109" s="53"/>
      <c r="AQ109" s="58"/>
      <c r="AR109" s="565"/>
      <c r="AS109" s="18"/>
      <c r="AT109" s="43"/>
      <c r="AU109" s="43"/>
      <c r="AV109" s="43"/>
      <c r="AW109" s="52"/>
      <c r="AX109" s="53"/>
      <c r="AY109" s="57"/>
      <c r="AZ109" s="110"/>
      <c r="BA109" s="110"/>
      <c r="BB109" s="551"/>
      <c r="BC109" s="552"/>
      <c r="BD109" s="104"/>
      <c r="BE109" s="103"/>
      <c r="BF109" s="19"/>
      <c r="BG109" s="19"/>
      <c r="BH109" s="20"/>
      <c r="BI109" s="104"/>
      <c r="BJ109" s="8"/>
    </row>
    <row r="110" spans="1:62">
      <c r="A110" s="516">
        <f>IF('Student DATA Entry'!A106="","",'Student DATA Entry'!A106)</f>
        <v>103</v>
      </c>
      <c r="B110" s="528" t="str">
        <f>IF('Student DATA Entry'!B106="","",'Student DATA Entry'!B106)</f>
        <v/>
      </c>
      <c r="C110" s="126" t="str">
        <f>IF('Student DATA Entry'!D106="","",'Student DATA Entry'!D106)</f>
        <v/>
      </c>
      <c r="D110" s="530" t="str">
        <f>IF('Student DATA Entry'!E106="","",'Student DATA Entry'!E106)</f>
        <v/>
      </c>
      <c r="E110" s="532" t="str">
        <f>IF('Student DATA Entry'!I106="","",'Student DATA Entry'!I106)</f>
        <v/>
      </c>
      <c r="F110" s="127" t="str">
        <f>IF('Student DATA Entry'!F106="","",UPPER('Student DATA Entry'!F106))</f>
        <v/>
      </c>
      <c r="G110" s="127" t="str">
        <f>IF('Student DATA Entry'!G106="","",UPPER('Student DATA Entry'!G106))</f>
        <v/>
      </c>
      <c r="H110" s="127" t="str">
        <f>IF('Student DATA Entry'!H106="","",UPPER('Student DATA Entry'!H106))</f>
        <v/>
      </c>
      <c r="I110" s="526" t="str">
        <f>IF('Student DATA Entry'!K106="","",UPPER('Student DATA Entry'!K106))</f>
        <v/>
      </c>
      <c r="J110" s="560" t="str">
        <f>IF('Student DATA Entry'!J106="","",UPPER('Student DATA Entry'!J106))</f>
        <v/>
      </c>
      <c r="K110" s="561"/>
      <c r="L110" s="43"/>
      <c r="M110" s="43"/>
      <c r="N110" s="53"/>
      <c r="O110" s="562"/>
      <c r="P110" s="561"/>
      <c r="Q110" s="43"/>
      <c r="R110" s="43"/>
      <c r="S110" s="53"/>
      <c r="T110" s="562"/>
      <c r="U110" s="103"/>
      <c r="V110" s="43"/>
      <c r="W110" s="43"/>
      <c r="X110" s="43"/>
      <c r="Y110" s="53"/>
      <c r="Z110" s="53"/>
      <c r="AA110" s="58"/>
      <c r="AB110" s="565"/>
      <c r="AC110" s="103"/>
      <c r="AD110" s="43"/>
      <c r="AE110" s="43"/>
      <c r="AF110" s="43"/>
      <c r="AG110" s="53"/>
      <c r="AH110" s="53"/>
      <c r="AI110" s="58"/>
      <c r="AJ110" s="565"/>
      <c r="AK110" s="103"/>
      <c r="AL110" s="43"/>
      <c r="AM110" s="43"/>
      <c r="AN110" s="43"/>
      <c r="AO110" s="53"/>
      <c r="AP110" s="53"/>
      <c r="AQ110" s="58"/>
      <c r="AR110" s="565"/>
      <c r="AS110" s="18"/>
      <c r="AT110" s="43"/>
      <c r="AU110" s="43"/>
      <c r="AV110" s="43"/>
      <c r="AW110" s="52"/>
      <c r="AX110" s="53"/>
      <c r="AY110" s="57"/>
      <c r="AZ110" s="110"/>
      <c r="BA110" s="110"/>
      <c r="BB110" s="551"/>
      <c r="BC110" s="552"/>
      <c r="BD110" s="104"/>
      <c r="BE110" s="103"/>
      <c r="BF110" s="19"/>
      <c r="BG110" s="19"/>
      <c r="BH110" s="20"/>
      <c r="BI110" s="104"/>
      <c r="BJ110" s="8"/>
    </row>
    <row r="111" spans="1:62">
      <c r="A111" s="516">
        <f>IF('Student DATA Entry'!A107="","",'Student DATA Entry'!A107)</f>
        <v>104</v>
      </c>
      <c r="B111" s="528" t="str">
        <f>IF('Student DATA Entry'!B107="","",'Student DATA Entry'!B107)</f>
        <v/>
      </c>
      <c r="C111" s="126" t="str">
        <f>IF('Student DATA Entry'!D107="","",'Student DATA Entry'!D107)</f>
        <v/>
      </c>
      <c r="D111" s="530" t="str">
        <f>IF('Student DATA Entry'!E107="","",'Student DATA Entry'!E107)</f>
        <v/>
      </c>
      <c r="E111" s="532" t="str">
        <f>IF('Student DATA Entry'!I107="","",'Student DATA Entry'!I107)</f>
        <v/>
      </c>
      <c r="F111" s="127" t="str">
        <f>IF('Student DATA Entry'!F107="","",UPPER('Student DATA Entry'!F107))</f>
        <v/>
      </c>
      <c r="G111" s="127" t="str">
        <f>IF('Student DATA Entry'!G107="","",UPPER('Student DATA Entry'!G107))</f>
        <v/>
      </c>
      <c r="H111" s="127" t="str">
        <f>IF('Student DATA Entry'!H107="","",UPPER('Student DATA Entry'!H107))</f>
        <v/>
      </c>
      <c r="I111" s="526" t="str">
        <f>IF('Student DATA Entry'!K107="","",UPPER('Student DATA Entry'!K107))</f>
        <v/>
      </c>
      <c r="J111" s="560" t="str">
        <f>IF('Student DATA Entry'!J107="","",UPPER('Student DATA Entry'!J107))</f>
        <v/>
      </c>
      <c r="K111" s="561"/>
      <c r="L111" s="43"/>
      <c r="M111" s="43"/>
      <c r="N111" s="53"/>
      <c r="O111" s="562"/>
      <c r="P111" s="561"/>
      <c r="Q111" s="43"/>
      <c r="R111" s="43"/>
      <c r="S111" s="53"/>
      <c r="T111" s="562"/>
      <c r="U111" s="103"/>
      <c r="V111" s="43"/>
      <c r="W111" s="43"/>
      <c r="X111" s="43"/>
      <c r="Y111" s="53"/>
      <c r="Z111" s="53"/>
      <c r="AA111" s="58"/>
      <c r="AB111" s="565"/>
      <c r="AC111" s="103"/>
      <c r="AD111" s="43"/>
      <c r="AE111" s="43"/>
      <c r="AF111" s="43"/>
      <c r="AG111" s="53"/>
      <c r="AH111" s="53"/>
      <c r="AI111" s="58"/>
      <c r="AJ111" s="565"/>
      <c r="AK111" s="103"/>
      <c r="AL111" s="43"/>
      <c r="AM111" s="43"/>
      <c r="AN111" s="43"/>
      <c r="AO111" s="53"/>
      <c r="AP111" s="53"/>
      <c r="AQ111" s="58"/>
      <c r="AR111" s="565"/>
      <c r="AS111" s="18"/>
      <c r="AT111" s="43"/>
      <c r="AU111" s="43"/>
      <c r="AV111" s="43"/>
      <c r="AW111" s="52"/>
      <c r="AX111" s="53"/>
      <c r="AY111" s="57"/>
      <c r="AZ111" s="110"/>
      <c r="BA111" s="110"/>
      <c r="BB111" s="551"/>
      <c r="BC111" s="552"/>
      <c r="BD111" s="104"/>
      <c r="BE111" s="103"/>
      <c r="BF111" s="19"/>
      <c r="BG111" s="19"/>
      <c r="BH111" s="20"/>
      <c r="BI111" s="104"/>
      <c r="BJ111" s="8"/>
    </row>
    <row r="112" spans="1:62">
      <c r="A112" s="516">
        <f>IF('Student DATA Entry'!A108="","",'Student DATA Entry'!A108)</f>
        <v>105</v>
      </c>
      <c r="B112" s="528" t="str">
        <f>IF('Student DATA Entry'!B108="","",'Student DATA Entry'!B108)</f>
        <v/>
      </c>
      <c r="C112" s="126" t="str">
        <f>IF('Student DATA Entry'!D108="","",'Student DATA Entry'!D108)</f>
        <v/>
      </c>
      <c r="D112" s="530" t="str">
        <f>IF('Student DATA Entry'!E108="","",'Student DATA Entry'!E108)</f>
        <v/>
      </c>
      <c r="E112" s="532" t="str">
        <f>IF('Student DATA Entry'!I108="","",'Student DATA Entry'!I108)</f>
        <v/>
      </c>
      <c r="F112" s="127" t="str">
        <f>IF('Student DATA Entry'!F108="","",UPPER('Student DATA Entry'!F108))</f>
        <v/>
      </c>
      <c r="G112" s="127" t="str">
        <f>IF('Student DATA Entry'!G108="","",UPPER('Student DATA Entry'!G108))</f>
        <v/>
      </c>
      <c r="H112" s="127" t="str">
        <f>IF('Student DATA Entry'!H108="","",UPPER('Student DATA Entry'!H108))</f>
        <v/>
      </c>
      <c r="I112" s="526" t="str">
        <f>IF('Student DATA Entry'!K108="","",UPPER('Student DATA Entry'!K108))</f>
        <v/>
      </c>
      <c r="J112" s="560" t="str">
        <f>IF('Student DATA Entry'!J108="","",UPPER('Student DATA Entry'!J108))</f>
        <v/>
      </c>
      <c r="K112" s="561"/>
      <c r="L112" s="43"/>
      <c r="M112" s="43"/>
      <c r="N112" s="53"/>
      <c r="O112" s="562"/>
      <c r="P112" s="561"/>
      <c r="Q112" s="43"/>
      <c r="R112" s="43"/>
      <c r="S112" s="53"/>
      <c r="T112" s="562"/>
      <c r="U112" s="103"/>
      <c r="V112" s="43"/>
      <c r="W112" s="43"/>
      <c r="X112" s="43"/>
      <c r="Y112" s="53"/>
      <c r="Z112" s="53"/>
      <c r="AA112" s="58"/>
      <c r="AB112" s="565"/>
      <c r="AC112" s="103"/>
      <c r="AD112" s="43"/>
      <c r="AE112" s="43"/>
      <c r="AF112" s="43"/>
      <c r="AG112" s="53"/>
      <c r="AH112" s="53"/>
      <c r="AI112" s="58"/>
      <c r="AJ112" s="565"/>
      <c r="AK112" s="103"/>
      <c r="AL112" s="43"/>
      <c r="AM112" s="43"/>
      <c r="AN112" s="43"/>
      <c r="AO112" s="53"/>
      <c r="AP112" s="53"/>
      <c r="AQ112" s="58"/>
      <c r="AR112" s="565"/>
      <c r="AS112" s="18"/>
      <c r="AT112" s="43"/>
      <c r="AU112" s="43"/>
      <c r="AV112" s="43"/>
      <c r="AW112" s="52"/>
      <c r="AX112" s="53"/>
      <c r="AY112" s="57"/>
      <c r="AZ112" s="110"/>
      <c r="BA112" s="110"/>
      <c r="BB112" s="551"/>
      <c r="BC112" s="552"/>
      <c r="BD112" s="104"/>
      <c r="BE112" s="103"/>
      <c r="BF112" s="19"/>
      <c r="BG112" s="19"/>
      <c r="BH112" s="20"/>
      <c r="BI112" s="104"/>
      <c r="BJ112" s="8"/>
    </row>
    <row r="113" spans="1:62">
      <c r="A113" s="516">
        <f>IF('Student DATA Entry'!A109="","",'Student DATA Entry'!A109)</f>
        <v>106</v>
      </c>
      <c r="B113" s="528" t="str">
        <f>IF('Student DATA Entry'!B109="","",'Student DATA Entry'!B109)</f>
        <v/>
      </c>
      <c r="C113" s="126" t="str">
        <f>IF('Student DATA Entry'!D109="","",'Student DATA Entry'!D109)</f>
        <v/>
      </c>
      <c r="D113" s="530" t="str">
        <f>IF('Student DATA Entry'!E109="","",'Student DATA Entry'!E109)</f>
        <v/>
      </c>
      <c r="E113" s="532" t="str">
        <f>IF('Student DATA Entry'!I109="","",'Student DATA Entry'!I109)</f>
        <v/>
      </c>
      <c r="F113" s="127" t="str">
        <f>IF('Student DATA Entry'!F109="","",UPPER('Student DATA Entry'!F109))</f>
        <v/>
      </c>
      <c r="G113" s="127" t="str">
        <f>IF('Student DATA Entry'!G109="","",UPPER('Student DATA Entry'!G109))</f>
        <v/>
      </c>
      <c r="H113" s="127" t="str">
        <f>IF('Student DATA Entry'!H109="","",UPPER('Student DATA Entry'!H109))</f>
        <v/>
      </c>
      <c r="I113" s="526" t="str">
        <f>IF('Student DATA Entry'!K109="","",UPPER('Student DATA Entry'!K109))</f>
        <v/>
      </c>
      <c r="J113" s="560" t="str">
        <f>IF('Student DATA Entry'!J109="","",UPPER('Student DATA Entry'!J109))</f>
        <v/>
      </c>
      <c r="K113" s="561"/>
      <c r="L113" s="43"/>
      <c r="M113" s="43"/>
      <c r="N113" s="53"/>
      <c r="O113" s="562"/>
      <c r="P113" s="561"/>
      <c r="Q113" s="43"/>
      <c r="R113" s="43"/>
      <c r="S113" s="53"/>
      <c r="T113" s="562"/>
      <c r="U113" s="103"/>
      <c r="V113" s="43"/>
      <c r="W113" s="43"/>
      <c r="X113" s="43"/>
      <c r="Y113" s="53"/>
      <c r="Z113" s="53"/>
      <c r="AA113" s="58"/>
      <c r="AB113" s="565"/>
      <c r="AC113" s="103"/>
      <c r="AD113" s="43"/>
      <c r="AE113" s="43"/>
      <c r="AF113" s="43"/>
      <c r="AG113" s="53"/>
      <c r="AH113" s="53"/>
      <c r="AI113" s="58"/>
      <c r="AJ113" s="565"/>
      <c r="AK113" s="103"/>
      <c r="AL113" s="43"/>
      <c r="AM113" s="43"/>
      <c r="AN113" s="43"/>
      <c r="AO113" s="53"/>
      <c r="AP113" s="53"/>
      <c r="AQ113" s="58"/>
      <c r="AR113" s="565"/>
      <c r="AS113" s="18"/>
      <c r="AT113" s="43"/>
      <c r="AU113" s="43"/>
      <c r="AV113" s="43"/>
      <c r="AW113" s="52"/>
      <c r="AX113" s="53"/>
      <c r="AY113" s="57"/>
      <c r="AZ113" s="110"/>
      <c r="BA113" s="110"/>
      <c r="BB113" s="551"/>
      <c r="BC113" s="552"/>
      <c r="BD113" s="104"/>
      <c r="BE113" s="103"/>
      <c r="BF113" s="19"/>
      <c r="BG113" s="19"/>
      <c r="BH113" s="20"/>
      <c r="BI113" s="104"/>
      <c r="BJ113" s="8"/>
    </row>
    <row r="114" spans="1:62">
      <c r="A114" s="516">
        <f>IF('Student DATA Entry'!A110="","",'Student DATA Entry'!A110)</f>
        <v>107</v>
      </c>
      <c r="B114" s="528" t="str">
        <f>IF('Student DATA Entry'!B110="","",'Student DATA Entry'!B110)</f>
        <v/>
      </c>
      <c r="C114" s="126" t="str">
        <f>IF('Student DATA Entry'!D110="","",'Student DATA Entry'!D110)</f>
        <v/>
      </c>
      <c r="D114" s="530" t="str">
        <f>IF('Student DATA Entry'!E110="","",'Student DATA Entry'!E110)</f>
        <v/>
      </c>
      <c r="E114" s="532" t="str">
        <f>IF('Student DATA Entry'!I110="","",'Student DATA Entry'!I110)</f>
        <v/>
      </c>
      <c r="F114" s="127" t="str">
        <f>IF('Student DATA Entry'!F110="","",UPPER('Student DATA Entry'!F110))</f>
        <v/>
      </c>
      <c r="G114" s="127" t="str">
        <f>IF('Student DATA Entry'!G110="","",UPPER('Student DATA Entry'!G110))</f>
        <v/>
      </c>
      <c r="H114" s="127" t="str">
        <f>IF('Student DATA Entry'!H110="","",UPPER('Student DATA Entry'!H110))</f>
        <v/>
      </c>
      <c r="I114" s="526" t="str">
        <f>IF('Student DATA Entry'!K110="","",UPPER('Student DATA Entry'!K110))</f>
        <v/>
      </c>
      <c r="J114" s="560" t="str">
        <f>IF('Student DATA Entry'!J110="","",UPPER('Student DATA Entry'!J110))</f>
        <v/>
      </c>
      <c r="K114" s="561"/>
      <c r="L114" s="43"/>
      <c r="M114" s="43"/>
      <c r="N114" s="53"/>
      <c r="O114" s="562"/>
      <c r="P114" s="561"/>
      <c r="Q114" s="43"/>
      <c r="R114" s="43"/>
      <c r="S114" s="53"/>
      <c r="T114" s="562"/>
      <c r="U114" s="103"/>
      <c r="V114" s="43"/>
      <c r="W114" s="43"/>
      <c r="X114" s="43"/>
      <c r="Y114" s="53"/>
      <c r="Z114" s="53"/>
      <c r="AA114" s="58"/>
      <c r="AB114" s="565"/>
      <c r="AC114" s="103"/>
      <c r="AD114" s="43"/>
      <c r="AE114" s="43"/>
      <c r="AF114" s="43"/>
      <c r="AG114" s="53"/>
      <c r="AH114" s="53"/>
      <c r="AI114" s="58"/>
      <c r="AJ114" s="565"/>
      <c r="AK114" s="103"/>
      <c r="AL114" s="43"/>
      <c r="AM114" s="43"/>
      <c r="AN114" s="43"/>
      <c r="AO114" s="53"/>
      <c r="AP114" s="53"/>
      <c r="AQ114" s="58"/>
      <c r="AR114" s="565"/>
      <c r="AS114" s="18"/>
      <c r="AT114" s="43"/>
      <c r="AU114" s="43"/>
      <c r="AV114" s="43"/>
      <c r="AW114" s="52"/>
      <c r="AX114" s="53"/>
      <c r="AY114" s="57"/>
      <c r="AZ114" s="110"/>
      <c r="BA114" s="110"/>
      <c r="BB114" s="551"/>
      <c r="BC114" s="552"/>
      <c r="BD114" s="104"/>
      <c r="BE114" s="103"/>
      <c r="BF114" s="19"/>
      <c r="BG114" s="19"/>
      <c r="BH114" s="20"/>
      <c r="BI114" s="104"/>
      <c r="BJ114" s="8"/>
    </row>
    <row r="115" spans="1:62">
      <c r="A115" s="516">
        <f>IF('Student DATA Entry'!A111="","",'Student DATA Entry'!A111)</f>
        <v>108</v>
      </c>
      <c r="B115" s="528" t="str">
        <f>IF('Student DATA Entry'!B111="","",'Student DATA Entry'!B111)</f>
        <v/>
      </c>
      <c r="C115" s="126" t="str">
        <f>IF('Student DATA Entry'!D111="","",'Student DATA Entry'!D111)</f>
        <v/>
      </c>
      <c r="D115" s="530" t="str">
        <f>IF('Student DATA Entry'!E111="","",'Student DATA Entry'!E111)</f>
        <v/>
      </c>
      <c r="E115" s="532" t="str">
        <f>IF('Student DATA Entry'!I111="","",'Student DATA Entry'!I111)</f>
        <v/>
      </c>
      <c r="F115" s="127" t="str">
        <f>IF('Student DATA Entry'!F111="","",UPPER('Student DATA Entry'!F111))</f>
        <v/>
      </c>
      <c r="G115" s="127" t="str">
        <f>IF('Student DATA Entry'!G111="","",UPPER('Student DATA Entry'!G111))</f>
        <v/>
      </c>
      <c r="H115" s="127" t="str">
        <f>IF('Student DATA Entry'!H111="","",UPPER('Student DATA Entry'!H111))</f>
        <v/>
      </c>
      <c r="I115" s="526" t="str">
        <f>IF('Student DATA Entry'!K111="","",UPPER('Student DATA Entry'!K111))</f>
        <v/>
      </c>
      <c r="J115" s="560" t="str">
        <f>IF('Student DATA Entry'!J111="","",UPPER('Student DATA Entry'!J111))</f>
        <v/>
      </c>
      <c r="K115" s="561"/>
      <c r="L115" s="43"/>
      <c r="M115" s="43"/>
      <c r="N115" s="53"/>
      <c r="O115" s="562"/>
      <c r="P115" s="561"/>
      <c r="Q115" s="43"/>
      <c r="R115" s="43"/>
      <c r="S115" s="53"/>
      <c r="T115" s="562"/>
      <c r="U115" s="103"/>
      <c r="V115" s="43"/>
      <c r="W115" s="43"/>
      <c r="X115" s="43"/>
      <c r="Y115" s="53"/>
      <c r="Z115" s="53"/>
      <c r="AA115" s="58"/>
      <c r="AB115" s="565"/>
      <c r="AC115" s="103"/>
      <c r="AD115" s="43"/>
      <c r="AE115" s="43"/>
      <c r="AF115" s="43"/>
      <c r="AG115" s="53"/>
      <c r="AH115" s="53"/>
      <c r="AI115" s="58"/>
      <c r="AJ115" s="565"/>
      <c r="AK115" s="103"/>
      <c r="AL115" s="43"/>
      <c r="AM115" s="43"/>
      <c r="AN115" s="43"/>
      <c r="AO115" s="53"/>
      <c r="AP115" s="53"/>
      <c r="AQ115" s="58"/>
      <c r="AR115" s="565"/>
      <c r="AS115" s="18"/>
      <c r="AT115" s="43"/>
      <c r="AU115" s="43"/>
      <c r="AV115" s="43"/>
      <c r="AW115" s="52"/>
      <c r="AX115" s="53"/>
      <c r="AY115" s="57"/>
      <c r="AZ115" s="110"/>
      <c r="BA115" s="110"/>
      <c r="BB115" s="551"/>
      <c r="BC115" s="552"/>
      <c r="BD115" s="104"/>
      <c r="BE115" s="103"/>
      <c r="BF115" s="19"/>
      <c r="BG115" s="19"/>
      <c r="BH115" s="20"/>
      <c r="BI115" s="104"/>
      <c r="BJ115" s="8"/>
    </row>
    <row r="116" spans="1:62">
      <c r="A116" s="516">
        <f>IF('Student DATA Entry'!A112="","",'Student DATA Entry'!A112)</f>
        <v>109</v>
      </c>
      <c r="B116" s="528" t="str">
        <f>IF('Student DATA Entry'!B112="","",'Student DATA Entry'!B112)</f>
        <v/>
      </c>
      <c r="C116" s="126" t="str">
        <f>IF('Student DATA Entry'!D112="","",'Student DATA Entry'!D112)</f>
        <v/>
      </c>
      <c r="D116" s="530" t="str">
        <f>IF('Student DATA Entry'!E112="","",'Student DATA Entry'!E112)</f>
        <v/>
      </c>
      <c r="E116" s="532" t="str">
        <f>IF('Student DATA Entry'!I112="","",'Student DATA Entry'!I112)</f>
        <v/>
      </c>
      <c r="F116" s="127" t="str">
        <f>IF('Student DATA Entry'!F112="","",UPPER('Student DATA Entry'!F112))</f>
        <v/>
      </c>
      <c r="G116" s="127" t="str">
        <f>IF('Student DATA Entry'!G112="","",UPPER('Student DATA Entry'!G112))</f>
        <v/>
      </c>
      <c r="H116" s="127" t="str">
        <f>IF('Student DATA Entry'!H112="","",UPPER('Student DATA Entry'!H112))</f>
        <v/>
      </c>
      <c r="I116" s="526" t="str">
        <f>IF('Student DATA Entry'!K112="","",UPPER('Student DATA Entry'!K112))</f>
        <v/>
      </c>
      <c r="J116" s="560" t="str">
        <f>IF('Student DATA Entry'!J112="","",UPPER('Student DATA Entry'!J112))</f>
        <v/>
      </c>
      <c r="K116" s="561"/>
      <c r="L116" s="43"/>
      <c r="M116" s="43"/>
      <c r="N116" s="53"/>
      <c r="O116" s="562"/>
      <c r="P116" s="561"/>
      <c r="Q116" s="43"/>
      <c r="R116" s="43"/>
      <c r="S116" s="53"/>
      <c r="T116" s="562"/>
      <c r="U116" s="103"/>
      <c r="V116" s="43"/>
      <c r="W116" s="43"/>
      <c r="X116" s="43"/>
      <c r="Y116" s="53"/>
      <c r="Z116" s="53"/>
      <c r="AA116" s="58"/>
      <c r="AB116" s="565"/>
      <c r="AC116" s="103"/>
      <c r="AD116" s="43"/>
      <c r="AE116" s="43"/>
      <c r="AF116" s="43"/>
      <c r="AG116" s="53"/>
      <c r="AH116" s="53"/>
      <c r="AI116" s="58"/>
      <c r="AJ116" s="565"/>
      <c r="AK116" s="103"/>
      <c r="AL116" s="43"/>
      <c r="AM116" s="43"/>
      <c r="AN116" s="43"/>
      <c r="AO116" s="53"/>
      <c r="AP116" s="53"/>
      <c r="AQ116" s="58"/>
      <c r="AR116" s="565"/>
      <c r="AS116" s="18"/>
      <c r="AT116" s="43"/>
      <c r="AU116" s="43"/>
      <c r="AV116" s="43"/>
      <c r="AW116" s="52"/>
      <c r="AX116" s="53"/>
      <c r="AY116" s="57"/>
      <c r="AZ116" s="110"/>
      <c r="BA116" s="110"/>
      <c r="BB116" s="551"/>
      <c r="BC116" s="552"/>
      <c r="BD116" s="104"/>
      <c r="BE116" s="103"/>
      <c r="BF116" s="19"/>
      <c r="BG116" s="19"/>
      <c r="BH116" s="20"/>
      <c r="BI116" s="104"/>
      <c r="BJ116" s="8"/>
    </row>
    <row r="117" spans="1:62">
      <c r="A117" s="516">
        <f>IF('Student DATA Entry'!A113="","",'Student DATA Entry'!A113)</f>
        <v>110</v>
      </c>
      <c r="B117" s="528" t="str">
        <f>IF('Student DATA Entry'!B113="","",'Student DATA Entry'!B113)</f>
        <v/>
      </c>
      <c r="C117" s="126" t="str">
        <f>IF('Student DATA Entry'!D113="","",'Student DATA Entry'!D113)</f>
        <v/>
      </c>
      <c r="D117" s="530" t="str">
        <f>IF('Student DATA Entry'!E113="","",'Student DATA Entry'!E113)</f>
        <v/>
      </c>
      <c r="E117" s="532" t="str">
        <f>IF('Student DATA Entry'!I113="","",'Student DATA Entry'!I113)</f>
        <v/>
      </c>
      <c r="F117" s="127" t="str">
        <f>IF('Student DATA Entry'!F113="","",UPPER('Student DATA Entry'!F113))</f>
        <v/>
      </c>
      <c r="G117" s="127" t="str">
        <f>IF('Student DATA Entry'!G113="","",UPPER('Student DATA Entry'!G113))</f>
        <v/>
      </c>
      <c r="H117" s="127" t="str">
        <f>IF('Student DATA Entry'!H113="","",UPPER('Student DATA Entry'!H113))</f>
        <v/>
      </c>
      <c r="I117" s="526" t="str">
        <f>IF('Student DATA Entry'!K113="","",UPPER('Student DATA Entry'!K113))</f>
        <v/>
      </c>
      <c r="J117" s="560" t="str">
        <f>IF('Student DATA Entry'!J113="","",UPPER('Student DATA Entry'!J113))</f>
        <v/>
      </c>
      <c r="K117" s="561"/>
      <c r="L117" s="43"/>
      <c r="M117" s="43"/>
      <c r="N117" s="53"/>
      <c r="O117" s="562"/>
      <c r="P117" s="561"/>
      <c r="Q117" s="43"/>
      <c r="R117" s="43"/>
      <c r="S117" s="53"/>
      <c r="T117" s="562"/>
      <c r="U117" s="103"/>
      <c r="V117" s="43"/>
      <c r="W117" s="43"/>
      <c r="X117" s="43"/>
      <c r="Y117" s="53"/>
      <c r="Z117" s="53"/>
      <c r="AA117" s="58"/>
      <c r="AB117" s="565"/>
      <c r="AC117" s="103"/>
      <c r="AD117" s="43"/>
      <c r="AE117" s="43"/>
      <c r="AF117" s="43"/>
      <c r="AG117" s="53"/>
      <c r="AH117" s="53"/>
      <c r="AI117" s="58"/>
      <c r="AJ117" s="565"/>
      <c r="AK117" s="103"/>
      <c r="AL117" s="43"/>
      <c r="AM117" s="43"/>
      <c r="AN117" s="43"/>
      <c r="AO117" s="53"/>
      <c r="AP117" s="53"/>
      <c r="AQ117" s="58"/>
      <c r="AR117" s="565"/>
      <c r="AS117" s="18"/>
      <c r="AT117" s="43"/>
      <c r="AU117" s="43"/>
      <c r="AV117" s="43"/>
      <c r="AW117" s="52"/>
      <c r="AX117" s="53"/>
      <c r="AY117" s="57"/>
      <c r="AZ117" s="110"/>
      <c r="BA117" s="110"/>
      <c r="BB117" s="551"/>
      <c r="BC117" s="552"/>
      <c r="BD117" s="104"/>
      <c r="BE117" s="103"/>
      <c r="BF117" s="19"/>
      <c r="BG117" s="19"/>
      <c r="BH117" s="20"/>
      <c r="BI117" s="104"/>
      <c r="BJ117" s="8"/>
    </row>
    <row r="118" spans="1:62">
      <c r="A118" s="516">
        <f>IF('Student DATA Entry'!A114="","",'Student DATA Entry'!A114)</f>
        <v>111</v>
      </c>
      <c r="B118" s="528" t="str">
        <f>IF('Student DATA Entry'!B114="","",'Student DATA Entry'!B114)</f>
        <v/>
      </c>
      <c r="C118" s="126" t="str">
        <f>IF('Student DATA Entry'!D114="","",'Student DATA Entry'!D114)</f>
        <v/>
      </c>
      <c r="D118" s="530" t="str">
        <f>IF('Student DATA Entry'!E114="","",'Student DATA Entry'!E114)</f>
        <v/>
      </c>
      <c r="E118" s="532" t="str">
        <f>IF('Student DATA Entry'!I114="","",'Student DATA Entry'!I114)</f>
        <v/>
      </c>
      <c r="F118" s="127" t="str">
        <f>IF('Student DATA Entry'!F114="","",UPPER('Student DATA Entry'!F114))</f>
        <v/>
      </c>
      <c r="G118" s="127" t="str">
        <f>IF('Student DATA Entry'!G114="","",UPPER('Student DATA Entry'!G114))</f>
        <v/>
      </c>
      <c r="H118" s="127" t="str">
        <f>IF('Student DATA Entry'!H114="","",UPPER('Student DATA Entry'!H114))</f>
        <v/>
      </c>
      <c r="I118" s="526" t="str">
        <f>IF('Student DATA Entry'!K114="","",UPPER('Student DATA Entry'!K114))</f>
        <v/>
      </c>
      <c r="J118" s="560" t="str">
        <f>IF('Student DATA Entry'!J114="","",UPPER('Student DATA Entry'!J114))</f>
        <v/>
      </c>
      <c r="K118" s="561"/>
      <c r="L118" s="43"/>
      <c r="M118" s="43"/>
      <c r="N118" s="53"/>
      <c r="O118" s="562"/>
      <c r="P118" s="561"/>
      <c r="Q118" s="43"/>
      <c r="R118" s="43"/>
      <c r="S118" s="53"/>
      <c r="T118" s="562"/>
      <c r="U118" s="103"/>
      <c r="V118" s="43"/>
      <c r="W118" s="43"/>
      <c r="X118" s="43"/>
      <c r="Y118" s="53"/>
      <c r="Z118" s="53"/>
      <c r="AA118" s="58"/>
      <c r="AB118" s="565"/>
      <c r="AC118" s="103"/>
      <c r="AD118" s="43"/>
      <c r="AE118" s="43"/>
      <c r="AF118" s="43"/>
      <c r="AG118" s="53"/>
      <c r="AH118" s="53"/>
      <c r="AI118" s="58"/>
      <c r="AJ118" s="565"/>
      <c r="AK118" s="103"/>
      <c r="AL118" s="43"/>
      <c r="AM118" s="43"/>
      <c r="AN118" s="43"/>
      <c r="AO118" s="53"/>
      <c r="AP118" s="53"/>
      <c r="AQ118" s="58"/>
      <c r="AR118" s="565"/>
      <c r="AS118" s="18"/>
      <c r="AT118" s="43"/>
      <c r="AU118" s="43"/>
      <c r="AV118" s="43"/>
      <c r="AW118" s="52"/>
      <c r="AX118" s="53"/>
      <c r="AY118" s="57"/>
      <c r="AZ118" s="110"/>
      <c r="BA118" s="110"/>
      <c r="BB118" s="551"/>
      <c r="BC118" s="552"/>
      <c r="BD118" s="104"/>
      <c r="BE118" s="103"/>
      <c r="BF118" s="19"/>
      <c r="BG118" s="19"/>
      <c r="BH118" s="20"/>
      <c r="BI118" s="104"/>
      <c r="BJ118" s="8"/>
    </row>
    <row r="119" spans="1:62">
      <c r="A119" s="516">
        <f>IF('Student DATA Entry'!A115="","",'Student DATA Entry'!A115)</f>
        <v>112</v>
      </c>
      <c r="B119" s="528" t="str">
        <f>IF('Student DATA Entry'!B115="","",'Student DATA Entry'!B115)</f>
        <v/>
      </c>
      <c r="C119" s="126" t="str">
        <f>IF('Student DATA Entry'!D115="","",'Student DATA Entry'!D115)</f>
        <v/>
      </c>
      <c r="D119" s="530" t="str">
        <f>IF('Student DATA Entry'!E115="","",'Student DATA Entry'!E115)</f>
        <v/>
      </c>
      <c r="E119" s="532" t="str">
        <f>IF('Student DATA Entry'!I115="","",'Student DATA Entry'!I115)</f>
        <v/>
      </c>
      <c r="F119" s="127" t="str">
        <f>IF('Student DATA Entry'!F115="","",UPPER('Student DATA Entry'!F115))</f>
        <v/>
      </c>
      <c r="G119" s="127" t="str">
        <f>IF('Student DATA Entry'!G115="","",UPPER('Student DATA Entry'!G115))</f>
        <v/>
      </c>
      <c r="H119" s="127" t="str">
        <f>IF('Student DATA Entry'!H115="","",UPPER('Student DATA Entry'!H115))</f>
        <v/>
      </c>
      <c r="I119" s="526" t="str">
        <f>IF('Student DATA Entry'!K115="","",UPPER('Student DATA Entry'!K115))</f>
        <v/>
      </c>
      <c r="J119" s="560" t="str">
        <f>IF('Student DATA Entry'!J115="","",UPPER('Student DATA Entry'!J115))</f>
        <v/>
      </c>
      <c r="K119" s="561"/>
      <c r="L119" s="43"/>
      <c r="M119" s="43"/>
      <c r="N119" s="53"/>
      <c r="O119" s="562"/>
      <c r="P119" s="561"/>
      <c r="Q119" s="43"/>
      <c r="R119" s="43"/>
      <c r="S119" s="53"/>
      <c r="T119" s="562"/>
      <c r="U119" s="103"/>
      <c r="V119" s="43"/>
      <c r="W119" s="43"/>
      <c r="X119" s="43"/>
      <c r="Y119" s="53"/>
      <c r="Z119" s="53"/>
      <c r="AA119" s="58"/>
      <c r="AB119" s="565"/>
      <c r="AC119" s="103"/>
      <c r="AD119" s="43"/>
      <c r="AE119" s="43"/>
      <c r="AF119" s="43"/>
      <c r="AG119" s="53"/>
      <c r="AH119" s="53"/>
      <c r="AI119" s="58"/>
      <c r="AJ119" s="565"/>
      <c r="AK119" s="103"/>
      <c r="AL119" s="43"/>
      <c r="AM119" s="43"/>
      <c r="AN119" s="43"/>
      <c r="AO119" s="53"/>
      <c r="AP119" s="53"/>
      <c r="AQ119" s="58"/>
      <c r="AR119" s="565"/>
      <c r="AS119" s="18"/>
      <c r="AT119" s="43"/>
      <c r="AU119" s="43"/>
      <c r="AV119" s="43"/>
      <c r="AW119" s="52"/>
      <c r="AX119" s="53"/>
      <c r="AY119" s="57"/>
      <c r="AZ119" s="110"/>
      <c r="BA119" s="110"/>
      <c r="BB119" s="551"/>
      <c r="BC119" s="552"/>
      <c r="BD119" s="104"/>
      <c r="BE119" s="103"/>
      <c r="BF119" s="19"/>
      <c r="BG119" s="19"/>
      <c r="BH119" s="20"/>
      <c r="BI119" s="104"/>
      <c r="BJ119" s="8"/>
    </row>
    <row r="120" spans="1:62">
      <c r="A120" s="516">
        <f>IF('Student DATA Entry'!A116="","",'Student DATA Entry'!A116)</f>
        <v>113</v>
      </c>
      <c r="B120" s="528" t="str">
        <f>IF('Student DATA Entry'!B116="","",'Student DATA Entry'!B116)</f>
        <v/>
      </c>
      <c r="C120" s="126" t="str">
        <f>IF('Student DATA Entry'!D116="","",'Student DATA Entry'!D116)</f>
        <v/>
      </c>
      <c r="D120" s="530" t="str">
        <f>IF('Student DATA Entry'!E116="","",'Student DATA Entry'!E116)</f>
        <v/>
      </c>
      <c r="E120" s="532" t="str">
        <f>IF('Student DATA Entry'!I116="","",'Student DATA Entry'!I116)</f>
        <v/>
      </c>
      <c r="F120" s="127" t="str">
        <f>IF('Student DATA Entry'!F116="","",UPPER('Student DATA Entry'!F116))</f>
        <v/>
      </c>
      <c r="G120" s="127" t="str">
        <f>IF('Student DATA Entry'!G116="","",UPPER('Student DATA Entry'!G116))</f>
        <v/>
      </c>
      <c r="H120" s="127" t="str">
        <f>IF('Student DATA Entry'!H116="","",UPPER('Student DATA Entry'!H116))</f>
        <v/>
      </c>
      <c r="I120" s="526" t="str">
        <f>IF('Student DATA Entry'!K116="","",UPPER('Student DATA Entry'!K116))</f>
        <v/>
      </c>
      <c r="J120" s="560" t="str">
        <f>IF('Student DATA Entry'!J116="","",UPPER('Student DATA Entry'!J116))</f>
        <v/>
      </c>
      <c r="K120" s="561"/>
      <c r="L120" s="43"/>
      <c r="M120" s="43"/>
      <c r="N120" s="53"/>
      <c r="O120" s="562"/>
      <c r="P120" s="561"/>
      <c r="Q120" s="43"/>
      <c r="R120" s="43"/>
      <c r="S120" s="53"/>
      <c r="T120" s="562"/>
      <c r="U120" s="103"/>
      <c r="V120" s="43"/>
      <c r="W120" s="43"/>
      <c r="X120" s="43"/>
      <c r="Y120" s="53"/>
      <c r="Z120" s="53"/>
      <c r="AA120" s="58"/>
      <c r="AB120" s="565"/>
      <c r="AC120" s="103"/>
      <c r="AD120" s="43"/>
      <c r="AE120" s="43"/>
      <c r="AF120" s="43"/>
      <c r="AG120" s="53"/>
      <c r="AH120" s="53"/>
      <c r="AI120" s="58"/>
      <c r="AJ120" s="565"/>
      <c r="AK120" s="103"/>
      <c r="AL120" s="43"/>
      <c r="AM120" s="43"/>
      <c r="AN120" s="43"/>
      <c r="AO120" s="53"/>
      <c r="AP120" s="53"/>
      <c r="AQ120" s="58"/>
      <c r="AR120" s="565"/>
      <c r="AS120" s="18"/>
      <c r="AT120" s="43"/>
      <c r="AU120" s="43"/>
      <c r="AV120" s="43"/>
      <c r="AW120" s="52"/>
      <c r="AX120" s="53"/>
      <c r="AY120" s="57"/>
      <c r="AZ120" s="110"/>
      <c r="BA120" s="110"/>
      <c r="BB120" s="551"/>
      <c r="BC120" s="552"/>
      <c r="BD120" s="104"/>
      <c r="BE120" s="103"/>
      <c r="BF120" s="19"/>
      <c r="BG120" s="19"/>
      <c r="BH120" s="20"/>
      <c r="BI120" s="104"/>
      <c r="BJ120" s="8"/>
    </row>
    <row r="121" spans="1:62">
      <c r="A121" s="516">
        <f>IF('Student DATA Entry'!A117="","",'Student DATA Entry'!A117)</f>
        <v>114</v>
      </c>
      <c r="B121" s="528" t="str">
        <f>IF('Student DATA Entry'!B117="","",'Student DATA Entry'!B117)</f>
        <v/>
      </c>
      <c r="C121" s="126" t="str">
        <f>IF('Student DATA Entry'!D117="","",'Student DATA Entry'!D117)</f>
        <v/>
      </c>
      <c r="D121" s="530" t="str">
        <f>IF('Student DATA Entry'!E117="","",'Student DATA Entry'!E117)</f>
        <v/>
      </c>
      <c r="E121" s="532" t="str">
        <f>IF('Student DATA Entry'!I117="","",'Student DATA Entry'!I117)</f>
        <v/>
      </c>
      <c r="F121" s="127" t="str">
        <f>IF('Student DATA Entry'!F117="","",UPPER('Student DATA Entry'!F117))</f>
        <v/>
      </c>
      <c r="G121" s="127" t="str">
        <f>IF('Student DATA Entry'!G117="","",UPPER('Student DATA Entry'!G117))</f>
        <v/>
      </c>
      <c r="H121" s="127" t="str">
        <f>IF('Student DATA Entry'!H117="","",UPPER('Student DATA Entry'!H117))</f>
        <v/>
      </c>
      <c r="I121" s="526" t="str">
        <f>IF('Student DATA Entry'!K117="","",UPPER('Student DATA Entry'!K117))</f>
        <v/>
      </c>
      <c r="J121" s="560" t="str">
        <f>IF('Student DATA Entry'!J117="","",UPPER('Student DATA Entry'!J117))</f>
        <v/>
      </c>
      <c r="K121" s="561"/>
      <c r="L121" s="43"/>
      <c r="M121" s="43"/>
      <c r="N121" s="53"/>
      <c r="O121" s="562"/>
      <c r="P121" s="561"/>
      <c r="Q121" s="43"/>
      <c r="R121" s="43"/>
      <c r="S121" s="53"/>
      <c r="T121" s="562"/>
      <c r="U121" s="103"/>
      <c r="V121" s="43"/>
      <c r="W121" s="43"/>
      <c r="X121" s="43"/>
      <c r="Y121" s="53"/>
      <c r="Z121" s="53"/>
      <c r="AA121" s="58"/>
      <c r="AB121" s="565"/>
      <c r="AC121" s="103"/>
      <c r="AD121" s="43"/>
      <c r="AE121" s="43"/>
      <c r="AF121" s="43"/>
      <c r="AG121" s="53"/>
      <c r="AH121" s="53"/>
      <c r="AI121" s="58"/>
      <c r="AJ121" s="565"/>
      <c r="AK121" s="103"/>
      <c r="AL121" s="43"/>
      <c r="AM121" s="43"/>
      <c r="AN121" s="43"/>
      <c r="AO121" s="53"/>
      <c r="AP121" s="53"/>
      <c r="AQ121" s="58"/>
      <c r="AR121" s="565"/>
      <c r="AS121" s="18"/>
      <c r="AT121" s="43"/>
      <c r="AU121" s="43"/>
      <c r="AV121" s="43"/>
      <c r="AW121" s="52"/>
      <c r="AX121" s="53"/>
      <c r="AY121" s="57"/>
      <c r="AZ121" s="110"/>
      <c r="BA121" s="110"/>
      <c r="BB121" s="551"/>
      <c r="BC121" s="552"/>
      <c r="BD121" s="104"/>
      <c r="BE121" s="103"/>
      <c r="BF121" s="19"/>
      <c r="BG121" s="19"/>
      <c r="BH121" s="20"/>
      <c r="BI121" s="104"/>
      <c r="BJ121" s="8"/>
    </row>
    <row r="122" spans="1:62">
      <c r="A122" s="516">
        <f>IF('Student DATA Entry'!A118="","",'Student DATA Entry'!A118)</f>
        <v>115</v>
      </c>
      <c r="B122" s="528" t="str">
        <f>IF('Student DATA Entry'!B118="","",'Student DATA Entry'!B118)</f>
        <v/>
      </c>
      <c r="C122" s="126" t="str">
        <f>IF('Student DATA Entry'!D118="","",'Student DATA Entry'!D118)</f>
        <v/>
      </c>
      <c r="D122" s="530" t="str">
        <f>IF('Student DATA Entry'!E118="","",'Student DATA Entry'!E118)</f>
        <v/>
      </c>
      <c r="E122" s="532" t="str">
        <f>IF('Student DATA Entry'!I118="","",'Student DATA Entry'!I118)</f>
        <v/>
      </c>
      <c r="F122" s="127" t="str">
        <f>IF('Student DATA Entry'!F118="","",UPPER('Student DATA Entry'!F118))</f>
        <v/>
      </c>
      <c r="G122" s="127" t="str">
        <f>IF('Student DATA Entry'!G118="","",UPPER('Student DATA Entry'!G118))</f>
        <v/>
      </c>
      <c r="H122" s="127" t="str">
        <f>IF('Student DATA Entry'!H118="","",UPPER('Student DATA Entry'!H118))</f>
        <v/>
      </c>
      <c r="I122" s="526" t="str">
        <f>IF('Student DATA Entry'!K118="","",UPPER('Student DATA Entry'!K118))</f>
        <v/>
      </c>
      <c r="J122" s="560" t="str">
        <f>IF('Student DATA Entry'!J118="","",UPPER('Student DATA Entry'!J118))</f>
        <v/>
      </c>
      <c r="K122" s="561"/>
      <c r="L122" s="43"/>
      <c r="M122" s="43"/>
      <c r="N122" s="53"/>
      <c r="O122" s="562"/>
      <c r="P122" s="561"/>
      <c r="Q122" s="43"/>
      <c r="R122" s="43"/>
      <c r="S122" s="53"/>
      <c r="T122" s="562"/>
      <c r="U122" s="103"/>
      <c r="V122" s="43"/>
      <c r="W122" s="43"/>
      <c r="X122" s="43"/>
      <c r="Y122" s="53"/>
      <c r="Z122" s="53"/>
      <c r="AA122" s="58"/>
      <c r="AB122" s="565"/>
      <c r="AC122" s="103"/>
      <c r="AD122" s="43"/>
      <c r="AE122" s="43"/>
      <c r="AF122" s="43"/>
      <c r="AG122" s="53"/>
      <c r="AH122" s="53"/>
      <c r="AI122" s="58"/>
      <c r="AJ122" s="565"/>
      <c r="AK122" s="103"/>
      <c r="AL122" s="43"/>
      <c r="AM122" s="43"/>
      <c r="AN122" s="43"/>
      <c r="AO122" s="53"/>
      <c r="AP122" s="53"/>
      <c r="AQ122" s="58"/>
      <c r="AR122" s="565"/>
      <c r="AS122" s="18"/>
      <c r="AT122" s="43"/>
      <c r="AU122" s="43"/>
      <c r="AV122" s="43"/>
      <c r="AW122" s="52"/>
      <c r="AX122" s="53"/>
      <c r="AY122" s="57"/>
      <c r="AZ122" s="110"/>
      <c r="BA122" s="110"/>
      <c r="BB122" s="551"/>
      <c r="BC122" s="552"/>
      <c r="BD122" s="104"/>
      <c r="BE122" s="103"/>
      <c r="BF122" s="19"/>
      <c r="BG122" s="19"/>
      <c r="BH122" s="20"/>
      <c r="BI122" s="104"/>
      <c r="BJ122" s="8"/>
    </row>
    <row r="123" spans="1:62">
      <c r="A123" s="516">
        <f>IF('Student DATA Entry'!A119="","",'Student DATA Entry'!A119)</f>
        <v>116</v>
      </c>
      <c r="B123" s="528" t="str">
        <f>IF('Student DATA Entry'!B119="","",'Student DATA Entry'!B119)</f>
        <v/>
      </c>
      <c r="C123" s="126" t="str">
        <f>IF('Student DATA Entry'!D119="","",'Student DATA Entry'!D119)</f>
        <v/>
      </c>
      <c r="D123" s="530" t="str">
        <f>IF('Student DATA Entry'!E119="","",'Student DATA Entry'!E119)</f>
        <v/>
      </c>
      <c r="E123" s="532" t="str">
        <f>IF('Student DATA Entry'!I119="","",'Student DATA Entry'!I119)</f>
        <v/>
      </c>
      <c r="F123" s="127" t="str">
        <f>IF('Student DATA Entry'!F119="","",UPPER('Student DATA Entry'!F119))</f>
        <v/>
      </c>
      <c r="G123" s="127" t="str">
        <f>IF('Student DATA Entry'!G119="","",UPPER('Student DATA Entry'!G119))</f>
        <v/>
      </c>
      <c r="H123" s="127" t="str">
        <f>IF('Student DATA Entry'!H119="","",UPPER('Student DATA Entry'!H119))</f>
        <v/>
      </c>
      <c r="I123" s="526" t="str">
        <f>IF('Student DATA Entry'!K119="","",UPPER('Student DATA Entry'!K119))</f>
        <v/>
      </c>
      <c r="J123" s="560" t="str">
        <f>IF('Student DATA Entry'!J119="","",UPPER('Student DATA Entry'!J119))</f>
        <v/>
      </c>
      <c r="K123" s="561"/>
      <c r="L123" s="43"/>
      <c r="M123" s="43"/>
      <c r="N123" s="53"/>
      <c r="O123" s="562"/>
      <c r="P123" s="561"/>
      <c r="Q123" s="43"/>
      <c r="R123" s="43"/>
      <c r="S123" s="53"/>
      <c r="T123" s="562"/>
      <c r="U123" s="103"/>
      <c r="V123" s="43"/>
      <c r="W123" s="43"/>
      <c r="X123" s="43"/>
      <c r="Y123" s="53"/>
      <c r="Z123" s="53"/>
      <c r="AA123" s="58"/>
      <c r="AB123" s="565"/>
      <c r="AC123" s="103"/>
      <c r="AD123" s="43"/>
      <c r="AE123" s="43"/>
      <c r="AF123" s="43"/>
      <c r="AG123" s="53"/>
      <c r="AH123" s="53"/>
      <c r="AI123" s="58"/>
      <c r="AJ123" s="565"/>
      <c r="AK123" s="103"/>
      <c r="AL123" s="43"/>
      <c r="AM123" s="43"/>
      <c r="AN123" s="43"/>
      <c r="AO123" s="53"/>
      <c r="AP123" s="53"/>
      <c r="AQ123" s="58"/>
      <c r="AR123" s="565"/>
      <c r="AS123" s="18"/>
      <c r="AT123" s="43"/>
      <c r="AU123" s="43"/>
      <c r="AV123" s="43"/>
      <c r="AW123" s="52"/>
      <c r="AX123" s="53"/>
      <c r="AY123" s="57"/>
      <c r="AZ123" s="110"/>
      <c r="BA123" s="110"/>
      <c r="BB123" s="551"/>
      <c r="BC123" s="552"/>
      <c r="BD123" s="104"/>
      <c r="BE123" s="103"/>
      <c r="BF123" s="19"/>
      <c r="BG123" s="19"/>
      <c r="BH123" s="20"/>
      <c r="BI123" s="104"/>
      <c r="BJ123" s="8"/>
    </row>
    <row r="124" spans="1:62">
      <c r="A124" s="516">
        <f>IF('Student DATA Entry'!A120="","",'Student DATA Entry'!A120)</f>
        <v>117</v>
      </c>
      <c r="B124" s="528" t="str">
        <f>IF('Student DATA Entry'!B120="","",'Student DATA Entry'!B120)</f>
        <v/>
      </c>
      <c r="C124" s="126" t="str">
        <f>IF('Student DATA Entry'!D120="","",'Student DATA Entry'!D120)</f>
        <v/>
      </c>
      <c r="D124" s="530" t="str">
        <f>IF('Student DATA Entry'!E120="","",'Student DATA Entry'!E120)</f>
        <v/>
      </c>
      <c r="E124" s="532" t="str">
        <f>IF('Student DATA Entry'!I120="","",'Student DATA Entry'!I120)</f>
        <v/>
      </c>
      <c r="F124" s="127" t="str">
        <f>IF('Student DATA Entry'!F120="","",UPPER('Student DATA Entry'!F120))</f>
        <v/>
      </c>
      <c r="G124" s="127" t="str">
        <f>IF('Student DATA Entry'!G120="","",UPPER('Student DATA Entry'!G120))</f>
        <v/>
      </c>
      <c r="H124" s="127" t="str">
        <f>IF('Student DATA Entry'!H120="","",UPPER('Student DATA Entry'!H120))</f>
        <v/>
      </c>
      <c r="I124" s="526" t="str">
        <f>IF('Student DATA Entry'!K120="","",UPPER('Student DATA Entry'!K120))</f>
        <v/>
      </c>
      <c r="J124" s="560" t="str">
        <f>IF('Student DATA Entry'!J120="","",UPPER('Student DATA Entry'!J120))</f>
        <v/>
      </c>
      <c r="K124" s="561"/>
      <c r="L124" s="43"/>
      <c r="M124" s="43"/>
      <c r="N124" s="53"/>
      <c r="O124" s="562"/>
      <c r="P124" s="561"/>
      <c r="Q124" s="43"/>
      <c r="R124" s="43"/>
      <c r="S124" s="53"/>
      <c r="T124" s="562"/>
      <c r="U124" s="103"/>
      <c r="V124" s="43"/>
      <c r="W124" s="43"/>
      <c r="X124" s="43"/>
      <c r="Y124" s="53"/>
      <c r="Z124" s="53"/>
      <c r="AA124" s="58"/>
      <c r="AB124" s="565"/>
      <c r="AC124" s="103"/>
      <c r="AD124" s="43"/>
      <c r="AE124" s="43"/>
      <c r="AF124" s="43"/>
      <c r="AG124" s="53"/>
      <c r="AH124" s="53"/>
      <c r="AI124" s="58"/>
      <c r="AJ124" s="565"/>
      <c r="AK124" s="103"/>
      <c r="AL124" s="43"/>
      <c r="AM124" s="43"/>
      <c r="AN124" s="43"/>
      <c r="AO124" s="53"/>
      <c r="AP124" s="53"/>
      <c r="AQ124" s="58"/>
      <c r="AR124" s="565"/>
      <c r="AS124" s="18"/>
      <c r="AT124" s="43"/>
      <c r="AU124" s="43"/>
      <c r="AV124" s="43"/>
      <c r="AW124" s="52"/>
      <c r="AX124" s="53"/>
      <c r="AY124" s="57"/>
      <c r="AZ124" s="110"/>
      <c r="BA124" s="110"/>
      <c r="BB124" s="551"/>
      <c r="BC124" s="552"/>
      <c r="BD124" s="104"/>
      <c r="BE124" s="103"/>
      <c r="BF124" s="19"/>
      <c r="BG124" s="19"/>
      <c r="BH124" s="20"/>
      <c r="BI124" s="104"/>
      <c r="BJ124" s="8"/>
    </row>
    <row r="125" spans="1:62">
      <c r="A125" s="516">
        <f>IF('Student DATA Entry'!A121="","",'Student DATA Entry'!A121)</f>
        <v>118</v>
      </c>
      <c r="B125" s="528" t="str">
        <f>IF('Student DATA Entry'!B121="","",'Student DATA Entry'!B121)</f>
        <v/>
      </c>
      <c r="C125" s="126" t="str">
        <f>IF('Student DATA Entry'!D121="","",'Student DATA Entry'!D121)</f>
        <v/>
      </c>
      <c r="D125" s="530" t="str">
        <f>IF('Student DATA Entry'!E121="","",'Student DATA Entry'!E121)</f>
        <v/>
      </c>
      <c r="E125" s="532" t="str">
        <f>IF('Student DATA Entry'!I121="","",'Student DATA Entry'!I121)</f>
        <v/>
      </c>
      <c r="F125" s="127" t="str">
        <f>IF('Student DATA Entry'!F121="","",UPPER('Student DATA Entry'!F121))</f>
        <v/>
      </c>
      <c r="G125" s="127" t="str">
        <f>IF('Student DATA Entry'!G121="","",UPPER('Student DATA Entry'!G121))</f>
        <v/>
      </c>
      <c r="H125" s="127" t="str">
        <f>IF('Student DATA Entry'!H121="","",UPPER('Student DATA Entry'!H121))</f>
        <v/>
      </c>
      <c r="I125" s="526" t="str">
        <f>IF('Student DATA Entry'!K121="","",UPPER('Student DATA Entry'!K121))</f>
        <v/>
      </c>
      <c r="J125" s="560" t="str">
        <f>IF('Student DATA Entry'!J121="","",UPPER('Student DATA Entry'!J121))</f>
        <v/>
      </c>
      <c r="K125" s="561"/>
      <c r="L125" s="43"/>
      <c r="M125" s="43"/>
      <c r="N125" s="53"/>
      <c r="O125" s="562"/>
      <c r="P125" s="561"/>
      <c r="Q125" s="43"/>
      <c r="R125" s="43"/>
      <c r="S125" s="53"/>
      <c r="T125" s="562"/>
      <c r="U125" s="103"/>
      <c r="V125" s="43"/>
      <c r="W125" s="43"/>
      <c r="X125" s="43"/>
      <c r="Y125" s="53"/>
      <c r="Z125" s="53"/>
      <c r="AA125" s="58"/>
      <c r="AB125" s="565"/>
      <c r="AC125" s="103"/>
      <c r="AD125" s="43"/>
      <c r="AE125" s="43"/>
      <c r="AF125" s="43"/>
      <c r="AG125" s="53"/>
      <c r="AH125" s="53"/>
      <c r="AI125" s="58"/>
      <c r="AJ125" s="565"/>
      <c r="AK125" s="103"/>
      <c r="AL125" s="43"/>
      <c r="AM125" s="43"/>
      <c r="AN125" s="43"/>
      <c r="AO125" s="53"/>
      <c r="AP125" s="53"/>
      <c r="AQ125" s="58"/>
      <c r="AR125" s="565"/>
      <c r="AS125" s="18"/>
      <c r="AT125" s="43"/>
      <c r="AU125" s="43"/>
      <c r="AV125" s="43"/>
      <c r="AW125" s="52"/>
      <c r="AX125" s="53"/>
      <c r="AY125" s="57"/>
      <c r="AZ125" s="110"/>
      <c r="BA125" s="110"/>
      <c r="BB125" s="551"/>
      <c r="BC125" s="552"/>
      <c r="BD125" s="104"/>
      <c r="BE125" s="103"/>
      <c r="BF125" s="19"/>
      <c r="BG125" s="19"/>
      <c r="BH125" s="20"/>
      <c r="BI125" s="104"/>
      <c r="BJ125" s="8"/>
    </row>
    <row r="126" spans="1:62">
      <c r="A126" s="516">
        <f>IF('Student DATA Entry'!A122="","",'Student DATA Entry'!A122)</f>
        <v>119</v>
      </c>
      <c r="B126" s="528" t="str">
        <f>IF('Student DATA Entry'!B122="","",'Student DATA Entry'!B122)</f>
        <v/>
      </c>
      <c r="C126" s="126" t="str">
        <f>IF('Student DATA Entry'!D122="","",'Student DATA Entry'!D122)</f>
        <v/>
      </c>
      <c r="D126" s="530" t="str">
        <f>IF('Student DATA Entry'!E122="","",'Student DATA Entry'!E122)</f>
        <v/>
      </c>
      <c r="E126" s="532" t="str">
        <f>IF('Student DATA Entry'!I122="","",'Student DATA Entry'!I122)</f>
        <v/>
      </c>
      <c r="F126" s="127" t="str">
        <f>IF('Student DATA Entry'!F122="","",UPPER('Student DATA Entry'!F122))</f>
        <v/>
      </c>
      <c r="G126" s="127" t="str">
        <f>IF('Student DATA Entry'!G122="","",UPPER('Student DATA Entry'!G122))</f>
        <v/>
      </c>
      <c r="H126" s="127" t="str">
        <f>IF('Student DATA Entry'!H122="","",UPPER('Student DATA Entry'!H122))</f>
        <v/>
      </c>
      <c r="I126" s="526" t="str">
        <f>IF('Student DATA Entry'!K122="","",UPPER('Student DATA Entry'!K122))</f>
        <v/>
      </c>
      <c r="J126" s="560" t="str">
        <f>IF('Student DATA Entry'!J122="","",UPPER('Student DATA Entry'!J122))</f>
        <v/>
      </c>
      <c r="K126" s="561"/>
      <c r="L126" s="43"/>
      <c r="M126" s="43"/>
      <c r="N126" s="53"/>
      <c r="O126" s="562"/>
      <c r="P126" s="561"/>
      <c r="Q126" s="43"/>
      <c r="R126" s="43"/>
      <c r="S126" s="53"/>
      <c r="T126" s="562"/>
      <c r="U126" s="103"/>
      <c r="V126" s="43"/>
      <c r="W126" s="43"/>
      <c r="X126" s="43"/>
      <c r="Y126" s="53"/>
      <c r="Z126" s="53"/>
      <c r="AA126" s="58"/>
      <c r="AB126" s="565"/>
      <c r="AC126" s="103"/>
      <c r="AD126" s="43"/>
      <c r="AE126" s="43"/>
      <c r="AF126" s="43"/>
      <c r="AG126" s="53"/>
      <c r="AH126" s="53"/>
      <c r="AI126" s="58"/>
      <c r="AJ126" s="565"/>
      <c r="AK126" s="103"/>
      <c r="AL126" s="43"/>
      <c r="AM126" s="43"/>
      <c r="AN126" s="43"/>
      <c r="AO126" s="53"/>
      <c r="AP126" s="53"/>
      <c r="AQ126" s="58"/>
      <c r="AR126" s="565"/>
      <c r="AS126" s="18"/>
      <c r="AT126" s="43"/>
      <c r="AU126" s="43"/>
      <c r="AV126" s="43"/>
      <c r="AW126" s="52"/>
      <c r="AX126" s="53"/>
      <c r="AY126" s="57"/>
      <c r="AZ126" s="110"/>
      <c r="BA126" s="110"/>
      <c r="BB126" s="551"/>
      <c r="BC126" s="552"/>
      <c r="BD126" s="104"/>
      <c r="BE126" s="103"/>
      <c r="BF126" s="19"/>
      <c r="BG126" s="19"/>
      <c r="BH126" s="20"/>
      <c r="BI126" s="104"/>
      <c r="BJ126" s="8"/>
    </row>
    <row r="127" spans="1:62">
      <c r="A127" s="516">
        <f>IF('Student DATA Entry'!A123="","",'Student DATA Entry'!A123)</f>
        <v>120</v>
      </c>
      <c r="B127" s="528" t="str">
        <f>IF('Student DATA Entry'!B123="","",'Student DATA Entry'!B123)</f>
        <v/>
      </c>
      <c r="C127" s="126" t="str">
        <f>IF('Student DATA Entry'!D123="","",'Student DATA Entry'!D123)</f>
        <v/>
      </c>
      <c r="D127" s="530" t="str">
        <f>IF('Student DATA Entry'!E123="","",'Student DATA Entry'!E123)</f>
        <v/>
      </c>
      <c r="E127" s="532" t="str">
        <f>IF('Student DATA Entry'!I123="","",'Student DATA Entry'!I123)</f>
        <v/>
      </c>
      <c r="F127" s="127" t="str">
        <f>IF('Student DATA Entry'!F123="","",UPPER('Student DATA Entry'!F123))</f>
        <v/>
      </c>
      <c r="G127" s="127" t="str">
        <f>IF('Student DATA Entry'!G123="","",UPPER('Student DATA Entry'!G123))</f>
        <v/>
      </c>
      <c r="H127" s="127" t="str">
        <f>IF('Student DATA Entry'!H123="","",UPPER('Student DATA Entry'!H123))</f>
        <v/>
      </c>
      <c r="I127" s="526" t="str">
        <f>IF('Student DATA Entry'!K123="","",UPPER('Student DATA Entry'!K123))</f>
        <v/>
      </c>
      <c r="J127" s="560" t="str">
        <f>IF('Student DATA Entry'!J123="","",UPPER('Student DATA Entry'!J123))</f>
        <v/>
      </c>
      <c r="K127" s="561"/>
      <c r="L127" s="43"/>
      <c r="M127" s="43"/>
      <c r="N127" s="53"/>
      <c r="O127" s="562"/>
      <c r="P127" s="561"/>
      <c r="Q127" s="43"/>
      <c r="R127" s="43"/>
      <c r="S127" s="53"/>
      <c r="T127" s="562"/>
      <c r="U127" s="103"/>
      <c r="V127" s="43"/>
      <c r="W127" s="43"/>
      <c r="X127" s="43"/>
      <c r="Y127" s="53"/>
      <c r="Z127" s="53"/>
      <c r="AA127" s="58"/>
      <c r="AB127" s="565"/>
      <c r="AC127" s="103"/>
      <c r="AD127" s="43"/>
      <c r="AE127" s="43"/>
      <c r="AF127" s="43"/>
      <c r="AG127" s="53"/>
      <c r="AH127" s="53"/>
      <c r="AI127" s="58"/>
      <c r="AJ127" s="565"/>
      <c r="AK127" s="103"/>
      <c r="AL127" s="43"/>
      <c r="AM127" s="43"/>
      <c r="AN127" s="43"/>
      <c r="AO127" s="53"/>
      <c r="AP127" s="53"/>
      <c r="AQ127" s="58"/>
      <c r="AR127" s="565"/>
      <c r="AS127" s="18"/>
      <c r="AT127" s="43"/>
      <c r="AU127" s="43"/>
      <c r="AV127" s="43"/>
      <c r="AW127" s="52"/>
      <c r="AX127" s="53"/>
      <c r="AY127" s="57"/>
      <c r="AZ127" s="110"/>
      <c r="BA127" s="110"/>
      <c r="BB127" s="551"/>
      <c r="BC127" s="552"/>
      <c r="BD127" s="104"/>
      <c r="BE127" s="103"/>
      <c r="BF127" s="19"/>
      <c r="BG127" s="19"/>
      <c r="BH127" s="20"/>
      <c r="BI127" s="104"/>
      <c r="BJ127" s="8"/>
    </row>
    <row r="128" spans="1:62">
      <c r="A128" s="516">
        <f>IF('Student DATA Entry'!A124="","",'Student DATA Entry'!A124)</f>
        <v>121</v>
      </c>
      <c r="B128" s="528" t="str">
        <f>IF('Student DATA Entry'!B124="","",'Student DATA Entry'!B124)</f>
        <v/>
      </c>
      <c r="C128" s="126" t="str">
        <f>IF('Student DATA Entry'!D124="","",'Student DATA Entry'!D124)</f>
        <v/>
      </c>
      <c r="D128" s="530" t="str">
        <f>IF('Student DATA Entry'!E124="","",'Student DATA Entry'!E124)</f>
        <v/>
      </c>
      <c r="E128" s="532" t="str">
        <f>IF('Student DATA Entry'!I124="","",'Student DATA Entry'!I124)</f>
        <v/>
      </c>
      <c r="F128" s="127" t="str">
        <f>IF('Student DATA Entry'!F124="","",UPPER('Student DATA Entry'!F124))</f>
        <v/>
      </c>
      <c r="G128" s="127" t="str">
        <f>IF('Student DATA Entry'!G124="","",UPPER('Student DATA Entry'!G124))</f>
        <v/>
      </c>
      <c r="H128" s="127" t="str">
        <f>IF('Student DATA Entry'!H124="","",UPPER('Student DATA Entry'!H124))</f>
        <v/>
      </c>
      <c r="I128" s="526" t="str">
        <f>IF('Student DATA Entry'!K124="","",UPPER('Student DATA Entry'!K124))</f>
        <v/>
      </c>
      <c r="J128" s="560" t="str">
        <f>IF('Student DATA Entry'!J124="","",UPPER('Student DATA Entry'!J124))</f>
        <v/>
      </c>
      <c r="K128" s="561"/>
      <c r="L128" s="43"/>
      <c r="M128" s="43"/>
      <c r="N128" s="53"/>
      <c r="O128" s="562"/>
      <c r="P128" s="561"/>
      <c r="Q128" s="43"/>
      <c r="R128" s="43"/>
      <c r="S128" s="53"/>
      <c r="T128" s="562"/>
      <c r="U128" s="103"/>
      <c r="V128" s="43"/>
      <c r="W128" s="43"/>
      <c r="X128" s="43"/>
      <c r="Y128" s="53"/>
      <c r="Z128" s="53"/>
      <c r="AA128" s="58"/>
      <c r="AB128" s="565"/>
      <c r="AC128" s="103"/>
      <c r="AD128" s="43"/>
      <c r="AE128" s="43"/>
      <c r="AF128" s="43"/>
      <c r="AG128" s="53"/>
      <c r="AH128" s="53"/>
      <c r="AI128" s="58"/>
      <c r="AJ128" s="565"/>
      <c r="AK128" s="103"/>
      <c r="AL128" s="43"/>
      <c r="AM128" s="43"/>
      <c r="AN128" s="43"/>
      <c r="AO128" s="53"/>
      <c r="AP128" s="53"/>
      <c r="AQ128" s="58"/>
      <c r="AR128" s="565"/>
      <c r="AS128" s="18"/>
      <c r="AT128" s="43"/>
      <c r="AU128" s="43"/>
      <c r="AV128" s="43"/>
      <c r="AW128" s="52"/>
      <c r="AX128" s="53"/>
      <c r="AY128" s="57"/>
      <c r="AZ128" s="110"/>
      <c r="BA128" s="110"/>
      <c r="BB128" s="551"/>
      <c r="BC128" s="552"/>
      <c r="BD128" s="104"/>
      <c r="BE128" s="103"/>
      <c r="BF128" s="19"/>
      <c r="BG128" s="19"/>
      <c r="BH128" s="20"/>
      <c r="BI128" s="104"/>
      <c r="BJ128" s="8"/>
    </row>
    <row r="129" spans="1:62">
      <c r="A129" s="516">
        <f>IF('Student DATA Entry'!A125="","",'Student DATA Entry'!A125)</f>
        <v>122</v>
      </c>
      <c r="B129" s="528" t="str">
        <f>IF('Student DATA Entry'!B125="","",'Student DATA Entry'!B125)</f>
        <v/>
      </c>
      <c r="C129" s="126" t="str">
        <f>IF('Student DATA Entry'!D125="","",'Student DATA Entry'!D125)</f>
        <v/>
      </c>
      <c r="D129" s="530" t="str">
        <f>IF('Student DATA Entry'!E125="","",'Student DATA Entry'!E125)</f>
        <v/>
      </c>
      <c r="E129" s="532" t="str">
        <f>IF('Student DATA Entry'!I125="","",'Student DATA Entry'!I125)</f>
        <v/>
      </c>
      <c r="F129" s="127" t="str">
        <f>IF('Student DATA Entry'!F125="","",UPPER('Student DATA Entry'!F125))</f>
        <v/>
      </c>
      <c r="G129" s="127" t="str">
        <f>IF('Student DATA Entry'!G125="","",UPPER('Student DATA Entry'!G125))</f>
        <v/>
      </c>
      <c r="H129" s="127" t="str">
        <f>IF('Student DATA Entry'!H125="","",UPPER('Student DATA Entry'!H125))</f>
        <v/>
      </c>
      <c r="I129" s="526" t="str">
        <f>IF('Student DATA Entry'!K125="","",UPPER('Student DATA Entry'!K125))</f>
        <v/>
      </c>
      <c r="J129" s="560" t="str">
        <f>IF('Student DATA Entry'!J125="","",UPPER('Student DATA Entry'!J125))</f>
        <v/>
      </c>
      <c r="K129" s="561"/>
      <c r="L129" s="43"/>
      <c r="M129" s="43"/>
      <c r="N129" s="53"/>
      <c r="O129" s="562"/>
      <c r="P129" s="561"/>
      <c r="Q129" s="43"/>
      <c r="R129" s="43"/>
      <c r="S129" s="53"/>
      <c r="T129" s="562"/>
      <c r="U129" s="103"/>
      <c r="V129" s="43"/>
      <c r="W129" s="43"/>
      <c r="X129" s="43"/>
      <c r="Y129" s="53"/>
      <c r="Z129" s="53"/>
      <c r="AA129" s="58"/>
      <c r="AB129" s="565"/>
      <c r="AC129" s="103"/>
      <c r="AD129" s="43"/>
      <c r="AE129" s="43"/>
      <c r="AF129" s="43"/>
      <c r="AG129" s="53"/>
      <c r="AH129" s="53"/>
      <c r="AI129" s="58"/>
      <c r="AJ129" s="565"/>
      <c r="AK129" s="103"/>
      <c r="AL129" s="43"/>
      <c r="AM129" s="43"/>
      <c r="AN129" s="43"/>
      <c r="AO129" s="53"/>
      <c r="AP129" s="53"/>
      <c r="AQ129" s="58"/>
      <c r="AR129" s="565"/>
      <c r="AS129" s="18"/>
      <c r="AT129" s="43"/>
      <c r="AU129" s="43"/>
      <c r="AV129" s="43"/>
      <c r="AW129" s="52"/>
      <c r="AX129" s="53"/>
      <c r="AY129" s="57"/>
      <c r="AZ129" s="110"/>
      <c r="BA129" s="110"/>
      <c r="BB129" s="551"/>
      <c r="BC129" s="552"/>
      <c r="BD129" s="104"/>
      <c r="BE129" s="103"/>
      <c r="BF129" s="19"/>
      <c r="BG129" s="19"/>
      <c r="BH129" s="20"/>
      <c r="BI129" s="104"/>
      <c r="BJ129" s="8"/>
    </row>
    <row r="130" spans="1:62">
      <c r="A130" s="516">
        <f>IF('Student DATA Entry'!A126="","",'Student DATA Entry'!A126)</f>
        <v>123</v>
      </c>
      <c r="B130" s="528" t="str">
        <f>IF('Student DATA Entry'!B126="","",'Student DATA Entry'!B126)</f>
        <v/>
      </c>
      <c r="C130" s="126" t="str">
        <f>IF('Student DATA Entry'!D126="","",'Student DATA Entry'!D126)</f>
        <v/>
      </c>
      <c r="D130" s="530" t="str">
        <f>IF('Student DATA Entry'!E126="","",'Student DATA Entry'!E126)</f>
        <v/>
      </c>
      <c r="E130" s="532" t="str">
        <f>IF('Student DATA Entry'!I126="","",'Student DATA Entry'!I126)</f>
        <v/>
      </c>
      <c r="F130" s="127" t="str">
        <f>IF('Student DATA Entry'!F126="","",UPPER('Student DATA Entry'!F126))</f>
        <v/>
      </c>
      <c r="G130" s="127" t="str">
        <f>IF('Student DATA Entry'!G126="","",UPPER('Student DATA Entry'!G126))</f>
        <v/>
      </c>
      <c r="H130" s="127" t="str">
        <f>IF('Student DATA Entry'!H126="","",UPPER('Student DATA Entry'!H126))</f>
        <v/>
      </c>
      <c r="I130" s="526" t="str">
        <f>IF('Student DATA Entry'!K126="","",UPPER('Student DATA Entry'!K126))</f>
        <v/>
      </c>
      <c r="J130" s="560" t="str">
        <f>IF('Student DATA Entry'!J126="","",UPPER('Student DATA Entry'!J126))</f>
        <v/>
      </c>
      <c r="K130" s="561"/>
      <c r="L130" s="43"/>
      <c r="M130" s="43"/>
      <c r="N130" s="53"/>
      <c r="O130" s="562"/>
      <c r="P130" s="561"/>
      <c r="Q130" s="43"/>
      <c r="R130" s="43"/>
      <c r="S130" s="53"/>
      <c r="T130" s="562"/>
      <c r="U130" s="103"/>
      <c r="V130" s="43"/>
      <c r="W130" s="43"/>
      <c r="X130" s="43"/>
      <c r="Y130" s="53"/>
      <c r="Z130" s="53"/>
      <c r="AA130" s="58"/>
      <c r="AB130" s="565"/>
      <c r="AC130" s="103"/>
      <c r="AD130" s="43"/>
      <c r="AE130" s="43"/>
      <c r="AF130" s="43"/>
      <c r="AG130" s="53"/>
      <c r="AH130" s="53"/>
      <c r="AI130" s="58"/>
      <c r="AJ130" s="565"/>
      <c r="AK130" s="103"/>
      <c r="AL130" s="43"/>
      <c r="AM130" s="43"/>
      <c r="AN130" s="43"/>
      <c r="AO130" s="53"/>
      <c r="AP130" s="53"/>
      <c r="AQ130" s="58"/>
      <c r="AR130" s="565"/>
      <c r="AS130" s="18"/>
      <c r="AT130" s="43"/>
      <c r="AU130" s="43"/>
      <c r="AV130" s="43"/>
      <c r="AW130" s="52"/>
      <c r="AX130" s="53"/>
      <c r="AY130" s="57"/>
      <c r="AZ130" s="110"/>
      <c r="BA130" s="110"/>
      <c r="BB130" s="551"/>
      <c r="BC130" s="552"/>
      <c r="BD130" s="104"/>
      <c r="BE130" s="103"/>
      <c r="BF130" s="19"/>
      <c r="BG130" s="19"/>
      <c r="BH130" s="20"/>
      <c r="BI130" s="104"/>
      <c r="BJ130" s="8"/>
    </row>
    <row r="131" spans="1:62">
      <c r="A131" s="516">
        <f>IF('Student DATA Entry'!A127="","",'Student DATA Entry'!A127)</f>
        <v>124</v>
      </c>
      <c r="B131" s="528" t="str">
        <f>IF('Student DATA Entry'!B127="","",'Student DATA Entry'!B127)</f>
        <v/>
      </c>
      <c r="C131" s="126" t="str">
        <f>IF('Student DATA Entry'!D127="","",'Student DATA Entry'!D127)</f>
        <v/>
      </c>
      <c r="D131" s="530" t="str">
        <f>IF('Student DATA Entry'!E127="","",'Student DATA Entry'!E127)</f>
        <v/>
      </c>
      <c r="E131" s="532" t="str">
        <f>IF('Student DATA Entry'!I127="","",'Student DATA Entry'!I127)</f>
        <v/>
      </c>
      <c r="F131" s="127" t="str">
        <f>IF('Student DATA Entry'!F127="","",UPPER('Student DATA Entry'!F127))</f>
        <v/>
      </c>
      <c r="G131" s="127" t="str">
        <f>IF('Student DATA Entry'!G127="","",UPPER('Student DATA Entry'!G127))</f>
        <v/>
      </c>
      <c r="H131" s="127" t="str">
        <f>IF('Student DATA Entry'!H127="","",UPPER('Student DATA Entry'!H127))</f>
        <v/>
      </c>
      <c r="I131" s="526" t="str">
        <f>IF('Student DATA Entry'!K127="","",UPPER('Student DATA Entry'!K127))</f>
        <v/>
      </c>
      <c r="J131" s="560" t="str">
        <f>IF('Student DATA Entry'!J127="","",UPPER('Student DATA Entry'!J127))</f>
        <v/>
      </c>
      <c r="K131" s="561"/>
      <c r="L131" s="43"/>
      <c r="M131" s="43"/>
      <c r="N131" s="53"/>
      <c r="O131" s="562"/>
      <c r="P131" s="561"/>
      <c r="Q131" s="43"/>
      <c r="R131" s="43"/>
      <c r="S131" s="53"/>
      <c r="T131" s="562"/>
      <c r="U131" s="103"/>
      <c r="V131" s="43"/>
      <c r="W131" s="43"/>
      <c r="X131" s="43"/>
      <c r="Y131" s="53"/>
      <c r="Z131" s="53"/>
      <c r="AA131" s="58"/>
      <c r="AB131" s="565"/>
      <c r="AC131" s="103"/>
      <c r="AD131" s="43"/>
      <c r="AE131" s="43"/>
      <c r="AF131" s="43"/>
      <c r="AG131" s="53"/>
      <c r="AH131" s="53"/>
      <c r="AI131" s="58"/>
      <c r="AJ131" s="565"/>
      <c r="AK131" s="103"/>
      <c r="AL131" s="43"/>
      <c r="AM131" s="43"/>
      <c r="AN131" s="43"/>
      <c r="AO131" s="53"/>
      <c r="AP131" s="53"/>
      <c r="AQ131" s="58"/>
      <c r="AR131" s="565"/>
      <c r="AS131" s="18"/>
      <c r="AT131" s="43"/>
      <c r="AU131" s="43"/>
      <c r="AV131" s="43"/>
      <c r="AW131" s="52"/>
      <c r="AX131" s="53"/>
      <c r="AY131" s="57"/>
      <c r="AZ131" s="110"/>
      <c r="BA131" s="110"/>
      <c r="BB131" s="551"/>
      <c r="BC131" s="552"/>
      <c r="BD131" s="104"/>
      <c r="BE131" s="103"/>
      <c r="BF131" s="19"/>
      <c r="BG131" s="19"/>
      <c r="BH131" s="20"/>
      <c r="BI131" s="104"/>
      <c r="BJ131" s="8"/>
    </row>
    <row r="132" spans="1:62">
      <c r="A132" s="516">
        <f>IF('Student DATA Entry'!A128="","",'Student DATA Entry'!A128)</f>
        <v>125</v>
      </c>
      <c r="B132" s="528" t="str">
        <f>IF('Student DATA Entry'!B128="","",'Student DATA Entry'!B128)</f>
        <v/>
      </c>
      <c r="C132" s="126" t="str">
        <f>IF('Student DATA Entry'!D128="","",'Student DATA Entry'!D128)</f>
        <v/>
      </c>
      <c r="D132" s="530" t="str">
        <f>IF('Student DATA Entry'!E128="","",'Student DATA Entry'!E128)</f>
        <v/>
      </c>
      <c r="E132" s="532" t="str">
        <f>IF('Student DATA Entry'!I128="","",'Student DATA Entry'!I128)</f>
        <v/>
      </c>
      <c r="F132" s="127" t="str">
        <f>IF('Student DATA Entry'!F128="","",UPPER('Student DATA Entry'!F128))</f>
        <v/>
      </c>
      <c r="G132" s="127" t="str">
        <f>IF('Student DATA Entry'!G128="","",UPPER('Student DATA Entry'!G128))</f>
        <v/>
      </c>
      <c r="H132" s="127" t="str">
        <f>IF('Student DATA Entry'!H128="","",UPPER('Student DATA Entry'!H128))</f>
        <v/>
      </c>
      <c r="I132" s="526" t="str">
        <f>IF('Student DATA Entry'!K128="","",UPPER('Student DATA Entry'!K128))</f>
        <v/>
      </c>
      <c r="J132" s="560" t="str">
        <f>IF('Student DATA Entry'!J128="","",UPPER('Student DATA Entry'!J128))</f>
        <v/>
      </c>
      <c r="K132" s="561"/>
      <c r="L132" s="43"/>
      <c r="M132" s="43"/>
      <c r="N132" s="53"/>
      <c r="O132" s="562"/>
      <c r="P132" s="561"/>
      <c r="Q132" s="43"/>
      <c r="R132" s="43"/>
      <c r="S132" s="53"/>
      <c r="T132" s="562"/>
      <c r="U132" s="103"/>
      <c r="V132" s="43"/>
      <c r="W132" s="43"/>
      <c r="X132" s="43"/>
      <c r="Y132" s="53"/>
      <c r="Z132" s="53"/>
      <c r="AA132" s="58"/>
      <c r="AB132" s="565"/>
      <c r="AC132" s="103"/>
      <c r="AD132" s="43"/>
      <c r="AE132" s="43"/>
      <c r="AF132" s="43"/>
      <c r="AG132" s="53"/>
      <c r="AH132" s="53"/>
      <c r="AI132" s="58"/>
      <c r="AJ132" s="565"/>
      <c r="AK132" s="103"/>
      <c r="AL132" s="43"/>
      <c r="AM132" s="43"/>
      <c r="AN132" s="43"/>
      <c r="AO132" s="53"/>
      <c r="AP132" s="53"/>
      <c r="AQ132" s="58"/>
      <c r="AR132" s="565"/>
      <c r="AS132" s="18"/>
      <c r="AT132" s="43"/>
      <c r="AU132" s="43"/>
      <c r="AV132" s="43"/>
      <c r="AW132" s="52"/>
      <c r="AX132" s="53"/>
      <c r="AY132" s="57"/>
      <c r="AZ132" s="110"/>
      <c r="BA132" s="110"/>
      <c r="BB132" s="551"/>
      <c r="BC132" s="552"/>
      <c r="BD132" s="104"/>
      <c r="BE132" s="103"/>
      <c r="BF132" s="19"/>
      <c r="BG132" s="19"/>
      <c r="BH132" s="20"/>
      <c r="BI132" s="104"/>
      <c r="BJ132" s="8"/>
    </row>
    <row r="133" spans="1:62">
      <c r="A133" s="516">
        <f>IF('Student DATA Entry'!A129="","",'Student DATA Entry'!A129)</f>
        <v>126</v>
      </c>
      <c r="B133" s="528" t="str">
        <f>IF('Student DATA Entry'!B129="","",'Student DATA Entry'!B129)</f>
        <v/>
      </c>
      <c r="C133" s="126" t="str">
        <f>IF('Student DATA Entry'!D129="","",'Student DATA Entry'!D129)</f>
        <v/>
      </c>
      <c r="D133" s="530" t="str">
        <f>IF('Student DATA Entry'!E129="","",'Student DATA Entry'!E129)</f>
        <v/>
      </c>
      <c r="E133" s="532" t="str">
        <f>IF('Student DATA Entry'!I129="","",'Student DATA Entry'!I129)</f>
        <v/>
      </c>
      <c r="F133" s="127" t="str">
        <f>IF('Student DATA Entry'!F129="","",UPPER('Student DATA Entry'!F129))</f>
        <v/>
      </c>
      <c r="G133" s="127" t="str">
        <f>IF('Student DATA Entry'!G129="","",UPPER('Student DATA Entry'!G129))</f>
        <v/>
      </c>
      <c r="H133" s="127" t="str">
        <f>IF('Student DATA Entry'!H129="","",UPPER('Student DATA Entry'!H129))</f>
        <v/>
      </c>
      <c r="I133" s="526" t="str">
        <f>IF('Student DATA Entry'!K129="","",UPPER('Student DATA Entry'!K129))</f>
        <v/>
      </c>
      <c r="J133" s="560" t="str">
        <f>IF('Student DATA Entry'!J129="","",UPPER('Student DATA Entry'!J129))</f>
        <v/>
      </c>
      <c r="K133" s="561"/>
      <c r="L133" s="43"/>
      <c r="M133" s="43"/>
      <c r="N133" s="53"/>
      <c r="O133" s="562"/>
      <c r="P133" s="561"/>
      <c r="Q133" s="43"/>
      <c r="R133" s="43"/>
      <c r="S133" s="53"/>
      <c r="T133" s="562"/>
      <c r="U133" s="103"/>
      <c r="V133" s="43"/>
      <c r="W133" s="43"/>
      <c r="X133" s="43"/>
      <c r="Y133" s="53"/>
      <c r="Z133" s="53"/>
      <c r="AA133" s="58"/>
      <c r="AB133" s="565"/>
      <c r="AC133" s="103"/>
      <c r="AD133" s="43"/>
      <c r="AE133" s="43"/>
      <c r="AF133" s="43"/>
      <c r="AG133" s="53"/>
      <c r="AH133" s="53"/>
      <c r="AI133" s="58"/>
      <c r="AJ133" s="565"/>
      <c r="AK133" s="103"/>
      <c r="AL133" s="43"/>
      <c r="AM133" s="43"/>
      <c r="AN133" s="43"/>
      <c r="AO133" s="53"/>
      <c r="AP133" s="53"/>
      <c r="AQ133" s="58"/>
      <c r="AR133" s="565"/>
      <c r="AS133" s="18"/>
      <c r="AT133" s="43"/>
      <c r="AU133" s="43"/>
      <c r="AV133" s="43"/>
      <c r="AW133" s="52"/>
      <c r="AX133" s="53"/>
      <c r="AY133" s="57"/>
      <c r="AZ133" s="110"/>
      <c r="BA133" s="110"/>
      <c r="BB133" s="551"/>
      <c r="BC133" s="552"/>
      <c r="BD133" s="104"/>
      <c r="BE133" s="103"/>
      <c r="BF133" s="19"/>
      <c r="BG133" s="19"/>
      <c r="BH133" s="20"/>
      <c r="BI133" s="104"/>
      <c r="BJ133" s="8"/>
    </row>
    <row r="134" spans="1:62">
      <c r="A134" s="516">
        <f>IF('Student DATA Entry'!A130="","",'Student DATA Entry'!A130)</f>
        <v>127</v>
      </c>
      <c r="B134" s="528" t="str">
        <f>IF('Student DATA Entry'!B130="","",'Student DATA Entry'!B130)</f>
        <v/>
      </c>
      <c r="C134" s="126" t="str">
        <f>IF('Student DATA Entry'!D130="","",'Student DATA Entry'!D130)</f>
        <v/>
      </c>
      <c r="D134" s="530" t="str">
        <f>IF('Student DATA Entry'!E130="","",'Student DATA Entry'!E130)</f>
        <v/>
      </c>
      <c r="E134" s="532" t="str">
        <f>IF('Student DATA Entry'!I130="","",'Student DATA Entry'!I130)</f>
        <v/>
      </c>
      <c r="F134" s="127" t="str">
        <f>IF('Student DATA Entry'!F130="","",UPPER('Student DATA Entry'!F130))</f>
        <v/>
      </c>
      <c r="G134" s="127" t="str">
        <f>IF('Student DATA Entry'!G130="","",UPPER('Student DATA Entry'!G130))</f>
        <v/>
      </c>
      <c r="H134" s="127" t="str">
        <f>IF('Student DATA Entry'!H130="","",UPPER('Student DATA Entry'!H130))</f>
        <v/>
      </c>
      <c r="I134" s="526" t="str">
        <f>IF('Student DATA Entry'!K130="","",UPPER('Student DATA Entry'!K130))</f>
        <v/>
      </c>
      <c r="J134" s="560" t="str">
        <f>IF('Student DATA Entry'!J130="","",UPPER('Student DATA Entry'!J130))</f>
        <v/>
      </c>
      <c r="K134" s="561"/>
      <c r="L134" s="43"/>
      <c r="M134" s="43"/>
      <c r="N134" s="53"/>
      <c r="O134" s="562"/>
      <c r="P134" s="561"/>
      <c r="Q134" s="43"/>
      <c r="R134" s="43"/>
      <c r="S134" s="53"/>
      <c r="T134" s="562"/>
      <c r="U134" s="103"/>
      <c r="V134" s="43"/>
      <c r="W134" s="43"/>
      <c r="X134" s="43"/>
      <c r="Y134" s="53"/>
      <c r="Z134" s="53"/>
      <c r="AA134" s="58"/>
      <c r="AB134" s="565"/>
      <c r="AC134" s="103"/>
      <c r="AD134" s="43"/>
      <c r="AE134" s="43"/>
      <c r="AF134" s="43"/>
      <c r="AG134" s="53"/>
      <c r="AH134" s="53"/>
      <c r="AI134" s="58"/>
      <c r="AJ134" s="565"/>
      <c r="AK134" s="103"/>
      <c r="AL134" s="43"/>
      <c r="AM134" s="43"/>
      <c r="AN134" s="43"/>
      <c r="AO134" s="53"/>
      <c r="AP134" s="53"/>
      <c r="AQ134" s="58"/>
      <c r="AR134" s="565"/>
      <c r="AS134" s="18"/>
      <c r="AT134" s="43"/>
      <c r="AU134" s="43"/>
      <c r="AV134" s="43"/>
      <c r="AW134" s="52"/>
      <c r="AX134" s="53"/>
      <c r="AY134" s="57"/>
      <c r="AZ134" s="110"/>
      <c r="BA134" s="110"/>
      <c r="BB134" s="551"/>
      <c r="BC134" s="552"/>
      <c r="BD134" s="104"/>
      <c r="BE134" s="103"/>
      <c r="BF134" s="19"/>
      <c r="BG134" s="19"/>
      <c r="BH134" s="20"/>
      <c r="BI134" s="104"/>
      <c r="BJ134" s="8"/>
    </row>
    <row r="135" spans="1:62">
      <c r="A135" s="516">
        <f>IF('Student DATA Entry'!A131="","",'Student DATA Entry'!A131)</f>
        <v>128</v>
      </c>
      <c r="B135" s="528" t="str">
        <f>IF('Student DATA Entry'!B131="","",'Student DATA Entry'!B131)</f>
        <v/>
      </c>
      <c r="C135" s="126" t="str">
        <f>IF('Student DATA Entry'!D131="","",'Student DATA Entry'!D131)</f>
        <v/>
      </c>
      <c r="D135" s="530" t="str">
        <f>IF('Student DATA Entry'!E131="","",'Student DATA Entry'!E131)</f>
        <v/>
      </c>
      <c r="E135" s="532" t="str">
        <f>IF('Student DATA Entry'!I131="","",'Student DATA Entry'!I131)</f>
        <v/>
      </c>
      <c r="F135" s="127" t="str">
        <f>IF('Student DATA Entry'!F131="","",UPPER('Student DATA Entry'!F131))</f>
        <v/>
      </c>
      <c r="G135" s="127" t="str">
        <f>IF('Student DATA Entry'!G131="","",UPPER('Student DATA Entry'!G131))</f>
        <v/>
      </c>
      <c r="H135" s="127" t="str">
        <f>IF('Student DATA Entry'!H131="","",UPPER('Student DATA Entry'!H131))</f>
        <v/>
      </c>
      <c r="I135" s="526" t="str">
        <f>IF('Student DATA Entry'!K131="","",UPPER('Student DATA Entry'!K131))</f>
        <v/>
      </c>
      <c r="J135" s="560" t="str">
        <f>IF('Student DATA Entry'!J131="","",UPPER('Student DATA Entry'!J131))</f>
        <v/>
      </c>
      <c r="K135" s="561"/>
      <c r="L135" s="43"/>
      <c r="M135" s="43"/>
      <c r="N135" s="53"/>
      <c r="O135" s="562"/>
      <c r="P135" s="561"/>
      <c r="Q135" s="43"/>
      <c r="R135" s="43"/>
      <c r="S135" s="53"/>
      <c r="T135" s="562"/>
      <c r="U135" s="103"/>
      <c r="V135" s="43"/>
      <c r="W135" s="43"/>
      <c r="X135" s="43"/>
      <c r="Y135" s="53"/>
      <c r="Z135" s="53"/>
      <c r="AA135" s="58"/>
      <c r="AB135" s="565"/>
      <c r="AC135" s="103"/>
      <c r="AD135" s="43"/>
      <c r="AE135" s="43"/>
      <c r="AF135" s="43"/>
      <c r="AG135" s="53"/>
      <c r="AH135" s="53"/>
      <c r="AI135" s="58"/>
      <c r="AJ135" s="565"/>
      <c r="AK135" s="103"/>
      <c r="AL135" s="43"/>
      <c r="AM135" s="43"/>
      <c r="AN135" s="43"/>
      <c r="AO135" s="53"/>
      <c r="AP135" s="53"/>
      <c r="AQ135" s="58"/>
      <c r="AR135" s="565"/>
      <c r="AS135" s="18"/>
      <c r="AT135" s="43"/>
      <c r="AU135" s="43"/>
      <c r="AV135" s="43"/>
      <c r="AW135" s="52"/>
      <c r="AX135" s="53"/>
      <c r="AY135" s="57"/>
      <c r="AZ135" s="110"/>
      <c r="BA135" s="110"/>
      <c r="BB135" s="551"/>
      <c r="BC135" s="552"/>
      <c r="BD135" s="104"/>
      <c r="BE135" s="103"/>
      <c r="BF135" s="19"/>
      <c r="BG135" s="19"/>
      <c r="BH135" s="20"/>
      <c r="BI135" s="104"/>
      <c r="BJ135" s="8"/>
    </row>
    <row r="136" spans="1:62">
      <c r="A136" s="516">
        <f>IF('Student DATA Entry'!A132="","",'Student DATA Entry'!A132)</f>
        <v>129</v>
      </c>
      <c r="B136" s="528" t="str">
        <f>IF('Student DATA Entry'!B132="","",'Student DATA Entry'!B132)</f>
        <v/>
      </c>
      <c r="C136" s="126" t="str">
        <f>IF('Student DATA Entry'!D132="","",'Student DATA Entry'!D132)</f>
        <v/>
      </c>
      <c r="D136" s="530" t="str">
        <f>IF('Student DATA Entry'!E132="","",'Student DATA Entry'!E132)</f>
        <v/>
      </c>
      <c r="E136" s="532" t="str">
        <f>IF('Student DATA Entry'!I132="","",'Student DATA Entry'!I132)</f>
        <v/>
      </c>
      <c r="F136" s="127" t="str">
        <f>IF('Student DATA Entry'!F132="","",UPPER('Student DATA Entry'!F132))</f>
        <v/>
      </c>
      <c r="G136" s="127" t="str">
        <f>IF('Student DATA Entry'!G132="","",UPPER('Student DATA Entry'!G132))</f>
        <v/>
      </c>
      <c r="H136" s="127" t="str">
        <f>IF('Student DATA Entry'!H132="","",UPPER('Student DATA Entry'!H132))</f>
        <v/>
      </c>
      <c r="I136" s="526" t="str">
        <f>IF('Student DATA Entry'!K132="","",UPPER('Student DATA Entry'!K132))</f>
        <v/>
      </c>
      <c r="J136" s="560" t="str">
        <f>IF('Student DATA Entry'!J132="","",UPPER('Student DATA Entry'!J132))</f>
        <v/>
      </c>
      <c r="K136" s="561"/>
      <c r="L136" s="43"/>
      <c r="M136" s="43"/>
      <c r="N136" s="53"/>
      <c r="O136" s="562"/>
      <c r="P136" s="561"/>
      <c r="Q136" s="43"/>
      <c r="R136" s="43"/>
      <c r="S136" s="53"/>
      <c r="T136" s="562"/>
      <c r="U136" s="103"/>
      <c r="V136" s="43"/>
      <c r="W136" s="43"/>
      <c r="X136" s="43"/>
      <c r="Y136" s="53"/>
      <c r="Z136" s="53"/>
      <c r="AA136" s="58"/>
      <c r="AB136" s="565"/>
      <c r="AC136" s="103"/>
      <c r="AD136" s="43"/>
      <c r="AE136" s="43"/>
      <c r="AF136" s="43"/>
      <c r="AG136" s="53"/>
      <c r="AH136" s="53"/>
      <c r="AI136" s="58"/>
      <c r="AJ136" s="565"/>
      <c r="AK136" s="103"/>
      <c r="AL136" s="43"/>
      <c r="AM136" s="43"/>
      <c r="AN136" s="43"/>
      <c r="AO136" s="53"/>
      <c r="AP136" s="53"/>
      <c r="AQ136" s="58"/>
      <c r="AR136" s="565"/>
      <c r="AS136" s="18"/>
      <c r="AT136" s="43"/>
      <c r="AU136" s="43"/>
      <c r="AV136" s="43"/>
      <c r="AW136" s="52"/>
      <c r="AX136" s="53"/>
      <c r="AY136" s="57"/>
      <c r="AZ136" s="110"/>
      <c r="BA136" s="110"/>
      <c r="BB136" s="551"/>
      <c r="BC136" s="552"/>
      <c r="BD136" s="104"/>
      <c r="BE136" s="103"/>
      <c r="BF136" s="19"/>
      <c r="BG136" s="19"/>
      <c r="BH136" s="20"/>
      <c r="BI136" s="104"/>
      <c r="BJ136" s="8"/>
    </row>
    <row r="137" spans="1:62">
      <c r="A137" s="516">
        <f>IF('Student DATA Entry'!A133="","",'Student DATA Entry'!A133)</f>
        <v>130</v>
      </c>
      <c r="B137" s="528" t="str">
        <f>IF('Student DATA Entry'!B133="","",'Student DATA Entry'!B133)</f>
        <v/>
      </c>
      <c r="C137" s="126" t="str">
        <f>IF('Student DATA Entry'!D133="","",'Student DATA Entry'!D133)</f>
        <v/>
      </c>
      <c r="D137" s="530" t="str">
        <f>IF('Student DATA Entry'!E133="","",'Student DATA Entry'!E133)</f>
        <v/>
      </c>
      <c r="E137" s="532" t="str">
        <f>IF('Student DATA Entry'!I133="","",'Student DATA Entry'!I133)</f>
        <v/>
      </c>
      <c r="F137" s="127" t="str">
        <f>IF('Student DATA Entry'!F133="","",UPPER('Student DATA Entry'!F133))</f>
        <v/>
      </c>
      <c r="G137" s="127" t="str">
        <f>IF('Student DATA Entry'!G133="","",UPPER('Student DATA Entry'!G133))</f>
        <v/>
      </c>
      <c r="H137" s="127" t="str">
        <f>IF('Student DATA Entry'!H133="","",UPPER('Student DATA Entry'!H133))</f>
        <v/>
      </c>
      <c r="I137" s="526" t="str">
        <f>IF('Student DATA Entry'!K133="","",UPPER('Student DATA Entry'!K133))</f>
        <v/>
      </c>
      <c r="J137" s="560" t="str">
        <f>IF('Student DATA Entry'!J133="","",UPPER('Student DATA Entry'!J133))</f>
        <v/>
      </c>
      <c r="K137" s="561"/>
      <c r="L137" s="43"/>
      <c r="M137" s="43"/>
      <c r="N137" s="53"/>
      <c r="O137" s="562"/>
      <c r="P137" s="561"/>
      <c r="Q137" s="43"/>
      <c r="R137" s="43"/>
      <c r="S137" s="53"/>
      <c r="T137" s="562"/>
      <c r="U137" s="103"/>
      <c r="V137" s="43"/>
      <c r="W137" s="43"/>
      <c r="X137" s="43"/>
      <c r="Y137" s="53"/>
      <c r="Z137" s="53"/>
      <c r="AA137" s="58"/>
      <c r="AB137" s="565"/>
      <c r="AC137" s="103"/>
      <c r="AD137" s="43"/>
      <c r="AE137" s="43"/>
      <c r="AF137" s="43"/>
      <c r="AG137" s="53"/>
      <c r="AH137" s="53"/>
      <c r="AI137" s="58"/>
      <c r="AJ137" s="565"/>
      <c r="AK137" s="103"/>
      <c r="AL137" s="43"/>
      <c r="AM137" s="43"/>
      <c r="AN137" s="43"/>
      <c r="AO137" s="53"/>
      <c r="AP137" s="53"/>
      <c r="AQ137" s="58"/>
      <c r="AR137" s="565"/>
      <c r="AS137" s="18"/>
      <c r="AT137" s="43"/>
      <c r="AU137" s="43"/>
      <c r="AV137" s="43"/>
      <c r="AW137" s="52"/>
      <c r="AX137" s="53"/>
      <c r="AY137" s="57"/>
      <c r="AZ137" s="110"/>
      <c r="BA137" s="110"/>
      <c r="BB137" s="551"/>
      <c r="BC137" s="552"/>
      <c r="BD137" s="104"/>
      <c r="BE137" s="103"/>
      <c r="BF137" s="19"/>
      <c r="BG137" s="19"/>
      <c r="BH137" s="20"/>
      <c r="BI137" s="104"/>
      <c r="BJ137" s="8"/>
    </row>
    <row r="138" spans="1:62">
      <c r="A138" s="516">
        <f>IF('Student DATA Entry'!A134="","",'Student DATA Entry'!A134)</f>
        <v>131</v>
      </c>
      <c r="B138" s="528" t="str">
        <f>IF('Student DATA Entry'!B134="","",'Student DATA Entry'!B134)</f>
        <v/>
      </c>
      <c r="C138" s="126" t="str">
        <f>IF('Student DATA Entry'!D134="","",'Student DATA Entry'!D134)</f>
        <v/>
      </c>
      <c r="D138" s="530" t="str">
        <f>IF('Student DATA Entry'!E134="","",'Student DATA Entry'!E134)</f>
        <v/>
      </c>
      <c r="E138" s="532" t="str">
        <f>IF('Student DATA Entry'!I134="","",'Student DATA Entry'!I134)</f>
        <v/>
      </c>
      <c r="F138" s="127" t="str">
        <f>IF('Student DATA Entry'!F134="","",UPPER('Student DATA Entry'!F134))</f>
        <v/>
      </c>
      <c r="G138" s="127" t="str">
        <f>IF('Student DATA Entry'!G134="","",UPPER('Student DATA Entry'!G134))</f>
        <v/>
      </c>
      <c r="H138" s="127" t="str">
        <f>IF('Student DATA Entry'!H134="","",UPPER('Student DATA Entry'!H134))</f>
        <v/>
      </c>
      <c r="I138" s="526" t="str">
        <f>IF('Student DATA Entry'!K134="","",UPPER('Student DATA Entry'!K134))</f>
        <v/>
      </c>
      <c r="J138" s="560" t="str">
        <f>IF('Student DATA Entry'!J134="","",UPPER('Student DATA Entry'!J134))</f>
        <v/>
      </c>
      <c r="K138" s="561"/>
      <c r="L138" s="43"/>
      <c r="M138" s="43"/>
      <c r="N138" s="53"/>
      <c r="O138" s="562"/>
      <c r="P138" s="561"/>
      <c r="Q138" s="43"/>
      <c r="R138" s="43"/>
      <c r="S138" s="53"/>
      <c r="T138" s="562"/>
      <c r="U138" s="103"/>
      <c r="V138" s="43"/>
      <c r="W138" s="43"/>
      <c r="X138" s="43"/>
      <c r="Y138" s="53"/>
      <c r="Z138" s="53"/>
      <c r="AA138" s="58"/>
      <c r="AB138" s="565"/>
      <c r="AC138" s="103"/>
      <c r="AD138" s="43"/>
      <c r="AE138" s="43"/>
      <c r="AF138" s="43"/>
      <c r="AG138" s="53"/>
      <c r="AH138" s="53"/>
      <c r="AI138" s="58"/>
      <c r="AJ138" s="565"/>
      <c r="AK138" s="103"/>
      <c r="AL138" s="43"/>
      <c r="AM138" s="43"/>
      <c r="AN138" s="43"/>
      <c r="AO138" s="53"/>
      <c r="AP138" s="53"/>
      <c r="AQ138" s="58"/>
      <c r="AR138" s="565"/>
      <c r="AS138" s="18"/>
      <c r="AT138" s="43"/>
      <c r="AU138" s="43"/>
      <c r="AV138" s="43"/>
      <c r="AW138" s="52"/>
      <c r="AX138" s="53"/>
      <c r="AY138" s="57"/>
      <c r="AZ138" s="110"/>
      <c r="BA138" s="110"/>
      <c r="BB138" s="551"/>
      <c r="BC138" s="552"/>
      <c r="BD138" s="104"/>
      <c r="BE138" s="103"/>
      <c r="BF138" s="19"/>
      <c r="BG138" s="19"/>
      <c r="BH138" s="20"/>
      <c r="BI138" s="104"/>
      <c r="BJ138" s="8"/>
    </row>
    <row r="139" spans="1:62">
      <c r="A139" s="516">
        <f>IF('Student DATA Entry'!A135="","",'Student DATA Entry'!A135)</f>
        <v>132</v>
      </c>
      <c r="B139" s="528" t="str">
        <f>IF('Student DATA Entry'!B135="","",'Student DATA Entry'!B135)</f>
        <v/>
      </c>
      <c r="C139" s="126" t="str">
        <f>IF('Student DATA Entry'!D135="","",'Student DATA Entry'!D135)</f>
        <v/>
      </c>
      <c r="D139" s="530" t="str">
        <f>IF('Student DATA Entry'!E135="","",'Student DATA Entry'!E135)</f>
        <v/>
      </c>
      <c r="E139" s="532" t="str">
        <f>IF('Student DATA Entry'!I135="","",'Student DATA Entry'!I135)</f>
        <v/>
      </c>
      <c r="F139" s="127" t="str">
        <f>IF('Student DATA Entry'!F135="","",UPPER('Student DATA Entry'!F135))</f>
        <v/>
      </c>
      <c r="G139" s="127" t="str">
        <f>IF('Student DATA Entry'!G135="","",UPPER('Student DATA Entry'!G135))</f>
        <v/>
      </c>
      <c r="H139" s="127" t="str">
        <f>IF('Student DATA Entry'!H135="","",UPPER('Student DATA Entry'!H135))</f>
        <v/>
      </c>
      <c r="I139" s="526" t="str">
        <f>IF('Student DATA Entry'!K135="","",UPPER('Student DATA Entry'!K135))</f>
        <v/>
      </c>
      <c r="J139" s="560" t="str">
        <f>IF('Student DATA Entry'!J135="","",UPPER('Student DATA Entry'!J135))</f>
        <v/>
      </c>
      <c r="K139" s="561"/>
      <c r="L139" s="43"/>
      <c r="M139" s="43"/>
      <c r="N139" s="53"/>
      <c r="O139" s="562"/>
      <c r="P139" s="561"/>
      <c r="Q139" s="43"/>
      <c r="R139" s="43"/>
      <c r="S139" s="53"/>
      <c r="T139" s="562"/>
      <c r="U139" s="103"/>
      <c r="V139" s="43"/>
      <c r="W139" s="43"/>
      <c r="X139" s="43"/>
      <c r="Y139" s="53"/>
      <c r="Z139" s="53"/>
      <c r="AA139" s="58"/>
      <c r="AB139" s="565"/>
      <c r="AC139" s="103"/>
      <c r="AD139" s="43"/>
      <c r="AE139" s="43"/>
      <c r="AF139" s="43"/>
      <c r="AG139" s="53"/>
      <c r="AH139" s="53"/>
      <c r="AI139" s="58"/>
      <c r="AJ139" s="565"/>
      <c r="AK139" s="103"/>
      <c r="AL139" s="43"/>
      <c r="AM139" s="43"/>
      <c r="AN139" s="43"/>
      <c r="AO139" s="53"/>
      <c r="AP139" s="53"/>
      <c r="AQ139" s="58"/>
      <c r="AR139" s="565"/>
      <c r="AS139" s="18"/>
      <c r="AT139" s="43"/>
      <c r="AU139" s="43"/>
      <c r="AV139" s="43"/>
      <c r="AW139" s="52"/>
      <c r="AX139" s="53"/>
      <c r="AY139" s="57"/>
      <c r="AZ139" s="110"/>
      <c r="BA139" s="110"/>
      <c r="BB139" s="551"/>
      <c r="BC139" s="552"/>
      <c r="BD139" s="104"/>
      <c r="BE139" s="103"/>
      <c r="BF139" s="19"/>
      <c r="BG139" s="19"/>
      <c r="BH139" s="20"/>
      <c r="BI139" s="104"/>
      <c r="BJ139" s="8"/>
    </row>
    <row r="140" spans="1:62">
      <c r="A140" s="516">
        <f>IF('Student DATA Entry'!A136="","",'Student DATA Entry'!A136)</f>
        <v>133</v>
      </c>
      <c r="B140" s="528" t="str">
        <f>IF('Student DATA Entry'!B136="","",'Student DATA Entry'!B136)</f>
        <v/>
      </c>
      <c r="C140" s="126" t="str">
        <f>IF('Student DATA Entry'!D136="","",'Student DATA Entry'!D136)</f>
        <v/>
      </c>
      <c r="D140" s="530" t="str">
        <f>IF('Student DATA Entry'!E136="","",'Student DATA Entry'!E136)</f>
        <v/>
      </c>
      <c r="E140" s="532" t="str">
        <f>IF('Student DATA Entry'!I136="","",'Student DATA Entry'!I136)</f>
        <v/>
      </c>
      <c r="F140" s="127" t="str">
        <f>IF('Student DATA Entry'!F136="","",UPPER('Student DATA Entry'!F136))</f>
        <v/>
      </c>
      <c r="G140" s="127" t="str">
        <f>IF('Student DATA Entry'!G136="","",UPPER('Student DATA Entry'!G136))</f>
        <v/>
      </c>
      <c r="H140" s="127" t="str">
        <f>IF('Student DATA Entry'!H136="","",UPPER('Student DATA Entry'!H136))</f>
        <v/>
      </c>
      <c r="I140" s="526" t="str">
        <f>IF('Student DATA Entry'!K136="","",UPPER('Student DATA Entry'!K136))</f>
        <v/>
      </c>
      <c r="J140" s="560" t="str">
        <f>IF('Student DATA Entry'!J136="","",UPPER('Student DATA Entry'!J136))</f>
        <v/>
      </c>
      <c r="K140" s="561"/>
      <c r="L140" s="43"/>
      <c r="M140" s="43"/>
      <c r="N140" s="53"/>
      <c r="O140" s="562"/>
      <c r="P140" s="561"/>
      <c r="Q140" s="43"/>
      <c r="R140" s="43"/>
      <c r="S140" s="53"/>
      <c r="T140" s="562"/>
      <c r="U140" s="103"/>
      <c r="V140" s="43"/>
      <c r="W140" s="43"/>
      <c r="X140" s="43"/>
      <c r="Y140" s="53"/>
      <c r="Z140" s="53"/>
      <c r="AA140" s="58"/>
      <c r="AB140" s="565"/>
      <c r="AC140" s="103"/>
      <c r="AD140" s="43"/>
      <c r="AE140" s="43"/>
      <c r="AF140" s="43"/>
      <c r="AG140" s="53"/>
      <c r="AH140" s="53"/>
      <c r="AI140" s="58"/>
      <c r="AJ140" s="565"/>
      <c r="AK140" s="103"/>
      <c r="AL140" s="43"/>
      <c r="AM140" s="43"/>
      <c r="AN140" s="43"/>
      <c r="AO140" s="53"/>
      <c r="AP140" s="53"/>
      <c r="AQ140" s="58"/>
      <c r="AR140" s="565"/>
      <c r="AS140" s="18"/>
      <c r="AT140" s="43"/>
      <c r="AU140" s="43"/>
      <c r="AV140" s="43"/>
      <c r="AW140" s="52"/>
      <c r="AX140" s="53"/>
      <c r="AY140" s="57"/>
      <c r="AZ140" s="110"/>
      <c r="BA140" s="110"/>
      <c r="BB140" s="551"/>
      <c r="BC140" s="552"/>
      <c r="BD140" s="104"/>
      <c r="BE140" s="103"/>
      <c r="BF140" s="19"/>
      <c r="BG140" s="19"/>
      <c r="BH140" s="20"/>
      <c r="BI140" s="104"/>
      <c r="BJ140" s="8"/>
    </row>
    <row r="141" spans="1:62">
      <c r="A141" s="516">
        <f>IF('Student DATA Entry'!A137="","",'Student DATA Entry'!A137)</f>
        <v>134</v>
      </c>
      <c r="B141" s="528" t="str">
        <f>IF('Student DATA Entry'!B137="","",'Student DATA Entry'!B137)</f>
        <v/>
      </c>
      <c r="C141" s="126" t="str">
        <f>IF('Student DATA Entry'!D137="","",'Student DATA Entry'!D137)</f>
        <v/>
      </c>
      <c r="D141" s="530" t="str">
        <f>IF('Student DATA Entry'!E137="","",'Student DATA Entry'!E137)</f>
        <v/>
      </c>
      <c r="E141" s="532" t="str">
        <f>IF('Student DATA Entry'!I137="","",'Student DATA Entry'!I137)</f>
        <v/>
      </c>
      <c r="F141" s="127" t="str">
        <f>IF('Student DATA Entry'!F137="","",UPPER('Student DATA Entry'!F137))</f>
        <v/>
      </c>
      <c r="G141" s="127" t="str">
        <f>IF('Student DATA Entry'!G137="","",UPPER('Student DATA Entry'!G137))</f>
        <v/>
      </c>
      <c r="H141" s="127" t="str">
        <f>IF('Student DATA Entry'!H137="","",UPPER('Student DATA Entry'!H137))</f>
        <v/>
      </c>
      <c r="I141" s="526" t="str">
        <f>IF('Student DATA Entry'!K137="","",UPPER('Student DATA Entry'!K137))</f>
        <v/>
      </c>
      <c r="J141" s="560" t="str">
        <f>IF('Student DATA Entry'!J137="","",UPPER('Student DATA Entry'!J137))</f>
        <v/>
      </c>
      <c r="K141" s="561"/>
      <c r="L141" s="43"/>
      <c r="M141" s="43"/>
      <c r="N141" s="53"/>
      <c r="O141" s="562"/>
      <c r="P141" s="561"/>
      <c r="Q141" s="43"/>
      <c r="R141" s="43"/>
      <c r="S141" s="53"/>
      <c r="T141" s="562"/>
      <c r="U141" s="103"/>
      <c r="V141" s="43"/>
      <c r="W141" s="43"/>
      <c r="X141" s="43"/>
      <c r="Y141" s="53"/>
      <c r="Z141" s="53"/>
      <c r="AA141" s="58"/>
      <c r="AB141" s="565"/>
      <c r="AC141" s="103"/>
      <c r="AD141" s="43"/>
      <c r="AE141" s="43"/>
      <c r="AF141" s="43"/>
      <c r="AG141" s="53"/>
      <c r="AH141" s="53"/>
      <c r="AI141" s="58"/>
      <c r="AJ141" s="565"/>
      <c r="AK141" s="103"/>
      <c r="AL141" s="43"/>
      <c r="AM141" s="43"/>
      <c r="AN141" s="43"/>
      <c r="AO141" s="53"/>
      <c r="AP141" s="53"/>
      <c r="AQ141" s="58"/>
      <c r="AR141" s="565"/>
      <c r="AS141" s="18"/>
      <c r="AT141" s="43"/>
      <c r="AU141" s="43"/>
      <c r="AV141" s="43"/>
      <c r="AW141" s="52"/>
      <c r="AX141" s="53"/>
      <c r="AY141" s="57"/>
      <c r="AZ141" s="110"/>
      <c r="BA141" s="110"/>
      <c r="BB141" s="551"/>
      <c r="BC141" s="552"/>
      <c r="BD141" s="104"/>
      <c r="BE141" s="103"/>
      <c r="BF141" s="19"/>
      <c r="BG141" s="19"/>
      <c r="BH141" s="20"/>
      <c r="BI141" s="104"/>
      <c r="BJ141" s="8"/>
    </row>
    <row r="142" spans="1:62">
      <c r="A142" s="516">
        <f>IF('Student DATA Entry'!A138="","",'Student DATA Entry'!A138)</f>
        <v>135</v>
      </c>
      <c r="B142" s="528" t="str">
        <f>IF('Student DATA Entry'!B138="","",'Student DATA Entry'!B138)</f>
        <v/>
      </c>
      <c r="C142" s="126" t="str">
        <f>IF('Student DATA Entry'!D138="","",'Student DATA Entry'!D138)</f>
        <v/>
      </c>
      <c r="D142" s="530" t="str">
        <f>IF('Student DATA Entry'!E138="","",'Student DATA Entry'!E138)</f>
        <v/>
      </c>
      <c r="E142" s="532" t="str">
        <f>IF('Student DATA Entry'!I138="","",'Student DATA Entry'!I138)</f>
        <v/>
      </c>
      <c r="F142" s="127" t="str">
        <f>IF('Student DATA Entry'!F138="","",UPPER('Student DATA Entry'!F138))</f>
        <v/>
      </c>
      <c r="G142" s="127" t="str">
        <f>IF('Student DATA Entry'!G138="","",UPPER('Student DATA Entry'!G138))</f>
        <v/>
      </c>
      <c r="H142" s="127" t="str">
        <f>IF('Student DATA Entry'!H138="","",UPPER('Student DATA Entry'!H138))</f>
        <v/>
      </c>
      <c r="I142" s="526" t="str">
        <f>IF('Student DATA Entry'!K138="","",UPPER('Student DATA Entry'!K138))</f>
        <v/>
      </c>
      <c r="J142" s="560" t="str">
        <f>IF('Student DATA Entry'!J138="","",UPPER('Student DATA Entry'!J138))</f>
        <v/>
      </c>
      <c r="K142" s="561"/>
      <c r="L142" s="43"/>
      <c r="M142" s="43"/>
      <c r="N142" s="53"/>
      <c r="O142" s="562"/>
      <c r="P142" s="561"/>
      <c r="Q142" s="43"/>
      <c r="R142" s="43"/>
      <c r="S142" s="53"/>
      <c r="T142" s="562"/>
      <c r="U142" s="103"/>
      <c r="V142" s="43"/>
      <c r="W142" s="43"/>
      <c r="X142" s="43"/>
      <c r="Y142" s="53"/>
      <c r="Z142" s="53"/>
      <c r="AA142" s="58"/>
      <c r="AB142" s="565"/>
      <c r="AC142" s="103"/>
      <c r="AD142" s="43"/>
      <c r="AE142" s="43"/>
      <c r="AF142" s="43"/>
      <c r="AG142" s="53"/>
      <c r="AH142" s="53"/>
      <c r="AI142" s="58"/>
      <c r="AJ142" s="565"/>
      <c r="AK142" s="103"/>
      <c r="AL142" s="43"/>
      <c r="AM142" s="43"/>
      <c r="AN142" s="43"/>
      <c r="AO142" s="53"/>
      <c r="AP142" s="53"/>
      <c r="AQ142" s="58"/>
      <c r="AR142" s="565"/>
      <c r="AS142" s="18"/>
      <c r="AT142" s="43"/>
      <c r="AU142" s="43"/>
      <c r="AV142" s="43"/>
      <c r="AW142" s="52"/>
      <c r="AX142" s="53"/>
      <c r="AY142" s="57"/>
      <c r="AZ142" s="110"/>
      <c r="BA142" s="110"/>
      <c r="BB142" s="551"/>
      <c r="BC142" s="552"/>
      <c r="BD142" s="104"/>
      <c r="BE142" s="103"/>
      <c r="BF142" s="19"/>
      <c r="BG142" s="19"/>
      <c r="BH142" s="20"/>
      <c r="BI142" s="104"/>
      <c r="BJ142" s="8"/>
    </row>
    <row r="143" spans="1:62">
      <c r="A143" s="516">
        <f>IF('Student DATA Entry'!A139="","",'Student DATA Entry'!A139)</f>
        <v>136</v>
      </c>
      <c r="B143" s="528" t="str">
        <f>IF('Student DATA Entry'!B139="","",'Student DATA Entry'!B139)</f>
        <v/>
      </c>
      <c r="C143" s="126" t="str">
        <f>IF('Student DATA Entry'!D139="","",'Student DATA Entry'!D139)</f>
        <v/>
      </c>
      <c r="D143" s="530" t="str">
        <f>IF('Student DATA Entry'!E139="","",'Student DATA Entry'!E139)</f>
        <v/>
      </c>
      <c r="E143" s="532" t="str">
        <f>IF('Student DATA Entry'!I139="","",'Student DATA Entry'!I139)</f>
        <v/>
      </c>
      <c r="F143" s="127" t="str">
        <f>IF('Student DATA Entry'!F139="","",UPPER('Student DATA Entry'!F139))</f>
        <v/>
      </c>
      <c r="G143" s="127" t="str">
        <f>IF('Student DATA Entry'!G139="","",UPPER('Student DATA Entry'!G139))</f>
        <v/>
      </c>
      <c r="H143" s="127" t="str">
        <f>IF('Student DATA Entry'!H139="","",UPPER('Student DATA Entry'!H139))</f>
        <v/>
      </c>
      <c r="I143" s="526" t="str">
        <f>IF('Student DATA Entry'!K139="","",UPPER('Student DATA Entry'!K139))</f>
        <v/>
      </c>
      <c r="J143" s="560" t="str">
        <f>IF('Student DATA Entry'!J139="","",UPPER('Student DATA Entry'!J139))</f>
        <v/>
      </c>
      <c r="K143" s="561"/>
      <c r="L143" s="43"/>
      <c r="M143" s="43"/>
      <c r="N143" s="53"/>
      <c r="O143" s="562"/>
      <c r="P143" s="561"/>
      <c r="Q143" s="43"/>
      <c r="R143" s="43"/>
      <c r="S143" s="53"/>
      <c r="T143" s="562"/>
      <c r="U143" s="103"/>
      <c r="V143" s="43"/>
      <c r="W143" s="43"/>
      <c r="X143" s="43"/>
      <c r="Y143" s="53"/>
      <c r="Z143" s="53"/>
      <c r="AA143" s="58"/>
      <c r="AB143" s="565"/>
      <c r="AC143" s="103"/>
      <c r="AD143" s="43"/>
      <c r="AE143" s="43"/>
      <c r="AF143" s="43"/>
      <c r="AG143" s="53"/>
      <c r="AH143" s="53"/>
      <c r="AI143" s="58"/>
      <c r="AJ143" s="565"/>
      <c r="AK143" s="103"/>
      <c r="AL143" s="43"/>
      <c r="AM143" s="43"/>
      <c r="AN143" s="43"/>
      <c r="AO143" s="53"/>
      <c r="AP143" s="53"/>
      <c r="AQ143" s="58"/>
      <c r="AR143" s="565"/>
      <c r="AS143" s="18"/>
      <c r="AT143" s="43"/>
      <c r="AU143" s="43"/>
      <c r="AV143" s="43"/>
      <c r="AW143" s="52"/>
      <c r="AX143" s="53"/>
      <c r="AY143" s="57"/>
      <c r="AZ143" s="110"/>
      <c r="BA143" s="110"/>
      <c r="BB143" s="551"/>
      <c r="BC143" s="552"/>
      <c r="BD143" s="104"/>
      <c r="BE143" s="103"/>
      <c r="BF143" s="19"/>
      <c r="BG143" s="19"/>
      <c r="BH143" s="20"/>
      <c r="BI143" s="104"/>
      <c r="BJ143" s="8"/>
    </row>
    <row r="144" spans="1:62">
      <c r="A144" s="516">
        <f>IF('Student DATA Entry'!A140="","",'Student DATA Entry'!A140)</f>
        <v>137</v>
      </c>
      <c r="B144" s="528" t="str">
        <f>IF('Student DATA Entry'!B140="","",'Student DATA Entry'!B140)</f>
        <v/>
      </c>
      <c r="C144" s="126" t="str">
        <f>IF('Student DATA Entry'!D140="","",'Student DATA Entry'!D140)</f>
        <v/>
      </c>
      <c r="D144" s="530" t="str">
        <f>IF('Student DATA Entry'!E140="","",'Student DATA Entry'!E140)</f>
        <v/>
      </c>
      <c r="E144" s="532" t="str">
        <f>IF('Student DATA Entry'!I140="","",'Student DATA Entry'!I140)</f>
        <v/>
      </c>
      <c r="F144" s="127" t="str">
        <f>IF('Student DATA Entry'!F140="","",UPPER('Student DATA Entry'!F140))</f>
        <v/>
      </c>
      <c r="G144" s="127" t="str">
        <f>IF('Student DATA Entry'!G140="","",UPPER('Student DATA Entry'!G140))</f>
        <v/>
      </c>
      <c r="H144" s="127" t="str">
        <f>IF('Student DATA Entry'!H140="","",UPPER('Student DATA Entry'!H140))</f>
        <v/>
      </c>
      <c r="I144" s="526" t="str">
        <f>IF('Student DATA Entry'!K140="","",UPPER('Student DATA Entry'!K140))</f>
        <v/>
      </c>
      <c r="J144" s="560" t="str">
        <f>IF('Student DATA Entry'!J140="","",UPPER('Student DATA Entry'!J140))</f>
        <v/>
      </c>
      <c r="K144" s="561"/>
      <c r="L144" s="43"/>
      <c r="M144" s="43"/>
      <c r="N144" s="53"/>
      <c r="O144" s="562"/>
      <c r="P144" s="561"/>
      <c r="Q144" s="43"/>
      <c r="R144" s="43"/>
      <c r="S144" s="53"/>
      <c r="T144" s="562"/>
      <c r="U144" s="103"/>
      <c r="V144" s="43"/>
      <c r="W144" s="43"/>
      <c r="X144" s="43"/>
      <c r="Y144" s="53"/>
      <c r="Z144" s="53"/>
      <c r="AA144" s="58"/>
      <c r="AB144" s="565"/>
      <c r="AC144" s="103"/>
      <c r="AD144" s="43"/>
      <c r="AE144" s="43"/>
      <c r="AF144" s="43"/>
      <c r="AG144" s="53"/>
      <c r="AH144" s="53"/>
      <c r="AI144" s="58"/>
      <c r="AJ144" s="565"/>
      <c r="AK144" s="103"/>
      <c r="AL144" s="43"/>
      <c r="AM144" s="43"/>
      <c r="AN144" s="43"/>
      <c r="AO144" s="53"/>
      <c r="AP144" s="53"/>
      <c r="AQ144" s="58"/>
      <c r="AR144" s="565"/>
      <c r="AS144" s="18"/>
      <c r="AT144" s="43"/>
      <c r="AU144" s="43"/>
      <c r="AV144" s="43"/>
      <c r="AW144" s="52"/>
      <c r="AX144" s="53"/>
      <c r="AY144" s="57"/>
      <c r="AZ144" s="110"/>
      <c r="BA144" s="110"/>
      <c r="BB144" s="551"/>
      <c r="BC144" s="552"/>
      <c r="BD144" s="104"/>
      <c r="BE144" s="103"/>
      <c r="BF144" s="19"/>
      <c r="BG144" s="19"/>
      <c r="BH144" s="20"/>
      <c r="BI144" s="104"/>
      <c r="BJ144" s="8"/>
    </row>
    <row r="145" spans="1:62">
      <c r="A145" s="516">
        <f>IF('Student DATA Entry'!A141="","",'Student DATA Entry'!A141)</f>
        <v>138</v>
      </c>
      <c r="B145" s="528" t="str">
        <f>IF('Student DATA Entry'!B141="","",'Student DATA Entry'!B141)</f>
        <v/>
      </c>
      <c r="C145" s="126" t="str">
        <f>IF('Student DATA Entry'!D141="","",'Student DATA Entry'!D141)</f>
        <v/>
      </c>
      <c r="D145" s="530" t="str">
        <f>IF('Student DATA Entry'!E141="","",'Student DATA Entry'!E141)</f>
        <v/>
      </c>
      <c r="E145" s="532" t="str">
        <f>IF('Student DATA Entry'!I141="","",'Student DATA Entry'!I141)</f>
        <v/>
      </c>
      <c r="F145" s="127" t="str">
        <f>IF('Student DATA Entry'!F141="","",UPPER('Student DATA Entry'!F141))</f>
        <v/>
      </c>
      <c r="G145" s="127" t="str">
        <f>IF('Student DATA Entry'!G141="","",UPPER('Student DATA Entry'!G141))</f>
        <v/>
      </c>
      <c r="H145" s="127" t="str">
        <f>IF('Student DATA Entry'!H141="","",UPPER('Student DATA Entry'!H141))</f>
        <v/>
      </c>
      <c r="I145" s="526" t="str">
        <f>IF('Student DATA Entry'!K141="","",UPPER('Student DATA Entry'!K141))</f>
        <v/>
      </c>
      <c r="J145" s="560" t="str">
        <f>IF('Student DATA Entry'!J141="","",UPPER('Student DATA Entry'!J141))</f>
        <v/>
      </c>
      <c r="K145" s="561"/>
      <c r="L145" s="43"/>
      <c r="M145" s="43"/>
      <c r="N145" s="53"/>
      <c r="O145" s="562"/>
      <c r="P145" s="561"/>
      <c r="Q145" s="43"/>
      <c r="R145" s="43"/>
      <c r="S145" s="53"/>
      <c r="T145" s="562"/>
      <c r="U145" s="103"/>
      <c r="V145" s="43"/>
      <c r="W145" s="43"/>
      <c r="X145" s="43"/>
      <c r="Y145" s="53"/>
      <c r="Z145" s="53"/>
      <c r="AA145" s="58"/>
      <c r="AB145" s="565"/>
      <c r="AC145" s="103"/>
      <c r="AD145" s="43"/>
      <c r="AE145" s="43"/>
      <c r="AF145" s="43"/>
      <c r="AG145" s="53"/>
      <c r="AH145" s="53"/>
      <c r="AI145" s="58"/>
      <c r="AJ145" s="565"/>
      <c r="AK145" s="103"/>
      <c r="AL145" s="43"/>
      <c r="AM145" s="43"/>
      <c r="AN145" s="43"/>
      <c r="AO145" s="53"/>
      <c r="AP145" s="53"/>
      <c r="AQ145" s="58"/>
      <c r="AR145" s="565"/>
      <c r="AS145" s="18"/>
      <c r="AT145" s="43"/>
      <c r="AU145" s="43"/>
      <c r="AV145" s="43"/>
      <c r="AW145" s="52"/>
      <c r="AX145" s="53"/>
      <c r="AY145" s="57"/>
      <c r="AZ145" s="110"/>
      <c r="BA145" s="110"/>
      <c r="BB145" s="551"/>
      <c r="BC145" s="552"/>
      <c r="BD145" s="104"/>
      <c r="BE145" s="103"/>
      <c r="BF145" s="19"/>
      <c r="BG145" s="19"/>
      <c r="BH145" s="20"/>
      <c r="BI145" s="104"/>
      <c r="BJ145" s="8"/>
    </row>
    <row r="146" spans="1:62">
      <c r="A146" s="516">
        <f>IF('Student DATA Entry'!A142="","",'Student DATA Entry'!A142)</f>
        <v>139</v>
      </c>
      <c r="B146" s="528" t="str">
        <f>IF('Student DATA Entry'!B142="","",'Student DATA Entry'!B142)</f>
        <v/>
      </c>
      <c r="C146" s="126" t="str">
        <f>IF('Student DATA Entry'!D142="","",'Student DATA Entry'!D142)</f>
        <v/>
      </c>
      <c r="D146" s="530" t="str">
        <f>IF('Student DATA Entry'!E142="","",'Student DATA Entry'!E142)</f>
        <v/>
      </c>
      <c r="E146" s="532" t="str">
        <f>IF('Student DATA Entry'!I142="","",'Student DATA Entry'!I142)</f>
        <v/>
      </c>
      <c r="F146" s="127" t="str">
        <f>IF('Student DATA Entry'!F142="","",UPPER('Student DATA Entry'!F142))</f>
        <v/>
      </c>
      <c r="G146" s="127" t="str">
        <f>IF('Student DATA Entry'!G142="","",UPPER('Student DATA Entry'!G142))</f>
        <v/>
      </c>
      <c r="H146" s="127" t="str">
        <f>IF('Student DATA Entry'!H142="","",UPPER('Student DATA Entry'!H142))</f>
        <v/>
      </c>
      <c r="I146" s="526" t="str">
        <f>IF('Student DATA Entry'!K142="","",UPPER('Student DATA Entry'!K142))</f>
        <v/>
      </c>
      <c r="J146" s="560" t="str">
        <f>IF('Student DATA Entry'!J142="","",UPPER('Student DATA Entry'!J142))</f>
        <v/>
      </c>
      <c r="K146" s="561"/>
      <c r="L146" s="43"/>
      <c r="M146" s="43"/>
      <c r="N146" s="53"/>
      <c r="O146" s="562"/>
      <c r="P146" s="561"/>
      <c r="Q146" s="43"/>
      <c r="R146" s="43"/>
      <c r="S146" s="53"/>
      <c r="T146" s="562"/>
      <c r="U146" s="103"/>
      <c r="V146" s="43"/>
      <c r="W146" s="43"/>
      <c r="X146" s="43"/>
      <c r="Y146" s="53"/>
      <c r="Z146" s="53"/>
      <c r="AA146" s="58"/>
      <c r="AB146" s="565"/>
      <c r="AC146" s="103"/>
      <c r="AD146" s="43"/>
      <c r="AE146" s="43"/>
      <c r="AF146" s="43"/>
      <c r="AG146" s="53"/>
      <c r="AH146" s="53"/>
      <c r="AI146" s="58"/>
      <c r="AJ146" s="565"/>
      <c r="AK146" s="103"/>
      <c r="AL146" s="43"/>
      <c r="AM146" s="43"/>
      <c r="AN146" s="43"/>
      <c r="AO146" s="53"/>
      <c r="AP146" s="53"/>
      <c r="AQ146" s="58"/>
      <c r="AR146" s="565"/>
      <c r="AS146" s="18"/>
      <c r="AT146" s="43"/>
      <c r="AU146" s="43"/>
      <c r="AV146" s="43"/>
      <c r="AW146" s="52"/>
      <c r="AX146" s="53"/>
      <c r="AY146" s="57"/>
      <c r="AZ146" s="110"/>
      <c r="BA146" s="110"/>
      <c r="BB146" s="551"/>
      <c r="BC146" s="552"/>
      <c r="BD146" s="104"/>
      <c r="BE146" s="103"/>
      <c r="BF146" s="19"/>
      <c r="BG146" s="19"/>
      <c r="BH146" s="20"/>
      <c r="BI146" s="104"/>
      <c r="BJ146" s="8"/>
    </row>
    <row r="147" spans="1:62">
      <c r="A147" s="516">
        <f>IF('Student DATA Entry'!A143="","",'Student DATA Entry'!A143)</f>
        <v>140</v>
      </c>
      <c r="B147" s="528" t="str">
        <f>IF('Student DATA Entry'!B143="","",'Student DATA Entry'!B143)</f>
        <v/>
      </c>
      <c r="C147" s="126" t="str">
        <f>IF('Student DATA Entry'!D143="","",'Student DATA Entry'!D143)</f>
        <v/>
      </c>
      <c r="D147" s="530" t="str">
        <f>IF('Student DATA Entry'!E143="","",'Student DATA Entry'!E143)</f>
        <v/>
      </c>
      <c r="E147" s="532" t="str">
        <f>IF('Student DATA Entry'!I143="","",'Student DATA Entry'!I143)</f>
        <v/>
      </c>
      <c r="F147" s="127" t="str">
        <f>IF('Student DATA Entry'!F143="","",UPPER('Student DATA Entry'!F143))</f>
        <v/>
      </c>
      <c r="G147" s="127" t="str">
        <f>IF('Student DATA Entry'!G143="","",UPPER('Student DATA Entry'!G143))</f>
        <v/>
      </c>
      <c r="H147" s="127" t="str">
        <f>IF('Student DATA Entry'!H143="","",UPPER('Student DATA Entry'!H143))</f>
        <v/>
      </c>
      <c r="I147" s="526" t="str">
        <f>IF('Student DATA Entry'!K143="","",UPPER('Student DATA Entry'!K143))</f>
        <v/>
      </c>
      <c r="J147" s="560" t="str">
        <f>IF('Student DATA Entry'!J143="","",UPPER('Student DATA Entry'!J143))</f>
        <v/>
      </c>
      <c r="K147" s="561"/>
      <c r="L147" s="43"/>
      <c r="M147" s="43"/>
      <c r="N147" s="53"/>
      <c r="O147" s="562"/>
      <c r="P147" s="561"/>
      <c r="Q147" s="43"/>
      <c r="R147" s="43"/>
      <c r="S147" s="53"/>
      <c r="T147" s="562"/>
      <c r="U147" s="103"/>
      <c r="V147" s="43"/>
      <c r="W147" s="43"/>
      <c r="X147" s="43"/>
      <c r="Y147" s="53"/>
      <c r="Z147" s="53"/>
      <c r="AA147" s="58"/>
      <c r="AB147" s="565"/>
      <c r="AC147" s="103"/>
      <c r="AD147" s="43"/>
      <c r="AE147" s="43"/>
      <c r="AF147" s="43"/>
      <c r="AG147" s="53"/>
      <c r="AH147" s="53"/>
      <c r="AI147" s="58"/>
      <c r="AJ147" s="565"/>
      <c r="AK147" s="103"/>
      <c r="AL147" s="43"/>
      <c r="AM147" s="43"/>
      <c r="AN147" s="43"/>
      <c r="AO147" s="53"/>
      <c r="AP147" s="53"/>
      <c r="AQ147" s="58"/>
      <c r="AR147" s="565"/>
      <c r="AS147" s="18"/>
      <c r="AT147" s="43"/>
      <c r="AU147" s="43"/>
      <c r="AV147" s="43"/>
      <c r="AW147" s="52"/>
      <c r="AX147" s="53"/>
      <c r="AY147" s="57"/>
      <c r="AZ147" s="110"/>
      <c r="BA147" s="110"/>
      <c r="BB147" s="551"/>
      <c r="BC147" s="552"/>
      <c r="BD147" s="104"/>
      <c r="BE147" s="103"/>
      <c r="BF147" s="19"/>
      <c r="BG147" s="19"/>
      <c r="BH147" s="20"/>
      <c r="BI147" s="104"/>
      <c r="BJ147" s="8"/>
    </row>
    <row r="148" spans="1:62">
      <c r="A148" s="516">
        <f>IF('Student DATA Entry'!A144="","",'Student DATA Entry'!A144)</f>
        <v>141</v>
      </c>
      <c r="B148" s="528" t="str">
        <f>IF('Student DATA Entry'!B144="","",'Student DATA Entry'!B144)</f>
        <v/>
      </c>
      <c r="C148" s="126" t="str">
        <f>IF('Student DATA Entry'!D144="","",'Student DATA Entry'!D144)</f>
        <v/>
      </c>
      <c r="D148" s="530" t="str">
        <f>IF('Student DATA Entry'!E144="","",'Student DATA Entry'!E144)</f>
        <v/>
      </c>
      <c r="E148" s="532" t="str">
        <f>IF('Student DATA Entry'!I144="","",'Student DATA Entry'!I144)</f>
        <v/>
      </c>
      <c r="F148" s="127" t="str">
        <f>IF('Student DATA Entry'!F144="","",UPPER('Student DATA Entry'!F144))</f>
        <v/>
      </c>
      <c r="G148" s="127" t="str">
        <f>IF('Student DATA Entry'!G144="","",UPPER('Student DATA Entry'!G144))</f>
        <v/>
      </c>
      <c r="H148" s="127" t="str">
        <f>IF('Student DATA Entry'!H144="","",UPPER('Student DATA Entry'!H144))</f>
        <v/>
      </c>
      <c r="I148" s="526" t="str">
        <f>IF('Student DATA Entry'!K144="","",UPPER('Student DATA Entry'!K144))</f>
        <v/>
      </c>
      <c r="J148" s="560" t="str">
        <f>IF('Student DATA Entry'!J144="","",UPPER('Student DATA Entry'!J144))</f>
        <v/>
      </c>
      <c r="K148" s="561"/>
      <c r="L148" s="43"/>
      <c r="M148" s="43"/>
      <c r="N148" s="53"/>
      <c r="O148" s="562"/>
      <c r="P148" s="561"/>
      <c r="Q148" s="43"/>
      <c r="R148" s="43"/>
      <c r="S148" s="53"/>
      <c r="T148" s="562"/>
      <c r="U148" s="103"/>
      <c r="V148" s="43"/>
      <c r="W148" s="43"/>
      <c r="X148" s="43"/>
      <c r="Y148" s="53"/>
      <c r="Z148" s="53"/>
      <c r="AA148" s="58"/>
      <c r="AB148" s="565"/>
      <c r="AC148" s="103"/>
      <c r="AD148" s="43"/>
      <c r="AE148" s="43"/>
      <c r="AF148" s="43"/>
      <c r="AG148" s="53"/>
      <c r="AH148" s="53"/>
      <c r="AI148" s="58"/>
      <c r="AJ148" s="565"/>
      <c r="AK148" s="103"/>
      <c r="AL148" s="43"/>
      <c r="AM148" s="43"/>
      <c r="AN148" s="43"/>
      <c r="AO148" s="53"/>
      <c r="AP148" s="53"/>
      <c r="AQ148" s="58"/>
      <c r="AR148" s="565"/>
      <c r="AS148" s="18"/>
      <c r="AT148" s="43"/>
      <c r="AU148" s="43"/>
      <c r="AV148" s="43"/>
      <c r="AW148" s="52"/>
      <c r="AX148" s="53"/>
      <c r="AY148" s="57"/>
      <c r="AZ148" s="110"/>
      <c r="BA148" s="110"/>
      <c r="BB148" s="551"/>
      <c r="BC148" s="552"/>
      <c r="BD148" s="104"/>
      <c r="BE148" s="103"/>
      <c r="BF148" s="19"/>
      <c r="BG148" s="19"/>
      <c r="BH148" s="20"/>
      <c r="BI148" s="104"/>
      <c r="BJ148" s="8"/>
    </row>
    <row r="149" spans="1:62">
      <c r="A149" s="516">
        <f>IF('Student DATA Entry'!A145="","",'Student DATA Entry'!A145)</f>
        <v>142</v>
      </c>
      <c r="B149" s="528" t="str">
        <f>IF('Student DATA Entry'!B145="","",'Student DATA Entry'!B145)</f>
        <v/>
      </c>
      <c r="C149" s="126" t="str">
        <f>IF('Student DATA Entry'!D145="","",'Student DATA Entry'!D145)</f>
        <v/>
      </c>
      <c r="D149" s="530" t="str">
        <f>IF('Student DATA Entry'!E145="","",'Student DATA Entry'!E145)</f>
        <v/>
      </c>
      <c r="E149" s="532" t="str">
        <f>IF('Student DATA Entry'!I145="","",'Student DATA Entry'!I145)</f>
        <v/>
      </c>
      <c r="F149" s="127" t="str">
        <f>IF('Student DATA Entry'!F145="","",UPPER('Student DATA Entry'!F145))</f>
        <v/>
      </c>
      <c r="G149" s="127" t="str">
        <f>IF('Student DATA Entry'!G145="","",UPPER('Student DATA Entry'!G145))</f>
        <v/>
      </c>
      <c r="H149" s="127" t="str">
        <f>IF('Student DATA Entry'!H145="","",UPPER('Student DATA Entry'!H145))</f>
        <v/>
      </c>
      <c r="I149" s="526" t="str">
        <f>IF('Student DATA Entry'!K145="","",UPPER('Student DATA Entry'!K145))</f>
        <v/>
      </c>
      <c r="J149" s="560" t="str">
        <f>IF('Student DATA Entry'!J145="","",UPPER('Student DATA Entry'!J145))</f>
        <v/>
      </c>
      <c r="K149" s="561"/>
      <c r="L149" s="43"/>
      <c r="M149" s="43"/>
      <c r="N149" s="53"/>
      <c r="O149" s="562"/>
      <c r="P149" s="561"/>
      <c r="Q149" s="43"/>
      <c r="R149" s="43"/>
      <c r="S149" s="53"/>
      <c r="T149" s="562"/>
      <c r="U149" s="103"/>
      <c r="V149" s="43"/>
      <c r="W149" s="43"/>
      <c r="X149" s="43"/>
      <c r="Y149" s="53"/>
      <c r="Z149" s="53"/>
      <c r="AA149" s="58"/>
      <c r="AB149" s="565"/>
      <c r="AC149" s="103"/>
      <c r="AD149" s="43"/>
      <c r="AE149" s="43"/>
      <c r="AF149" s="43"/>
      <c r="AG149" s="53"/>
      <c r="AH149" s="53"/>
      <c r="AI149" s="58"/>
      <c r="AJ149" s="565"/>
      <c r="AK149" s="103"/>
      <c r="AL149" s="43"/>
      <c r="AM149" s="43"/>
      <c r="AN149" s="43"/>
      <c r="AO149" s="53"/>
      <c r="AP149" s="53"/>
      <c r="AQ149" s="58"/>
      <c r="AR149" s="565"/>
      <c r="AS149" s="18"/>
      <c r="AT149" s="43"/>
      <c r="AU149" s="43"/>
      <c r="AV149" s="43"/>
      <c r="AW149" s="52"/>
      <c r="AX149" s="53"/>
      <c r="AY149" s="57"/>
      <c r="AZ149" s="110"/>
      <c r="BA149" s="110"/>
      <c r="BB149" s="551"/>
      <c r="BC149" s="552"/>
      <c r="BD149" s="104"/>
      <c r="BE149" s="103"/>
      <c r="BF149" s="19"/>
      <c r="BG149" s="19"/>
      <c r="BH149" s="20"/>
      <c r="BI149" s="104"/>
      <c r="BJ149" s="8"/>
    </row>
    <row r="150" spans="1:62">
      <c r="A150" s="516">
        <f>IF('Student DATA Entry'!A146="","",'Student DATA Entry'!A146)</f>
        <v>143</v>
      </c>
      <c r="B150" s="528" t="str">
        <f>IF('Student DATA Entry'!B146="","",'Student DATA Entry'!B146)</f>
        <v/>
      </c>
      <c r="C150" s="126" t="str">
        <f>IF('Student DATA Entry'!D146="","",'Student DATA Entry'!D146)</f>
        <v/>
      </c>
      <c r="D150" s="530" t="str">
        <f>IF('Student DATA Entry'!E146="","",'Student DATA Entry'!E146)</f>
        <v/>
      </c>
      <c r="E150" s="532" t="str">
        <f>IF('Student DATA Entry'!I146="","",'Student DATA Entry'!I146)</f>
        <v/>
      </c>
      <c r="F150" s="127" t="str">
        <f>IF('Student DATA Entry'!F146="","",UPPER('Student DATA Entry'!F146))</f>
        <v/>
      </c>
      <c r="G150" s="127" t="str">
        <f>IF('Student DATA Entry'!G146="","",UPPER('Student DATA Entry'!G146))</f>
        <v/>
      </c>
      <c r="H150" s="127" t="str">
        <f>IF('Student DATA Entry'!H146="","",UPPER('Student DATA Entry'!H146))</f>
        <v/>
      </c>
      <c r="I150" s="526" t="str">
        <f>IF('Student DATA Entry'!K146="","",UPPER('Student DATA Entry'!K146))</f>
        <v/>
      </c>
      <c r="J150" s="560" t="str">
        <f>IF('Student DATA Entry'!J146="","",UPPER('Student DATA Entry'!J146))</f>
        <v/>
      </c>
      <c r="K150" s="561"/>
      <c r="L150" s="43"/>
      <c r="M150" s="43"/>
      <c r="N150" s="53"/>
      <c r="O150" s="562"/>
      <c r="P150" s="561"/>
      <c r="Q150" s="43"/>
      <c r="R150" s="43"/>
      <c r="S150" s="53"/>
      <c r="T150" s="562"/>
      <c r="U150" s="103"/>
      <c r="V150" s="43"/>
      <c r="W150" s="43"/>
      <c r="X150" s="43"/>
      <c r="Y150" s="53"/>
      <c r="Z150" s="53"/>
      <c r="AA150" s="58"/>
      <c r="AB150" s="565"/>
      <c r="AC150" s="103"/>
      <c r="AD150" s="43"/>
      <c r="AE150" s="43"/>
      <c r="AF150" s="43"/>
      <c r="AG150" s="53"/>
      <c r="AH150" s="53"/>
      <c r="AI150" s="58"/>
      <c r="AJ150" s="565"/>
      <c r="AK150" s="103"/>
      <c r="AL150" s="43"/>
      <c r="AM150" s="43"/>
      <c r="AN150" s="43"/>
      <c r="AO150" s="53"/>
      <c r="AP150" s="53"/>
      <c r="AQ150" s="58"/>
      <c r="AR150" s="565"/>
      <c r="AS150" s="18"/>
      <c r="AT150" s="43"/>
      <c r="AU150" s="43"/>
      <c r="AV150" s="43"/>
      <c r="AW150" s="52"/>
      <c r="AX150" s="53"/>
      <c r="AY150" s="57"/>
      <c r="AZ150" s="110"/>
      <c r="BA150" s="110"/>
      <c r="BB150" s="551"/>
      <c r="BC150" s="552"/>
      <c r="BD150" s="104"/>
      <c r="BE150" s="103"/>
      <c r="BF150" s="19"/>
      <c r="BG150" s="19"/>
      <c r="BH150" s="20"/>
      <c r="BI150" s="104"/>
      <c r="BJ150" s="8"/>
    </row>
    <row r="151" spans="1:62">
      <c r="A151" s="516">
        <f>IF('Student DATA Entry'!A147="","",'Student DATA Entry'!A147)</f>
        <v>144</v>
      </c>
      <c r="B151" s="528" t="str">
        <f>IF('Student DATA Entry'!B147="","",'Student DATA Entry'!B147)</f>
        <v/>
      </c>
      <c r="C151" s="126" t="str">
        <f>IF('Student DATA Entry'!D147="","",'Student DATA Entry'!D147)</f>
        <v/>
      </c>
      <c r="D151" s="530" t="str">
        <f>IF('Student DATA Entry'!E147="","",'Student DATA Entry'!E147)</f>
        <v/>
      </c>
      <c r="E151" s="532" t="str">
        <f>IF('Student DATA Entry'!I147="","",'Student DATA Entry'!I147)</f>
        <v/>
      </c>
      <c r="F151" s="127" t="str">
        <f>IF('Student DATA Entry'!F147="","",UPPER('Student DATA Entry'!F147))</f>
        <v/>
      </c>
      <c r="G151" s="127" t="str">
        <f>IF('Student DATA Entry'!G147="","",UPPER('Student DATA Entry'!G147))</f>
        <v/>
      </c>
      <c r="H151" s="127" t="str">
        <f>IF('Student DATA Entry'!H147="","",UPPER('Student DATA Entry'!H147))</f>
        <v/>
      </c>
      <c r="I151" s="526" t="str">
        <f>IF('Student DATA Entry'!K147="","",UPPER('Student DATA Entry'!K147))</f>
        <v/>
      </c>
      <c r="J151" s="560" t="str">
        <f>IF('Student DATA Entry'!J147="","",UPPER('Student DATA Entry'!J147))</f>
        <v/>
      </c>
      <c r="K151" s="561"/>
      <c r="L151" s="43"/>
      <c r="M151" s="43"/>
      <c r="N151" s="53"/>
      <c r="O151" s="562"/>
      <c r="P151" s="561"/>
      <c r="Q151" s="43"/>
      <c r="R151" s="43"/>
      <c r="S151" s="53"/>
      <c r="T151" s="562"/>
      <c r="U151" s="103"/>
      <c r="V151" s="43"/>
      <c r="W151" s="43"/>
      <c r="X151" s="43"/>
      <c r="Y151" s="53"/>
      <c r="Z151" s="53"/>
      <c r="AA151" s="58"/>
      <c r="AB151" s="565"/>
      <c r="AC151" s="103"/>
      <c r="AD151" s="43"/>
      <c r="AE151" s="43"/>
      <c r="AF151" s="43"/>
      <c r="AG151" s="53"/>
      <c r="AH151" s="53"/>
      <c r="AI151" s="58"/>
      <c r="AJ151" s="565"/>
      <c r="AK151" s="103"/>
      <c r="AL151" s="43"/>
      <c r="AM151" s="43"/>
      <c r="AN151" s="43"/>
      <c r="AO151" s="53"/>
      <c r="AP151" s="53"/>
      <c r="AQ151" s="58"/>
      <c r="AR151" s="565"/>
      <c r="AS151" s="18"/>
      <c r="AT151" s="43"/>
      <c r="AU151" s="43"/>
      <c r="AV151" s="43"/>
      <c r="AW151" s="52"/>
      <c r="AX151" s="53"/>
      <c r="AY151" s="57"/>
      <c r="AZ151" s="110"/>
      <c r="BA151" s="110"/>
      <c r="BB151" s="551"/>
      <c r="BC151" s="552"/>
      <c r="BD151" s="104"/>
      <c r="BE151" s="103"/>
      <c r="BF151" s="19"/>
      <c r="BG151" s="19"/>
      <c r="BH151" s="20"/>
      <c r="BI151" s="104"/>
      <c r="BJ151" s="8"/>
    </row>
    <row r="152" spans="1:62">
      <c r="A152" s="516">
        <f>IF('Student DATA Entry'!A148="","",'Student DATA Entry'!A148)</f>
        <v>145</v>
      </c>
      <c r="B152" s="528" t="str">
        <f>IF('Student DATA Entry'!B148="","",'Student DATA Entry'!B148)</f>
        <v/>
      </c>
      <c r="C152" s="126" t="str">
        <f>IF('Student DATA Entry'!D148="","",'Student DATA Entry'!D148)</f>
        <v/>
      </c>
      <c r="D152" s="530" t="str">
        <f>IF('Student DATA Entry'!E148="","",'Student DATA Entry'!E148)</f>
        <v/>
      </c>
      <c r="E152" s="532" t="str">
        <f>IF('Student DATA Entry'!I148="","",'Student DATA Entry'!I148)</f>
        <v/>
      </c>
      <c r="F152" s="127" t="str">
        <f>IF('Student DATA Entry'!F148="","",UPPER('Student DATA Entry'!F148))</f>
        <v/>
      </c>
      <c r="G152" s="127" t="str">
        <f>IF('Student DATA Entry'!G148="","",UPPER('Student DATA Entry'!G148))</f>
        <v/>
      </c>
      <c r="H152" s="127" t="str">
        <f>IF('Student DATA Entry'!H148="","",UPPER('Student DATA Entry'!H148))</f>
        <v/>
      </c>
      <c r="I152" s="526" t="str">
        <f>IF('Student DATA Entry'!K148="","",UPPER('Student DATA Entry'!K148))</f>
        <v/>
      </c>
      <c r="J152" s="560" t="str">
        <f>IF('Student DATA Entry'!J148="","",UPPER('Student DATA Entry'!J148))</f>
        <v/>
      </c>
      <c r="K152" s="561"/>
      <c r="L152" s="43"/>
      <c r="M152" s="43"/>
      <c r="N152" s="53"/>
      <c r="O152" s="562"/>
      <c r="P152" s="561"/>
      <c r="Q152" s="43"/>
      <c r="R152" s="43"/>
      <c r="S152" s="53"/>
      <c r="T152" s="562"/>
      <c r="U152" s="103"/>
      <c r="V152" s="43"/>
      <c r="W152" s="43"/>
      <c r="X152" s="43"/>
      <c r="Y152" s="53"/>
      <c r="Z152" s="53"/>
      <c r="AA152" s="58"/>
      <c r="AB152" s="565"/>
      <c r="AC152" s="103"/>
      <c r="AD152" s="43"/>
      <c r="AE152" s="43"/>
      <c r="AF152" s="43"/>
      <c r="AG152" s="53"/>
      <c r="AH152" s="53"/>
      <c r="AI152" s="58"/>
      <c r="AJ152" s="565"/>
      <c r="AK152" s="103"/>
      <c r="AL152" s="43"/>
      <c r="AM152" s="43"/>
      <c r="AN152" s="43"/>
      <c r="AO152" s="53"/>
      <c r="AP152" s="53"/>
      <c r="AQ152" s="58"/>
      <c r="AR152" s="565"/>
      <c r="AS152" s="18"/>
      <c r="AT152" s="43"/>
      <c r="AU152" s="43"/>
      <c r="AV152" s="43"/>
      <c r="AW152" s="52"/>
      <c r="AX152" s="53"/>
      <c r="AY152" s="57"/>
      <c r="AZ152" s="110"/>
      <c r="BA152" s="110"/>
      <c r="BB152" s="551"/>
      <c r="BC152" s="552"/>
      <c r="BD152" s="104"/>
      <c r="BE152" s="103"/>
      <c r="BF152" s="19"/>
      <c r="BG152" s="19"/>
      <c r="BH152" s="20"/>
      <c r="BI152" s="104"/>
      <c r="BJ152" s="8"/>
    </row>
    <row r="153" spans="1:62">
      <c r="A153" s="516">
        <f>IF('Student DATA Entry'!A149="","",'Student DATA Entry'!A149)</f>
        <v>146</v>
      </c>
      <c r="B153" s="528" t="str">
        <f>IF('Student DATA Entry'!B149="","",'Student DATA Entry'!B149)</f>
        <v/>
      </c>
      <c r="C153" s="126" t="str">
        <f>IF('Student DATA Entry'!D149="","",'Student DATA Entry'!D149)</f>
        <v/>
      </c>
      <c r="D153" s="530" t="str">
        <f>IF('Student DATA Entry'!E149="","",'Student DATA Entry'!E149)</f>
        <v/>
      </c>
      <c r="E153" s="532" t="str">
        <f>IF('Student DATA Entry'!I149="","",'Student DATA Entry'!I149)</f>
        <v/>
      </c>
      <c r="F153" s="127" t="str">
        <f>IF('Student DATA Entry'!F149="","",UPPER('Student DATA Entry'!F149))</f>
        <v/>
      </c>
      <c r="G153" s="127" t="str">
        <f>IF('Student DATA Entry'!G149="","",UPPER('Student DATA Entry'!G149))</f>
        <v/>
      </c>
      <c r="H153" s="127" t="str">
        <f>IF('Student DATA Entry'!H149="","",UPPER('Student DATA Entry'!H149))</f>
        <v/>
      </c>
      <c r="I153" s="526" t="str">
        <f>IF('Student DATA Entry'!K149="","",UPPER('Student DATA Entry'!K149))</f>
        <v/>
      </c>
      <c r="J153" s="560" t="str">
        <f>IF('Student DATA Entry'!J149="","",UPPER('Student DATA Entry'!J149))</f>
        <v/>
      </c>
      <c r="K153" s="561"/>
      <c r="L153" s="43"/>
      <c r="M153" s="43"/>
      <c r="N153" s="53"/>
      <c r="O153" s="562"/>
      <c r="P153" s="561"/>
      <c r="Q153" s="43"/>
      <c r="R153" s="43"/>
      <c r="S153" s="53"/>
      <c r="T153" s="562"/>
      <c r="U153" s="103"/>
      <c r="V153" s="43"/>
      <c r="W153" s="43"/>
      <c r="X153" s="43"/>
      <c r="Y153" s="53"/>
      <c r="Z153" s="53"/>
      <c r="AA153" s="58"/>
      <c r="AB153" s="565"/>
      <c r="AC153" s="103"/>
      <c r="AD153" s="43"/>
      <c r="AE153" s="43"/>
      <c r="AF153" s="43"/>
      <c r="AG153" s="53"/>
      <c r="AH153" s="53"/>
      <c r="AI153" s="58"/>
      <c r="AJ153" s="565"/>
      <c r="AK153" s="103"/>
      <c r="AL153" s="43"/>
      <c r="AM153" s="43"/>
      <c r="AN153" s="43"/>
      <c r="AO153" s="53"/>
      <c r="AP153" s="53"/>
      <c r="AQ153" s="58"/>
      <c r="AR153" s="565"/>
      <c r="AS153" s="18"/>
      <c r="AT153" s="43"/>
      <c r="AU153" s="43"/>
      <c r="AV153" s="43"/>
      <c r="AW153" s="52"/>
      <c r="AX153" s="53"/>
      <c r="AY153" s="57"/>
      <c r="AZ153" s="110"/>
      <c r="BA153" s="110"/>
      <c r="BB153" s="551"/>
      <c r="BC153" s="552"/>
      <c r="BD153" s="104"/>
      <c r="BE153" s="103"/>
      <c r="BF153" s="19"/>
      <c r="BG153" s="19"/>
      <c r="BH153" s="20"/>
      <c r="BI153" s="104"/>
      <c r="BJ153" s="8"/>
    </row>
    <row r="154" spans="1:62">
      <c r="A154" s="516">
        <f>IF('Student DATA Entry'!A150="","",'Student DATA Entry'!A150)</f>
        <v>147</v>
      </c>
      <c r="B154" s="528" t="str">
        <f>IF('Student DATA Entry'!B150="","",'Student DATA Entry'!B150)</f>
        <v/>
      </c>
      <c r="C154" s="126" t="str">
        <f>IF('Student DATA Entry'!D150="","",'Student DATA Entry'!D150)</f>
        <v/>
      </c>
      <c r="D154" s="530" t="str">
        <f>IF('Student DATA Entry'!E150="","",'Student DATA Entry'!E150)</f>
        <v/>
      </c>
      <c r="E154" s="532" t="str">
        <f>IF('Student DATA Entry'!I150="","",'Student DATA Entry'!I150)</f>
        <v/>
      </c>
      <c r="F154" s="127" t="str">
        <f>IF('Student DATA Entry'!F150="","",UPPER('Student DATA Entry'!F150))</f>
        <v/>
      </c>
      <c r="G154" s="127" t="str">
        <f>IF('Student DATA Entry'!G150="","",UPPER('Student DATA Entry'!G150))</f>
        <v/>
      </c>
      <c r="H154" s="127" t="str">
        <f>IF('Student DATA Entry'!H150="","",UPPER('Student DATA Entry'!H150))</f>
        <v/>
      </c>
      <c r="I154" s="526" t="str">
        <f>IF('Student DATA Entry'!K150="","",UPPER('Student DATA Entry'!K150))</f>
        <v/>
      </c>
      <c r="J154" s="560" t="str">
        <f>IF('Student DATA Entry'!J150="","",UPPER('Student DATA Entry'!J150))</f>
        <v/>
      </c>
      <c r="K154" s="561"/>
      <c r="L154" s="43"/>
      <c r="M154" s="43"/>
      <c r="N154" s="53"/>
      <c r="O154" s="562"/>
      <c r="P154" s="561"/>
      <c r="Q154" s="43"/>
      <c r="R154" s="43"/>
      <c r="S154" s="53"/>
      <c r="T154" s="562"/>
      <c r="U154" s="103"/>
      <c r="V154" s="43"/>
      <c r="W154" s="43"/>
      <c r="X154" s="43"/>
      <c r="Y154" s="53"/>
      <c r="Z154" s="53"/>
      <c r="AA154" s="58"/>
      <c r="AB154" s="565"/>
      <c r="AC154" s="103"/>
      <c r="AD154" s="43"/>
      <c r="AE154" s="43"/>
      <c r="AF154" s="43"/>
      <c r="AG154" s="53"/>
      <c r="AH154" s="53"/>
      <c r="AI154" s="58"/>
      <c r="AJ154" s="565"/>
      <c r="AK154" s="103"/>
      <c r="AL154" s="43"/>
      <c r="AM154" s="43"/>
      <c r="AN154" s="43"/>
      <c r="AO154" s="53"/>
      <c r="AP154" s="53"/>
      <c r="AQ154" s="58"/>
      <c r="AR154" s="565"/>
      <c r="AS154" s="18"/>
      <c r="AT154" s="43"/>
      <c r="AU154" s="43"/>
      <c r="AV154" s="43"/>
      <c r="AW154" s="52"/>
      <c r="AX154" s="53"/>
      <c r="AY154" s="57"/>
      <c r="AZ154" s="110"/>
      <c r="BA154" s="110"/>
      <c r="BB154" s="551"/>
      <c r="BC154" s="552"/>
      <c r="BD154" s="104"/>
      <c r="BE154" s="103"/>
      <c r="BF154" s="19"/>
      <c r="BG154" s="19"/>
      <c r="BH154" s="20"/>
      <c r="BI154" s="104"/>
      <c r="BJ154" s="8"/>
    </row>
    <row r="155" spans="1:62">
      <c r="A155" s="516">
        <f>IF('Student DATA Entry'!A151="","",'Student DATA Entry'!A151)</f>
        <v>148</v>
      </c>
      <c r="B155" s="528" t="str">
        <f>IF('Student DATA Entry'!B151="","",'Student DATA Entry'!B151)</f>
        <v/>
      </c>
      <c r="C155" s="126" t="str">
        <f>IF('Student DATA Entry'!D151="","",'Student DATA Entry'!D151)</f>
        <v/>
      </c>
      <c r="D155" s="530" t="str">
        <f>IF('Student DATA Entry'!E151="","",'Student DATA Entry'!E151)</f>
        <v/>
      </c>
      <c r="E155" s="532" t="str">
        <f>IF('Student DATA Entry'!I151="","",'Student DATA Entry'!I151)</f>
        <v/>
      </c>
      <c r="F155" s="127" t="str">
        <f>IF('Student DATA Entry'!F151="","",UPPER('Student DATA Entry'!F151))</f>
        <v/>
      </c>
      <c r="G155" s="127" t="str">
        <f>IF('Student DATA Entry'!G151="","",UPPER('Student DATA Entry'!G151))</f>
        <v/>
      </c>
      <c r="H155" s="127" t="str">
        <f>IF('Student DATA Entry'!H151="","",UPPER('Student DATA Entry'!H151))</f>
        <v/>
      </c>
      <c r="I155" s="526" t="str">
        <f>IF('Student DATA Entry'!K151="","",UPPER('Student DATA Entry'!K151))</f>
        <v/>
      </c>
      <c r="J155" s="560" t="str">
        <f>IF('Student DATA Entry'!J151="","",UPPER('Student DATA Entry'!J151))</f>
        <v/>
      </c>
      <c r="K155" s="561"/>
      <c r="L155" s="43"/>
      <c r="M155" s="43"/>
      <c r="N155" s="53"/>
      <c r="O155" s="562"/>
      <c r="P155" s="561"/>
      <c r="Q155" s="43"/>
      <c r="R155" s="43"/>
      <c r="S155" s="53"/>
      <c r="T155" s="562"/>
      <c r="U155" s="103"/>
      <c r="V155" s="43"/>
      <c r="W155" s="43"/>
      <c r="X155" s="43"/>
      <c r="Y155" s="53"/>
      <c r="Z155" s="53"/>
      <c r="AA155" s="58"/>
      <c r="AB155" s="565"/>
      <c r="AC155" s="103"/>
      <c r="AD155" s="43"/>
      <c r="AE155" s="43"/>
      <c r="AF155" s="43"/>
      <c r="AG155" s="53"/>
      <c r="AH155" s="53"/>
      <c r="AI155" s="58"/>
      <c r="AJ155" s="565"/>
      <c r="AK155" s="103"/>
      <c r="AL155" s="43"/>
      <c r="AM155" s="43"/>
      <c r="AN155" s="43"/>
      <c r="AO155" s="53"/>
      <c r="AP155" s="53"/>
      <c r="AQ155" s="58"/>
      <c r="AR155" s="565"/>
      <c r="AS155" s="18"/>
      <c r="AT155" s="43"/>
      <c r="AU155" s="43"/>
      <c r="AV155" s="43"/>
      <c r="AW155" s="52"/>
      <c r="AX155" s="53"/>
      <c r="AY155" s="57"/>
      <c r="AZ155" s="110"/>
      <c r="BA155" s="110"/>
      <c r="BB155" s="551"/>
      <c r="BC155" s="552"/>
      <c r="BD155" s="104"/>
      <c r="BE155" s="103"/>
      <c r="BF155" s="19"/>
      <c r="BG155" s="19"/>
      <c r="BH155" s="20"/>
      <c r="BI155" s="104"/>
      <c r="BJ155" s="8"/>
    </row>
    <row r="156" spans="1:62">
      <c r="A156" s="516">
        <f>IF('Student DATA Entry'!A152="","",'Student DATA Entry'!A152)</f>
        <v>149</v>
      </c>
      <c r="B156" s="528" t="str">
        <f>IF('Student DATA Entry'!B152="","",'Student DATA Entry'!B152)</f>
        <v/>
      </c>
      <c r="C156" s="126" t="str">
        <f>IF('Student DATA Entry'!D152="","",'Student DATA Entry'!D152)</f>
        <v/>
      </c>
      <c r="D156" s="530" t="str">
        <f>IF('Student DATA Entry'!E152="","",'Student DATA Entry'!E152)</f>
        <v/>
      </c>
      <c r="E156" s="532" t="str">
        <f>IF('Student DATA Entry'!I152="","",'Student DATA Entry'!I152)</f>
        <v/>
      </c>
      <c r="F156" s="127" t="str">
        <f>IF('Student DATA Entry'!F152="","",UPPER('Student DATA Entry'!F152))</f>
        <v/>
      </c>
      <c r="G156" s="127" t="str">
        <f>IF('Student DATA Entry'!G152="","",UPPER('Student DATA Entry'!G152))</f>
        <v/>
      </c>
      <c r="H156" s="127" t="str">
        <f>IF('Student DATA Entry'!H152="","",UPPER('Student DATA Entry'!H152))</f>
        <v/>
      </c>
      <c r="I156" s="526" t="str">
        <f>IF('Student DATA Entry'!K152="","",UPPER('Student DATA Entry'!K152))</f>
        <v/>
      </c>
      <c r="J156" s="560" t="str">
        <f>IF('Student DATA Entry'!J152="","",UPPER('Student DATA Entry'!J152))</f>
        <v/>
      </c>
      <c r="K156" s="561"/>
      <c r="L156" s="43"/>
      <c r="M156" s="43"/>
      <c r="N156" s="53"/>
      <c r="O156" s="562"/>
      <c r="P156" s="561"/>
      <c r="Q156" s="43"/>
      <c r="R156" s="43"/>
      <c r="S156" s="53"/>
      <c r="T156" s="562"/>
      <c r="U156" s="103"/>
      <c r="V156" s="43"/>
      <c r="W156" s="43"/>
      <c r="X156" s="43"/>
      <c r="Y156" s="53"/>
      <c r="Z156" s="53"/>
      <c r="AA156" s="58"/>
      <c r="AB156" s="565"/>
      <c r="AC156" s="103"/>
      <c r="AD156" s="43"/>
      <c r="AE156" s="43"/>
      <c r="AF156" s="43"/>
      <c r="AG156" s="53"/>
      <c r="AH156" s="53"/>
      <c r="AI156" s="58"/>
      <c r="AJ156" s="565"/>
      <c r="AK156" s="103"/>
      <c r="AL156" s="43"/>
      <c r="AM156" s="43"/>
      <c r="AN156" s="43"/>
      <c r="AO156" s="53"/>
      <c r="AP156" s="53"/>
      <c r="AQ156" s="58"/>
      <c r="AR156" s="565"/>
      <c r="AS156" s="18"/>
      <c r="AT156" s="43"/>
      <c r="AU156" s="43"/>
      <c r="AV156" s="43"/>
      <c r="AW156" s="52"/>
      <c r="AX156" s="53"/>
      <c r="AY156" s="57"/>
      <c r="AZ156" s="110"/>
      <c r="BA156" s="110"/>
      <c r="BB156" s="551"/>
      <c r="BC156" s="552"/>
      <c r="BD156" s="104"/>
      <c r="BE156" s="103"/>
      <c r="BF156" s="19"/>
      <c r="BG156" s="19"/>
      <c r="BH156" s="20"/>
      <c r="BI156" s="104"/>
      <c r="BJ156" s="8"/>
    </row>
    <row r="157" spans="1:62">
      <c r="A157" s="516">
        <f>IF('Student DATA Entry'!A153="","",'Student DATA Entry'!A153)</f>
        <v>150</v>
      </c>
      <c r="B157" s="528" t="str">
        <f>IF('Student DATA Entry'!B153="","",'Student DATA Entry'!B153)</f>
        <v/>
      </c>
      <c r="C157" s="126" t="str">
        <f>IF('Student DATA Entry'!D153="","",'Student DATA Entry'!D153)</f>
        <v/>
      </c>
      <c r="D157" s="530" t="str">
        <f>IF('Student DATA Entry'!E153="","",'Student DATA Entry'!E153)</f>
        <v/>
      </c>
      <c r="E157" s="532" t="str">
        <f>IF('Student DATA Entry'!I153="","",'Student DATA Entry'!I153)</f>
        <v/>
      </c>
      <c r="F157" s="127" t="str">
        <f>IF('Student DATA Entry'!F153="","",UPPER('Student DATA Entry'!F153))</f>
        <v/>
      </c>
      <c r="G157" s="127" t="str">
        <f>IF('Student DATA Entry'!G153="","",UPPER('Student DATA Entry'!G153))</f>
        <v/>
      </c>
      <c r="H157" s="127" t="str">
        <f>IF('Student DATA Entry'!H153="","",UPPER('Student DATA Entry'!H153))</f>
        <v/>
      </c>
      <c r="I157" s="526" t="str">
        <f>IF('Student DATA Entry'!K153="","",UPPER('Student DATA Entry'!K153))</f>
        <v/>
      </c>
      <c r="J157" s="560" t="str">
        <f>IF('Student DATA Entry'!J153="","",UPPER('Student DATA Entry'!J153))</f>
        <v/>
      </c>
      <c r="K157" s="561"/>
      <c r="L157" s="43"/>
      <c r="M157" s="43"/>
      <c r="N157" s="53"/>
      <c r="O157" s="562"/>
      <c r="P157" s="561"/>
      <c r="Q157" s="43"/>
      <c r="R157" s="43"/>
      <c r="S157" s="53"/>
      <c r="T157" s="562"/>
      <c r="U157" s="103"/>
      <c r="V157" s="43"/>
      <c r="W157" s="43"/>
      <c r="X157" s="43"/>
      <c r="Y157" s="53"/>
      <c r="Z157" s="53"/>
      <c r="AA157" s="58"/>
      <c r="AB157" s="565"/>
      <c r="AC157" s="103"/>
      <c r="AD157" s="43"/>
      <c r="AE157" s="43"/>
      <c r="AF157" s="43"/>
      <c r="AG157" s="53"/>
      <c r="AH157" s="53"/>
      <c r="AI157" s="58"/>
      <c r="AJ157" s="565"/>
      <c r="AK157" s="103"/>
      <c r="AL157" s="43"/>
      <c r="AM157" s="43"/>
      <c r="AN157" s="43"/>
      <c r="AO157" s="53"/>
      <c r="AP157" s="53"/>
      <c r="AQ157" s="58"/>
      <c r="AR157" s="565"/>
      <c r="AS157" s="18"/>
      <c r="AT157" s="43"/>
      <c r="AU157" s="43"/>
      <c r="AV157" s="43"/>
      <c r="AW157" s="52"/>
      <c r="AX157" s="53"/>
      <c r="AY157" s="57"/>
      <c r="AZ157" s="110"/>
      <c r="BA157" s="110"/>
      <c r="BB157" s="551"/>
      <c r="BC157" s="552"/>
      <c r="BD157" s="104"/>
      <c r="BE157" s="103"/>
      <c r="BF157" s="19"/>
      <c r="BG157" s="19"/>
      <c r="BH157" s="20"/>
      <c r="BI157" s="104"/>
      <c r="BJ157" s="8"/>
    </row>
    <row r="158" spans="1:62">
      <c r="A158" s="516">
        <f>IF('Student DATA Entry'!A154="","",'Student DATA Entry'!A154)</f>
        <v>151</v>
      </c>
      <c r="B158" s="528" t="str">
        <f>IF('Student DATA Entry'!B154="","",'Student DATA Entry'!B154)</f>
        <v/>
      </c>
      <c r="C158" s="126" t="str">
        <f>IF('Student DATA Entry'!D154="","",'Student DATA Entry'!D154)</f>
        <v/>
      </c>
      <c r="D158" s="530" t="str">
        <f>IF('Student DATA Entry'!E154="","",'Student DATA Entry'!E154)</f>
        <v/>
      </c>
      <c r="E158" s="532" t="str">
        <f>IF('Student DATA Entry'!I154="","",'Student DATA Entry'!I154)</f>
        <v/>
      </c>
      <c r="F158" s="127" t="str">
        <f>IF('Student DATA Entry'!F154="","",UPPER('Student DATA Entry'!F154))</f>
        <v/>
      </c>
      <c r="G158" s="127" t="str">
        <f>IF('Student DATA Entry'!G154="","",UPPER('Student DATA Entry'!G154))</f>
        <v/>
      </c>
      <c r="H158" s="127" t="str">
        <f>IF('Student DATA Entry'!H154="","",UPPER('Student DATA Entry'!H154))</f>
        <v/>
      </c>
      <c r="I158" s="526" t="str">
        <f>IF('Student DATA Entry'!K154="","",UPPER('Student DATA Entry'!K154))</f>
        <v/>
      </c>
      <c r="J158" s="560" t="str">
        <f>IF('Student DATA Entry'!J154="","",UPPER('Student DATA Entry'!J154))</f>
        <v/>
      </c>
      <c r="K158" s="561"/>
      <c r="L158" s="43"/>
      <c r="M158" s="43"/>
      <c r="N158" s="53"/>
      <c r="O158" s="562"/>
      <c r="P158" s="561"/>
      <c r="Q158" s="43"/>
      <c r="R158" s="43"/>
      <c r="S158" s="53"/>
      <c r="T158" s="562"/>
      <c r="U158" s="103"/>
      <c r="V158" s="43"/>
      <c r="W158" s="43"/>
      <c r="X158" s="43"/>
      <c r="Y158" s="53"/>
      <c r="Z158" s="53"/>
      <c r="AA158" s="58"/>
      <c r="AB158" s="565"/>
      <c r="AC158" s="103"/>
      <c r="AD158" s="43"/>
      <c r="AE158" s="43"/>
      <c r="AF158" s="43"/>
      <c r="AG158" s="53"/>
      <c r="AH158" s="53"/>
      <c r="AI158" s="58"/>
      <c r="AJ158" s="565"/>
      <c r="AK158" s="103"/>
      <c r="AL158" s="43"/>
      <c r="AM158" s="43"/>
      <c r="AN158" s="43"/>
      <c r="AO158" s="53"/>
      <c r="AP158" s="53"/>
      <c r="AQ158" s="58"/>
      <c r="AR158" s="565"/>
      <c r="AS158" s="18"/>
      <c r="AT158" s="43"/>
      <c r="AU158" s="43"/>
      <c r="AV158" s="43"/>
      <c r="AW158" s="52"/>
      <c r="AX158" s="53"/>
      <c r="AY158" s="57"/>
      <c r="AZ158" s="110"/>
      <c r="BA158" s="110"/>
      <c r="BB158" s="551"/>
      <c r="BC158" s="552"/>
      <c r="BD158" s="104"/>
      <c r="BE158" s="103"/>
      <c r="BF158" s="19"/>
      <c r="BG158" s="19"/>
      <c r="BH158" s="20"/>
      <c r="BI158" s="104"/>
      <c r="BJ158" s="8"/>
    </row>
    <row r="159" spans="1:62">
      <c r="A159" s="516">
        <f>IF('Student DATA Entry'!A155="","",'Student DATA Entry'!A155)</f>
        <v>152</v>
      </c>
      <c r="B159" s="528" t="str">
        <f>IF('Student DATA Entry'!B155="","",'Student DATA Entry'!B155)</f>
        <v/>
      </c>
      <c r="C159" s="126" t="str">
        <f>IF('Student DATA Entry'!D155="","",'Student DATA Entry'!D155)</f>
        <v/>
      </c>
      <c r="D159" s="530" t="str">
        <f>IF('Student DATA Entry'!E155="","",'Student DATA Entry'!E155)</f>
        <v/>
      </c>
      <c r="E159" s="532" t="str">
        <f>IF('Student DATA Entry'!I155="","",'Student DATA Entry'!I155)</f>
        <v/>
      </c>
      <c r="F159" s="127" t="str">
        <f>IF('Student DATA Entry'!F155="","",UPPER('Student DATA Entry'!F155))</f>
        <v/>
      </c>
      <c r="G159" s="127" t="str">
        <f>IF('Student DATA Entry'!G155="","",UPPER('Student DATA Entry'!G155))</f>
        <v/>
      </c>
      <c r="H159" s="127" t="str">
        <f>IF('Student DATA Entry'!H155="","",UPPER('Student DATA Entry'!H155))</f>
        <v/>
      </c>
      <c r="I159" s="526" t="str">
        <f>IF('Student DATA Entry'!K155="","",UPPER('Student DATA Entry'!K155))</f>
        <v/>
      </c>
      <c r="J159" s="560" t="str">
        <f>IF('Student DATA Entry'!J155="","",UPPER('Student DATA Entry'!J155))</f>
        <v/>
      </c>
      <c r="K159" s="561"/>
      <c r="L159" s="43"/>
      <c r="M159" s="43"/>
      <c r="N159" s="53"/>
      <c r="O159" s="562"/>
      <c r="P159" s="561"/>
      <c r="Q159" s="43"/>
      <c r="R159" s="43"/>
      <c r="S159" s="53"/>
      <c r="T159" s="562"/>
      <c r="U159" s="103"/>
      <c r="V159" s="43"/>
      <c r="W159" s="43"/>
      <c r="X159" s="43"/>
      <c r="Y159" s="53"/>
      <c r="Z159" s="53"/>
      <c r="AA159" s="58"/>
      <c r="AB159" s="565"/>
      <c r="AC159" s="103"/>
      <c r="AD159" s="43"/>
      <c r="AE159" s="43"/>
      <c r="AF159" s="43"/>
      <c r="AG159" s="53"/>
      <c r="AH159" s="53"/>
      <c r="AI159" s="58"/>
      <c r="AJ159" s="565"/>
      <c r="AK159" s="103"/>
      <c r="AL159" s="43"/>
      <c r="AM159" s="43"/>
      <c r="AN159" s="43"/>
      <c r="AO159" s="53"/>
      <c r="AP159" s="53"/>
      <c r="AQ159" s="58"/>
      <c r="AR159" s="565"/>
      <c r="AS159" s="18"/>
      <c r="AT159" s="43"/>
      <c r="AU159" s="43"/>
      <c r="AV159" s="43"/>
      <c r="AW159" s="52"/>
      <c r="AX159" s="53"/>
      <c r="AY159" s="57"/>
      <c r="AZ159" s="110"/>
      <c r="BA159" s="110"/>
      <c r="BB159" s="551"/>
      <c r="BC159" s="552"/>
      <c r="BD159" s="104"/>
      <c r="BE159" s="103"/>
      <c r="BF159" s="19"/>
      <c r="BG159" s="19"/>
      <c r="BH159" s="20"/>
      <c r="BI159" s="104"/>
      <c r="BJ159" s="8"/>
    </row>
    <row r="160" spans="1:62">
      <c r="A160" s="516">
        <f>IF('Student DATA Entry'!A156="","",'Student DATA Entry'!A156)</f>
        <v>153</v>
      </c>
      <c r="B160" s="528" t="str">
        <f>IF('Student DATA Entry'!B156="","",'Student DATA Entry'!B156)</f>
        <v/>
      </c>
      <c r="C160" s="126" t="str">
        <f>IF('Student DATA Entry'!D156="","",'Student DATA Entry'!D156)</f>
        <v/>
      </c>
      <c r="D160" s="530" t="str">
        <f>IF('Student DATA Entry'!E156="","",'Student DATA Entry'!E156)</f>
        <v/>
      </c>
      <c r="E160" s="532" t="str">
        <f>IF('Student DATA Entry'!I156="","",'Student DATA Entry'!I156)</f>
        <v/>
      </c>
      <c r="F160" s="127" t="str">
        <f>IF('Student DATA Entry'!F156="","",UPPER('Student DATA Entry'!F156))</f>
        <v/>
      </c>
      <c r="G160" s="127" t="str">
        <f>IF('Student DATA Entry'!G156="","",UPPER('Student DATA Entry'!G156))</f>
        <v/>
      </c>
      <c r="H160" s="127" t="str">
        <f>IF('Student DATA Entry'!H156="","",UPPER('Student DATA Entry'!H156))</f>
        <v/>
      </c>
      <c r="I160" s="526" t="str">
        <f>IF('Student DATA Entry'!K156="","",UPPER('Student DATA Entry'!K156))</f>
        <v/>
      </c>
      <c r="J160" s="560" t="str">
        <f>IF('Student DATA Entry'!J156="","",UPPER('Student DATA Entry'!J156))</f>
        <v/>
      </c>
      <c r="K160" s="561"/>
      <c r="L160" s="43"/>
      <c r="M160" s="43"/>
      <c r="N160" s="53"/>
      <c r="O160" s="562"/>
      <c r="P160" s="561"/>
      <c r="Q160" s="43"/>
      <c r="R160" s="43"/>
      <c r="S160" s="53"/>
      <c r="T160" s="562"/>
      <c r="U160" s="103"/>
      <c r="V160" s="43"/>
      <c r="W160" s="43"/>
      <c r="X160" s="43"/>
      <c r="Y160" s="53"/>
      <c r="Z160" s="53"/>
      <c r="AA160" s="58"/>
      <c r="AB160" s="565"/>
      <c r="AC160" s="103"/>
      <c r="AD160" s="43"/>
      <c r="AE160" s="43"/>
      <c r="AF160" s="43"/>
      <c r="AG160" s="53"/>
      <c r="AH160" s="53"/>
      <c r="AI160" s="58"/>
      <c r="AJ160" s="565"/>
      <c r="AK160" s="103"/>
      <c r="AL160" s="43"/>
      <c r="AM160" s="43"/>
      <c r="AN160" s="43"/>
      <c r="AO160" s="53"/>
      <c r="AP160" s="53"/>
      <c r="AQ160" s="58"/>
      <c r="AR160" s="565"/>
      <c r="AS160" s="18"/>
      <c r="AT160" s="43"/>
      <c r="AU160" s="43"/>
      <c r="AV160" s="43"/>
      <c r="AW160" s="52"/>
      <c r="AX160" s="53"/>
      <c r="AY160" s="57"/>
      <c r="AZ160" s="110"/>
      <c r="BA160" s="110"/>
      <c r="BB160" s="551"/>
      <c r="BC160" s="552"/>
      <c r="BD160" s="104"/>
      <c r="BE160" s="103"/>
      <c r="BF160" s="19"/>
      <c r="BG160" s="19"/>
      <c r="BH160" s="20"/>
      <c r="BI160" s="104"/>
      <c r="BJ160" s="8"/>
    </row>
    <row r="161" spans="1:62">
      <c r="A161" s="516">
        <f>IF('Student DATA Entry'!A157="","",'Student DATA Entry'!A157)</f>
        <v>154</v>
      </c>
      <c r="B161" s="528" t="str">
        <f>IF('Student DATA Entry'!B157="","",'Student DATA Entry'!B157)</f>
        <v/>
      </c>
      <c r="C161" s="126" t="str">
        <f>IF('Student DATA Entry'!D157="","",'Student DATA Entry'!D157)</f>
        <v/>
      </c>
      <c r="D161" s="530" t="str">
        <f>IF('Student DATA Entry'!E157="","",'Student DATA Entry'!E157)</f>
        <v/>
      </c>
      <c r="E161" s="532" t="str">
        <f>IF('Student DATA Entry'!I157="","",'Student DATA Entry'!I157)</f>
        <v/>
      </c>
      <c r="F161" s="127" t="str">
        <f>IF('Student DATA Entry'!F157="","",UPPER('Student DATA Entry'!F157))</f>
        <v/>
      </c>
      <c r="G161" s="127" t="str">
        <f>IF('Student DATA Entry'!G157="","",UPPER('Student DATA Entry'!G157))</f>
        <v/>
      </c>
      <c r="H161" s="127" t="str">
        <f>IF('Student DATA Entry'!H157="","",UPPER('Student DATA Entry'!H157))</f>
        <v/>
      </c>
      <c r="I161" s="526" t="str">
        <f>IF('Student DATA Entry'!K157="","",UPPER('Student DATA Entry'!K157))</f>
        <v/>
      </c>
      <c r="J161" s="560" t="str">
        <f>IF('Student DATA Entry'!J157="","",UPPER('Student DATA Entry'!J157))</f>
        <v/>
      </c>
      <c r="K161" s="561"/>
      <c r="L161" s="43"/>
      <c r="M161" s="43"/>
      <c r="N161" s="53"/>
      <c r="O161" s="562"/>
      <c r="P161" s="561"/>
      <c r="Q161" s="43"/>
      <c r="R161" s="43"/>
      <c r="S161" s="53"/>
      <c r="T161" s="562"/>
      <c r="U161" s="103"/>
      <c r="V161" s="43"/>
      <c r="W161" s="43"/>
      <c r="X161" s="43"/>
      <c r="Y161" s="53"/>
      <c r="Z161" s="53"/>
      <c r="AA161" s="58"/>
      <c r="AB161" s="565"/>
      <c r="AC161" s="103"/>
      <c r="AD161" s="43"/>
      <c r="AE161" s="43"/>
      <c r="AF161" s="43"/>
      <c r="AG161" s="53"/>
      <c r="AH161" s="53"/>
      <c r="AI161" s="58"/>
      <c r="AJ161" s="565"/>
      <c r="AK161" s="103"/>
      <c r="AL161" s="43"/>
      <c r="AM161" s="43"/>
      <c r="AN161" s="43"/>
      <c r="AO161" s="53"/>
      <c r="AP161" s="53"/>
      <c r="AQ161" s="58"/>
      <c r="AR161" s="565"/>
      <c r="AS161" s="18"/>
      <c r="AT161" s="43"/>
      <c r="AU161" s="43"/>
      <c r="AV161" s="43"/>
      <c r="AW161" s="52"/>
      <c r="AX161" s="53"/>
      <c r="AY161" s="57"/>
      <c r="AZ161" s="110"/>
      <c r="BA161" s="110"/>
      <c r="BB161" s="551"/>
      <c r="BC161" s="552"/>
      <c r="BD161" s="104"/>
      <c r="BE161" s="103"/>
      <c r="BF161" s="19"/>
      <c r="BG161" s="19"/>
      <c r="BH161" s="20"/>
      <c r="BI161" s="104"/>
      <c r="BJ161" s="8"/>
    </row>
    <row r="162" spans="1:62">
      <c r="A162" s="516">
        <f>IF('Student DATA Entry'!A158="","",'Student DATA Entry'!A158)</f>
        <v>155</v>
      </c>
      <c r="B162" s="528" t="str">
        <f>IF('Student DATA Entry'!B158="","",'Student DATA Entry'!B158)</f>
        <v/>
      </c>
      <c r="C162" s="126" t="str">
        <f>IF('Student DATA Entry'!D158="","",'Student DATA Entry'!D158)</f>
        <v/>
      </c>
      <c r="D162" s="530" t="str">
        <f>IF('Student DATA Entry'!E158="","",'Student DATA Entry'!E158)</f>
        <v/>
      </c>
      <c r="E162" s="532" t="str">
        <f>IF('Student DATA Entry'!I158="","",'Student DATA Entry'!I158)</f>
        <v/>
      </c>
      <c r="F162" s="127" t="str">
        <f>IF('Student DATA Entry'!F158="","",UPPER('Student DATA Entry'!F158))</f>
        <v/>
      </c>
      <c r="G162" s="127" t="str">
        <f>IF('Student DATA Entry'!G158="","",UPPER('Student DATA Entry'!G158))</f>
        <v/>
      </c>
      <c r="H162" s="127" t="str">
        <f>IF('Student DATA Entry'!H158="","",UPPER('Student DATA Entry'!H158))</f>
        <v/>
      </c>
      <c r="I162" s="526" t="str">
        <f>IF('Student DATA Entry'!K158="","",UPPER('Student DATA Entry'!K158))</f>
        <v/>
      </c>
      <c r="J162" s="560" t="str">
        <f>IF('Student DATA Entry'!J158="","",UPPER('Student DATA Entry'!J158))</f>
        <v/>
      </c>
      <c r="K162" s="561"/>
      <c r="L162" s="43"/>
      <c r="M162" s="43"/>
      <c r="N162" s="53"/>
      <c r="O162" s="562"/>
      <c r="P162" s="561"/>
      <c r="Q162" s="43"/>
      <c r="R162" s="43"/>
      <c r="S162" s="53"/>
      <c r="T162" s="562"/>
      <c r="U162" s="103"/>
      <c r="V162" s="43"/>
      <c r="W162" s="43"/>
      <c r="X162" s="43"/>
      <c r="Y162" s="53"/>
      <c r="Z162" s="53"/>
      <c r="AA162" s="58"/>
      <c r="AB162" s="565"/>
      <c r="AC162" s="103"/>
      <c r="AD162" s="43"/>
      <c r="AE162" s="43"/>
      <c r="AF162" s="43"/>
      <c r="AG162" s="53"/>
      <c r="AH162" s="53"/>
      <c r="AI162" s="58"/>
      <c r="AJ162" s="565"/>
      <c r="AK162" s="103"/>
      <c r="AL162" s="43"/>
      <c r="AM162" s="43"/>
      <c r="AN162" s="43"/>
      <c r="AO162" s="53"/>
      <c r="AP162" s="53"/>
      <c r="AQ162" s="58"/>
      <c r="AR162" s="565"/>
      <c r="AS162" s="18"/>
      <c r="AT162" s="43"/>
      <c r="AU162" s="43"/>
      <c r="AV162" s="43"/>
      <c r="AW162" s="52"/>
      <c r="AX162" s="53"/>
      <c r="AY162" s="57"/>
      <c r="AZ162" s="110"/>
      <c r="BA162" s="110"/>
      <c r="BB162" s="551"/>
      <c r="BC162" s="552"/>
      <c r="BD162" s="104"/>
      <c r="BE162" s="103"/>
      <c r="BF162" s="19"/>
      <c r="BG162" s="19"/>
      <c r="BH162" s="20"/>
      <c r="BI162" s="104"/>
      <c r="BJ162" s="8"/>
    </row>
    <row r="163" spans="1:62">
      <c r="A163" s="516">
        <f>IF('Student DATA Entry'!A159="","",'Student DATA Entry'!A159)</f>
        <v>156</v>
      </c>
      <c r="B163" s="528" t="str">
        <f>IF('Student DATA Entry'!B159="","",'Student DATA Entry'!B159)</f>
        <v/>
      </c>
      <c r="C163" s="126" t="str">
        <f>IF('Student DATA Entry'!D159="","",'Student DATA Entry'!D159)</f>
        <v/>
      </c>
      <c r="D163" s="530" t="str">
        <f>IF('Student DATA Entry'!E159="","",'Student DATA Entry'!E159)</f>
        <v/>
      </c>
      <c r="E163" s="532" t="str">
        <f>IF('Student DATA Entry'!I159="","",'Student DATA Entry'!I159)</f>
        <v/>
      </c>
      <c r="F163" s="127" t="str">
        <f>IF('Student DATA Entry'!F159="","",UPPER('Student DATA Entry'!F159))</f>
        <v/>
      </c>
      <c r="G163" s="127" t="str">
        <f>IF('Student DATA Entry'!G159="","",UPPER('Student DATA Entry'!G159))</f>
        <v/>
      </c>
      <c r="H163" s="127" t="str">
        <f>IF('Student DATA Entry'!H159="","",UPPER('Student DATA Entry'!H159))</f>
        <v/>
      </c>
      <c r="I163" s="526" t="str">
        <f>IF('Student DATA Entry'!K159="","",UPPER('Student DATA Entry'!K159))</f>
        <v/>
      </c>
      <c r="J163" s="560" t="str">
        <f>IF('Student DATA Entry'!J159="","",UPPER('Student DATA Entry'!J159))</f>
        <v/>
      </c>
      <c r="K163" s="561"/>
      <c r="L163" s="43"/>
      <c r="M163" s="43"/>
      <c r="N163" s="53"/>
      <c r="O163" s="562"/>
      <c r="P163" s="561"/>
      <c r="Q163" s="43"/>
      <c r="R163" s="43"/>
      <c r="S163" s="53"/>
      <c r="T163" s="562"/>
      <c r="U163" s="103"/>
      <c r="V163" s="43"/>
      <c r="W163" s="43"/>
      <c r="X163" s="43"/>
      <c r="Y163" s="53"/>
      <c r="Z163" s="53"/>
      <c r="AA163" s="58"/>
      <c r="AB163" s="565"/>
      <c r="AC163" s="103"/>
      <c r="AD163" s="43"/>
      <c r="AE163" s="43"/>
      <c r="AF163" s="43"/>
      <c r="AG163" s="53"/>
      <c r="AH163" s="53"/>
      <c r="AI163" s="58"/>
      <c r="AJ163" s="565"/>
      <c r="AK163" s="103"/>
      <c r="AL163" s="43"/>
      <c r="AM163" s="43"/>
      <c r="AN163" s="43"/>
      <c r="AO163" s="53"/>
      <c r="AP163" s="53"/>
      <c r="AQ163" s="58"/>
      <c r="AR163" s="565"/>
      <c r="AS163" s="18"/>
      <c r="AT163" s="43"/>
      <c r="AU163" s="43"/>
      <c r="AV163" s="43"/>
      <c r="AW163" s="52"/>
      <c r="AX163" s="53"/>
      <c r="AY163" s="57"/>
      <c r="AZ163" s="110"/>
      <c r="BA163" s="110"/>
      <c r="BB163" s="551"/>
      <c r="BC163" s="552"/>
      <c r="BD163" s="104"/>
      <c r="BE163" s="103"/>
      <c r="BF163" s="19"/>
      <c r="BG163" s="19"/>
      <c r="BH163" s="20"/>
      <c r="BI163" s="104"/>
      <c r="BJ163" s="8"/>
    </row>
    <row r="164" spans="1:62">
      <c r="A164" s="516">
        <f>IF('Student DATA Entry'!A160="","",'Student DATA Entry'!A160)</f>
        <v>157</v>
      </c>
      <c r="B164" s="528" t="str">
        <f>IF('Student DATA Entry'!B160="","",'Student DATA Entry'!B160)</f>
        <v/>
      </c>
      <c r="C164" s="126" t="str">
        <f>IF('Student DATA Entry'!D160="","",'Student DATA Entry'!D160)</f>
        <v/>
      </c>
      <c r="D164" s="530" t="str">
        <f>IF('Student DATA Entry'!E160="","",'Student DATA Entry'!E160)</f>
        <v/>
      </c>
      <c r="E164" s="532" t="str">
        <f>IF('Student DATA Entry'!I160="","",'Student DATA Entry'!I160)</f>
        <v/>
      </c>
      <c r="F164" s="127" t="str">
        <f>IF('Student DATA Entry'!F160="","",UPPER('Student DATA Entry'!F160))</f>
        <v/>
      </c>
      <c r="G164" s="127" t="str">
        <f>IF('Student DATA Entry'!G160="","",UPPER('Student DATA Entry'!G160))</f>
        <v/>
      </c>
      <c r="H164" s="127" t="str">
        <f>IF('Student DATA Entry'!H160="","",UPPER('Student DATA Entry'!H160))</f>
        <v/>
      </c>
      <c r="I164" s="526" t="str">
        <f>IF('Student DATA Entry'!K160="","",UPPER('Student DATA Entry'!K160))</f>
        <v/>
      </c>
      <c r="J164" s="560" t="str">
        <f>IF('Student DATA Entry'!J160="","",UPPER('Student DATA Entry'!J160))</f>
        <v/>
      </c>
      <c r="K164" s="561"/>
      <c r="L164" s="43"/>
      <c r="M164" s="43"/>
      <c r="N164" s="53"/>
      <c r="O164" s="562"/>
      <c r="P164" s="561"/>
      <c r="Q164" s="43"/>
      <c r="R164" s="43"/>
      <c r="S164" s="53"/>
      <c r="T164" s="562"/>
      <c r="U164" s="103"/>
      <c r="V164" s="43"/>
      <c r="W164" s="43"/>
      <c r="X164" s="43"/>
      <c r="Y164" s="53"/>
      <c r="Z164" s="53"/>
      <c r="AA164" s="58"/>
      <c r="AB164" s="565"/>
      <c r="AC164" s="103"/>
      <c r="AD164" s="43"/>
      <c r="AE164" s="43"/>
      <c r="AF164" s="43"/>
      <c r="AG164" s="53"/>
      <c r="AH164" s="53"/>
      <c r="AI164" s="58"/>
      <c r="AJ164" s="565"/>
      <c r="AK164" s="103"/>
      <c r="AL164" s="43"/>
      <c r="AM164" s="43"/>
      <c r="AN164" s="43"/>
      <c r="AO164" s="53"/>
      <c r="AP164" s="53"/>
      <c r="AQ164" s="58"/>
      <c r="AR164" s="565"/>
      <c r="AS164" s="18"/>
      <c r="AT164" s="43"/>
      <c r="AU164" s="43"/>
      <c r="AV164" s="43"/>
      <c r="AW164" s="52"/>
      <c r="AX164" s="53"/>
      <c r="AY164" s="57"/>
      <c r="AZ164" s="110"/>
      <c r="BA164" s="110"/>
      <c r="BB164" s="551"/>
      <c r="BC164" s="552"/>
      <c r="BD164" s="104"/>
      <c r="BE164" s="103"/>
      <c r="BF164" s="19"/>
      <c r="BG164" s="19"/>
      <c r="BH164" s="20"/>
      <c r="BI164" s="104"/>
      <c r="BJ164" s="8"/>
    </row>
    <row r="165" spans="1:62">
      <c r="A165" s="516">
        <f>IF('Student DATA Entry'!A161="","",'Student DATA Entry'!A161)</f>
        <v>158</v>
      </c>
      <c r="B165" s="528" t="str">
        <f>IF('Student DATA Entry'!B161="","",'Student DATA Entry'!B161)</f>
        <v/>
      </c>
      <c r="C165" s="126" t="str">
        <f>IF('Student DATA Entry'!D161="","",'Student DATA Entry'!D161)</f>
        <v/>
      </c>
      <c r="D165" s="530" t="str">
        <f>IF('Student DATA Entry'!E161="","",'Student DATA Entry'!E161)</f>
        <v/>
      </c>
      <c r="E165" s="532" t="str">
        <f>IF('Student DATA Entry'!I161="","",'Student DATA Entry'!I161)</f>
        <v/>
      </c>
      <c r="F165" s="127" t="str">
        <f>IF('Student DATA Entry'!F161="","",UPPER('Student DATA Entry'!F161))</f>
        <v/>
      </c>
      <c r="G165" s="127" t="str">
        <f>IF('Student DATA Entry'!G161="","",UPPER('Student DATA Entry'!G161))</f>
        <v/>
      </c>
      <c r="H165" s="127" t="str">
        <f>IF('Student DATA Entry'!H161="","",UPPER('Student DATA Entry'!H161))</f>
        <v/>
      </c>
      <c r="I165" s="526" t="str">
        <f>IF('Student DATA Entry'!K161="","",UPPER('Student DATA Entry'!K161))</f>
        <v/>
      </c>
      <c r="J165" s="560" t="str">
        <f>IF('Student DATA Entry'!J161="","",UPPER('Student DATA Entry'!J161))</f>
        <v/>
      </c>
      <c r="K165" s="561"/>
      <c r="L165" s="43"/>
      <c r="M165" s="43"/>
      <c r="N165" s="53"/>
      <c r="O165" s="562"/>
      <c r="P165" s="561"/>
      <c r="Q165" s="43"/>
      <c r="R165" s="43"/>
      <c r="S165" s="53"/>
      <c r="T165" s="562"/>
      <c r="U165" s="103"/>
      <c r="V165" s="43"/>
      <c r="W165" s="43"/>
      <c r="X165" s="43"/>
      <c r="Y165" s="53"/>
      <c r="Z165" s="53"/>
      <c r="AA165" s="58"/>
      <c r="AB165" s="565"/>
      <c r="AC165" s="103"/>
      <c r="AD165" s="43"/>
      <c r="AE165" s="43"/>
      <c r="AF165" s="43"/>
      <c r="AG165" s="53"/>
      <c r="AH165" s="53"/>
      <c r="AI165" s="58"/>
      <c r="AJ165" s="565"/>
      <c r="AK165" s="103"/>
      <c r="AL165" s="43"/>
      <c r="AM165" s="43"/>
      <c r="AN165" s="43"/>
      <c r="AO165" s="53"/>
      <c r="AP165" s="53"/>
      <c r="AQ165" s="58"/>
      <c r="AR165" s="565"/>
      <c r="AS165" s="18"/>
      <c r="AT165" s="43"/>
      <c r="AU165" s="43"/>
      <c r="AV165" s="43"/>
      <c r="AW165" s="52"/>
      <c r="AX165" s="53"/>
      <c r="AY165" s="57"/>
      <c r="AZ165" s="110"/>
      <c r="BA165" s="110"/>
      <c r="BB165" s="551"/>
      <c r="BC165" s="552"/>
      <c r="BD165" s="104"/>
      <c r="BE165" s="103"/>
      <c r="BF165" s="19"/>
      <c r="BG165" s="19"/>
      <c r="BH165" s="20"/>
      <c r="BI165" s="104"/>
      <c r="BJ165" s="8"/>
    </row>
    <row r="166" spans="1:62">
      <c r="A166" s="516">
        <f>IF('Student DATA Entry'!A162="","",'Student DATA Entry'!A162)</f>
        <v>159</v>
      </c>
      <c r="B166" s="528" t="str">
        <f>IF('Student DATA Entry'!B162="","",'Student DATA Entry'!B162)</f>
        <v/>
      </c>
      <c r="C166" s="126" t="str">
        <f>IF('Student DATA Entry'!D162="","",'Student DATA Entry'!D162)</f>
        <v/>
      </c>
      <c r="D166" s="530" t="str">
        <f>IF('Student DATA Entry'!E162="","",'Student DATA Entry'!E162)</f>
        <v/>
      </c>
      <c r="E166" s="532" t="str">
        <f>IF('Student DATA Entry'!I162="","",'Student DATA Entry'!I162)</f>
        <v/>
      </c>
      <c r="F166" s="127" t="str">
        <f>IF('Student DATA Entry'!F162="","",UPPER('Student DATA Entry'!F162))</f>
        <v/>
      </c>
      <c r="G166" s="127" t="str">
        <f>IF('Student DATA Entry'!G162="","",UPPER('Student DATA Entry'!G162))</f>
        <v/>
      </c>
      <c r="H166" s="127" t="str">
        <f>IF('Student DATA Entry'!H162="","",UPPER('Student DATA Entry'!H162))</f>
        <v/>
      </c>
      <c r="I166" s="526" t="str">
        <f>IF('Student DATA Entry'!K162="","",UPPER('Student DATA Entry'!K162))</f>
        <v/>
      </c>
      <c r="J166" s="560" t="str">
        <f>IF('Student DATA Entry'!J162="","",UPPER('Student DATA Entry'!J162))</f>
        <v/>
      </c>
      <c r="K166" s="561"/>
      <c r="L166" s="43"/>
      <c r="M166" s="43"/>
      <c r="N166" s="53"/>
      <c r="O166" s="562"/>
      <c r="P166" s="561"/>
      <c r="Q166" s="43"/>
      <c r="R166" s="43"/>
      <c r="S166" s="53"/>
      <c r="T166" s="562"/>
      <c r="U166" s="103"/>
      <c r="V166" s="43"/>
      <c r="W166" s="43"/>
      <c r="X166" s="43"/>
      <c r="Y166" s="53"/>
      <c r="Z166" s="53"/>
      <c r="AA166" s="58"/>
      <c r="AB166" s="565"/>
      <c r="AC166" s="103"/>
      <c r="AD166" s="43"/>
      <c r="AE166" s="43"/>
      <c r="AF166" s="43"/>
      <c r="AG166" s="53"/>
      <c r="AH166" s="53"/>
      <c r="AI166" s="58"/>
      <c r="AJ166" s="565"/>
      <c r="AK166" s="103"/>
      <c r="AL166" s="43"/>
      <c r="AM166" s="43"/>
      <c r="AN166" s="43"/>
      <c r="AO166" s="53"/>
      <c r="AP166" s="53"/>
      <c r="AQ166" s="58"/>
      <c r="AR166" s="565"/>
      <c r="AS166" s="18"/>
      <c r="AT166" s="43"/>
      <c r="AU166" s="43"/>
      <c r="AV166" s="43"/>
      <c r="AW166" s="52"/>
      <c r="AX166" s="53"/>
      <c r="AY166" s="57"/>
      <c r="AZ166" s="110"/>
      <c r="BA166" s="110"/>
      <c r="BB166" s="551"/>
      <c r="BC166" s="552"/>
      <c r="BD166" s="104"/>
      <c r="BE166" s="103"/>
      <c r="BF166" s="19"/>
      <c r="BG166" s="19"/>
      <c r="BH166" s="20"/>
      <c r="BI166" s="104"/>
      <c r="BJ166" s="8"/>
    </row>
    <row r="167" spans="1:62">
      <c r="A167" s="516">
        <f>IF('Student DATA Entry'!A163="","",'Student DATA Entry'!A163)</f>
        <v>160</v>
      </c>
      <c r="B167" s="528" t="str">
        <f>IF('Student DATA Entry'!B163="","",'Student DATA Entry'!B163)</f>
        <v/>
      </c>
      <c r="C167" s="126" t="str">
        <f>IF('Student DATA Entry'!D163="","",'Student DATA Entry'!D163)</f>
        <v/>
      </c>
      <c r="D167" s="530" t="str">
        <f>IF('Student DATA Entry'!E163="","",'Student DATA Entry'!E163)</f>
        <v/>
      </c>
      <c r="E167" s="532" t="str">
        <f>IF('Student DATA Entry'!I163="","",'Student DATA Entry'!I163)</f>
        <v/>
      </c>
      <c r="F167" s="127" t="str">
        <f>IF('Student DATA Entry'!F163="","",UPPER('Student DATA Entry'!F163))</f>
        <v/>
      </c>
      <c r="G167" s="127" t="str">
        <f>IF('Student DATA Entry'!G163="","",UPPER('Student DATA Entry'!G163))</f>
        <v/>
      </c>
      <c r="H167" s="127" t="str">
        <f>IF('Student DATA Entry'!H163="","",UPPER('Student DATA Entry'!H163))</f>
        <v/>
      </c>
      <c r="I167" s="526" t="str">
        <f>IF('Student DATA Entry'!K163="","",UPPER('Student DATA Entry'!K163))</f>
        <v/>
      </c>
      <c r="J167" s="560" t="str">
        <f>IF('Student DATA Entry'!J163="","",UPPER('Student DATA Entry'!J163))</f>
        <v/>
      </c>
      <c r="K167" s="561"/>
      <c r="L167" s="43"/>
      <c r="M167" s="43"/>
      <c r="N167" s="53"/>
      <c r="O167" s="562"/>
      <c r="P167" s="561"/>
      <c r="Q167" s="43"/>
      <c r="R167" s="43"/>
      <c r="S167" s="53"/>
      <c r="T167" s="562"/>
      <c r="U167" s="103"/>
      <c r="V167" s="43"/>
      <c r="W167" s="43"/>
      <c r="X167" s="43"/>
      <c r="Y167" s="53"/>
      <c r="Z167" s="53"/>
      <c r="AA167" s="58"/>
      <c r="AB167" s="565"/>
      <c r="AC167" s="103"/>
      <c r="AD167" s="43"/>
      <c r="AE167" s="43"/>
      <c r="AF167" s="43"/>
      <c r="AG167" s="53"/>
      <c r="AH167" s="53"/>
      <c r="AI167" s="58"/>
      <c r="AJ167" s="565"/>
      <c r="AK167" s="103"/>
      <c r="AL167" s="43"/>
      <c r="AM167" s="43"/>
      <c r="AN167" s="43"/>
      <c r="AO167" s="53"/>
      <c r="AP167" s="53"/>
      <c r="AQ167" s="58"/>
      <c r="AR167" s="565"/>
      <c r="AS167" s="18"/>
      <c r="AT167" s="43"/>
      <c r="AU167" s="43"/>
      <c r="AV167" s="43"/>
      <c r="AW167" s="52"/>
      <c r="AX167" s="53"/>
      <c r="AY167" s="57"/>
      <c r="AZ167" s="110"/>
      <c r="BA167" s="110"/>
      <c r="BB167" s="551"/>
      <c r="BC167" s="552"/>
      <c r="BD167" s="104"/>
      <c r="BE167" s="103"/>
      <c r="BF167" s="19"/>
      <c r="BG167" s="19"/>
      <c r="BH167" s="20"/>
      <c r="BI167" s="104"/>
      <c r="BJ167" s="8"/>
    </row>
    <row r="168" spans="1:62">
      <c r="A168" s="516">
        <f>IF('Student DATA Entry'!A164="","",'Student DATA Entry'!A164)</f>
        <v>161</v>
      </c>
      <c r="B168" s="528" t="str">
        <f>IF('Student DATA Entry'!B164="","",'Student DATA Entry'!B164)</f>
        <v/>
      </c>
      <c r="C168" s="126" t="str">
        <f>IF('Student DATA Entry'!D164="","",'Student DATA Entry'!D164)</f>
        <v/>
      </c>
      <c r="D168" s="530" t="str">
        <f>IF('Student DATA Entry'!E164="","",'Student DATA Entry'!E164)</f>
        <v/>
      </c>
      <c r="E168" s="532" t="str">
        <f>IF('Student DATA Entry'!I164="","",'Student DATA Entry'!I164)</f>
        <v/>
      </c>
      <c r="F168" s="127" t="str">
        <f>IF('Student DATA Entry'!F164="","",UPPER('Student DATA Entry'!F164))</f>
        <v/>
      </c>
      <c r="G168" s="127" t="str">
        <f>IF('Student DATA Entry'!G164="","",UPPER('Student DATA Entry'!G164))</f>
        <v/>
      </c>
      <c r="H168" s="127" t="str">
        <f>IF('Student DATA Entry'!H164="","",UPPER('Student DATA Entry'!H164))</f>
        <v/>
      </c>
      <c r="I168" s="526" t="str">
        <f>IF('Student DATA Entry'!K164="","",UPPER('Student DATA Entry'!K164))</f>
        <v/>
      </c>
      <c r="J168" s="560" t="str">
        <f>IF('Student DATA Entry'!J164="","",UPPER('Student DATA Entry'!J164))</f>
        <v/>
      </c>
      <c r="K168" s="561"/>
      <c r="L168" s="43"/>
      <c r="M168" s="43"/>
      <c r="N168" s="53"/>
      <c r="O168" s="562"/>
      <c r="P168" s="561"/>
      <c r="Q168" s="43"/>
      <c r="R168" s="43"/>
      <c r="S168" s="53"/>
      <c r="T168" s="562"/>
      <c r="U168" s="103"/>
      <c r="V168" s="43"/>
      <c r="W168" s="43"/>
      <c r="X168" s="43"/>
      <c r="Y168" s="53"/>
      <c r="Z168" s="53"/>
      <c r="AA168" s="58"/>
      <c r="AB168" s="565"/>
      <c r="AC168" s="103"/>
      <c r="AD168" s="43"/>
      <c r="AE168" s="43"/>
      <c r="AF168" s="43"/>
      <c r="AG168" s="53"/>
      <c r="AH168" s="53"/>
      <c r="AI168" s="58"/>
      <c r="AJ168" s="565"/>
      <c r="AK168" s="103"/>
      <c r="AL168" s="43"/>
      <c r="AM168" s="43"/>
      <c r="AN168" s="43"/>
      <c r="AO168" s="53"/>
      <c r="AP168" s="53"/>
      <c r="AQ168" s="58"/>
      <c r="AR168" s="565"/>
      <c r="AS168" s="18"/>
      <c r="AT168" s="43"/>
      <c r="AU168" s="43"/>
      <c r="AV168" s="43"/>
      <c r="AW168" s="52"/>
      <c r="AX168" s="53"/>
      <c r="AY168" s="57"/>
      <c r="AZ168" s="110"/>
      <c r="BA168" s="110"/>
      <c r="BB168" s="551"/>
      <c r="BC168" s="552"/>
      <c r="BD168" s="104"/>
      <c r="BE168" s="103"/>
      <c r="BF168" s="19"/>
      <c r="BG168" s="19"/>
      <c r="BH168" s="20"/>
      <c r="BI168" s="104"/>
      <c r="BJ168" s="8"/>
    </row>
    <row r="169" spans="1:62">
      <c r="A169" s="516">
        <f>IF('Student DATA Entry'!A165="","",'Student DATA Entry'!A165)</f>
        <v>162</v>
      </c>
      <c r="B169" s="528" t="str">
        <f>IF('Student DATA Entry'!B165="","",'Student DATA Entry'!B165)</f>
        <v/>
      </c>
      <c r="C169" s="126" t="str">
        <f>IF('Student DATA Entry'!D165="","",'Student DATA Entry'!D165)</f>
        <v/>
      </c>
      <c r="D169" s="530" t="str">
        <f>IF('Student DATA Entry'!E165="","",'Student DATA Entry'!E165)</f>
        <v/>
      </c>
      <c r="E169" s="532" t="str">
        <f>IF('Student DATA Entry'!I165="","",'Student DATA Entry'!I165)</f>
        <v/>
      </c>
      <c r="F169" s="127" t="str">
        <f>IF('Student DATA Entry'!F165="","",UPPER('Student DATA Entry'!F165))</f>
        <v/>
      </c>
      <c r="G169" s="127" t="str">
        <f>IF('Student DATA Entry'!G165="","",UPPER('Student DATA Entry'!G165))</f>
        <v/>
      </c>
      <c r="H169" s="127" t="str">
        <f>IF('Student DATA Entry'!H165="","",UPPER('Student DATA Entry'!H165))</f>
        <v/>
      </c>
      <c r="I169" s="526" t="str">
        <f>IF('Student DATA Entry'!K165="","",UPPER('Student DATA Entry'!K165))</f>
        <v/>
      </c>
      <c r="J169" s="560" t="str">
        <f>IF('Student DATA Entry'!J165="","",UPPER('Student DATA Entry'!J165))</f>
        <v/>
      </c>
      <c r="K169" s="561"/>
      <c r="L169" s="43"/>
      <c r="M169" s="43"/>
      <c r="N169" s="53"/>
      <c r="O169" s="562"/>
      <c r="P169" s="561"/>
      <c r="Q169" s="43"/>
      <c r="R169" s="43"/>
      <c r="S169" s="53"/>
      <c r="T169" s="562"/>
      <c r="U169" s="103"/>
      <c r="V169" s="43"/>
      <c r="W169" s="43"/>
      <c r="X169" s="43"/>
      <c r="Y169" s="53"/>
      <c r="Z169" s="53"/>
      <c r="AA169" s="58"/>
      <c r="AB169" s="565"/>
      <c r="AC169" s="103"/>
      <c r="AD169" s="43"/>
      <c r="AE169" s="43"/>
      <c r="AF169" s="43"/>
      <c r="AG169" s="53"/>
      <c r="AH169" s="53"/>
      <c r="AI169" s="58"/>
      <c r="AJ169" s="565"/>
      <c r="AK169" s="103"/>
      <c r="AL169" s="43"/>
      <c r="AM169" s="43"/>
      <c r="AN169" s="43"/>
      <c r="AO169" s="53"/>
      <c r="AP169" s="53"/>
      <c r="AQ169" s="58"/>
      <c r="AR169" s="565"/>
      <c r="AS169" s="18"/>
      <c r="AT169" s="43"/>
      <c r="AU169" s="43"/>
      <c r="AV169" s="43"/>
      <c r="AW169" s="52"/>
      <c r="AX169" s="53"/>
      <c r="AY169" s="57"/>
      <c r="AZ169" s="110"/>
      <c r="BA169" s="110"/>
      <c r="BB169" s="551"/>
      <c r="BC169" s="552"/>
      <c r="BD169" s="104"/>
      <c r="BE169" s="103"/>
      <c r="BF169" s="19"/>
      <c r="BG169" s="19"/>
      <c r="BH169" s="20"/>
      <c r="BI169" s="104"/>
      <c r="BJ169" s="8"/>
    </row>
    <row r="170" spans="1:62">
      <c r="A170" s="516">
        <f>IF('Student DATA Entry'!A166="","",'Student DATA Entry'!A166)</f>
        <v>163</v>
      </c>
      <c r="B170" s="528" t="str">
        <f>IF('Student DATA Entry'!B166="","",'Student DATA Entry'!B166)</f>
        <v/>
      </c>
      <c r="C170" s="126" t="str">
        <f>IF('Student DATA Entry'!D166="","",'Student DATA Entry'!D166)</f>
        <v/>
      </c>
      <c r="D170" s="530" t="str">
        <f>IF('Student DATA Entry'!E166="","",'Student DATA Entry'!E166)</f>
        <v/>
      </c>
      <c r="E170" s="532" t="str">
        <f>IF('Student DATA Entry'!I166="","",'Student DATA Entry'!I166)</f>
        <v/>
      </c>
      <c r="F170" s="127" t="str">
        <f>IF('Student DATA Entry'!F166="","",UPPER('Student DATA Entry'!F166))</f>
        <v/>
      </c>
      <c r="G170" s="127" t="str">
        <f>IF('Student DATA Entry'!G166="","",UPPER('Student DATA Entry'!G166))</f>
        <v/>
      </c>
      <c r="H170" s="127" t="str">
        <f>IF('Student DATA Entry'!H166="","",UPPER('Student DATA Entry'!H166))</f>
        <v/>
      </c>
      <c r="I170" s="526" t="str">
        <f>IF('Student DATA Entry'!K166="","",UPPER('Student DATA Entry'!K166))</f>
        <v/>
      </c>
      <c r="J170" s="560" t="str">
        <f>IF('Student DATA Entry'!J166="","",UPPER('Student DATA Entry'!J166))</f>
        <v/>
      </c>
      <c r="K170" s="561"/>
      <c r="L170" s="43"/>
      <c r="M170" s="43"/>
      <c r="N170" s="53"/>
      <c r="O170" s="562"/>
      <c r="P170" s="561"/>
      <c r="Q170" s="43"/>
      <c r="R170" s="43"/>
      <c r="S170" s="53"/>
      <c r="T170" s="562"/>
      <c r="U170" s="103"/>
      <c r="V170" s="43"/>
      <c r="W170" s="43"/>
      <c r="X170" s="43"/>
      <c r="Y170" s="53"/>
      <c r="Z170" s="53"/>
      <c r="AA170" s="58"/>
      <c r="AB170" s="565"/>
      <c r="AC170" s="103"/>
      <c r="AD170" s="43"/>
      <c r="AE170" s="43"/>
      <c r="AF170" s="43"/>
      <c r="AG170" s="53"/>
      <c r="AH170" s="53"/>
      <c r="AI170" s="58"/>
      <c r="AJ170" s="565"/>
      <c r="AK170" s="103"/>
      <c r="AL170" s="43"/>
      <c r="AM170" s="43"/>
      <c r="AN170" s="43"/>
      <c r="AO170" s="53"/>
      <c r="AP170" s="53"/>
      <c r="AQ170" s="58"/>
      <c r="AR170" s="565"/>
      <c r="AS170" s="18"/>
      <c r="AT170" s="43"/>
      <c r="AU170" s="43"/>
      <c r="AV170" s="43"/>
      <c r="AW170" s="52"/>
      <c r="AX170" s="53"/>
      <c r="AY170" s="57"/>
      <c r="AZ170" s="110"/>
      <c r="BA170" s="110"/>
      <c r="BB170" s="551"/>
      <c r="BC170" s="552"/>
      <c r="BD170" s="104"/>
      <c r="BE170" s="103"/>
      <c r="BF170" s="19"/>
      <c r="BG170" s="19"/>
      <c r="BH170" s="20"/>
      <c r="BI170" s="104"/>
      <c r="BJ170" s="8"/>
    </row>
    <row r="171" spans="1:62">
      <c r="A171" s="516">
        <f>IF('Student DATA Entry'!A167="","",'Student DATA Entry'!A167)</f>
        <v>164</v>
      </c>
      <c r="B171" s="528" t="str">
        <f>IF('Student DATA Entry'!B167="","",'Student DATA Entry'!B167)</f>
        <v/>
      </c>
      <c r="C171" s="126" t="str">
        <f>IF('Student DATA Entry'!D167="","",'Student DATA Entry'!D167)</f>
        <v/>
      </c>
      <c r="D171" s="530" t="str">
        <f>IF('Student DATA Entry'!E167="","",'Student DATA Entry'!E167)</f>
        <v/>
      </c>
      <c r="E171" s="532" t="str">
        <f>IF('Student DATA Entry'!I167="","",'Student DATA Entry'!I167)</f>
        <v/>
      </c>
      <c r="F171" s="127" t="str">
        <f>IF('Student DATA Entry'!F167="","",UPPER('Student DATA Entry'!F167))</f>
        <v/>
      </c>
      <c r="G171" s="127" t="str">
        <f>IF('Student DATA Entry'!G167="","",UPPER('Student DATA Entry'!G167))</f>
        <v/>
      </c>
      <c r="H171" s="127" t="str">
        <f>IF('Student DATA Entry'!H167="","",UPPER('Student DATA Entry'!H167))</f>
        <v/>
      </c>
      <c r="I171" s="526" t="str">
        <f>IF('Student DATA Entry'!K167="","",UPPER('Student DATA Entry'!K167))</f>
        <v/>
      </c>
      <c r="J171" s="560" t="str">
        <f>IF('Student DATA Entry'!J167="","",UPPER('Student DATA Entry'!J167))</f>
        <v/>
      </c>
      <c r="K171" s="561"/>
      <c r="L171" s="43"/>
      <c r="M171" s="43"/>
      <c r="N171" s="53"/>
      <c r="O171" s="562"/>
      <c r="P171" s="561"/>
      <c r="Q171" s="43"/>
      <c r="R171" s="43"/>
      <c r="S171" s="53"/>
      <c r="T171" s="562"/>
      <c r="U171" s="103"/>
      <c r="V171" s="43"/>
      <c r="W171" s="43"/>
      <c r="X171" s="43"/>
      <c r="Y171" s="53"/>
      <c r="Z171" s="53"/>
      <c r="AA171" s="58"/>
      <c r="AB171" s="565"/>
      <c r="AC171" s="103"/>
      <c r="AD171" s="43"/>
      <c r="AE171" s="43"/>
      <c r="AF171" s="43"/>
      <c r="AG171" s="53"/>
      <c r="AH171" s="53"/>
      <c r="AI171" s="58"/>
      <c r="AJ171" s="565"/>
      <c r="AK171" s="103"/>
      <c r="AL171" s="43"/>
      <c r="AM171" s="43"/>
      <c r="AN171" s="43"/>
      <c r="AO171" s="53"/>
      <c r="AP171" s="53"/>
      <c r="AQ171" s="58"/>
      <c r="AR171" s="565"/>
      <c r="AS171" s="18"/>
      <c r="AT171" s="43"/>
      <c r="AU171" s="43"/>
      <c r="AV171" s="43"/>
      <c r="AW171" s="52"/>
      <c r="AX171" s="53"/>
      <c r="AY171" s="57"/>
      <c r="AZ171" s="110"/>
      <c r="BA171" s="110"/>
      <c r="BB171" s="551"/>
      <c r="BC171" s="552"/>
      <c r="BD171" s="104"/>
      <c r="BE171" s="103"/>
      <c r="BF171" s="19"/>
      <c r="BG171" s="19"/>
      <c r="BH171" s="20"/>
      <c r="BI171" s="104"/>
      <c r="BJ171" s="8"/>
    </row>
    <row r="172" spans="1:62">
      <c r="A172" s="516">
        <f>IF('Student DATA Entry'!A168="","",'Student DATA Entry'!A168)</f>
        <v>165</v>
      </c>
      <c r="B172" s="528" t="str">
        <f>IF('Student DATA Entry'!B168="","",'Student DATA Entry'!B168)</f>
        <v/>
      </c>
      <c r="C172" s="126" t="str">
        <f>IF('Student DATA Entry'!D168="","",'Student DATA Entry'!D168)</f>
        <v/>
      </c>
      <c r="D172" s="530" t="str">
        <f>IF('Student DATA Entry'!E168="","",'Student DATA Entry'!E168)</f>
        <v/>
      </c>
      <c r="E172" s="532" t="str">
        <f>IF('Student DATA Entry'!I168="","",'Student DATA Entry'!I168)</f>
        <v/>
      </c>
      <c r="F172" s="127" t="str">
        <f>IF('Student DATA Entry'!F168="","",UPPER('Student DATA Entry'!F168))</f>
        <v/>
      </c>
      <c r="G172" s="127" t="str">
        <f>IF('Student DATA Entry'!G168="","",UPPER('Student DATA Entry'!G168))</f>
        <v/>
      </c>
      <c r="H172" s="127" t="str">
        <f>IF('Student DATA Entry'!H168="","",UPPER('Student DATA Entry'!H168))</f>
        <v/>
      </c>
      <c r="I172" s="526" t="str">
        <f>IF('Student DATA Entry'!K168="","",UPPER('Student DATA Entry'!K168))</f>
        <v/>
      </c>
      <c r="J172" s="560" t="str">
        <f>IF('Student DATA Entry'!J168="","",UPPER('Student DATA Entry'!J168))</f>
        <v/>
      </c>
      <c r="K172" s="561"/>
      <c r="L172" s="43"/>
      <c r="M172" s="43"/>
      <c r="N172" s="53"/>
      <c r="O172" s="562"/>
      <c r="P172" s="561"/>
      <c r="Q172" s="43"/>
      <c r="R172" s="43"/>
      <c r="S172" s="53"/>
      <c r="T172" s="562"/>
      <c r="U172" s="103"/>
      <c r="V172" s="43"/>
      <c r="W172" s="43"/>
      <c r="X172" s="43"/>
      <c r="Y172" s="53"/>
      <c r="Z172" s="53"/>
      <c r="AA172" s="58"/>
      <c r="AB172" s="565"/>
      <c r="AC172" s="103"/>
      <c r="AD172" s="43"/>
      <c r="AE172" s="43"/>
      <c r="AF172" s="43"/>
      <c r="AG172" s="53"/>
      <c r="AH172" s="53"/>
      <c r="AI172" s="58"/>
      <c r="AJ172" s="565"/>
      <c r="AK172" s="103"/>
      <c r="AL172" s="43"/>
      <c r="AM172" s="43"/>
      <c r="AN172" s="43"/>
      <c r="AO172" s="53"/>
      <c r="AP172" s="53"/>
      <c r="AQ172" s="58"/>
      <c r="AR172" s="565"/>
      <c r="AS172" s="18"/>
      <c r="AT172" s="43"/>
      <c r="AU172" s="43"/>
      <c r="AV172" s="43"/>
      <c r="AW172" s="52"/>
      <c r="AX172" s="53"/>
      <c r="AY172" s="57"/>
      <c r="AZ172" s="110"/>
      <c r="BA172" s="110"/>
      <c r="BB172" s="551"/>
      <c r="BC172" s="552"/>
      <c r="BD172" s="104"/>
      <c r="BE172" s="103"/>
      <c r="BF172" s="19"/>
      <c r="BG172" s="19"/>
      <c r="BH172" s="20"/>
      <c r="BI172" s="104"/>
      <c r="BJ172" s="8"/>
    </row>
    <row r="173" spans="1:62">
      <c r="A173" s="516">
        <f>IF('Student DATA Entry'!A169="","",'Student DATA Entry'!A169)</f>
        <v>166</v>
      </c>
      <c r="B173" s="528" t="str">
        <f>IF('Student DATA Entry'!B169="","",'Student DATA Entry'!B169)</f>
        <v/>
      </c>
      <c r="C173" s="126" t="str">
        <f>IF('Student DATA Entry'!D169="","",'Student DATA Entry'!D169)</f>
        <v/>
      </c>
      <c r="D173" s="530" t="str">
        <f>IF('Student DATA Entry'!E169="","",'Student DATA Entry'!E169)</f>
        <v/>
      </c>
      <c r="E173" s="532" t="str">
        <f>IF('Student DATA Entry'!I169="","",'Student DATA Entry'!I169)</f>
        <v/>
      </c>
      <c r="F173" s="127" t="str">
        <f>IF('Student DATA Entry'!F169="","",UPPER('Student DATA Entry'!F169))</f>
        <v/>
      </c>
      <c r="G173" s="127" t="str">
        <f>IF('Student DATA Entry'!G169="","",UPPER('Student DATA Entry'!G169))</f>
        <v/>
      </c>
      <c r="H173" s="127" t="str">
        <f>IF('Student DATA Entry'!H169="","",UPPER('Student DATA Entry'!H169))</f>
        <v/>
      </c>
      <c r="I173" s="526" t="str">
        <f>IF('Student DATA Entry'!K169="","",UPPER('Student DATA Entry'!K169))</f>
        <v/>
      </c>
      <c r="J173" s="560" t="str">
        <f>IF('Student DATA Entry'!J169="","",UPPER('Student DATA Entry'!J169))</f>
        <v/>
      </c>
      <c r="K173" s="561"/>
      <c r="L173" s="43"/>
      <c r="M173" s="43"/>
      <c r="N173" s="53"/>
      <c r="O173" s="562"/>
      <c r="P173" s="561"/>
      <c r="Q173" s="43"/>
      <c r="R173" s="43"/>
      <c r="S173" s="53"/>
      <c r="T173" s="562"/>
      <c r="U173" s="103"/>
      <c r="V173" s="43"/>
      <c r="W173" s="43"/>
      <c r="X173" s="43"/>
      <c r="Y173" s="53"/>
      <c r="Z173" s="53"/>
      <c r="AA173" s="58"/>
      <c r="AB173" s="565"/>
      <c r="AC173" s="103"/>
      <c r="AD173" s="43"/>
      <c r="AE173" s="43"/>
      <c r="AF173" s="43"/>
      <c r="AG173" s="53"/>
      <c r="AH173" s="53"/>
      <c r="AI173" s="58"/>
      <c r="AJ173" s="565"/>
      <c r="AK173" s="103"/>
      <c r="AL173" s="43"/>
      <c r="AM173" s="43"/>
      <c r="AN173" s="43"/>
      <c r="AO173" s="53"/>
      <c r="AP173" s="53"/>
      <c r="AQ173" s="58"/>
      <c r="AR173" s="565"/>
      <c r="AS173" s="18"/>
      <c r="AT173" s="43"/>
      <c r="AU173" s="43"/>
      <c r="AV173" s="43"/>
      <c r="AW173" s="52"/>
      <c r="AX173" s="53"/>
      <c r="AY173" s="57"/>
      <c r="AZ173" s="110"/>
      <c r="BA173" s="110"/>
      <c r="BB173" s="551"/>
      <c r="BC173" s="552"/>
      <c r="BD173" s="104"/>
      <c r="BE173" s="103"/>
      <c r="BF173" s="19"/>
      <c r="BG173" s="19"/>
      <c r="BH173" s="20"/>
      <c r="BI173" s="104"/>
      <c r="BJ173" s="8"/>
    </row>
    <row r="174" spans="1:62">
      <c r="A174" s="516">
        <f>IF('Student DATA Entry'!A170="","",'Student DATA Entry'!A170)</f>
        <v>167</v>
      </c>
      <c r="B174" s="528" t="str">
        <f>IF('Student DATA Entry'!B170="","",'Student DATA Entry'!B170)</f>
        <v/>
      </c>
      <c r="C174" s="126" t="str">
        <f>IF('Student DATA Entry'!D170="","",'Student DATA Entry'!D170)</f>
        <v/>
      </c>
      <c r="D174" s="530" t="str">
        <f>IF('Student DATA Entry'!E170="","",'Student DATA Entry'!E170)</f>
        <v/>
      </c>
      <c r="E174" s="532" t="str">
        <f>IF('Student DATA Entry'!I170="","",'Student DATA Entry'!I170)</f>
        <v/>
      </c>
      <c r="F174" s="127" t="str">
        <f>IF('Student DATA Entry'!F170="","",UPPER('Student DATA Entry'!F170))</f>
        <v/>
      </c>
      <c r="G174" s="127" t="str">
        <f>IF('Student DATA Entry'!G170="","",UPPER('Student DATA Entry'!G170))</f>
        <v/>
      </c>
      <c r="H174" s="127" t="str">
        <f>IF('Student DATA Entry'!H170="","",UPPER('Student DATA Entry'!H170))</f>
        <v/>
      </c>
      <c r="I174" s="526" t="str">
        <f>IF('Student DATA Entry'!K170="","",UPPER('Student DATA Entry'!K170))</f>
        <v/>
      </c>
      <c r="J174" s="560" t="str">
        <f>IF('Student DATA Entry'!J170="","",UPPER('Student DATA Entry'!J170))</f>
        <v/>
      </c>
      <c r="K174" s="561"/>
      <c r="L174" s="43"/>
      <c r="M174" s="43"/>
      <c r="N174" s="53"/>
      <c r="O174" s="562"/>
      <c r="P174" s="561"/>
      <c r="Q174" s="43"/>
      <c r="R174" s="43"/>
      <c r="S174" s="53"/>
      <c r="T174" s="562"/>
      <c r="U174" s="103"/>
      <c r="V174" s="43"/>
      <c r="W174" s="43"/>
      <c r="X174" s="43"/>
      <c r="Y174" s="53"/>
      <c r="Z174" s="53"/>
      <c r="AA174" s="58"/>
      <c r="AB174" s="565"/>
      <c r="AC174" s="103"/>
      <c r="AD174" s="43"/>
      <c r="AE174" s="43"/>
      <c r="AF174" s="43"/>
      <c r="AG174" s="53"/>
      <c r="AH174" s="53"/>
      <c r="AI174" s="58"/>
      <c r="AJ174" s="565"/>
      <c r="AK174" s="103"/>
      <c r="AL174" s="43"/>
      <c r="AM174" s="43"/>
      <c r="AN174" s="43"/>
      <c r="AO174" s="53"/>
      <c r="AP174" s="53"/>
      <c r="AQ174" s="58"/>
      <c r="AR174" s="565"/>
      <c r="AS174" s="18"/>
      <c r="AT174" s="43"/>
      <c r="AU174" s="43"/>
      <c r="AV174" s="43"/>
      <c r="AW174" s="52"/>
      <c r="AX174" s="53"/>
      <c r="AY174" s="57"/>
      <c r="AZ174" s="110"/>
      <c r="BA174" s="110"/>
      <c r="BB174" s="551"/>
      <c r="BC174" s="552"/>
      <c r="BD174" s="104"/>
      <c r="BE174" s="103"/>
      <c r="BF174" s="19"/>
      <c r="BG174" s="19"/>
      <c r="BH174" s="20"/>
      <c r="BI174" s="104"/>
      <c r="BJ174" s="8"/>
    </row>
    <row r="175" spans="1:62">
      <c r="A175" s="516">
        <f>IF('Student DATA Entry'!A171="","",'Student DATA Entry'!A171)</f>
        <v>168</v>
      </c>
      <c r="B175" s="528" t="str">
        <f>IF('Student DATA Entry'!B171="","",'Student DATA Entry'!B171)</f>
        <v/>
      </c>
      <c r="C175" s="126" t="str">
        <f>IF('Student DATA Entry'!D171="","",'Student DATA Entry'!D171)</f>
        <v/>
      </c>
      <c r="D175" s="530" t="str">
        <f>IF('Student DATA Entry'!E171="","",'Student DATA Entry'!E171)</f>
        <v/>
      </c>
      <c r="E175" s="532" t="str">
        <f>IF('Student DATA Entry'!I171="","",'Student DATA Entry'!I171)</f>
        <v/>
      </c>
      <c r="F175" s="127" t="str">
        <f>IF('Student DATA Entry'!F171="","",UPPER('Student DATA Entry'!F171))</f>
        <v/>
      </c>
      <c r="G175" s="127" t="str">
        <f>IF('Student DATA Entry'!G171="","",UPPER('Student DATA Entry'!G171))</f>
        <v/>
      </c>
      <c r="H175" s="127" t="str">
        <f>IF('Student DATA Entry'!H171="","",UPPER('Student DATA Entry'!H171))</f>
        <v/>
      </c>
      <c r="I175" s="526" t="str">
        <f>IF('Student DATA Entry'!K171="","",UPPER('Student DATA Entry'!K171))</f>
        <v/>
      </c>
      <c r="J175" s="560" t="str">
        <f>IF('Student DATA Entry'!J171="","",UPPER('Student DATA Entry'!J171))</f>
        <v/>
      </c>
      <c r="K175" s="561"/>
      <c r="L175" s="43"/>
      <c r="M175" s="43"/>
      <c r="N175" s="53"/>
      <c r="O175" s="562"/>
      <c r="P175" s="561"/>
      <c r="Q175" s="43"/>
      <c r="R175" s="43"/>
      <c r="S175" s="53"/>
      <c r="T175" s="562"/>
      <c r="U175" s="103"/>
      <c r="V175" s="43"/>
      <c r="W175" s="43"/>
      <c r="X175" s="43"/>
      <c r="Y175" s="53"/>
      <c r="Z175" s="53"/>
      <c r="AA175" s="58"/>
      <c r="AB175" s="565"/>
      <c r="AC175" s="103"/>
      <c r="AD175" s="43"/>
      <c r="AE175" s="43"/>
      <c r="AF175" s="43"/>
      <c r="AG175" s="53"/>
      <c r="AH175" s="53"/>
      <c r="AI175" s="58"/>
      <c r="AJ175" s="565"/>
      <c r="AK175" s="103"/>
      <c r="AL175" s="43"/>
      <c r="AM175" s="43"/>
      <c r="AN175" s="43"/>
      <c r="AO175" s="53"/>
      <c r="AP175" s="53"/>
      <c r="AQ175" s="58"/>
      <c r="AR175" s="565"/>
      <c r="AS175" s="18"/>
      <c r="AT175" s="43"/>
      <c r="AU175" s="43"/>
      <c r="AV175" s="43"/>
      <c r="AW175" s="52"/>
      <c r="AX175" s="53"/>
      <c r="AY175" s="57"/>
      <c r="AZ175" s="110"/>
      <c r="BA175" s="110"/>
      <c r="BB175" s="551"/>
      <c r="BC175" s="552"/>
      <c r="BD175" s="104"/>
      <c r="BE175" s="103"/>
      <c r="BF175" s="19"/>
      <c r="BG175" s="19"/>
      <c r="BH175" s="20"/>
      <c r="BI175" s="104"/>
      <c r="BJ175" s="8"/>
    </row>
    <row r="176" spans="1:62">
      <c r="A176" s="516">
        <f>IF('Student DATA Entry'!A172="","",'Student DATA Entry'!A172)</f>
        <v>169</v>
      </c>
      <c r="B176" s="528" t="str">
        <f>IF('Student DATA Entry'!B172="","",'Student DATA Entry'!B172)</f>
        <v/>
      </c>
      <c r="C176" s="126" t="str">
        <f>IF('Student DATA Entry'!D172="","",'Student DATA Entry'!D172)</f>
        <v/>
      </c>
      <c r="D176" s="530" t="str">
        <f>IF('Student DATA Entry'!E172="","",'Student DATA Entry'!E172)</f>
        <v/>
      </c>
      <c r="E176" s="532" t="str">
        <f>IF('Student DATA Entry'!I172="","",'Student DATA Entry'!I172)</f>
        <v/>
      </c>
      <c r="F176" s="127" t="str">
        <f>IF('Student DATA Entry'!F172="","",UPPER('Student DATA Entry'!F172))</f>
        <v/>
      </c>
      <c r="G176" s="127" t="str">
        <f>IF('Student DATA Entry'!G172="","",UPPER('Student DATA Entry'!G172))</f>
        <v/>
      </c>
      <c r="H176" s="127" t="str">
        <f>IF('Student DATA Entry'!H172="","",UPPER('Student DATA Entry'!H172))</f>
        <v/>
      </c>
      <c r="I176" s="526" t="str">
        <f>IF('Student DATA Entry'!K172="","",UPPER('Student DATA Entry'!K172))</f>
        <v/>
      </c>
      <c r="J176" s="560" t="str">
        <f>IF('Student DATA Entry'!J172="","",UPPER('Student DATA Entry'!J172))</f>
        <v/>
      </c>
      <c r="K176" s="561"/>
      <c r="L176" s="43"/>
      <c r="M176" s="43"/>
      <c r="N176" s="53"/>
      <c r="O176" s="562"/>
      <c r="P176" s="561"/>
      <c r="Q176" s="43"/>
      <c r="R176" s="43"/>
      <c r="S176" s="53"/>
      <c r="T176" s="562"/>
      <c r="U176" s="103"/>
      <c r="V176" s="43"/>
      <c r="W176" s="43"/>
      <c r="X176" s="43"/>
      <c r="Y176" s="53"/>
      <c r="Z176" s="53"/>
      <c r="AA176" s="58"/>
      <c r="AB176" s="565"/>
      <c r="AC176" s="103"/>
      <c r="AD176" s="43"/>
      <c r="AE176" s="43"/>
      <c r="AF176" s="43"/>
      <c r="AG176" s="53"/>
      <c r="AH176" s="53"/>
      <c r="AI176" s="58"/>
      <c r="AJ176" s="565"/>
      <c r="AK176" s="103"/>
      <c r="AL176" s="43"/>
      <c r="AM176" s="43"/>
      <c r="AN176" s="43"/>
      <c r="AO176" s="53"/>
      <c r="AP176" s="53"/>
      <c r="AQ176" s="58"/>
      <c r="AR176" s="565"/>
      <c r="AS176" s="18"/>
      <c r="AT176" s="43"/>
      <c r="AU176" s="43"/>
      <c r="AV176" s="43"/>
      <c r="AW176" s="52"/>
      <c r="AX176" s="53"/>
      <c r="AY176" s="57"/>
      <c r="AZ176" s="110"/>
      <c r="BA176" s="110"/>
      <c r="BB176" s="551"/>
      <c r="BC176" s="552"/>
      <c r="BD176" s="104"/>
      <c r="BE176" s="103"/>
      <c r="BF176" s="19"/>
      <c r="BG176" s="19"/>
      <c r="BH176" s="20"/>
      <c r="BI176" s="104"/>
      <c r="BJ176" s="8"/>
    </row>
    <row r="177" spans="1:62">
      <c r="A177" s="516">
        <f>IF('Student DATA Entry'!A173="","",'Student DATA Entry'!A173)</f>
        <v>170</v>
      </c>
      <c r="B177" s="528" t="str">
        <f>IF('Student DATA Entry'!B173="","",'Student DATA Entry'!B173)</f>
        <v/>
      </c>
      <c r="C177" s="126" t="str">
        <f>IF('Student DATA Entry'!D173="","",'Student DATA Entry'!D173)</f>
        <v/>
      </c>
      <c r="D177" s="530" t="str">
        <f>IF('Student DATA Entry'!E173="","",'Student DATA Entry'!E173)</f>
        <v/>
      </c>
      <c r="E177" s="532" t="str">
        <f>IF('Student DATA Entry'!I173="","",'Student DATA Entry'!I173)</f>
        <v/>
      </c>
      <c r="F177" s="127" t="str">
        <f>IF('Student DATA Entry'!F173="","",UPPER('Student DATA Entry'!F173))</f>
        <v/>
      </c>
      <c r="G177" s="127" t="str">
        <f>IF('Student DATA Entry'!G173="","",UPPER('Student DATA Entry'!G173))</f>
        <v/>
      </c>
      <c r="H177" s="127" t="str">
        <f>IF('Student DATA Entry'!H173="","",UPPER('Student DATA Entry'!H173))</f>
        <v/>
      </c>
      <c r="I177" s="526" t="str">
        <f>IF('Student DATA Entry'!K173="","",UPPER('Student DATA Entry'!K173))</f>
        <v/>
      </c>
      <c r="J177" s="560" t="str">
        <f>IF('Student DATA Entry'!J173="","",UPPER('Student DATA Entry'!J173))</f>
        <v/>
      </c>
      <c r="K177" s="561"/>
      <c r="L177" s="43"/>
      <c r="M177" s="43"/>
      <c r="N177" s="53"/>
      <c r="O177" s="562"/>
      <c r="P177" s="561"/>
      <c r="Q177" s="43"/>
      <c r="R177" s="43"/>
      <c r="S177" s="53"/>
      <c r="T177" s="562"/>
      <c r="U177" s="103"/>
      <c r="V177" s="43"/>
      <c r="W177" s="43"/>
      <c r="X177" s="43"/>
      <c r="Y177" s="53"/>
      <c r="Z177" s="53"/>
      <c r="AA177" s="58"/>
      <c r="AB177" s="565"/>
      <c r="AC177" s="103"/>
      <c r="AD177" s="43"/>
      <c r="AE177" s="43"/>
      <c r="AF177" s="43"/>
      <c r="AG177" s="53"/>
      <c r="AH177" s="53"/>
      <c r="AI177" s="58"/>
      <c r="AJ177" s="565"/>
      <c r="AK177" s="103"/>
      <c r="AL177" s="43"/>
      <c r="AM177" s="43"/>
      <c r="AN177" s="43"/>
      <c r="AO177" s="53"/>
      <c r="AP177" s="53"/>
      <c r="AQ177" s="58"/>
      <c r="AR177" s="565"/>
      <c r="AS177" s="18"/>
      <c r="AT177" s="43"/>
      <c r="AU177" s="43"/>
      <c r="AV177" s="43"/>
      <c r="AW177" s="52"/>
      <c r="AX177" s="53"/>
      <c r="AY177" s="57"/>
      <c r="AZ177" s="110"/>
      <c r="BA177" s="110"/>
      <c r="BB177" s="551"/>
      <c r="BC177" s="552"/>
      <c r="BD177" s="104"/>
      <c r="BE177" s="103"/>
      <c r="BF177" s="19"/>
      <c r="BG177" s="19"/>
      <c r="BH177" s="20"/>
      <c r="BI177" s="104"/>
      <c r="BJ177" s="8"/>
    </row>
    <row r="178" spans="1:62">
      <c r="A178" s="516">
        <f>IF('Student DATA Entry'!A174="","",'Student DATA Entry'!A174)</f>
        <v>171</v>
      </c>
      <c r="B178" s="528" t="str">
        <f>IF('Student DATA Entry'!B174="","",'Student DATA Entry'!B174)</f>
        <v/>
      </c>
      <c r="C178" s="126" t="str">
        <f>IF('Student DATA Entry'!D174="","",'Student DATA Entry'!D174)</f>
        <v/>
      </c>
      <c r="D178" s="530" t="str">
        <f>IF('Student DATA Entry'!E174="","",'Student DATA Entry'!E174)</f>
        <v/>
      </c>
      <c r="E178" s="532" t="str">
        <f>IF('Student DATA Entry'!I174="","",'Student DATA Entry'!I174)</f>
        <v/>
      </c>
      <c r="F178" s="127" t="str">
        <f>IF('Student DATA Entry'!F174="","",UPPER('Student DATA Entry'!F174))</f>
        <v/>
      </c>
      <c r="G178" s="127" t="str">
        <f>IF('Student DATA Entry'!G174="","",UPPER('Student DATA Entry'!G174))</f>
        <v/>
      </c>
      <c r="H178" s="127" t="str">
        <f>IF('Student DATA Entry'!H174="","",UPPER('Student DATA Entry'!H174))</f>
        <v/>
      </c>
      <c r="I178" s="526" t="str">
        <f>IF('Student DATA Entry'!K174="","",UPPER('Student DATA Entry'!K174))</f>
        <v/>
      </c>
      <c r="J178" s="560" t="str">
        <f>IF('Student DATA Entry'!J174="","",UPPER('Student DATA Entry'!J174))</f>
        <v/>
      </c>
      <c r="K178" s="561"/>
      <c r="L178" s="43"/>
      <c r="M178" s="43"/>
      <c r="N178" s="53"/>
      <c r="O178" s="562"/>
      <c r="P178" s="561"/>
      <c r="Q178" s="43"/>
      <c r="R178" s="43"/>
      <c r="S178" s="53"/>
      <c r="T178" s="562"/>
      <c r="U178" s="103"/>
      <c r="V178" s="43"/>
      <c r="W178" s="43"/>
      <c r="X178" s="43"/>
      <c r="Y178" s="53"/>
      <c r="Z178" s="53"/>
      <c r="AA178" s="58"/>
      <c r="AB178" s="565"/>
      <c r="AC178" s="103"/>
      <c r="AD178" s="43"/>
      <c r="AE178" s="43"/>
      <c r="AF178" s="43"/>
      <c r="AG178" s="53"/>
      <c r="AH178" s="53"/>
      <c r="AI178" s="58"/>
      <c r="AJ178" s="565"/>
      <c r="AK178" s="103"/>
      <c r="AL178" s="43"/>
      <c r="AM178" s="43"/>
      <c r="AN178" s="43"/>
      <c r="AO178" s="53"/>
      <c r="AP178" s="53"/>
      <c r="AQ178" s="58"/>
      <c r="AR178" s="565"/>
      <c r="AS178" s="18"/>
      <c r="AT178" s="43"/>
      <c r="AU178" s="43"/>
      <c r="AV178" s="43"/>
      <c r="AW178" s="52"/>
      <c r="AX178" s="53"/>
      <c r="AY178" s="57"/>
      <c r="AZ178" s="110"/>
      <c r="BA178" s="110"/>
      <c r="BB178" s="551"/>
      <c r="BC178" s="552"/>
      <c r="BD178" s="104"/>
      <c r="BE178" s="103"/>
      <c r="BF178" s="19"/>
      <c r="BG178" s="19"/>
      <c r="BH178" s="20"/>
      <c r="BI178" s="104"/>
      <c r="BJ178" s="8"/>
    </row>
    <row r="179" spans="1:62">
      <c r="A179" s="516">
        <f>IF('Student DATA Entry'!A175="","",'Student DATA Entry'!A175)</f>
        <v>172</v>
      </c>
      <c r="B179" s="528" t="str">
        <f>IF('Student DATA Entry'!B175="","",'Student DATA Entry'!B175)</f>
        <v/>
      </c>
      <c r="C179" s="126" t="str">
        <f>IF('Student DATA Entry'!D175="","",'Student DATA Entry'!D175)</f>
        <v/>
      </c>
      <c r="D179" s="530" t="str">
        <f>IF('Student DATA Entry'!E175="","",'Student DATA Entry'!E175)</f>
        <v/>
      </c>
      <c r="E179" s="532" t="str">
        <f>IF('Student DATA Entry'!I175="","",'Student DATA Entry'!I175)</f>
        <v/>
      </c>
      <c r="F179" s="127" t="str">
        <f>IF('Student DATA Entry'!F175="","",UPPER('Student DATA Entry'!F175))</f>
        <v/>
      </c>
      <c r="G179" s="127" t="str">
        <f>IF('Student DATA Entry'!G175="","",UPPER('Student DATA Entry'!G175))</f>
        <v/>
      </c>
      <c r="H179" s="127" t="str">
        <f>IF('Student DATA Entry'!H175="","",UPPER('Student DATA Entry'!H175))</f>
        <v/>
      </c>
      <c r="I179" s="526" t="str">
        <f>IF('Student DATA Entry'!K175="","",UPPER('Student DATA Entry'!K175))</f>
        <v/>
      </c>
      <c r="J179" s="560" t="str">
        <f>IF('Student DATA Entry'!J175="","",UPPER('Student DATA Entry'!J175))</f>
        <v/>
      </c>
      <c r="K179" s="561"/>
      <c r="L179" s="43"/>
      <c r="M179" s="43"/>
      <c r="N179" s="53"/>
      <c r="O179" s="562"/>
      <c r="P179" s="561"/>
      <c r="Q179" s="43"/>
      <c r="R179" s="43"/>
      <c r="S179" s="53"/>
      <c r="T179" s="562"/>
      <c r="U179" s="103"/>
      <c r="V179" s="43"/>
      <c r="W179" s="43"/>
      <c r="X179" s="43"/>
      <c r="Y179" s="53"/>
      <c r="Z179" s="53"/>
      <c r="AA179" s="58"/>
      <c r="AB179" s="565"/>
      <c r="AC179" s="103"/>
      <c r="AD179" s="43"/>
      <c r="AE179" s="43"/>
      <c r="AF179" s="43"/>
      <c r="AG179" s="53"/>
      <c r="AH179" s="53"/>
      <c r="AI179" s="58"/>
      <c r="AJ179" s="565"/>
      <c r="AK179" s="103"/>
      <c r="AL179" s="43"/>
      <c r="AM179" s="43"/>
      <c r="AN179" s="43"/>
      <c r="AO179" s="53"/>
      <c r="AP179" s="53"/>
      <c r="AQ179" s="58"/>
      <c r="AR179" s="565"/>
      <c r="AS179" s="18"/>
      <c r="AT179" s="43"/>
      <c r="AU179" s="43"/>
      <c r="AV179" s="43"/>
      <c r="AW179" s="52"/>
      <c r="AX179" s="53"/>
      <c r="AY179" s="57"/>
      <c r="AZ179" s="110"/>
      <c r="BA179" s="110"/>
      <c r="BB179" s="551"/>
      <c r="BC179" s="552"/>
      <c r="BD179" s="104"/>
      <c r="BE179" s="103"/>
      <c r="BF179" s="19"/>
      <c r="BG179" s="19"/>
      <c r="BH179" s="20"/>
      <c r="BI179" s="104"/>
      <c r="BJ179" s="8"/>
    </row>
    <row r="180" spans="1:62">
      <c r="A180" s="516">
        <f>IF('Student DATA Entry'!A176="","",'Student DATA Entry'!A176)</f>
        <v>173</v>
      </c>
      <c r="B180" s="528" t="str">
        <f>IF('Student DATA Entry'!B176="","",'Student DATA Entry'!B176)</f>
        <v/>
      </c>
      <c r="C180" s="126" t="str">
        <f>IF('Student DATA Entry'!D176="","",'Student DATA Entry'!D176)</f>
        <v/>
      </c>
      <c r="D180" s="530" t="str">
        <f>IF('Student DATA Entry'!E176="","",'Student DATA Entry'!E176)</f>
        <v/>
      </c>
      <c r="E180" s="532" t="str">
        <f>IF('Student DATA Entry'!I176="","",'Student DATA Entry'!I176)</f>
        <v/>
      </c>
      <c r="F180" s="127" t="str">
        <f>IF('Student DATA Entry'!F176="","",UPPER('Student DATA Entry'!F176))</f>
        <v/>
      </c>
      <c r="G180" s="127" t="str">
        <f>IF('Student DATA Entry'!G176="","",UPPER('Student DATA Entry'!G176))</f>
        <v/>
      </c>
      <c r="H180" s="127" t="str">
        <f>IF('Student DATA Entry'!H176="","",UPPER('Student DATA Entry'!H176))</f>
        <v/>
      </c>
      <c r="I180" s="526" t="str">
        <f>IF('Student DATA Entry'!K176="","",UPPER('Student DATA Entry'!K176))</f>
        <v/>
      </c>
      <c r="J180" s="560" t="str">
        <f>IF('Student DATA Entry'!J176="","",UPPER('Student DATA Entry'!J176))</f>
        <v/>
      </c>
      <c r="K180" s="561"/>
      <c r="L180" s="43"/>
      <c r="M180" s="43"/>
      <c r="N180" s="53"/>
      <c r="O180" s="562"/>
      <c r="P180" s="561"/>
      <c r="Q180" s="43"/>
      <c r="R180" s="43"/>
      <c r="S180" s="53"/>
      <c r="T180" s="562"/>
      <c r="U180" s="103"/>
      <c r="V180" s="43"/>
      <c r="W180" s="43"/>
      <c r="X180" s="43"/>
      <c r="Y180" s="53"/>
      <c r="Z180" s="53"/>
      <c r="AA180" s="58"/>
      <c r="AB180" s="565"/>
      <c r="AC180" s="103"/>
      <c r="AD180" s="43"/>
      <c r="AE180" s="43"/>
      <c r="AF180" s="43"/>
      <c r="AG180" s="53"/>
      <c r="AH180" s="53"/>
      <c r="AI180" s="58"/>
      <c r="AJ180" s="565"/>
      <c r="AK180" s="103"/>
      <c r="AL180" s="43"/>
      <c r="AM180" s="43"/>
      <c r="AN180" s="43"/>
      <c r="AO180" s="53"/>
      <c r="AP180" s="53"/>
      <c r="AQ180" s="58"/>
      <c r="AR180" s="565"/>
      <c r="AS180" s="18"/>
      <c r="AT180" s="43"/>
      <c r="AU180" s="43"/>
      <c r="AV180" s="43"/>
      <c r="AW180" s="52"/>
      <c r="AX180" s="53"/>
      <c r="AY180" s="57"/>
      <c r="AZ180" s="110"/>
      <c r="BA180" s="110"/>
      <c r="BB180" s="551"/>
      <c r="BC180" s="552"/>
      <c r="BD180" s="104"/>
      <c r="BE180" s="103"/>
      <c r="BF180" s="19"/>
      <c r="BG180" s="19"/>
      <c r="BH180" s="20"/>
      <c r="BI180" s="104"/>
      <c r="BJ180" s="8"/>
    </row>
    <row r="181" spans="1:62">
      <c r="A181" s="516">
        <f>IF('Student DATA Entry'!A177="","",'Student DATA Entry'!A177)</f>
        <v>174</v>
      </c>
      <c r="B181" s="528" t="str">
        <f>IF('Student DATA Entry'!B177="","",'Student DATA Entry'!B177)</f>
        <v/>
      </c>
      <c r="C181" s="126" t="str">
        <f>IF('Student DATA Entry'!D177="","",'Student DATA Entry'!D177)</f>
        <v/>
      </c>
      <c r="D181" s="530" t="str">
        <f>IF('Student DATA Entry'!E177="","",'Student DATA Entry'!E177)</f>
        <v/>
      </c>
      <c r="E181" s="532" t="str">
        <f>IF('Student DATA Entry'!I177="","",'Student DATA Entry'!I177)</f>
        <v/>
      </c>
      <c r="F181" s="127" t="str">
        <f>IF('Student DATA Entry'!F177="","",UPPER('Student DATA Entry'!F177))</f>
        <v/>
      </c>
      <c r="G181" s="127" t="str">
        <f>IF('Student DATA Entry'!G177="","",UPPER('Student DATA Entry'!G177))</f>
        <v/>
      </c>
      <c r="H181" s="127" t="str">
        <f>IF('Student DATA Entry'!H177="","",UPPER('Student DATA Entry'!H177))</f>
        <v/>
      </c>
      <c r="I181" s="526" t="str">
        <f>IF('Student DATA Entry'!K177="","",UPPER('Student DATA Entry'!K177))</f>
        <v/>
      </c>
      <c r="J181" s="560" t="str">
        <f>IF('Student DATA Entry'!J177="","",UPPER('Student DATA Entry'!J177))</f>
        <v/>
      </c>
      <c r="K181" s="561"/>
      <c r="L181" s="43"/>
      <c r="M181" s="43"/>
      <c r="N181" s="53"/>
      <c r="O181" s="562"/>
      <c r="P181" s="561"/>
      <c r="Q181" s="43"/>
      <c r="R181" s="43"/>
      <c r="S181" s="53"/>
      <c r="T181" s="562"/>
      <c r="U181" s="103"/>
      <c r="V181" s="43"/>
      <c r="W181" s="43"/>
      <c r="X181" s="43"/>
      <c r="Y181" s="53"/>
      <c r="Z181" s="53"/>
      <c r="AA181" s="58"/>
      <c r="AB181" s="565"/>
      <c r="AC181" s="103"/>
      <c r="AD181" s="43"/>
      <c r="AE181" s="43"/>
      <c r="AF181" s="43"/>
      <c r="AG181" s="53"/>
      <c r="AH181" s="53"/>
      <c r="AI181" s="58"/>
      <c r="AJ181" s="565"/>
      <c r="AK181" s="103"/>
      <c r="AL181" s="43"/>
      <c r="AM181" s="43"/>
      <c r="AN181" s="43"/>
      <c r="AO181" s="53"/>
      <c r="AP181" s="53"/>
      <c r="AQ181" s="58"/>
      <c r="AR181" s="565"/>
      <c r="AS181" s="18"/>
      <c r="AT181" s="43"/>
      <c r="AU181" s="43"/>
      <c r="AV181" s="43"/>
      <c r="AW181" s="52"/>
      <c r="AX181" s="53"/>
      <c r="AY181" s="57"/>
      <c r="AZ181" s="110"/>
      <c r="BA181" s="110"/>
      <c r="BB181" s="551"/>
      <c r="BC181" s="552"/>
      <c r="BD181" s="104"/>
      <c r="BE181" s="103"/>
      <c r="BF181" s="19"/>
      <c r="BG181" s="19"/>
      <c r="BH181" s="20"/>
      <c r="BI181" s="104"/>
      <c r="BJ181" s="8"/>
    </row>
    <row r="182" spans="1:62">
      <c r="A182" s="516">
        <f>IF('Student DATA Entry'!A178="","",'Student DATA Entry'!A178)</f>
        <v>175</v>
      </c>
      <c r="B182" s="528" t="str">
        <f>IF('Student DATA Entry'!B178="","",'Student DATA Entry'!B178)</f>
        <v/>
      </c>
      <c r="C182" s="126" t="str">
        <f>IF('Student DATA Entry'!D178="","",'Student DATA Entry'!D178)</f>
        <v/>
      </c>
      <c r="D182" s="530" t="str">
        <f>IF('Student DATA Entry'!E178="","",'Student DATA Entry'!E178)</f>
        <v/>
      </c>
      <c r="E182" s="532" t="str">
        <f>IF('Student DATA Entry'!I178="","",'Student DATA Entry'!I178)</f>
        <v/>
      </c>
      <c r="F182" s="127" t="str">
        <f>IF('Student DATA Entry'!F178="","",UPPER('Student DATA Entry'!F178))</f>
        <v/>
      </c>
      <c r="G182" s="127" t="str">
        <f>IF('Student DATA Entry'!G178="","",UPPER('Student DATA Entry'!G178))</f>
        <v/>
      </c>
      <c r="H182" s="127" t="str">
        <f>IF('Student DATA Entry'!H178="","",UPPER('Student DATA Entry'!H178))</f>
        <v/>
      </c>
      <c r="I182" s="526" t="str">
        <f>IF('Student DATA Entry'!K178="","",UPPER('Student DATA Entry'!K178))</f>
        <v/>
      </c>
      <c r="J182" s="560" t="str">
        <f>IF('Student DATA Entry'!J178="","",UPPER('Student DATA Entry'!J178))</f>
        <v/>
      </c>
      <c r="K182" s="561"/>
      <c r="L182" s="43"/>
      <c r="M182" s="43"/>
      <c r="N182" s="53"/>
      <c r="O182" s="562"/>
      <c r="P182" s="561"/>
      <c r="Q182" s="43"/>
      <c r="R182" s="43"/>
      <c r="S182" s="53"/>
      <c r="T182" s="562"/>
      <c r="U182" s="103"/>
      <c r="V182" s="43"/>
      <c r="W182" s="43"/>
      <c r="X182" s="43"/>
      <c r="Y182" s="53"/>
      <c r="Z182" s="53"/>
      <c r="AA182" s="58"/>
      <c r="AB182" s="565"/>
      <c r="AC182" s="103"/>
      <c r="AD182" s="43"/>
      <c r="AE182" s="43"/>
      <c r="AF182" s="43"/>
      <c r="AG182" s="53"/>
      <c r="AH182" s="53"/>
      <c r="AI182" s="58"/>
      <c r="AJ182" s="565"/>
      <c r="AK182" s="103"/>
      <c r="AL182" s="43"/>
      <c r="AM182" s="43"/>
      <c r="AN182" s="43"/>
      <c r="AO182" s="53"/>
      <c r="AP182" s="53"/>
      <c r="AQ182" s="58"/>
      <c r="AR182" s="565"/>
      <c r="AS182" s="18"/>
      <c r="AT182" s="43"/>
      <c r="AU182" s="43"/>
      <c r="AV182" s="43"/>
      <c r="AW182" s="52"/>
      <c r="AX182" s="53"/>
      <c r="AY182" s="57"/>
      <c r="AZ182" s="110"/>
      <c r="BA182" s="110"/>
      <c r="BB182" s="551"/>
      <c r="BC182" s="552"/>
      <c r="BD182" s="104"/>
      <c r="BE182" s="103"/>
      <c r="BF182" s="19"/>
      <c r="BG182" s="19"/>
      <c r="BH182" s="20"/>
      <c r="BI182" s="104"/>
      <c r="BJ182" s="8"/>
    </row>
    <row r="183" spans="1:62">
      <c r="A183" s="516">
        <f>IF('Student DATA Entry'!A179="","",'Student DATA Entry'!A179)</f>
        <v>176</v>
      </c>
      <c r="B183" s="528" t="str">
        <f>IF('Student DATA Entry'!B179="","",'Student DATA Entry'!B179)</f>
        <v/>
      </c>
      <c r="C183" s="126" t="str">
        <f>IF('Student DATA Entry'!D179="","",'Student DATA Entry'!D179)</f>
        <v/>
      </c>
      <c r="D183" s="530" t="str">
        <f>IF('Student DATA Entry'!E179="","",'Student DATA Entry'!E179)</f>
        <v/>
      </c>
      <c r="E183" s="532" t="str">
        <f>IF('Student DATA Entry'!I179="","",'Student DATA Entry'!I179)</f>
        <v/>
      </c>
      <c r="F183" s="127" t="str">
        <f>IF('Student DATA Entry'!F179="","",UPPER('Student DATA Entry'!F179))</f>
        <v/>
      </c>
      <c r="G183" s="127" t="str">
        <f>IF('Student DATA Entry'!G179="","",UPPER('Student DATA Entry'!G179))</f>
        <v/>
      </c>
      <c r="H183" s="127" t="str">
        <f>IF('Student DATA Entry'!H179="","",UPPER('Student DATA Entry'!H179))</f>
        <v/>
      </c>
      <c r="I183" s="526" t="str">
        <f>IF('Student DATA Entry'!K179="","",UPPER('Student DATA Entry'!K179))</f>
        <v/>
      </c>
      <c r="J183" s="560" t="str">
        <f>IF('Student DATA Entry'!J179="","",UPPER('Student DATA Entry'!J179))</f>
        <v/>
      </c>
      <c r="K183" s="561"/>
      <c r="L183" s="43"/>
      <c r="M183" s="43"/>
      <c r="N183" s="53"/>
      <c r="O183" s="562"/>
      <c r="P183" s="561"/>
      <c r="Q183" s="43"/>
      <c r="R183" s="43"/>
      <c r="S183" s="53"/>
      <c r="T183" s="562"/>
      <c r="U183" s="103"/>
      <c r="V183" s="43"/>
      <c r="W183" s="43"/>
      <c r="X183" s="43"/>
      <c r="Y183" s="53"/>
      <c r="Z183" s="53"/>
      <c r="AA183" s="58"/>
      <c r="AB183" s="565"/>
      <c r="AC183" s="103"/>
      <c r="AD183" s="43"/>
      <c r="AE183" s="43"/>
      <c r="AF183" s="43"/>
      <c r="AG183" s="53"/>
      <c r="AH183" s="53"/>
      <c r="AI183" s="58"/>
      <c r="AJ183" s="565"/>
      <c r="AK183" s="103"/>
      <c r="AL183" s="43"/>
      <c r="AM183" s="43"/>
      <c r="AN183" s="43"/>
      <c r="AO183" s="53"/>
      <c r="AP183" s="53"/>
      <c r="AQ183" s="58"/>
      <c r="AR183" s="565"/>
      <c r="AS183" s="18"/>
      <c r="AT183" s="43"/>
      <c r="AU183" s="43"/>
      <c r="AV183" s="43"/>
      <c r="AW183" s="52"/>
      <c r="AX183" s="53"/>
      <c r="AY183" s="57"/>
      <c r="AZ183" s="110"/>
      <c r="BA183" s="110"/>
      <c r="BB183" s="551"/>
      <c r="BC183" s="552"/>
      <c r="BD183" s="104"/>
      <c r="BE183" s="103"/>
      <c r="BF183" s="19"/>
      <c r="BG183" s="19"/>
      <c r="BH183" s="20"/>
      <c r="BI183" s="104"/>
      <c r="BJ183" s="8"/>
    </row>
    <row r="184" spans="1:62">
      <c r="A184" s="516">
        <f>IF('Student DATA Entry'!A180="","",'Student DATA Entry'!A180)</f>
        <v>177</v>
      </c>
      <c r="B184" s="528" t="str">
        <f>IF('Student DATA Entry'!B180="","",'Student DATA Entry'!B180)</f>
        <v/>
      </c>
      <c r="C184" s="126" t="str">
        <f>IF('Student DATA Entry'!D180="","",'Student DATA Entry'!D180)</f>
        <v/>
      </c>
      <c r="D184" s="530" t="str">
        <f>IF('Student DATA Entry'!E180="","",'Student DATA Entry'!E180)</f>
        <v/>
      </c>
      <c r="E184" s="532" t="str">
        <f>IF('Student DATA Entry'!I180="","",'Student DATA Entry'!I180)</f>
        <v/>
      </c>
      <c r="F184" s="127" t="str">
        <f>IF('Student DATA Entry'!F180="","",UPPER('Student DATA Entry'!F180))</f>
        <v/>
      </c>
      <c r="G184" s="127" t="str">
        <f>IF('Student DATA Entry'!G180="","",UPPER('Student DATA Entry'!G180))</f>
        <v/>
      </c>
      <c r="H184" s="127" t="str">
        <f>IF('Student DATA Entry'!H180="","",UPPER('Student DATA Entry'!H180))</f>
        <v/>
      </c>
      <c r="I184" s="526" t="str">
        <f>IF('Student DATA Entry'!K180="","",UPPER('Student DATA Entry'!K180))</f>
        <v/>
      </c>
      <c r="J184" s="560" t="str">
        <f>IF('Student DATA Entry'!J180="","",UPPER('Student DATA Entry'!J180))</f>
        <v/>
      </c>
      <c r="K184" s="561"/>
      <c r="L184" s="43"/>
      <c r="M184" s="43"/>
      <c r="N184" s="53"/>
      <c r="O184" s="562"/>
      <c r="P184" s="561"/>
      <c r="Q184" s="43"/>
      <c r="R184" s="43"/>
      <c r="S184" s="53"/>
      <c r="T184" s="562"/>
      <c r="U184" s="103"/>
      <c r="V184" s="43"/>
      <c r="W184" s="43"/>
      <c r="X184" s="43"/>
      <c r="Y184" s="53"/>
      <c r="Z184" s="53"/>
      <c r="AA184" s="58"/>
      <c r="AB184" s="565"/>
      <c r="AC184" s="103"/>
      <c r="AD184" s="43"/>
      <c r="AE184" s="43"/>
      <c r="AF184" s="43"/>
      <c r="AG184" s="53"/>
      <c r="AH184" s="53"/>
      <c r="AI184" s="58"/>
      <c r="AJ184" s="565"/>
      <c r="AK184" s="103"/>
      <c r="AL184" s="43"/>
      <c r="AM184" s="43"/>
      <c r="AN184" s="43"/>
      <c r="AO184" s="53"/>
      <c r="AP184" s="53"/>
      <c r="AQ184" s="58"/>
      <c r="AR184" s="565"/>
      <c r="AS184" s="18"/>
      <c r="AT184" s="43"/>
      <c r="AU184" s="43"/>
      <c r="AV184" s="43"/>
      <c r="AW184" s="52"/>
      <c r="AX184" s="53"/>
      <c r="AY184" s="57"/>
      <c r="AZ184" s="110"/>
      <c r="BA184" s="110"/>
      <c r="BB184" s="551"/>
      <c r="BC184" s="552"/>
      <c r="BD184" s="104"/>
      <c r="BE184" s="103"/>
      <c r="BF184" s="19"/>
      <c r="BG184" s="19"/>
      <c r="BH184" s="20"/>
      <c r="BI184" s="104"/>
      <c r="BJ184" s="8"/>
    </row>
    <row r="185" spans="1:62">
      <c r="A185" s="516">
        <f>IF('Student DATA Entry'!A181="","",'Student DATA Entry'!A181)</f>
        <v>178</v>
      </c>
      <c r="B185" s="528" t="str">
        <f>IF('Student DATA Entry'!B181="","",'Student DATA Entry'!B181)</f>
        <v/>
      </c>
      <c r="C185" s="126" t="str">
        <f>IF('Student DATA Entry'!D181="","",'Student DATA Entry'!D181)</f>
        <v/>
      </c>
      <c r="D185" s="530" t="str">
        <f>IF('Student DATA Entry'!E181="","",'Student DATA Entry'!E181)</f>
        <v/>
      </c>
      <c r="E185" s="532" t="str">
        <f>IF('Student DATA Entry'!I181="","",'Student DATA Entry'!I181)</f>
        <v/>
      </c>
      <c r="F185" s="127" t="str">
        <f>IF('Student DATA Entry'!F181="","",UPPER('Student DATA Entry'!F181))</f>
        <v/>
      </c>
      <c r="G185" s="127" t="str">
        <f>IF('Student DATA Entry'!G181="","",UPPER('Student DATA Entry'!G181))</f>
        <v/>
      </c>
      <c r="H185" s="127" t="str">
        <f>IF('Student DATA Entry'!H181="","",UPPER('Student DATA Entry'!H181))</f>
        <v/>
      </c>
      <c r="I185" s="526" t="str">
        <f>IF('Student DATA Entry'!K181="","",UPPER('Student DATA Entry'!K181))</f>
        <v/>
      </c>
      <c r="J185" s="560" t="str">
        <f>IF('Student DATA Entry'!J181="","",UPPER('Student DATA Entry'!J181))</f>
        <v/>
      </c>
      <c r="K185" s="561"/>
      <c r="L185" s="43"/>
      <c r="M185" s="43"/>
      <c r="N185" s="53"/>
      <c r="O185" s="562"/>
      <c r="P185" s="561"/>
      <c r="Q185" s="43"/>
      <c r="R185" s="43"/>
      <c r="S185" s="53"/>
      <c r="T185" s="562"/>
      <c r="U185" s="103"/>
      <c r="V185" s="43"/>
      <c r="W185" s="43"/>
      <c r="X185" s="43"/>
      <c r="Y185" s="53"/>
      <c r="Z185" s="53"/>
      <c r="AA185" s="58"/>
      <c r="AB185" s="565"/>
      <c r="AC185" s="103"/>
      <c r="AD185" s="43"/>
      <c r="AE185" s="43"/>
      <c r="AF185" s="43"/>
      <c r="AG185" s="53"/>
      <c r="AH185" s="53"/>
      <c r="AI185" s="58"/>
      <c r="AJ185" s="565"/>
      <c r="AK185" s="103"/>
      <c r="AL185" s="43"/>
      <c r="AM185" s="43"/>
      <c r="AN185" s="43"/>
      <c r="AO185" s="53"/>
      <c r="AP185" s="53"/>
      <c r="AQ185" s="58"/>
      <c r="AR185" s="565"/>
      <c r="AS185" s="18"/>
      <c r="AT185" s="43"/>
      <c r="AU185" s="43"/>
      <c r="AV185" s="43"/>
      <c r="AW185" s="52"/>
      <c r="AX185" s="53"/>
      <c r="AY185" s="57"/>
      <c r="AZ185" s="110"/>
      <c r="BA185" s="110"/>
      <c r="BB185" s="551"/>
      <c r="BC185" s="552"/>
      <c r="BD185" s="104"/>
      <c r="BE185" s="103"/>
      <c r="BF185" s="19"/>
      <c r="BG185" s="19"/>
      <c r="BH185" s="20"/>
      <c r="BI185" s="104"/>
      <c r="BJ185" s="8"/>
    </row>
    <row r="186" spans="1:62">
      <c r="A186" s="516">
        <f>IF('Student DATA Entry'!A182="","",'Student DATA Entry'!A182)</f>
        <v>179</v>
      </c>
      <c r="B186" s="528" t="str">
        <f>IF('Student DATA Entry'!B182="","",'Student DATA Entry'!B182)</f>
        <v/>
      </c>
      <c r="C186" s="126" t="str">
        <f>IF('Student DATA Entry'!D182="","",'Student DATA Entry'!D182)</f>
        <v/>
      </c>
      <c r="D186" s="530" t="str">
        <f>IF('Student DATA Entry'!E182="","",'Student DATA Entry'!E182)</f>
        <v/>
      </c>
      <c r="E186" s="532" t="str">
        <f>IF('Student DATA Entry'!I182="","",'Student DATA Entry'!I182)</f>
        <v/>
      </c>
      <c r="F186" s="127" t="str">
        <f>IF('Student DATA Entry'!F182="","",UPPER('Student DATA Entry'!F182))</f>
        <v/>
      </c>
      <c r="G186" s="127" t="str">
        <f>IF('Student DATA Entry'!G182="","",UPPER('Student DATA Entry'!G182))</f>
        <v/>
      </c>
      <c r="H186" s="127" t="str">
        <f>IF('Student DATA Entry'!H182="","",UPPER('Student DATA Entry'!H182))</f>
        <v/>
      </c>
      <c r="I186" s="526" t="str">
        <f>IF('Student DATA Entry'!K182="","",UPPER('Student DATA Entry'!K182))</f>
        <v/>
      </c>
      <c r="J186" s="560" t="str">
        <f>IF('Student DATA Entry'!J182="","",UPPER('Student DATA Entry'!J182))</f>
        <v/>
      </c>
      <c r="K186" s="561"/>
      <c r="L186" s="43"/>
      <c r="M186" s="43"/>
      <c r="N186" s="53"/>
      <c r="O186" s="562"/>
      <c r="P186" s="561"/>
      <c r="Q186" s="43"/>
      <c r="R186" s="43"/>
      <c r="S186" s="53"/>
      <c r="T186" s="562"/>
      <c r="U186" s="103"/>
      <c r="V186" s="43"/>
      <c r="W186" s="43"/>
      <c r="X186" s="43"/>
      <c r="Y186" s="53"/>
      <c r="Z186" s="53"/>
      <c r="AA186" s="58"/>
      <c r="AB186" s="565"/>
      <c r="AC186" s="103"/>
      <c r="AD186" s="43"/>
      <c r="AE186" s="43"/>
      <c r="AF186" s="43"/>
      <c r="AG186" s="53"/>
      <c r="AH186" s="53"/>
      <c r="AI186" s="58"/>
      <c r="AJ186" s="565"/>
      <c r="AK186" s="103"/>
      <c r="AL186" s="43"/>
      <c r="AM186" s="43"/>
      <c r="AN186" s="43"/>
      <c r="AO186" s="53"/>
      <c r="AP186" s="53"/>
      <c r="AQ186" s="58"/>
      <c r="AR186" s="565"/>
      <c r="AS186" s="18"/>
      <c r="AT186" s="43"/>
      <c r="AU186" s="43"/>
      <c r="AV186" s="43"/>
      <c r="AW186" s="52"/>
      <c r="AX186" s="53"/>
      <c r="AY186" s="57"/>
      <c r="AZ186" s="110"/>
      <c r="BA186" s="110"/>
      <c r="BB186" s="551"/>
      <c r="BC186" s="552"/>
      <c r="BD186" s="104"/>
      <c r="BE186" s="103"/>
      <c r="BF186" s="19"/>
      <c r="BG186" s="19"/>
      <c r="BH186" s="20"/>
      <c r="BI186" s="104"/>
      <c r="BJ186" s="8"/>
    </row>
    <row r="187" spans="1:62">
      <c r="A187" s="516">
        <f>IF('Student DATA Entry'!A183="","",'Student DATA Entry'!A183)</f>
        <v>180</v>
      </c>
      <c r="B187" s="528" t="str">
        <f>IF('Student DATA Entry'!B183="","",'Student DATA Entry'!B183)</f>
        <v/>
      </c>
      <c r="C187" s="126" t="str">
        <f>IF('Student DATA Entry'!D183="","",'Student DATA Entry'!D183)</f>
        <v/>
      </c>
      <c r="D187" s="530" t="str">
        <f>IF('Student DATA Entry'!E183="","",'Student DATA Entry'!E183)</f>
        <v/>
      </c>
      <c r="E187" s="532" t="str">
        <f>IF('Student DATA Entry'!I183="","",'Student DATA Entry'!I183)</f>
        <v/>
      </c>
      <c r="F187" s="127" t="str">
        <f>IF('Student DATA Entry'!F183="","",UPPER('Student DATA Entry'!F183))</f>
        <v/>
      </c>
      <c r="G187" s="127" t="str">
        <f>IF('Student DATA Entry'!G183="","",UPPER('Student DATA Entry'!G183))</f>
        <v/>
      </c>
      <c r="H187" s="127" t="str">
        <f>IF('Student DATA Entry'!H183="","",UPPER('Student DATA Entry'!H183))</f>
        <v/>
      </c>
      <c r="I187" s="526" t="str">
        <f>IF('Student DATA Entry'!K183="","",UPPER('Student DATA Entry'!K183))</f>
        <v/>
      </c>
      <c r="J187" s="560" t="str">
        <f>IF('Student DATA Entry'!J183="","",UPPER('Student DATA Entry'!J183))</f>
        <v/>
      </c>
      <c r="K187" s="561"/>
      <c r="L187" s="43"/>
      <c r="M187" s="43"/>
      <c r="N187" s="53"/>
      <c r="O187" s="562"/>
      <c r="P187" s="561"/>
      <c r="Q187" s="43"/>
      <c r="R187" s="43"/>
      <c r="S187" s="53"/>
      <c r="T187" s="562"/>
      <c r="U187" s="103"/>
      <c r="V187" s="43"/>
      <c r="W187" s="43"/>
      <c r="X187" s="43"/>
      <c r="Y187" s="53"/>
      <c r="Z187" s="53"/>
      <c r="AA187" s="58"/>
      <c r="AB187" s="565"/>
      <c r="AC187" s="103"/>
      <c r="AD187" s="43"/>
      <c r="AE187" s="43"/>
      <c r="AF187" s="43"/>
      <c r="AG187" s="53"/>
      <c r="AH187" s="53"/>
      <c r="AI187" s="58"/>
      <c r="AJ187" s="565"/>
      <c r="AK187" s="103"/>
      <c r="AL187" s="43"/>
      <c r="AM187" s="43"/>
      <c r="AN187" s="43"/>
      <c r="AO187" s="53"/>
      <c r="AP187" s="53"/>
      <c r="AQ187" s="58"/>
      <c r="AR187" s="565"/>
      <c r="AS187" s="18"/>
      <c r="AT187" s="43"/>
      <c r="AU187" s="43"/>
      <c r="AV187" s="43"/>
      <c r="AW187" s="52"/>
      <c r="AX187" s="53"/>
      <c r="AY187" s="57"/>
      <c r="AZ187" s="110"/>
      <c r="BA187" s="110"/>
      <c r="BB187" s="551"/>
      <c r="BC187" s="552"/>
      <c r="BD187" s="104"/>
      <c r="BE187" s="103"/>
      <c r="BF187" s="19"/>
      <c r="BG187" s="19"/>
      <c r="BH187" s="20"/>
      <c r="BI187" s="104"/>
      <c r="BJ187" s="8"/>
    </row>
    <row r="188" spans="1:62">
      <c r="A188" s="516">
        <f>IF('Student DATA Entry'!A184="","",'Student DATA Entry'!A184)</f>
        <v>181</v>
      </c>
      <c r="B188" s="528" t="str">
        <f>IF('Student DATA Entry'!B184="","",'Student DATA Entry'!B184)</f>
        <v/>
      </c>
      <c r="C188" s="126" t="str">
        <f>IF('Student DATA Entry'!D184="","",'Student DATA Entry'!D184)</f>
        <v/>
      </c>
      <c r="D188" s="530" t="str">
        <f>IF('Student DATA Entry'!E184="","",'Student DATA Entry'!E184)</f>
        <v/>
      </c>
      <c r="E188" s="532" t="str">
        <f>IF('Student DATA Entry'!I184="","",'Student DATA Entry'!I184)</f>
        <v/>
      </c>
      <c r="F188" s="127" t="str">
        <f>IF('Student DATA Entry'!F184="","",UPPER('Student DATA Entry'!F184))</f>
        <v/>
      </c>
      <c r="G188" s="127" t="str">
        <f>IF('Student DATA Entry'!G184="","",UPPER('Student DATA Entry'!G184))</f>
        <v/>
      </c>
      <c r="H188" s="127" t="str">
        <f>IF('Student DATA Entry'!H184="","",UPPER('Student DATA Entry'!H184))</f>
        <v/>
      </c>
      <c r="I188" s="526" t="str">
        <f>IF('Student DATA Entry'!K184="","",UPPER('Student DATA Entry'!K184))</f>
        <v/>
      </c>
      <c r="J188" s="560" t="str">
        <f>IF('Student DATA Entry'!J184="","",UPPER('Student DATA Entry'!J184))</f>
        <v/>
      </c>
      <c r="K188" s="561"/>
      <c r="L188" s="43"/>
      <c r="M188" s="43"/>
      <c r="N188" s="53"/>
      <c r="O188" s="562"/>
      <c r="P188" s="561"/>
      <c r="Q188" s="43"/>
      <c r="R188" s="43"/>
      <c r="S188" s="53"/>
      <c r="T188" s="562"/>
      <c r="U188" s="103"/>
      <c r="V188" s="43"/>
      <c r="W188" s="43"/>
      <c r="X188" s="43"/>
      <c r="Y188" s="53"/>
      <c r="Z188" s="53"/>
      <c r="AA188" s="58"/>
      <c r="AB188" s="565"/>
      <c r="AC188" s="103"/>
      <c r="AD188" s="43"/>
      <c r="AE188" s="43"/>
      <c r="AF188" s="43"/>
      <c r="AG188" s="53"/>
      <c r="AH188" s="53"/>
      <c r="AI188" s="58"/>
      <c r="AJ188" s="565"/>
      <c r="AK188" s="103"/>
      <c r="AL188" s="43"/>
      <c r="AM188" s="43"/>
      <c r="AN188" s="43"/>
      <c r="AO188" s="53"/>
      <c r="AP188" s="53"/>
      <c r="AQ188" s="58"/>
      <c r="AR188" s="565"/>
      <c r="AS188" s="18"/>
      <c r="AT188" s="43"/>
      <c r="AU188" s="43"/>
      <c r="AV188" s="43"/>
      <c r="AW188" s="52"/>
      <c r="AX188" s="53"/>
      <c r="AY188" s="57"/>
      <c r="AZ188" s="110"/>
      <c r="BA188" s="110"/>
      <c r="BB188" s="551"/>
      <c r="BC188" s="552"/>
      <c r="BD188" s="104"/>
      <c r="BE188" s="103"/>
      <c r="BF188" s="19"/>
      <c r="BG188" s="19"/>
      <c r="BH188" s="20"/>
      <c r="BI188" s="104"/>
      <c r="BJ188" s="8"/>
    </row>
    <row r="189" spans="1:62">
      <c r="A189" s="516">
        <f>IF('Student DATA Entry'!A185="","",'Student DATA Entry'!A185)</f>
        <v>182</v>
      </c>
      <c r="B189" s="528" t="str">
        <f>IF('Student DATA Entry'!B185="","",'Student DATA Entry'!B185)</f>
        <v/>
      </c>
      <c r="C189" s="126" t="str">
        <f>IF('Student DATA Entry'!D185="","",'Student DATA Entry'!D185)</f>
        <v/>
      </c>
      <c r="D189" s="530" t="str">
        <f>IF('Student DATA Entry'!E185="","",'Student DATA Entry'!E185)</f>
        <v/>
      </c>
      <c r="E189" s="532" t="str">
        <f>IF('Student DATA Entry'!I185="","",'Student DATA Entry'!I185)</f>
        <v/>
      </c>
      <c r="F189" s="127" t="str">
        <f>IF('Student DATA Entry'!F185="","",UPPER('Student DATA Entry'!F185))</f>
        <v/>
      </c>
      <c r="G189" s="127" t="str">
        <f>IF('Student DATA Entry'!G185="","",UPPER('Student DATA Entry'!G185))</f>
        <v/>
      </c>
      <c r="H189" s="127" t="str">
        <f>IF('Student DATA Entry'!H185="","",UPPER('Student DATA Entry'!H185))</f>
        <v/>
      </c>
      <c r="I189" s="526" t="str">
        <f>IF('Student DATA Entry'!K185="","",UPPER('Student DATA Entry'!K185))</f>
        <v/>
      </c>
      <c r="J189" s="560" t="str">
        <f>IF('Student DATA Entry'!J185="","",UPPER('Student DATA Entry'!J185))</f>
        <v/>
      </c>
      <c r="K189" s="561"/>
      <c r="L189" s="43"/>
      <c r="M189" s="43"/>
      <c r="N189" s="53"/>
      <c r="O189" s="562"/>
      <c r="P189" s="561"/>
      <c r="Q189" s="43"/>
      <c r="R189" s="43"/>
      <c r="S189" s="53"/>
      <c r="T189" s="562"/>
      <c r="U189" s="103"/>
      <c r="V189" s="43"/>
      <c r="W189" s="43"/>
      <c r="X189" s="43"/>
      <c r="Y189" s="53"/>
      <c r="Z189" s="53"/>
      <c r="AA189" s="58"/>
      <c r="AB189" s="565"/>
      <c r="AC189" s="103"/>
      <c r="AD189" s="43"/>
      <c r="AE189" s="43"/>
      <c r="AF189" s="43"/>
      <c r="AG189" s="53"/>
      <c r="AH189" s="53"/>
      <c r="AI189" s="58"/>
      <c r="AJ189" s="565"/>
      <c r="AK189" s="103"/>
      <c r="AL189" s="43"/>
      <c r="AM189" s="43"/>
      <c r="AN189" s="43"/>
      <c r="AO189" s="53"/>
      <c r="AP189" s="53"/>
      <c r="AQ189" s="58"/>
      <c r="AR189" s="565"/>
      <c r="AS189" s="18"/>
      <c r="AT189" s="43"/>
      <c r="AU189" s="43"/>
      <c r="AV189" s="43"/>
      <c r="AW189" s="52"/>
      <c r="AX189" s="53"/>
      <c r="AY189" s="57"/>
      <c r="AZ189" s="110"/>
      <c r="BA189" s="110"/>
      <c r="BB189" s="551"/>
      <c r="BC189" s="552"/>
      <c r="BD189" s="104"/>
      <c r="BE189" s="103"/>
      <c r="BF189" s="19"/>
      <c r="BG189" s="19"/>
      <c r="BH189" s="20"/>
      <c r="BI189" s="104"/>
      <c r="BJ189" s="8"/>
    </row>
    <row r="190" spans="1:62">
      <c r="A190" s="516">
        <f>IF('Student DATA Entry'!A186="","",'Student DATA Entry'!A186)</f>
        <v>183</v>
      </c>
      <c r="B190" s="528" t="str">
        <f>IF('Student DATA Entry'!B186="","",'Student DATA Entry'!B186)</f>
        <v/>
      </c>
      <c r="C190" s="126" t="str">
        <f>IF('Student DATA Entry'!D186="","",'Student DATA Entry'!D186)</f>
        <v/>
      </c>
      <c r="D190" s="530" t="str">
        <f>IF('Student DATA Entry'!E186="","",'Student DATA Entry'!E186)</f>
        <v/>
      </c>
      <c r="E190" s="532" t="str">
        <f>IF('Student DATA Entry'!I186="","",'Student DATA Entry'!I186)</f>
        <v/>
      </c>
      <c r="F190" s="127" t="str">
        <f>IF('Student DATA Entry'!F186="","",UPPER('Student DATA Entry'!F186))</f>
        <v/>
      </c>
      <c r="G190" s="127" t="str">
        <f>IF('Student DATA Entry'!G186="","",UPPER('Student DATA Entry'!G186))</f>
        <v/>
      </c>
      <c r="H190" s="127" t="str">
        <f>IF('Student DATA Entry'!H186="","",UPPER('Student DATA Entry'!H186))</f>
        <v/>
      </c>
      <c r="I190" s="526" t="str">
        <f>IF('Student DATA Entry'!K186="","",UPPER('Student DATA Entry'!K186))</f>
        <v/>
      </c>
      <c r="J190" s="560" t="str">
        <f>IF('Student DATA Entry'!J186="","",UPPER('Student DATA Entry'!J186))</f>
        <v/>
      </c>
      <c r="K190" s="561"/>
      <c r="L190" s="43"/>
      <c r="M190" s="43"/>
      <c r="N190" s="53"/>
      <c r="O190" s="562"/>
      <c r="P190" s="561"/>
      <c r="Q190" s="43"/>
      <c r="R190" s="43"/>
      <c r="S190" s="53"/>
      <c r="T190" s="562"/>
      <c r="U190" s="103"/>
      <c r="V190" s="43"/>
      <c r="W190" s="43"/>
      <c r="X190" s="43"/>
      <c r="Y190" s="53"/>
      <c r="Z190" s="53"/>
      <c r="AA190" s="58"/>
      <c r="AB190" s="565"/>
      <c r="AC190" s="103"/>
      <c r="AD190" s="43"/>
      <c r="AE190" s="43"/>
      <c r="AF190" s="43"/>
      <c r="AG190" s="53"/>
      <c r="AH190" s="53"/>
      <c r="AI190" s="58"/>
      <c r="AJ190" s="565"/>
      <c r="AK190" s="103"/>
      <c r="AL190" s="43"/>
      <c r="AM190" s="43"/>
      <c r="AN190" s="43"/>
      <c r="AO190" s="53"/>
      <c r="AP190" s="53"/>
      <c r="AQ190" s="58"/>
      <c r="AR190" s="565"/>
      <c r="AS190" s="18"/>
      <c r="AT190" s="43"/>
      <c r="AU190" s="43"/>
      <c r="AV190" s="43"/>
      <c r="AW190" s="52"/>
      <c r="AX190" s="53"/>
      <c r="AY190" s="57"/>
      <c r="AZ190" s="110"/>
      <c r="BA190" s="110"/>
      <c r="BB190" s="551"/>
      <c r="BC190" s="552"/>
      <c r="BD190" s="104"/>
      <c r="BE190" s="103"/>
      <c r="BF190" s="19"/>
      <c r="BG190" s="19"/>
      <c r="BH190" s="20"/>
      <c r="BI190" s="104"/>
      <c r="BJ190" s="8"/>
    </row>
    <row r="191" spans="1:62">
      <c r="A191" s="516">
        <f>IF('Student DATA Entry'!A187="","",'Student DATA Entry'!A187)</f>
        <v>184</v>
      </c>
      <c r="B191" s="528" t="str">
        <f>IF('Student DATA Entry'!B187="","",'Student DATA Entry'!B187)</f>
        <v/>
      </c>
      <c r="C191" s="126" t="str">
        <f>IF('Student DATA Entry'!D187="","",'Student DATA Entry'!D187)</f>
        <v/>
      </c>
      <c r="D191" s="530" t="str">
        <f>IF('Student DATA Entry'!E187="","",'Student DATA Entry'!E187)</f>
        <v/>
      </c>
      <c r="E191" s="532" t="str">
        <f>IF('Student DATA Entry'!I187="","",'Student DATA Entry'!I187)</f>
        <v/>
      </c>
      <c r="F191" s="127" t="str">
        <f>IF('Student DATA Entry'!F187="","",UPPER('Student DATA Entry'!F187))</f>
        <v/>
      </c>
      <c r="G191" s="127" t="str">
        <f>IF('Student DATA Entry'!G187="","",UPPER('Student DATA Entry'!G187))</f>
        <v/>
      </c>
      <c r="H191" s="127" t="str">
        <f>IF('Student DATA Entry'!H187="","",UPPER('Student DATA Entry'!H187))</f>
        <v/>
      </c>
      <c r="I191" s="526" t="str">
        <f>IF('Student DATA Entry'!K187="","",UPPER('Student DATA Entry'!K187))</f>
        <v/>
      </c>
      <c r="J191" s="560" t="str">
        <f>IF('Student DATA Entry'!J187="","",UPPER('Student DATA Entry'!J187))</f>
        <v/>
      </c>
      <c r="K191" s="561"/>
      <c r="L191" s="43"/>
      <c r="M191" s="43"/>
      <c r="N191" s="53"/>
      <c r="O191" s="562"/>
      <c r="P191" s="561"/>
      <c r="Q191" s="43"/>
      <c r="R191" s="43"/>
      <c r="S191" s="53"/>
      <c r="T191" s="562"/>
      <c r="U191" s="103"/>
      <c r="V191" s="43"/>
      <c r="W191" s="43"/>
      <c r="X191" s="43"/>
      <c r="Y191" s="53"/>
      <c r="Z191" s="53"/>
      <c r="AA191" s="58"/>
      <c r="AB191" s="565"/>
      <c r="AC191" s="103"/>
      <c r="AD191" s="43"/>
      <c r="AE191" s="43"/>
      <c r="AF191" s="43"/>
      <c r="AG191" s="53"/>
      <c r="AH191" s="53"/>
      <c r="AI191" s="58"/>
      <c r="AJ191" s="565"/>
      <c r="AK191" s="103"/>
      <c r="AL191" s="43"/>
      <c r="AM191" s="43"/>
      <c r="AN191" s="43"/>
      <c r="AO191" s="53"/>
      <c r="AP191" s="53"/>
      <c r="AQ191" s="58"/>
      <c r="AR191" s="565"/>
      <c r="AS191" s="18"/>
      <c r="AT191" s="43"/>
      <c r="AU191" s="43"/>
      <c r="AV191" s="43"/>
      <c r="AW191" s="52"/>
      <c r="AX191" s="53"/>
      <c r="AY191" s="57"/>
      <c r="AZ191" s="110"/>
      <c r="BA191" s="110"/>
      <c r="BB191" s="551"/>
      <c r="BC191" s="552"/>
      <c r="BD191" s="104"/>
      <c r="BE191" s="103"/>
      <c r="BF191" s="19"/>
      <c r="BG191" s="19"/>
      <c r="BH191" s="20"/>
      <c r="BI191" s="104"/>
      <c r="BJ191" s="8"/>
    </row>
    <row r="192" spans="1:62">
      <c r="A192" s="516">
        <f>IF('Student DATA Entry'!A188="","",'Student DATA Entry'!A188)</f>
        <v>185</v>
      </c>
      <c r="B192" s="528" t="str">
        <f>IF('Student DATA Entry'!B188="","",'Student DATA Entry'!B188)</f>
        <v/>
      </c>
      <c r="C192" s="126" t="str">
        <f>IF('Student DATA Entry'!D188="","",'Student DATA Entry'!D188)</f>
        <v/>
      </c>
      <c r="D192" s="530" t="str">
        <f>IF('Student DATA Entry'!E188="","",'Student DATA Entry'!E188)</f>
        <v/>
      </c>
      <c r="E192" s="532" t="str">
        <f>IF('Student DATA Entry'!I188="","",'Student DATA Entry'!I188)</f>
        <v/>
      </c>
      <c r="F192" s="127" t="str">
        <f>IF('Student DATA Entry'!F188="","",UPPER('Student DATA Entry'!F188))</f>
        <v/>
      </c>
      <c r="G192" s="127" t="str">
        <f>IF('Student DATA Entry'!G188="","",UPPER('Student DATA Entry'!G188))</f>
        <v/>
      </c>
      <c r="H192" s="127" t="str">
        <f>IF('Student DATA Entry'!H188="","",UPPER('Student DATA Entry'!H188))</f>
        <v/>
      </c>
      <c r="I192" s="526" t="str">
        <f>IF('Student DATA Entry'!K188="","",UPPER('Student DATA Entry'!K188))</f>
        <v/>
      </c>
      <c r="J192" s="560" t="str">
        <f>IF('Student DATA Entry'!J188="","",UPPER('Student DATA Entry'!J188))</f>
        <v/>
      </c>
      <c r="K192" s="561"/>
      <c r="L192" s="43"/>
      <c r="M192" s="43"/>
      <c r="N192" s="53"/>
      <c r="O192" s="562"/>
      <c r="P192" s="561"/>
      <c r="Q192" s="43"/>
      <c r="R192" s="43"/>
      <c r="S192" s="53"/>
      <c r="T192" s="562"/>
      <c r="U192" s="103"/>
      <c r="V192" s="43"/>
      <c r="W192" s="43"/>
      <c r="X192" s="43"/>
      <c r="Y192" s="53"/>
      <c r="Z192" s="53"/>
      <c r="AA192" s="58"/>
      <c r="AB192" s="565"/>
      <c r="AC192" s="103"/>
      <c r="AD192" s="43"/>
      <c r="AE192" s="43"/>
      <c r="AF192" s="43"/>
      <c r="AG192" s="53"/>
      <c r="AH192" s="53"/>
      <c r="AI192" s="58"/>
      <c r="AJ192" s="565"/>
      <c r="AK192" s="103"/>
      <c r="AL192" s="43"/>
      <c r="AM192" s="43"/>
      <c r="AN192" s="43"/>
      <c r="AO192" s="53"/>
      <c r="AP192" s="53"/>
      <c r="AQ192" s="58"/>
      <c r="AR192" s="565"/>
      <c r="AS192" s="18"/>
      <c r="AT192" s="43"/>
      <c r="AU192" s="43"/>
      <c r="AV192" s="43"/>
      <c r="AW192" s="52"/>
      <c r="AX192" s="53"/>
      <c r="AY192" s="57"/>
      <c r="AZ192" s="110"/>
      <c r="BA192" s="110"/>
      <c r="BB192" s="551"/>
      <c r="BC192" s="552"/>
      <c r="BD192" s="104"/>
      <c r="BE192" s="103"/>
      <c r="BF192" s="19"/>
      <c r="BG192" s="19"/>
      <c r="BH192" s="20"/>
      <c r="BI192" s="104"/>
      <c r="BJ192" s="8"/>
    </row>
    <row r="193" spans="1:62">
      <c r="A193" s="516">
        <f>IF('Student DATA Entry'!A189="","",'Student DATA Entry'!A189)</f>
        <v>186</v>
      </c>
      <c r="B193" s="528" t="str">
        <f>IF('Student DATA Entry'!B189="","",'Student DATA Entry'!B189)</f>
        <v/>
      </c>
      <c r="C193" s="126" t="str">
        <f>IF('Student DATA Entry'!D189="","",'Student DATA Entry'!D189)</f>
        <v/>
      </c>
      <c r="D193" s="530" t="str">
        <f>IF('Student DATA Entry'!E189="","",'Student DATA Entry'!E189)</f>
        <v/>
      </c>
      <c r="E193" s="532" t="str">
        <f>IF('Student DATA Entry'!I189="","",'Student DATA Entry'!I189)</f>
        <v/>
      </c>
      <c r="F193" s="127" t="str">
        <f>IF('Student DATA Entry'!F189="","",UPPER('Student DATA Entry'!F189))</f>
        <v/>
      </c>
      <c r="G193" s="127" t="str">
        <f>IF('Student DATA Entry'!G189="","",UPPER('Student DATA Entry'!G189))</f>
        <v/>
      </c>
      <c r="H193" s="127" t="str">
        <f>IF('Student DATA Entry'!H189="","",UPPER('Student DATA Entry'!H189))</f>
        <v/>
      </c>
      <c r="I193" s="526" t="str">
        <f>IF('Student DATA Entry'!K189="","",UPPER('Student DATA Entry'!K189))</f>
        <v/>
      </c>
      <c r="J193" s="560" t="str">
        <f>IF('Student DATA Entry'!J189="","",UPPER('Student DATA Entry'!J189))</f>
        <v/>
      </c>
      <c r="K193" s="561"/>
      <c r="L193" s="43"/>
      <c r="M193" s="43"/>
      <c r="N193" s="53"/>
      <c r="O193" s="562"/>
      <c r="P193" s="561"/>
      <c r="Q193" s="43"/>
      <c r="R193" s="43"/>
      <c r="S193" s="53"/>
      <c r="T193" s="562"/>
      <c r="U193" s="103"/>
      <c r="V193" s="43"/>
      <c r="W193" s="43"/>
      <c r="X193" s="43"/>
      <c r="Y193" s="53"/>
      <c r="Z193" s="53"/>
      <c r="AA193" s="58"/>
      <c r="AB193" s="565"/>
      <c r="AC193" s="103"/>
      <c r="AD193" s="43"/>
      <c r="AE193" s="43"/>
      <c r="AF193" s="43"/>
      <c r="AG193" s="53"/>
      <c r="AH193" s="53"/>
      <c r="AI193" s="58"/>
      <c r="AJ193" s="565"/>
      <c r="AK193" s="103"/>
      <c r="AL193" s="43"/>
      <c r="AM193" s="43"/>
      <c r="AN193" s="43"/>
      <c r="AO193" s="53"/>
      <c r="AP193" s="53"/>
      <c r="AQ193" s="58"/>
      <c r="AR193" s="565"/>
      <c r="AS193" s="18"/>
      <c r="AT193" s="43"/>
      <c r="AU193" s="43"/>
      <c r="AV193" s="43"/>
      <c r="AW193" s="52"/>
      <c r="AX193" s="53"/>
      <c r="AY193" s="57"/>
      <c r="AZ193" s="110"/>
      <c r="BA193" s="110"/>
      <c r="BB193" s="551"/>
      <c r="BC193" s="552"/>
      <c r="BD193" s="104"/>
      <c r="BE193" s="103"/>
      <c r="BF193" s="19"/>
      <c r="BG193" s="19"/>
      <c r="BH193" s="20"/>
      <c r="BI193" s="104"/>
      <c r="BJ193" s="8"/>
    </row>
    <row r="194" spans="1:62">
      <c r="A194" s="516">
        <f>IF('Student DATA Entry'!A190="","",'Student DATA Entry'!A190)</f>
        <v>187</v>
      </c>
      <c r="B194" s="528" t="str">
        <f>IF('Student DATA Entry'!B190="","",'Student DATA Entry'!B190)</f>
        <v/>
      </c>
      <c r="C194" s="126" t="str">
        <f>IF('Student DATA Entry'!D190="","",'Student DATA Entry'!D190)</f>
        <v/>
      </c>
      <c r="D194" s="530" t="str">
        <f>IF('Student DATA Entry'!E190="","",'Student DATA Entry'!E190)</f>
        <v/>
      </c>
      <c r="E194" s="532" t="str">
        <f>IF('Student DATA Entry'!I190="","",'Student DATA Entry'!I190)</f>
        <v/>
      </c>
      <c r="F194" s="127" t="str">
        <f>IF('Student DATA Entry'!F190="","",UPPER('Student DATA Entry'!F190))</f>
        <v/>
      </c>
      <c r="G194" s="127" t="str">
        <f>IF('Student DATA Entry'!G190="","",UPPER('Student DATA Entry'!G190))</f>
        <v/>
      </c>
      <c r="H194" s="127" t="str">
        <f>IF('Student DATA Entry'!H190="","",UPPER('Student DATA Entry'!H190))</f>
        <v/>
      </c>
      <c r="I194" s="526" t="str">
        <f>IF('Student DATA Entry'!K190="","",UPPER('Student DATA Entry'!K190))</f>
        <v/>
      </c>
      <c r="J194" s="560" t="str">
        <f>IF('Student DATA Entry'!J190="","",UPPER('Student DATA Entry'!J190))</f>
        <v/>
      </c>
      <c r="K194" s="561"/>
      <c r="L194" s="43"/>
      <c r="M194" s="43"/>
      <c r="N194" s="53"/>
      <c r="O194" s="562"/>
      <c r="P194" s="561"/>
      <c r="Q194" s="43"/>
      <c r="R194" s="43"/>
      <c r="S194" s="53"/>
      <c r="T194" s="562"/>
      <c r="U194" s="103"/>
      <c r="V194" s="43"/>
      <c r="W194" s="43"/>
      <c r="X194" s="43"/>
      <c r="Y194" s="53"/>
      <c r="Z194" s="53"/>
      <c r="AA194" s="58"/>
      <c r="AB194" s="565"/>
      <c r="AC194" s="103"/>
      <c r="AD194" s="43"/>
      <c r="AE194" s="43"/>
      <c r="AF194" s="43"/>
      <c r="AG194" s="53"/>
      <c r="AH194" s="53"/>
      <c r="AI194" s="58"/>
      <c r="AJ194" s="565"/>
      <c r="AK194" s="103"/>
      <c r="AL194" s="43"/>
      <c r="AM194" s="43"/>
      <c r="AN194" s="43"/>
      <c r="AO194" s="53"/>
      <c r="AP194" s="53"/>
      <c r="AQ194" s="58"/>
      <c r="AR194" s="565"/>
      <c r="AS194" s="18"/>
      <c r="AT194" s="43"/>
      <c r="AU194" s="43"/>
      <c r="AV194" s="43"/>
      <c r="AW194" s="52"/>
      <c r="AX194" s="53"/>
      <c r="AY194" s="57"/>
      <c r="AZ194" s="110"/>
      <c r="BA194" s="110"/>
      <c r="BB194" s="551"/>
      <c r="BC194" s="552"/>
      <c r="BD194" s="104"/>
      <c r="BE194" s="103"/>
      <c r="BF194" s="19"/>
      <c r="BG194" s="19"/>
      <c r="BH194" s="20"/>
      <c r="BI194" s="104"/>
      <c r="BJ194" s="8"/>
    </row>
    <row r="195" spans="1:62">
      <c r="A195" s="516">
        <f>IF('Student DATA Entry'!A191="","",'Student DATA Entry'!A191)</f>
        <v>188</v>
      </c>
      <c r="B195" s="528" t="str">
        <f>IF('Student DATA Entry'!B191="","",'Student DATA Entry'!B191)</f>
        <v/>
      </c>
      <c r="C195" s="126" t="str">
        <f>IF('Student DATA Entry'!D191="","",'Student DATA Entry'!D191)</f>
        <v/>
      </c>
      <c r="D195" s="530" t="str">
        <f>IF('Student DATA Entry'!E191="","",'Student DATA Entry'!E191)</f>
        <v/>
      </c>
      <c r="E195" s="532" t="str">
        <f>IF('Student DATA Entry'!I191="","",'Student DATA Entry'!I191)</f>
        <v/>
      </c>
      <c r="F195" s="127" t="str">
        <f>IF('Student DATA Entry'!F191="","",UPPER('Student DATA Entry'!F191))</f>
        <v/>
      </c>
      <c r="G195" s="127" t="str">
        <f>IF('Student DATA Entry'!G191="","",UPPER('Student DATA Entry'!G191))</f>
        <v/>
      </c>
      <c r="H195" s="127" t="str">
        <f>IF('Student DATA Entry'!H191="","",UPPER('Student DATA Entry'!H191))</f>
        <v/>
      </c>
      <c r="I195" s="526" t="str">
        <f>IF('Student DATA Entry'!K191="","",UPPER('Student DATA Entry'!K191))</f>
        <v/>
      </c>
      <c r="J195" s="560" t="str">
        <f>IF('Student DATA Entry'!J191="","",UPPER('Student DATA Entry'!J191))</f>
        <v/>
      </c>
      <c r="K195" s="561"/>
      <c r="L195" s="43"/>
      <c r="M195" s="43"/>
      <c r="N195" s="53"/>
      <c r="O195" s="562"/>
      <c r="P195" s="561"/>
      <c r="Q195" s="43"/>
      <c r="R195" s="43"/>
      <c r="S195" s="53"/>
      <c r="T195" s="562"/>
      <c r="U195" s="103"/>
      <c r="V195" s="43"/>
      <c r="W195" s="43"/>
      <c r="X195" s="43"/>
      <c r="Y195" s="53"/>
      <c r="Z195" s="53"/>
      <c r="AA195" s="58"/>
      <c r="AB195" s="565"/>
      <c r="AC195" s="103"/>
      <c r="AD195" s="43"/>
      <c r="AE195" s="43"/>
      <c r="AF195" s="43"/>
      <c r="AG195" s="53"/>
      <c r="AH195" s="53"/>
      <c r="AI195" s="58"/>
      <c r="AJ195" s="565"/>
      <c r="AK195" s="103"/>
      <c r="AL195" s="43"/>
      <c r="AM195" s="43"/>
      <c r="AN195" s="43"/>
      <c r="AO195" s="53"/>
      <c r="AP195" s="53"/>
      <c r="AQ195" s="58"/>
      <c r="AR195" s="565"/>
      <c r="AS195" s="18"/>
      <c r="AT195" s="43"/>
      <c r="AU195" s="43"/>
      <c r="AV195" s="43"/>
      <c r="AW195" s="52"/>
      <c r="AX195" s="53"/>
      <c r="AY195" s="57"/>
      <c r="AZ195" s="110"/>
      <c r="BA195" s="110"/>
      <c r="BB195" s="551"/>
      <c r="BC195" s="552"/>
      <c r="BD195" s="104"/>
      <c r="BE195" s="103"/>
      <c r="BF195" s="19"/>
      <c r="BG195" s="19"/>
      <c r="BH195" s="20"/>
      <c r="BI195" s="104"/>
      <c r="BJ195" s="8"/>
    </row>
    <row r="196" spans="1:62">
      <c r="A196" s="516">
        <f>IF('Student DATA Entry'!A192="","",'Student DATA Entry'!A192)</f>
        <v>189</v>
      </c>
      <c r="B196" s="528" t="str">
        <f>IF('Student DATA Entry'!B192="","",'Student DATA Entry'!B192)</f>
        <v/>
      </c>
      <c r="C196" s="126" t="str">
        <f>IF('Student DATA Entry'!D192="","",'Student DATA Entry'!D192)</f>
        <v/>
      </c>
      <c r="D196" s="530" t="str">
        <f>IF('Student DATA Entry'!E192="","",'Student DATA Entry'!E192)</f>
        <v/>
      </c>
      <c r="E196" s="532" t="str">
        <f>IF('Student DATA Entry'!I192="","",'Student DATA Entry'!I192)</f>
        <v/>
      </c>
      <c r="F196" s="127" t="str">
        <f>IF('Student DATA Entry'!F192="","",UPPER('Student DATA Entry'!F192))</f>
        <v/>
      </c>
      <c r="G196" s="127" t="str">
        <f>IF('Student DATA Entry'!G192="","",UPPER('Student DATA Entry'!G192))</f>
        <v/>
      </c>
      <c r="H196" s="127" t="str">
        <f>IF('Student DATA Entry'!H192="","",UPPER('Student DATA Entry'!H192))</f>
        <v/>
      </c>
      <c r="I196" s="526" t="str">
        <f>IF('Student DATA Entry'!K192="","",UPPER('Student DATA Entry'!K192))</f>
        <v/>
      </c>
      <c r="J196" s="560" t="str">
        <f>IF('Student DATA Entry'!J192="","",UPPER('Student DATA Entry'!J192))</f>
        <v/>
      </c>
      <c r="K196" s="561"/>
      <c r="L196" s="43"/>
      <c r="M196" s="43"/>
      <c r="N196" s="53"/>
      <c r="O196" s="562"/>
      <c r="P196" s="561"/>
      <c r="Q196" s="43"/>
      <c r="R196" s="43"/>
      <c r="S196" s="53"/>
      <c r="T196" s="562"/>
      <c r="U196" s="103"/>
      <c r="V196" s="43"/>
      <c r="W196" s="43"/>
      <c r="X196" s="43"/>
      <c r="Y196" s="53"/>
      <c r="Z196" s="53"/>
      <c r="AA196" s="58"/>
      <c r="AB196" s="565"/>
      <c r="AC196" s="103"/>
      <c r="AD196" s="43"/>
      <c r="AE196" s="43"/>
      <c r="AF196" s="43"/>
      <c r="AG196" s="53"/>
      <c r="AH196" s="53"/>
      <c r="AI196" s="58"/>
      <c r="AJ196" s="565"/>
      <c r="AK196" s="103"/>
      <c r="AL196" s="43"/>
      <c r="AM196" s="43"/>
      <c r="AN196" s="43"/>
      <c r="AO196" s="53"/>
      <c r="AP196" s="53"/>
      <c r="AQ196" s="58"/>
      <c r="AR196" s="565"/>
      <c r="AS196" s="18"/>
      <c r="AT196" s="43"/>
      <c r="AU196" s="43"/>
      <c r="AV196" s="43"/>
      <c r="AW196" s="52"/>
      <c r="AX196" s="53"/>
      <c r="AY196" s="57"/>
      <c r="AZ196" s="110"/>
      <c r="BA196" s="110"/>
      <c r="BB196" s="551"/>
      <c r="BC196" s="552"/>
      <c r="BD196" s="104"/>
      <c r="BE196" s="103"/>
      <c r="BF196" s="19"/>
      <c r="BG196" s="19"/>
      <c r="BH196" s="20"/>
      <c r="BI196" s="104"/>
      <c r="BJ196" s="8"/>
    </row>
    <row r="197" spans="1:62">
      <c r="A197" s="516">
        <f>IF('Student DATA Entry'!A193="","",'Student DATA Entry'!A193)</f>
        <v>190</v>
      </c>
      <c r="B197" s="528" t="str">
        <f>IF('Student DATA Entry'!B193="","",'Student DATA Entry'!B193)</f>
        <v/>
      </c>
      <c r="C197" s="126" t="str">
        <f>IF('Student DATA Entry'!D193="","",'Student DATA Entry'!D193)</f>
        <v/>
      </c>
      <c r="D197" s="530" t="str">
        <f>IF('Student DATA Entry'!E193="","",'Student DATA Entry'!E193)</f>
        <v/>
      </c>
      <c r="E197" s="532" t="str">
        <f>IF('Student DATA Entry'!I193="","",'Student DATA Entry'!I193)</f>
        <v/>
      </c>
      <c r="F197" s="127" t="str">
        <f>IF('Student DATA Entry'!F193="","",UPPER('Student DATA Entry'!F193))</f>
        <v/>
      </c>
      <c r="G197" s="127" t="str">
        <f>IF('Student DATA Entry'!G193="","",UPPER('Student DATA Entry'!G193))</f>
        <v/>
      </c>
      <c r="H197" s="127" t="str">
        <f>IF('Student DATA Entry'!H193="","",UPPER('Student DATA Entry'!H193))</f>
        <v/>
      </c>
      <c r="I197" s="526" t="str">
        <f>IF('Student DATA Entry'!K193="","",UPPER('Student DATA Entry'!K193))</f>
        <v/>
      </c>
      <c r="J197" s="560" t="str">
        <f>IF('Student DATA Entry'!J193="","",UPPER('Student DATA Entry'!J193))</f>
        <v/>
      </c>
      <c r="K197" s="561"/>
      <c r="L197" s="43"/>
      <c r="M197" s="43"/>
      <c r="N197" s="53"/>
      <c r="O197" s="562"/>
      <c r="P197" s="561"/>
      <c r="Q197" s="43"/>
      <c r="R197" s="43"/>
      <c r="S197" s="53"/>
      <c r="T197" s="562"/>
      <c r="U197" s="103"/>
      <c r="V197" s="43"/>
      <c r="W197" s="43"/>
      <c r="X197" s="43"/>
      <c r="Y197" s="53"/>
      <c r="Z197" s="53"/>
      <c r="AA197" s="58"/>
      <c r="AB197" s="565"/>
      <c r="AC197" s="103"/>
      <c r="AD197" s="43"/>
      <c r="AE197" s="43"/>
      <c r="AF197" s="43"/>
      <c r="AG197" s="53"/>
      <c r="AH197" s="53"/>
      <c r="AI197" s="58"/>
      <c r="AJ197" s="565"/>
      <c r="AK197" s="103"/>
      <c r="AL197" s="43"/>
      <c r="AM197" s="43"/>
      <c r="AN197" s="43"/>
      <c r="AO197" s="53"/>
      <c r="AP197" s="53"/>
      <c r="AQ197" s="58"/>
      <c r="AR197" s="565"/>
      <c r="AS197" s="18"/>
      <c r="AT197" s="43"/>
      <c r="AU197" s="43"/>
      <c r="AV197" s="43"/>
      <c r="AW197" s="52"/>
      <c r="AX197" s="53"/>
      <c r="AY197" s="57"/>
      <c r="AZ197" s="110"/>
      <c r="BA197" s="110"/>
      <c r="BB197" s="551"/>
      <c r="BC197" s="552"/>
      <c r="BD197" s="104"/>
      <c r="BE197" s="103"/>
      <c r="BF197" s="19"/>
      <c r="BG197" s="19"/>
      <c r="BH197" s="20"/>
      <c r="BI197" s="104"/>
      <c r="BJ197" s="8"/>
    </row>
    <row r="198" spans="1:62">
      <c r="A198" s="516">
        <f>IF('Student DATA Entry'!A194="","",'Student DATA Entry'!A194)</f>
        <v>191</v>
      </c>
      <c r="B198" s="528" t="str">
        <f>IF('Student DATA Entry'!B194="","",'Student DATA Entry'!B194)</f>
        <v/>
      </c>
      <c r="C198" s="126" t="str">
        <f>IF('Student DATA Entry'!D194="","",'Student DATA Entry'!D194)</f>
        <v/>
      </c>
      <c r="D198" s="530" t="str">
        <f>IF('Student DATA Entry'!E194="","",'Student DATA Entry'!E194)</f>
        <v/>
      </c>
      <c r="E198" s="532" t="str">
        <f>IF('Student DATA Entry'!I194="","",'Student DATA Entry'!I194)</f>
        <v/>
      </c>
      <c r="F198" s="127" t="str">
        <f>IF('Student DATA Entry'!F194="","",UPPER('Student DATA Entry'!F194))</f>
        <v/>
      </c>
      <c r="G198" s="127" t="str">
        <f>IF('Student DATA Entry'!G194="","",UPPER('Student DATA Entry'!G194))</f>
        <v/>
      </c>
      <c r="H198" s="127" t="str">
        <f>IF('Student DATA Entry'!H194="","",UPPER('Student DATA Entry'!H194))</f>
        <v/>
      </c>
      <c r="I198" s="526" t="str">
        <f>IF('Student DATA Entry'!K194="","",UPPER('Student DATA Entry'!K194))</f>
        <v/>
      </c>
      <c r="J198" s="560" t="str">
        <f>IF('Student DATA Entry'!J194="","",UPPER('Student DATA Entry'!J194))</f>
        <v/>
      </c>
      <c r="K198" s="561"/>
      <c r="L198" s="43"/>
      <c r="M198" s="43"/>
      <c r="N198" s="53"/>
      <c r="O198" s="562"/>
      <c r="P198" s="561"/>
      <c r="Q198" s="43"/>
      <c r="R198" s="43"/>
      <c r="S198" s="53"/>
      <c r="T198" s="562"/>
      <c r="U198" s="103"/>
      <c r="V198" s="43"/>
      <c r="W198" s="43"/>
      <c r="X198" s="43"/>
      <c r="Y198" s="53"/>
      <c r="Z198" s="53"/>
      <c r="AA198" s="58"/>
      <c r="AB198" s="565"/>
      <c r="AC198" s="103"/>
      <c r="AD198" s="43"/>
      <c r="AE198" s="43"/>
      <c r="AF198" s="43"/>
      <c r="AG198" s="53"/>
      <c r="AH198" s="53"/>
      <c r="AI198" s="58"/>
      <c r="AJ198" s="565"/>
      <c r="AK198" s="103"/>
      <c r="AL198" s="43"/>
      <c r="AM198" s="43"/>
      <c r="AN198" s="43"/>
      <c r="AO198" s="53"/>
      <c r="AP198" s="53"/>
      <c r="AQ198" s="58"/>
      <c r="AR198" s="565"/>
      <c r="AS198" s="18"/>
      <c r="AT198" s="43"/>
      <c r="AU198" s="43"/>
      <c r="AV198" s="43"/>
      <c r="AW198" s="52"/>
      <c r="AX198" s="53"/>
      <c r="AY198" s="57"/>
      <c r="AZ198" s="110"/>
      <c r="BA198" s="110"/>
      <c r="BB198" s="551"/>
      <c r="BC198" s="552"/>
      <c r="BD198" s="104"/>
      <c r="BE198" s="103"/>
      <c r="BF198" s="19"/>
      <c r="BG198" s="19"/>
      <c r="BH198" s="20"/>
      <c r="BI198" s="104"/>
      <c r="BJ198" s="8"/>
    </row>
    <row r="199" spans="1:62">
      <c r="A199" s="516">
        <f>IF('Student DATA Entry'!A195="","",'Student DATA Entry'!A195)</f>
        <v>192</v>
      </c>
      <c r="B199" s="528" t="str">
        <f>IF('Student DATA Entry'!B195="","",'Student DATA Entry'!B195)</f>
        <v/>
      </c>
      <c r="C199" s="126" t="str">
        <f>IF('Student DATA Entry'!D195="","",'Student DATA Entry'!D195)</f>
        <v/>
      </c>
      <c r="D199" s="530" t="str">
        <f>IF('Student DATA Entry'!E195="","",'Student DATA Entry'!E195)</f>
        <v/>
      </c>
      <c r="E199" s="532" t="str">
        <f>IF('Student DATA Entry'!I195="","",'Student DATA Entry'!I195)</f>
        <v/>
      </c>
      <c r="F199" s="127" t="str">
        <f>IF('Student DATA Entry'!F195="","",UPPER('Student DATA Entry'!F195))</f>
        <v/>
      </c>
      <c r="G199" s="127" t="str">
        <f>IF('Student DATA Entry'!G195="","",UPPER('Student DATA Entry'!G195))</f>
        <v/>
      </c>
      <c r="H199" s="127" t="str">
        <f>IF('Student DATA Entry'!H195="","",UPPER('Student DATA Entry'!H195))</f>
        <v/>
      </c>
      <c r="I199" s="526" t="str">
        <f>IF('Student DATA Entry'!K195="","",UPPER('Student DATA Entry'!K195))</f>
        <v/>
      </c>
      <c r="J199" s="560" t="str">
        <f>IF('Student DATA Entry'!J195="","",UPPER('Student DATA Entry'!J195))</f>
        <v/>
      </c>
      <c r="K199" s="561"/>
      <c r="L199" s="43"/>
      <c r="M199" s="43"/>
      <c r="N199" s="53"/>
      <c r="O199" s="562"/>
      <c r="P199" s="561"/>
      <c r="Q199" s="43"/>
      <c r="R199" s="43"/>
      <c r="S199" s="53"/>
      <c r="T199" s="562"/>
      <c r="U199" s="103"/>
      <c r="V199" s="43"/>
      <c r="W199" s="43"/>
      <c r="X199" s="43"/>
      <c r="Y199" s="53"/>
      <c r="Z199" s="53"/>
      <c r="AA199" s="58"/>
      <c r="AB199" s="565"/>
      <c r="AC199" s="103"/>
      <c r="AD199" s="43"/>
      <c r="AE199" s="43"/>
      <c r="AF199" s="43"/>
      <c r="AG199" s="53"/>
      <c r="AH199" s="53"/>
      <c r="AI199" s="58"/>
      <c r="AJ199" s="565"/>
      <c r="AK199" s="103"/>
      <c r="AL199" s="43"/>
      <c r="AM199" s="43"/>
      <c r="AN199" s="43"/>
      <c r="AO199" s="53"/>
      <c r="AP199" s="53"/>
      <c r="AQ199" s="58"/>
      <c r="AR199" s="565"/>
      <c r="AS199" s="18"/>
      <c r="AT199" s="43"/>
      <c r="AU199" s="43"/>
      <c r="AV199" s="43"/>
      <c r="AW199" s="52"/>
      <c r="AX199" s="53"/>
      <c r="AY199" s="57"/>
      <c r="AZ199" s="110"/>
      <c r="BA199" s="110"/>
      <c r="BB199" s="551"/>
      <c r="BC199" s="552"/>
      <c r="BD199" s="104"/>
      <c r="BE199" s="103"/>
      <c r="BF199" s="19"/>
      <c r="BG199" s="19"/>
      <c r="BH199" s="20"/>
      <c r="BI199" s="104"/>
      <c r="BJ199" s="8"/>
    </row>
    <row r="200" spans="1:62">
      <c r="A200" s="516">
        <f>IF('Student DATA Entry'!A196="","",'Student DATA Entry'!A196)</f>
        <v>193</v>
      </c>
      <c r="B200" s="528" t="str">
        <f>IF('Student DATA Entry'!B196="","",'Student DATA Entry'!B196)</f>
        <v/>
      </c>
      <c r="C200" s="126" t="str">
        <f>IF('Student DATA Entry'!D196="","",'Student DATA Entry'!D196)</f>
        <v/>
      </c>
      <c r="D200" s="530" t="str">
        <f>IF('Student DATA Entry'!E196="","",'Student DATA Entry'!E196)</f>
        <v/>
      </c>
      <c r="E200" s="532" t="str">
        <f>IF('Student DATA Entry'!I196="","",'Student DATA Entry'!I196)</f>
        <v/>
      </c>
      <c r="F200" s="127" t="str">
        <f>IF('Student DATA Entry'!F196="","",UPPER('Student DATA Entry'!F196))</f>
        <v/>
      </c>
      <c r="G200" s="127" t="str">
        <f>IF('Student DATA Entry'!G196="","",UPPER('Student DATA Entry'!G196))</f>
        <v/>
      </c>
      <c r="H200" s="127" t="str">
        <f>IF('Student DATA Entry'!H196="","",UPPER('Student DATA Entry'!H196))</f>
        <v/>
      </c>
      <c r="I200" s="526" t="str">
        <f>IF('Student DATA Entry'!K196="","",UPPER('Student DATA Entry'!K196))</f>
        <v/>
      </c>
      <c r="J200" s="560" t="str">
        <f>IF('Student DATA Entry'!J196="","",UPPER('Student DATA Entry'!J196))</f>
        <v/>
      </c>
      <c r="K200" s="561"/>
      <c r="L200" s="43"/>
      <c r="M200" s="43"/>
      <c r="N200" s="53"/>
      <c r="O200" s="562"/>
      <c r="P200" s="561"/>
      <c r="Q200" s="43"/>
      <c r="R200" s="43"/>
      <c r="S200" s="53"/>
      <c r="T200" s="562"/>
      <c r="U200" s="103"/>
      <c r="V200" s="43"/>
      <c r="W200" s="43"/>
      <c r="X200" s="43"/>
      <c r="Y200" s="53"/>
      <c r="Z200" s="53"/>
      <c r="AA200" s="58"/>
      <c r="AB200" s="565"/>
      <c r="AC200" s="103"/>
      <c r="AD200" s="43"/>
      <c r="AE200" s="43"/>
      <c r="AF200" s="43"/>
      <c r="AG200" s="53"/>
      <c r="AH200" s="53"/>
      <c r="AI200" s="58"/>
      <c r="AJ200" s="565"/>
      <c r="AK200" s="103"/>
      <c r="AL200" s="43"/>
      <c r="AM200" s="43"/>
      <c r="AN200" s="43"/>
      <c r="AO200" s="53"/>
      <c r="AP200" s="53"/>
      <c r="AQ200" s="58"/>
      <c r="AR200" s="565"/>
      <c r="AS200" s="18"/>
      <c r="AT200" s="43"/>
      <c r="AU200" s="43"/>
      <c r="AV200" s="43"/>
      <c r="AW200" s="52"/>
      <c r="AX200" s="53"/>
      <c r="AY200" s="57"/>
      <c r="AZ200" s="110"/>
      <c r="BA200" s="110"/>
      <c r="BB200" s="551"/>
      <c r="BC200" s="552"/>
      <c r="BD200" s="104"/>
      <c r="BE200" s="103"/>
      <c r="BF200" s="19"/>
      <c r="BG200" s="19"/>
      <c r="BH200" s="20"/>
      <c r="BI200" s="104"/>
      <c r="BJ200" s="8"/>
    </row>
    <row r="201" spans="1:62">
      <c r="A201" s="516">
        <f>IF('Student DATA Entry'!A197="","",'Student DATA Entry'!A197)</f>
        <v>194</v>
      </c>
      <c r="B201" s="528" t="str">
        <f>IF('Student DATA Entry'!B197="","",'Student DATA Entry'!B197)</f>
        <v/>
      </c>
      <c r="C201" s="126" t="str">
        <f>IF('Student DATA Entry'!D197="","",'Student DATA Entry'!D197)</f>
        <v/>
      </c>
      <c r="D201" s="530" t="str">
        <f>IF('Student DATA Entry'!E197="","",'Student DATA Entry'!E197)</f>
        <v/>
      </c>
      <c r="E201" s="532" t="str">
        <f>IF('Student DATA Entry'!I197="","",'Student DATA Entry'!I197)</f>
        <v/>
      </c>
      <c r="F201" s="127" t="str">
        <f>IF('Student DATA Entry'!F197="","",UPPER('Student DATA Entry'!F197))</f>
        <v/>
      </c>
      <c r="G201" s="127" t="str">
        <f>IF('Student DATA Entry'!G197="","",UPPER('Student DATA Entry'!G197))</f>
        <v/>
      </c>
      <c r="H201" s="127" t="str">
        <f>IF('Student DATA Entry'!H197="","",UPPER('Student DATA Entry'!H197))</f>
        <v/>
      </c>
      <c r="I201" s="526" t="str">
        <f>IF('Student DATA Entry'!K197="","",UPPER('Student DATA Entry'!K197))</f>
        <v/>
      </c>
      <c r="J201" s="560" t="str">
        <f>IF('Student DATA Entry'!J197="","",UPPER('Student DATA Entry'!J197))</f>
        <v/>
      </c>
      <c r="K201" s="561"/>
      <c r="L201" s="43"/>
      <c r="M201" s="43"/>
      <c r="N201" s="53"/>
      <c r="O201" s="562"/>
      <c r="P201" s="561"/>
      <c r="Q201" s="43"/>
      <c r="R201" s="43"/>
      <c r="S201" s="53"/>
      <c r="T201" s="562"/>
      <c r="U201" s="103"/>
      <c r="V201" s="43"/>
      <c r="W201" s="43"/>
      <c r="X201" s="43"/>
      <c r="Y201" s="53"/>
      <c r="Z201" s="53"/>
      <c r="AA201" s="58"/>
      <c r="AB201" s="565"/>
      <c r="AC201" s="103"/>
      <c r="AD201" s="43"/>
      <c r="AE201" s="43"/>
      <c r="AF201" s="43"/>
      <c r="AG201" s="53"/>
      <c r="AH201" s="53"/>
      <c r="AI201" s="58"/>
      <c r="AJ201" s="565"/>
      <c r="AK201" s="103"/>
      <c r="AL201" s="43"/>
      <c r="AM201" s="43"/>
      <c r="AN201" s="43"/>
      <c r="AO201" s="53"/>
      <c r="AP201" s="53"/>
      <c r="AQ201" s="58"/>
      <c r="AR201" s="565"/>
      <c r="AS201" s="18"/>
      <c r="AT201" s="43"/>
      <c r="AU201" s="43"/>
      <c r="AV201" s="43"/>
      <c r="AW201" s="52"/>
      <c r="AX201" s="53"/>
      <c r="AY201" s="57"/>
      <c r="AZ201" s="110"/>
      <c r="BA201" s="110"/>
      <c r="BB201" s="551"/>
      <c r="BC201" s="552"/>
      <c r="BD201" s="104"/>
      <c r="BE201" s="103"/>
      <c r="BF201" s="19"/>
      <c r="BG201" s="19"/>
      <c r="BH201" s="20"/>
      <c r="BI201" s="104"/>
      <c r="BJ201" s="8"/>
    </row>
    <row r="202" spans="1:62">
      <c r="A202" s="516">
        <f>IF('Student DATA Entry'!A198="","",'Student DATA Entry'!A198)</f>
        <v>195</v>
      </c>
      <c r="B202" s="528" t="str">
        <f>IF('Student DATA Entry'!B198="","",'Student DATA Entry'!B198)</f>
        <v/>
      </c>
      <c r="C202" s="126" t="str">
        <f>IF('Student DATA Entry'!D198="","",'Student DATA Entry'!D198)</f>
        <v/>
      </c>
      <c r="D202" s="530" t="str">
        <f>IF('Student DATA Entry'!E198="","",'Student DATA Entry'!E198)</f>
        <v/>
      </c>
      <c r="E202" s="532" t="str">
        <f>IF('Student DATA Entry'!I198="","",'Student DATA Entry'!I198)</f>
        <v/>
      </c>
      <c r="F202" s="127" t="str">
        <f>IF('Student DATA Entry'!F198="","",UPPER('Student DATA Entry'!F198))</f>
        <v/>
      </c>
      <c r="G202" s="127" t="str">
        <f>IF('Student DATA Entry'!G198="","",UPPER('Student DATA Entry'!G198))</f>
        <v/>
      </c>
      <c r="H202" s="127" t="str">
        <f>IF('Student DATA Entry'!H198="","",UPPER('Student DATA Entry'!H198))</f>
        <v/>
      </c>
      <c r="I202" s="526" t="str">
        <f>IF('Student DATA Entry'!K198="","",UPPER('Student DATA Entry'!K198))</f>
        <v/>
      </c>
      <c r="J202" s="560" t="str">
        <f>IF('Student DATA Entry'!J198="","",UPPER('Student DATA Entry'!J198))</f>
        <v/>
      </c>
      <c r="K202" s="561"/>
      <c r="L202" s="43"/>
      <c r="M202" s="43"/>
      <c r="N202" s="53"/>
      <c r="O202" s="562"/>
      <c r="P202" s="561"/>
      <c r="Q202" s="43"/>
      <c r="R202" s="43"/>
      <c r="S202" s="53"/>
      <c r="T202" s="562"/>
      <c r="U202" s="103"/>
      <c r="V202" s="43"/>
      <c r="W202" s="43"/>
      <c r="X202" s="43"/>
      <c r="Y202" s="53"/>
      <c r="Z202" s="53"/>
      <c r="AA202" s="58"/>
      <c r="AB202" s="565"/>
      <c r="AC202" s="103"/>
      <c r="AD202" s="43"/>
      <c r="AE202" s="43"/>
      <c r="AF202" s="43"/>
      <c r="AG202" s="53"/>
      <c r="AH202" s="53"/>
      <c r="AI202" s="58"/>
      <c r="AJ202" s="565"/>
      <c r="AK202" s="103"/>
      <c r="AL202" s="43"/>
      <c r="AM202" s="43"/>
      <c r="AN202" s="43"/>
      <c r="AO202" s="53"/>
      <c r="AP202" s="53"/>
      <c r="AQ202" s="58"/>
      <c r="AR202" s="565"/>
      <c r="AS202" s="18"/>
      <c r="AT202" s="43"/>
      <c r="AU202" s="43"/>
      <c r="AV202" s="43"/>
      <c r="AW202" s="52"/>
      <c r="AX202" s="53"/>
      <c r="AY202" s="57"/>
      <c r="AZ202" s="110"/>
      <c r="BA202" s="110"/>
      <c r="BB202" s="551"/>
      <c r="BC202" s="552"/>
      <c r="BD202" s="104"/>
      <c r="BE202" s="103"/>
      <c r="BF202" s="19"/>
      <c r="BG202" s="19"/>
      <c r="BH202" s="20"/>
      <c r="BI202" s="104"/>
      <c r="BJ202" s="8"/>
    </row>
    <row r="203" spans="1:62">
      <c r="A203" s="516">
        <f>IF('Student DATA Entry'!A199="","",'Student DATA Entry'!A199)</f>
        <v>196</v>
      </c>
      <c r="B203" s="528" t="str">
        <f>IF('Student DATA Entry'!B199="","",'Student DATA Entry'!B199)</f>
        <v/>
      </c>
      <c r="C203" s="126" t="str">
        <f>IF('Student DATA Entry'!D199="","",'Student DATA Entry'!D199)</f>
        <v/>
      </c>
      <c r="D203" s="530" t="str">
        <f>IF('Student DATA Entry'!E199="","",'Student DATA Entry'!E199)</f>
        <v/>
      </c>
      <c r="E203" s="532" t="str">
        <f>IF('Student DATA Entry'!I199="","",'Student DATA Entry'!I199)</f>
        <v/>
      </c>
      <c r="F203" s="127" t="str">
        <f>IF('Student DATA Entry'!F199="","",UPPER('Student DATA Entry'!F199))</f>
        <v/>
      </c>
      <c r="G203" s="127" t="str">
        <f>IF('Student DATA Entry'!G199="","",UPPER('Student DATA Entry'!G199))</f>
        <v/>
      </c>
      <c r="H203" s="127" t="str">
        <f>IF('Student DATA Entry'!H199="","",UPPER('Student DATA Entry'!H199))</f>
        <v/>
      </c>
      <c r="I203" s="526" t="str">
        <f>IF('Student DATA Entry'!K199="","",UPPER('Student DATA Entry'!K199))</f>
        <v/>
      </c>
      <c r="J203" s="560" t="str">
        <f>IF('Student DATA Entry'!J199="","",UPPER('Student DATA Entry'!J199))</f>
        <v/>
      </c>
      <c r="K203" s="561"/>
      <c r="L203" s="43"/>
      <c r="M203" s="43"/>
      <c r="N203" s="53"/>
      <c r="O203" s="562"/>
      <c r="P203" s="561"/>
      <c r="Q203" s="43"/>
      <c r="R203" s="43"/>
      <c r="S203" s="53"/>
      <c r="T203" s="562"/>
      <c r="U203" s="103"/>
      <c r="V203" s="43"/>
      <c r="W203" s="43"/>
      <c r="X203" s="43"/>
      <c r="Y203" s="53"/>
      <c r="Z203" s="53"/>
      <c r="AA203" s="58"/>
      <c r="AB203" s="565"/>
      <c r="AC203" s="103"/>
      <c r="AD203" s="43"/>
      <c r="AE203" s="43"/>
      <c r="AF203" s="43"/>
      <c r="AG203" s="53"/>
      <c r="AH203" s="53"/>
      <c r="AI203" s="58"/>
      <c r="AJ203" s="565"/>
      <c r="AK203" s="103"/>
      <c r="AL203" s="43"/>
      <c r="AM203" s="43"/>
      <c r="AN203" s="43"/>
      <c r="AO203" s="53"/>
      <c r="AP203" s="53"/>
      <c r="AQ203" s="58"/>
      <c r="AR203" s="565"/>
      <c r="AS203" s="18"/>
      <c r="AT203" s="43"/>
      <c r="AU203" s="43"/>
      <c r="AV203" s="43"/>
      <c r="AW203" s="52"/>
      <c r="AX203" s="53"/>
      <c r="AY203" s="57"/>
      <c r="AZ203" s="110"/>
      <c r="BA203" s="110"/>
      <c r="BB203" s="551"/>
      <c r="BC203" s="552"/>
      <c r="BD203" s="104"/>
      <c r="BE203" s="103"/>
      <c r="BF203" s="19"/>
      <c r="BG203" s="19"/>
      <c r="BH203" s="20"/>
      <c r="BI203" s="104"/>
      <c r="BJ203" s="8"/>
    </row>
    <row r="204" spans="1:62">
      <c r="A204" s="516">
        <f>IF('Student DATA Entry'!A200="","",'Student DATA Entry'!A200)</f>
        <v>197</v>
      </c>
      <c r="B204" s="528" t="str">
        <f>IF('Student DATA Entry'!B200="","",'Student DATA Entry'!B200)</f>
        <v/>
      </c>
      <c r="C204" s="126" t="str">
        <f>IF('Student DATA Entry'!D200="","",'Student DATA Entry'!D200)</f>
        <v/>
      </c>
      <c r="D204" s="530" t="str">
        <f>IF('Student DATA Entry'!E200="","",'Student DATA Entry'!E200)</f>
        <v/>
      </c>
      <c r="E204" s="532" t="str">
        <f>IF('Student DATA Entry'!I200="","",'Student DATA Entry'!I200)</f>
        <v/>
      </c>
      <c r="F204" s="127" t="str">
        <f>IF('Student DATA Entry'!F200="","",UPPER('Student DATA Entry'!F200))</f>
        <v/>
      </c>
      <c r="G204" s="127" t="str">
        <f>IF('Student DATA Entry'!G200="","",UPPER('Student DATA Entry'!G200))</f>
        <v/>
      </c>
      <c r="H204" s="127" t="str">
        <f>IF('Student DATA Entry'!H200="","",UPPER('Student DATA Entry'!H200))</f>
        <v/>
      </c>
      <c r="I204" s="526" t="str">
        <f>IF('Student DATA Entry'!K200="","",UPPER('Student DATA Entry'!K200))</f>
        <v/>
      </c>
      <c r="J204" s="560" t="str">
        <f>IF('Student DATA Entry'!J200="","",UPPER('Student DATA Entry'!J200))</f>
        <v/>
      </c>
      <c r="K204" s="561"/>
      <c r="L204" s="43"/>
      <c r="M204" s="43"/>
      <c r="N204" s="53"/>
      <c r="O204" s="562"/>
      <c r="P204" s="561"/>
      <c r="Q204" s="43"/>
      <c r="R204" s="43"/>
      <c r="S204" s="53"/>
      <c r="T204" s="562"/>
      <c r="U204" s="103"/>
      <c r="V204" s="43"/>
      <c r="W204" s="43"/>
      <c r="X204" s="43"/>
      <c r="Y204" s="53"/>
      <c r="Z204" s="53"/>
      <c r="AA204" s="58"/>
      <c r="AB204" s="565"/>
      <c r="AC204" s="103"/>
      <c r="AD204" s="43"/>
      <c r="AE204" s="43"/>
      <c r="AF204" s="43"/>
      <c r="AG204" s="53"/>
      <c r="AH204" s="53"/>
      <c r="AI204" s="58"/>
      <c r="AJ204" s="565"/>
      <c r="AK204" s="103"/>
      <c r="AL204" s="43"/>
      <c r="AM204" s="43"/>
      <c r="AN204" s="43"/>
      <c r="AO204" s="53"/>
      <c r="AP204" s="53"/>
      <c r="AQ204" s="58"/>
      <c r="AR204" s="565"/>
      <c r="AS204" s="18"/>
      <c r="AT204" s="43"/>
      <c r="AU204" s="43"/>
      <c r="AV204" s="43"/>
      <c r="AW204" s="52"/>
      <c r="AX204" s="53"/>
      <c r="AY204" s="57"/>
      <c r="AZ204" s="110"/>
      <c r="BA204" s="110"/>
      <c r="BB204" s="551"/>
      <c r="BC204" s="552"/>
      <c r="BD204" s="104"/>
      <c r="BE204" s="103"/>
      <c r="BF204" s="19"/>
      <c r="BG204" s="19"/>
      <c r="BH204" s="20"/>
      <c r="BI204" s="104"/>
      <c r="BJ204" s="8"/>
    </row>
    <row r="205" spans="1:62">
      <c r="A205" s="516">
        <f>IF('Student DATA Entry'!A201="","",'Student DATA Entry'!A201)</f>
        <v>198</v>
      </c>
      <c r="B205" s="528" t="str">
        <f>IF('Student DATA Entry'!B201="","",'Student DATA Entry'!B201)</f>
        <v/>
      </c>
      <c r="C205" s="126" t="str">
        <f>IF('Student DATA Entry'!D201="","",'Student DATA Entry'!D201)</f>
        <v/>
      </c>
      <c r="D205" s="530" t="str">
        <f>IF('Student DATA Entry'!E201="","",'Student DATA Entry'!E201)</f>
        <v/>
      </c>
      <c r="E205" s="532" t="str">
        <f>IF('Student DATA Entry'!I201="","",'Student DATA Entry'!I201)</f>
        <v/>
      </c>
      <c r="F205" s="127" t="str">
        <f>IF('Student DATA Entry'!F201="","",UPPER('Student DATA Entry'!F201))</f>
        <v/>
      </c>
      <c r="G205" s="127" t="str">
        <f>IF('Student DATA Entry'!G201="","",UPPER('Student DATA Entry'!G201))</f>
        <v/>
      </c>
      <c r="H205" s="127" t="str">
        <f>IF('Student DATA Entry'!H201="","",UPPER('Student DATA Entry'!H201))</f>
        <v/>
      </c>
      <c r="I205" s="526" t="str">
        <f>IF('Student DATA Entry'!K201="","",UPPER('Student DATA Entry'!K201))</f>
        <v/>
      </c>
      <c r="J205" s="560" t="str">
        <f>IF('Student DATA Entry'!J201="","",UPPER('Student DATA Entry'!J201))</f>
        <v/>
      </c>
      <c r="K205" s="561"/>
      <c r="L205" s="43"/>
      <c r="M205" s="43"/>
      <c r="N205" s="53"/>
      <c r="O205" s="562"/>
      <c r="P205" s="561"/>
      <c r="Q205" s="43"/>
      <c r="R205" s="43"/>
      <c r="S205" s="53"/>
      <c r="T205" s="562"/>
      <c r="U205" s="103"/>
      <c r="V205" s="43"/>
      <c r="W205" s="43"/>
      <c r="X205" s="43"/>
      <c r="Y205" s="53"/>
      <c r="Z205" s="53"/>
      <c r="AA205" s="58"/>
      <c r="AB205" s="565"/>
      <c r="AC205" s="103"/>
      <c r="AD205" s="43"/>
      <c r="AE205" s="43"/>
      <c r="AF205" s="43"/>
      <c r="AG205" s="53"/>
      <c r="AH205" s="53"/>
      <c r="AI205" s="58"/>
      <c r="AJ205" s="565"/>
      <c r="AK205" s="103"/>
      <c r="AL205" s="43"/>
      <c r="AM205" s="43"/>
      <c r="AN205" s="43"/>
      <c r="AO205" s="53"/>
      <c r="AP205" s="53"/>
      <c r="AQ205" s="58"/>
      <c r="AR205" s="565"/>
      <c r="AS205" s="18"/>
      <c r="AT205" s="43"/>
      <c r="AU205" s="43"/>
      <c r="AV205" s="43"/>
      <c r="AW205" s="52"/>
      <c r="AX205" s="53"/>
      <c r="AY205" s="57"/>
      <c r="AZ205" s="110"/>
      <c r="BA205" s="110"/>
      <c r="BB205" s="551"/>
      <c r="BC205" s="552"/>
      <c r="BD205" s="104"/>
      <c r="BE205" s="103"/>
      <c r="BF205" s="19"/>
      <c r="BG205" s="19"/>
      <c r="BH205" s="20"/>
      <c r="BI205" s="104"/>
      <c r="BJ205" s="8"/>
    </row>
    <row r="206" spans="1:62">
      <c r="A206" s="516">
        <f>IF('Student DATA Entry'!A202="","",'Student DATA Entry'!A202)</f>
        <v>199</v>
      </c>
      <c r="B206" s="528" t="str">
        <f>IF('Student DATA Entry'!B202="","",'Student DATA Entry'!B202)</f>
        <v/>
      </c>
      <c r="C206" s="126" t="str">
        <f>IF('Student DATA Entry'!D202="","",'Student DATA Entry'!D202)</f>
        <v/>
      </c>
      <c r="D206" s="530" t="str">
        <f>IF('Student DATA Entry'!E202="","",'Student DATA Entry'!E202)</f>
        <v/>
      </c>
      <c r="E206" s="532" t="str">
        <f>IF('Student DATA Entry'!I202="","",'Student DATA Entry'!I202)</f>
        <v/>
      </c>
      <c r="F206" s="127" t="str">
        <f>IF('Student DATA Entry'!F202="","",UPPER('Student DATA Entry'!F202))</f>
        <v/>
      </c>
      <c r="G206" s="127" t="str">
        <f>IF('Student DATA Entry'!G202="","",UPPER('Student DATA Entry'!G202))</f>
        <v/>
      </c>
      <c r="H206" s="127" t="str">
        <f>IF('Student DATA Entry'!H202="","",UPPER('Student DATA Entry'!H202))</f>
        <v/>
      </c>
      <c r="I206" s="526" t="str">
        <f>IF('Student DATA Entry'!K202="","",UPPER('Student DATA Entry'!K202))</f>
        <v/>
      </c>
      <c r="J206" s="560" t="str">
        <f>IF('Student DATA Entry'!J202="","",UPPER('Student DATA Entry'!J202))</f>
        <v/>
      </c>
      <c r="K206" s="561"/>
      <c r="L206" s="43"/>
      <c r="M206" s="43"/>
      <c r="N206" s="53"/>
      <c r="O206" s="562"/>
      <c r="P206" s="561"/>
      <c r="Q206" s="43"/>
      <c r="R206" s="43"/>
      <c r="S206" s="53"/>
      <c r="T206" s="562"/>
      <c r="U206" s="103"/>
      <c r="V206" s="43"/>
      <c r="W206" s="43"/>
      <c r="X206" s="43"/>
      <c r="Y206" s="53"/>
      <c r="Z206" s="53"/>
      <c r="AA206" s="58"/>
      <c r="AB206" s="565"/>
      <c r="AC206" s="103"/>
      <c r="AD206" s="43"/>
      <c r="AE206" s="43"/>
      <c r="AF206" s="43"/>
      <c r="AG206" s="53"/>
      <c r="AH206" s="53"/>
      <c r="AI206" s="58"/>
      <c r="AJ206" s="565"/>
      <c r="AK206" s="103"/>
      <c r="AL206" s="43"/>
      <c r="AM206" s="43"/>
      <c r="AN206" s="43"/>
      <c r="AO206" s="53"/>
      <c r="AP206" s="53"/>
      <c r="AQ206" s="58"/>
      <c r="AR206" s="565"/>
      <c r="AS206" s="18"/>
      <c r="AT206" s="43"/>
      <c r="AU206" s="43"/>
      <c r="AV206" s="43"/>
      <c r="AW206" s="52"/>
      <c r="AX206" s="53"/>
      <c r="AY206" s="57"/>
      <c r="AZ206" s="110"/>
      <c r="BA206" s="110"/>
      <c r="BB206" s="551"/>
      <c r="BC206" s="552"/>
      <c r="BD206" s="104"/>
      <c r="BE206" s="103"/>
      <c r="BF206" s="19"/>
      <c r="BG206" s="19"/>
      <c r="BH206" s="20"/>
      <c r="BI206" s="104"/>
      <c r="BJ206" s="8"/>
    </row>
    <row r="207" spans="1:62" ht="21" thickBot="1">
      <c r="A207" s="517">
        <f>IF('Student DATA Entry'!A203="","",'Student DATA Entry'!A203)</f>
        <v>200</v>
      </c>
      <c r="B207" s="528" t="str">
        <f>IF('Student DATA Entry'!B203="","",'Student DATA Entry'!B203)</f>
        <v/>
      </c>
      <c r="C207" s="126" t="str">
        <f>IF('Student DATA Entry'!D203="","",'Student DATA Entry'!D203)</f>
        <v/>
      </c>
      <c r="D207" s="530" t="str">
        <f>IF('Student DATA Entry'!E203="","",'Student DATA Entry'!E203)</f>
        <v/>
      </c>
      <c r="E207" s="532" t="str">
        <f>IF('Student DATA Entry'!I203="","",'Student DATA Entry'!I203)</f>
        <v/>
      </c>
      <c r="F207" s="127" t="str">
        <f>IF('Student DATA Entry'!F203="","",UPPER('Student DATA Entry'!F203))</f>
        <v/>
      </c>
      <c r="G207" s="127" t="str">
        <f>IF('Student DATA Entry'!G203="","",UPPER('Student DATA Entry'!G203))</f>
        <v/>
      </c>
      <c r="H207" s="127" t="str">
        <f>IF('Student DATA Entry'!H203="","",UPPER('Student DATA Entry'!H203))</f>
        <v/>
      </c>
      <c r="I207" s="526" t="str">
        <f>IF('Student DATA Entry'!K203="","",UPPER('Student DATA Entry'!K203))</f>
        <v/>
      </c>
      <c r="J207" s="560" t="str">
        <f>IF('Student DATA Entry'!J203="","",UPPER('Student DATA Entry'!J203))</f>
        <v/>
      </c>
      <c r="K207" s="105"/>
      <c r="L207" s="48"/>
      <c r="M207" s="48"/>
      <c r="N207" s="54"/>
      <c r="O207" s="107"/>
      <c r="P207" s="105"/>
      <c r="Q207" s="48"/>
      <c r="R207" s="48"/>
      <c r="S207" s="54"/>
      <c r="T207" s="107"/>
      <c r="U207" s="105"/>
      <c r="V207" s="48"/>
      <c r="W207" s="48"/>
      <c r="X207" s="48"/>
      <c r="Y207" s="54"/>
      <c r="Z207" s="54"/>
      <c r="AA207" s="59"/>
      <c r="AB207" s="566"/>
      <c r="AC207" s="105"/>
      <c r="AD207" s="48"/>
      <c r="AE207" s="48"/>
      <c r="AF207" s="48"/>
      <c r="AG207" s="54"/>
      <c r="AH207" s="54"/>
      <c r="AI207" s="59"/>
      <c r="AJ207" s="566"/>
      <c r="AK207" s="105"/>
      <c r="AL207" s="48"/>
      <c r="AM207" s="48"/>
      <c r="AN207" s="48"/>
      <c r="AO207" s="54"/>
      <c r="AP207" s="54"/>
      <c r="AQ207" s="59"/>
      <c r="AR207" s="566"/>
      <c r="AS207" s="47"/>
      <c r="AT207" s="48"/>
      <c r="AU207" s="48"/>
      <c r="AV207" s="48"/>
      <c r="AW207" s="54"/>
      <c r="AX207" s="54"/>
      <c r="AY207" s="59"/>
      <c r="AZ207" s="111"/>
      <c r="BA207" s="111"/>
      <c r="BB207" s="553"/>
      <c r="BC207" s="554"/>
      <c r="BD207" s="107"/>
      <c r="BE207" s="105"/>
      <c r="BF207" s="48"/>
      <c r="BG207" s="48"/>
      <c r="BH207" s="106"/>
      <c r="BI207" s="107"/>
      <c r="BJ207" s="8"/>
    </row>
    <row r="208" spans="1:62" ht="33.75" customHeight="1">
      <c r="A208" s="10"/>
      <c r="B208" s="10"/>
      <c r="C208" s="10"/>
      <c r="D208" s="10"/>
      <c r="E208" s="11"/>
      <c r="F208" s="11"/>
      <c r="G208" s="11"/>
      <c r="H208" s="10"/>
      <c r="I208" s="10"/>
      <c r="J208" s="10"/>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0"/>
    </row>
    <row r="209" spans="1:62" ht="36" customHeight="1">
      <c r="A209" s="10"/>
      <c r="B209" s="10"/>
      <c r="C209" s="10"/>
      <c r="D209" s="10"/>
      <c r="E209" s="11"/>
      <c r="F209" s="11"/>
      <c r="G209" s="11"/>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row>
    <row r="210" spans="1:62" hidden="1"/>
    <row r="211" spans="1:62" hidden="1"/>
    <row r="212" spans="1:62" hidden="1"/>
    <row r="213" spans="1:62" hidden="1"/>
    <row r="214" spans="1:62" hidden="1"/>
    <row r="215" spans="1:62" hidden="1"/>
    <row r="216" spans="1:62" hidden="1"/>
    <row r="217" spans="1:62"/>
    <row r="218" spans="1:62"/>
    <row r="219" spans="1:62">
      <c r="AV219" s="556" t="b">
        <v>1</v>
      </c>
      <c r="AW219" s="548"/>
    </row>
    <row r="220" spans="1:62">
      <c r="AV220" s="556" t="b">
        <v>0</v>
      </c>
      <c r="AW220" s="782">
        <f>IF(AV220=AV219,1,2)</f>
        <v>2</v>
      </c>
    </row>
    <row r="221" spans="1:62"/>
    <row r="222" spans="1:62"/>
    <row r="223" spans="1:62"/>
    <row r="224" spans="1:62" hidden="1"/>
    <row r="225" hidden="1"/>
    <row r="226" hidden="1"/>
    <row r="227" hidden="1"/>
    <row r="228" hidden="1"/>
    <row r="229" hidden="1"/>
    <row r="230" hidden="1"/>
    <row r="231" hidden="1"/>
    <row r="232" hidden="1"/>
    <row r="233" hidden="1"/>
    <row r="234" hidden="1"/>
    <row r="235" hidden="1"/>
    <row r="236" hidden="1"/>
    <row r="237" hidden="1"/>
  </sheetData>
  <sheetProtection password="D1E2" sheet="1" objects="1" scenarios="1" formatCells="0" formatColumns="0" formatRows="0"/>
  <protectedRanges>
    <protectedRange password="DC77" sqref="U3 K1:T3 U1:AR2 AS1:BA3 W3:BD3 BB1:BI2" name="Range4"/>
    <protectedRange password="DC77" sqref="K1:T2" name="Range2"/>
    <protectedRange password="DC77" sqref="BE5:BI5 K6:BI207" name="Range1"/>
    <protectedRange password="DC77" sqref="H2:H3" name="Range3"/>
    <protectedRange password="DC77" sqref="H1" name="Range3_1"/>
  </protectedRanges>
  <mergeCells count="111">
    <mergeCell ref="U2:X2"/>
    <mergeCell ref="U3:X3"/>
    <mergeCell ref="V4:X4"/>
    <mergeCell ref="X6:X7"/>
    <mergeCell ref="AD4:AF4"/>
    <mergeCell ref="AF6:AF7"/>
    <mergeCell ref="AC2:AF2"/>
    <mergeCell ref="AC3:AF3"/>
    <mergeCell ref="AL4:AN4"/>
    <mergeCell ref="AN6:AN7"/>
    <mergeCell ref="AK2:AN2"/>
    <mergeCell ref="AK3:AN3"/>
    <mergeCell ref="A1:F3"/>
    <mergeCell ref="I1:J2"/>
    <mergeCell ref="F6:F7"/>
    <mergeCell ref="G6:G7"/>
    <mergeCell ref="H6:H7"/>
    <mergeCell ref="F4:H4"/>
    <mergeCell ref="P4:R4"/>
    <mergeCell ref="S4:S5"/>
    <mergeCell ref="R6:R7"/>
    <mergeCell ref="A4:A7"/>
    <mergeCell ref="B4:B7"/>
    <mergeCell ref="D4:D7"/>
    <mergeCell ref="E4:E7"/>
    <mergeCell ref="P6:P7"/>
    <mergeCell ref="Q6:Q7"/>
    <mergeCell ref="S6:S7"/>
    <mergeCell ref="T6:T7"/>
    <mergeCell ref="Y4:Z4"/>
    <mergeCell ref="V6:V7"/>
    <mergeCell ref="C4:C7"/>
    <mergeCell ref="K4:M4"/>
    <mergeCell ref="M6:M7"/>
    <mergeCell ref="N4:N5"/>
    <mergeCell ref="O4:O5"/>
    <mergeCell ref="T4:T5"/>
    <mergeCell ref="BD6:BD7"/>
    <mergeCell ref="I3:I7"/>
    <mergeCell ref="BB6:BB7"/>
    <mergeCell ref="AE6:AE7"/>
    <mergeCell ref="AL6:AL7"/>
    <mergeCell ref="AM6:AM7"/>
    <mergeCell ref="J3:J7"/>
    <mergeCell ref="BD4:BD5"/>
    <mergeCell ref="K6:K7"/>
    <mergeCell ref="L6:L7"/>
    <mergeCell ref="N6:N7"/>
    <mergeCell ref="W6:W7"/>
    <mergeCell ref="AD6:AD7"/>
    <mergeCell ref="O6:O7"/>
    <mergeCell ref="BC6:BC7"/>
    <mergeCell ref="AC4:AC7"/>
    <mergeCell ref="AG4:AH4"/>
    <mergeCell ref="AI4:AJ4"/>
    <mergeCell ref="U4:U7"/>
    <mergeCell ref="BB4:BB5"/>
    <mergeCell ref="BC4:BC5"/>
    <mergeCell ref="AA4:AB4"/>
    <mergeCell ref="AT6:AT7"/>
    <mergeCell ref="AU6:AU7"/>
    <mergeCell ref="BB1:BD1"/>
    <mergeCell ref="BB2:BD2"/>
    <mergeCell ref="K1:O2"/>
    <mergeCell ref="K3:O3"/>
    <mergeCell ref="P1:T2"/>
    <mergeCell ref="P3:T3"/>
    <mergeCell ref="U1:AB1"/>
    <mergeCell ref="AC1:AJ1"/>
    <mergeCell ref="AG2:AH2"/>
    <mergeCell ref="BB3:BD3"/>
    <mergeCell ref="Y2:Z2"/>
    <mergeCell ref="AA2:AB2"/>
    <mergeCell ref="Y3:Z3"/>
    <mergeCell ref="AA3:AB3"/>
    <mergeCell ref="AI2:AJ2"/>
    <mergeCell ref="AG3:AH3"/>
    <mergeCell ref="AI3:AJ3"/>
    <mergeCell ref="AO2:AP2"/>
    <mergeCell ref="AQ2:AR2"/>
    <mergeCell ref="AO3:AP3"/>
    <mergeCell ref="AQ3:AR3"/>
    <mergeCell ref="AK1:AR1"/>
    <mergeCell ref="AW2:AX2"/>
    <mergeCell ref="AY2:BA2"/>
    <mergeCell ref="AW3:AX3"/>
    <mergeCell ref="AY3:BA3"/>
    <mergeCell ref="AQ4:AR4"/>
    <mergeCell ref="AS4:AS7"/>
    <mergeCell ref="AW4:AX4"/>
    <mergeCell ref="AY4:BA4"/>
    <mergeCell ref="AK4:AK7"/>
    <mergeCell ref="AO4:AP4"/>
    <mergeCell ref="AS1:AX1"/>
    <mergeCell ref="AT4:AV4"/>
    <mergeCell ref="AV6:AV7"/>
    <mergeCell ref="AS2:AV2"/>
    <mergeCell ref="AS3:AV3"/>
    <mergeCell ref="BE1:BI1"/>
    <mergeCell ref="BE6:BE7"/>
    <mergeCell ref="BF6:BF7"/>
    <mergeCell ref="BH6:BH7"/>
    <mergeCell ref="BI6:BI7"/>
    <mergeCell ref="BE4:BE5"/>
    <mergeCell ref="BF4:BF5"/>
    <mergeCell ref="BE2:BI2"/>
    <mergeCell ref="BG4:BG5"/>
    <mergeCell ref="BH3:BH5"/>
    <mergeCell ref="BI3:BI5"/>
    <mergeCell ref="BE3:BG3"/>
    <mergeCell ref="BG6:BG7"/>
  </mergeCells>
  <conditionalFormatting sqref="BJ6:BJ7">
    <cfRule type="cellIs" dxfId="235" priority="371" operator="equal">
      <formula>0</formula>
    </cfRule>
  </conditionalFormatting>
  <conditionalFormatting sqref="AS8:BA207">
    <cfRule type="expression" dxfId="234" priority="1" stopIfTrue="1">
      <formula>$BA$1=2</formula>
    </cfRule>
  </conditionalFormatting>
  <dataValidations count="10">
    <dataValidation type="custom" operator="lessThanOrEqual" allowBlank="1" showInputMessage="1" showErrorMessage="1" errorTitle="maximum limit crossed" error="Invalid entry" sqref="AL8:AN8 AY8:AZ207 AG8:AG207 AI8:AI207 AQ8:AQ207 AO8:AO207 AA8:AA207 AD8:AF8 Y8:Y207 AW8:AW207 BB8:BC19">
      <formula1>OR(Y8&lt;=Y$7,Y8="ML",Y8="NA",Y8="ab")</formula1>
    </dataValidation>
    <dataValidation type="custom" operator="lessThanOrEqual" allowBlank="1" showInputMessage="1" showErrorMessage="1" errorTitle="maximum limit crossed" error="Invalid entry" sqref="AL9:AN207 BB20:BC207 AD9:AF207 AJ8:AJ207 AT8:AV207 AR8:AR207 BD8:BI207 AB8:AB207 K8:T207 Z8:Z207 AH8:AH207 AP8:AP207 AX8:AX207 BA8:BA207 V8:X207">
      <formula1>OR(K8&lt;=K$6,K8="ML",K8="NA",K8="ab")</formula1>
    </dataValidation>
    <dataValidation type="list" operator="lessThanOrEqual" allowBlank="1" showInputMessage="1" showErrorMessage="1" errorTitle="maximum limit crossed" error="Invalid entry" sqref="AS8:AS207">
      <formula1>"A, B, C"</formula1>
    </dataValidation>
    <dataValidation type="list" allowBlank="1" showInputMessage="1" showErrorMessage="1" errorTitle="subject code" error="Please refer to training mannual for entering subject code" sqref="AK8:AK207 AC8:AC207 U8:U207">
      <formula1>"A, B, C"</formula1>
    </dataValidation>
    <dataValidation type="list" allowBlank="1" showInputMessage="1" showErrorMessage="1" errorTitle="optional" error="You may copy from DA7 TO DA44  and paste here." sqref="U2 AG2:AJ2 AS2 AW2:BA2 Y2:Z2 AC2">
      <formula1>Subject</formula1>
    </dataValidation>
    <dataValidation type="textLength" errorStyle="warning" operator="lessThanOrEqual" showInputMessage="1" showErrorMessage="1" errorTitle="long name" error="Please decrease the font size of this cell if name does not fit into the column." sqref="H1">
      <formula1>20</formula1>
    </dataValidation>
    <dataValidation type="list" allowBlank="1" showInputMessage="1" showErrorMessage="1" sqref="H3">
      <formula1>"Arts, Commerce, Science, Agriculture"</formula1>
    </dataValidation>
    <dataValidation type="list" allowBlank="1" showInputMessage="1" errorTitle="optional" error="You may copy from DA7 TO DA44  and paste here." sqref="AO2:AR2">
      <formula1>sub</formula1>
    </dataValidation>
    <dataValidation type="list" allowBlank="1" showInputMessage="1" errorTitle="optional" error="You may copy from DA7 TO DA44  and paste here." sqref="AK2:AN2 AA2:AB2">
      <formula1>Subject</formula1>
    </dataValidation>
    <dataValidation type="list" allowBlank="1" showInputMessage="1" showErrorMessage="1" sqref="H2">
      <formula1>"11"</formula1>
    </dataValidation>
  </dataValidation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5"/>
  <dimension ref="A1:JB252"/>
  <sheetViews>
    <sheetView showGridLines="0" workbookViewId="0">
      <selection activeCell="X12" sqref="X12"/>
    </sheetView>
  </sheetViews>
  <sheetFormatPr defaultColWidth="0" defaultRowHeight="18.75" zeroHeight="1"/>
  <cols>
    <col min="1" max="1" width="4.25" style="130" customWidth="1"/>
    <col min="2" max="3" width="5.875" style="131" customWidth="1"/>
    <col min="4" max="4" width="11.375" style="132" customWidth="1"/>
    <col min="5" max="5" width="18" style="133" customWidth="1"/>
    <col min="6" max="6" width="18.875" style="133" customWidth="1"/>
    <col min="7" max="7" width="16.875" style="133" customWidth="1"/>
    <col min="8" max="8" width="6.125" style="134" customWidth="1"/>
    <col min="9" max="9" width="4.625" style="134" customWidth="1"/>
    <col min="10" max="12" width="4.625" style="135" customWidth="1"/>
    <col min="13" max="17" width="4.625" style="136" customWidth="1"/>
    <col min="18" max="23" width="4.625" style="137" hidden="1" customWidth="1"/>
    <col min="24" max="26" width="4.625" style="135" customWidth="1"/>
    <col min="27" max="31" width="4.625" style="136" customWidth="1"/>
    <col min="32" max="37" width="4.625" style="137" hidden="1" customWidth="1"/>
    <col min="38" max="38" width="4.625" style="137" customWidth="1"/>
    <col min="39" max="41" width="4.625" style="135" customWidth="1"/>
    <col min="42" max="42" width="4.625" style="136" customWidth="1"/>
    <col min="43" max="44" width="4.625" style="135" customWidth="1"/>
    <col min="45" max="46" width="4.625" style="136" customWidth="1"/>
    <col min="47" max="48" width="4.625" style="138" customWidth="1"/>
    <col min="49" max="52" width="4.625" style="136" customWidth="1"/>
    <col min="53" max="54" width="4.625" style="137" hidden="1" customWidth="1"/>
    <col min="55" max="58" width="4.625" style="138" hidden="1" customWidth="1"/>
    <col min="59" max="60" width="4.625" style="137" hidden="1" customWidth="1"/>
    <col min="61" max="61" width="4.625" style="137" customWidth="1"/>
    <col min="62" max="64" width="4.625" style="135" customWidth="1"/>
    <col min="65" max="65" width="4.625" style="136" customWidth="1"/>
    <col min="66" max="67" width="4.625" style="135" customWidth="1"/>
    <col min="68" max="69" width="4.625" style="136" customWidth="1"/>
    <col min="70" max="71" width="4.625" style="135" customWidth="1"/>
    <col min="72" max="75" width="4.625" style="136" customWidth="1"/>
    <col min="76" max="77" width="4.625" style="137" hidden="1" customWidth="1"/>
    <col min="78" max="81" width="4.625" style="138" hidden="1" customWidth="1"/>
    <col min="82" max="83" width="4.625" style="137" hidden="1" customWidth="1"/>
    <col min="84" max="84" width="4.625" style="137" customWidth="1"/>
    <col min="85" max="87" width="4.625" style="135" customWidth="1"/>
    <col min="88" max="88" width="5.125" style="136" customWidth="1"/>
    <col min="89" max="89" width="4.625" style="135" customWidth="1"/>
    <col min="90" max="90" width="4.625" style="138" customWidth="1"/>
    <col min="91" max="91" width="4.625" style="136" customWidth="1"/>
    <col min="92" max="92" width="4.625" style="138" customWidth="1"/>
    <col min="93" max="93" width="4.625" style="136" customWidth="1"/>
    <col min="94" max="94" width="4.625" style="138" customWidth="1"/>
    <col min="95" max="98" width="4.625" style="136" customWidth="1"/>
    <col min="99" max="100" width="4.625" style="137" hidden="1" customWidth="1"/>
    <col min="101" max="104" width="4.625" style="138" hidden="1" customWidth="1"/>
    <col min="105" max="107" width="4.625" style="137" hidden="1" customWidth="1"/>
    <col min="108" max="124" width="4.625" style="137" customWidth="1"/>
    <col min="125" max="132" width="4.625" style="137" hidden="1" customWidth="1"/>
    <col min="133" max="135" width="4.625" style="138" customWidth="1"/>
    <col min="136" max="136" width="4.625" style="136" customWidth="1"/>
    <col min="137" max="153" width="3.625" style="137" hidden="1" customWidth="1"/>
    <col min="154" max="154" width="12" style="137" hidden="1" customWidth="1"/>
    <col min="155" max="160" width="4.75" style="137" customWidth="1"/>
    <col min="161" max="161" width="6" style="137" customWidth="1"/>
    <col min="162" max="162" width="5.125" style="137" customWidth="1"/>
    <col min="163" max="163" width="7.375" style="137" customWidth="1"/>
    <col min="164" max="164" width="7.625" style="137" customWidth="1"/>
    <col min="165" max="165" width="7.5" style="137" customWidth="1"/>
    <col min="166" max="168" width="3.375" style="139" customWidth="1"/>
    <col min="169" max="171" width="3.375" style="130" customWidth="1"/>
    <col min="172" max="172" width="3.375" style="130" hidden="1" customWidth="1"/>
    <col min="173" max="175" width="3.375" style="130" customWidth="1"/>
    <col min="176" max="176" width="3.375" style="130" hidden="1" customWidth="1"/>
    <col min="177" max="178" width="3.375" style="130" customWidth="1"/>
    <col min="179" max="179" width="3.375" style="130" hidden="1" customWidth="1"/>
    <col min="180" max="182" width="3.375" style="130" customWidth="1"/>
    <col min="183" max="183" width="3.375" style="130" hidden="1" customWidth="1"/>
    <col min="184" max="185" width="3.375" style="130" customWidth="1"/>
    <col min="186" max="186" width="3.375" style="130" hidden="1" customWidth="1"/>
    <col min="187" max="189" width="3.375" style="130" customWidth="1"/>
    <col min="190" max="190" width="3.375" style="130" hidden="1" customWidth="1"/>
    <col min="191" max="192" width="3.375" style="130" customWidth="1"/>
    <col min="193" max="193" width="3.375" style="130" hidden="1" customWidth="1"/>
    <col min="194" max="196" width="3.375" style="130" customWidth="1"/>
    <col min="197" max="197" width="3.375" style="130" hidden="1" customWidth="1"/>
    <col min="198" max="199" width="3.375" style="130" customWidth="1"/>
    <col min="200" max="201" width="4.75" style="130" customWidth="1"/>
    <col min="202" max="202" width="17.75" style="130" customWidth="1"/>
    <col min="203" max="203" width="18" style="130" customWidth="1"/>
    <col min="204" max="204" width="16.625" style="130" customWidth="1"/>
    <col min="205" max="205" width="15.5" style="130" customWidth="1"/>
    <col min="206" max="206" width="41.25" style="130" customWidth="1"/>
    <col min="207" max="207" width="13.375" style="130" customWidth="1"/>
    <col min="208" max="208" width="7.875" style="607" customWidth="1"/>
    <col min="209" max="209" width="7.125" style="130" hidden="1" customWidth="1"/>
    <col min="210" max="210" width="5.5" style="130" customWidth="1"/>
    <col min="211" max="211" width="9.5" style="130" customWidth="1"/>
    <col min="212" max="212" width="7.75" style="130" customWidth="1"/>
    <col min="213" max="213" width="9.75" style="130" customWidth="1"/>
    <col min="214" max="214" width="7.125" style="612" customWidth="1"/>
    <col min="215" max="215" width="8.125" style="130" customWidth="1"/>
    <col min="216" max="216" width="12.25" style="130" customWidth="1"/>
    <col min="217" max="217" width="11.75" style="130" customWidth="1"/>
    <col min="218" max="218" width="9.125" style="130" customWidth="1"/>
    <col min="219" max="16384" width="9.125" style="130" hidden="1"/>
  </cols>
  <sheetData>
    <row r="1" spans="1:262" ht="36" customHeight="1"/>
    <row r="2" spans="1:262" s="142" customFormat="1" ht="27.75" customHeight="1">
      <c r="A2" s="1192" t="str">
        <f>IF('Master Sheet'!D11="Hindi",CONCATENATE("विद्यालय का नाम :-","  ",'Master Sheet'!D8),CONCATENATE("School Name :-","  ",'Master Sheet'!D7))</f>
        <v xml:space="preserve">विद्यालय का नाम :-  महात्मा गाँधी राजकीय विद्यालय (अंग्रेजी माध्यम) बर, पाली </v>
      </c>
      <c r="B2" s="1192"/>
      <c r="C2" s="1192"/>
      <c r="D2" s="1192"/>
      <c r="E2" s="1192"/>
      <c r="F2" s="1193"/>
      <c r="G2" s="1193"/>
      <c r="H2" s="1193"/>
      <c r="I2" s="1193"/>
      <c r="J2" s="1193"/>
      <c r="K2" s="1193"/>
      <c r="L2" s="1193"/>
      <c r="M2" s="1193"/>
      <c r="N2" s="1193"/>
      <c r="O2" s="1193"/>
      <c r="P2" s="1193"/>
      <c r="Q2" s="1193"/>
      <c r="R2" s="1193"/>
      <c r="S2" s="1193"/>
      <c r="T2" s="1193"/>
      <c r="U2" s="1193"/>
      <c r="V2" s="1193"/>
      <c r="W2" s="1193"/>
      <c r="X2" s="1194" t="str">
        <f>IF('Master Sheet'!$D$11="Hindi","परीक्षाफल पत्रक ","Exam Result Sheet")</f>
        <v xml:space="preserve">परीक्षाफल पत्रक </v>
      </c>
      <c r="Y2" s="1194"/>
      <c r="Z2" s="1194"/>
      <c r="AA2" s="1194"/>
      <c r="AB2" s="1194"/>
      <c r="AC2" s="1194"/>
      <c r="AD2" s="1194"/>
      <c r="AE2" s="1194"/>
      <c r="AF2" s="1194"/>
      <c r="AG2" s="1194"/>
      <c r="AH2" s="1194"/>
      <c r="AI2" s="1194"/>
      <c r="AJ2" s="1194"/>
      <c r="AK2" s="1194"/>
      <c r="AL2" s="1189" t="str">
        <f>'Marks Entry'!U1</f>
        <v>Optional Subject - 01</v>
      </c>
      <c r="AM2" s="1189"/>
      <c r="AN2" s="1189"/>
      <c r="AO2" s="1189"/>
      <c r="AP2" s="1189"/>
      <c r="AQ2" s="1189"/>
      <c r="AR2" s="1189"/>
      <c r="AS2" s="1189"/>
      <c r="AT2" s="1189"/>
      <c r="AU2" s="1189"/>
      <c r="AV2" s="1189"/>
      <c r="AW2" s="1189"/>
      <c r="AX2" s="1189"/>
      <c r="AY2" s="1189"/>
      <c r="AZ2" s="1189"/>
      <c r="BA2" s="1189"/>
      <c r="BB2" s="1189"/>
      <c r="BC2" s="1189"/>
      <c r="BD2" s="1189"/>
      <c r="BE2" s="1189"/>
      <c r="BF2" s="1189"/>
      <c r="BG2" s="1189"/>
      <c r="BH2" s="1189"/>
      <c r="BI2" s="1189" t="str">
        <f>'Marks Entry'!AC1</f>
        <v>Optional Subject - 02</v>
      </c>
      <c r="BJ2" s="1189"/>
      <c r="BK2" s="1189"/>
      <c r="BL2" s="1189"/>
      <c r="BM2" s="1189"/>
      <c r="BN2" s="1189"/>
      <c r="BO2" s="1189"/>
      <c r="BP2" s="1189"/>
      <c r="BQ2" s="1189"/>
      <c r="BR2" s="1189"/>
      <c r="BS2" s="1189"/>
      <c r="BT2" s="1189"/>
      <c r="BU2" s="1189"/>
      <c r="BV2" s="1189"/>
      <c r="BW2" s="1189"/>
      <c r="BX2" s="1189"/>
      <c r="BY2" s="1189"/>
      <c r="BZ2" s="1189"/>
      <c r="CA2" s="1189"/>
      <c r="CB2" s="1189"/>
      <c r="CC2" s="1189"/>
      <c r="CD2" s="1189"/>
      <c r="CE2" s="1189"/>
      <c r="CF2" s="1189" t="str">
        <f>'Marks Entry'!AK1</f>
        <v>Optional Subject - 03</v>
      </c>
      <c r="CG2" s="1189"/>
      <c r="CH2" s="1189"/>
      <c r="CI2" s="1189"/>
      <c r="CJ2" s="1189"/>
      <c r="CK2" s="1189"/>
      <c r="CL2" s="1189"/>
      <c r="CM2" s="1189"/>
      <c r="CN2" s="1189"/>
      <c r="CO2" s="1189"/>
      <c r="CP2" s="1189"/>
      <c r="CQ2" s="1189"/>
      <c r="CR2" s="1189"/>
      <c r="CS2" s="1189"/>
      <c r="CT2" s="1189"/>
      <c r="CU2" s="1189"/>
      <c r="CV2" s="1189"/>
      <c r="CW2" s="1189"/>
      <c r="CX2" s="1189"/>
      <c r="CY2" s="1189"/>
      <c r="CZ2" s="1189"/>
      <c r="DA2" s="1189"/>
      <c r="DB2" s="1189"/>
      <c r="DC2" s="140"/>
      <c r="DD2" s="1189" t="str">
        <f>'Marks Entry'!AS1</f>
        <v>Additional Sub. / Vocational  Subject</v>
      </c>
      <c r="DE2" s="1189"/>
      <c r="DF2" s="1189"/>
      <c r="DG2" s="1189"/>
      <c r="DH2" s="1189"/>
      <c r="DI2" s="1189"/>
      <c r="DJ2" s="1189"/>
      <c r="DK2" s="1189"/>
      <c r="DL2" s="1189"/>
      <c r="DM2" s="1189"/>
      <c r="DN2" s="1189"/>
      <c r="DO2" s="1189"/>
      <c r="DP2" s="1189"/>
      <c r="DQ2" s="1189"/>
      <c r="DR2" s="1189"/>
      <c r="DS2" s="1189"/>
      <c r="DT2" s="1189"/>
      <c r="DU2" s="141"/>
      <c r="DV2" s="141"/>
      <c r="DW2" s="141"/>
      <c r="DX2" s="141"/>
      <c r="DY2" s="141"/>
      <c r="DZ2" s="141"/>
      <c r="EA2" s="141"/>
      <c r="EB2" s="141"/>
      <c r="EC2" s="1257" t="str">
        <f>IF('Master Sheet'!D11="Hindi","अनिवार्य विषय","Compulsory Subject")</f>
        <v>अनिवार्य विषय</v>
      </c>
      <c r="ED2" s="1258"/>
      <c r="EE2" s="1258"/>
      <c r="EF2" s="1258"/>
      <c r="EG2" s="1258"/>
      <c r="EH2" s="1258"/>
      <c r="EI2" s="1258"/>
      <c r="EJ2" s="1258"/>
      <c r="EK2" s="1258"/>
      <c r="EL2" s="1258"/>
      <c r="EM2" s="1258"/>
      <c r="EN2" s="1258"/>
      <c r="EO2" s="1258"/>
      <c r="EP2" s="1258"/>
      <c r="EQ2" s="1258"/>
      <c r="ER2" s="1258"/>
      <c r="ES2" s="1258"/>
      <c r="ET2" s="1258"/>
      <c r="EU2" s="1258"/>
      <c r="EV2" s="1258"/>
      <c r="EW2" s="1258"/>
      <c r="EX2" s="1258"/>
      <c r="EY2" s="1258"/>
      <c r="EZ2" s="1258"/>
      <c r="FA2" s="1258"/>
      <c r="FB2" s="1258"/>
      <c r="FC2" s="1258"/>
      <c r="FD2" s="1258"/>
      <c r="FE2" s="1258"/>
      <c r="FF2" s="1259"/>
      <c r="FG2" s="1137" t="str">
        <f>'Student DATA Entry'!L2</f>
        <v>Total Attendance</v>
      </c>
      <c r="FH2" s="1137"/>
      <c r="FI2" s="1137"/>
      <c r="FJ2" s="1260" t="str">
        <f>IF('Master Sheet'!D11="Hindi","विषयवार परिणाम","Subject-wise Result")</f>
        <v>विषयवार परिणाम</v>
      </c>
      <c r="FK2" s="1261"/>
      <c r="FL2" s="1261"/>
      <c r="FM2" s="1261"/>
      <c r="FN2" s="1261"/>
      <c r="FO2" s="1261"/>
      <c r="FP2" s="1261"/>
      <c r="FQ2" s="1261"/>
      <c r="FR2" s="1261"/>
      <c r="FS2" s="1261"/>
      <c r="FT2" s="1261"/>
      <c r="FU2" s="1261"/>
      <c r="FV2" s="1261"/>
      <c r="FW2" s="1261"/>
      <c r="FX2" s="1261"/>
      <c r="FY2" s="1261"/>
      <c r="FZ2" s="1261"/>
      <c r="GA2" s="1261"/>
      <c r="GB2" s="1261"/>
      <c r="GC2" s="1261"/>
      <c r="GD2" s="1261"/>
      <c r="GE2" s="1261"/>
      <c r="GF2" s="1261"/>
      <c r="GG2" s="1261"/>
      <c r="GH2" s="1261"/>
      <c r="GI2" s="1261"/>
      <c r="GJ2" s="1261"/>
      <c r="GK2" s="1261"/>
      <c r="GL2" s="1261"/>
      <c r="GM2" s="1261"/>
      <c r="GN2" s="1261"/>
      <c r="GO2" s="1261"/>
      <c r="GP2" s="1261"/>
      <c r="GQ2" s="1261"/>
      <c r="GR2" s="1261"/>
      <c r="GS2" s="1262"/>
      <c r="GT2" s="1282" t="str">
        <f>IF('Master Sheet'!D11="Hindi","विशेष विवरण","Specifications")</f>
        <v>विशेष विवरण</v>
      </c>
      <c r="GU2" s="1282"/>
      <c r="GV2" s="1282"/>
      <c r="GW2" s="1282"/>
      <c r="GX2" s="1282"/>
      <c r="GY2" s="1266" t="str">
        <f>IF('Master Sheet'!D11="Hindi","मुख्य परीक्षा परिणाम ","Main Exam Result")</f>
        <v xml:space="preserve">मुख्य परीक्षा परिणाम </v>
      </c>
      <c r="GZ2" s="1267"/>
      <c r="HA2" s="1267"/>
      <c r="HB2" s="1267"/>
      <c r="HC2" s="1267"/>
      <c r="HD2" s="1268"/>
      <c r="HE2" s="1272" t="str">
        <f>IF('Master Sheet'!D11="Hindi","पूरक परीक्षा उतीर्ण होने के पश्चात् अंतिम परिणाम","Final Result after Passing the Supplementary Exam")</f>
        <v>पूरक परीक्षा उतीर्ण होने के पश्चात् अंतिम परिणाम</v>
      </c>
      <c r="HF2" s="1273"/>
      <c r="HG2" s="1273"/>
      <c r="HH2" s="1273"/>
      <c r="HI2" s="1274"/>
    </row>
    <row r="3" spans="1:262" s="147" customFormat="1" ht="27.75" customHeight="1">
      <c r="A3" s="1195" t="str">
        <f>IF('Master Sheet'!$D$11="Hindi","कक्षा :-","Class :-")</f>
        <v>कक्षा :-</v>
      </c>
      <c r="B3" s="1196"/>
      <c r="C3" s="1196"/>
      <c r="D3" s="615">
        <f>'Marks Entry'!H2</f>
        <v>11</v>
      </c>
      <c r="E3" s="1255" t="str">
        <f>CONCATENATE('Marks Entry'!G3,"  ",'Marks Entry'!H3)</f>
        <v>संकाय :-  Arts</v>
      </c>
      <c r="F3" s="1255"/>
      <c r="G3" s="1255" t="str">
        <f>CONCATENATE('Marks Entry'!G1,"  ",'Marks Entry'!H1)</f>
        <v>सत्र :-  2025-2026</v>
      </c>
      <c r="H3" s="1255"/>
      <c r="I3" s="1256"/>
      <c r="J3" s="1187" t="str">
        <f>IF('Marks Entry'!K1="","",'Marks Entry'!K1)</f>
        <v>Com. Hindi</v>
      </c>
      <c r="K3" s="1187"/>
      <c r="L3" s="1187"/>
      <c r="M3" s="1187"/>
      <c r="N3" s="1197"/>
      <c r="O3" s="1187"/>
      <c r="P3" s="1187"/>
      <c r="Q3" s="1187"/>
      <c r="R3" s="1187"/>
      <c r="S3" s="1187"/>
      <c r="T3" s="1187"/>
      <c r="U3" s="1187"/>
      <c r="V3" s="1187"/>
      <c r="W3" s="1187"/>
      <c r="X3" s="1187" t="str">
        <f>IF('Marks Entry'!P1="","",'Marks Entry'!P1)</f>
        <v>Com. English</v>
      </c>
      <c r="Y3" s="1187"/>
      <c r="Z3" s="1187"/>
      <c r="AA3" s="1187"/>
      <c r="AB3" s="1187"/>
      <c r="AC3" s="1187"/>
      <c r="AD3" s="1187"/>
      <c r="AE3" s="1187"/>
      <c r="AF3" s="1187"/>
      <c r="AG3" s="1187"/>
      <c r="AH3" s="1187"/>
      <c r="AI3" s="1187"/>
      <c r="AJ3" s="1187"/>
      <c r="AK3" s="1187"/>
      <c r="AL3" s="1187" t="str">
        <f>IF('Marks Entry'!U2="","",'Marks Entry'!U2)</f>
        <v>POLITICAL SCIENCE</v>
      </c>
      <c r="AM3" s="1187"/>
      <c r="AN3" s="1187"/>
      <c r="AO3" s="1187"/>
      <c r="AP3" s="1187"/>
      <c r="AQ3" s="1187"/>
      <c r="AR3" s="1187" t="str">
        <f>IF('Marks Entry'!Y2="","",'Marks Entry'!Y2)</f>
        <v>BIOLOGY</v>
      </c>
      <c r="AS3" s="1187"/>
      <c r="AT3" s="1187"/>
      <c r="AU3" s="1187"/>
      <c r="AV3" s="1187"/>
      <c r="AW3" s="1187" t="str">
        <f>IF('Marks Entry'!AA2="","",'Marks Entry'!AA2)</f>
        <v/>
      </c>
      <c r="AX3" s="1187"/>
      <c r="AY3" s="1187"/>
      <c r="AZ3" s="1187"/>
      <c r="BA3" s="1187"/>
      <c r="BB3" s="1187"/>
      <c r="BC3" s="1159" t="str">
        <f>IF('Marks Entry'!AA2="","",'Marks Entry'!AA2)</f>
        <v/>
      </c>
      <c r="BD3" s="1159"/>
      <c r="BE3" s="1159"/>
      <c r="BF3" s="1159"/>
      <c r="BG3" s="1159"/>
      <c r="BH3" s="1159"/>
      <c r="BI3" s="1187" t="str">
        <f>IF('Marks Entry'!AC2="","",'Marks Entry'!AC2)</f>
        <v>HISTORY</v>
      </c>
      <c r="BJ3" s="1187"/>
      <c r="BK3" s="1187"/>
      <c r="BL3" s="1187"/>
      <c r="BM3" s="1187"/>
      <c r="BN3" s="1187"/>
      <c r="BO3" s="1187" t="str">
        <f>IF('Marks Entry'!AG2="","",'Marks Entry'!AG2)</f>
        <v>ACCOUNTANCY</v>
      </c>
      <c r="BP3" s="1187"/>
      <c r="BQ3" s="1187"/>
      <c r="BR3" s="1187"/>
      <c r="BS3" s="1187"/>
      <c r="BT3" s="1187" t="str">
        <f>IF('Marks Entry'!AI2="","",'Marks Entry'!AI2)</f>
        <v>ECONOMICS</v>
      </c>
      <c r="BU3" s="1187"/>
      <c r="BV3" s="1187"/>
      <c r="BW3" s="1187"/>
      <c r="BX3" s="1187"/>
      <c r="BY3" s="1187"/>
      <c r="BZ3" s="1190"/>
      <c r="CA3" s="1190"/>
      <c r="CB3" s="1190"/>
      <c r="CC3" s="1190"/>
      <c r="CD3" s="1190"/>
      <c r="CE3" s="1190"/>
      <c r="CF3" s="1187" t="str">
        <f>IF('Marks Entry'!AK2="","",'Marks Entry'!AK2)</f>
        <v>GEOGRAPHY</v>
      </c>
      <c r="CG3" s="1187"/>
      <c r="CH3" s="1187"/>
      <c r="CI3" s="1187"/>
      <c r="CJ3" s="1187"/>
      <c r="CK3" s="1187"/>
      <c r="CL3" s="1187" t="str">
        <f>IF('Marks Entry'!AO2="","",'Marks Entry'!AO2)</f>
        <v>HOME SCIENCE</v>
      </c>
      <c r="CM3" s="1187"/>
      <c r="CN3" s="1187"/>
      <c r="CO3" s="1187"/>
      <c r="CP3" s="1187"/>
      <c r="CQ3" s="1187" t="str">
        <f>IF('Marks Entry'!AQ2="","",'Marks Entry'!AQ2)</f>
        <v>TYPING</v>
      </c>
      <c r="CR3" s="1187"/>
      <c r="CS3" s="1187"/>
      <c r="CT3" s="1187"/>
      <c r="CU3" s="1187"/>
      <c r="CV3" s="1187"/>
      <c r="CW3" s="1159" t="str">
        <f>IF('Marks Entry'!AQ2="","",'Marks Entry'!AQ2)</f>
        <v>TYPING</v>
      </c>
      <c r="CX3" s="1159"/>
      <c r="CY3" s="1159"/>
      <c r="CZ3" s="1159"/>
      <c r="DA3" s="1159"/>
      <c r="DB3" s="1159"/>
      <c r="DC3" s="143"/>
      <c r="DD3" s="1187" t="str">
        <f>IF('Marks Entry'!AS2="","",IF(AND('Master Sheet'!$D$19="YES",'Marks Entry'!$BA$1=1),'Marks Entry'!AS2,""))</f>
        <v/>
      </c>
      <c r="DE3" s="1187"/>
      <c r="DF3" s="1187"/>
      <c r="DG3" s="1187"/>
      <c r="DH3" s="1187"/>
      <c r="DI3" s="1187"/>
      <c r="DJ3" s="1187"/>
      <c r="DK3" s="1141" t="str">
        <f>IF('Marks Entry'!AW2="","",IF(AND('Master Sheet'!$D$19="YES",'Marks Entry'!$BA$1=1),'Marks Entry'!AW2,""))</f>
        <v/>
      </c>
      <c r="DL3" s="1142"/>
      <c r="DM3" s="1142"/>
      <c r="DN3" s="1142"/>
      <c r="DO3" s="1143"/>
      <c r="DP3" s="1142" t="str">
        <f>IF('Marks Entry'!AY2="","",IF(AND('Master Sheet'!$D$19="YES",'Marks Entry'!$BA$1=1),'Marks Entry'!AY2,""))</f>
        <v/>
      </c>
      <c r="DQ3" s="1142"/>
      <c r="DR3" s="1142"/>
      <c r="DS3" s="1142"/>
      <c r="DT3" s="1143"/>
      <c r="DU3" s="143"/>
      <c r="DV3" s="1159" t="str">
        <f>IF('Marks Entry'!BT2="","",'Marks Entry'!BT2)</f>
        <v/>
      </c>
      <c r="DW3" s="1159"/>
      <c r="DX3" s="1159"/>
      <c r="DY3" s="1159"/>
      <c r="DZ3" s="1159"/>
      <c r="EA3" s="1159"/>
      <c r="EB3" s="144"/>
      <c r="EC3" s="1190"/>
      <c r="ED3" s="1190"/>
      <c r="EE3" s="1190"/>
      <c r="EF3" s="1190"/>
      <c r="EG3" s="1190"/>
      <c r="EH3" s="1190"/>
      <c r="EI3" s="1190"/>
      <c r="EJ3" s="1190"/>
      <c r="EK3" s="1190"/>
      <c r="EL3" s="1191" t="s">
        <v>48</v>
      </c>
      <c r="EM3" s="1191"/>
      <c r="EN3" s="1191"/>
      <c r="EO3" s="1191"/>
      <c r="EP3" s="1191"/>
      <c r="EQ3" s="145"/>
      <c r="ER3" s="1134" t="s">
        <v>49</v>
      </c>
      <c r="ES3" s="1134" t="s">
        <v>50</v>
      </c>
      <c r="ET3" s="1134" t="s">
        <v>51</v>
      </c>
      <c r="EU3" s="1134" t="s">
        <v>52</v>
      </c>
      <c r="EV3" s="1134" t="s">
        <v>53</v>
      </c>
      <c r="EW3" s="1134" t="s">
        <v>54</v>
      </c>
      <c r="EX3" s="146"/>
      <c r="EY3" s="1141" t="str">
        <f>'Marks Entry'!BE1</f>
        <v xml:space="preserve">आजादी के बाद का स्वर्णिम भारत </v>
      </c>
      <c r="EZ3" s="1142"/>
      <c r="FA3" s="1142"/>
      <c r="FB3" s="1142"/>
      <c r="FC3" s="1142"/>
      <c r="FD3" s="1142"/>
      <c r="FE3" s="1142"/>
      <c r="FF3" s="1143"/>
      <c r="FG3" s="1137"/>
      <c r="FH3" s="1137"/>
      <c r="FI3" s="1137"/>
      <c r="FJ3" s="1263"/>
      <c r="FK3" s="1264"/>
      <c r="FL3" s="1264"/>
      <c r="FM3" s="1264"/>
      <c r="FN3" s="1264"/>
      <c r="FO3" s="1264"/>
      <c r="FP3" s="1264"/>
      <c r="FQ3" s="1264"/>
      <c r="FR3" s="1264"/>
      <c r="FS3" s="1264"/>
      <c r="FT3" s="1264"/>
      <c r="FU3" s="1264"/>
      <c r="FV3" s="1264"/>
      <c r="FW3" s="1264"/>
      <c r="FX3" s="1264"/>
      <c r="FY3" s="1264"/>
      <c r="FZ3" s="1264"/>
      <c r="GA3" s="1264"/>
      <c r="GB3" s="1264"/>
      <c r="GC3" s="1264"/>
      <c r="GD3" s="1264"/>
      <c r="GE3" s="1264"/>
      <c r="GF3" s="1264"/>
      <c r="GG3" s="1264"/>
      <c r="GH3" s="1264"/>
      <c r="GI3" s="1264"/>
      <c r="GJ3" s="1264"/>
      <c r="GK3" s="1264"/>
      <c r="GL3" s="1264"/>
      <c r="GM3" s="1264"/>
      <c r="GN3" s="1264"/>
      <c r="GO3" s="1264"/>
      <c r="GP3" s="1264"/>
      <c r="GQ3" s="1264"/>
      <c r="GR3" s="1264"/>
      <c r="GS3" s="1265"/>
      <c r="GT3" s="1282"/>
      <c r="GU3" s="1282"/>
      <c r="GV3" s="1282"/>
      <c r="GW3" s="1282"/>
      <c r="GX3" s="1282"/>
      <c r="GY3" s="1269"/>
      <c r="GZ3" s="1270"/>
      <c r="HA3" s="1270"/>
      <c r="HB3" s="1270"/>
      <c r="HC3" s="1270"/>
      <c r="HD3" s="1271"/>
      <c r="HE3" s="1275"/>
      <c r="HF3" s="1276"/>
      <c r="HG3" s="1276"/>
      <c r="HH3" s="1276"/>
      <c r="HI3" s="1277"/>
    </row>
    <row r="4" spans="1:262" s="147" customFormat="1" ht="30" customHeight="1">
      <c r="A4" s="1147" t="str">
        <f>'Marks Entry'!A4</f>
        <v xml:space="preserve">क्रमांक </v>
      </c>
      <c r="B4" s="1147" t="str">
        <f>'Marks Entry'!B4</f>
        <v xml:space="preserve">नामांक
Roll No. </v>
      </c>
      <c r="C4" s="1147" t="str">
        <f>'Marks Entry'!D4</f>
        <v xml:space="preserve">प्रवेशांक
SR. No. </v>
      </c>
      <c r="D4" s="1147" t="str">
        <f>'Marks Entry'!E4</f>
        <v>जन्मतिथि 
Date of Birth</v>
      </c>
      <c r="E4" s="1149" t="str">
        <f>CONCATENATE('Marks Entry'!F5,"  ",'Marks Entry'!F6)</f>
        <v>विद्यार्थी का नाम   Name of student</v>
      </c>
      <c r="F4" s="1137" t="str">
        <f>CONCATENATE('Marks Entry'!G5,"  ",'Marks Entry'!G6)</f>
        <v>पिता का नाम   Father's Name</v>
      </c>
      <c r="G4" s="1137" t="str">
        <f>CONCATENATE('Marks Entry'!H5,"  ",'Marks Entry'!H6)</f>
        <v>माता का नाम   Mother's Name</v>
      </c>
      <c r="H4" s="1148" t="str">
        <f>'Marks Entry'!I3</f>
        <v>जाति वर्ग  (Category)</v>
      </c>
      <c r="I4" s="1148" t="str">
        <f>'Marks Entry'!J3</f>
        <v>लिंग  (Gender)</v>
      </c>
      <c r="J4" s="1245" t="str">
        <f>'Marks Entry'!K4</f>
        <v>सामयिक परख</v>
      </c>
      <c r="K4" s="1245"/>
      <c r="L4" s="1245"/>
      <c r="M4" s="1246"/>
      <c r="N4" s="1244" t="str">
        <f>'Marks Entry'!N4</f>
        <v>अर्द्धवार्षिक</v>
      </c>
      <c r="O4" s="1160" t="str">
        <f>IF('Master Sheet'!$D$11="Hindi","अर्द्ध वा. तक योग","Total Till H.Y.")</f>
        <v>अर्द्ध वा. तक योग</v>
      </c>
      <c r="P4" s="1203" t="str">
        <f>'Marks Entry'!O4</f>
        <v>वार्षिक</v>
      </c>
      <c r="Q4" s="1172" t="str">
        <f>IF('Master Sheet'!$D$11="Hindi","विषय कुल योग ","Subject Total")</f>
        <v xml:space="preserve">विषय कुल योग </v>
      </c>
      <c r="R4" s="1135" t="s">
        <v>55</v>
      </c>
      <c r="S4" s="1135" t="s">
        <v>55</v>
      </c>
      <c r="T4" s="1136" t="s">
        <v>56</v>
      </c>
      <c r="U4" s="1135" t="s">
        <v>57</v>
      </c>
      <c r="V4" s="1136" t="s">
        <v>58</v>
      </c>
      <c r="W4" s="1136" t="s">
        <v>59</v>
      </c>
      <c r="X4" s="1245" t="str">
        <f>'Marks Entry'!P4</f>
        <v>सामयिक परख</v>
      </c>
      <c r="Y4" s="1245"/>
      <c r="Z4" s="1245"/>
      <c r="AA4" s="1246"/>
      <c r="AB4" s="1244" t="str">
        <f>'Marks Entry'!S4</f>
        <v>अर्द्धवार्षिक</v>
      </c>
      <c r="AC4" s="1160" t="str">
        <f>IF('Master Sheet'!$D$11="Hindi","अर्द्ध वा. तक योग","Total Till H.Y.")</f>
        <v>अर्द्ध वा. तक योग</v>
      </c>
      <c r="AD4" s="1203" t="str">
        <f>'Marks Entry'!T4</f>
        <v>वार्षिक</v>
      </c>
      <c r="AE4" s="1172" t="str">
        <f>IF('Master Sheet'!$D$11="Hindi","विषय कुल योग ","Subject Total")</f>
        <v xml:space="preserve">विषय कुल योग </v>
      </c>
      <c r="AF4" s="1135" t="s">
        <v>55</v>
      </c>
      <c r="AG4" s="1135" t="s">
        <v>55</v>
      </c>
      <c r="AH4" s="1136" t="s">
        <v>56</v>
      </c>
      <c r="AI4" s="1135" t="s">
        <v>57</v>
      </c>
      <c r="AJ4" s="1136" t="s">
        <v>58</v>
      </c>
      <c r="AK4" s="1136" t="s">
        <v>59</v>
      </c>
      <c r="AL4" s="1188" t="str">
        <f>IF('Marks Entry'!U4="","",'Marks Entry'!U4)</f>
        <v>विषय कोड</v>
      </c>
      <c r="AM4" s="1159" t="str">
        <f>IF('Marks Entry'!V4="","",'Marks Entry'!V4)</f>
        <v>सामयिक परख</v>
      </c>
      <c r="AN4" s="1159"/>
      <c r="AO4" s="1159"/>
      <c r="AP4" s="1159"/>
      <c r="AQ4" s="1159" t="str">
        <f>IF('Marks Entry'!Y4="","",'Marks Entry'!Y4)</f>
        <v>अर्द्धवार्षिक</v>
      </c>
      <c r="AR4" s="1159"/>
      <c r="AS4" s="1159"/>
      <c r="AT4" s="1160" t="str">
        <f>IF('Master Sheet'!$D$11="Hindi","अर्द्ध वा. तक योग","Total Till H.Y.")</f>
        <v>अर्द्ध वा. तक योग</v>
      </c>
      <c r="AU4" s="1159" t="str">
        <f>IF('Marks Entry'!AA4="","",'Marks Entry'!AA4)</f>
        <v>वार्षिक</v>
      </c>
      <c r="AV4" s="1159"/>
      <c r="AW4" s="1159"/>
      <c r="AX4" s="1162" t="str">
        <f>IF('Master Sheet'!$D$11="Hindi","सैद्धांतिक योग","Theoretical Sub Total")</f>
        <v>सैद्धांतिक योग</v>
      </c>
      <c r="AY4" s="1162" t="str">
        <f>IF('Master Sheet'!$D$11="Hindi","प्रायोगिक योग","Practical Sub. Total")</f>
        <v>प्रायोगिक योग</v>
      </c>
      <c r="AZ4" s="1172" t="str">
        <f>IF('Master Sheet'!$D$11="Hindi","विषय कुल योग ","Subject Total")</f>
        <v xml:space="preserve">विषय कुल योग </v>
      </c>
      <c r="BA4" s="1135" t="s">
        <v>55</v>
      </c>
      <c r="BB4" s="1135" t="s">
        <v>55</v>
      </c>
      <c r="BC4" s="1136" t="s">
        <v>60</v>
      </c>
      <c r="BD4" s="1136" t="s">
        <v>61</v>
      </c>
      <c r="BE4" s="1136" t="s">
        <v>56</v>
      </c>
      <c r="BF4" s="1135" t="s">
        <v>57</v>
      </c>
      <c r="BG4" s="1136" t="s">
        <v>58</v>
      </c>
      <c r="BH4" s="1136" t="s">
        <v>59</v>
      </c>
      <c r="BI4" s="1188" t="str">
        <f>IF('Marks Entry'!AC4="","",'Marks Entry'!AC4)</f>
        <v>विषय कोड</v>
      </c>
      <c r="BJ4" s="1159" t="str">
        <f>IF('Marks Entry'!AD4="","",'Marks Entry'!AD4)</f>
        <v>सामयिक परख</v>
      </c>
      <c r="BK4" s="1159"/>
      <c r="BL4" s="1159"/>
      <c r="BM4" s="1159"/>
      <c r="BN4" s="1159" t="str">
        <f>IF('Marks Entry'!AG4="","",'Marks Entry'!AG4)</f>
        <v>अर्द्धवार्षिक</v>
      </c>
      <c r="BO4" s="1159"/>
      <c r="BP4" s="1159"/>
      <c r="BQ4" s="1160" t="str">
        <f>IF('Master Sheet'!$D$11="Hindi","अर्द्ध वा. तक योग","Total Till H.Y.")</f>
        <v>अर्द्ध वा. तक योग</v>
      </c>
      <c r="BR4" s="1159" t="str">
        <f>IF('Marks Entry'!AI4="","",'Marks Entry'!AI4)</f>
        <v>वार्षिक</v>
      </c>
      <c r="BS4" s="1159"/>
      <c r="BT4" s="1159"/>
      <c r="BU4" s="1162" t="str">
        <f>IF('Master Sheet'!$D$11="Hindi","सैद्धांतिक योग","Theoretical Sub Total")</f>
        <v>सैद्धांतिक योग</v>
      </c>
      <c r="BV4" s="1162" t="str">
        <f>IF('Master Sheet'!$D$11="Hindi","प्रायोगिक योग","Practical Sub. Total")</f>
        <v>प्रायोगिक योग</v>
      </c>
      <c r="BW4" s="1172" t="str">
        <f>IF('Master Sheet'!$D$11="Hindi","विषय कुल योग ","Subject Total")</f>
        <v xml:space="preserve">विषय कुल योग </v>
      </c>
      <c r="BX4" s="1135" t="s">
        <v>55</v>
      </c>
      <c r="BY4" s="1135" t="s">
        <v>55</v>
      </c>
      <c r="BZ4" s="1136" t="s">
        <v>60</v>
      </c>
      <c r="CA4" s="1136" t="s">
        <v>61</v>
      </c>
      <c r="CB4" s="1136" t="s">
        <v>56</v>
      </c>
      <c r="CC4" s="1135" t="s">
        <v>57</v>
      </c>
      <c r="CD4" s="1136" t="s">
        <v>58</v>
      </c>
      <c r="CE4" s="1136" t="s">
        <v>59</v>
      </c>
      <c r="CF4" s="1188" t="str">
        <f>IF('Marks Entry'!AK4="","",'Marks Entry'!AK4)</f>
        <v>विषय कोड</v>
      </c>
      <c r="CG4" s="1159" t="str">
        <f>IF('Marks Entry'!AL4="","",'Marks Entry'!AL4)</f>
        <v>सामयिक परख</v>
      </c>
      <c r="CH4" s="1159"/>
      <c r="CI4" s="1159"/>
      <c r="CJ4" s="1159"/>
      <c r="CK4" s="1159" t="str">
        <f>IF('Marks Entry'!AO4="","",'Marks Entry'!AO4)</f>
        <v>अर्द्धवार्षिक</v>
      </c>
      <c r="CL4" s="1159"/>
      <c r="CM4" s="1159"/>
      <c r="CN4" s="1160" t="str">
        <f>IF('Master Sheet'!$D$11="Hindi","अर्द्ध वा. तक योग","Total Till H.Y.")</f>
        <v>अर्द्ध वा. तक योग</v>
      </c>
      <c r="CO4" s="1159" t="str">
        <f>IF('Marks Entry'!AQ4="","",'Marks Entry'!AQ4)</f>
        <v>वार्षिक</v>
      </c>
      <c r="CP4" s="1159"/>
      <c r="CQ4" s="1159"/>
      <c r="CR4" s="1162" t="str">
        <f>IF('Master Sheet'!$D$11="Hindi","सैद्धांतिक योग","Theoretical Sub Total")</f>
        <v>सैद्धांतिक योग</v>
      </c>
      <c r="CS4" s="1162" t="str">
        <f>IF('Master Sheet'!$D$11="Hindi","प्रायोगिक योग","Practical Sub. Total")</f>
        <v>प्रायोगिक योग</v>
      </c>
      <c r="CT4" s="1172" t="str">
        <f>IF('Master Sheet'!$D$11="Hindi","विषय कुल योग ","Subject Total")</f>
        <v xml:space="preserve">विषय कुल योग </v>
      </c>
      <c r="CU4" s="1135" t="s">
        <v>55</v>
      </c>
      <c r="CV4" s="1135" t="s">
        <v>55</v>
      </c>
      <c r="CW4" s="1136" t="s">
        <v>60</v>
      </c>
      <c r="CX4" s="1136" t="s">
        <v>61</v>
      </c>
      <c r="CY4" s="1136" t="s">
        <v>56</v>
      </c>
      <c r="CZ4" s="1135" t="s">
        <v>57</v>
      </c>
      <c r="DA4" s="1136" t="s">
        <v>58</v>
      </c>
      <c r="DB4" s="1136" t="s">
        <v>59</v>
      </c>
      <c r="DC4" s="1135" t="s">
        <v>62</v>
      </c>
      <c r="DD4" s="1188" t="str">
        <f>IF('Marks Entry'!AS4="","",'Marks Entry'!AS4)</f>
        <v>विषय कोड</v>
      </c>
      <c r="DE4" s="1159" t="str">
        <f>IF('Marks Entry'!AT4="","",'Marks Entry'!AT4)</f>
        <v>सामयिक परख</v>
      </c>
      <c r="DF4" s="1159"/>
      <c r="DG4" s="1159"/>
      <c r="DH4" s="1159"/>
      <c r="DI4" s="1159" t="str">
        <f>IF('Marks Entry'!AW4="","",'Marks Entry'!AW4)</f>
        <v>अर्द्धवार्षिक</v>
      </c>
      <c r="DJ4" s="1159"/>
      <c r="DK4" s="1159"/>
      <c r="DL4" s="1160" t="str">
        <f>IF('Master Sheet'!$D$11="Hindi","अर्द्ध वा. तक योग","Total Till H.Y.")</f>
        <v>अर्द्ध वा. तक योग</v>
      </c>
      <c r="DM4" s="1159" t="str">
        <f>IF('Marks Entry'!AY4="","",'Marks Entry'!AY4)</f>
        <v>वार्षिक</v>
      </c>
      <c r="DN4" s="1159"/>
      <c r="DO4" s="1159"/>
      <c r="DP4" s="1159"/>
      <c r="DQ4" s="1162" t="str">
        <f>IF('Master Sheet'!$D$11="Hindi","सैद्धांतिक योग","Theoretical Sub Total")</f>
        <v>सैद्धांतिक योग</v>
      </c>
      <c r="DR4" s="1162" t="str">
        <f>IF('Master Sheet'!$D$11="Hindi","पोर्टफोलियो योग","Portfolio Total")</f>
        <v>पोर्टफोलियो योग</v>
      </c>
      <c r="DS4" s="1162" t="str">
        <f>IF('Master Sheet'!$D$11="Hindi","प्रायोगिक योग","Practical Sub. Total")</f>
        <v>प्रायोगिक योग</v>
      </c>
      <c r="DT4" s="1172" t="str">
        <f>IF('Master Sheet'!$D$11="Hindi","विषय कुल योग ","Subject Total")</f>
        <v xml:space="preserve">विषय कुल योग </v>
      </c>
      <c r="DU4" s="1135" t="s">
        <v>55</v>
      </c>
      <c r="DV4" s="1135" t="s">
        <v>55</v>
      </c>
      <c r="DW4" s="1136" t="s">
        <v>60</v>
      </c>
      <c r="DX4" s="1136" t="s">
        <v>61</v>
      </c>
      <c r="DY4" s="1136" t="s">
        <v>56</v>
      </c>
      <c r="DZ4" s="1135" t="s">
        <v>57</v>
      </c>
      <c r="EA4" s="1136" t="s">
        <v>58</v>
      </c>
      <c r="EB4" s="1136" t="s">
        <v>59</v>
      </c>
      <c r="EC4" s="1159" t="str">
        <f>'Marks Entry'!BB2</f>
        <v>जीवन कौशल</v>
      </c>
      <c r="ED4" s="1159"/>
      <c r="EE4" s="1159"/>
      <c r="EF4" s="1159"/>
      <c r="EG4" s="1135" t="s">
        <v>55</v>
      </c>
      <c r="EH4" s="1135" t="s">
        <v>55</v>
      </c>
      <c r="EI4" s="1136" t="s">
        <v>56</v>
      </c>
      <c r="EJ4" s="1135" t="s">
        <v>57</v>
      </c>
      <c r="EK4" s="1136" t="s">
        <v>63</v>
      </c>
      <c r="EL4" s="1191"/>
      <c r="EM4" s="1191"/>
      <c r="EN4" s="1191"/>
      <c r="EO4" s="1191"/>
      <c r="EP4" s="1191"/>
      <c r="EQ4" s="145"/>
      <c r="ER4" s="1134"/>
      <c r="ES4" s="1134"/>
      <c r="ET4" s="1134"/>
      <c r="EU4" s="1134"/>
      <c r="EV4" s="1134"/>
      <c r="EW4" s="1134"/>
      <c r="EX4" s="1198" t="s">
        <v>64</v>
      </c>
      <c r="EY4" s="1278" t="str">
        <f>IF('Marks Entry'!BE3="","",'Marks Entry'!BE3)</f>
        <v>सामयिक परख</v>
      </c>
      <c r="EZ4" s="1279"/>
      <c r="FA4" s="1279"/>
      <c r="FB4" s="1280"/>
      <c r="FC4" s="1138" t="str">
        <f>IF('Marks Entry'!BH3="","",'Marks Entry'!BH3)</f>
        <v>अर्द्धवार्षिक</v>
      </c>
      <c r="FD4" s="1138" t="str">
        <f>IF('Marks Entry'!BI3="","",'Marks Entry'!BI3)</f>
        <v>वार्षिक</v>
      </c>
      <c r="FE4" s="1172" t="str">
        <f>IF('Master Sheet'!$D$11="Hindi","विषय कुल योग ","Subject Total")</f>
        <v xml:space="preserve">विषय कुल योग </v>
      </c>
      <c r="FF4" s="1281" t="str">
        <f>IF('Master Sheet'!$D$11="Hindi","विषय ग्रेड","Sub. Grade")</f>
        <v>विषय ग्रेड</v>
      </c>
      <c r="FG4" s="1188" t="str">
        <f>IF('Master Sheet'!D11="Hindi","कुल कार्य दिवस","Total Working Days")</f>
        <v>कुल कार्य दिवस</v>
      </c>
      <c r="FH4" s="1188" t="str">
        <f>IF('Master Sheet'!D11="Hindi","कुल उपस्थिति","Student's Attendance")</f>
        <v>कुल उपस्थिति</v>
      </c>
      <c r="FI4" s="1229" t="str">
        <f>IF('Master Sheet'!D11="Hindi","उपस्थिति प्रतिशत","Attendance  Percentage")</f>
        <v>उपस्थिति प्रतिशत</v>
      </c>
      <c r="FJ4" s="1159" t="str">
        <f>J3</f>
        <v>Com. Hindi</v>
      </c>
      <c r="FK4" s="1159"/>
      <c r="FL4" s="1159"/>
      <c r="FM4" s="1159" t="str">
        <f>X3</f>
        <v>Com. English</v>
      </c>
      <c r="FN4" s="1159"/>
      <c r="FO4" s="1159"/>
      <c r="FP4" s="148"/>
      <c r="FQ4" s="1146" t="str">
        <f>AL2</f>
        <v>Optional Subject - 01</v>
      </c>
      <c r="FR4" s="1146"/>
      <c r="FS4" s="1146"/>
      <c r="FT4" s="1146"/>
      <c r="FU4" s="1146"/>
      <c r="FV4" s="1146"/>
      <c r="FW4" s="149"/>
      <c r="FX4" s="1146" t="str">
        <f>BI2</f>
        <v>Optional Subject - 02</v>
      </c>
      <c r="FY4" s="1146"/>
      <c r="FZ4" s="1146"/>
      <c r="GA4" s="1146"/>
      <c r="GB4" s="1146"/>
      <c r="GC4" s="1146"/>
      <c r="GD4" s="149"/>
      <c r="GE4" s="1146" t="str">
        <f>CF2</f>
        <v>Optional Subject - 03</v>
      </c>
      <c r="GF4" s="1146"/>
      <c r="GG4" s="1146"/>
      <c r="GH4" s="1146"/>
      <c r="GI4" s="1146"/>
      <c r="GJ4" s="1146"/>
      <c r="GK4" s="149"/>
      <c r="GL4" s="1146" t="str">
        <f>DD2</f>
        <v>Additional Sub. / Vocational  Subject</v>
      </c>
      <c r="GM4" s="1146"/>
      <c r="GN4" s="1146"/>
      <c r="GO4" s="1146"/>
      <c r="GP4" s="1146"/>
      <c r="GQ4" s="1146"/>
      <c r="GR4" s="1138" t="str">
        <f>EC4</f>
        <v>जीवन कौशल</v>
      </c>
      <c r="GS4" s="1138" t="str">
        <f>EY3</f>
        <v xml:space="preserve">आजादी के बाद का स्वर्णिम भारत </v>
      </c>
      <c r="GT4" s="1187" t="str">
        <f>IF('Master Sheet'!D11="Hindi","अनुतीर्ण विषय","Failed Subject")</f>
        <v>अनुतीर्ण विषय</v>
      </c>
      <c r="GU4" s="1187" t="str">
        <f>IF('Master Sheet'!D11="Hindi","पूरक विषय","Supplementary Subject")</f>
        <v>पूरक विषय</v>
      </c>
      <c r="GV4" s="1187" t="str">
        <f>IF('Master Sheet'!D11="Hindi","सानुग्रह उतीर्ण विषय","Subject Of Grace")</f>
        <v>सानुग्रह उतीर्ण विषय</v>
      </c>
      <c r="GW4" s="1187" t="str">
        <f>IF('Master Sheet'!D11="Hindi","पुनः परीक्षा के विषय","Subject of Re-Exam")</f>
        <v>पुनः परीक्षा के विषय</v>
      </c>
      <c r="GX4" s="1187" t="str">
        <f>IF('Master Sheet'!D11="Hindi","विशेष योग्यता प्राप्त विषय","Subjects Of Dictation Marks")</f>
        <v>विशेष योग्यता प्राप्त विषय</v>
      </c>
      <c r="GY4" s="1159" t="str">
        <f>IF('Master Sheet'!D11="Hindi","परिणाम :- उतीर्ण/ सा.उतीर्ण/ पूरक/ पुनः परीक्षा/ अनुतीर्ण","Result :- PASS/ BY GRACE PASS/ SUPPLEMENTARY/ RE-EXAM/ FAIL")</f>
        <v>परिणाम :- उतीर्ण/ सा.उतीर्ण/ पूरक/ पुनः परीक्षा/ अनुतीर्ण</v>
      </c>
      <c r="GZ4" s="1144" t="str">
        <f>IF('Master Sheet'!D11="Hindi","सर्व योग प्राप्तांक","Grand Total")</f>
        <v>सर्व योग प्राप्तांक</v>
      </c>
      <c r="HA4" s="1145" t="s">
        <v>66</v>
      </c>
      <c r="HB4" s="1252" t="str">
        <f>IF('Master Sheet'!D11="Hindi","श्रेणी","Division")</f>
        <v>श्रेणी</v>
      </c>
      <c r="HC4" s="1148" t="str">
        <f>IF('Master Sheet'!D11="Hindi","प्रतिशत","Percentage")</f>
        <v>प्रतिशत</v>
      </c>
      <c r="HD4" s="1252" t="str">
        <f>IF('Master Sheet'!D11="Hindi","कक्षा में स्थान","Position in the Class")</f>
        <v>कक्षा में स्थान</v>
      </c>
      <c r="HE4" s="1138" t="str">
        <f>IF('Master Sheet'!D11="Hindi","पूरक परीक्षा का परिणाम","Result of Supplementary Exam")</f>
        <v>पूरक परीक्षा का परिणाम</v>
      </c>
      <c r="HF4" s="1138" t="str">
        <f>IF('Master Sheet'!D11="Hindi","पूरक परीक्षा उतीर्ण के बाद प्रतिशत","Percentage  after Passing the Supplementary Exam")</f>
        <v>पूरक परीक्षा उतीर्ण के बाद प्रतिशत</v>
      </c>
      <c r="HG4" s="1203" t="str">
        <f>IF('Master Sheet'!D11="Hindi","श्रेणी","Division")</f>
        <v>श्रेणी</v>
      </c>
      <c r="HH4" s="1138" t="str">
        <f>IF('Master Sheet'!D11="Hindi","पूरक परीक्षा उतीर्ण के पश्चात् परिणाम","Final Result after Passing the Supplementary Exam")</f>
        <v>पूरक परीक्षा उतीर्ण के पश्चात् परिणाम</v>
      </c>
      <c r="HI4" s="1203" t="str">
        <f>IF('Master Sheet'!D11="Hindi","विशेष विवरण","Specifications")</f>
        <v>विशेष विवरण</v>
      </c>
      <c r="HY4" s="1211" t="s">
        <v>95</v>
      </c>
      <c r="HZ4" s="1212"/>
      <c r="IA4" s="1212"/>
      <c r="IB4" s="1212"/>
      <c r="IC4" s="1212"/>
      <c r="ID4" s="1213"/>
      <c r="IE4" s="1217" t="s">
        <v>94</v>
      </c>
      <c r="IF4" s="1218"/>
      <c r="IG4" s="1218"/>
      <c r="IH4" s="1218"/>
      <c r="II4" s="1218"/>
      <c r="IJ4" s="1219"/>
      <c r="IK4" s="1223" t="s">
        <v>58</v>
      </c>
      <c r="IL4" s="1224"/>
      <c r="IM4" s="1224"/>
      <c r="IN4" s="1224"/>
      <c r="IO4" s="1224"/>
      <c r="IP4" s="1225"/>
      <c r="IQ4" s="150"/>
      <c r="IR4" s="150"/>
      <c r="IS4" s="150"/>
      <c r="IT4" s="1133" t="s">
        <v>96</v>
      </c>
      <c r="IU4" s="1133"/>
      <c r="IV4" s="1133"/>
      <c r="IW4" s="1133"/>
      <c r="IX4" s="1133"/>
      <c r="IY4" s="1133" t="s">
        <v>67</v>
      </c>
      <c r="IZ4" s="1133" t="s">
        <v>66</v>
      </c>
      <c r="JA4" s="1133" t="s">
        <v>101</v>
      </c>
    </row>
    <row r="5" spans="1:262" s="147" customFormat="1" ht="83.25" customHeight="1">
      <c r="A5" s="1148"/>
      <c r="B5" s="1148"/>
      <c r="C5" s="1148"/>
      <c r="D5" s="1148"/>
      <c r="E5" s="1137"/>
      <c r="F5" s="1137"/>
      <c r="G5" s="1137"/>
      <c r="H5" s="1148"/>
      <c r="I5" s="1148"/>
      <c r="J5" s="574" t="str">
        <f>'Marks Entry'!K5</f>
        <v xml:space="preserve">प्रथम परख </v>
      </c>
      <c r="K5" s="574" t="str">
        <f>'Marks Entry'!L5</f>
        <v>द्वितीय परख</v>
      </c>
      <c r="L5" s="574" t="str">
        <f>'Marks Entry'!M5</f>
        <v>तृतीय परख</v>
      </c>
      <c r="M5" s="576" t="str">
        <f>IF('Master Sheet'!$D$11="Hindi","सा. परख योग","Test Total")</f>
        <v>सा. परख योग</v>
      </c>
      <c r="N5" s="1244"/>
      <c r="O5" s="1161"/>
      <c r="P5" s="1205"/>
      <c r="Q5" s="1172"/>
      <c r="R5" s="1135"/>
      <c r="S5" s="1135"/>
      <c r="T5" s="1136"/>
      <c r="U5" s="1135"/>
      <c r="V5" s="1136"/>
      <c r="W5" s="1136"/>
      <c r="X5" s="574" t="str">
        <f>'Marks Entry'!P5</f>
        <v xml:space="preserve">प्रथम परख </v>
      </c>
      <c r="Y5" s="574" t="str">
        <f>'Marks Entry'!Q5</f>
        <v>द्वितीय परख</v>
      </c>
      <c r="Z5" s="574" t="str">
        <f>'Marks Entry'!R5</f>
        <v>तृतीय परख</v>
      </c>
      <c r="AA5" s="576" t="str">
        <f>IF('Master Sheet'!$D$11="Hindi","सा. परख योग","Test Total")</f>
        <v>सा. परख योग</v>
      </c>
      <c r="AB5" s="1244"/>
      <c r="AC5" s="1161"/>
      <c r="AD5" s="1205"/>
      <c r="AE5" s="1172"/>
      <c r="AF5" s="1135"/>
      <c r="AG5" s="1135"/>
      <c r="AH5" s="1136"/>
      <c r="AI5" s="1135"/>
      <c r="AJ5" s="1136"/>
      <c r="AK5" s="1136"/>
      <c r="AL5" s="1188"/>
      <c r="AM5" s="575" t="str">
        <f>IF('Marks Entry'!V5="","",'Marks Entry'!V5)</f>
        <v xml:space="preserve">प्रथम परख </v>
      </c>
      <c r="AN5" s="575" t="str">
        <f>IF('Marks Entry'!W5="","",'Marks Entry'!W5)</f>
        <v>द्वितीय परख</v>
      </c>
      <c r="AO5" s="575" t="str">
        <f>IF('Marks Entry'!X5="","",'Marks Entry'!X5)</f>
        <v>तृतीय परख</v>
      </c>
      <c r="AP5" s="576" t="str">
        <f>IF('Master Sheet'!$D$11="Hindi","सा. परख योग","Test Total")</f>
        <v>सा. परख योग</v>
      </c>
      <c r="AQ5" s="152" t="str">
        <f>IF('Marks Entry'!Y5="","",'Marks Entry'!Y5)</f>
        <v>सैद्धांतिक</v>
      </c>
      <c r="AR5" s="571" t="str">
        <f>IF('Marks Entry'!Z5="","",'Marks Entry'!Z5)</f>
        <v>प्रायोगिक</v>
      </c>
      <c r="AS5" s="151" t="str">
        <f>IF('Master Sheet'!$D$11="Hindi","अर्द्ध वा. योग","Total H.Y.")</f>
        <v>अर्द्ध वा. योग</v>
      </c>
      <c r="AT5" s="1161"/>
      <c r="AU5" s="152" t="str">
        <f>IF('Marks Entry'!AA5="","",'Marks Entry'!AA5)</f>
        <v>सैद्धांतिक</v>
      </c>
      <c r="AV5" s="571" t="str">
        <f>IF('Marks Entry'!AB5="","",'Marks Entry'!AB5)</f>
        <v>प्रायोगिक</v>
      </c>
      <c r="AW5" s="151" t="str">
        <f>IF('Master Sheet'!$D$11="Hindi","वार्षिक योग","Total Yearly")</f>
        <v>वार्षिक योग</v>
      </c>
      <c r="AX5" s="1162"/>
      <c r="AY5" s="1162"/>
      <c r="AZ5" s="1172"/>
      <c r="BA5" s="1135"/>
      <c r="BB5" s="1135"/>
      <c r="BC5" s="1136"/>
      <c r="BD5" s="1136"/>
      <c r="BE5" s="1136"/>
      <c r="BF5" s="1135"/>
      <c r="BG5" s="1136"/>
      <c r="BH5" s="1136"/>
      <c r="BI5" s="1188"/>
      <c r="BJ5" s="577" t="str">
        <f>IF('Marks Entry'!AD5="","",'Marks Entry'!AD5)</f>
        <v xml:space="preserve">प्रथम परख </v>
      </c>
      <c r="BK5" s="577" t="str">
        <f>IF('Marks Entry'!AE5="","",'Marks Entry'!AE5)</f>
        <v>द्वितीय परख</v>
      </c>
      <c r="BL5" s="577" t="str">
        <f>IF('Marks Entry'!AF5="","",'Marks Entry'!AF5)</f>
        <v>तृतीय परख</v>
      </c>
      <c r="BM5" s="576" t="str">
        <f>IF('Master Sheet'!$D$11="Hindi","सा. परख योग","Test Total")</f>
        <v>सा. परख योग</v>
      </c>
      <c r="BN5" s="579" t="str">
        <f>IF('Marks Entry'!AG5="","",'Marks Entry'!AG5)</f>
        <v>सैद्धांतिक</v>
      </c>
      <c r="BO5" s="579" t="str">
        <f>IF('Marks Entry'!AH5="","",'Marks Entry'!AH5)</f>
        <v>प्रायोगिक</v>
      </c>
      <c r="BP5" s="578" t="str">
        <f>IF('Master Sheet'!$D$11="Hindi","अर्द्ध वा. योग","Total H.Y.")</f>
        <v>अर्द्ध वा. योग</v>
      </c>
      <c r="BQ5" s="1161"/>
      <c r="BR5" s="579" t="str">
        <f>IF('Marks Entry'!AI5="","",'Marks Entry'!AI5)</f>
        <v>सैद्धांतिक</v>
      </c>
      <c r="BS5" s="579" t="str">
        <f>IF('Marks Entry'!AJ5="","",'Marks Entry'!AJ5)</f>
        <v>प्रायोगिक</v>
      </c>
      <c r="BT5" s="578" t="str">
        <f>IF('Master Sheet'!$D$11="Hindi","वार्षिक योग","Total Yearly")</f>
        <v>वार्षिक योग</v>
      </c>
      <c r="BU5" s="1162"/>
      <c r="BV5" s="1162"/>
      <c r="BW5" s="1172"/>
      <c r="BX5" s="1135"/>
      <c r="BY5" s="1135"/>
      <c r="BZ5" s="1136"/>
      <c r="CA5" s="1136"/>
      <c r="CB5" s="1136"/>
      <c r="CC5" s="1135"/>
      <c r="CD5" s="1136"/>
      <c r="CE5" s="1136"/>
      <c r="CF5" s="1188"/>
      <c r="CG5" s="583" t="str">
        <f>IF('Marks Entry'!AL5="","",'Marks Entry'!AL5)</f>
        <v xml:space="preserve">प्रथम परख </v>
      </c>
      <c r="CH5" s="583" t="str">
        <f>IF('Marks Entry'!AM5="","",'Marks Entry'!AM5)</f>
        <v>द्वितीय परख</v>
      </c>
      <c r="CI5" s="583" t="str">
        <f>IF('Marks Entry'!AN5="","",'Marks Entry'!AN5)</f>
        <v>तृतीय परख</v>
      </c>
      <c r="CJ5" s="576" t="str">
        <f>IF('Master Sheet'!$D$11="Hindi","सा. परख योग","Test Total")</f>
        <v>सा. परख योग</v>
      </c>
      <c r="CK5" s="152" t="str">
        <f>IF('Marks Entry'!AO5="","",'Marks Entry'!AO5)</f>
        <v>सैद्धांतिक</v>
      </c>
      <c r="CL5" s="579" t="str">
        <f>IF('Marks Entry'!AP5="","",'Marks Entry'!AP5)</f>
        <v>प्रायोगिक</v>
      </c>
      <c r="CM5" s="582" t="str">
        <f>IF('Master Sheet'!$D$11="Hindi","अर्द्ध वा. योग","Total H.Y.")</f>
        <v>अर्द्ध वा. योग</v>
      </c>
      <c r="CN5" s="1161"/>
      <c r="CO5" s="152" t="str">
        <f>IF('Marks Entry'!AQ5="","",'Marks Entry'!AQ5)</f>
        <v>सैद्धांतिक</v>
      </c>
      <c r="CP5" s="579" t="str">
        <f>IF('Marks Entry'!AR5="","",'Marks Entry'!AR5)</f>
        <v>प्रायोगिक</v>
      </c>
      <c r="CQ5" s="582" t="str">
        <f>IF('Master Sheet'!$D$11="Hindi","वार्षिक योग","Total Yearly")</f>
        <v>वार्षिक योग</v>
      </c>
      <c r="CR5" s="1162"/>
      <c r="CS5" s="1162"/>
      <c r="CT5" s="1172"/>
      <c r="CU5" s="1135"/>
      <c r="CV5" s="1135"/>
      <c r="CW5" s="1136"/>
      <c r="CX5" s="1136"/>
      <c r="CY5" s="1136"/>
      <c r="CZ5" s="1135"/>
      <c r="DA5" s="1136"/>
      <c r="DB5" s="1136"/>
      <c r="DC5" s="1135"/>
      <c r="DD5" s="1188"/>
      <c r="DE5" s="585" t="str">
        <f>IF('Marks Entry'!AT5="","",'Marks Entry'!AT5)</f>
        <v xml:space="preserve">प्रथम परख </v>
      </c>
      <c r="DF5" s="585" t="str">
        <f>IF('Marks Entry'!AU5="","",'Marks Entry'!AU5)</f>
        <v>द्वितीय परख</v>
      </c>
      <c r="DG5" s="585" t="str">
        <f>IF('Marks Entry'!AV5="","",'Marks Entry'!AV5)</f>
        <v>तृतीय परख</v>
      </c>
      <c r="DH5" s="576" t="str">
        <f>IF('Master Sheet'!$D$11="Hindi","सा. परख योग","Test Total")</f>
        <v>सा. परख योग</v>
      </c>
      <c r="DI5" s="152" t="str">
        <f>IF('Marks Entry'!AW5="","",'Marks Entry'!AW5)</f>
        <v>सैद्धांतिक</v>
      </c>
      <c r="DJ5" s="591" t="str">
        <f>IF('Marks Entry'!AX5="","",'Marks Entry'!AX5)</f>
        <v>प्रायोगिक</v>
      </c>
      <c r="DK5" s="592" t="str">
        <f>IF('Master Sheet'!$D$11="Hindi","अर्द्ध वा. योग","Total H.Y.")</f>
        <v>अर्द्ध वा. योग</v>
      </c>
      <c r="DL5" s="1161"/>
      <c r="DM5" s="152" t="str">
        <f>IF('Marks Entry'!AY5="","",'Marks Entry'!AY5)</f>
        <v>सैद्धांतिक</v>
      </c>
      <c r="DN5" s="591" t="str">
        <f>IF('Marks Entry'!AZ5="","",'Marks Entry'!AZ5)</f>
        <v>पोर्टफोलियो</v>
      </c>
      <c r="DO5" s="591" t="str">
        <f>IF('Marks Entry'!BA5="","",'Marks Entry'!BA5)</f>
        <v>प्रायोगिक</v>
      </c>
      <c r="DP5" s="592" t="str">
        <f>IF('Master Sheet'!$D$11="Hindi","वार्षिक योग","Total Yearly")</f>
        <v>वार्षिक योग</v>
      </c>
      <c r="DQ5" s="1162"/>
      <c r="DR5" s="1162"/>
      <c r="DS5" s="1162"/>
      <c r="DT5" s="1172"/>
      <c r="DU5" s="1135"/>
      <c r="DV5" s="1135"/>
      <c r="DW5" s="1136"/>
      <c r="DX5" s="1136"/>
      <c r="DY5" s="1136"/>
      <c r="DZ5" s="1135"/>
      <c r="EA5" s="1136"/>
      <c r="EB5" s="1136"/>
      <c r="EC5" s="591" t="str">
        <f>'Marks Entry'!BB4</f>
        <v>अनिवार्य प्रवृति</v>
      </c>
      <c r="ED5" s="591" t="str">
        <f>'Marks Entry'!BC4</f>
        <v>वैकल्पिक प्रवृति</v>
      </c>
      <c r="EE5" s="591" t="str">
        <f>'Marks Entry'!BD4</f>
        <v>वार्षिक परीक्षा</v>
      </c>
      <c r="EF5" s="593" t="str">
        <f>IF('Master Sheet'!$D$11="Hindi","विषय कुल योग ","Subject Total")</f>
        <v xml:space="preserve">विषय कुल योग </v>
      </c>
      <c r="EG5" s="1135"/>
      <c r="EH5" s="1135"/>
      <c r="EI5" s="1136"/>
      <c r="EJ5" s="1135"/>
      <c r="EK5" s="1136"/>
      <c r="EL5" s="1191"/>
      <c r="EM5" s="1191"/>
      <c r="EN5" s="1191"/>
      <c r="EO5" s="1191"/>
      <c r="EP5" s="1191"/>
      <c r="EQ5" s="145"/>
      <c r="ER5" s="1134"/>
      <c r="ES5" s="1134"/>
      <c r="ET5" s="1134"/>
      <c r="EU5" s="1134"/>
      <c r="EV5" s="1134"/>
      <c r="EW5" s="1134"/>
      <c r="EX5" s="1198"/>
      <c r="EY5" s="585" t="str">
        <f>IF('Marks Entry'!BE4="","",'Marks Entry'!BE4)</f>
        <v xml:space="preserve">प्रथम परख </v>
      </c>
      <c r="EZ5" s="585" t="str">
        <f>IF('Marks Entry'!BF4="","",'Marks Entry'!BF4)</f>
        <v>द्वितीय परख</v>
      </c>
      <c r="FA5" s="585" t="str">
        <f>IF('Marks Entry'!BG4="","",'Marks Entry'!BG4)</f>
        <v>तृतीय परख</v>
      </c>
      <c r="FB5" s="576" t="str">
        <f>IF('Master Sheet'!$D$11="Hindi","सा. परख योग","Test Total")</f>
        <v>सा. परख योग</v>
      </c>
      <c r="FC5" s="1140"/>
      <c r="FD5" s="1140"/>
      <c r="FE5" s="1172"/>
      <c r="FF5" s="1281"/>
      <c r="FG5" s="1229"/>
      <c r="FH5" s="1229"/>
      <c r="FI5" s="1230"/>
      <c r="FJ5" s="1106" t="str">
        <f>IF('Marks Entry'!K1="Com. Hindi","Com. Hindi","")</f>
        <v>Com. Hindi</v>
      </c>
      <c r="FK5" s="1106"/>
      <c r="FL5" s="1106" t="s">
        <v>229</v>
      </c>
      <c r="FM5" s="1106" t="str">
        <f>IF('Marks Entry'!P1="Com. English","Com. English","")</f>
        <v>Com. English</v>
      </c>
      <c r="FN5" s="1106"/>
      <c r="FO5" s="1106" t="s">
        <v>229</v>
      </c>
      <c r="FP5" s="1130" t="str">
        <f>AL2</f>
        <v>Optional Subject - 01</v>
      </c>
      <c r="FQ5" s="1106" t="str">
        <f>AL3</f>
        <v>POLITICAL SCIENCE</v>
      </c>
      <c r="FR5" s="1106" t="str">
        <f>AR3</f>
        <v>BIOLOGY</v>
      </c>
      <c r="FS5" s="1106" t="str">
        <f>AW3</f>
        <v/>
      </c>
      <c r="FT5" s="1106"/>
      <c r="FU5" s="1106"/>
      <c r="FV5" s="1106" t="s">
        <v>229</v>
      </c>
      <c r="FW5" s="1130" t="str">
        <f>BI2</f>
        <v>Optional Subject - 02</v>
      </c>
      <c r="FX5" s="1106" t="str">
        <f>BI3</f>
        <v>HISTORY</v>
      </c>
      <c r="FY5" s="1106" t="str">
        <f>BO3</f>
        <v>ACCOUNTANCY</v>
      </c>
      <c r="FZ5" s="1106" t="str">
        <f>BT3</f>
        <v>ECONOMICS</v>
      </c>
      <c r="GA5" s="1106"/>
      <c r="GB5" s="1106"/>
      <c r="GC5" s="1106" t="s">
        <v>229</v>
      </c>
      <c r="GD5" s="1130" t="str">
        <f>CF2</f>
        <v>Optional Subject - 03</v>
      </c>
      <c r="GE5" s="1106" t="str">
        <f>CF3</f>
        <v>GEOGRAPHY</v>
      </c>
      <c r="GF5" s="1106" t="str">
        <f>CL3</f>
        <v>HOME SCIENCE</v>
      </c>
      <c r="GG5" s="1106" t="str">
        <f>CQ3</f>
        <v>TYPING</v>
      </c>
      <c r="GH5" s="1106"/>
      <c r="GI5" s="1106"/>
      <c r="GJ5" s="1106" t="s">
        <v>229</v>
      </c>
      <c r="GK5" s="1130" t="str">
        <f>DD2</f>
        <v>Additional Sub. / Vocational  Subject</v>
      </c>
      <c r="GL5" s="1106" t="str">
        <f>DD3</f>
        <v/>
      </c>
      <c r="GM5" s="1106" t="str">
        <f>DK3</f>
        <v/>
      </c>
      <c r="GN5" s="1106" t="str">
        <f>DP3</f>
        <v/>
      </c>
      <c r="GO5" s="1106"/>
      <c r="GP5" s="1106"/>
      <c r="GQ5" s="1106" t="s">
        <v>229</v>
      </c>
      <c r="GR5" s="1139"/>
      <c r="GS5" s="1139"/>
      <c r="GT5" s="1187"/>
      <c r="GU5" s="1187"/>
      <c r="GV5" s="1187"/>
      <c r="GW5" s="1187"/>
      <c r="GX5" s="1187"/>
      <c r="GY5" s="1159"/>
      <c r="GZ5" s="1144"/>
      <c r="HA5" s="1145"/>
      <c r="HB5" s="1253"/>
      <c r="HC5" s="1148"/>
      <c r="HD5" s="1253"/>
      <c r="HE5" s="1139"/>
      <c r="HF5" s="1139"/>
      <c r="HG5" s="1204"/>
      <c r="HH5" s="1139"/>
      <c r="HI5" s="1204"/>
      <c r="HY5" s="1214"/>
      <c r="HZ5" s="1215"/>
      <c r="IA5" s="1215"/>
      <c r="IB5" s="1215"/>
      <c r="IC5" s="1215"/>
      <c r="ID5" s="1216"/>
      <c r="IE5" s="1220"/>
      <c r="IF5" s="1221"/>
      <c r="IG5" s="1221"/>
      <c r="IH5" s="1221"/>
      <c r="II5" s="1221"/>
      <c r="IJ5" s="1222"/>
      <c r="IK5" s="1226"/>
      <c r="IL5" s="1227"/>
      <c r="IM5" s="1227"/>
      <c r="IN5" s="1227"/>
      <c r="IO5" s="1227"/>
      <c r="IP5" s="1228"/>
      <c r="IQ5" s="150"/>
      <c r="IR5" s="150"/>
      <c r="IS5" s="150"/>
      <c r="IT5" s="1133"/>
      <c r="IU5" s="1133"/>
      <c r="IV5" s="1133"/>
      <c r="IW5" s="1133"/>
      <c r="IX5" s="1133"/>
      <c r="IY5" s="1133"/>
      <c r="IZ5" s="1133"/>
      <c r="JA5" s="1133"/>
    </row>
    <row r="6" spans="1:262" s="165" customFormat="1" ht="18.75" customHeight="1">
      <c r="A6" s="1148"/>
      <c r="B6" s="1148"/>
      <c r="C6" s="1148"/>
      <c r="D6" s="1148"/>
      <c r="E6" s="1137"/>
      <c r="F6" s="1137"/>
      <c r="G6" s="1137"/>
      <c r="H6" s="1148"/>
      <c r="I6" s="1148"/>
      <c r="J6" s="1111">
        <f>IF('Marks Entry'!K6="","",'Marks Entry'!K6)</f>
        <v>10</v>
      </c>
      <c r="K6" s="1111">
        <f>IF('Marks Entry'!L6="","",'Marks Entry'!L6)</f>
        <v>10</v>
      </c>
      <c r="L6" s="1111">
        <f>IF('Marks Entry'!M6="","",'Marks Entry'!M6)</f>
        <v>10</v>
      </c>
      <c r="M6" s="1158">
        <f>IF(AND(J6="",K6="",L6=""),"",SUM(J6:L6))</f>
        <v>30</v>
      </c>
      <c r="N6" s="1254">
        <f>IF('Marks Entry'!N6="","",'Marks Entry'!N6)</f>
        <v>70</v>
      </c>
      <c r="O6" s="1158">
        <f>IF(AND(N6="",M6=""),"",SUM(M6,N6))</f>
        <v>100</v>
      </c>
      <c r="P6" s="1111">
        <f>IF('Marks Entry'!O6="","",'Marks Entry'!O6)</f>
        <v>100</v>
      </c>
      <c r="Q6" s="1105">
        <f>IF(AND(O6="",P6=""),"",SUM(O6,P6))</f>
        <v>200</v>
      </c>
      <c r="R6" s="153"/>
      <c r="S6" s="153"/>
      <c r="T6" s="154"/>
      <c r="U6" s="153"/>
      <c r="V6" s="153"/>
      <c r="W6" s="153"/>
      <c r="X6" s="1111">
        <f>IF('Marks Entry'!P6="","",'Marks Entry'!P6)</f>
        <v>10</v>
      </c>
      <c r="Y6" s="1111">
        <f>IF('Marks Entry'!Q6="","",'Marks Entry'!Q6)</f>
        <v>10</v>
      </c>
      <c r="Z6" s="1111">
        <f>IF('Marks Entry'!R6="","",'Marks Entry'!R6)</f>
        <v>10</v>
      </c>
      <c r="AA6" s="1158">
        <f>IF(AND(X6="",Y6="",Z6=""),"",SUM(X6:Z6))</f>
        <v>30</v>
      </c>
      <c r="AB6" s="1111">
        <f>IF('Marks Entry'!S6="","",'Marks Entry'!S6)</f>
        <v>70</v>
      </c>
      <c r="AC6" s="1158">
        <f>IF(AND(AB6="",AA6=""),"",SUM(AA6,AB6))</f>
        <v>100</v>
      </c>
      <c r="AD6" s="1111">
        <f>IF('Marks Entry'!T6="","",'Marks Entry'!T6)</f>
        <v>100</v>
      </c>
      <c r="AE6" s="1105">
        <f>IF(AND(AC6="",AD6=""),"",SUM(AC6,AD6))</f>
        <v>200</v>
      </c>
      <c r="AF6" s="153"/>
      <c r="AG6" s="153"/>
      <c r="AH6" s="154"/>
      <c r="AI6" s="153"/>
      <c r="AJ6" s="153"/>
      <c r="AK6" s="153"/>
      <c r="AL6" s="1104" t="str">
        <f>IF('Marks Entry'!U6="","",'Marks Entry'!U6)</f>
        <v/>
      </c>
      <c r="AM6" s="1111">
        <f>IF('Marks Entry'!V6="","",'Marks Entry'!V6)</f>
        <v>10</v>
      </c>
      <c r="AN6" s="1111">
        <f>IF('Marks Entry'!W6="","",'Marks Entry'!W6)</f>
        <v>10</v>
      </c>
      <c r="AO6" s="1111">
        <f>IF('Marks Entry'!X6="","",'Marks Entry'!X6)</f>
        <v>10</v>
      </c>
      <c r="AP6" s="1158">
        <f>IF(AND(AM6="",AN6="",AO6=""),"",SUM(AM6:AO6))</f>
        <v>30</v>
      </c>
      <c r="AQ6" s="155">
        <f>IF('Marks Entry'!Y6="","",'Marks Entry'!Y6)</f>
        <v>50</v>
      </c>
      <c r="AR6" s="573">
        <f>IF('Marks Entry'!Z6="","",'Marks Entry'!Z6)</f>
        <v>20</v>
      </c>
      <c r="AS6" s="156">
        <f>SUM(AQ6,AR6)</f>
        <v>70</v>
      </c>
      <c r="AT6" s="1158">
        <f>SUM(AP6)+MAX(AS6,AS7)</f>
        <v>100</v>
      </c>
      <c r="AU6" s="155">
        <f>IF('Marks Entry'!AA6="","",'Marks Entry'!AA6)</f>
        <v>70</v>
      </c>
      <c r="AV6" s="573">
        <f>IF('Marks Entry'!AB6="","",'Marks Entry'!AB6)</f>
        <v>30</v>
      </c>
      <c r="AW6" s="156">
        <f>SUM(AU6,AV6)</f>
        <v>100</v>
      </c>
      <c r="AX6" s="157">
        <f>SUM(AP6,AQ6,AU6)</f>
        <v>150</v>
      </c>
      <c r="AY6" s="157">
        <f>SUM(AR6,AV6)</f>
        <v>50</v>
      </c>
      <c r="AZ6" s="1105">
        <f>MAX(SUM(AX6,AY6),SUM(AX7,AY7))</f>
        <v>200</v>
      </c>
      <c r="BA6" s="153">
        <f>COUNTIF(AM6:AO6,"NA")*10</f>
        <v>0</v>
      </c>
      <c r="BB6" s="154">
        <f>IF(AND(AQ6="",AU6=""),(COUNTIF(AM6:AO6,"ML")*10+(COUNTIF(AQ6,"ML"))*AQ$6+(COUNTIF(AU6,"ML"))*AU$6),(COUNTIF(AM6:AO6,"ML")*10+(COUNTIF(AQ6,"ML"))*AQ$6+(COUNTIF(AU6,"ML"))*AU$6))</f>
        <v>0</v>
      </c>
      <c r="BC6" s="154" t="str">
        <f>IF(OR($B6="NSO",$B6=0,AX6=""),"",IF(AND(AR6="",AV6=""),AU$7,AU$6))</f>
        <v/>
      </c>
      <c r="BD6" s="154" t="str">
        <f>IF(OR($B6="NSO",$B6=0,AY6=""),"",IF(AND(AR6="",AV6=""),"",AY$6-(COUNTIF(AR6,"ML")*AR$6)-(COUNTIF(AV6,"ML")*AV$6)))</f>
        <v/>
      </c>
      <c r="BE6" s="154" t="str">
        <f>IF(OR($B6="NSO",$B6=0,$B6=""),"",IF(AND(AR6="",AV6=""),AX$7-BA6-BB6,AX$6-BA6-BB6))</f>
        <v/>
      </c>
      <c r="BF6" s="153"/>
      <c r="BG6" s="154"/>
      <c r="BH6" s="153"/>
      <c r="BI6" s="1104"/>
      <c r="BJ6" s="1111">
        <f>IF('Marks Entry'!AD6="","",'Marks Entry'!AD6)</f>
        <v>10</v>
      </c>
      <c r="BK6" s="1111">
        <f>IF('Marks Entry'!AE6="","",'Marks Entry'!AE6)</f>
        <v>10</v>
      </c>
      <c r="BL6" s="1111">
        <f>IF('Marks Entry'!AF6="","",'Marks Entry'!AF6)</f>
        <v>10</v>
      </c>
      <c r="BM6" s="1158">
        <f>IF(AND(BJ6="",BK6="",BL6=""),"",SUM(BJ6:BL6))</f>
        <v>30</v>
      </c>
      <c r="BN6" s="155">
        <f>IF('Marks Entry'!AG6="","",'Marks Entry'!AG6)</f>
        <v>50</v>
      </c>
      <c r="BO6" s="580">
        <f>IF('Marks Entry'!AH6="","",'Marks Entry'!AH6)</f>
        <v>20</v>
      </c>
      <c r="BP6" s="581">
        <f>SUM(BN6,BO6)</f>
        <v>70</v>
      </c>
      <c r="BQ6" s="1158">
        <f>SUM(BM6)+MAX(BP6,BP7)</f>
        <v>100</v>
      </c>
      <c r="BR6" s="155">
        <f>IF('Marks Entry'!AI6="","",'Marks Entry'!AI6)</f>
        <v>70</v>
      </c>
      <c r="BS6" s="580">
        <f>IF('Marks Entry'!AJ6="","",'Marks Entry'!AJ6)</f>
        <v>30</v>
      </c>
      <c r="BT6" s="156">
        <f>SUM(BR6,BS6)</f>
        <v>100</v>
      </c>
      <c r="BU6" s="157">
        <f>SUM(BM6,BN6,BR6)</f>
        <v>150</v>
      </c>
      <c r="BV6" s="157">
        <f>SUM(BO6,BS6)</f>
        <v>50</v>
      </c>
      <c r="BW6" s="1105">
        <f>MAX(SUM(BU6,BV6),SUM(BU7,BV7))</f>
        <v>200</v>
      </c>
      <c r="BX6" s="153">
        <f>COUNTIF(BJ6:BL6,"NA")*10</f>
        <v>0</v>
      </c>
      <c r="BY6" s="154">
        <f>IF(AND(BN6="",BR6=""),(COUNTIF(BJ6:BL6,"ML")*10+(COUNTIF(BN6,"ML"))*BN$6+(COUNTIF(BR6,"ML"))*BR$6),(COUNTIF(BJ6:BL6,"ML")*10+(COUNTIF(BN6,"ML"))*BN$6+(COUNTIF(BR6,"ML"))*BR$6))</f>
        <v>0</v>
      </c>
      <c r="BZ6" s="154" t="str">
        <f>IF(OR($B6="NSO",$B6=0,BU6=""),"",IF(AND(BO6="",BS6=""),BR$7,BR$6))</f>
        <v/>
      </c>
      <c r="CA6" s="154"/>
      <c r="CB6" s="154" t="str">
        <f>IF(OR($B6="NSO",$B6=0,$B6=""),"",IF(AND(BO6="",BS6=""),BU$7-BX6-BY6,BU$6-BX6-BY6))</f>
        <v/>
      </c>
      <c r="CC6" s="153" t="str">
        <f t="shared" ref="CC6:CC7" si="0">IF(AND(OR(BJ6="ab",BK6="ml"),OR(BM6="ab",BM6="ml")),"AB",IF(AND(OR(BJ6="ab",BJ6="ml"),OR(BK6="ab",BK6="ml"),OR(BP6="ab",BP6="ml")),"AB",IF(AND(OR(BN6="ab",BN6="ml"),OR(BK6="ab",BK6="ml"),OR(BJ6="ab",BJ6="ml")),"AB",IF(AND(OR(BP6="ab",BP6="ml"),OR(BJ6="ab",BJ6="ml"),OR(BK6="ab",BK6="ml")),"AB",""))))</f>
        <v/>
      </c>
      <c r="CD6" s="154" t="str">
        <f>IF(OR($B6="NSO",$B6=0,BT6=""),"",IF(OR(BS6="AB",BT6="AB",CC6="AB"),"AB",IF(BT6="ML","RE",IF(BT6="MLP","REP",IF(BS6&lt;36%*BS$6,"FP",IF(AND(BU6&gt;=36%*CB6,BR6&gt;=20%*BZ6,#REF!&gt;=SUM(CA6)*36%),"P",IF(AND(BU6&gt;=34%*CB6,BY6=0,BR6&gt;=20%*BZ6,#REF!&gt;=SUM(CA6)*36%),"G2",IF(AND(BU6&gt;=31%*CB6,BY6=0,BR6&gt;=20%*BZ6,#REF!&gt;=SUM(CA6)*36%),"G1",IF(AND(BU6&gt;=25%*CB6,#REF!&gt;=SUM(CA6)*36%),"S","F")))))))))</f>
        <v/>
      </c>
      <c r="CE6" s="153" t="str">
        <f t="shared" ref="CE6:CE7" si="1">IF(OR(CD6="REP",CD6="RE",CD6=0,CD6="",CD6="F",CD6="AB"),CD6,IF(AND(BW6&gt;=75%*(200-BX6-BY6),CD6="P"),"D",IF(AND(BW6&gt;=60%*(200-BX6-BY6),CD6="P"),"I",IF(AND(BW6&gt;=48%*(200-BX6-BY6),CD6="P"),"II",IF(AND(BW6&gt;=36%*(200-BX6-BY6),CD6="P"),"III",CD6)))))</f>
        <v/>
      </c>
      <c r="CF6" s="1104"/>
      <c r="CG6" s="1111">
        <f>IF('Marks Entry'!AL6="","",'Marks Entry'!AL6)</f>
        <v>10</v>
      </c>
      <c r="CH6" s="1111">
        <f>IF('Marks Entry'!AM6="","",'Marks Entry'!AM6)</f>
        <v>10</v>
      </c>
      <c r="CI6" s="1111">
        <f>IF('Marks Entry'!AN6="","",'Marks Entry'!AN6)</f>
        <v>10</v>
      </c>
      <c r="CJ6" s="1158">
        <f>IF(AND(CG6="",CH6="",CI6=""),"",SUM(CG6:CI6))</f>
        <v>30</v>
      </c>
      <c r="CK6" s="155">
        <f>IF('Marks Entry'!AO6="","",'Marks Entry'!AO6)</f>
        <v>50</v>
      </c>
      <c r="CL6" s="580">
        <f>IF('Marks Entry'!AP6="","",'Marks Entry'!AP6)</f>
        <v>20</v>
      </c>
      <c r="CM6" s="581">
        <f>SUM(CK6,CL6)</f>
        <v>70</v>
      </c>
      <c r="CN6" s="1158">
        <f>SUM(CJ6)+MAX(CM6,CM7)</f>
        <v>100</v>
      </c>
      <c r="CO6" s="155">
        <f>IF('Marks Entry'!AQ6="","",'Marks Entry'!AQ6)</f>
        <v>70</v>
      </c>
      <c r="CP6" s="580">
        <f>IF('Marks Entry'!AR6="","",'Marks Entry'!AR6)</f>
        <v>30</v>
      </c>
      <c r="CQ6" s="581">
        <f>SUM(CO6,CP6)</f>
        <v>100</v>
      </c>
      <c r="CR6" s="157">
        <f>SUM(CJ6,CK6,CO6)</f>
        <v>150</v>
      </c>
      <c r="CS6" s="157">
        <f>SUM(CL6,CP6)</f>
        <v>50</v>
      </c>
      <c r="CT6" s="1105">
        <f>MAX(SUM(CR6,CS6),SUM(CR7,CS7))</f>
        <v>200</v>
      </c>
      <c r="CU6" s="153">
        <f>COUNTIF(CG6:CI6,"NA")*10</f>
        <v>0</v>
      </c>
      <c r="CV6" s="154">
        <f>IF(AND(CK6="",CO6=""),(COUNTIF(CG6:CI6,"ML")*10+(COUNTIF(CK6,"ML"))*CK$6+(COUNTIF(CO6,"ML"))*CO$6),(COUNTIF(CG6:CI6,"ML")*10+(COUNTIF(CK6,"ML"))*CK$6+(COUNTIF(CO6,"ML"))*CO$6))</f>
        <v>0</v>
      </c>
      <c r="CW6" s="154"/>
      <c r="CX6" s="154"/>
      <c r="CY6" s="154" t="str">
        <f>IF(OR($B6="NSO",$B6=0,$B6=""),"",IF(AND(CL6="",CP6=""),CR$7-CU6-CV6,CR$6-CU6-CV6))</f>
        <v/>
      </c>
      <c r="CZ6" s="153" t="str">
        <f>IF(AND(OR(CG6="ab",CH6="ml"),OR(CJ6="ab",CJ6="ml")),"AB",IF(AND(OR(CG6="ab",CG6="ml"),OR(CH6="ab",CH6="ml"),OR(CM6="ab",CM6="ml")),"AB",IF(AND(OR(CK6="ab",CK6="ml"),OR(CH6="ab",CH6="ml"),OR(CG6="ab",CG6="ml")),"AB",IF(AND(OR(CM6="ab",CM6="ml"),OR(CG6="ab",CG6="ml"),OR(CH6="ab",CH6="ml")),"AB",""))))</f>
        <v/>
      </c>
      <c r="DA6" s="154" t="str">
        <f>IF(OR($B6="NSO",$B6=0,CQ6=""),"",IF(OR(CP6="AB",CQ6="AB",CZ6="AB"),"AB",IF(CQ6="ML","RE",IF(CQ6="MLP","REP",IF(CP6&lt;36%*CP$6,"FP",IF(AND(CR6&gt;=36%*CY6,CO6&gt;=20%*CW6,#REF!&gt;=SUM(CX6)*36%),"P",IF(AND(CR6&gt;=34%*CY6,CV6=0,CO6&gt;=20%*CW6,#REF!&gt;=SUM(CX6)*36%),"G2",IF(AND(CR6&gt;=31%*CY6,CV6=0,CO6&gt;=20%*CW6,#REF!&gt;=SUM(CX6)*36%),"G1",IF(AND(CR6&gt;=25%*CY6,#REF!&gt;=SUM(CX6)*36%),"S","F")))))))))</f>
        <v/>
      </c>
      <c r="DB6" s="153" t="str">
        <f t="shared" ref="DB6:DB7" si="2">IF(OR(DA6="REP",DA6="RE",DA6=0,DA6="",DA6="F",DA6="AB"),DA6,IF(AND(CT6&gt;=75%*(200-CU6-CV6),DA6="P"),"D",IF(AND(CT6&gt;=60%*(200-CU6-CV6),DA6="P"),"I",IF(AND(CT6&gt;=48%*(200-CU6-CV6),DA6="P"),"II",IF(AND(CT6&gt;=36%*(200-CU6-CV6),DA6="P"),"III",DA6)))))</f>
        <v/>
      </c>
      <c r="DC6" s="154"/>
      <c r="DD6" s="1104"/>
      <c r="DE6" s="1111" t="str">
        <f>IF('Marks Entry'!AT6="","",IF(OR('Master Sheet'!$D$19="YES",'Marks Entry'!$BA$1=1),'Marks Entry'!AT6,""))</f>
        <v/>
      </c>
      <c r="DF6" s="1111" t="str">
        <f>IF('Marks Entry'!AU6="","",IF(OR('Master Sheet'!$D$19="YES",'Marks Entry'!$BA$1=1),'Marks Entry'!AU6,""))</f>
        <v/>
      </c>
      <c r="DG6" s="1111" t="str">
        <f>IF('Marks Entry'!AV6="","",IF(OR('Master Sheet'!$D$19="YES",'Marks Entry'!$BA$1=1),'Marks Entry'!AV6,""))</f>
        <v/>
      </c>
      <c r="DH6" s="1158" t="str">
        <f>IF(AND(DE6="",DF6="",DG6=""),"",SUM(DE6:DG6))</f>
        <v/>
      </c>
      <c r="DI6" s="155" t="str">
        <f>IF('Marks Entry'!AW6="",0,IF(OR('Master Sheet'!$D$19="YES",'Marks Entry'!$BA$1=1),'Marks Entry'!AW6,""))</f>
        <v/>
      </c>
      <c r="DJ6" s="779" t="str">
        <f>IF('Marks Entry'!AX6="",0,IF(OR('Master Sheet'!$D$19="YES",'Marks Entry'!$BA$1=1),'Marks Entry'!AX6,""))</f>
        <v/>
      </c>
      <c r="DK6" s="586" t="str">
        <f>IF(AND(DI6="",DJ6=""),"",SUM(DI6,DJ6))</f>
        <v/>
      </c>
      <c r="DL6" s="1158">
        <f>SUM(DH6)+MAX(DK6,DK7)</f>
        <v>0</v>
      </c>
      <c r="DM6" s="155" t="str">
        <f>IF('Marks Entry'!AY6="",0,IF(OR('Master Sheet'!$D$19="YES",'Marks Entry'!$BA$1=1),'Marks Entry'!AY6,""))</f>
        <v/>
      </c>
      <c r="DN6" s="779" t="str">
        <f>IF('Marks Entry'!AZ6="",0,IF(OR('Master Sheet'!$D$19="YES",'Marks Entry'!$BA$1=1),'Marks Entry'!AZ6,""))</f>
        <v/>
      </c>
      <c r="DO6" s="779" t="str">
        <f>IF('Marks Entry'!BA6="",0,IF(OR('Master Sheet'!$D$19="YES",'Marks Entry'!$BA$1=1),'Marks Entry'!BA6,""))</f>
        <v/>
      </c>
      <c r="DP6" s="156">
        <f>SUM(DM6,DO6,DN6)</f>
        <v>0</v>
      </c>
      <c r="DQ6" s="157" t="str">
        <f>IF(AND(DH6="",DI6="",DM6=""),"",SUM(DH6,DI6,DM6))</f>
        <v/>
      </c>
      <c r="DR6" s="157" t="str">
        <f>IF(DN6="","",SUM(DN6))</f>
        <v/>
      </c>
      <c r="DS6" s="157" t="str">
        <f>IF(AND(DJ6="",DO6=""),"",SUM(DJ6,DO6))</f>
        <v/>
      </c>
      <c r="DT6" s="1105">
        <f>IF(AND('Master Sheet'!$D$19="YES",'Marks Entry'!$BA$1=1),100,MAX(SUM(DQ6,DR6,DS6),SUM(DQ7),SUM(DQ7,DR7)))</f>
        <v>0</v>
      </c>
      <c r="DU6" s="153"/>
      <c r="DV6" s="154"/>
      <c r="DW6" s="154"/>
      <c r="DX6" s="154"/>
      <c r="DY6" s="154"/>
      <c r="DZ6" s="153"/>
      <c r="EA6" s="154"/>
      <c r="EB6" s="153"/>
      <c r="EC6" s="1111">
        <f>IF('Marks Entry'!BB6="","",'Marks Entry'!BB6)</f>
        <v>30</v>
      </c>
      <c r="ED6" s="1111">
        <f>IF('Marks Entry'!BC6="","",'Marks Entry'!BC6)</f>
        <v>30</v>
      </c>
      <c r="EE6" s="1111">
        <f>IF('Marks Entry'!BD6="","",'Marks Entry'!BD6)</f>
        <v>40</v>
      </c>
      <c r="EF6" s="1105">
        <f>IF(AND(EC6="",ED6="",EE6=""),"",SUM(EC6:EE7))</f>
        <v>100</v>
      </c>
      <c r="EG6" s="158"/>
      <c r="EH6" s="158"/>
      <c r="EI6" s="159"/>
      <c r="EJ6" s="158"/>
      <c r="EK6" s="158"/>
      <c r="EL6" s="160" t="s">
        <v>216</v>
      </c>
      <c r="EM6" s="160" t="s">
        <v>217</v>
      </c>
      <c r="EN6" s="161" t="s">
        <v>218</v>
      </c>
      <c r="EO6" s="161" t="s">
        <v>219</v>
      </c>
      <c r="EP6" s="161" t="s">
        <v>220</v>
      </c>
      <c r="EQ6" s="161" t="s">
        <v>221</v>
      </c>
      <c r="ER6" s="162" t="s">
        <v>7</v>
      </c>
      <c r="ES6" s="162" t="s">
        <v>68</v>
      </c>
      <c r="ET6" s="162" t="s">
        <v>69</v>
      </c>
      <c r="EU6" s="162" t="s">
        <v>70</v>
      </c>
      <c r="EV6" s="162" t="s">
        <v>71</v>
      </c>
      <c r="EW6" s="163" t="s">
        <v>72</v>
      </c>
      <c r="EX6" s="1199"/>
      <c r="EY6" s="1128">
        <f>IF('Marks Entry'!BE6="","",'Marks Entry'!BE6)</f>
        <v>10</v>
      </c>
      <c r="EZ6" s="1128">
        <f>IF('Marks Entry'!BF6="","",'Marks Entry'!BF6)</f>
        <v>10</v>
      </c>
      <c r="FA6" s="1128">
        <f>IF('Marks Entry'!BG6="","",'Marks Entry'!BG6)</f>
        <v>10</v>
      </c>
      <c r="FB6" s="1158">
        <f>IF(AND(EY6="",EZ6="",FA6=""),"",SUM(EY6:FA7))</f>
        <v>30</v>
      </c>
      <c r="FC6" s="1128">
        <f>IF('Marks Entry'!BH6="","",'Marks Entry'!BH6)</f>
        <v>70</v>
      </c>
      <c r="FD6" s="1128">
        <f>IF('Marks Entry'!BI6="","",'Marks Entry'!BI6)</f>
        <v>100</v>
      </c>
      <c r="FE6" s="1173">
        <f>SUM(EY6,EZ6,FA6,FC6,FD6)</f>
        <v>200</v>
      </c>
      <c r="FF6" s="1131"/>
      <c r="FG6" s="1231"/>
      <c r="FH6" s="1231"/>
      <c r="FI6" s="1231"/>
      <c r="FJ6" s="1232"/>
      <c r="FK6" s="1106"/>
      <c r="FL6" s="1106"/>
      <c r="FM6" s="1106"/>
      <c r="FN6" s="1106"/>
      <c r="FO6" s="1106"/>
      <c r="FP6" s="1130"/>
      <c r="FQ6" s="1106"/>
      <c r="FR6" s="1106"/>
      <c r="FS6" s="1106"/>
      <c r="FT6" s="1106"/>
      <c r="FU6" s="1106"/>
      <c r="FV6" s="1106"/>
      <c r="FW6" s="1130"/>
      <c r="FX6" s="1106"/>
      <c r="FY6" s="1106"/>
      <c r="FZ6" s="1106"/>
      <c r="GA6" s="1106"/>
      <c r="GB6" s="1106"/>
      <c r="GC6" s="1106"/>
      <c r="GD6" s="1130"/>
      <c r="GE6" s="1106"/>
      <c r="GF6" s="1106"/>
      <c r="GG6" s="1106"/>
      <c r="GH6" s="1106"/>
      <c r="GI6" s="1106"/>
      <c r="GJ6" s="1106"/>
      <c r="GK6" s="1130"/>
      <c r="GL6" s="1106"/>
      <c r="GM6" s="1106"/>
      <c r="GN6" s="1106"/>
      <c r="GO6" s="1106"/>
      <c r="GP6" s="1106"/>
      <c r="GQ6" s="1106"/>
      <c r="GR6" s="1140"/>
      <c r="GS6" s="1140"/>
      <c r="GT6" s="1187"/>
      <c r="GU6" s="1187"/>
      <c r="GV6" s="1187"/>
      <c r="GW6" s="1187"/>
      <c r="GX6" s="1187"/>
      <c r="GY6" s="1159"/>
      <c r="GZ6" s="606">
        <f>IF(AND('Master Sheet'!$D$19="YES",'Marks Entry'!$BA$1=1),SUM(Q6,AE6,AZ6,BW6,DT6),SUM(Q6,AE6,AZ6,BW6,CT6))</f>
        <v>1000</v>
      </c>
      <c r="HA6" s="164">
        <f>GZ6*100/(GZ6-DC6)</f>
        <v>100</v>
      </c>
      <c r="HB6" s="1147"/>
      <c r="HC6" s="1148"/>
      <c r="HD6" s="1147"/>
      <c r="HE6" s="1140"/>
      <c r="HF6" s="1140"/>
      <c r="HG6" s="1205"/>
      <c r="HH6" s="1140"/>
      <c r="HI6" s="1205"/>
      <c r="HY6" s="166" t="s">
        <v>97</v>
      </c>
      <c r="HZ6" s="167" t="s">
        <v>98</v>
      </c>
      <c r="IA6" s="168" t="str">
        <f>AL2</f>
        <v>Optional Subject - 01</v>
      </c>
      <c r="IB6" s="168" t="str">
        <f>BI2</f>
        <v>Optional Subject - 02</v>
      </c>
      <c r="IC6" s="168" t="str">
        <f>CF2</f>
        <v>Optional Subject - 03</v>
      </c>
      <c r="ID6" s="168" t="s">
        <v>226</v>
      </c>
      <c r="IE6" s="169" t="str">
        <f>HY6</f>
        <v>fgUnh</v>
      </c>
      <c r="IF6" s="169" t="str">
        <f t="shared" ref="IF6:II6" si="3">HZ6</f>
        <v>vaxzsth</v>
      </c>
      <c r="IG6" s="170" t="str">
        <f t="shared" si="3"/>
        <v>Optional Subject - 01</v>
      </c>
      <c r="IH6" s="170" t="str">
        <f t="shared" si="3"/>
        <v>Optional Subject - 02</v>
      </c>
      <c r="II6" s="170" t="str">
        <f t="shared" si="3"/>
        <v>Optional Subject - 03</v>
      </c>
      <c r="IJ6" s="171" t="s">
        <v>226</v>
      </c>
      <c r="IK6" s="172" t="str">
        <f>HY6</f>
        <v>fgUnh</v>
      </c>
      <c r="IL6" s="172" t="str">
        <f t="shared" ref="IL6" si="4">HZ6</f>
        <v>vaxzsth</v>
      </c>
      <c r="IM6" s="170" t="str">
        <f t="shared" ref="IM6" si="5">IG6</f>
        <v>Optional Subject - 01</v>
      </c>
      <c r="IN6" s="170" t="str">
        <f t="shared" ref="IN6" si="6">IH6</f>
        <v>Optional Subject - 02</v>
      </c>
      <c r="IO6" s="170" t="str">
        <f t="shared" ref="IO6" si="7">II6</f>
        <v>Optional Subject - 03</v>
      </c>
      <c r="IP6" s="171" t="s">
        <v>226</v>
      </c>
      <c r="IQ6" s="150" t="s">
        <v>100</v>
      </c>
      <c r="IR6" s="150"/>
      <c r="IS6" s="150" t="s">
        <v>99</v>
      </c>
      <c r="IT6" s="173"/>
      <c r="IU6" s="174"/>
      <c r="IV6" s="174"/>
      <c r="IW6" s="174"/>
      <c r="IX6" s="174"/>
      <c r="IY6" s="1133"/>
      <c r="IZ6" s="1133"/>
      <c r="JA6" s="1133"/>
    </row>
    <row r="7" spans="1:262" s="165" customFormat="1" ht="15.95" customHeight="1">
      <c r="A7" s="1148"/>
      <c r="B7" s="1148"/>
      <c r="C7" s="1148"/>
      <c r="D7" s="1148"/>
      <c r="E7" s="1137"/>
      <c r="F7" s="1137"/>
      <c r="G7" s="1137"/>
      <c r="H7" s="1148"/>
      <c r="I7" s="1148"/>
      <c r="J7" s="1111"/>
      <c r="K7" s="1111"/>
      <c r="L7" s="1111"/>
      <c r="M7" s="1158"/>
      <c r="N7" s="1111"/>
      <c r="O7" s="1158"/>
      <c r="P7" s="1111"/>
      <c r="Q7" s="1105"/>
      <c r="R7" s="153"/>
      <c r="S7" s="153"/>
      <c r="T7" s="154"/>
      <c r="U7" s="153"/>
      <c r="V7" s="153"/>
      <c r="W7" s="153"/>
      <c r="X7" s="1111"/>
      <c r="Y7" s="1111"/>
      <c r="Z7" s="1111"/>
      <c r="AA7" s="1158"/>
      <c r="AB7" s="1111"/>
      <c r="AC7" s="1158"/>
      <c r="AD7" s="1111"/>
      <c r="AE7" s="1105"/>
      <c r="AF7" s="153"/>
      <c r="AG7" s="153"/>
      <c r="AH7" s="154"/>
      <c r="AI7" s="153"/>
      <c r="AJ7" s="153"/>
      <c r="AK7" s="153">
        <f>IF(OR(AJ7="",AJ7=0,AJ7="S",AJ7="RE",AJ7="F",AJ7="AB"),AJ7,IF(AE7&gt;=75%*AH7,"D",IF(AE7&gt;=60%*AH7,"I",IF(AE7&gt;=48%*AH7,"II",IF(AE7&gt;=36%*AH7,"III",AJ7)))))</f>
        <v>0</v>
      </c>
      <c r="AL7" s="1104"/>
      <c r="AM7" s="1111"/>
      <c r="AN7" s="1111"/>
      <c r="AO7" s="1111"/>
      <c r="AP7" s="1158"/>
      <c r="AQ7" s="155">
        <f>IF('Marks Entry'!Y7="","",'Marks Entry'!Y7)</f>
        <v>70</v>
      </c>
      <c r="AR7" s="573" t="str">
        <f>IF('Marks Entry'!Z7="","",'Marks Entry'!Z7)</f>
        <v/>
      </c>
      <c r="AS7" s="156">
        <f>SUM(AQ7,AR7)</f>
        <v>70</v>
      </c>
      <c r="AT7" s="1158"/>
      <c r="AU7" s="155">
        <f>IF('Marks Entry'!AA7="","",'Marks Entry'!AA7)</f>
        <v>100</v>
      </c>
      <c r="AV7" s="573" t="str">
        <f>IF('Marks Entry'!AB7="","",'Marks Entry'!AB7)</f>
        <v/>
      </c>
      <c r="AW7" s="156">
        <f>SUM(AU7,AV7)</f>
        <v>100</v>
      </c>
      <c r="AX7" s="157">
        <f>SUM(AP6,AQ7,AU7)</f>
        <v>200</v>
      </c>
      <c r="AY7" s="157">
        <f>SUM(AR7,AV7)</f>
        <v>0</v>
      </c>
      <c r="AZ7" s="1105"/>
      <c r="BA7" s="153">
        <f t="shared" ref="BA7:BA8" si="8">COUNTIF(AM7:AO7,"NA")*10</f>
        <v>0</v>
      </c>
      <c r="BB7" s="154">
        <f t="shared" ref="BB7:BB8" si="9">IF(AND(AQ7="",AU7=""),(COUNTIF(AM7:AO7,"ML")*10+(COUNTIF(AQ7,"ML"))*AQ$6+(COUNTIF(AU7,"ML"))*AU$6),(COUNTIF(AM7:AO7,"ML")*10+(COUNTIF(AQ7,"ML"))*AQ$6+(COUNTIF(AU7,"ML"))*AU$6))</f>
        <v>0</v>
      </c>
      <c r="BC7" s="154" t="str">
        <f>IF(OR($B7="NSO",$B7=0,AX7=""),"",IF(AND(AR7="",AV7=""),AU$7,AU$6))</f>
        <v/>
      </c>
      <c r="BD7" s="154" t="str">
        <f>IF(OR($B7="NSO",$B7=0,AY7=""),"",IF(AND(AR7="",AV7=""),"",AY$6-(COUNTIF(AR7,"ML")*AR$6)-(COUNTIF(AV7,"ML")*AV$6)))</f>
        <v/>
      </c>
      <c r="BE7" s="154" t="str">
        <f>IF(OR($B7="NSO",$B7=0,$B7=""),"",IF(AND(AR7="",AV7=""),AX$7-BA7-BB7,AX$6-BA7-BB7))</f>
        <v/>
      </c>
      <c r="BF7" s="153"/>
      <c r="BG7" s="154"/>
      <c r="BH7" s="153"/>
      <c r="BI7" s="1104"/>
      <c r="BJ7" s="1111"/>
      <c r="BK7" s="1111"/>
      <c r="BL7" s="1111"/>
      <c r="BM7" s="1158"/>
      <c r="BN7" s="155">
        <f>IF('Marks Entry'!AG7="","",'Marks Entry'!AG7)</f>
        <v>70</v>
      </c>
      <c r="BO7" s="580" t="str">
        <f>IF('Marks Entry'!AH7="","",'Marks Entry'!AH7)</f>
        <v/>
      </c>
      <c r="BP7" s="581">
        <f>SUM(BN7,BO7)</f>
        <v>70</v>
      </c>
      <c r="BQ7" s="1158"/>
      <c r="BR7" s="155">
        <f>IF('Marks Entry'!AI7="","",'Marks Entry'!AI7)</f>
        <v>100</v>
      </c>
      <c r="BS7" s="580" t="str">
        <f>IF('Marks Entry'!AJ7="","",'Marks Entry'!AJ7)</f>
        <v/>
      </c>
      <c r="BT7" s="581">
        <f>SUM(BR7,BS7)</f>
        <v>100</v>
      </c>
      <c r="BU7" s="157">
        <f>SUM(BM6,BN7,BR7)</f>
        <v>200</v>
      </c>
      <c r="BV7" s="157">
        <f>SUM(BO7,BS7)</f>
        <v>0</v>
      </c>
      <c r="BW7" s="1105"/>
      <c r="BX7" s="153">
        <f t="shared" ref="BX7:BX8" si="10">COUNTIF(BJ7:BL7,"NA")*10</f>
        <v>0</v>
      </c>
      <c r="BY7" s="154">
        <f t="shared" ref="BY7" si="11">IF(AND(BN7="",BR7=""),(COUNTIF(BJ7:BL7,"ML")*10+(COUNTIF(BN7,"ML"))*BN$6+(COUNTIF(BR7,"ML"))*BR$6),(COUNTIF(BJ7:BL7,"ML")*10+(COUNTIF(BN7,"ML"))*BN$6+(COUNTIF(BR7,"ML"))*BR$6))</f>
        <v>0</v>
      </c>
      <c r="BZ7" s="154" t="str">
        <f>IF(OR($B7="NSO",$B7=0,BU7=""),"",IF(AND(BO7="",BS7=""),BR$7,BR$6))</f>
        <v/>
      </c>
      <c r="CA7" s="154"/>
      <c r="CB7" s="154" t="str">
        <f>IF(OR($B7="NSO",$B7=0,$B7=""),"",IF(AND(BO7="",BS7=""),BU$7-BX7-BY7,BU$6-BX7-BY7))</f>
        <v/>
      </c>
      <c r="CC7" s="153" t="str">
        <f t="shared" si="0"/>
        <v/>
      </c>
      <c r="CD7" s="154" t="str">
        <f>IF(OR($B7="NSO",$B7=0,BT7=""),"",IF(OR(BS7="AB",BT7="AB",CC7="AB"),"AB",IF(BT7="ML","RE",IF(BT7="MLP","REP",IF(BS7&lt;36%*BS$6,"FP",IF(AND(BU7&gt;=36%*CB7,BR7&gt;=20%*BZ7,#REF!&gt;=SUM(CA7)*36%),"P",IF(AND(BU7&gt;=34%*CB7,BY7=0,BR7&gt;=20%*BZ7,#REF!&gt;=SUM(CA7)*36%),"G2",IF(AND(BU7&gt;=31%*CB7,BY7=0,BR7&gt;=20%*BZ7,#REF!&gt;=SUM(CA7)*36%),"G1",IF(AND(BU7&gt;=25%*CB7,#REF!&gt;=SUM(CA7)*36%),"S","F")))))))))</f>
        <v/>
      </c>
      <c r="CE7" s="153" t="str">
        <f t="shared" si="1"/>
        <v/>
      </c>
      <c r="CF7" s="1104"/>
      <c r="CG7" s="1111"/>
      <c r="CH7" s="1111"/>
      <c r="CI7" s="1111"/>
      <c r="CJ7" s="1158"/>
      <c r="CK7" s="155">
        <f>IF('Marks Entry'!AO7="","",'Marks Entry'!AO7)</f>
        <v>70</v>
      </c>
      <c r="CL7" s="580" t="str">
        <f>IF('Marks Entry'!AP7="","",'Marks Entry'!AP7)</f>
        <v/>
      </c>
      <c r="CM7" s="581">
        <f>SUM(CK7,CL7)</f>
        <v>70</v>
      </c>
      <c r="CN7" s="1158"/>
      <c r="CO7" s="155">
        <f>IF('Marks Entry'!AQ7="","",'Marks Entry'!AQ7)</f>
        <v>100</v>
      </c>
      <c r="CP7" s="580" t="str">
        <f>IF('Marks Entry'!AR7="","",'Marks Entry'!AR7)</f>
        <v/>
      </c>
      <c r="CQ7" s="581">
        <f>SUM(CO7,CP7)</f>
        <v>100</v>
      </c>
      <c r="CR7" s="157">
        <f>SUM(CJ6,CK7,CO7)</f>
        <v>200</v>
      </c>
      <c r="CS7" s="157">
        <f>SUM(CL7,CP7)</f>
        <v>0</v>
      </c>
      <c r="CT7" s="1105"/>
      <c r="CU7" s="153">
        <f t="shared" ref="CU7:CU8" si="12">COUNTIF(CG7:CI7,"NA")*10</f>
        <v>0</v>
      </c>
      <c r="CV7" s="154">
        <f t="shared" ref="CV7:CV8" si="13">IF(AND(CK7="",CO7=""),(COUNTIF(CG7:CI7,"ML")*10+(COUNTIF(CK7,"ML"))*CK$6+(COUNTIF(CO7,"ML"))*CO$6),(COUNTIF(CG7:CI7,"ML")*10+(COUNTIF(CK7,"ML"))*CK$6+(COUNTIF(CO7,"ML"))*CO$6))</f>
        <v>0</v>
      </c>
      <c r="CW7" s="154"/>
      <c r="CX7" s="154"/>
      <c r="CY7" s="154" t="str">
        <f>IF(OR($B7="NSO",$B7=0,$B7=""),"",IF(AND(CL7="",CP7=""),CR$7-CU7-CV7,CR$6-CU7-CV7))</f>
        <v/>
      </c>
      <c r="CZ7" s="153" t="str">
        <f>IF(AND(OR(CG7="ab",CH7="ml"),OR(CJ7="ab",CJ7="ml")),"AB",IF(AND(OR(CG7="ab",CG7="ml"),OR(CH7="ab",CH7="ml"),OR(CM7="ab",CM7="ml")),"AB",IF(AND(OR(CK7="ab",CK7="ml"),OR(CH7="ab",CH7="ml"),OR(CG7="ab",CG7="ml")),"AB",IF(AND(OR(CM7="ab",CM7="ml"),OR(CG7="ab",CG7="ml"),OR(CH7="ab",CH7="ml")),"AB",""))))</f>
        <v/>
      </c>
      <c r="DA7" s="154" t="str">
        <f>IF(OR($B7="NSO",$B7=0,CQ7=""),"",IF(OR(CP7="AB",CQ7="AB",CZ7="AB"),"AB",IF(CQ7="ML","RE",IF(CQ7="MLP","REP",IF(CP7&lt;36%*CP$6,"FP",IF(AND(CR7&gt;=36%*CY7,CO7&gt;=20%*CW7,#REF!&gt;=SUM(CX7)*36%),"P",IF(AND(CR7&gt;=34%*CY7,CV7=0,CO7&gt;=20%*CW7,#REF!&gt;=SUM(CX7)*36%),"G2",IF(AND(CR7&gt;=31%*CY7,CV7=0,CO7&gt;=20%*CW7,#REF!&gt;=SUM(CX7)*36%),"G1",IF(AND(CR7&gt;=25%*CY7,#REF!&gt;=SUM(CX7)*36%),"S","F")))))))))</f>
        <v/>
      </c>
      <c r="DB7" s="153" t="str">
        <f t="shared" si="2"/>
        <v/>
      </c>
      <c r="DC7" s="154"/>
      <c r="DD7" s="1104"/>
      <c r="DE7" s="1111"/>
      <c r="DF7" s="1111"/>
      <c r="DG7" s="1111"/>
      <c r="DH7" s="1158"/>
      <c r="DI7" s="779" t="str">
        <f>IF('Marks Entry'!AW7="",0,IF(OR('Master Sheet'!$D$19="YES",'Marks Entry'!$BA$1=1),'Marks Entry'!AW7,""))</f>
        <v/>
      </c>
      <c r="DJ7" s="779">
        <f>IF('Marks Entry'!AX7="",0,IF(OR('Master Sheet'!$D$19="YES",'Marks Entry'!$BA$1=1),'Marks Entry'!AX7,""))</f>
        <v>0</v>
      </c>
      <c r="DK7" s="780">
        <f>IF(AND(DI7="",DJ7=""),"",SUM(DI7,DJ7))</f>
        <v>0</v>
      </c>
      <c r="DL7" s="1158"/>
      <c r="DM7" s="779" t="str">
        <f>IF('Marks Entry'!AY7="",0,IF(OR('Master Sheet'!$D$19="YES",'Marks Entry'!$BA$1=1),'Marks Entry'!AY7,""))</f>
        <v/>
      </c>
      <c r="DN7" s="779">
        <f>IF('Marks Entry'!AZ7="",0,IF(OR('Master Sheet'!$D$19="YES",'Marks Entry'!$BA$1=1),'Marks Entry'!AZ7,""))</f>
        <v>0</v>
      </c>
      <c r="DO7" s="779" t="str">
        <f>IF('Marks Entry'!BA7="",0,IF(OR('Master Sheet'!$D$19="YES",'Marks Entry'!$BA$1=1),'Marks Entry'!BA7,""))</f>
        <v/>
      </c>
      <c r="DP7" s="156">
        <f>SUM(DM7,DO7,DN7)</f>
        <v>0</v>
      </c>
      <c r="DQ7" s="157" t="str">
        <f>IF(AND(DH6="",DI7="",DM7=""),"",SUM(DH6,DI7,DM7))</f>
        <v/>
      </c>
      <c r="DR7" s="157">
        <f>IF(DN7="","",SUM(DN7))</f>
        <v>0</v>
      </c>
      <c r="DS7" s="157">
        <f>IF(AND(DJ7="",DO7=""),"",SUM(DJ7,DO7))</f>
        <v>0</v>
      </c>
      <c r="DT7" s="1105"/>
      <c r="DU7" s="153"/>
      <c r="DV7" s="154"/>
      <c r="DW7" s="154"/>
      <c r="DX7" s="154"/>
      <c r="DY7" s="154"/>
      <c r="DZ7" s="153"/>
      <c r="EA7" s="154"/>
      <c r="EB7" s="153"/>
      <c r="EC7" s="1111"/>
      <c r="ED7" s="1111"/>
      <c r="EE7" s="1111"/>
      <c r="EF7" s="1105"/>
      <c r="EG7" s="158"/>
      <c r="EH7" s="158"/>
      <c r="EI7" s="159"/>
      <c r="EJ7" s="158"/>
      <c r="EK7" s="158"/>
      <c r="EL7" s="175"/>
      <c r="EM7" s="175"/>
      <c r="EN7" s="176"/>
      <c r="EO7" s="176"/>
      <c r="EP7" s="176"/>
      <c r="EQ7" s="176"/>
      <c r="ER7" s="162"/>
      <c r="ES7" s="162"/>
      <c r="ET7" s="162"/>
      <c r="EU7" s="162"/>
      <c r="EV7" s="162"/>
      <c r="EW7" s="162"/>
      <c r="EX7" s="112"/>
      <c r="EY7" s="1129"/>
      <c r="EZ7" s="1129"/>
      <c r="FA7" s="1129"/>
      <c r="FB7" s="1158"/>
      <c r="FC7" s="1129"/>
      <c r="FD7" s="1129"/>
      <c r="FE7" s="1174"/>
      <c r="FF7" s="1132"/>
      <c r="FG7" s="1231"/>
      <c r="FH7" s="1231"/>
      <c r="FI7" s="1231"/>
      <c r="FJ7" s="177"/>
      <c r="FK7" s="178"/>
      <c r="FL7" s="178"/>
      <c r="FM7" s="178"/>
      <c r="FN7" s="178"/>
      <c r="FO7" s="178"/>
      <c r="FP7" s="179"/>
      <c r="FQ7" s="178"/>
      <c r="FR7" s="178"/>
      <c r="FS7" s="178"/>
      <c r="FT7" s="178"/>
      <c r="FU7" s="178"/>
      <c r="FV7" s="178"/>
      <c r="FW7" s="179"/>
      <c r="FX7" s="178"/>
      <c r="FY7" s="178"/>
      <c r="FZ7" s="178"/>
      <c r="GA7" s="178"/>
      <c r="GB7" s="178"/>
      <c r="GC7" s="178"/>
      <c r="GD7" s="179"/>
      <c r="GE7" s="178"/>
      <c r="GF7" s="178"/>
      <c r="GG7" s="178"/>
      <c r="GH7" s="178"/>
      <c r="GI7" s="178"/>
      <c r="GJ7" s="178"/>
      <c r="GK7" s="178"/>
      <c r="GL7" s="178"/>
      <c r="GM7" s="178"/>
      <c r="GN7" s="178"/>
      <c r="GO7" s="178"/>
      <c r="GP7" s="178"/>
      <c r="GQ7" s="178"/>
      <c r="GR7" s="178"/>
      <c r="GS7" s="600"/>
      <c r="GT7" s="597"/>
      <c r="GU7" s="597"/>
      <c r="GV7" s="597"/>
      <c r="GW7" s="598"/>
      <c r="GX7" s="597"/>
      <c r="GY7" s="181"/>
      <c r="GZ7" s="606"/>
      <c r="HA7" s="164"/>
      <c r="HB7" s="182"/>
      <c r="HC7" s="599"/>
      <c r="HD7" s="183"/>
      <c r="HE7" s="180"/>
      <c r="HF7" s="180"/>
      <c r="HG7" s="180"/>
      <c r="HH7" s="180"/>
      <c r="HI7" s="180"/>
    </row>
    <row r="8" spans="1:262" s="211" customFormat="1" ht="21" customHeight="1">
      <c r="A8" s="184">
        <v>1</v>
      </c>
      <c r="B8" s="185">
        <f>IF('Marks Entry'!B8="","",'Marks Entry'!B8)</f>
        <v>1101</v>
      </c>
      <c r="C8" s="186">
        <f>IF('Marks Entry'!D8="","",'Marks Entry'!D8)</f>
        <v>230</v>
      </c>
      <c r="D8" s="187">
        <f>IF('Marks Entry'!E8="","",'Marks Entry'!E8)</f>
        <v>37622</v>
      </c>
      <c r="E8" s="188" t="str">
        <f>IF('Marks Entry'!F8="","",'Marks Entry'!F8)</f>
        <v>A</v>
      </c>
      <c r="F8" s="188" t="str">
        <f>IF('Marks Entry'!G8="","",'Marks Entry'!G8)</f>
        <v>X</v>
      </c>
      <c r="G8" s="188" t="str">
        <f>IF('Marks Entry'!H8="","",'Marks Entry'!H8)</f>
        <v>M</v>
      </c>
      <c r="H8" s="189" t="str">
        <f>IF('Marks Entry'!I8="","",'Marks Entry'!I8)</f>
        <v>GEN</v>
      </c>
      <c r="I8" s="190" t="str">
        <f>IF('Marks Entry'!J8="","",'Marks Entry'!J8)</f>
        <v>M</v>
      </c>
      <c r="J8" s="155">
        <f>IF('Marks Entry'!K8="","",'Marks Entry'!K8)</f>
        <v>8</v>
      </c>
      <c r="K8" s="545">
        <f>IF('Marks Entry'!L8="","",'Marks Entry'!L8)</f>
        <v>8</v>
      </c>
      <c r="L8" s="545">
        <f>IF('Marks Entry'!M8="","",'Marks Entry'!M8)</f>
        <v>9</v>
      </c>
      <c r="M8" s="156">
        <f>IF(AND(J8="",K8="",L8=""),"",IF(AND(J8="AB",K8="AB",L8="AB"),"AB",IF(AND(J8="ML",K8="ML",L8="ML"),"ML",SUM(J8:L8))))</f>
        <v>25</v>
      </c>
      <c r="N8" s="155">
        <f>IF('Marks Entry'!N8="","",'Marks Entry'!N8)</f>
        <v>46</v>
      </c>
      <c r="O8" s="156">
        <f>IF(AND(N8="",M8=""),"",IF(AND(N8="AB",M8="AB"),"AB",IF(AND(N8="ML",M8="ML"),"ML",SUM(M8,N8))))</f>
        <v>71</v>
      </c>
      <c r="P8" s="155">
        <f>IF('Marks Entry'!O8="","",'Marks Entry'!O8)</f>
        <v>70</v>
      </c>
      <c r="Q8" s="191">
        <f>IF(AND(O8="",P8=""),"",IF(AND(O8="AB",P8="AB"),"AB",IF(AND(O8="ML",P8="ML"),"ML",SUM(O8,P8))))</f>
        <v>141</v>
      </c>
      <c r="R8" s="153">
        <f>COUNTIF(J8:L8,"NA")*10</f>
        <v>0</v>
      </c>
      <c r="S8" s="153">
        <f>(COUNTIF(J8:L8,"ML")*10)+(COUNTIF(N8,"ML")*70)+(COUNTIF(P8,"ML")*100)</f>
        <v>0</v>
      </c>
      <c r="T8" s="154">
        <f>IF(OR($B8="NSO",$B8=0),"",IF(AND(J8="",K8="",L8="",N8="",P8=""),"",IF(AND(K8="",J8="",O8="",N8=""),20-R8-S8,IF(AND(K8="",L8="",N8=""),20-R8-S8,IF(AND(N8="",P8=""),40-R8-S8,IF(P8="",100-R8-S8,200-R8-S8))))))</f>
        <v>200</v>
      </c>
      <c r="U8" s="153" t="str">
        <f>IF(OR($B8="",$C8="",$E8=""),"",IF(AND(OR(J8="ab",J8="ml",J8=""),OR(K8="ab",K8="ml",K8=""),OR(N8="ab",N8="ml",N8="")),"AB",IF(AND(OR(N8="ab",N8="ml",N8=""),OR(P8="ab",P8="ml",P8=""),OR(L8="ab",L8="ml")),"AB",IF(AND(OR(P8="ab",P8="ml",P8=""),OR(J8="ab",J8="ml",J8=""),OR(K8="ab",K8="ml",K8="")),"AB",""))))</f>
        <v/>
      </c>
      <c r="V8" s="153" t="str">
        <f>IF(OR($B8="NSO",$B8="",Q8=""),"",IF(OR(U8="AB",P8="ab"),"AB",IF(P8="ML","RE",IF(AND(Q8&gt;=36%*T8,P8&gt;=20%*$P$6),"P",IF(AND(Q8&gt;=34%*T8,S8=0,P8&gt;=20%*$P$6),"G2",IF(AND(Q8&gt;=31%*T8,S8=0,P8&gt;=20%*$P$6),"G1",IF(Q8&gt;=25%*T8,"S","F")))))))</f>
        <v>P</v>
      </c>
      <c r="W8" s="153" t="str">
        <f>IF(OR(V8="",V8=0,V8="S",V8="RE",V8="F",V8="AB"),V8,IF(Q8&gt;=75%*T8,"D",IF(Q8&gt;=60%*T8,"I",IF(Q8&gt;=48%*T8,"II",IF(Q8&gt;=36%*T8,"III",V8)))))</f>
        <v>I</v>
      </c>
      <c r="X8" s="155">
        <f>IF('Marks Entry'!P8="","",'Marks Entry'!P8)</f>
        <v>8</v>
      </c>
      <c r="Y8" s="545">
        <f>IF('Marks Entry'!Q8="","",'Marks Entry'!Q8)</f>
        <v>5</v>
      </c>
      <c r="Z8" s="545">
        <f>IF('Marks Entry'!R8="","",'Marks Entry'!R8)</f>
        <v>8</v>
      </c>
      <c r="AA8" s="546">
        <f>IF(AND(X8="",Y8="",Z8=""),"",IF(AND(X8="AB",Y8="AB",Z8="AB"),"AB",IF(AND(X8="ML",Y8="ML",Z8="ML"),"ML",SUM(X8:Z8))))</f>
        <v>21</v>
      </c>
      <c r="AB8" s="155">
        <f>IF('Marks Entry'!S8="","",'Marks Entry'!S8)</f>
        <v>48</v>
      </c>
      <c r="AC8" s="546">
        <f>IF(AND(AB8="",AA8=""),"",IF(AND(AB8="AB",AA8="AB"),"AB",IF(AND(AB8="ML",AA8="ML"),"ML",SUM(AA8,AB8))))</f>
        <v>69</v>
      </c>
      <c r="AD8" s="155">
        <f>IF('Marks Entry'!T8="","",'Marks Entry'!T8)</f>
        <v>74</v>
      </c>
      <c r="AE8" s="547">
        <f>IF(AND(AC8="",AD8=""),"",IF(AND(AC8="AB",AD8="AB"),"AB",IF(AND(AC8="ML",AD8="ML"),"ML",SUM(AC8,AD8))))</f>
        <v>143</v>
      </c>
      <c r="AF8" s="153">
        <f>COUNTIF(X8:Z8,"NA")*10</f>
        <v>0</v>
      </c>
      <c r="AG8" s="153">
        <f>(COUNTIF(X8:Z8,"ML")*10)+(COUNTIF(AB8,"ML")*70)+(COUNTIF(AD8,"ML")*100)</f>
        <v>0</v>
      </c>
      <c r="AH8" s="154">
        <f>IF(OR($B8="NSO",$B8=0),"",IF(AND(X8="",Y8="",Z8="",AB8="",AD8=""),"",IF(AND(Y8="",X8="",AC8="",AB8=""),20-AF8-AG8,IF(AND(Y8="",Z8="",AB8=""),20-AF8-AG8,IF(AND(AB8="",AD8=""),40-AF8-AG8,IF(AD8="",100-AF8-AG8,200-AF8-AG8))))))</f>
        <v>200</v>
      </c>
      <c r="AI8" s="153" t="str">
        <f>IF(OR($B8="",$C8="",$E8=""),"",IF(AND(OR(X8="ab",X8="ml",X8=""),OR(Y8="ab",Y8="ml",Y8=""),OR(AB8="ab",AB8="ml",AB8="")),"AB",IF(AND(OR(AB8="ab",AB8="ml",AB8=""),OR(AD8="ab",AD8="ml",AD8=""),OR(Z8="ab",Z8="ml")),"AB",IF(AND(OR(AD8="ab",AD8="ml",AD8=""),OR(X8="ab",X8="ml",X8=""),OR(Y8="ab",Y8="ml",Y8="")),"AB",""))))</f>
        <v/>
      </c>
      <c r="AJ8" s="153" t="str">
        <f>IF(OR($B8="NSO",$B8="",AE8=""),"",IF(OR(AI8="AB",AD8="ab"),"AB",IF(AD8="ML","RE",IF(AND(AE8&gt;=36%*AH8,AD8&gt;=20%*$P$6),"P",IF(AND(AE8&gt;=34%*AH8,AG8=0,AD8&gt;=20%*$P$6),"G2",IF(AND(AE8&gt;=31%*AH8,AG8=0,AD8&gt;=20%*$P$6),"G1",IF(AE8&gt;=25%*AH8,"S","F")))))))</f>
        <v>P</v>
      </c>
      <c r="AK8" s="153" t="str">
        <f>IF(OR(AJ8="",AJ8=0,AJ8="S",AJ8="RE",AJ8="F",AJ8="AB"),AJ8,IF(AE8&gt;=75%*AH8,"D",IF(AE8&gt;=60%*AH8,"I",IF(AE8&gt;=48%*AH8,"II",IF(AE8&gt;=36%*AH8,"III",AJ8)))))</f>
        <v>I</v>
      </c>
      <c r="AL8" s="155" t="str">
        <f>IF('Marks Entry'!U8="","",'Marks Entry'!U8)</f>
        <v>A</v>
      </c>
      <c r="AM8" s="155">
        <f>IF('Marks Entry'!V8="","",'Marks Entry'!V8)</f>
        <v>8</v>
      </c>
      <c r="AN8" s="573">
        <f>IF('Marks Entry'!W8="","",'Marks Entry'!W8)</f>
        <v>9</v>
      </c>
      <c r="AO8" s="573">
        <f>IF('Marks Entry'!X8="","",'Marks Entry'!X8)</f>
        <v>10</v>
      </c>
      <c r="AP8" s="572">
        <f>IF(AND(AM8="",AN8="",AO8=""),"",IF(AND(AM8="AB",AN8="AB",AO8="AB"),"AB",IF(AND(AM8="ML",AN8="ML",AO8="ML"),"ML",SUM(AM8:AO8))))</f>
        <v>27</v>
      </c>
      <c r="AQ8" s="155">
        <f>IF('Marks Entry'!Y8="","",'Marks Entry'!Y8)</f>
        <v>45</v>
      </c>
      <c r="AR8" s="155" t="str">
        <f>IF('Marks Entry'!Z8="","",'Marks Entry'!Z8)</f>
        <v/>
      </c>
      <c r="AS8" s="156">
        <f>IF(AND(AQ8="",AR8=""),"",IF(AND(AQ8="AB",AR8="AB"),"AB",IF(AND(AQ8="ML",AR8="ML"),"ML",SUM(AQ8:AR8))))</f>
        <v>45</v>
      </c>
      <c r="AT8" s="572">
        <f>IF(AND(AS8="",AP8=""),"",IF(AND(AS8="AB",AP8="AB"),"AB",IF(AND(AS8="ML",AP8="ML"),"ML",SUM(AP8,AS8))))</f>
        <v>72</v>
      </c>
      <c r="AU8" s="155">
        <f>IF('Marks Entry'!AA8="","",'Marks Entry'!AA8)</f>
        <v>57</v>
      </c>
      <c r="AV8" s="573" t="str">
        <f>IF('Marks Entry'!AB8="","",'Marks Entry'!AB8)</f>
        <v/>
      </c>
      <c r="AW8" s="156">
        <f>IF(AND(AU8="",AV8=""),"",IF(AND(AU8="AB",AV8="AB"),"AB",IF(AND(AU8="ML",AV8="ML"),"ML",SUM(AU8:AV8))))</f>
        <v>57</v>
      </c>
      <c r="AX8" s="157">
        <f>IF(AND(AP8="",AQ8="",AU8=""),"",SUM(AP8,AQ8,AU8))</f>
        <v>129</v>
      </c>
      <c r="AY8" s="157" t="str">
        <f>IF(AND(AR8="",AV8=""),"",SUM(AR8,AV8))</f>
        <v/>
      </c>
      <c r="AZ8" s="192">
        <f>IF(AND(AT8="",AW8=""),"",SUM(AT8,AW8))</f>
        <v>129</v>
      </c>
      <c r="BA8" s="153">
        <f t="shared" si="8"/>
        <v>0</v>
      </c>
      <c r="BB8" s="154">
        <f t="shared" si="9"/>
        <v>0</v>
      </c>
      <c r="BC8" s="154">
        <f>IF(OR($B8="NSO",$B8=0,AX8=""),"",IF(AND(AR8="",AV8=""),SUM($AU$7),SUM($AU$6)))</f>
        <v>100</v>
      </c>
      <c r="BD8" s="154" t="str">
        <f>IF(OR($B8="NSO",$B8=0,AY8=""),"",IF(AND(AR8="",AV8=""),"",AY$6-(COUNTIF(AR8,"ML")*AR$6)-(COUNTIF(AV8,"ML")*AV$6)))</f>
        <v/>
      </c>
      <c r="BE8" s="154">
        <f>IF(OR($B8="NSO",$B8=0),"",IF(AND(AP8="",AQ8="",AU8=""),"",IF(AND(AR8="",AV8=""),SUM(($AX$7)-(BA8+BB8)),SUM(($AX$6)-(BA8+BB8)))))</f>
        <v>200</v>
      </c>
      <c r="BF8" s="153" t="str">
        <f>IF(AND(OR(AM8="ab",AM8="ml"),OR(AQ8="ab",AQ8="ml"),OR(AN8="ab",AN8="ml")),"AB",IF(AND(OR(AM8="ab",AM8="ml"),OR(AQ8="ab",AQ8="ml"),OR(AU8="ab",AU8="ml")),"AB",IF(AND(OR(AQ8="ab",AQ8="ml"),OR(AO8="ab",AO8="ml"),OR(AN8="ab",AN8="ml")),"AB",IF(AND(OR(AQ8="ab",AQ8="ml"),OR(AU8="ab",AU8="ml"),OR(AN8="ab",AN8="ml")),"AB",IF(AND(OR(AQ8="ab",AQ8="ml"),OR(AU8="ab",AU8="ml")),"AB","")))))</f>
        <v/>
      </c>
      <c r="BG8" s="154" t="str">
        <f>IF(OR($B8="NSO",$B8=0,AU8="",AW8="",AZ8=""),"",IF(OR(AU8="AB",AV8="AB",BF8="AB"),"AB",IF(OR(AU8="ML",AW8="ML"),"RE",IF(AV8="MLP","REP",IF(AV8&lt;33%*$AV$6,"FP",IF(AR8&lt;33%*$AR$6,"FP",IF(AND(AX8&gt;=36%*BE8,SUM(AU8)&gt;=20%*BC8,AY8&gt;=SUM(BD8)*36%),"P",IF(AND(AX8&gt;=34%*BE8,BB8=0,SUM(AU8)&gt;=20%*BC8,AY8&gt;=SUM(BD8)*36%),"G2",IF(AND(AX8&gt;=31%*BE8,BB8=0,SUM(AU8)&gt;=20%*BC8,AY8&gt;=SUM(BD8)*36%),"G1",IF(AND(AX8&gt;=25%*BE8,SUM(AU8)&gt;=20%*BC8),"S","F"))))))))))</f>
        <v>P</v>
      </c>
      <c r="BH8" s="153" t="str">
        <f>IF(OR(BG8="REP",BG8="RE",BG8=0,BG8="",BG8="F",BG8="AB"),BG8,IF(AND(AZ8&gt;=75%*($AZ$6-BA8-BB8),BG8="P"),"D",IF(AND(AZ8&gt;=60%*($AZ$6-BA8-BB8),BG8="P"),"I",IF(AND(AZ8&gt;=48%*($AZ$6-BA8-BB8),BG8="P"),"II",IF(AND(AZ8&gt;=36%*($AZ$6-BA8-BB8),BG8="P"),"III",BG8)))))</f>
        <v>I</v>
      </c>
      <c r="BI8" s="155" t="str">
        <f>IF('Marks Entry'!AC8="","",'Marks Entry'!AC8)</f>
        <v>A</v>
      </c>
      <c r="BJ8" s="155">
        <f>IF('Marks Entry'!AD8="","",'Marks Entry'!AD8)</f>
        <v>5</v>
      </c>
      <c r="BK8" s="580">
        <f>IF('Marks Entry'!AE8="","",'Marks Entry'!AE8)</f>
        <v>9</v>
      </c>
      <c r="BL8" s="580">
        <f>IF('Marks Entry'!AF8="","",'Marks Entry'!AF8)</f>
        <v>8</v>
      </c>
      <c r="BM8" s="581">
        <f>IF(AND(BJ8="",BK8="",BL8=""),"",IF(AND(BJ8="AB",BK8="AB",BL8="AB"),"AB",IF(AND(BJ8="ML",BK8="ML",BL8="ML"),"ML",SUM(BJ8:BL8))))</f>
        <v>22</v>
      </c>
      <c r="BN8" s="155">
        <f>IF('Marks Entry'!AG8="","",'Marks Entry'!AG8)</f>
        <v>55</v>
      </c>
      <c r="BO8" s="580" t="str">
        <f>IF('Marks Entry'!AH8="","",'Marks Entry'!AH8)</f>
        <v/>
      </c>
      <c r="BP8" s="581">
        <f>IF(AND(BN8="",BO8=""),"",IF(AND(BN8="AB",BO8="AB"),"AB",IF(AND(BN8="ML",BO8="ML"),"ML",SUM(BN8:BO8))))</f>
        <v>55</v>
      </c>
      <c r="BQ8" s="581">
        <f>IF(AND(BP8="",BM8=""),"",IF(AND(BP8="AB",BM8="AB"),"AB",IF(AND(BP8="ML",BM8="ML"),"ML",SUM(BM8,BP8))))</f>
        <v>77</v>
      </c>
      <c r="BR8" s="155">
        <f>IF('Marks Entry'!AI8="","",'Marks Entry'!AI8)</f>
        <v>81</v>
      </c>
      <c r="BS8" s="580" t="str">
        <f>IF('Marks Entry'!AJ8="","",'Marks Entry'!AJ8)</f>
        <v/>
      </c>
      <c r="BT8" s="581">
        <f>IF(AND(BR8="",BS8=""),"",IF(AND(BR8="AB",BS8="AB"),"AB",IF(AND(BR8="ML",BS8="ML"),"ML",SUM(BR8:BS8))))</f>
        <v>81</v>
      </c>
      <c r="BU8" s="157">
        <f>IF(AND(BM8="",BN8="",BR8=""),"",SUM(BM8,BN8,BR8))</f>
        <v>158</v>
      </c>
      <c r="BV8" s="157" t="str">
        <f>IF(AND(BO8="",BS8=""),"",SUM(BO8,BS8))</f>
        <v/>
      </c>
      <c r="BW8" s="192">
        <f t="shared" ref="BW8" si="14">IF(AND(BQ8="",BT8=""),"",SUM(BQ8,BT8))</f>
        <v>158</v>
      </c>
      <c r="BX8" s="153">
        <f t="shared" si="10"/>
        <v>0</v>
      </c>
      <c r="BY8" s="154">
        <f>IF(AND(BN8="",BR8=""),(COUNTIF(BJ8:BL8,"ML")*10+(COUNTIF(BN8,"ML"))*BN$6+(COUNTIF(BR8,"ML"))*BR$6),(COUNTIF(BJ8:BL8,"ML")*10+(COUNTIF(BN8,"ML"))*BN$6+(COUNTIF(BR8,"ML"))*BR$6))</f>
        <v>0</v>
      </c>
      <c r="BZ8" s="154">
        <f>IF(OR($B8="NSO",$B8=0,BU8=""),"",IF(AND(BO8="",BS8=""),SUM($BR$7),SUM($BR$6)))</f>
        <v>100</v>
      </c>
      <c r="CA8" s="154" t="str">
        <f>IF(OR($B8="NSO",$B8=0,BV8=""),"",IF(AND(BO8="",BS8=""),"",BV$6-(COUNTIF(BO8,"ML")*BO$6)-(COUNTIF(BS8,"ML")*BS$6)))</f>
        <v/>
      </c>
      <c r="CB8" s="154">
        <f>IF(OR($B8="NSO",$B8=0),"",IF(AND(BM8="",BN8="",BR8=""),"",IF(AND(BO8="",BS8=""),SUM(($BU$7)-(BX8+BY8)),SUM(($BU$6)-(BX8+BY8)))))</f>
        <v>200</v>
      </c>
      <c r="CC8" s="153" t="str">
        <f>IF(AND(OR(BJ8="ab",BJ8="ml"),OR(BN8="ab",BN8="ml"),OR(BK8="ab",BK8="ml")),"AB",IF(AND(OR(BJ8="ab",BJ8="ml"),OR(BN8="ab",BN8="ml"),OR(BR8="ab",BR8="ml")),"AB",IF(AND(OR(BN8="ab",BN8="ml"),OR(BL8="ab",BL8="ml"),OR(BK8="ab",BK8="ml")),"AB",IF(AND(OR(BN8="ab",BN8="ml"),OR(BR8="ab",BR8="ml"),OR(BK8="ab",BK8="ml")),"AB",IF(AND(OR(BN8="ab",BN8="ml"),OR(BR8="ab",BR8="ml")),"AB","")))))</f>
        <v/>
      </c>
      <c r="CD8" s="154" t="str">
        <f>IF(OR($B8="NSO",$B8=0,BR8="",BT8="",BW8=""),"",IF(OR(BR8="AB",BS8="AB",CC8="AB"),"AB",IF(OR(BR8="ML",BT8="ML"),"RE",IF(BS8="MLP","REP",IF(BS8&lt;33%*$BS$6,"FP",IF(BO8&lt;33%*$BO$6,"FP",IF(AND(BU8&gt;=36%*CB8,SUM(BR8)&gt;=20%*BZ8,BV8&gt;=SUM(CA8)*36%),"P",IF(AND(BU8&gt;=34%*CB8,BY8=0,SUM(BR8)&gt;=20%*BZ8,BV8&gt;=SUM(CA8)*36%),"G2",IF(AND(BU8&gt;=31%*CB8,BY8=0,SUM(BR8)&gt;=20%*BZ8,BV8&gt;=SUM(CA8)*36%),"G1",IF(AND(BU8&gt;=25%*CB8,SUM(BR8)&gt;=20%*BZ8),"S","F"))))))))))</f>
        <v>P</v>
      </c>
      <c r="CE8" s="153" t="str">
        <f>IF(OR(CD8="REP",CD8="RE",CD8=0,CD8="",CD8="F",CD8="AB"),CD8,IF(AND(BW8&gt;=75%*($BW$6-BX8-BY8),CD8="P"),"D",IF(AND(BW8&gt;=60%*($BW$6-BX8-BY8),CD8="P"),"I",IF(AND(BW8&gt;=48%*($BW$6-BX8-BY8),CD8="P"),"II",IF(AND(BW8&gt;=36%*($BW$6-BX8-BY8),CD8="P"),"III",CD8)))))</f>
        <v>D</v>
      </c>
      <c r="CF8" s="155" t="str">
        <f>IF('Marks Entry'!AK8="","",'Marks Entry'!AK8)</f>
        <v>A</v>
      </c>
      <c r="CG8" s="155" t="str">
        <f>IF('Marks Entry'!AL8="","",'Marks Entry'!AL8)</f>
        <v>ml</v>
      </c>
      <c r="CH8" s="580">
        <f>IF('Marks Entry'!AM8="","",'Marks Entry'!AM8)</f>
        <v>6</v>
      </c>
      <c r="CI8" s="580">
        <f>IF('Marks Entry'!AN8="","",'Marks Entry'!AN8)</f>
        <v>8</v>
      </c>
      <c r="CJ8" s="581">
        <f>IF(AND(CG8="",CH8="",CI8=""),"",IF(AND(CG8="AB",CH8="AB",CI8="AB"),"AB",IF(AND(CG8="ML",CH8="ML",CI8="ML"),"ML",SUM(CG8:CI8))))</f>
        <v>14</v>
      </c>
      <c r="CK8" s="155">
        <f>IF('Marks Entry'!AO8="","",'Marks Entry'!AO8)</f>
        <v>40</v>
      </c>
      <c r="CL8" s="580">
        <f>IF('Marks Entry'!AP8="","",'Marks Entry'!AP8)</f>
        <v>10</v>
      </c>
      <c r="CM8" s="581">
        <f>IF(AND(CK8="",CL8=""),"",IF(AND(CK8="AB",CL8="AB"),"AB",IF(AND(CK8="ML",CL8="ML"),"ML",SUM(CK8:CL8))))</f>
        <v>50</v>
      </c>
      <c r="CN8" s="581">
        <f>IF(AND(CM8="",CJ8=""),"",IF(AND(CM8="AB",CJ8="AB"),"AB",IF(AND(CM8="ML",CJ8="ML"),"ML",SUM(CJ8,CM8))))</f>
        <v>64</v>
      </c>
      <c r="CO8" s="155">
        <f>IF('Marks Entry'!AQ8="","",'Marks Entry'!AQ8)</f>
        <v>56</v>
      </c>
      <c r="CP8" s="155">
        <f>IF('Marks Entry'!AR8="","",'Marks Entry'!AR8)</f>
        <v>11</v>
      </c>
      <c r="CQ8" s="581">
        <f>IF(AND(CO8="",CP8=""),"",IF(AND(CO8="AB",CP8="AB"),"AB",IF(AND(CO8="ML",CP8="ML"),"ML",SUM(CO8:CP8))))</f>
        <v>67</v>
      </c>
      <c r="CR8" s="157">
        <f>IF(AND(CJ8="",CK8="",CO8=""),"",SUM(CJ8,CK8,CO8))</f>
        <v>110</v>
      </c>
      <c r="CS8" s="157">
        <f>IF(AND(CL8="",CP8=""),"",SUM(CL8,CP8))</f>
        <v>21</v>
      </c>
      <c r="CT8" s="192">
        <f>IF(AND(CN8="",CQ8=""),"",SUM(CN8,CQ8))</f>
        <v>131</v>
      </c>
      <c r="CU8" s="153">
        <f t="shared" si="12"/>
        <v>0</v>
      </c>
      <c r="CV8" s="154">
        <f t="shared" si="13"/>
        <v>10</v>
      </c>
      <c r="CW8" s="154">
        <f>IF(OR($B8="NSO",$B8=0,CR8=""),"",IF(AND(CL8="",CP8=""),SUM($CO$7),SUM($CO$6)))</f>
        <v>70</v>
      </c>
      <c r="CX8" s="154">
        <f>IF(OR($B8="NSO",$B8=0,CS8=""),"",IF(AND(CL8="",CP8=""),"",CS$6-(COUNTIF(CL8,"ML")*CL$6)-(COUNTIF(CP8,"ML")*CP$6)))</f>
        <v>50</v>
      </c>
      <c r="CY8" s="154">
        <f>IF(OR($B8="NSO",$B8=0),"",IF(AND(CJ8="",CK8="",CO8=""),"",IF(AND(CL8="",CP8=""),SUM((CR$7)-(CU8+CV8)),SUM((CR$6)-(CU8+CV8)))))</f>
        <v>140</v>
      </c>
      <c r="CZ8" s="153" t="str">
        <f>IF(AND(OR(CG8="ab",CG8="ml"),OR(CK8="ab",CK8="ml"),OR(CH8="ab",CH8="ml")),"AB",IF(AND(OR(CG8="ab",CG8="ml"),OR(CK8="ab",CK8="ml"),OR(CO8="ab",CO8="ml")),"AB",IF(AND(OR(CK8="ab",CK8="ml"),OR(CI8="ab",CI8="ml"),OR(CH8="ab",CH8="ml")),"AB",IF(AND(OR(CK8="ab",CK8="ml"),OR(CO8="ab",CO8="ml"),OR(CH8="ab",CH8="ml")),"AB",IF(AND(OR(CK8="ab",CK8="ml"),OR(CO8="ab",CO8="ml")),"AB","")))))</f>
        <v/>
      </c>
      <c r="DA8" s="154" t="str">
        <f>IF(OR($B8="NSO",$B8=0,CO8="",CQ8="",CT8=""),"",IF(OR(CO8="AB",CP8="AB",CZ8="AB"),"AB",IF(OR(CO8="ML",CQ8="ML"),"RE",IF(CP8="MLP","REP",IF(CP8&lt;33%*$CP$6,"FP",IF(CL8&lt;33%*$CL$6,"FP",IF(AND(CR8&gt;=36%*CY8,SUM(CO8)&gt;=20%*CW8,CS8&gt;=SUM(CX8)*36%),"P",IF(AND(CR8&gt;=34%*CY8,CV8=0,SUM(CO8)&gt;=20%*CW8,CS8&gt;=SUM(CX8)*36%),"G2",IF(AND(CR8&gt;=31%*CY8,CV8=0,SUM(CO8)&gt;=20%*CW8,CS8&gt;=SUM(CX8)*36%),"G1",IF(AND(CR8&gt;=25%*CY8,SUM(CO8)&gt;=20%*CW8),"S","F"))))))))))</f>
        <v>P</v>
      </c>
      <c r="DB8" s="153" t="str">
        <f>IF(OR(DA8="REP",DA8="RE",DA8=0,DA8="",DA8="F",DA8="AB"),DA8,IF(AND(CT8&gt;=75%*($CT$6-CU8-CV8),DA8="P"),"D",IF(AND(CT8&gt;=60%*($CT$6-CU8-CV8),DA8="P"),"I",IF(AND(CT8&gt;=48%*($CT$6-CU8-CV8),DA8="P"),"II",IF(AND(CT8&gt;=36%*($CT$6-CU8-CV8),DA8="P"),"III",DA8)))))</f>
        <v>I</v>
      </c>
      <c r="DC8" s="154">
        <f>SUM(R8,S8,AF8,AG8,BA8,BB8,BX8,BY8,CU8,CV8)</f>
        <v>10</v>
      </c>
      <c r="DD8" s="155" t="str">
        <f>IF('Marks Entry'!AS8="","",IF(OR('Master Sheet'!$D$19="YES",'Marks Entry'!$BA$1=1),'Marks Entry'!AS8,""))</f>
        <v/>
      </c>
      <c r="DE8" s="155" t="str">
        <f>IF('Marks Entry'!AT8="","",IF(OR('Master Sheet'!$D$19="YES",'Marks Entry'!$BA$1=1),'Marks Entry'!AT8,""))</f>
        <v/>
      </c>
      <c r="DF8" s="779" t="str">
        <f>IF('Marks Entry'!AU8="","",IF(OR('Master Sheet'!$D$19="YES",'Marks Entry'!$BA$1=1),'Marks Entry'!AU8,""))</f>
        <v/>
      </c>
      <c r="DG8" s="779" t="str">
        <f>IF('Marks Entry'!AV8="","",IF(OR('Master Sheet'!$D$19="YES",'Marks Entry'!$BA$1=1),'Marks Entry'!AV8,""))</f>
        <v/>
      </c>
      <c r="DH8" s="586" t="str">
        <f>IF(AND(DE8="",DF8="",DG8=""),"",IF(AND(DE8="AB",DF8="AB",DG8="AB"),"AB",IF(AND(DE8="ML",DF8="ML",DG8="ML"),"ML",SUM(DE8:DG8))))</f>
        <v/>
      </c>
      <c r="DI8" s="155" t="str">
        <f>IF('Marks Entry'!AW8="","",IF(OR('Master Sheet'!$D$19="YES",'Marks Entry'!$BA$1=1),'Marks Entry'!AW8,""))</f>
        <v/>
      </c>
      <c r="DJ8" s="779" t="str">
        <f>IF('Marks Entry'!AX8="","",IF(OR('Master Sheet'!$D$19="YES",'Marks Entry'!$BA$1=1),'Marks Entry'!AX8,""))</f>
        <v/>
      </c>
      <c r="DK8" s="586" t="str">
        <f>IF(AND(DI8="",DJ8=""),"",IF(AND(DI8="AB",DJ8="AB"),"AB",IF(AND(DI8="ML",DJ8="ML"),"ML",SUM(DI8:DJ8))))</f>
        <v/>
      </c>
      <c r="DL8" s="586" t="str">
        <f>IF(AND(DK8="",DH8=""),"",IF(AND(DK8="AB",DH8="AB"),"AB",IF(AND(DK8="ML",DH8="ML"),"ML",SUM(DH8,DK8))))</f>
        <v/>
      </c>
      <c r="DM8" s="155" t="str">
        <f>IF('Marks Entry'!AY8="","",IF(OR('Master Sheet'!$D$19="YES",'Marks Entry'!$BA$1=1),'Marks Entry'!AY8,""))</f>
        <v/>
      </c>
      <c r="DN8" s="779" t="str">
        <f>IF('Marks Entry'!AZ8="","",IF(OR('Master Sheet'!$D$19="YES",'Marks Entry'!$BA$1=1),'Marks Entry'!AZ8,""))</f>
        <v/>
      </c>
      <c r="DO8" s="779" t="str">
        <f>IF('Marks Entry'!BA8="","",IF(OR('Master Sheet'!$D$19="YES",'Marks Entry'!$BA$1=1),'Marks Entry'!BA8,""))</f>
        <v/>
      </c>
      <c r="DP8" s="586" t="str">
        <f>IF(AND(DM8="",DN8="",DO8=""),"",IF(AND(DM8="AB",DN8="AB",DO8="AB"),"AB",IF(AND(DM8="ML",DN8="ML",DO8="ML"),"ML",SUM(DM8:DO8))))</f>
        <v/>
      </c>
      <c r="DQ8" s="157" t="str">
        <f>IF(AND(DH8="",DI8="",DM8="",DN8=""),"",SUM(DH8,DI8,DM8))</f>
        <v/>
      </c>
      <c r="DR8" s="157" t="str">
        <f>IF(AND(DN8=""),"",SUM(DN8))</f>
        <v/>
      </c>
      <c r="DS8" s="157" t="str">
        <f>IF(AND(DJ8="",DO8=""),"",SUM(DJ8,DO8))</f>
        <v/>
      </c>
      <c r="DT8" s="192" t="str">
        <f>IF(AND(DL8="",DP8=""),"",SUM(DL8,DP8))</f>
        <v/>
      </c>
      <c r="DU8" s="153">
        <f>COUNTIF(DE8:DG8,"NA")*10</f>
        <v>0</v>
      </c>
      <c r="DV8" s="154" t="e">
        <f>IF(AND(DI8="",DM8=""),(COUNTIF(DE8:DG8,"ML")*10+(COUNTIF(DI8,"ML"))*DI$6+(COUNTIF(DM8,"ML"))*DM$6),(COUNTIF(DE8:DG8,"ML")*10+(COUNTIF(DI8,"ML"))*DI$6+(COUNTIF(DM8,"ML"))*DM$6))</f>
        <v>#VALUE!</v>
      </c>
      <c r="DW8" s="154" t="str">
        <f>IF(OR($B8="NSO",$B8=0,DM8=""),"",IF(AND(DO8=""),SUM($DM$7,DN$7),SUM($DM$6,DN$6)))</f>
        <v/>
      </c>
      <c r="DX8" s="154" t="str">
        <f>IF(OR($B8="NSO",$B8=0,DS8=""),"",IF(AND(DJ8="",DO8=""),"",IF('Master Sheet'!$D$19="YES",$DO$6-COUNTIF(DO8,"ML")*DO$6,DS$6-(COUNTIF(DJ8,"ML")*DJ$6)-(COUNTIF(DO8,"ML")*DO$6))))</f>
        <v/>
      </c>
      <c r="DY8" s="154" t="str">
        <f>IF(OR($B8="NSO",$B8=0),"",IF(AND(DH8="",DI8="",DM8=""),"",IF(AND('Master Sheet'!$D$19="YES",'Marks Entry'!$BA$1=1),100,IF(AND(DJ8="",DO8=""),SUM(($DQ$7+$DR$7)-(DU8+DV8)),SUM(($DQ$6+$DR$6)-(DU8+DV8))))))</f>
        <v/>
      </c>
      <c r="DZ8" s="153" t="str">
        <f>IF(AND(OR(DE8="ab",DF8="ml"),OR(DI8="ab",DI8="ml")),"AB",IF(AND(OR(DE8="ab",DE8="ml"),OR(DF8="ab",DF8="ml"),OR(DH8="ab",DH8="ml")),"AB",IF(AND(OR(DI8="ab",DI8="ml"),OR(DF8="ab",DF8="ml"),OR(DG8="ab",DG8="ml")),"AB",IF(AND(OR(DKJ8="ab",DI8="ml"),OR(DM8="ab",DM8="ml"),OR(DN8="ab",DN8="ml")),"AB",""))))</f>
        <v/>
      </c>
      <c r="EA8" s="154" t="str">
        <f>IF(OR($B8="NSO",$B8=0,DM8="",DT8="",DQ8=""),"",IF(OR(DM8="AB",DO8="AB",DZ8="AB"),"AB",IF(OR(DM8="ML",DP8="ML"),"RE",IF(DO8="MLP","REP",IF(DO8&lt;33%*$DO$6,"FP",IF(DJ8&lt;33%*$DJ$6,"FP",IF(AND(DT8&gt;=36%*DY8,SUM(DM8)&gt;=20%*DW8,DS8&gt;=SUM(DX8)*36%),"P",IF(AND(DQ8&gt;=34%*DY8,DV8=0,SUM(DM8)&gt;=20%*DW8,DS8&gt;=SUM(DX8)*36%),"G2",IF(AND(DQ8&gt;=31%*DY8,DV8=0,SUM(DM8)&gt;=20%*DW8,DS8&gt;=SUM(DX8)*36%),"G1",IF(AND(DQ8&gt;=25%*DY8,SUM(DM8)&gt;=20%*DW8),"S","F"))))))))))</f>
        <v/>
      </c>
      <c r="EB8" s="153" t="str">
        <f>IF(OR(EA8="REP",EA8="RE",EA8=0,EA8="",EA8="F",EA8="AB"),EA8,IF(AND(DT8&gt;=75%*($DT$6-DU8-DV8),EA8="P"),"D",IF(AND(DT8&gt;=60%*($DT$6-DU8-DV8),EA8="P"),"I",IF(AND(DT8&gt;=48%*($DT$6-DU8-DV8),EA8="P"),"II",IF(AND(DT8&gt;=36%*($DT$6-DU8-DV8),EA8="P"),"III",EA8)))))</f>
        <v/>
      </c>
      <c r="EC8" s="155">
        <f>IF('Marks Entry'!BB8="","",'Marks Entry'!BB8)</f>
        <v>25</v>
      </c>
      <c r="ED8" s="584">
        <f>IF('Marks Entry'!BC8="","",'Marks Entry'!BC8)</f>
        <v>20</v>
      </c>
      <c r="EE8" s="584">
        <f>IF('Marks Entry'!BD8="","",'Marks Entry'!BD8)</f>
        <v>38</v>
      </c>
      <c r="EF8" s="191">
        <f>IF(AND(EC8="",ED8="",EE8=""),"",SUM(EC8:EE8))</f>
        <v>83</v>
      </c>
      <c r="EG8" s="112">
        <f>COUNTIF(EC8,"NA")*$EC$6</f>
        <v>0</v>
      </c>
      <c r="EH8" s="112">
        <f>(COUNTIF(EC8,"ML")*$EC$6)+(COUNTIF(ED8,"ML")*$ED$6)</f>
        <v>0</v>
      </c>
      <c r="EI8" s="193">
        <f>IF(OR($B8="NSO",$B8=0),"",IF(AND(EC8="",ED8="",EE8=""),"",IF(AND(EC8="",ED8=""),30-EG8-EH8,IF(AND(ED8="",EE8=""),60-EG8-EH8,100-EG8-EH8))))</f>
        <v>100</v>
      </c>
      <c r="EJ8" s="112" t="str">
        <f>IF(OR(EE8="ab",EE8="ml"),EE8,"")</f>
        <v/>
      </c>
      <c r="EK8" s="112" t="str">
        <f>IF(OR($B8="NSO",$B8=0,EF8=""),"",IF(OR(EJ8="AB",EE8="ab"),"AB",IF(AND(EX8="FAIL",(OR(EF8="ml",EF8&lt;20%*$EF$6,EF8&lt;36%*EI8))),"F",IF(OR(EE8="ML",EE8&lt;20%*$EE$6,EF8&lt;36%*EI8),"RE",IF(EF8&gt;80%*EI8,"A",IF(EF8&gt;60%*EI8,"B",IF(EF8&gt;40%*EI8,"C","D")))))))</f>
        <v>A</v>
      </c>
      <c r="EL8" s="194" t="str">
        <f>W8</f>
        <v>I</v>
      </c>
      <c r="EM8" s="194" t="str">
        <f t="shared" ref="EM8" si="15">AK8</f>
        <v>I</v>
      </c>
      <c r="EN8" s="194" t="str">
        <f t="shared" ref="EN8" si="16">BH8</f>
        <v>I</v>
      </c>
      <c r="EO8" s="194" t="str">
        <f t="shared" ref="EO8" si="17">CE8</f>
        <v>D</v>
      </c>
      <c r="EP8" s="194" t="str">
        <f>DB8</f>
        <v>I</v>
      </c>
      <c r="EQ8" s="194" t="str">
        <f>EB8</f>
        <v/>
      </c>
      <c r="ER8" s="195">
        <f>COUNTIF(EL8:EP8,"F")+COUNTIF(EL8:EP8,"AB")+COUNTIF(EN8:EP8,"FP")</f>
        <v>0</v>
      </c>
      <c r="ES8" s="195">
        <f>COUNTIF(EL8:EP8,"S")</f>
        <v>0</v>
      </c>
      <c r="ET8" s="195">
        <f>COUNTIF(EL8:EP8,"G1")</f>
        <v>0</v>
      </c>
      <c r="EU8" s="195">
        <f>COUNTIF(EL8:EP8,"G2")</f>
        <v>0</v>
      </c>
      <c r="EV8" s="195">
        <f>COUNTIF(EL8:EP8,"RE")+COUNTIF(EL8:EP8,"REP")</f>
        <v>0</v>
      </c>
      <c r="EW8" s="195" t="str">
        <f>IF(OR(EK8="AB",EK8="F"),"D",IF(OR(EK8="RE"),"D",""))</f>
        <v/>
      </c>
      <c r="EX8" s="196" t="str">
        <f>IF(B8="NSO","NSO",IF(OR(B8="",B8=0,P8="",AD8="",AW8="",BT8=""),"",IF(OR(ER8&gt;0,(ES8+ET8+EU8)&gt;2),"FAIL",IF(EV8&gt;0,"RE-EXAM",IF(OR(ES8&gt;0,ET8&gt;1),"SUPPLEMENTARY",IF(AND(ET8&gt;0,EU8&gt;0),"SUPPLEMENTARY",IF((ET8+EU8)&gt;0,"BY GRACE PASS","PASS")))))))</f>
        <v>PASS</v>
      </c>
      <c r="EY8" s="197">
        <f>IF('Marks Entry'!BE8="","",'Marks Entry'!BE8)</f>
        <v>9</v>
      </c>
      <c r="EZ8" s="197">
        <f>IF('Marks Entry'!BF8="","",'Marks Entry'!BF8)</f>
        <v>9</v>
      </c>
      <c r="FA8" s="197">
        <f>IF('Marks Entry'!BG8="","",'Marks Entry'!BG8)</f>
        <v>9</v>
      </c>
      <c r="FB8" s="596">
        <f>IF(AND(EY8="",EZ8="",FA8=""),"",IF(AND(EY8="AB",EZ8="AB",FA8="AB"),"AB",IF(AND(EY8="ML",EZ8="ML",FA8="ML"),"ML",SUM(EY8:FA8))))</f>
        <v>27</v>
      </c>
      <c r="FC8" s="197">
        <f>IF('Marks Entry'!BH8="","",'Marks Entry'!BH8)</f>
        <v>45</v>
      </c>
      <c r="FD8" s="197">
        <f>IF('Marks Entry'!BI8="","",'Marks Entry'!BI8)</f>
        <v>98</v>
      </c>
      <c r="FE8" s="198">
        <f>IF(AND(EY8="",EZ8="",FA8="",FC8="",FD8=""),"",SUM(EY8,EZ8,FA8,FC8,FD8))</f>
        <v>170</v>
      </c>
      <c r="FF8" s="199" t="str">
        <f t="shared" ref="FF8" si="18">IF(OR($B8="NSO",$B8=0,FE8=""),"",IF(OR(FE8="AB",FD8="ab"),"AB",IF(AND(EX8="FAIL",(OR(FE8&lt;36%*$FE$6))),"F",IF(OR(FD8="ML",FD8&lt;20%*$FD$6,FE8&lt;36%*$FE$6),"RE",IF(FE8&gt;80%*$FE$6,"A",IF(FE8&gt;60%*$FE$6,"B",IF(FE8&gt;40%*$FE$6,"C","D")))))))</f>
        <v>A</v>
      </c>
      <c r="FG8" s="200">
        <f>IF(AND(E8=""),"",IF('Student DATA Entry'!L4="","",'Student DATA Entry'!L4))</f>
        <v>350</v>
      </c>
      <c r="FH8" s="201">
        <f>IF(AND(E8=""),"",IF('Student DATA Entry'!M4="","",'Student DATA Entry'!M4))</f>
        <v>340</v>
      </c>
      <c r="FI8" s="202">
        <f>IF(OR(FG8=0,FH8=0,FG8="",FH8=""),"",FH8/FG8*100)</f>
        <v>97.142857142857139</v>
      </c>
      <c r="FJ8" s="189" t="str">
        <f>IF(AND(EX8="FAIL",(OR(EL8="G1",EL8="G2",EL8="S",EL8="RE"))),"F",IF(AND(EX8="RE-EXAM",(OR(EL8="G1",EL8="G2",EL8="S"))),"S",IF(AND(EX8="SUPPLEMENTARY",(OR(EL8="G1",EL8="G2"))),"S",IF(AND(EX8="BY GRACE PASS",(OR(EL8="G1",EL8="G2"))),"G",EL8))))</f>
        <v>I</v>
      </c>
      <c r="FK8" s="189" t="str">
        <f>IF(FJ8="G",",+","")</f>
        <v/>
      </c>
      <c r="FL8" s="203" t="str">
        <f t="shared" ref="FL8:FL39" si="19">IF(FJ8="G",ROUNDUP(36%*T8-Q8,0),"")</f>
        <v/>
      </c>
      <c r="FM8" s="189" t="str">
        <f>IF(AND(EX8="FAIL",(OR(EM8="G1",EM8="G2",EM8="S",EM8="RE"))),"F",IF(AND(EX8="RE-EXAM",(OR(EM8="G1",EM8="G2",EM8="S"))),"S",IF(AND(EX8="SUPPLEMENTARY",(OR(EM8="G1",EM8="G2"))),"S",IF(AND(EX8="BY GRACE PASS",(OR(EM8="G1",EM8="G2"))),"G",EM8))))</f>
        <v>I</v>
      </c>
      <c r="FN8" s="204" t="str">
        <f>IF(FM8="G",",+","")</f>
        <v/>
      </c>
      <c r="FO8" s="203" t="str">
        <f t="shared" ref="FO8:FO39" si="20">IF(FM8="G",ROUNDUP(36%*AH8-AE8,0),"")</f>
        <v/>
      </c>
      <c r="FP8" s="205" t="str">
        <f>IF(AND(EX8="FAIL",(OR(EN8="G1",EN8="G2",EN8="S",EN8="RE"))),"F",IF(AND(EX8="RE-EXAM",(OR(EN8="G1",EN8="G2",EN8="S"))),"S",IF(AND(EX8="SUPPLEMENTARY",(OR(EN8="G1",EN8="G2"))),"S",IF(AND(EX8="BY GRACE PASS",(OR(EN8="G1",EN8="G2"))),"G",EN8))))</f>
        <v>I</v>
      </c>
      <c r="FQ8" s="189" t="str">
        <f t="shared" ref="FQ8:FQ39" si="21">IF(AL8="A",FP8,"")</f>
        <v>I</v>
      </c>
      <c r="FR8" s="189" t="str">
        <f t="shared" ref="FR8:FR39" si="22">IF(AL8="B",FP8,"")</f>
        <v/>
      </c>
      <c r="FS8" s="189" t="str">
        <f t="shared" ref="FS8:FS39" si="23">IF(AL8="C",FP8,"")</f>
        <v/>
      </c>
      <c r="FT8" s="189" t="str">
        <f t="shared" ref="FT8:FT39" si="24">IF(AL8="D",FP8,"")</f>
        <v/>
      </c>
      <c r="FU8" s="189" t="str">
        <f>IF(FP8="G",",+","")</f>
        <v/>
      </c>
      <c r="FV8" s="206" t="str">
        <f t="shared" ref="FV8:FV39" si="25">IF(FP8="G",ROUNDUP(36%*BE8-AX8,0),"")</f>
        <v/>
      </c>
      <c r="FW8" s="205" t="str">
        <f>IF(AND(EX8="FAIL",(OR(EO8="G1",EO8="G2",EO8="S",EO8="RE",))),"F",IF(AND(EX8="RE-EXAM",(OR(EO8="G1",EO8="G2",EO8="S"))),"S",IF(AND(EX8="SUPPLEMENTARY",(OR(EO8="G1",EO8="G2"))),"S",IF(AND(EX8="BY GRACE PASS",(OR(EO8="G1",EO8="G2"))),"G",EO8))))</f>
        <v>D</v>
      </c>
      <c r="FX8" s="189" t="str">
        <f t="shared" ref="FX8:FX39" si="26">IF(BI8="A",FW8,"")</f>
        <v>D</v>
      </c>
      <c r="FY8" s="189" t="str">
        <f t="shared" ref="FY8:FY39" si="27">IF(BI8="B",FW8,"")</f>
        <v/>
      </c>
      <c r="FZ8" s="189" t="str">
        <f t="shared" ref="FZ8:FZ39" si="28">IF(BI8="C",FW8,"")</f>
        <v/>
      </c>
      <c r="GA8" s="189" t="str">
        <f t="shared" ref="GA8:GA39" si="29">IF(BI8="D",FW8,"")</f>
        <v/>
      </c>
      <c r="GB8" s="189" t="str">
        <f>IF(FW8="G",",+","")</f>
        <v/>
      </c>
      <c r="GC8" s="206" t="str">
        <f t="shared" ref="GC8:GC39" si="30">IF(FW8="G",ROUNDUP(36%*CB8-BU8,0),"")</f>
        <v/>
      </c>
      <c r="GD8" s="205" t="str">
        <f>IF(AND(EX8="FAIL",(OR(EP8="G1",EP8="G2",EP8="S",EP8="RE"))),"F",IF(AND(EX8="RE-EXAM",(OR(EP8="G1",EP8="G2",EP8="S"))),"S",IF(AND(EX8="SUPPLEMENTARY",(OR(EP8="G1",EP8="G2"))),"S",IF(AND(EX8="BY GRACE PASS",(OR(EP8="G1",EP8="G2"))),"G",EP8))))</f>
        <v>I</v>
      </c>
      <c r="GE8" s="189" t="str">
        <f t="shared" ref="GE8:GE39" si="31">IF(CF8="A",GD8,"")</f>
        <v>I</v>
      </c>
      <c r="GF8" s="189" t="str">
        <f t="shared" ref="GF8:GF39" si="32">IF(CF8="B",GD8,"")</f>
        <v/>
      </c>
      <c r="GG8" s="189" t="str">
        <f t="shared" ref="GG8:GG39" si="33">IF(CF8="C",GD8,"")</f>
        <v/>
      </c>
      <c r="GH8" s="189" t="str">
        <f t="shared" ref="GH8:GH39" si="34">IF(CF8="D",GD8,"")</f>
        <v/>
      </c>
      <c r="GI8" s="189" t="str">
        <f>IF(GD8="G",",+","")</f>
        <v/>
      </c>
      <c r="GJ8" s="206" t="str">
        <f t="shared" ref="GJ8:GJ39" si="35">IF(GD8="G",ROUNDUP(36%*CY8-CR8,0),"")</f>
        <v/>
      </c>
      <c r="GK8" s="205" t="str">
        <f>IF(AND(EX8="FAIL",(OR(EQ8="G1",EQ8="G2",EQ8="S",EQ8="RE"))),"F",IF(AND(EX8="RE-EXAM",(OR(EQ8="G1",EQ8="G2",EQ8="S"))),"S",IF(AND(EX8="SUPPLEMENTARY",(OR(EQ8="G1",EQ8="G2"))),"S",IF(AND(EX8="BY GRACE PASS",(OR(EQ8="G1",EQ8="G2"))),"G",EQ8))))</f>
        <v/>
      </c>
      <c r="GL8" s="189" t="str">
        <f t="shared" ref="GL8:GL39" si="36">IF(DD8="A",GK8,"")</f>
        <v/>
      </c>
      <c r="GM8" s="189" t="str">
        <f t="shared" ref="GM8:GM39" si="37">IF(DD8="B",GK8,"")</f>
        <v/>
      </c>
      <c r="GN8" s="189" t="str">
        <f t="shared" ref="GN8:GN39" si="38">IF(DD8="C",GK8,"")</f>
        <v/>
      </c>
      <c r="GO8" s="189" t="str">
        <f t="shared" ref="GO8:GO39" si="39">IF(DD8="D",GK8,"")</f>
        <v/>
      </c>
      <c r="GP8" s="189" t="str">
        <f>IF(GK8="G",",+","")</f>
        <v/>
      </c>
      <c r="GQ8" s="206" t="str">
        <f t="shared" ref="GQ8:GQ39" si="40">IF(GK8="G",ROUNDUP(36%*DY8-DQ8,0),"")</f>
        <v/>
      </c>
      <c r="GR8" s="189" t="str">
        <f>IF(AND(EX8="FAIL",EK8="RE"),"F",EK8)</f>
        <v>A</v>
      </c>
      <c r="GS8" s="189" t="str">
        <f>IF(AND(EX8="FAIL",FF8="RE"),"F",FF8)</f>
        <v>A</v>
      </c>
      <c r="GT8" s="207" t="str">
        <f>CONCATENATE(IF(FJ8="F",$FJ$5,IF(FJ8="AB",$FJ$5,""))," ",IF(FM8="F",$FM$5,IF(FM8="AB",$FM$5,""))," ",IF(FQ8="F",$FQ$5,IF(FR8="F",$FR$5,IF(FS8="F",$FS$5,IF(FQ8="AB",$FQ$5,IF(FR8="AB",$FR$5,IF(FS8="AB",$FS$5,IF(FQ8="FP",$FQ$5,IF(FR8="FP",$FR$5,IF(FS8="FP",$FS$5,"")))))))))," ",IF(FX8="F",$FX$5,IF(FY8="F",$FY$5,IF(FZ8="F",$FZ$5,IF(FX8="AB",$FX$5,IF(FY8="AB",$FY$5,IF(FZ8="AB",$FZ$5,IF(FX8="FP",$FX$5,IF(FY8="FP",$FY$5,IF(FZ8="FP",$FZ$5,"")))))))))," ",IF(GE8="F",$GE$5,IF(GF8="F",$GF$5,IF(GG8="F",$GG$5,IF(GE8="AB",$GE$5,IF(GF8="AB",$GF$5,IF(GG8="AB",$GG$5,IF(GE8="FP",$GE$5,IF(GF8="FP",$GF$5,IF(GG8="FP",$GG$5,""))))))))),"",IF(GL8="F",$GL$5,IF(GM8="F",$GM$5,IF(GN8="F",$GN$5,IF(GL8="AB",$GL$5,IF(GM8="AB",$GM$5,IF(GN8="AB",$GN$5,IF(GL8="FP",$GL$5,IF(GM8="FP",$GM$5,IF(GN8="FP",$GN$5,""))))))))))</f>
        <v xml:space="preserve">    </v>
      </c>
      <c r="GU8" s="207" t="str">
        <f>CONCATENATE(IF(FJ8="S",$FJ$5,"")," ",IF(FM8="S",$FM$5,"")," ",IF(FQ8="S",$FQ$5,IF(FR8="S",$FR$5,IF(FS8="S",$FS$5,IF(FT8="S",$FT$5,""))))," ",IF(FX8="S",$FX$5,IF(FY8="S",$FY$5,IF(FZ8="S",$FZ$5,IF(GA8="S",$GA$5,""))))," ",IF(GE8="S",$GE$5,IF(GF8="S",$GF$5,IF(GG8="S",$GG$5,IF(GH8="S",$GH$5,"")))))</f>
        <v xml:space="preserve">    </v>
      </c>
      <c r="GV8" s="207" t="str">
        <f>CONCATENATE(IF(FJ8="G",$FJ$5,"")," ",IF(FM8="G",$FM$5,"")," ",IF(FQ8="G",$FQ$5,IF(FR8="G",$FR$5,IF(FS8="G",$FS$5,"")))," ",IF(FX8="G",$FX$5,IF(FY8="G",$FY$5,IF(FZ8="G",$FZ$5,"")))," ",IF(GE8="G",$GE$5,IF(GF8="G",$GF$5,IF(GG8="G",$GG$5,""))))</f>
        <v xml:space="preserve">    </v>
      </c>
      <c r="GW8" s="207" t="str">
        <f>CONCATENATE(IF(FJ8="RE",$FJ$5,"")," ",IF(FM8="RE",$FM$5,"")," ",IF(OR(FQ8="RE",FQ8="REP"),$FQ$5,IF(OR(FR8="RE",FR8="REP"),$FR$5,IF(OR(FS8="RE",FS8="REP"),$FS$5,IF(OR(FT8="RE",FT8="REP"),$FT$5,""))))," ",IF(OR(FX8="RE",FX8="REP"),$FX$5,IF(OR(FY8="RE",FY8="REP"),$FY$5,IF(OR(FZ8="RE",FZ8="REP"),$FZ$5,IF(OR(GA8="RE",GA8="REP"),$GA$5,""))))," ",IF(OR(GE8="RE",GE8="REP"),$GE$5,IF(OR(GF8="RE",GF8="REP"),$GF$5,IF(OR(GG8="RE",GG8="REP"),$GG$5,IF(OR(GH8="RE",GH8="REP"),$GH$5,""))))," ",IF(GR8="RE",$GR$4," "),"",IF(GS8="RE",$GS$4," "),"",)</f>
        <v xml:space="preserve">       </v>
      </c>
      <c r="GX8" s="598" t="str">
        <f>CONCATENATE(IF(FJ8="D",$FJ$5,"")," ",IF($FM8="D",$FM$5,"")," ",IF(FQ8="D",$FQ$5,IF(FR8="D",$FR$5,IF(FS8="D",$FS$5,IF(FT8="D",$FT$5,""))))," ",IF(FX8="D",$FX$5,IF(FY8="D",$FY$5,IF(FZ8="D",$FZ$5,IF(GA8="D",$GA$5,""))))," ",IF(GE8="D",$GE$5,IF(GF8="D",$GF$5,IF(GG8="D",$GG$5,IF(GH8="D",$GH$5,""))))," ",IF(GL8="D",$GL$5,IF(GM8="D",$GM$5,IF(GN8="D",$GN$5,IF(GO8="D",$GO$5,"")))))</f>
        <v xml:space="preserve">   HISTORY  </v>
      </c>
      <c r="GY8" s="208" t="str">
        <f>IF(B8="NSO","NSO",IF(AND(OR(EX8="PASS",EX8="BY GRACE PASS",EX8="RE-EXAM"),EW8="F"),"FAIL",IF(AND(OR(EX8="PASS",EX8="BY GRACE PASS"),EW8="RE"),"RE-EXAM",EX8)))</f>
        <v>PASS</v>
      </c>
      <c r="GZ8" s="606">
        <f>IF(AND(Q8="",AE8="",AZ8="",BW8="",CT8=""),"",IF(AND('Master Sheet'!$D$19="YES",'Marks Entry'!$BA$1=1),SUM(Q8,AE8,AZ8,BW8,DT8),SUM(Q8,AE8,AZ8,BW8,CT8)))</f>
        <v>702</v>
      </c>
      <c r="HA8" s="209">
        <f>IF(GZ8="","",IF(AND('Master Sheet'!$D$19="YES",'Marks Entry'!$BA$1=1),GZ8/((900)-DC8)*100,GZ8/((1000)-DC8)*100))</f>
        <v>70.909090909090907</v>
      </c>
      <c r="HB8" s="611" t="str">
        <f>IF(HA8="","",IF(AND(HA8&gt;=60,(GY8="PASS")),"I",IF(AND(HA8&gt;=60,(GY8="BY GRACE PASS")),"I",IF(AND(HA8&gt;=48,(GY8="PASS")),"II",IF(AND(HA8&gt;=48,(GY8="BY GRACE PASS")),"II",IF(AND(HA8&gt;=36,(GY8="PASS")),"III",IF(AND(HA8&gt;=36,(GY8="BY GRACE PASS")),"III","")))))))</f>
        <v>I</v>
      </c>
      <c r="HC8" s="609">
        <f>IF(OR(GY8="PASS",GY8="BY GRACE PASS"),HA8,"")</f>
        <v>70.909090909090907</v>
      </c>
      <c r="HD8" s="610">
        <f>IF(HC8="","",SUMPRODUCT((HC8&lt;HC$8:HC$207)/COUNTIF(HC$8:HC$207,HC$8:HC$207)))</f>
        <v>1.0000000000000027</v>
      </c>
      <c r="HE8" s="210" t="str">
        <f>IFERROR(IF(OR(GY8="SUPPLEMENTARY",GY8="RE-EXAM"),'Supp. Result Entry'!AS7,""),"")</f>
        <v/>
      </c>
      <c r="HF8" s="613" t="str">
        <f>IF(OR(JB8="",IS8=0),"",IF(IZ8="","",IZ8))</f>
        <v/>
      </c>
      <c r="HG8" s="182" t="str">
        <f>IF(AND(JB8=""),"",IF(HE8="","",IF(AND(JB8="FAIL"),"Failed",JB8)))</f>
        <v/>
      </c>
      <c r="HH8" s="182" t="str">
        <f>IF(AND(HE8="",HF8="",HG8=""),"",IF(OR(GY8="SUPPLEMENTARY",GY8="RE-EXAM"),'Supp. Result Entry'!AS7,GY8))</f>
        <v/>
      </c>
      <c r="HI8" s="180"/>
      <c r="HY8" s="212" t="str">
        <f>IF('Supp. Result Entry'!U7="","",'Supp. Result Entry'!$U$6)</f>
        <v/>
      </c>
      <c r="HZ8" s="213" t="str">
        <f>IF('Supp. Result Entry'!X7="","",'Supp. Result Entry'!$X$6)</f>
        <v/>
      </c>
      <c r="IA8" s="213" t="str">
        <f>IF('Supp. Result Entry'!AA7="","",'Supp. Result Entry'!$AA$6)</f>
        <v/>
      </c>
      <c r="IB8" s="213" t="str">
        <f>IF('Supp. Result Entry'!AD7="","",'Supp. Result Entry'!$AD$6)</f>
        <v/>
      </c>
      <c r="IC8" s="213" t="str">
        <f>IF('Supp. Result Entry'!AG7="","",'Supp. Result Entry'!$AG$6)</f>
        <v/>
      </c>
      <c r="ID8" s="213" t="str">
        <f>IF('Supp. Result Entry'!AJ7="","",'Supp. Result Entry'!$AJ$6)</f>
        <v/>
      </c>
      <c r="IE8" s="213" t="str">
        <f>IF('Supp. Result Entry'!V7="","",'Supp. Result Entry'!V7)</f>
        <v/>
      </c>
      <c r="IF8" s="213" t="str">
        <f>IF('Supp. Result Entry'!Y7="","",'Supp. Result Entry'!Y7)</f>
        <v/>
      </c>
      <c r="IG8" s="213" t="str">
        <f>IF('Supp. Result Entry'!AB7="","",'Supp. Result Entry'!AB7)</f>
        <v/>
      </c>
      <c r="IH8" s="213" t="str">
        <f>IF('Supp. Result Entry'!AE7="","",'Supp. Result Entry'!AE7)</f>
        <v/>
      </c>
      <c r="II8" s="213" t="str">
        <f>IF('Supp. Result Entry'!AH7="","",'Supp. Result Entry'!AH7)</f>
        <v/>
      </c>
      <c r="IJ8" s="213" t="str">
        <f>IF('Supp. Result Entry'!AK7="","",'Supp. Result Entry'!AK7)</f>
        <v/>
      </c>
      <c r="IK8" s="213" t="str">
        <f>IF('Supp. Result Entry'!W7="","",'Supp. Result Entry'!W7)</f>
        <v/>
      </c>
      <c r="IL8" s="213" t="str">
        <f>IF('Supp. Result Entry'!Z7="","",'Supp. Result Entry'!Z7)</f>
        <v/>
      </c>
      <c r="IM8" s="213" t="str">
        <f>IF('Supp. Result Entry'!AC7="","",'Supp. Result Entry'!AC7)</f>
        <v/>
      </c>
      <c r="IN8" s="213" t="str">
        <f>IF('Supp. Result Entry'!AF7="","",'Supp. Result Entry'!AF7)</f>
        <v/>
      </c>
      <c r="IO8" s="213" t="str">
        <f>IF('Supp. Result Entry'!AI7="","",'Supp. Result Entry'!AI7)</f>
        <v/>
      </c>
      <c r="IP8" s="213" t="str">
        <f>IF('Supp. Result Entry'!AL7="","",'Supp. Result Entry'!AL7)</f>
        <v/>
      </c>
      <c r="IQ8" s="213">
        <f>COUNTIF('Supp. Result Entry'!K7:Q7,"S")</f>
        <v>0</v>
      </c>
      <c r="IR8" s="213">
        <f>COUNTIF(FJ8:GR8,"RE")+COUNTIF(FJ8:GR8,"REP")</f>
        <v>0</v>
      </c>
      <c r="IS8" s="213">
        <f>COUNTIF(IK8:IP8,"P")</f>
        <v>0</v>
      </c>
      <c r="IT8" s="213" t="str">
        <f t="shared" ref="IT8:IT71" si="41">IF(OR(IQ8=0,IQ8&lt;IS8),"",IF(OR(FJ8="RE",FJ8="REP"),SUM(Q8,IE8),IF(FJ8="S",IE8,Q8)))</f>
        <v/>
      </c>
      <c r="IU8" s="213" t="str">
        <f t="shared" ref="IU8:IU71" si="42">IF(OR(IQ8=0,IQ8&lt;IS8),"",IF(OR(FM8="RE",FM8="REP"),SUM(AE8,IF8),IF(FM8="S",IF8,AE8)))</f>
        <v/>
      </c>
      <c r="IV8" s="213" t="str">
        <f t="shared" ref="IV8:IV71" si="43">IF(OR(IQ8=0,IQ8&lt;IS8),"",IF(OR(FP8="RE",FP8="REP"),SUM(AZ8,IG8),IF(FP8="S",IG8,AZ8)))</f>
        <v/>
      </c>
      <c r="IW8" s="213" t="str">
        <f t="shared" ref="IW8:IW71" si="44">IF(OR(IQ8=0,IQ8&lt;IS8),"",IF(OR(FW8="RE",FW8="REP"),SUM(BW8,IH8),IF(FW8="S",IH8,BW8)))</f>
        <v/>
      </c>
      <c r="IX8" s="213" t="str">
        <f t="shared" ref="IX8:IX71" si="45">IF(OR(IQ8=0,IQ8&lt;IS8),"",IF(OR(GD8="RE",GD8="REP"),SUM(CT8,II8),IF(GD8="S",II8,CT8)))</f>
        <v/>
      </c>
      <c r="IY8" s="213" t="str">
        <f>IF(OR(IQ8=0,IQ8&lt;IS8),"",SUM(IT8:IX8))</f>
        <v/>
      </c>
      <c r="IZ8" s="213" t="str">
        <f>IF(OR(IQ8=0,IQ8&lt;IS8),"",IY8/JA8*100)</f>
        <v/>
      </c>
      <c r="JA8" s="213" t="str">
        <f t="shared" ref="JA8:JA71" si="46">IF(OR(IQ8=0,IQ8&lt;IS8),"",SUM(($Q$6+$AE$6+$AZ$6+$BW$6+$CT$6)))</f>
        <v/>
      </c>
      <c r="JB8" s="211" t="str">
        <f>IF(IZ8="","",IF(IZ8&gt;=60,"I",IF(IZ8&gt;=48,"II",IF(IZ8&gt;=36,"III",""))))</f>
        <v/>
      </c>
    </row>
    <row r="9" spans="1:262" s="211" customFormat="1" ht="21" customHeight="1">
      <c r="A9" s="184">
        <v>2</v>
      </c>
      <c r="B9" s="185">
        <f>IF('Marks Entry'!B9="","",'Marks Entry'!B9)</f>
        <v>1102</v>
      </c>
      <c r="C9" s="186">
        <f>IF('Marks Entry'!D9="","",'Marks Entry'!D9)</f>
        <v>231</v>
      </c>
      <c r="D9" s="187">
        <f>IF('Marks Entry'!E9="","",'Marks Entry'!E9)</f>
        <v>38090</v>
      </c>
      <c r="E9" s="188" t="str">
        <f>IF('Marks Entry'!F9="","",'Marks Entry'!F9)</f>
        <v>B</v>
      </c>
      <c r="F9" s="188" t="str">
        <f>IF('Marks Entry'!G9="","",'Marks Entry'!G9)</f>
        <v>Y</v>
      </c>
      <c r="G9" s="188" t="str">
        <f>IF('Marks Entry'!H9="","",'Marks Entry'!H9)</f>
        <v>N</v>
      </c>
      <c r="H9" s="189" t="str">
        <f>IF('Marks Entry'!I9="","",'Marks Entry'!I9)</f>
        <v>OBC</v>
      </c>
      <c r="I9" s="190" t="str">
        <f>IF('Marks Entry'!J9="","",'Marks Entry'!J9)</f>
        <v>M</v>
      </c>
      <c r="J9" s="545">
        <f>IF('Marks Entry'!K9="","",'Marks Entry'!K9)</f>
        <v>8</v>
      </c>
      <c r="K9" s="545">
        <f>IF('Marks Entry'!L9="","",'Marks Entry'!L9)</f>
        <v>9</v>
      </c>
      <c r="L9" s="545">
        <f>IF('Marks Entry'!M9="","",'Marks Entry'!M9)</f>
        <v>7</v>
      </c>
      <c r="M9" s="546">
        <f t="shared" ref="M9:M72" si="47">IF(AND(J9="",K9="",L9=""),"",IF(AND(J9="AB",K9="AB",L9="AB"),"AB",IF(AND(J9="ML",K9="ML",L9="ML"),"ML",SUM(J9:L9))))</f>
        <v>24</v>
      </c>
      <c r="N9" s="545">
        <f>IF('Marks Entry'!N9="","",'Marks Entry'!N9)</f>
        <v>46</v>
      </c>
      <c r="O9" s="546">
        <f t="shared" ref="O9:O72" si="48">IF(AND(N9="",M9=""),"",IF(AND(N9="AB",M9="AB"),"AB",IF(AND(N9="ML",M9="ML"),"ML",SUM(M9,N9))))</f>
        <v>70</v>
      </c>
      <c r="P9" s="545">
        <f>IF('Marks Entry'!O9="","",'Marks Entry'!O9)</f>
        <v>45</v>
      </c>
      <c r="Q9" s="547">
        <f t="shared" ref="Q9:Q72" si="49">IF(AND(O9="",P9=""),"",IF(AND(O9="AB",P9="AB"),"AB",IF(AND(O9="ML",P9="ML"),"ML",SUM(O9,P9))))</f>
        <v>115</v>
      </c>
      <c r="R9" s="153">
        <f t="shared" ref="R9:R72" si="50">COUNTIF(J9:L9,"NA")*10</f>
        <v>0</v>
      </c>
      <c r="S9" s="153">
        <f t="shared" ref="S9:S72" si="51">(COUNTIF(J9:L9,"ML")*10)+(COUNTIF(N9,"ML")*70)+(COUNTIF(P9,"ML")*100)</f>
        <v>0</v>
      </c>
      <c r="T9" s="154">
        <f t="shared" ref="T9:T72" si="52">IF(OR($B9="NSO",$B9=0),"",IF(AND(J9="",K9="",L9="",N9="",P9=""),"",IF(AND(K9="",J9="",O9="",N9=""),20-R9-S9,IF(AND(K9="",L9="",N9=""),20-R9-S9,IF(AND(N9="",P9=""),40-R9-S9,IF(P9="",100-R9-S9,200-R9-S9))))))</f>
        <v>200</v>
      </c>
      <c r="U9" s="153" t="str">
        <f t="shared" ref="U9:U72" si="53">IF(OR($B9="",$C9="",$E9=""),"",IF(AND(OR(J9="ab",J9="ml",J9=""),OR(K9="ab",K9="ml",K9=""),OR(N9="ab",N9="ml",N9="")),"AB",IF(AND(OR(N9="ab",N9="ml",N9=""),OR(P9="ab",P9="ml",P9=""),OR(L9="ab",L9="ml")),"AB",IF(AND(OR(P9="ab",P9="ml",P9=""),OR(J9="ab",J9="ml",J9=""),OR(K9="ab",K9="ml",K9="")),"AB",""))))</f>
        <v/>
      </c>
      <c r="V9" s="153" t="str">
        <f t="shared" ref="V9:V72" si="54">IF(OR($B9="NSO",$B9="",Q9=""),"",IF(OR(U9="AB",P9="ab"),"AB",IF(P9="ML","RE",IF(AND(Q9&gt;=36%*T9,P9&gt;=20%*$P$6),"P",IF(AND(Q9&gt;=34%*T9,S9=0,P9&gt;=20%*$P$6),"G2",IF(AND(Q9&gt;=31%*T9,S9=0,P9&gt;=20%*$P$6),"G1",IF(Q9&gt;=25%*T9,"S","F")))))))</f>
        <v>P</v>
      </c>
      <c r="W9" s="153" t="str">
        <f t="shared" ref="W9:W72" si="55">IF(OR(V9="",V9=0,V9="S",V9="RE",V9="F",V9="AB"),V9,IF(Q9&gt;=75%*T9,"D",IF(Q9&gt;=60%*T9,"I",IF(Q9&gt;=48%*T9,"II",IF(Q9&gt;=36%*T9,"III",V9)))))</f>
        <v>II</v>
      </c>
      <c r="X9" s="545">
        <f>IF('Marks Entry'!P9="","",'Marks Entry'!P9)</f>
        <v>9</v>
      </c>
      <c r="Y9" s="545">
        <f>IF('Marks Entry'!Q9="","",'Marks Entry'!Q9)</f>
        <v>5</v>
      </c>
      <c r="Z9" s="545">
        <f>IF('Marks Entry'!R9="","",'Marks Entry'!R9)</f>
        <v>7</v>
      </c>
      <c r="AA9" s="546">
        <f t="shared" ref="AA9:AA72" si="56">IF(AND(X9="",Y9="",Z9=""),"",IF(AND(X9="AB",Y9="AB",Z9="AB"),"AB",IF(AND(X9="ML",Y9="ML",Z9="ML"),"ML",SUM(X9:Z9))))</f>
        <v>21</v>
      </c>
      <c r="AB9" s="545">
        <f>IF('Marks Entry'!S9="","",'Marks Entry'!S9)</f>
        <v>41</v>
      </c>
      <c r="AC9" s="546">
        <f t="shared" ref="AC9:AC72" si="57">IF(AND(AB9="",AA9=""),"",IF(AND(AB9="AB",AA9="AB"),"AB",IF(AND(AB9="ML",AA9="ML"),"ML",SUM(AA9,AB9))))</f>
        <v>62</v>
      </c>
      <c r="AD9" s="545">
        <f>IF('Marks Entry'!T9="","",'Marks Entry'!T9)</f>
        <v>71</v>
      </c>
      <c r="AE9" s="547">
        <f t="shared" ref="AE9:AE72" si="58">IF(AND(AC9="",AD9=""),"",IF(AND(AC9="AB",AD9="AB"),"AB",IF(AND(AC9="ML",AD9="ML"),"ML",SUM(AC9,AD9))))</f>
        <v>133</v>
      </c>
      <c r="AF9" s="153">
        <f t="shared" ref="AF9:AF72" si="59">COUNTIF(X9:Z9,"NA")*10</f>
        <v>0</v>
      </c>
      <c r="AG9" s="153">
        <f t="shared" ref="AG9:AG72" si="60">(COUNTIF(X9:Z9,"ML")*10)+(COUNTIF(AB9,"ML")*70)+(COUNTIF(AD9,"ML")*100)</f>
        <v>0</v>
      </c>
      <c r="AH9" s="154">
        <f t="shared" ref="AH9:AH72" si="61">IF(OR($B9="NSO",$B9=0),"",IF(AND(X9="",Y9="",Z9="",AB9="",AD9=""),"",IF(AND(Y9="",X9="",AC9="",AB9=""),20-AF9-AG9,IF(AND(Y9="",Z9="",AB9=""),20-AF9-AG9,IF(AND(AB9="",AD9=""),40-AF9-AG9,IF(AD9="",100-AF9-AG9,200-AF9-AG9))))))</f>
        <v>200</v>
      </c>
      <c r="AI9" s="153" t="str">
        <f t="shared" ref="AI9:AI72" si="62">IF(OR($B9="",$C9="",$E9=""),"",IF(AND(OR(X9="ab",X9="ml",X9=""),OR(Y9="ab",Y9="ml",Y9=""),OR(AB9="ab",AB9="ml",AB9="")),"AB",IF(AND(OR(AB9="ab",AB9="ml",AB9=""),OR(AD9="ab",AD9="ml",AD9=""),OR(Z9="ab",Z9="ml")),"AB",IF(AND(OR(AD9="ab",AD9="ml",AD9=""),OR(X9="ab",X9="ml",X9=""),OR(Y9="ab",Y9="ml",Y9="")),"AB",""))))</f>
        <v/>
      </c>
      <c r="AJ9" s="153" t="str">
        <f t="shared" ref="AJ9:AJ72" si="63">IF(OR($B9="NSO",$B9="",AE9=""),"",IF(OR(AI9="AB",AD9="ab"),"AB",IF(AD9="ML","RE",IF(AND(AE9&gt;=36%*AH9,AD9&gt;=20%*$P$6),"P",IF(AND(AE9&gt;=34%*AH9,AG9=0,AD9&gt;=20%*$P$6),"G2",IF(AND(AE9&gt;=31%*AH9,AG9=0,AD9&gt;=20%*$P$6),"G1",IF(AE9&gt;=25%*AH9,"S","F")))))))</f>
        <v>P</v>
      </c>
      <c r="AK9" s="153" t="str">
        <f t="shared" ref="AK9:AK72" si="64">IF(OR(AJ9="",AJ9=0,AJ9="S",AJ9="RE",AJ9="F",AJ9="AB"),AJ9,IF(AE9&gt;=75%*AH9,"D",IF(AE9&gt;=60%*AH9,"I",IF(AE9&gt;=48%*AH9,"II",IF(AE9&gt;=36%*AH9,"III",AJ9)))))</f>
        <v>I</v>
      </c>
      <c r="AL9" s="573" t="str">
        <f>IF('Marks Entry'!U9="","",'Marks Entry'!U9)</f>
        <v>B</v>
      </c>
      <c r="AM9" s="573">
        <f>IF('Marks Entry'!V9="","",'Marks Entry'!V9)</f>
        <v>9</v>
      </c>
      <c r="AN9" s="573">
        <f>IF('Marks Entry'!W9="","",'Marks Entry'!W9)</f>
        <v>10</v>
      </c>
      <c r="AO9" s="573">
        <f>IF('Marks Entry'!X9="","",'Marks Entry'!X9)</f>
        <v>8</v>
      </c>
      <c r="AP9" s="572">
        <f t="shared" ref="AP9:AP72" si="65">IF(AND(AM9="",AN9="",AO9=""),"",IF(AND(AM9="AB",AN9="AB",AO9="AB"),"AB",IF(AND(AM9="ML",AN9="ML",AO9="ML"),"ML",SUM(AM9:AO9))))</f>
        <v>27</v>
      </c>
      <c r="AQ9" s="573">
        <f>IF('Marks Entry'!Y9="","",'Marks Entry'!Y9)</f>
        <v>34</v>
      </c>
      <c r="AR9" s="573">
        <f>IF('Marks Entry'!Z9="","",'Marks Entry'!Z9)</f>
        <v>8</v>
      </c>
      <c r="AS9" s="572">
        <f t="shared" ref="AS9:AS72" si="66">IF(AND(AQ9="",AR9=""),"",IF(AND(AQ9="AB",AR9="AB"),"AB",IF(AND(AQ9="ML",AR9="ML"),"ML",SUM(AQ9:AR9))))</f>
        <v>42</v>
      </c>
      <c r="AT9" s="572">
        <f t="shared" ref="AT9:AT72" si="67">IF(AND(AS9="",AP9=""),"",IF(AND(AS9="AB",AP9="AB"),"AB",IF(AND(AS9="ML",AP9="ML"),"ML",SUM(AP9,AS9))))</f>
        <v>69</v>
      </c>
      <c r="AU9" s="573">
        <f>IF('Marks Entry'!AA9="","",'Marks Entry'!AA9)</f>
        <v>53</v>
      </c>
      <c r="AV9" s="573">
        <f>IF('Marks Entry'!AB9="","",'Marks Entry'!AB9)</f>
        <v>10</v>
      </c>
      <c r="AW9" s="572">
        <f t="shared" ref="AW9:AW72" si="68">IF(AND(AU9="",AV9=""),"",IF(AND(AU9="AB",AV9="AB"),"AB",IF(AND(AU9="ML",AV9="ML"),"ML",SUM(AU9:AV9))))</f>
        <v>63</v>
      </c>
      <c r="AX9" s="157">
        <f t="shared" ref="AX9:AX72" si="69">IF(AND(AP9="",AQ9="",AU9=""),"",SUM(AP9,AQ9,AU9))</f>
        <v>114</v>
      </c>
      <c r="AY9" s="157">
        <f t="shared" ref="AY9:AY72" si="70">IF(AND(AR9="",AV9=""),"",SUM(AR9,AV9))</f>
        <v>18</v>
      </c>
      <c r="AZ9" s="192">
        <f t="shared" ref="AZ9:AZ72" si="71">IF(AND(AT9="",AW9=""),"",SUM(AT9,AW9))</f>
        <v>132</v>
      </c>
      <c r="BA9" s="153">
        <f t="shared" ref="BA9:BA72" si="72">COUNTIF(AM9:AO9,"NA")*10</f>
        <v>0</v>
      </c>
      <c r="BB9" s="154">
        <f t="shared" ref="BB9:BB72" si="73">IF(AND(AQ9="",AU9=""),(COUNTIF(AM9:AO9,"ML")*10+(COUNTIF(AQ9,"ML"))*AQ$6+(COUNTIF(AU9,"ML"))*AU$6),(COUNTIF(AM9:AO9,"ML")*10+(COUNTIF(AQ9,"ML"))*AQ$6+(COUNTIF(AU9,"ML"))*AU$6))</f>
        <v>0</v>
      </c>
      <c r="BC9" s="154">
        <f t="shared" ref="BC9:BC72" si="74">IF(OR($B9="NSO",$B9=0,AX9=""),"",IF(AND(AR9="",AV9=""),SUM($AU$7),SUM($AU$6)))</f>
        <v>70</v>
      </c>
      <c r="BD9" s="154">
        <f t="shared" ref="BD9:BD72" si="75">IF(OR($B9="NSO",$B9=0,AY9=""),"",IF(AND(AR9="",AV9=""),"",AY$6-(COUNTIF(AR9,"ML")*AR$6)-(COUNTIF(AV9,"ML")*AV$6)))</f>
        <v>50</v>
      </c>
      <c r="BE9" s="154">
        <f t="shared" ref="BE9:BE72" si="76">IF(OR($B9="NSO",$B9=0),"",IF(AND(AP9="",AQ9="",AU9=""),"",IF(AND(AR9="",AV9=""),SUM(($AX$7)-(BA9+BB9)),SUM(($AX$6)-(BA9+BB9)))))</f>
        <v>150</v>
      </c>
      <c r="BF9" s="153" t="str">
        <f t="shared" ref="BF9:BF72" si="77">IF(AND(OR(AM9="ab",AM9="ml"),OR(AQ9="ab",AQ9="ml"),OR(AN9="ab",AN9="ml")),"AB",IF(AND(OR(AM9="ab",AM9="ml"),OR(AQ9="ab",AQ9="ml"),OR(AU9="ab",AU9="ml")),"AB",IF(AND(OR(AQ9="ab",AQ9="ml"),OR(AO9="ab",AO9="ml"),OR(AN9="ab",AN9="ml")),"AB",IF(AND(OR(AQ9="ab",AQ9="ml"),OR(AU9="ab",AU9="ml"),OR(AN9="ab",AN9="ml")),"AB",IF(AND(OR(AQ9="ab",AQ9="ml"),OR(AU9="ab",AU9="ml")),"AB","")))))</f>
        <v/>
      </c>
      <c r="BG9" s="154" t="str">
        <f>IF(OR($B9="NSO",$B9=0,AU9="",AW9="",AZ9=""),"",IF(OR(AU9="AB",AV9="AB",BF9="AB"),"AB",IF(OR(AU9="ML",AW9="ML"),"RE",IF(AV9="MLP","REP",IF(AV9&lt;33%*$AV$6,"FP",IF(AR9&lt;33%*$AR$6,"FP",IF(AND(AX9&gt;=36%*BE9,SUM(AU9)&gt;=20%*BC9,AY9&gt;=SUM(BD9)*36%),"P",IF(AND(AX9&gt;=34%*BE9,BB9=0,SUM(AU9)&gt;=20%*BC9,AY9&gt;=SUM(BD9)*36%),"G2",IF(AND(AX9&gt;=31%*BE9,BB9=0,SUM(AU9)&gt;=20%*BC9,AY9&gt;=SUM(BD9)*36%),"G1",IF(AND(AX9&gt;=25%*BE9,SUM(AU9)&gt;=20%*BC9),"S","F"))))))))))</f>
        <v>P</v>
      </c>
      <c r="BH9" s="153" t="str">
        <f t="shared" ref="BH9:BH72" si="78">IF(OR(BG9="REP",BG9="RE",BG9=0,BG9="",BG9="F",BG9="AB"),BG9,IF(AND(AZ9&gt;=75%*($AZ$6-BA9-BB9),BG9="P"),"D",IF(AND(AZ9&gt;=60%*($AZ$6-BA9-BB9),BG9="P"),"I",IF(AND(AZ9&gt;=48%*($AZ$6-BA9-BB9),BG9="P"),"II",IF(AND(AZ9&gt;=36%*($AZ$6-BA9-BB9),BG9="P"),"III",BG9)))))</f>
        <v>I</v>
      </c>
      <c r="BI9" s="580" t="str">
        <f>IF('Marks Entry'!AC9="","",'Marks Entry'!AC9)</f>
        <v>B</v>
      </c>
      <c r="BJ9" s="580">
        <f>IF('Marks Entry'!AD9="","",'Marks Entry'!AD9)</f>
        <v>8</v>
      </c>
      <c r="BK9" s="580">
        <f>IF('Marks Entry'!AE9="","",'Marks Entry'!AE9)</f>
        <v>10</v>
      </c>
      <c r="BL9" s="580">
        <f>IF('Marks Entry'!AF9="","",'Marks Entry'!AF9)</f>
        <v>9</v>
      </c>
      <c r="BM9" s="581">
        <f t="shared" ref="BM9:BM72" si="79">IF(AND(BJ9="",BK9="",BL9=""),"",IF(AND(BJ9="AB",BK9="AB",BL9="AB"),"AB",IF(AND(BJ9="ML",BK9="ML",BL9="ML"),"ML",SUM(BJ9:BL9))))</f>
        <v>27</v>
      </c>
      <c r="BN9" s="580">
        <f>IF('Marks Entry'!AG9="","",'Marks Entry'!AG9)</f>
        <v>45</v>
      </c>
      <c r="BO9" s="580">
        <f>IF('Marks Entry'!AH9="","",'Marks Entry'!AH9)</f>
        <v>16</v>
      </c>
      <c r="BP9" s="581">
        <f t="shared" ref="BP9:BP72" si="80">IF(AND(BN9="",BO9=""),"",IF(AND(BN9="AB",BO9="AB"),"AB",IF(AND(BN9="ML",BO9="ML"),"ML",SUM(BN9:BO9))))</f>
        <v>61</v>
      </c>
      <c r="BQ9" s="581">
        <f t="shared" ref="BQ9:BQ72" si="81">IF(AND(BP9="",BM9=""),"",IF(AND(BP9="AB",BM9="AB"),"AB",IF(AND(BP9="ML",BM9="ML"),"ML",SUM(BM9,BP9))))</f>
        <v>88</v>
      </c>
      <c r="BR9" s="580">
        <f>IF('Marks Entry'!AI9="","",'Marks Entry'!AI9)</f>
        <v>42</v>
      </c>
      <c r="BS9" s="580">
        <f>IF('Marks Entry'!AJ9="","",'Marks Entry'!AJ9)</f>
        <v>25</v>
      </c>
      <c r="BT9" s="581">
        <f t="shared" ref="BT9:BT72" si="82">IF(AND(BR9="",BS9=""),"",IF(AND(BR9="AB",BS9="AB"),"AB",IF(AND(BR9="ML",BS9="ML"),"ML",SUM(BR9:BS9))))</f>
        <v>67</v>
      </c>
      <c r="BU9" s="157">
        <f t="shared" ref="BU9:BU72" si="83">IF(AND(BM9="",BN9="",BR9=""),"",SUM(BM9,BN9,BR9))</f>
        <v>114</v>
      </c>
      <c r="BV9" s="157">
        <f t="shared" ref="BV9:BV72" si="84">IF(AND(BO9="",BS9=""),"",SUM(BO9,BS9))</f>
        <v>41</v>
      </c>
      <c r="BW9" s="192">
        <f t="shared" ref="BW9:BW72" si="85">IF(AND(BQ9="",BT9=""),"",SUM(BQ9,BT9))</f>
        <v>155</v>
      </c>
      <c r="BX9" s="153">
        <f t="shared" ref="BX9:BX72" si="86">COUNTIF(BJ9:BL9,"NA")*10</f>
        <v>0</v>
      </c>
      <c r="BY9" s="154">
        <f t="shared" ref="BY9:BY72" si="87">IF(AND(BN9="",BR9=""),(COUNTIF(BJ9:BL9,"ML")*10+(COUNTIF(BN9,"ML"))*BN$6+(COUNTIF(BR9,"ML"))*BR$6),(COUNTIF(BJ9:BL9,"ML")*10+(COUNTIF(BN9,"ML"))*BN$6+(COUNTIF(BR9,"ML"))*BR$6))</f>
        <v>0</v>
      </c>
      <c r="BZ9" s="154">
        <f t="shared" ref="BZ9:BZ72" si="88">IF(OR($B9="NSO",$B9=0,BU9=""),"",IF(AND(BO9="",BS9=""),SUM($BR$7),SUM($BR$6)))</f>
        <v>70</v>
      </c>
      <c r="CA9" s="154">
        <f t="shared" ref="CA9:CA72" si="89">IF(OR($B9="NSO",$B9=0,BV9=""),"",IF(AND(BO9="",BS9=""),"",BV$6-(COUNTIF(BO9,"ML")*BO$6)-(COUNTIF(BS9,"ML")*BS$6)))</f>
        <v>50</v>
      </c>
      <c r="CB9" s="154">
        <f t="shared" ref="CB9:CB72" si="90">IF(OR($B9="NSO",$B9=0),"",IF(AND(BM9="",BN9="",BR9=""),"",IF(AND(BO9="",BS9=""),SUM(($BU$7)-(BX9+BY9)),SUM(($BU$6)-(BX9+BY9)))))</f>
        <v>150</v>
      </c>
      <c r="CC9" s="153" t="str">
        <f t="shared" ref="CC9:CC72" si="91">IF(AND(OR(BJ9="ab",BJ9="ml"),OR(BN9="ab",BN9="ml"),OR(BK9="ab",BK9="ml")),"AB",IF(AND(OR(BJ9="ab",BJ9="ml"),OR(BN9="ab",BN9="ml"),OR(BR9="ab",BR9="ml")),"AB",IF(AND(OR(BN9="ab",BN9="ml"),OR(BL9="ab",BL9="ml"),OR(BK9="ab",BK9="ml")),"AB",IF(AND(OR(BN9="ab",BN9="ml"),OR(BR9="ab",BR9="ml"),OR(BK9="ab",BK9="ml")),"AB",IF(AND(OR(BN9="ab",BN9="ml"),OR(BR9="ab",BR9="ml")),"AB","")))))</f>
        <v/>
      </c>
      <c r="CD9" s="154" t="str">
        <f t="shared" ref="CD9:CD72" si="92">IF(OR($B9="NSO",$B9=0,BR9="",BT9="",BW9=""),"",IF(OR(BR9="AB",BS9="AB",CC9="AB"),"AB",IF(OR(BR9="ML",BT9="ML"),"RE",IF(BS9="MLP","REP",IF(BS9&lt;33%*$AV$6,"FP",IF(BO9&lt;33%*$AR$6,"FP",IF(AND(BU9&gt;=36%*CB9,SUM(BR9)&gt;=20%*BZ9,BV9&gt;=SUM(CA9)*36%),"P",IF(AND(BU9&gt;=34%*CB9,BY9=0,SUM(BR9)&gt;=20%*BZ9,BV9&gt;=SUM(CA9)*36%),"G2",IF(AND(BU9&gt;=31%*CB9,BY9=0,SUM(BR9)&gt;=20%*BZ9,BV9&gt;=SUM(CA9)*36%),"G1",IF(AND(BU9&gt;=25%*CB9,SUM(BR9)&gt;=20%*BZ9),"S","F"))))))))))</f>
        <v>P</v>
      </c>
      <c r="CE9" s="153" t="str">
        <f t="shared" ref="CE9:CE72" si="93">IF(OR(CD9="REP",CD9="RE",CD9=0,CD9="",CD9="F",CD9="AB"),CD9,IF(AND(BW9&gt;=75%*($BW$6-BX9-BY9),CD9="P"),"D",IF(AND(BW9&gt;=60%*($BW$6-BX9-BY9),CD9="P"),"I",IF(AND(BW9&gt;=48%*($BW$6-BX9-BY9),CD9="P"),"II",IF(AND(BW9&gt;=36%*($BW$6-BX9-BY9),CD9="P"),"III",CD9)))))</f>
        <v>D</v>
      </c>
      <c r="CF9" s="580" t="str">
        <f>IF('Marks Entry'!AK9="","",'Marks Entry'!AK9)</f>
        <v>B</v>
      </c>
      <c r="CG9" s="580">
        <f>IF('Marks Entry'!AL9="","",'Marks Entry'!AL9)</f>
        <v>4</v>
      </c>
      <c r="CH9" s="580">
        <f>IF('Marks Entry'!AM9="","",'Marks Entry'!AM9)</f>
        <v>4</v>
      </c>
      <c r="CI9" s="580">
        <f>IF('Marks Entry'!AN9="","",'Marks Entry'!AN9)</f>
        <v>9</v>
      </c>
      <c r="CJ9" s="581">
        <f t="shared" ref="CJ9:CJ72" si="94">IF(AND(CG9="",CH9="",CI9=""),"",IF(AND(CG9="AB",CH9="AB",CI9="AB"),"AB",IF(AND(CG9="ML",CH9="ML",CI9="ML"),"ML",SUM(CG9:CI9))))</f>
        <v>17</v>
      </c>
      <c r="CK9" s="580">
        <f>IF('Marks Entry'!AO9="","",'Marks Entry'!AO9)</f>
        <v>10</v>
      </c>
      <c r="CL9" s="580" t="str">
        <f>IF('Marks Entry'!AP9="","",'Marks Entry'!AP9)</f>
        <v/>
      </c>
      <c r="CM9" s="581">
        <f t="shared" ref="CM9:CM72" si="95">IF(AND(CK9="",CL9=""),"",IF(AND(CK9="AB",CL9="AB"),"AB",IF(AND(CK9="ML",CL9="ML"),"ML",SUM(CK9:CL9))))</f>
        <v>10</v>
      </c>
      <c r="CN9" s="581">
        <f t="shared" ref="CN9:CN72" si="96">IF(AND(CM9="",CJ9=""),"",IF(AND(CM9="AB",CJ9="AB"),"AB",IF(AND(CM9="ML",CJ9="ML"),"ML",SUM(CJ9,CM9))))</f>
        <v>27</v>
      </c>
      <c r="CO9" s="580">
        <f>IF('Marks Entry'!AQ9="","",'Marks Entry'!AQ9)</f>
        <v>35</v>
      </c>
      <c r="CP9" s="580" t="str">
        <f>IF('Marks Entry'!AR9="","",'Marks Entry'!AR9)</f>
        <v/>
      </c>
      <c r="CQ9" s="581">
        <f t="shared" ref="CQ9:CQ72" si="97">IF(AND(CO9="",CP9=""),"",IF(AND(CO9="AB",CP9="AB"),"AB",IF(AND(CO9="ML",CP9="ML"),"ML",SUM(CO9:CP9))))</f>
        <v>35</v>
      </c>
      <c r="CR9" s="157">
        <f t="shared" ref="CR9:CR72" si="98">IF(AND(CJ9="",CK9="",CO9=""),"",SUM(CJ9,CK9,CO9))</f>
        <v>62</v>
      </c>
      <c r="CS9" s="157" t="str">
        <f t="shared" ref="CS9:CS72" si="99">IF(AND(CL9="",CP9=""),"",SUM(CL9,CP9))</f>
        <v/>
      </c>
      <c r="CT9" s="192">
        <f t="shared" ref="CT9:CT72" si="100">IF(AND(CN9="",CQ9=""),"",SUM(CN9,CQ9))</f>
        <v>62</v>
      </c>
      <c r="CU9" s="153">
        <f t="shared" ref="CU9:CU72" si="101">COUNTIF(CG9:CI9,"NA")*10</f>
        <v>0</v>
      </c>
      <c r="CV9" s="154">
        <f t="shared" ref="CV9:CV72" si="102">IF(AND(CK9="",CO9=""),(COUNTIF(CG9:CI9,"ML")*10+(COUNTIF(CK9,"ML"))*CK$6+(COUNTIF(CO9,"ML"))*CO$6),(COUNTIF(CG9:CI9,"ML")*10+(COUNTIF(CK9,"ML"))*CK$6+(COUNTIF(CO9,"ML"))*CO$6))</f>
        <v>0</v>
      </c>
      <c r="CW9" s="154">
        <f t="shared" ref="CW9:CW72" si="103">IF(OR($B9="NSO",$B9=0,CR9=""),"",IF(AND(CL9="",CP9=""),SUM($CO$7),SUM($CO$6)))</f>
        <v>100</v>
      </c>
      <c r="CX9" s="154" t="str">
        <f t="shared" ref="CX9:CX72" si="104">IF(OR($B9="NSO",$B9=0,CS9=""),"",IF(AND(CL9="",CP9=""),"",CS$6-(COUNTIF(CL9,"ML")*CL$6)-(COUNTIF(CP9,"ML")*CP$6)))</f>
        <v/>
      </c>
      <c r="CY9" s="154">
        <f>IF(OR($B9="NSO",$B9=0),"",IF(AND(CJ9="",CK9="",CO9=""),"",IF(AND(CL9="",CP9=""),SUM((CR$7)-(CU9+CV9)),SUM((CR$6)-(CU9+CV9)))))</f>
        <v>200</v>
      </c>
      <c r="CZ9" s="153" t="str">
        <f t="shared" ref="CZ9:CZ72" si="105">IF(AND(OR(CG9="ab",CG9="ml"),OR(CK9="ab",CK9="ml"),OR(CH9="ab",CH9="ml")),"AB",IF(AND(OR(CG9="ab",CG9="ml"),OR(CK9="ab",CK9="ml"),OR(CO9="ab",CO9="ml")),"AB",IF(AND(OR(CK9="ab",CK9="ml"),OR(CI9="ab",CI9="ml"),OR(CH9="ab",CH9="ml")),"AB",IF(AND(OR(CK9="ab",CK9="ml"),OR(CO9="ab",CO9="ml"),OR(CH9="ab",CH9="ml")),"AB",IF(AND(OR(CK9="ab",CK9="ml"),OR(CO9="ab",CO9="ml")),"AB","")))))</f>
        <v/>
      </c>
      <c r="DA9" s="154" t="str">
        <f t="shared" ref="DA9:DA72" si="106">IF(OR($B9="NSO",$B9=0,CO9="",CQ9="",CT9=""),"",IF(OR(CO9="AB",CP9="AB",CZ9="AB"),"AB",IF(OR(CO9="ML",CQ9="ML"),"RE",IF(CP9="MLP","REP",IF(CP9&lt;33%*$AV$6,"FP",IF(CL9&lt;33%*$AR$6,"FP",IF(AND(CR9&gt;=36%*CY9,SUM(CO9)&gt;=20%*CW9,CS9&gt;=SUM(CX9)*36%),"P",IF(AND(CR9&gt;=34%*CY9,CV9=0,SUM(CO9)&gt;=20%*CW9,CS9&gt;=SUM(CX9)*36%),"G2",IF(AND(CR9&gt;=31%*CY9,CV9=0,SUM(CO9)&gt;=20%*CW9,CS9&gt;=SUM(CX9)*36%),"G1",IF(AND(CR9&gt;=25%*CY9,SUM(CO9)&gt;=20%*CW9),"S","F"))))))))))</f>
        <v>G1</v>
      </c>
      <c r="DB9" s="153" t="str">
        <f t="shared" ref="DB9:DB72" si="107">IF(OR(DA9="REP",DA9="RE",DA9=0,DA9="",DA9="F",DA9="AB"),DA9,IF(AND(CT9&gt;=75%*($CT$6-CU9-CV9),DA9="P"),"D",IF(AND(CT9&gt;=60%*($CT$6-CU9-CV9),DA9="P"),"I",IF(AND(CT9&gt;=48%*($CT$6-CU9-CV9),DA9="P"),"II",IF(AND(CT9&gt;=36%*($CT$6-CU9-CV9),DA9="P"),"III",DA9)))))</f>
        <v>G1</v>
      </c>
      <c r="DC9" s="154">
        <f t="shared" ref="DC9:DC72" si="108">SUM(R9,S9,AF9,AG9,BA9,BB9,BX9,BY9,CU9,CV9)</f>
        <v>0</v>
      </c>
      <c r="DD9" s="826" t="str">
        <f>IF('Marks Entry'!AS9="","",IF(OR('Master Sheet'!$D$19="YES",'Marks Entry'!$BA$1=1),'Marks Entry'!AS9,""))</f>
        <v/>
      </c>
      <c r="DE9" s="826" t="str">
        <f>IF('Marks Entry'!AT9="","",IF(OR('Master Sheet'!$D$19="YES",'Marks Entry'!$BA$1=1),'Marks Entry'!AT9,""))</f>
        <v/>
      </c>
      <c r="DF9" s="826" t="str">
        <f>IF('Marks Entry'!AU9="","",IF(OR('Master Sheet'!$D$19="YES",'Marks Entry'!$BA$1=1),'Marks Entry'!AU9,""))</f>
        <v/>
      </c>
      <c r="DG9" s="826" t="str">
        <f>IF('Marks Entry'!AV9="","",IF(OR('Master Sheet'!$D$19="YES",'Marks Entry'!$BA$1=1),'Marks Entry'!AV9,""))</f>
        <v/>
      </c>
      <c r="DH9" s="827" t="str">
        <f t="shared" ref="DH9:DH72" si="109">IF(AND(DE9="",DF9="",DG9=""),"",IF(AND(DE9="AB",DF9="AB",DG9="AB"),"AB",IF(AND(DE9="ML",DF9="ML",DG9="ML"),"ML",SUM(DE9:DG9))))</f>
        <v/>
      </c>
      <c r="DI9" s="826" t="str">
        <f>IF('Marks Entry'!AW9="","",IF(OR('Master Sheet'!$D$19="YES",'Marks Entry'!$BA$1=1),'Marks Entry'!AW9,""))</f>
        <v/>
      </c>
      <c r="DJ9" s="826" t="str">
        <f>IF('Marks Entry'!AX9="","",IF(OR('Master Sheet'!$D$19="YES",'Marks Entry'!$BA$1=1),'Marks Entry'!AX9,""))</f>
        <v/>
      </c>
      <c r="DK9" s="827" t="str">
        <f t="shared" ref="DK9:DK72" si="110">IF(AND(DI9="",DJ9=""),"",IF(AND(DI9="AB",DJ9="AB"),"AB",IF(AND(DI9="ML",DJ9="ML"),"ML",SUM(DI9:DJ9))))</f>
        <v/>
      </c>
      <c r="DL9" s="827" t="str">
        <f t="shared" ref="DL9:DL72" si="111">IF(AND(DK9="",DH9=""),"",IF(AND(DK9="AB",DH9="AB"),"AB",IF(AND(DK9="ML",DH9="ML"),"ML",SUM(DH9,DK9))))</f>
        <v/>
      </c>
      <c r="DM9" s="826" t="str">
        <f>IF('Marks Entry'!AY9="","",IF(OR('Master Sheet'!$D$19="YES",'Marks Entry'!$BA$1=1),'Marks Entry'!AY9,""))</f>
        <v/>
      </c>
      <c r="DN9" s="826" t="str">
        <f>IF('Marks Entry'!AZ9="","",IF(OR('Master Sheet'!$D$19="YES",'Marks Entry'!$BA$1=1),'Marks Entry'!AZ9,""))</f>
        <v/>
      </c>
      <c r="DO9" s="826" t="str">
        <f>IF('Marks Entry'!BA9="","",IF(OR('Master Sheet'!$D$19="YES",'Marks Entry'!$BA$1=1),'Marks Entry'!BA9,""))</f>
        <v/>
      </c>
      <c r="DP9" s="827" t="str">
        <f t="shared" ref="DP9:DP72" si="112">IF(AND(DM9="",DN9="",DO9=""),"",IF(AND(DM9="AB",DN9="AB",DO9="AB"),"AB",IF(AND(DM9="ML",DN9="ML",DO9="ML"),"ML",SUM(DM9:DO9))))</f>
        <v/>
      </c>
      <c r="DQ9" s="157" t="str">
        <f t="shared" ref="DQ9:DQ72" si="113">IF(AND(DH9="",DI9="",DM9="",DN9=""),"",SUM(DH9,DI9,DM9))</f>
        <v/>
      </c>
      <c r="DR9" s="157" t="str">
        <f t="shared" ref="DR9:DR72" si="114">IF(AND(DN9=""),"",SUM(DN9))</f>
        <v/>
      </c>
      <c r="DS9" s="157" t="str">
        <f t="shared" ref="DS9:DS72" si="115">IF(AND(DJ9="",DO9=""),"",SUM(DJ9,DO9))</f>
        <v/>
      </c>
      <c r="DT9" s="192" t="str">
        <f t="shared" ref="DT9:DT72" si="116">IF(AND(DL9="",DP9=""),"",SUM(DL9,DP9))</f>
        <v/>
      </c>
      <c r="DU9" s="153">
        <f t="shared" ref="DU9:DU72" si="117">COUNTIF(DE9:DG9,"NA")*10</f>
        <v>0</v>
      </c>
      <c r="DV9" s="154" t="e">
        <f t="shared" ref="DV9:DV72" si="118">IF(AND(DI9="",DM9=""),(COUNTIF(DE9:DG9,"ML")*10+(COUNTIF(DI9,"ML"))*DI$6+(COUNTIF(DM9,"ML"))*DM$6),(COUNTIF(DE9:DG9,"ML")*10+(COUNTIF(DI9,"ML"))*DI$6+(COUNTIF(DM9,"ML"))*DM$6))</f>
        <v>#VALUE!</v>
      </c>
      <c r="DW9" s="154" t="str">
        <f t="shared" ref="DW9:DW72" si="119">IF(OR($B9="NSO",$B9=0,DM9=""),"",IF(AND(DO9=""),SUM($DM$7,DN$7),SUM($DM$6,DN$6)))</f>
        <v/>
      </c>
      <c r="DX9" s="154" t="str">
        <f>IF(OR($B9="NSO",$B9=0,DS9=""),"",IF(AND(DJ9="",DO9=""),"",IF('Master Sheet'!$D$19="YES",$DO$6-COUNTIF(DO9,"ML")*DO$6,DS$6-(COUNTIF(DJ9,"ML")*DJ$6)-(COUNTIF(DO9,"ML")*DO$6))))</f>
        <v/>
      </c>
      <c r="DY9" s="154" t="str">
        <f>IF(OR($B9="NSO",$B9=0),"",IF(AND(DH9="",DI9="",DM9=""),"",IF(AND('Master Sheet'!$D$19="YES",'Marks Entry'!$BA$1=1),100,IF(AND(DJ9="",DO9=""),SUM(($DQ$7+$DR$7)-(DU9+DV9)),SUM(($DQ$6+$DR$6)-(DU9+DV9))))))</f>
        <v/>
      </c>
      <c r="DZ9" s="153" t="str">
        <f t="shared" ref="DZ9:DZ72" si="120">IF(AND(OR(DE9="ab",DF9="ml"),OR(DI9="ab",DI9="ml")),"AB",IF(AND(OR(DE9="ab",DE9="ml"),OR(DF9="ab",DF9="ml"),OR(DH9="ab",DH9="ml")),"AB",IF(AND(OR(DI9="ab",DI9="ml"),OR(DF9="ab",DF9="ml"),OR(DG9="ab",DG9="ml")),"AB",IF(AND(OR(DKJ9="ab",DI9="ml"),OR(DM9="ab",DM9="ml"),OR(DN9="ab",DN9="ml")),"AB",""))))</f>
        <v/>
      </c>
      <c r="EA9" s="154" t="str">
        <f t="shared" ref="EA9:EA72" si="121">IF(OR($B9="NSO",$B9=0,DM9="",DT9="",DQ9=""),"",IF(OR(DM9="AB",DO9="AB",DZ9="AB"),"AB",IF(OR(DM9="ML",DP9="ML"),"RE",IF(DO9="MLP","REP",IF(DO9&lt;33%*$DO$6,"FP",IF(DJ9&lt;33%*$DJ$6,"FP",IF(AND(DT9&gt;=36%*DY9,SUM(DM9)&gt;=20%*DW9,DS9&gt;=SUM(DX9)*36%),"P",IF(AND(DQ9&gt;=34%*DY9,DV9=0,SUM(DM9)&gt;=20%*DW9,DS9&gt;=SUM(DX9)*36%),"G2",IF(AND(DQ9&gt;=31%*DY9,DV9=0,SUM(DM9)&gt;=20%*DW9,DS9&gt;=SUM(DX9)*36%),"G1",IF(AND(DQ9&gt;=25%*DY9,SUM(DM9)&gt;=20%*DW9),"S","F"))))))))))</f>
        <v/>
      </c>
      <c r="EB9" s="153" t="str">
        <f t="shared" ref="EB9:EB72" si="122">IF(OR(EA9="REP",EA9="RE",EA9=0,EA9="",EA9="F",EA9="AB"),EA9,IF(AND(DT9&gt;=75%*($DT$6-DU9-DV9),EA9="P"),"D",IF(AND(DT9&gt;=60%*($DT$6-DU9-DV9),EA9="P"),"I",IF(AND(DT9&gt;=48%*($DT$6-DU9-DV9),EA9="P"),"II",IF(AND(DT9&gt;=36%*($DT$6-DU9-DV9),EA9="P"),"III",EA9)))))</f>
        <v/>
      </c>
      <c r="EC9" s="584">
        <f>IF('Marks Entry'!BB9="","",'Marks Entry'!BB9)</f>
        <v>26</v>
      </c>
      <c r="ED9" s="584">
        <f>IF('Marks Entry'!BC9="","",'Marks Entry'!BC9)</f>
        <v>25</v>
      </c>
      <c r="EE9" s="584">
        <f>IF('Marks Entry'!BD9="","",'Marks Entry'!BD9)</f>
        <v>36</v>
      </c>
      <c r="EF9" s="590">
        <f t="shared" ref="EF9:EF72" si="123">IF(AND(EC9="",ED9="",EE9=""),"",SUM(EC9:EE9))</f>
        <v>87</v>
      </c>
      <c r="EG9" s="595">
        <f t="shared" ref="EG9:EG72" si="124">COUNTIF(EC9,"NA")*$EC$6</f>
        <v>0</v>
      </c>
      <c r="EH9" s="595">
        <f t="shared" ref="EH9:EH72" si="125">(COUNTIF(EC9,"ML")*$EC$6)+(COUNTIF(ED9,"ML")*$ED$6)</f>
        <v>0</v>
      </c>
      <c r="EI9" s="193">
        <f t="shared" ref="EI9:EI72" si="126">IF(OR($B9="NSO",$B9=0),"",IF(AND(EC9="",ED9="",EE9=""),"",IF(AND(EC9="",ED9=""),30-EG9-EH9,IF(AND(ED9="",EE9=""),60-EG9-EH9,100-EG9-EH9))))</f>
        <v>100</v>
      </c>
      <c r="EJ9" s="595" t="str">
        <f t="shared" ref="EJ9:EJ72" si="127">IF(OR(EE9="ab",EE9="ml"),EE9,"")</f>
        <v/>
      </c>
      <c r="EK9" s="595" t="str">
        <f t="shared" ref="EK9:EK72" si="128">IF(OR($B9="NSO",$B9=0,EF9=""),"",IF(OR(EJ9="AB",EE9="ab"),"AB",IF(AND(EX9="FAIL",(OR(EF9="ml",EF9&lt;20%*$EF$6,EF9&lt;36%*EI9))),"F",IF(OR(EE9="ML",EE9&lt;20%*$EE$6,EF9&lt;36%*EI9),"RE",IF(EF9&gt;80%*EI9,"A",IF(EF9&gt;60%*EI9,"B",IF(EF9&gt;40%*EI9,"C","D")))))))</f>
        <v>A</v>
      </c>
      <c r="EL9" s="194" t="str">
        <f t="shared" ref="EL9:EL72" si="129">W9</f>
        <v>II</v>
      </c>
      <c r="EM9" s="194" t="str">
        <f t="shared" ref="EM9:EM72" si="130">AK9</f>
        <v>I</v>
      </c>
      <c r="EN9" s="194" t="str">
        <f t="shared" ref="EN9:EN72" si="131">BH9</f>
        <v>I</v>
      </c>
      <c r="EO9" s="194" t="str">
        <f t="shared" ref="EO9:EO72" si="132">CE9</f>
        <v>D</v>
      </c>
      <c r="EP9" s="194" t="str">
        <f t="shared" ref="EP9:EP72" si="133">DB9</f>
        <v>G1</v>
      </c>
      <c r="EQ9" s="194" t="str">
        <f t="shared" ref="EQ9:EQ72" si="134">EB9</f>
        <v/>
      </c>
      <c r="ER9" s="195">
        <f t="shared" ref="ER9:ER72" si="135">COUNTIF(EL9:EP9,"F")+COUNTIF(EL9:EP9,"AB")+COUNTIF(EN9:EP9,"FP")</f>
        <v>0</v>
      </c>
      <c r="ES9" s="195">
        <f t="shared" ref="ES9:ES72" si="136">COUNTIF(EL9:EP9,"S")</f>
        <v>0</v>
      </c>
      <c r="ET9" s="195">
        <f t="shared" ref="ET9:ET72" si="137">COUNTIF(EL9:EP9,"G1")</f>
        <v>1</v>
      </c>
      <c r="EU9" s="195">
        <f t="shared" ref="EU9:EU72" si="138">COUNTIF(EL9:EP9,"G2")</f>
        <v>0</v>
      </c>
      <c r="EV9" s="195">
        <f t="shared" ref="EV9:EV72" si="139">COUNTIF(EL9:EP9,"RE")+COUNTIF(EL9:EP9,"REP")</f>
        <v>0</v>
      </c>
      <c r="EW9" s="195" t="str">
        <f t="shared" ref="EW9:EW72" si="140">IF(OR(EK9="AB",EK9="F"),"D",IF(OR(EK9="RE"),"D",""))</f>
        <v/>
      </c>
      <c r="EX9" s="196" t="str">
        <f t="shared" ref="EX9:EX72" si="141">IF(B9="NSO","NSO",IF(OR(B9="",B9=0,P9="",AD9="",AW9="",BT9=""),"",IF(OR(ER9&gt;0,(ES9+ET9+EU9)&gt;2),"FAIL",IF(EV9&gt;0,"RE-EXAM",IF(OR(ES9&gt;0,ET9&gt;1),"SUPPLEMENTARY",IF(AND(ET9&gt;0,EU9&gt;0),"SUPPLEMENTARY",IF((ET9+EU9)&gt;0,"BY GRACE PASS","PASS")))))))</f>
        <v>BY GRACE PASS</v>
      </c>
      <c r="EY9" s="197">
        <f>IF('Marks Entry'!BE9="","",'Marks Entry'!BE9)</f>
        <v>8</v>
      </c>
      <c r="EZ9" s="197">
        <f>IF('Marks Entry'!BF9="","",'Marks Entry'!BF9)</f>
        <v>8</v>
      </c>
      <c r="FA9" s="197">
        <f>IF('Marks Entry'!BG9="","",'Marks Entry'!BG9)</f>
        <v>8</v>
      </c>
      <c r="FB9" s="596">
        <f t="shared" ref="FB9:FB72" si="142">IF(AND(EY9="",EZ9="",FA9=""),"",IF(AND(EY9="AB",EZ9="AB",FA9="AB"),"AB",IF(AND(EY9="ML",EZ9="ML",FA9="ML"),"ML",SUM(EY9:FA9))))</f>
        <v>24</v>
      </c>
      <c r="FC9" s="197">
        <f>IF('Marks Entry'!BH9="","",'Marks Entry'!BH9)</f>
        <v>50</v>
      </c>
      <c r="FD9" s="197">
        <f>IF('Marks Entry'!BI9="","",'Marks Entry'!BI9)</f>
        <v>80</v>
      </c>
      <c r="FE9" s="198">
        <f t="shared" ref="FE9:FE72" si="143">IF(AND(EY9="",EZ9="",FA9="",FC9="",FD9=""),"",SUM(EY9,EZ9,FA9,FC9,FD9))</f>
        <v>154</v>
      </c>
      <c r="FF9" s="199" t="str">
        <f t="shared" ref="FF9:FF72" si="144">IF(OR($B9="NSO",$B9=0,FE9=""),"",IF(OR(FE9="AB",FD9="ab"),"AB",IF(AND(EX9="FAIL",(OR(FE9&lt;36%*$FE$6))),"F",IF(OR(FD9="ML",FD9&lt;20%*$FD$6,FE9&lt;36%*$FE$6),"RE",IF(FE9&gt;80%*$FE$6,"A",IF(FE9&gt;60%*$FE$6,"B",IF(FE9&gt;40%*$FE$6,"C","D")))))))</f>
        <v>B</v>
      </c>
      <c r="FG9" s="200">
        <f>IF(AND(E9=""),"",IF('Student DATA Entry'!L5="","",'Student DATA Entry'!L5))</f>
        <v>360</v>
      </c>
      <c r="FH9" s="201">
        <f>IF(AND(E9=""),"",IF('Student DATA Entry'!M5="","",'Student DATA Entry'!M5))</f>
        <v>344</v>
      </c>
      <c r="FI9" s="202">
        <f t="shared" ref="FI9:FI72" si="145">IF(OR(FG9=0,FH9=0,FG9="",FH9=""),"",FH9/FG9*100)</f>
        <v>95.555555555555557</v>
      </c>
      <c r="FJ9" s="189" t="str">
        <f t="shared" ref="FJ9:FJ72" si="146">IF(AND(EX9="FAIL",(OR(EL9="G1",EL9="G2",EL9="S",EL9="RE"))),"F",IF(AND(EX9="RE-EXAM",(OR(EL9="G1",EL9="G2",EL9="S"))),"S",IF(AND(EX9="SUPPLEMENTARY",(OR(EL9="G1",EL9="G2"))),"S",IF(AND(EX9="BY GRACE PASS",(OR(EL9="G1",EL9="G2"))),"G",EL9))))</f>
        <v>II</v>
      </c>
      <c r="FK9" s="189" t="str">
        <f t="shared" ref="FK9:FK72" si="147">IF(FJ9="G",",+","")</f>
        <v/>
      </c>
      <c r="FL9" s="203" t="str">
        <f t="shared" si="19"/>
        <v/>
      </c>
      <c r="FM9" s="189" t="str">
        <f t="shared" ref="FM9:FM72" si="148">IF(AND(EX9="vuqRrh.kZ",(OR(EM9="G1",EM9="G2",EM9="S",EM9="RE"))),"F",IF(AND(EX9="iqu% ijh{kk",(OR(EM9="G1",EM9="G2",EM9="S"))),"S",IF(AND(EX9="iwjd",(OR(EM9="G1",EM9="G2"))),"S",IF(AND(EX9="lk- mRrh.kZ",(OR(EM9="G1",EM9="G2"))),"G",EM9))))</f>
        <v>I</v>
      </c>
      <c r="FN9" s="204" t="str">
        <f t="shared" ref="FN9:FN72" si="149">IF(FM9="G",",+","")</f>
        <v/>
      </c>
      <c r="FO9" s="203" t="str">
        <f t="shared" si="20"/>
        <v/>
      </c>
      <c r="FP9" s="205" t="str">
        <f t="shared" ref="FP9:FP72" si="150">IF(AND(EX9="FAIL",(OR(EN9="G1",EN9="G2",EN9="S",EN9="RE"))),"F",IF(AND(EX9="RE-EXAM",(OR(EN9="G1",EN9="G2",EN9="S"))),"S",IF(AND(EX9="SUPPLEMENTARY",(OR(EN9="G1",EN9="G2"))),"S",IF(AND(EX9="BY GRACE PASS",(OR(EN9="G1",EN9="G2"))),"G",EN9))))</f>
        <v>I</v>
      </c>
      <c r="FQ9" s="189" t="str">
        <f t="shared" si="21"/>
        <v/>
      </c>
      <c r="FR9" s="189" t="str">
        <f t="shared" si="22"/>
        <v>I</v>
      </c>
      <c r="FS9" s="189" t="str">
        <f t="shared" si="23"/>
        <v/>
      </c>
      <c r="FT9" s="189" t="str">
        <f t="shared" si="24"/>
        <v/>
      </c>
      <c r="FU9" s="189" t="str">
        <f t="shared" ref="FU9:FU72" si="151">IF(FP9="G",",+","")</f>
        <v/>
      </c>
      <c r="FV9" s="206" t="str">
        <f t="shared" si="25"/>
        <v/>
      </c>
      <c r="FW9" s="205" t="str">
        <f t="shared" ref="FW9:FW72" si="152">IF(AND(EX9="FAIL",(OR(EO9="G1",EO9="G2",EO9="S",EO9="RE",))),"F",IF(AND(EX9="RE-EXAM",(OR(EO9="G1",EO9="G2",EO9="S"))),"S",IF(AND(EX9="SUPPLEMENTARY",(OR(EO9="G1",EO9="G2"))),"S",IF(AND(EX9="BY GRACE PASS",(OR(EO9="G1",EO9="G2"))),"G",EO9))))</f>
        <v>D</v>
      </c>
      <c r="FX9" s="189" t="str">
        <f t="shared" si="26"/>
        <v/>
      </c>
      <c r="FY9" s="189" t="str">
        <f t="shared" si="27"/>
        <v>D</v>
      </c>
      <c r="FZ9" s="189" t="str">
        <f t="shared" si="28"/>
        <v/>
      </c>
      <c r="GA9" s="189" t="str">
        <f t="shared" si="29"/>
        <v/>
      </c>
      <c r="GB9" s="189" t="str">
        <f t="shared" ref="GB9:GB72" si="153">IF(FW9="G",",+","")</f>
        <v/>
      </c>
      <c r="GC9" s="206" t="str">
        <f t="shared" si="30"/>
        <v/>
      </c>
      <c r="GD9" s="205" t="str">
        <f t="shared" ref="GD9:GD72" si="154">IF(AND(EX9="FAIL",(OR(EP9="G1",EP9="G2",EP9="S",EP9="RE"))),"F",IF(AND(EX9="RE-EXAM",(OR(EP9="G1",EP9="G2",EP9="S"))),"S",IF(AND(EX9="SUPPLEMENTARY",(OR(EP9="G1",EP9="G2"))),"S",IF(AND(EX9="BY GRACE PASS",(OR(EP9="G1",EP9="G2"))),"G",EP9))))</f>
        <v>G</v>
      </c>
      <c r="GE9" s="189" t="str">
        <f t="shared" si="31"/>
        <v/>
      </c>
      <c r="GF9" s="189" t="str">
        <f t="shared" si="32"/>
        <v>G</v>
      </c>
      <c r="GG9" s="189" t="str">
        <f t="shared" si="33"/>
        <v/>
      </c>
      <c r="GH9" s="189" t="str">
        <f t="shared" si="34"/>
        <v/>
      </c>
      <c r="GI9" s="189" t="str">
        <f t="shared" ref="GI9:GI72" si="155">IF(GD9="G",",+","")</f>
        <v>,+</v>
      </c>
      <c r="GJ9" s="206">
        <f t="shared" si="35"/>
        <v>10</v>
      </c>
      <c r="GK9" s="205" t="str">
        <f t="shared" ref="GK9:GK72" si="156">IF(AND(EX9="FAIL",(OR(EQ9="G1",EQ9="G2",EQ9="S",EQ9="RE"))),"F",IF(AND(EX9="RE-EXAM",(OR(EQ9="G1",EQ9="G2",EQ9="S"))),"S",IF(AND(EX9="SUPPLEMENTARY",(OR(EQ9="G1",EQ9="G2"))),"S",IF(AND(EX9="BY GRACE PASS",(OR(EQ9="G1",EQ9="G2"))),"G",EQ9))))</f>
        <v/>
      </c>
      <c r="GL9" s="189" t="str">
        <f t="shared" si="36"/>
        <v/>
      </c>
      <c r="GM9" s="189" t="str">
        <f t="shared" si="37"/>
        <v/>
      </c>
      <c r="GN9" s="189" t="str">
        <f t="shared" si="38"/>
        <v/>
      </c>
      <c r="GO9" s="189" t="str">
        <f t="shared" si="39"/>
        <v/>
      </c>
      <c r="GP9" s="189" t="str">
        <f t="shared" ref="GP9:GP72" si="157">IF(GK9="G",",+","")</f>
        <v/>
      </c>
      <c r="GQ9" s="206" t="str">
        <f t="shared" si="40"/>
        <v/>
      </c>
      <c r="GR9" s="189" t="str">
        <f t="shared" ref="GR9:GR72" si="158">IF(AND(EX9="FAIL",EK9="RE"),"F",EK9)</f>
        <v>A</v>
      </c>
      <c r="GS9" s="189" t="str">
        <f t="shared" ref="GS9:GS72" si="159">IF(AND(EX9="FAIL",FF9="RE"),"F",FF9)</f>
        <v>B</v>
      </c>
      <c r="GT9" s="207" t="str">
        <f>CONCATENATE(IF(FJ9="F",$FJ$5,IF(FJ9="AB",$FJ$5,""))," ",IF(FM9="F",$FM$5,IF(FM9="AB",$FM$5,""))," ",IF(FQ9="F",$FQ$5,IF(FR9="F",$FR$5,IF(FS9="F",$FS$5,IF(FQ9="AB",$FQ$5,IF(FR9="AB",$FR$5,IF(FS9="AB",$FS$5,IF(FQ9="FP",$FQ$5,IF(FR9="FP",$FR$5,IF(FS9="FP",$FS$5,"")))))))))," ",IF(FX9="F",$FX$5,IF(FY9="F",$FY$5,IF(FZ9="F",$FZ$5,IF(FX9="AB",$FX$5,IF(FY9="AB",$FY$5,IF(FZ9="AB",$FZ$5,IF(FX9="FP",$FX$5,IF(FY9="FP",$FY$5,IF(FZ9="FP",$FZ$5,"")))))))))," ",IF(GE9="F",$GE$5,IF(GF9="F",$GF$5,IF(GG9="F",$GG$5,IF(GE9="AB",$GE$5,IF(GF9="AB",$GF$5,IF(GG9="AB",$GG$5,IF(GE9="FP",$GE$5,IF(GF9="FP",$GF$5,IF(GG9="FP",$GG$5,""))))))))),"",IF(GL9="F",$GL$5,IF(GM9="F",$GM$5,IF(GN9="F",$GN$5,IF(GL9="AB",$GL$5,IF(GM9="AB",$GM$5,IF(GN9="AB",$GN$5,IF(GL9="FP",$GL$5,IF(GM9="FP",$GM$5,IF(GN9="FP",$GN$5,""))))))))))</f>
        <v xml:space="preserve">    </v>
      </c>
      <c r="GU9" s="207" t="str">
        <f t="shared" ref="GU9:GU72" si="160">CONCATENATE(IF(FJ9="S",$FJ$5,"")," ",IF(FM9="S",$FM$5,"")," ",IF(FQ9="S",$FQ$5,IF(FR9="S",$FR$5,IF(FS9="S",$FS$5,IF(FT9="S",$FT$5,""))))," ",IF(FX9="S",$FX$5,IF(FY9="S",$FY$5,IF(FZ9="S",$FZ$5,IF(GA9="S",$GA$5,""))))," ",IF(GE9="S",$GE$5,IF(GF9="S",$GF$5,IF(GG9="S",$GG$5,IF(GH9="S",$GH$5,"")))))</f>
        <v xml:space="preserve">    </v>
      </c>
      <c r="GV9" s="207" t="str">
        <f t="shared" ref="GV9:GV72" si="161">CONCATENATE(IF(FJ9="G",$FJ$5,"")," ",IF(FM9="G",$FM$5,"")," ",IF(FQ9="G",$FQ$5,IF(FR9="G",$FR$5,IF(FS9="G",$FS$5,"")))," ",IF(FX9="G",$FX$5,IF(FY9="G",$FY$5,IF(FZ9="G",$FZ$5,"")))," ",IF(GE9="G",$GE$5,IF(GF9="G",$GF$5,IF(GG9="G",$GG$5,""))))</f>
        <v xml:space="preserve">    HOME SCIENCE</v>
      </c>
      <c r="GW9" s="207" t="str">
        <f t="shared" ref="GW9:GW72" si="162">CONCATENATE(IF(FJ9="RE",$FJ$5,"")," ",IF(FM9="RE",$FM$5,"")," ",IF(OR(FQ9="RE",FQ9="REP"),$FQ$5,IF(OR(FR9="RE",FR9="REP"),$FR$5,IF(OR(FS9="RE",FS9="REP"),$FS$5,IF(OR(FT9="RE",FT9="REP"),$FT$5,""))))," ",IF(OR(FX9="RE",FX9="REP"),$FX$5,IF(OR(FY9="RE",FY9="REP"),$FY$5,IF(OR(FZ9="RE",FZ9="REP"),$FZ$5,IF(OR(GA9="RE",GA9="REP"),$GA$5,""))))," ",IF(OR(GE9="RE",GE9="REP"),$GE$5,IF(OR(GF9="RE",GF9="REP"),$GF$5,IF(OR(GG9="RE",GG9="REP"),$GG$5,IF(OR(GH9="RE",GH9="REP"),$GH$5,""))))," ",IF(GR9="RE",$GR$4," "),"",IF(GS9="RE",$GS$4," "),"",)</f>
        <v xml:space="preserve">       </v>
      </c>
      <c r="GX9" s="598" t="str">
        <f t="shared" ref="GX9:GX72" si="163">CONCATENATE(IF(FJ9="D",$FJ$5,"")," ",IF($FM9="D",$FM$5,"")," ",IF(FQ9="D",$FQ$5,IF(FR9="D",$FR$5,IF(FS9="D",$FS$5,IF(FT9="D",$FT$5,""))))," ",IF(FX9="D",$FX$5,IF(FY9="D",$FY$5,IF(FZ9="D",$FZ$5,IF(GA9="D",$GA$5,""))))," ",IF(GE9="D",$GE$5,IF(GF9="D",$GF$5,IF(GG9="D",$GG$5,IF(GH9="D",$GH$5,""))))," ",IF(GL9="D",$GL$5,IF(GM9="D",$GM$5,IF(GN9="D",$GN$5,IF(GO9="D",$GO$5,"")))))</f>
        <v xml:space="preserve">   ACCOUNTANCY  </v>
      </c>
      <c r="GY9" s="208" t="str">
        <f t="shared" ref="GY9:GY39" si="164">IF(B9="NSO","NSO",IF(AND(OR(EX9="PASS",EX9="BY GRACE PASS",EX9="RE-EXAM"),EW9="F"),"FAIL",IF(AND(OR(EX9="PASS",EX9="BY GRACE PASS"),EW9="RE"),"RE-EXAM",EX9)))</f>
        <v>BY GRACE PASS</v>
      </c>
      <c r="GZ9" s="606">
        <f>IF(AND(Q9="",AE9="",AZ9="",BW9="",CT9=""),"",IF(AND('Master Sheet'!$D$19="YES",'Marks Entry'!$BA$1=1),SUM(Q9,AE9,AZ9,BW9,DT9),SUM(Q9,AE9,AZ9,BW9,CT9)))</f>
        <v>597</v>
      </c>
      <c r="HA9" s="209">
        <f>IF(GZ9="","",IF(AND('Master Sheet'!$D$19="YES",'Marks Entry'!$BA$1=1),GZ9/((900)-DC9)*100,GZ9/((1000)-DC9)*100))</f>
        <v>59.699999999999996</v>
      </c>
      <c r="HB9" s="611" t="str">
        <f t="shared" ref="HB9:HB72" si="165">IF(HA9="","",IF(AND(HA9&gt;=60,(GY9="PASS")),"I",IF(AND(HA9&gt;=60,(GY9="BY GRACE PASS")),"I",IF(AND(HA9&gt;=48,(GY9="PASS")),"II",IF(AND(HA9&gt;=48,(GY9="BY GRACE PASS")),"II",IF(AND(HA9&gt;=36,(GY9="PASS")),"III",IF(AND(HA9&gt;=36,(GY9="BY GRACE PASS")),"III","")))))))</f>
        <v>II</v>
      </c>
      <c r="HC9" s="609">
        <f t="shared" ref="HC9:HC72" si="166">IF(OR(GY9="PASS",GY9="BY GRACE PASS"),HA9,"")</f>
        <v>59.699999999999996</v>
      </c>
      <c r="HD9" s="610">
        <f t="shared" ref="HD9:HD72" si="167">IF(HC9="","",SUMPRODUCT((HC9&lt;HC$8:HC$207)/COUNTIF(HC$8:HC$207,HC$8:HC$207)))</f>
        <v>4.9999999999999432</v>
      </c>
      <c r="HE9" s="210" t="str">
        <f>IFERROR(IF(OR(GY9="SUPPLEMENTARY",GY9="RE-EXAM"),'Supp. Result Entry'!AS8,""),"")</f>
        <v/>
      </c>
      <c r="HF9" s="613" t="str">
        <f t="shared" ref="HF9:HF72" si="168">IF(OR(JB9="",IS9=0),"",IF(IZ9="","",IZ9))</f>
        <v/>
      </c>
      <c r="HG9" s="598" t="str">
        <f t="shared" ref="HG9:HG72" si="169">IF(AND(JB9=""),"",IF(HE9="","",IF(AND(JB9="FAIL"),"Failed",JB9)))</f>
        <v/>
      </c>
      <c r="HH9" s="598" t="str">
        <f>IF(AND(HE9="",HF9="",HG9=""),"",IF(OR(GY9="SUPPLEMENTARY",GY9="RE-EXAM"),'Supp. Result Entry'!AS8,GY9))</f>
        <v/>
      </c>
      <c r="HI9" s="180"/>
      <c r="HY9" s="212" t="str">
        <f>IF('Supp. Result Entry'!U8="","",'Supp. Result Entry'!$U$6)</f>
        <v/>
      </c>
      <c r="HZ9" s="213" t="str">
        <f>IF('Supp. Result Entry'!X8="","",'Supp. Result Entry'!$X$6)</f>
        <v/>
      </c>
      <c r="IA9" s="213" t="str">
        <f>IF('Supp. Result Entry'!AA8="","",'Supp. Result Entry'!$AA$6)</f>
        <v/>
      </c>
      <c r="IB9" s="213" t="str">
        <f>IF('Supp. Result Entry'!AD8="","",'Supp. Result Entry'!$AD$6)</f>
        <v/>
      </c>
      <c r="IC9" s="213" t="str">
        <f>IF('Supp. Result Entry'!AG8="","",'Supp. Result Entry'!$AG$6)</f>
        <v/>
      </c>
      <c r="ID9" s="213" t="str">
        <f>IF('Supp. Result Entry'!AJ8="","",'Supp. Result Entry'!$AJ$6)</f>
        <v/>
      </c>
      <c r="IE9" s="213" t="str">
        <f>IF('Supp. Result Entry'!V8="","",'Supp. Result Entry'!V8)</f>
        <v/>
      </c>
      <c r="IF9" s="213" t="str">
        <f>IF('Supp. Result Entry'!Y8="","",'Supp. Result Entry'!Y8)</f>
        <v/>
      </c>
      <c r="IG9" s="213" t="str">
        <f>IF('Supp. Result Entry'!AB8="","",'Supp. Result Entry'!AB8)</f>
        <v/>
      </c>
      <c r="IH9" s="213" t="str">
        <f>IF('Supp. Result Entry'!AE8="","",'Supp. Result Entry'!AE8)</f>
        <v/>
      </c>
      <c r="II9" s="213" t="str">
        <f>IF('Supp. Result Entry'!AH8="","",'Supp. Result Entry'!AH8)</f>
        <v/>
      </c>
      <c r="IJ9" s="213" t="str">
        <f>IF('Supp. Result Entry'!AK8="","",'Supp. Result Entry'!AK8)</f>
        <v/>
      </c>
      <c r="IK9" s="213" t="str">
        <f>IF('Supp. Result Entry'!W8="","",'Supp. Result Entry'!W8)</f>
        <v/>
      </c>
      <c r="IL9" s="213" t="str">
        <f>IF('Supp. Result Entry'!Z8="","",'Supp. Result Entry'!Z8)</f>
        <v/>
      </c>
      <c r="IM9" s="213" t="str">
        <f>IF('Supp. Result Entry'!AC8="","",'Supp. Result Entry'!AC8)</f>
        <v/>
      </c>
      <c r="IN9" s="213" t="str">
        <f>IF('Supp. Result Entry'!AF8="","",'Supp. Result Entry'!AF8)</f>
        <v/>
      </c>
      <c r="IO9" s="213" t="str">
        <f>IF('Supp. Result Entry'!AI8="","",'Supp. Result Entry'!AI8)</f>
        <v/>
      </c>
      <c r="IP9" s="213" t="str">
        <f>IF('Supp. Result Entry'!AL8="","",'Supp. Result Entry'!AL8)</f>
        <v/>
      </c>
      <c r="IQ9" s="213">
        <f>COUNTIF('Supp. Result Entry'!K8:Q8,"S")</f>
        <v>0</v>
      </c>
      <c r="IR9" s="213">
        <f t="shared" ref="IR9:IR72" si="170">COUNTIF(FJ9:GR9,"RE")+COUNTIF(FJ9:GR9,"REP")</f>
        <v>0</v>
      </c>
      <c r="IS9" s="213">
        <f t="shared" ref="IS9:IS72" si="171">COUNTIF(IK9:IP9,"P")</f>
        <v>0</v>
      </c>
      <c r="IT9" s="213" t="str">
        <f t="shared" si="41"/>
        <v/>
      </c>
      <c r="IU9" s="213" t="str">
        <f t="shared" si="42"/>
        <v/>
      </c>
      <c r="IV9" s="213" t="str">
        <f t="shared" si="43"/>
        <v/>
      </c>
      <c r="IW9" s="213" t="str">
        <f t="shared" si="44"/>
        <v/>
      </c>
      <c r="IX9" s="213" t="str">
        <f t="shared" si="45"/>
        <v/>
      </c>
      <c r="IY9" s="213" t="str">
        <f t="shared" ref="IY9:IY72" si="172">IF(OR(IQ9=0,IQ9&lt;IS9),"",SUM(IT9:IX9))</f>
        <v/>
      </c>
      <c r="IZ9" s="213" t="str">
        <f t="shared" ref="IZ9:IZ72" si="173">IF(OR(IQ9=0,IQ9&lt;IS9),"",IY9/JA9*100)</f>
        <v/>
      </c>
      <c r="JA9" s="213" t="str">
        <f t="shared" si="46"/>
        <v/>
      </c>
      <c r="JB9" s="211" t="str">
        <f t="shared" ref="JB9:JB72" si="174">IF(IZ9="","",IF(IZ9&gt;=60,"I",IF(IZ9&gt;=48,"II",IF(IZ9&gt;=36,"III",""))))</f>
        <v/>
      </c>
    </row>
    <row r="10" spans="1:262" s="211" customFormat="1" ht="21" customHeight="1">
      <c r="A10" s="184">
        <v>3</v>
      </c>
      <c r="B10" s="185">
        <f>IF('Marks Entry'!B10="","",'Marks Entry'!B10)</f>
        <v>1103</v>
      </c>
      <c r="C10" s="186">
        <f>IF('Marks Entry'!D10="","",'Marks Entry'!D10)</f>
        <v>555</v>
      </c>
      <c r="D10" s="187">
        <f>IF('Marks Entry'!E10="","",'Marks Entry'!E10)</f>
        <v>38414</v>
      </c>
      <c r="E10" s="188" t="str">
        <f>IF('Marks Entry'!F10="","",'Marks Entry'!F10)</f>
        <v>C</v>
      </c>
      <c r="F10" s="188" t="str">
        <f>IF('Marks Entry'!G10="","",'Marks Entry'!G10)</f>
        <v>Z</v>
      </c>
      <c r="G10" s="188" t="str">
        <f>IF('Marks Entry'!H10="","",'Marks Entry'!H10)</f>
        <v>O</v>
      </c>
      <c r="H10" s="189" t="str">
        <f>IF('Marks Entry'!I10="","",'Marks Entry'!I10)</f>
        <v>SC</v>
      </c>
      <c r="I10" s="190" t="str">
        <f>IF('Marks Entry'!J10="","",'Marks Entry'!J10)</f>
        <v>F</v>
      </c>
      <c r="J10" s="545">
        <f>IF('Marks Entry'!K10="","",'Marks Entry'!K10)</f>
        <v>9</v>
      </c>
      <c r="K10" s="545">
        <f>IF('Marks Entry'!L10="","",'Marks Entry'!L10)</f>
        <v>9</v>
      </c>
      <c r="L10" s="545">
        <f>IF('Marks Entry'!M10="","",'Marks Entry'!M10)</f>
        <v>8</v>
      </c>
      <c r="M10" s="546">
        <f t="shared" si="47"/>
        <v>26</v>
      </c>
      <c r="N10" s="545">
        <f>IF('Marks Entry'!N10="","",'Marks Entry'!N10)</f>
        <v>41</v>
      </c>
      <c r="O10" s="546">
        <f t="shared" si="48"/>
        <v>67</v>
      </c>
      <c r="P10" s="545">
        <f>IF('Marks Entry'!O10="","",'Marks Entry'!O10)</f>
        <v>65</v>
      </c>
      <c r="Q10" s="547">
        <f t="shared" si="49"/>
        <v>132</v>
      </c>
      <c r="R10" s="153">
        <f t="shared" si="50"/>
        <v>0</v>
      </c>
      <c r="S10" s="153">
        <f t="shared" si="51"/>
        <v>0</v>
      </c>
      <c r="T10" s="154">
        <f t="shared" si="52"/>
        <v>200</v>
      </c>
      <c r="U10" s="153" t="str">
        <f t="shared" si="53"/>
        <v/>
      </c>
      <c r="V10" s="153" t="str">
        <f t="shared" si="54"/>
        <v>P</v>
      </c>
      <c r="W10" s="153" t="str">
        <f t="shared" si="55"/>
        <v>I</v>
      </c>
      <c r="X10" s="545">
        <f>IF('Marks Entry'!P10="","",'Marks Entry'!P10)</f>
        <v>9</v>
      </c>
      <c r="Y10" s="545">
        <f>IF('Marks Entry'!Q10="","",'Marks Entry'!Q10)</f>
        <v>6</v>
      </c>
      <c r="Z10" s="545">
        <f>IF('Marks Entry'!R10="","",'Marks Entry'!R10)</f>
        <v>9</v>
      </c>
      <c r="AA10" s="546">
        <f t="shared" si="56"/>
        <v>24</v>
      </c>
      <c r="AB10" s="545">
        <f>IF('Marks Entry'!S10="","",'Marks Entry'!S10)</f>
        <v>42</v>
      </c>
      <c r="AC10" s="546">
        <f t="shared" si="57"/>
        <v>66</v>
      </c>
      <c r="AD10" s="545">
        <f>IF('Marks Entry'!T10="","",'Marks Entry'!T10)</f>
        <v>70</v>
      </c>
      <c r="AE10" s="547">
        <f t="shared" si="58"/>
        <v>136</v>
      </c>
      <c r="AF10" s="153">
        <f t="shared" si="59"/>
        <v>0</v>
      </c>
      <c r="AG10" s="153">
        <f t="shared" si="60"/>
        <v>0</v>
      </c>
      <c r="AH10" s="154">
        <f t="shared" si="61"/>
        <v>200</v>
      </c>
      <c r="AI10" s="153" t="str">
        <f t="shared" si="62"/>
        <v/>
      </c>
      <c r="AJ10" s="153" t="str">
        <f t="shared" si="63"/>
        <v>P</v>
      </c>
      <c r="AK10" s="153" t="str">
        <f t="shared" si="64"/>
        <v>I</v>
      </c>
      <c r="AL10" s="573" t="str">
        <f>IF('Marks Entry'!U10="","",'Marks Entry'!U10)</f>
        <v>A</v>
      </c>
      <c r="AM10" s="573">
        <f>IF('Marks Entry'!V10="","",'Marks Entry'!V10)</f>
        <v>9</v>
      </c>
      <c r="AN10" s="573">
        <f>IF('Marks Entry'!W10="","",'Marks Entry'!W10)</f>
        <v>9</v>
      </c>
      <c r="AO10" s="573">
        <f>IF('Marks Entry'!X10="","",'Marks Entry'!X10)</f>
        <v>9</v>
      </c>
      <c r="AP10" s="572">
        <f t="shared" si="65"/>
        <v>27</v>
      </c>
      <c r="AQ10" s="573">
        <f>IF('Marks Entry'!Y10="","",'Marks Entry'!Y10)</f>
        <v>40</v>
      </c>
      <c r="AR10" s="573" t="str">
        <f>IF('Marks Entry'!Z10="","",'Marks Entry'!Z10)</f>
        <v/>
      </c>
      <c r="AS10" s="572">
        <f t="shared" si="66"/>
        <v>40</v>
      </c>
      <c r="AT10" s="572">
        <f t="shared" si="67"/>
        <v>67</v>
      </c>
      <c r="AU10" s="573">
        <f>IF('Marks Entry'!AA10="","",'Marks Entry'!AA10)</f>
        <v>45</v>
      </c>
      <c r="AV10" s="573" t="str">
        <f>IF('Marks Entry'!AB10="","",'Marks Entry'!AB10)</f>
        <v/>
      </c>
      <c r="AW10" s="572">
        <f t="shared" si="68"/>
        <v>45</v>
      </c>
      <c r="AX10" s="157">
        <f t="shared" si="69"/>
        <v>112</v>
      </c>
      <c r="AY10" s="157" t="str">
        <f t="shared" si="70"/>
        <v/>
      </c>
      <c r="AZ10" s="192">
        <f t="shared" si="71"/>
        <v>112</v>
      </c>
      <c r="BA10" s="153">
        <f t="shared" si="72"/>
        <v>0</v>
      </c>
      <c r="BB10" s="154">
        <f t="shared" si="73"/>
        <v>0</v>
      </c>
      <c r="BC10" s="154">
        <f t="shared" si="74"/>
        <v>100</v>
      </c>
      <c r="BD10" s="154" t="str">
        <f t="shared" si="75"/>
        <v/>
      </c>
      <c r="BE10" s="154">
        <f t="shared" si="76"/>
        <v>200</v>
      </c>
      <c r="BF10" s="153" t="str">
        <f t="shared" si="77"/>
        <v/>
      </c>
      <c r="BG10" s="154" t="str">
        <f t="shared" ref="BG10:BG72" si="175">IF(OR($B10="NSO",$B10=0,AU10="",AW10="",AZ10=""),"",IF(OR(AU10="AB",AV10="AB",BF10="AB"),"AB",IF(OR(AU10="ML",AW10="ML"),"RE",IF(AV10="MLP","REP",IF(AV10&lt;33%*$AV$6,"FP",IF(AR10&lt;33%*$AR$6,"FP",IF(AND(AX10&gt;=36%*BE10,SUM(AU10)&gt;=20%*BC10,AY10&gt;=SUM(BD10)*36%),"P",IF(AND(AX10&gt;=34%*BE10,BB10=0,SUM(AU10)&gt;=20%*BC10,AY10&gt;=SUM(BD10)*36%),"G2",IF(AND(AX10&gt;=31%*BE10,BB10=0,SUM(AU10)&gt;=20%*BC10,AY10&gt;=SUM(BD10)*36%),"G1",IF(AND(AX10&gt;=25%*BE10,SUM(AU10)&gt;=20%*BC10),"S","F"))))))))))</f>
        <v>P</v>
      </c>
      <c r="BH10" s="153" t="str">
        <f t="shared" si="78"/>
        <v>II</v>
      </c>
      <c r="BI10" s="580" t="str">
        <f>IF('Marks Entry'!AC10="","",'Marks Entry'!AC10)</f>
        <v>B</v>
      </c>
      <c r="BJ10" s="580">
        <f>IF('Marks Entry'!AD10="","",'Marks Entry'!AD10)</f>
        <v>9</v>
      </c>
      <c r="BK10" s="580">
        <f>IF('Marks Entry'!AE10="","",'Marks Entry'!AE10)</f>
        <v>10</v>
      </c>
      <c r="BL10" s="580">
        <f>IF('Marks Entry'!AF10="","",'Marks Entry'!AF10)</f>
        <v>8</v>
      </c>
      <c r="BM10" s="581">
        <f t="shared" si="79"/>
        <v>27</v>
      </c>
      <c r="BN10" s="580">
        <f>IF('Marks Entry'!AG10="","",'Marks Entry'!AG10)</f>
        <v>30</v>
      </c>
      <c r="BO10" s="580">
        <f>IF('Marks Entry'!AH10="","",'Marks Entry'!AH10)</f>
        <v>11</v>
      </c>
      <c r="BP10" s="581">
        <f t="shared" si="80"/>
        <v>41</v>
      </c>
      <c r="BQ10" s="581">
        <f t="shared" si="81"/>
        <v>68</v>
      </c>
      <c r="BR10" s="580">
        <f>IF('Marks Entry'!AI10="","",'Marks Entry'!AI10)</f>
        <v>54</v>
      </c>
      <c r="BS10" s="580">
        <f>IF('Marks Entry'!AJ10="","",'Marks Entry'!AJ10)</f>
        <v>24</v>
      </c>
      <c r="BT10" s="581">
        <f t="shared" si="82"/>
        <v>78</v>
      </c>
      <c r="BU10" s="157">
        <f t="shared" si="83"/>
        <v>111</v>
      </c>
      <c r="BV10" s="157">
        <f t="shared" si="84"/>
        <v>35</v>
      </c>
      <c r="BW10" s="192">
        <f t="shared" si="85"/>
        <v>146</v>
      </c>
      <c r="BX10" s="153">
        <f t="shared" si="86"/>
        <v>0</v>
      </c>
      <c r="BY10" s="154">
        <f t="shared" si="87"/>
        <v>0</v>
      </c>
      <c r="BZ10" s="154">
        <f t="shared" si="88"/>
        <v>70</v>
      </c>
      <c r="CA10" s="154">
        <f t="shared" si="89"/>
        <v>50</v>
      </c>
      <c r="CB10" s="154">
        <f t="shared" si="90"/>
        <v>150</v>
      </c>
      <c r="CC10" s="153" t="str">
        <f t="shared" si="91"/>
        <v/>
      </c>
      <c r="CD10" s="154" t="str">
        <f>IF(OR($B10="NSO",$B10=0,BR10="",BT10="",BW10=""),"",IF(OR(BR10="AB",BS10="AB",CC10="AB"),"AB",IF(OR(BR10="ML",BT10="ML"),"RE",IF(BS10="MLP","REP",IF(BS10&lt;33%*$AV$6,"FP",IF(BO10&lt;33%*$AR$6,"FP",IF(AND(BU10&gt;=36%*CB10,SUM(BR10)&gt;=20%*BZ10,BV10&gt;=SUM(CA10)*36%),"P",IF(AND(BU10&gt;=34%*CB10,BY10=0,SUM(BR10)&gt;=20%*BZ10,BV10&gt;=SUM(CA10)*36%),"G2",IF(AND(BU10&gt;=31%*CB10,BY10=0,SUM(BR10)&gt;=20%*BZ10,BV10&gt;=SUM(CA10)*36%),"G1",IF(AND(BU10&gt;=25%*CB10,SUM(BR10)&gt;=20%*BZ10),"S","F"))))))))))</f>
        <v>P</v>
      </c>
      <c r="CE10" s="153" t="str">
        <f t="shared" si="93"/>
        <v>I</v>
      </c>
      <c r="CF10" s="580" t="str">
        <f>IF('Marks Entry'!AK10="","",'Marks Entry'!AK10)</f>
        <v>A</v>
      </c>
      <c r="CG10" s="580">
        <f>IF('Marks Entry'!AL10="","",'Marks Entry'!AL10)</f>
        <v>6</v>
      </c>
      <c r="CH10" s="580">
        <f>IF('Marks Entry'!AM10="","",'Marks Entry'!AM10)</f>
        <v>7</v>
      </c>
      <c r="CI10" s="580">
        <f>IF('Marks Entry'!AN10="","",'Marks Entry'!AN10)</f>
        <v>8</v>
      </c>
      <c r="CJ10" s="581">
        <f t="shared" si="94"/>
        <v>21</v>
      </c>
      <c r="CK10" s="580">
        <f>IF('Marks Entry'!AO10="","",'Marks Entry'!AO10)</f>
        <v>31</v>
      </c>
      <c r="CL10" s="580">
        <f>IF('Marks Entry'!AP10="","",'Marks Entry'!AP10)</f>
        <v>11</v>
      </c>
      <c r="CM10" s="581">
        <f t="shared" si="95"/>
        <v>42</v>
      </c>
      <c r="CN10" s="581">
        <f t="shared" si="96"/>
        <v>63</v>
      </c>
      <c r="CO10" s="580">
        <f>IF('Marks Entry'!AQ10="","",'Marks Entry'!AQ10)</f>
        <v>40</v>
      </c>
      <c r="CP10" s="580">
        <f>IF('Marks Entry'!AR10="","",'Marks Entry'!AR10)</f>
        <v>12</v>
      </c>
      <c r="CQ10" s="581">
        <f t="shared" si="97"/>
        <v>52</v>
      </c>
      <c r="CR10" s="157">
        <f>IF(AND(CJ10="",CK10="",CO10=""),"",SUM(CJ10,CK10,CO10))</f>
        <v>92</v>
      </c>
      <c r="CS10" s="157">
        <f t="shared" si="99"/>
        <v>23</v>
      </c>
      <c r="CT10" s="192">
        <f t="shared" si="100"/>
        <v>115</v>
      </c>
      <c r="CU10" s="153">
        <f t="shared" si="101"/>
        <v>0</v>
      </c>
      <c r="CV10" s="154">
        <f t="shared" si="102"/>
        <v>0</v>
      </c>
      <c r="CW10" s="154">
        <f t="shared" si="103"/>
        <v>70</v>
      </c>
      <c r="CX10" s="154">
        <f t="shared" si="104"/>
        <v>50</v>
      </c>
      <c r="CY10" s="154">
        <f t="shared" ref="CY10:CY72" si="176">IF(OR($B10="NSO",$B10=0),"",IF(AND(CJ10="",CK10="",CO10=""),"",IF(AND(CL10="",CP10=""),SUM((CR$7)-(CU10+CV10)),SUM((CR$6)-(CU10+CV10)))))</f>
        <v>150</v>
      </c>
      <c r="CZ10" s="153" t="str">
        <f t="shared" si="105"/>
        <v/>
      </c>
      <c r="DA10" s="154" t="str">
        <f t="shared" si="106"/>
        <v>P</v>
      </c>
      <c r="DB10" s="153" t="str">
        <f t="shared" si="107"/>
        <v>II</v>
      </c>
      <c r="DC10" s="154">
        <f t="shared" si="108"/>
        <v>0</v>
      </c>
      <c r="DD10" s="826" t="str">
        <f>IF('Marks Entry'!AS10="","",IF(OR('Master Sheet'!$D$19="YES",'Marks Entry'!$BA$1=1),'Marks Entry'!AS10,""))</f>
        <v/>
      </c>
      <c r="DE10" s="826" t="str">
        <f>IF('Marks Entry'!AT10="","",IF(OR('Master Sheet'!$D$19="YES",'Marks Entry'!$BA$1=1),'Marks Entry'!AT10,""))</f>
        <v/>
      </c>
      <c r="DF10" s="826" t="str">
        <f>IF('Marks Entry'!AU10="","",IF(OR('Master Sheet'!$D$19="YES",'Marks Entry'!$BA$1=1),'Marks Entry'!AU10,""))</f>
        <v/>
      </c>
      <c r="DG10" s="826" t="str">
        <f>IF('Marks Entry'!AV10="","",IF(OR('Master Sheet'!$D$19="YES",'Marks Entry'!$BA$1=1),'Marks Entry'!AV10,""))</f>
        <v/>
      </c>
      <c r="DH10" s="827" t="str">
        <f t="shared" si="109"/>
        <v/>
      </c>
      <c r="DI10" s="826" t="str">
        <f>IF('Marks Entry'!AW10="","",IF(OR('Master Sheet'!$D$19="YES",'Marks Entry'!$BA$1=1),'Marks Entry'!AW10,""))</f>
        <v/>
      </c>
      <c r="DJ10" s="826" t="str">
        <f>IF('Marks Entry'!AX10="","",IF(OR('Master Sheet'!$D$19="YES",'Marks Entry'!$BA$1=1),'Marks Entry'!AX10,""))</f>
        <v/>
      </c>
      <c r="DK10" s="827" t="str">
        <f t="shared" si="110"/>
        <v/>
      </c>
      <c r="DL10" s="827" t="str">
        <f t="shared" si="111"/>
        <v/>
      </c>
      <c r="DM10" s="826" t="str">
        <f>IF('Marks Entry'!AY10="","",IF(OR('Master Sheet'!$D$19="YES",'Marks Entry'!$BA$1=1),'Marks Entry'!AY10,""))</f>
        <v/>
      </c>
      <c r="DN10" s="826" t="str">
        <f>IF('Marks Entry'!AZ10="","",IF(OR('Master Sheet'!$D$19="YES",'Marks Entry'!$BA$1=1),'Marks Entry'!AZ10,""))</f>
        <v/>
      </c>
      <c r="DO10" s="826" t="str">
        <f>IF('Marks Entry'!BA10="","",IF(OR('Master Sheet'!$D$19="YES",'Marks Entry'!$BA$1=1),'Marks Entry'!BA10,""))</f>
        <v/>
      </c>
      <c r="DP10" s="827" t="str">
        <f t="shared" si="112"/>
        <v/>
      </c>
      <c r="DQ10" s="157" t="str">
        <f t="shared" si="113"/>
        <v/>
      </c>
      <c r="DR10" s="157" t="str">
        <f t="shared" si="114"/>
        <v/>
      </c>
      <c r="DS10" s="157" t="str">
        <f t="shared" si="115"/>
        <v/>
      </c>
      <c r="DT10" s="192" t="str">
        <f t="shared" si="116"/>
        <v/>
      </c>
      <c r="DU10" s="153">
        <f t="shared" si="117"/>
        <v>0</v>
      </c>
      <c r="DV10" s="154" t="e">
        <f t="shared" si="118"/>
        <v>#VALUE!</v>
      </c>
      <c r="DW10" s="154" t="str">
        <f t="shared" si="119"/>
        <v/>
      </c>
      <c r="DX10" s="154" t="str">
        <f>IF(OR($B10="NSO",$B10=0,DS10=""),"",IF(AND(DJ10="",DO10=""),"",IF('Master Sheet'!$D$19="YES",$DO$6-COUNTIF(DO10,"ML")*DO$6,DS$6-(COUNTIF(DJ10,"ML")*DJ$6)-(COUNTIF(DO10,"ML")*DO$6))))</f>
        <v/>
      </c>
      <c r="DY10" s="154" t="str">
        <f>IF(OR($B10="NSO",$B10=0),"",IF(AND(DH10="",DI10="",DM10=""),"",IF(AND('Master Sheet'!$D$19="YES",'Marks Entry'!$BA$1=1),100,IF(AND(DJ10="",DO10=""),SUM(($DQ$7+$DR$7)-(DU10+DV10)),SUM(($DQ$6+$DR$6)-(DU10+DV10))))))</f>
        <v/>
      </c>
      <c r="DZ10" s="153" t="str">
        <f t="shared" si="120"/>
        <v/>
      </c>
      <c r="EA10" s="154" t="str">
        <f t="shared" si="121"/>
        <v/>
      </c>
      <c r="EB10" s="153" t="str">
        <f t="shared" si="122"/>
        <v/>
      </c>
      <c r="EC10" s="584">
        <f>IF('Marks Entry'!BB10="","",'Marks Entry'!BB10)</f>
        <v>26</v>
      </c>
      <c r="ED10" s="584">
        <f>IF('Marks Entry'!BC10="","",'Marks Entry'!BC10)</f>
        <v>29</v>
      </c>
      <c r="EE10" s="584">
        <f>IF('Marks Entry'!BD10="","",'Marks Entry'!BD10)</f>
        <v>32</v>
      </c>
      <c r="EF10" s="590">
        <f t="shared" si="123"/>
        <v>87</v>
      </c>
      <c r="EG10" s="595">
        <f t="shared" si="124"/>
        <v>0</v>
      </c>
      <c r="EH10" s="595">
        <f t="shared" si="125"/>
        <v>0</v>
      </c>
      <c r="EI10" s="193">
        <f t="shared" si="126"/>
        <v>100</v>
      </c>
      <c r="EJ10" s="595" t="str">
        <f t="shared" si="127"/>
        <v/>
      </c>
      <c r="EK10" s="595" t="str">
        <f t="shared" si="128"/>
        <v>A</v>
      </c>
      <c r="EL10" s="194" t="str">
        <f t="shared" si="129"/>
        <v>I</v>
      </c>
      <c r="EM10" s="194" t="str">
        <f t="shared" si="130"/>
        <v>I</v>
      </c>
      <c r="EN10" s="194" t="str">
        <f t="shared" si="131"/>
        <v>II</v>
      </c>
      <c r="EO10" s="194" t="str">
        <f t="shared" si="132"/>
        <v>I</v>
      </c>
      <c r="EP10" s="194" t="str">
        <f t="shared" si="133"/>
        <v>II</v>
      </c>
      <c r="EQ10" s="194" t="str">
        <f t="shared" si="134"/>
        <v/>
      </c>
      <c r="ER10" s="195">
        <f t="shared" si="135"/>
        <v>0</v>
      </c>
      <c r="ES10" s="195">
        <f t="shared" si="136"/>
        <v>0</v>
      </c>
      <c r="ET10" s="195">
        <f t="shared" si="137"/>
        <v>0</v>
      </c>
      <c r="EU10" s="195">
        <f t="shared" si="138"/>
        <v>0</v>
      </c>
      <c r="EV10" s="195">
        <f t="shared" si="139"/>
        <v>0</v>
      </c>
      <c r="EW10" s="195" t="str">
        <f t="shared" si="140"/>
        <v/>
      </c>
      <c r="EX10" s="196" t="str">
        <f t="shared" si="141"/>
        <v>PASS</v>
      </c>
      <c r="EY10" s="197">
        <f>IF('Marks Entry'!BE10="","",'Marks Entry'!BE10)</f>
        <v>8</v>
      </c>
      <c r="EZ10" s="197">
        <f>IF('Marks Entry'!BF10="","",'Marks Entry'!BF10)</f>
        <v>8</v>
      </c>
      <c r="FA10" s="197">
        <f>IF('Marks Entry'!BG10="","",'Marks Entry'!BG10)</f>
        <v>8</v>
      </c>
      <c r="FB10" s="596">
        <f t="shared" si="142"/>
        <v>24</v>
      </c>
      <c r="FC10" s="197">
        <f>IF('Marks Entry'!BH10="","",'Marks Entry'!BH10)</f>
        <v>50</v>
      </c>
      <c r="FD10" s="197">
        <f>IF('Marks Entry'!BI10="","",'Marks Entry'!BI10)</f>
        <v>80</v>
      </c>
      <c r="FE10" s="198">
        <f t="shared" si="143"/>
        <v>154</v>
      </c>
      <c r="FF10" s="199" t="str">
        <f t="shared" si="144"/>
        <v>B</v>
      </c>
      <c r="FG10" s="200">
        <f>IF(AND(E10=""),"",IF('Student DATA Entry'!L6="","",'Student DATA Entry'!L6))</f>
        <v>370</v>
      </c>
      <c r="FH10" s="201">
        <f>IF(AND(E10=""),"",IF('Student DATA Entry'!M6="","",'Student DATA Entry'!M6))</f>
        <v>346</v>
      </c>
      <c r="FI10" s="202">
        <f t="shared" si="145"/>
        <v>93.513513513513516</v>
      </c>
      <c r="FJ10" s="189" t="str">
        <f t="shared" si="146"/>
        <v>I</v>
      </c>
      <c r="FK10" s="189" t="str">
        <f t="shared" si="147"/>
        <v/>
      </c>
      <c r="FL10" s="203" t="str">
        <f t="shared" si="19"/>
        <v/>
      </c>
      <c r="FM10" s="189" t="str">
        <f t="shared" si="148"/>
        <v>I</v>
      </c>
      <c r="FN10" s="204" t="str">
        <f t="shared" si="149"/>
        <v/>
      </c>
      <c r="FO10" s="203" t="str">
        <f t="shared" si="20"/>
        <v/>
      </c>
      <c r="FP10" s="205" t="str">
        <f t="shared" si="150"/>
        <v>II</v>
      </c>
      <c r="FQ10" s="189" t="str">
        <f t="shared" si="21"/>
        <v>II</v>
      </c>
      <c r="FR10" s="189" t="str">
        <f t="shared" si="22"/>
        <v/>
      </c>
      <c r="FS10" s="189" t="str">
        <f t="shared" si="23"/>
        <v/>
      </c>
      <c r="FT10" s="189" t="str">
        <f t="shared" si="24"/>
        <v/>
      </c>
      <c r="FU10" s="189" t="str">
        <f t="shared" si="151"/>
        <v/>
      </c>
      <c r="FV10" s="206" t="str">
        <f t="shared" si="25"/>
        <v/>
      </c>
      <c r="FW10" s="205" t="str">
        <f t="shared" si="152"/>
        <v>I</v>
      </c>
      <c r="FX10" s="189" t="str">
        <f t="shared" si="26"/>
        <v/>
      </c>
      <c r="FY10" s="189" t="str">
        <f t="shared" si="27"/>
        <v>I</v>
      </c>
      <c r="FZ10" s="189" t="str">
        <f t="shared" si="28"/>
        <v/>
      </c>
      <c r="GA10" s="189" t="str">
        <f t="shared" si="29"/>
        <v/>
      </c>
      <c r="GB10" s="189" t="str">
        <f t="shared" si="153"/>
        <v/>
      </c>
      <c r="GC10" s="206" t="str">
        <f t="shared" si="30"/>
        <v/>
      </c>
      <c r="GD10" s="205" t="str">
        <f t="shared" si="154"/>
        <v>II</v>
      </c>
      <c r="GE10" s="189" t="str">
        <f t="shared" si="31"/>
        <v>II</v>
      </c>
      <c r="GF10" s="189" t="str">
        <f t="shared" si="32"/>
        <v/>
      </c>
      <c r="GG10" s="189" t="str">
        <f t="shared" si="33"/>
        <v/>
      </c>
      <c r="GH10" s="189" t="str">
        <f t="shared" si="34"/>
        <v/>
      </c>
      <c r="GI10" s="189" t="str">
        <f t="shared" si="155"/>
        <v/>
      </c>
      <c r="GJ10" s="206" t="str">
        <f t="shared" si="35"/>
        <v/>
      </c>
      <c r="GK10" s="205" t="str">
        <f t="shared" si="156"/>
        <v/>
      </c>
      <c r="GL10" s="189" t="str">
        <f t="shared" si="36"/>
        <v/>
      </c>
      <c r="GM10" s="189" t="str">
        <f t="shared" si="37"/>
        <v/>
      </c>
      <c r="GN10" s="189" t="str">
        <f t="shared" si="38"/>
        <v/>
      </c>
      <c r="GO10" s="189" t="str">
        <f t="shared" si="39"/>
        <v/>
      </c>
      <c r="GP10" s="189" t="str">
        <f t="shared" si="157"/>
        <v/>
      </c>
      <c r="GQ10" s="206" t="str">
        <f t="shared" si="40"/>
        <v/>
      </c>
      <c r="GR10" s="189" t="str">
        <f t="shared" si="158"/>
        <v>A</v>
      </c>
      <c r="GS10" s="189" t="str">
        <f t="shared" si="159"/>
        <v>B</v>
      </c>
      <c r="GT10" s="207" t="str">
        <f t="shared" ref="GT10:GT72" si="177">CONCATENATE(IF(FJ10="F",$FJ$5,IF(FJ10="AB",$FJ$5,""))," ",IF(FM10="F",$FM$5,IF(FM10="AB",$FM$5,""))," ",IF(FQ10="F",$FQ$5,IF(FR10="F",$FR$5,IF(FS10="F",$FS$5,IF(FQ10="AB",$FQ$5,IF(FR10="AB",$FR$5,IF(FS10="AB",$FS$5,IF(FQ10="FP",$FQ$5,IF(FR10="FP",$FR$5,IF(FS10="FP",$FS$5,"")))))))))," ",IF(FX10="F",$FX$5,IF(FY10="F",$FY$5,IF(FZ10="F",$FZ$5,IF(FX10="AB",$FX$5,IF(FY10="AB",$FY$5,IF(FZ10="AB",$FZ$5,IF(FX10="FP",$FX$5,IF(FY10="FP",$FY$5,IF(FZ10="FP",$FZ$5,"")))))))))," ",IF(GE10="F",$GE$5,IF(GF10="F",$GF$5,IF(GG10="F",$GG$5,IF(GE10="AB",$GE$5,IF(GF10="AB",$GF$5,IF(GG10="AB",$GG$5,IF(GE10="FP",$GE$5,IF(GF10="FP",$GF$5,IF(GG10="FP",$GG$5,""))))))))),"",IF(GL10="F",$GL$5,IF(GM10="F",$GM$5,IF(GN10="F",$GN$5,IF(GL10="AB",$GL$5,IF(GM10="AB",$GM$5,IF(GN10="AB",$GN$5,IF(GL10="FP",$GL$5,IF(GM10="FP",$GM$5,IF(GN10="FP",$GN$5,""))))))))))</f>
        <v xml:space="preserve">    </v>
      </c>
      <c r="GU10" s="207" t="str">
        <f t="shared" si="160"/>
        <v xml:space="preserve">    </v>
      </c>
      <c r="GV10" s="207" t="str">
        <f t="shared" si="161"/>
        <v xml:space="preserve">    </v>
      </c>
      <c r="GW10" s="207" t="str">
        <f t="shared" si="162"/>
        <v xml:space="preserve">       </v>
      </c>
      <c r="GX10" s="598" t="str">
        <f t="shared" si="163"/>
        <v xml:space="preserve">     </v>
      </c>
      <c r="GY10" s="208" t="str">
        <f t="shared" si="164"/>
        <v>PASS</v>
      </c>
      <c r="GZ10" s="606">
        <f>IF(AND(Q10="",AE10="",AZ10="",BW10="",CT10=""),"",IF(AND('Master Sheet'!$D$19="YES",'Marks Entry'!$BA$1=1),SUM(Q10,AE10,AZ10,BW10,DT10),SUM(Q10,AE10,AZ10,BW10,CT10)))</f>
        <v>641</v>
      </c>
      <c r="HA10" s="209">
        <f>IF(GZ10="","",IF(AND('Master Sheet'!$D$19="YES",'Marks Entry'!$BA$1=1),GZ10/((900)-DC10)*100,GZ10/((1000)-DC10)*100))</f>
        <v>64.099999999999994</v>
      </c>
      <c r="HB10" s="611" t="str">
        <f>IF(HA10="","",IF(AND(HA10&gt;=60,(GY10="PASS")),"I",IF(AND(HA10&gt;=60,(GY10="BY GRACE PASS")),"I",IF(AND(HA10&gt;=48,(GY10="PASS")),"II",IF(AND(HA10&gt;=48,(GY10="BY GRACE PASS")),"II",IF(AND(HA10&gt;=36,(GY10="PASS")),"III",IF(AND(HA10&gt;=36,(GY10="BY GRACE PASS")),"III","")))))))</f>
        <v>I</v>
      </c>
      <c r="HC10" s="609">
        <f t="shared" si="166"/>
        <v>64.099999999999994</v>
      </c>
      <c r="HD10" s="610">
        <f t="shared" si="167"/>
        <v>4.0000000000000284</v>
      </c>
      <c r="HE10" s="210" t="str">
        <f>IFERROR(IF(OR(GY10="SUPPLEMENTARY",GY10="RE-EXAM"),'Supp. Result Entry'!AS9,""),"")</f>
        <v/>
      </c>
      <c r="HF10" s="613" t="str">
        <f t="shared" si="168"/>
        <v/>
      </c>
      <c r="HG10" s="598" t="str">
        <f t="shared" si="169"/>
        <v/>
      </c>
      <c r="HH10" s="598" t="str">
        <f>IF(AND(HE10="",HF10="",HG10=""),"",IF(OR(GY10="SUPPLEMENTARY",GY10="RE-EXAM"),'Supp. Result Entry'!AS9,GY10))</f>
        <v/>
      </c>
      <c r="HI10" s="180"/>
      <c r="HY10" s="212" t="str">
        <f>IF('Supp. Result Entry'!U9="","",'Supp. Result Entry'!$U$6)</f>
        <v/>
      </c>
      <c r="HZ10" s="213" t="str">
        <f>IF('Supp. Result Entry'!X9="","",'Supp. Result Entry'!$X$6)</f>
        <v/>
      </c>
      <c r="IA10" s="213" t="str">
        <f>IF('Supp. Result Entry'!AA9="","",'Supp. Result Entry'!$AA$6)</f>
        <v/>
      </c>
      <c r="IB10" s="213" t="str">
        <f>IF('Supp. Result Entry'!AD9="","",'Supp. Result Entry'!$AD$6)</f>
        <v/>
      </c>
      <c r="IC10" s="213" t="str">
        <f>IF('Supp. Result Entry'!AG9="","",'Supp. Result Entry'!$AG$6)</f>
        <v/>
      </c>
      <c r="ID10" s="213" t="str">
        <f>IF('Supp. Result Entry'!AJ9="","",'Supp. Result Entry'!$AJ$6)</f>
        <v/>
      </c>
      <c r="IE10" s="213" t="str">
        <f>IF('Supp. Result Entry'!V9="","",'Supp. Result Entry'!V9)</f>
        <v/>
      </c>
      <c r="IF10" s="213" t="str">
        <f>IF('Supp. Result Entry'!Y9="","",'Supp. Result Entry'!Y9)</f>
        <v/>
      </c>
      <c r="IG10" s="213" t="str">
        <f>IF('Supp. Result Entry'!AB9="","",'Supp. Result Entry'!AB9)</f>
        <v/>
      </c>
      <c r="IH10" s="213" t="str">
        <f>IF('Supp. Result Entry'!AE9="","",'Supp. Result Entry'!AE9)</f>
        <v/>
      </c>
      <c r="II10" s="213" t="str">
        <f>IF('Supp. Result Entry'!AH9="","",'Supp. Result Entry'!AH9)</f>
        <v/>
      </c>
      <c r="IJ10" s="213" t="str">
        <f>IF('Supp. Result Entry'!AK9="","",'Supp. Result Entry'!AK9)</f>
        <v/>
      </c>
      <c r="IK10" s="213" t="str">
        <f>IF('Supp. Result Entry'!W9="","",'Supp. Result Entry'!W9)</f>
        <v/>
      </c>
      <c r="IL10" s="213" t="str">
        <f>IF('Supp. Result Entry'!Z9="","",'Supp. Result Entry'!Z9)</f>
        <v/>
      </c>
      <c r="IM10" s="213" t="str">
        <f>IF('Supp. Result Entry'!AC9="","",'Supp. Result Entry'!AC9)</f>
        <v/>
      </c>
      <c r="IN10" s="213" t="str">
        <f>IF('Supp. Result Entry'!AF9="","",'Supp. Result Entry'!AF9)</f>
        <v/>
      </c>
      <c r="IO10" s="213" t="str">
        <f>IF('Supp. Result Entry'!AI9="","",'Supp. Result Entry'!AI9)</f>
        <v/>
      </c>
      <c r="IP10" s="213" t="str">
        <f>IF('Supp. Result Entry'!AL9="","",'Supp. Result Entry'!AL9)</f>
        <v/>
      </c>
      <c r="IQ10" s="213">
        <f>COUNTIF('Supp. Result Entry'!K9:Q9,"S")</f>
        <v>0</v>
      </c>
      <c r="IR10" s="213">
        <f t="shared" si="170"/>
        <v>0</v>
      </c>
      <c r="IS10" s="213">
        <f t="shared" si="171"/>
        <v>0</v>
      </c>
      <c r="IT10" s="213" t="str">
        <f t="shared" si="41"/>
        <v/>
      </c>
      <c r="IU10" s="213" t="str">
        <f t="shared" si="42"/>
        <v/>
      </c>
      <c r="IV10" s="213" t="str">
        <f t="shared" si="43"/>
        <v/>
      </c>
      <c r="IW10" s="213" t="str">
        <f t="shared" si="44"/>
        <v/>
      </c>
      <c r="IX10" s="213" t="str">
        <f t="shared" si="45"/>
        <v/>
      </c>
      <c r="IY10" s="213" t="str">
        <f t="shared" si="172"/>
        <v/>
      </c>
      <c r="IZ10" s="213" t="str">
        <f t="shared" si="173"/>
        <v/>
      </c>
      <c r="JA10" s="213" t="str">
        <f t="shared" si="46"/>
        <v/>
      </c>
      <c r="JB10" s="211" t="str">
        <f t="shared" si="174"/>
        <v/>
      </c>
    </row>
    <row r="11" spans="1:262" s="211" customFormat="1" ht="21" customHeight="1">
      <c r="A11" s="184">
        <v>4</v>
      </c>
      <c r="B11" s="185">
        <f>IF('Marks Entry'!B11="","",'Marks Entry'!B11)</f>
        <v>1104</v>
      </c>
      <c r="C11" s="186">
        <f>IF('Marks Entry'!D11="","",'Marks Entry'!D11)</f>
        <v>444</v>
      </c>
      <c r="D11" s="187">
        <f>IF('Marks Entry'!E11="","",'Marks Entry'!E11)</f>
        <v>38874</v>
      </c>
      <c r="E11" s="188" t="str">
        <f>IF('Marks Entry'!F11="","",'Marks Entry'!F11)</f>
        <v>D</v>
      </c>
      <c r="F11" s="188" t="str">
        <f>IF('Marks Entry'!G11="","",'Marks Entry'!G11)</f>
        <v>W</v>
      </c>
      <c r="G11" s="188" t="str">
        <f>IF('Marks Entry'!H11="","",'Marks Entry'!H11)</f>
        <v>P</v>
      </c>
      <c r="H11" s="189" t="str">
        <f>IF('Marks Entry'!I11="","",'Marks Entry'!I11)</f>
        <v>ST</v>
      </c>
      <c r="I11" s="190" t="str">
        <f>IF('Marks Entry'!J11="","",'Marks Entry'!J11)</f>
        <v>M</v>
      </c>
      <c r="J11" s="545">
        <f>IF('Marks Entry'!K11="","",'Marks Entry'!K11)</f>
        <v>5</v>
      </c>
      <c r="K11" s="545">
        <f>IF('Marks Entry'!L11="","",'Marks Entry'!L11)</f>
        <v>7</v>
      </c>
      <c r="L11" s="545">
        <f>IF('Marks Entry'!M11="","",'Marks Entry'!M11)</f>
        <v>8</v>
      </c>
      <c r="M11" s="546">
        <f t="shared" si="47"/>
        <v>20</v>
      </c>
      <c r="N11" s="545">
        <f>IF('Marks Entry'!N11="","",'Marks Entry'!N11)</f>
        <v>32</v>
      </c>
      <c r="O11" s="546">
        <f t="shared" si="48"/>
        <v>52</v>
      </c>
      <c r="P11" s="545">
        <f>IF('Marks Entry'!O11="","",'Marks Entry'!O11)</f>
        <v>54</v>
      </c>
      <c r="Q11" s="547">
        <f t="shared" si="49"/>
        <v>106</v>
      </c>
      <c r="R11" s="153">
        <f t="shared" si="50"/>
        <v>0</v>
      </c>
      <c r="S11" s="153">
        <f t="shared" si="51"/>
        <v>0</v>
      </c>
      <c r="T11" s="154">
        <f t="shared" si="52"/>
        <v>200</v>
      </c>
      <c r="U11" s="153" t="str">
        <f t="shared" si="53"/>
        <v/>
      </c>
      <c r="V11" s="153" t="str">
        <f t="shared" si="54"/>
        <v>P</v>
      </c>
      <c r="W11" s="153" t="str">
        <f t="shared" si="55"/>
        <v>II</v>
      </c>
      <c r="X11" s="545">
        <f>IF('Marks Entry'!P11="","",'Marks Entry'!P11)</f>
        <v>3</v>
      </c>
      <c r="Y11" s="545">
        <f>IF('Marks Entry'!Q11="","",'Marks Entry'!Q11)</f>
        <v>3</v>
      </c>
      <c r="Z11" s="545">
        <f>IF('Marks Entry'!R11="","",'Marks Entry'!R11)</f>
        <v>9</v>
      </c>
      <c r="AA11" s="546">
        <f t="shared" si="56"/>
        <v>15</v>
      </c>
      <c r="AB11" s="545">
        <f>IF('Marks Entry'!S11="","",'Marks Entry'!S11)</f>
        <v>48</v>
      </c>
      <c r="AC11" s="546">
        <f t="shared" si="57"/>
        <v>63</v>
      </c>
      <c r="AD11" s="545">
        <f>IF('Marks Entry'!T11="","",'Marks Entry'!T11)</f>
        <v>73</v>
      </c>
      <c r="AE11" s="547">
        <f t="shared" si="58"/>
        <v>136</v>
      </c>
      <c r="AF11" s="153">
        <f t="shared" si="59"/>
        <v>0</v>
      </c>
      <c r="AG11" s="153">
        <f t="shared" si="60"/>
        <v>0</v>
      </c>
      <c r="AH11" s="154">
        <f t="shared" si="61"/>
        <v>200</v>
      </c>
      <c r="AI11" s="153" t="str">
        <f t="shared" si="62"/>
        <v/>
      </c>
      <c r="AJ11" s="153" t="str">
        <f t="shared" si="63"/>
        <v>P</v>
      </c>
      <c r="AK11" s="153" t="str">
        <f t="shared" si="64"/>
        <v>I</v>
      </c>
      <c r="AL11" s="573" t="str">
        <f>IF('Marks Entry'!U11="","",'Marks Entry'!U11)</f>
        <v>B</v>
      </c>
      <c r="AM11" s="573">
        <f>IF('Marks Entry'!V11="","",'Marks Entry'!V11)</f>
        <v>8</v>
      </c>
      <c r="AN11" s="573">
        <f>IF('Marks Entry'!W11="","",'Marks Entry'!W11)</f>
        <v>9</v>
      </c>
      <c r="AO11" s="573">
        <f>IF('Marks Entry'!X11="","",'Marks Entry'!X11)</f>
        <v>7</v>
      </c>
      <c r="AP11" s="572">
        <f t="shared" si="65"/>
        <v>24</v>
      </c>
      <c r="AQ11" s="573">
        <f>IF('Marks Entry'!Y11="","",'Marks Entry'!Y11)</f>
        <v>28</v>
      </c>
      <c r="AR11" s="573">
        <f>IF('Marks Entry'!Z11="","",'Marks Entry'!Z11)</f>
        <v>10</v>
      </c>
      <c r="AS11" s="572">
        <f t="shared" si="66"/>
        <v>38</v>
      </c>
      <c r="AT11" s="572">
        <f t="shared" si="67"/>
        <v>62</v>
      </c>
      <c r="AU11" s="573">
        <f>IF('Marks Entry'!AA11="","",'Marks Entry'!AA11)</f>
        <v>47</v>
      </c>
      <c r="AV11" s="573">
        <f>IF('Marks Entry'!AB11="","",'Marks Entry'!AB11)</f>
        <v>19</v>
      </c>
      <c r="AW11" s="572">
        <f t="shared" si="68"/>
        <v>66</v>
      </c>
      <c r="AX11" s="157">
        <f t="shared" si="69"/>
        <v>99</v>
      </c>
      <c r="AY11" s="157">
        <f t="shared" si="70"/>
        <v>29</v>
      </c>
      <c r="AZ11" s="192">
        <f t="shared" si="71"/>
        <v>128</v>
      </c>
      <c r="BA11" s="153">
        <f t="shared" si="72"/>
        <v>0</v>
      </c>
      <c r="BB11" s="154">
        <f t="shared" si="73"/>
        <v>0</v>
      </c>
      <c r="BC11" s="154">
        <f t="shared" si="74"/>
        <v>70</v>
      </c>
      <c r="BD11" s="154">
        <f t="shared" si="75"/>
        <v>50</v>
      </c>
      <c r="BE11" s="154">
        <f t="shared" si="76"/>
        <v>150</v>
      </c>
      <c r="BF11" s="153" t="str">
        <f t="shared" si="77"/>
        <v/>
      </c>
      <c r="BG11" s="154" t="str">
        <f t="shared" si="175"/>
        <v>P</v>
      </c>
      <c r="BH11" s="153" t="str">
        <f t="shared" si="78"/>
        <v>I</v>
      </c>
      <c r="BI11" s="580" t="str">
        <f>IF('Marks Entry'!AC11="","",'Marks Entry'!AC11)</f>
        <v>A</v>
      </c>
      <c r="BJ11" s="580">
        <f>IF('Marks Entry'!AD11="","",'Marks Entry'!AD11)</f>
        <v>5</v>
      </c>
      <c r="BK11" s="580">
        <f>IF('Marks Entry'!AE11="","",'Marks Entry'!AE11)</f>
        <v>5</v>
      </c>
      <c r="BL11" s="580">
        <f>IF('Marks Entry'!AF11="","",'Marks Entry'!AF11)</f>
        <v>7</v>
      </c>
      <c r="BM11" s="581">
        <f t="shared" si="79"/>
        <v>17</v>
      </c>
      <c r="BN11" s="580">
        <f>IF('Marks Entry'!AG11="","",'Marks Entry'!AG11)</f>
        <v>32</v>
      </c>
      <c r="BO11" s="580" t="str">
        <f>IF('Marks Entry'!AH11="","",'Marks Entry'!AH11)</f>
        <v/>
      </c>
      <c r="BP11" s="581">
        <f t="shared" si="80"/>
        <v>32</v>
      </c>
      <c r="BQ11" s="581">
        <f t="shared" si="81"/>
        <v>49</v>
      </c>
      <c r="BR11" s="580">
        <f>IF('Marks Entry'!AI11="","",'Marks Entry'!AI11)</f>
        <v>56</v>
      </c>
      <c r="BS11" s="580" t="str">
        <f>IF('Marks Entry'!AJ11="","",'Marks Entry'!AJ11)</f>
        <v/>
      </c>
      <c r="BT11" s="581">
        <f t="shared" si="82"/>
        <v>56</v>
      </c>
      <c r="BU11" s="157">
        <f t="shared" si="83"/>
        <v>105</v>
      </c>
      <c r="BV11" s="157" t="str">
        <f t="shared" si="84"/>
        <v/>
      </c>
      <c r="BW11" s="192">
        <f t="shared" si="85"/>
        <v>105</v>
      </c>
      <c r="BX11" s="153">
        <f t="shared" si="86"/>
        <v>0</v>
      </c>
      <c r="BY11" s="154">
        <f t="shared" si="87"/>
        <v>0</v>
      </c>
      <c r="BZ11" s="154">
        <f t="shared" si="88"/>
        <v>100</v>
      </c>
      <c r="CA11" s="154" t="str">
        <f t="shared" si="89"/>
        <v/>
      </c>
      <c r="CB11" s="154">
        <f t="shared" si="90"/>
        <v>200</v>
      </c>
      <c r="CC11" s="153" t="str">
        <f t="shared" si="91"/>
        <v/>
      </c>
      <c r="CD11" s="154" t="str">
        <f>IF(OR($B11="NSO",$B11=0,BR11="",BT11="",BW11=""),"",IF(OR(BR11="AB",BS11="AB",CC11="AB"),"AB",IF(OR(BR11="ML",BT11="ML"),"RE",IF(BS11="MLP","REP",IF(BS11&lt;33%*$AV$6,"FP",IF(BO11&lt;33%*$AR$6,"FP",IF(AND(BU11&gt;=36%*CB11,SUM(BR11)&gt;=20%*BZ11,BV11&gt;=SUM(CA11)*36%),"P",IF(AND(BU11&gt;=34%*CB11,BY11=0,SUM(BR11)&gt;=20%*BZ11,BV11&gt;=SUM(CA11)*36%),"G2",IF(AND(BU11&gt;=31%*CB11,BY11=0,SUM(BR11)&gt;=20%*BZ11,BV11&gt;=SUM(CA11)*36%),"G1",IF(AND(BU11&gt;=25%*CB11,SUM(BR11)&gt;=20%*BZ11),"S","F"))))))))))</f>
        <v>P</v>
      </c>
      <c r="CE11" s="153" t="str">
        <f t="shared" si="93"/>
        <v>II</v>
      </c>
      <c r="CF11" s="580" t="str">
        <f>IF('Marks Entry'!AK11="","",'Marks Entry'!AK11)</f>
        <v>A</v>
      </c>
      <c r="CG11" s="580">
        <f>IF('Marks Entry'!AL11="","",'Marks Entry'!AL11)</f>
        <v>3</v>
      </c>
      <c r="CH11" s="580">
        <f>IF('Marks Entry'!AM11="","",'Marks Entry'!AM11)</f>
        <v>7</v>
      </c>
      <c r="CI11" s="580">
        <f>IF('Marks Entry'!AN11="","",'Marks Entry'!AN11)</f>
        <v>9</v>
      </c>
      <c r="CJ11" s="581">
        <f t="shared" si="94"/>
        <v>19</v>
      </c>
      <c r="CK11" s="580">
        <f>IF('Marks Entry'!AO11="","",'Marks Entry'!AO11)</f>
        <v>45</v>
      </c>
      <c r="CL11" s="580">
        <f>IF('Marks Entry'!AP11="","",'Marks Entry'!AP11)</f>
        <v>15</v>
      </c>
      <c r="CM11" s="581">
        <f t="shared" si="95"/>
        <v>60</v>
      </c>
      <c r="CN11" s="581">
        <f t="shared" si="96"/>
        <v>79</v>
      </c>
      <c r="CO11" s="580">
        <f>IF('Marks Entry'!AQ11="","",'Marks Entry'!AQ11)</f>
        <v>65</v>
      </c>
      <c r="CP11" s="580">
        <f>IF('Marks Entry'!AR11="","",'Marks Entry'!AR11)</f>
        <v>28</v>
      </c>
      <c r="CQ11" s="581">
        <f t="shared" si="97"/>
        <v>93</v>
      </c>
      <c r="CR11" s="157">
        <f t="shared" si="98"/>
        <v>129</v>
      </c>
      <c r="CS11" s="157">
        <f t="shared" si="99"/>
        <v>43</v>
      </c>
      <c r="CT11" s="192">
        <f t="shared" si="100"/>
        <v>172</v>
      </c>
      <c r="CU11" s="153">
        <f t="shared" si="101"/>
        <v>0</v>
      </c>
      <c r="CV11" s="154">
        <f t="shared" si="102"/>
        <v>0</v>
      </c>
      <c r="CW11" s="154">
        <f t="shared" si="103"/>
        <v>70</v>
      </c>
      <c r="CX11" s="154">
        <f t="shared" si="104"/>
        <v>50</v>
      </c>
      <c r="CY11" s="154">
        <f t="shared" si="176"/>
        <v>150</v>
      </c>
      <c r="CZ11" s="153" t="str">
        <f t="shared" si="105"/>
        <v/>
      </c>
      <c r="DA11" s="154" t="str">
        <f t="shared" si="106"/>
        <v>P</v>
      </c>
      <c r="DB11" s="153" t="str">
        <f t="shared" si="107"/>
        <v>D</v>
      </c>
      <c r="DC11" s="154">
        <f t="shared" si="108"/>
        <v>0</v>
      </c>
      <c r="DD11" s="826" t="str">
        <f>IF('Marks Entry'!AS11="","",IF(OR('Master Sheet'!$D$19="YES",'Marks Entry'!$BA$1=1),'Marks Entry'!AS11,""))</f>
        <v/>
      </c>
      <c r="DE11" s="826" t="str">
        <f>IF('Marks Entry'!AT11="","",IF(OR('Master Sheet'!$D$19="YES",'Marks Entry'!$BA$1=1),'Marks Entry'!AT11,""))</f>
        <v/>
      </c>
      <c r="DF11" s="826" t="str">
        <f>IF('Marks Entry'!AU11="","",IF(OR('Master Sheet'!$D$19="YES",'Marks Entry'!$BA$1=1),'Marks Entry'!AU11,""))</f>
        <v/>
      </c>
      <c r="DG11" s="826" t="str">
        <f>IF('Marks Entry'!AV11="","",IF(OR('Master Sheet'!$D$19="YES",'Marks Entry'!$BA$1=1),'Marks Entry'!AV11,""))</f>
        <v/>
      </c>
      <c r="DH11" s="827" t="str">
        <f t="shared" si="109"/>
        <v/>
      </c>
      <c r="DI11" s="826" t="str">
        <f>IF('Marks Entry'!AW11="","",IF(OR('Master Sheet'!$D$19="YES",'Marks Entry'!$BA$1=1),'Marks Entry'!AW11,""))</f>
        <v/>
      </c>
      <c r="DJ11" s="826" t="str">
        <f>IF('Marks Entry'!AX11="","",IF(OR('Master Sheet'!$D$19="YES",'Marks Entry'!$BA$1=1),'Marks Entry'!AX11,""))</f>
        <v/>
      </c>
      <c r="DK11" s="827" t="str">
        <f t="shared" si="110"/>
        <v/>
      </c>
      <c r="DL11" s="827" t="str">
        <f t="shared" si="111"/>
        <v/>
      </c>
      <c r="DM11" s="826" t="str">
        <f>IF('Marks Entry'!AY11="","",IF(OR('Master Sheet'!$D$19="YES",'Marks Entry'!$BA$1=1),'Marks Entry'!AY11,""))</f>
        <v/>
      </c>
      <c r="DN11" s="826" t="str">
        <f>IF('Marks Entry'!AZ11="","",IF(OR('Master Sheet'!$D$19="YES",'Marks Entry'!$BA$1=1),'Marks Entry'!AZ11,""))</f>
        <v/>
      </c>
      <c r="DO11" s="826" t="str">
        <f>IF('Marks Entry'!BA11="","",IF(OR('Master Sheet'!$D$19="YES",'Marks Entry'!$BA$1=1),'Marks Entry'!BA11,""))</f>
        <v/>
      </c>
      <c r="DP11" s="827" t="str">
        <f t="shared" si="112"/>
        <v/>
      </c>
      <c r="DQ11" s="157" t="str">
        <f t="shared" si="113"/>
        <v/>
      </c>
      <c r="DR11" s="157" t="str">
        <f t="shared" si="114"/>
        <v/>
      </c>
      <c r="DS11" s="157" t="str">
        <f t="shared" si="115"/>
        <v/>
      </c>
      <c r="DT11" s="192" t="str">
        <f t="shared" si="116"/>
        <v/>
      </c>
      <c r="DU11" s="153">
        <f t="shared" si="117"/>
        <v>0</v>
      </c>
      <c r="DV11" s="154" t="e">
        <f t="shared" si="118"/>
        <v>#VALUE!</v>
      </c>
      <c r="DW11" s="154" t="str">
        <f t="shared" si="119"/>
        <v/>
      </c>
      <c r="DX11" s="154" t="str">
        <f>IF(OR($B11="NSO",$B11=0,DS11=""),"",IF(AND(DJ11="",DO11=""),"",IF('Master Sheet'!$D$19="YES",$DO$6-COUNTIF(DO11,"ML")*DO$6,DS$6-(COUNTIF(DJ11,"ML")*DJ$6)-(COUNTIF(DO11,"ML")*DO$6))))</f>
        <v/>
      </c>
      <c r="DY11" s="154" t="str">
        <f>IF(OR($B11="NSO",$B11=0),"",IF(AND(DH11="",DI11="",DM11=""),"",IF(AND('Master Sheet'!$D$19="YES",'Marks Entry'!$BA$1=1),100,IF(AND(DJ11="",DO11=""),SUM(($DQ$7+$DR$7)-(DU11+DV11)),SUM(($DQ$6+$DR$6)-(DU11+DV11))))))</f>
        <v/>
      </c>
      <c r="DZ11" s="153" t="str">
        <f t="shared" si="120"/>
        <v/>
      </c>
      <c r="EA11" s="154" t="str">
        <f t="shared" si="121"/>
        <v/>
      </c>
      <c r="EB11" s="153" t="str">
        <f t="shared" si="122"/>
        <v/>
      </c>
      <c r="EC11" s="584">
        <f>IF('Marks Entry'!BB11="","",'Marks Entry'!BB11)</f>
        <v>25</v>
      </c>
      <c r="ED11" s="584">
        <f>IF('Marks Entry'!BC11="","",'Marks Entry'!BC11)</f>
        <v>25</v>
      </c>
      <c r="EE11" s="584">
        <f>IF('Marks Entry'!BD11="","",'Marks Entry'!BD11)</f>
        <v>31</v>
      </c>
      <c r="EF11" s="590">
        <f t="shared" si="123"/>
        <v>81</v>
      </c>
      <c r="EG11" s="595">
        <f t="shared" si="124"/>
        <v>0</v>
      </c>
      <c r="EH11" s="595">
        <f t="shared" si="125"/>
        <v>0</v>
      </c>
      <c r="EI11" s="193">
        <f t="shared" si="126"/>
        <v>100</v>
      </c>
      <c r="EJ11" s="595" t="str">
        <f t="shared" si="127"/>
        <v/>
      </c>
      <c r="EK11" s="595" t="str">
        <f t="shared" si="128"/>
        <v>A</v>
      </c>
      <c r="EL11" s="194" t="str">
        <f t="shared" si="129"/>
        <v>II</v>
      </c>
      <c r="EM11" s="194" t="str">
        <f t="shared" si="130"/>
        <v>I</v>
      </c>
      <c r="EN11" s="194" t="str">
        <f t="shared" si="131"/>
        <v>I</v>
      </c>
      <c r="EO11" s="194" t="str">
        <f t="shared" si="132"/>
        <v>II</v>
      </c>
      <c r="EP11" s="194" t="str">
        <f t="shared" si="133"/>
        <v>D</v>
      </c>
      <c r="EQ11" s="194" t="str">
        <f t="shared" si="134"/>
        <v/>
      </c>
      <c r="ER11" s="195">
        <f t="shared" si="135"/>
        <v>0</v>
      </c>
      <c r="ES11" s="195">
        <f t="shared" si="136"/>
        <v>0</v>
      </c>
      <c r="ET11" s="195">
        <f t="shared" si="137"/>
        <v>0</v>
      </c>
      <c r="EU11" s="195">
        <f t="shared" si="138"/>
        <v>0</v>
      </c>
      <c r="EV11" s="195">
        <f t="shared" si="139"/>
        <v>0</v>
      </c>
      <c r="EW11" s="195" t="str">
        <f t="shared" si="140"/>
        <v/>
      </c>
      <c r="EX11" s="196" t="str">
        <f t="shared" si="141"/>
        <v>PASS</v>
      </c>
      <c r="EY11" s="197">
        <f>IF('Marks Entry'!BE11="","",'Marks Entry'!BE11)</f>
        <v>8</v>
      </c>
      <c r="EZ11" s="197">
        <f>IF('Marks Entry'!BF11="","",'Marks Entry'!BF11)</f>
        <v>8</v>
      </c>
      <c r="FA11" s="197">
        <f>IF('Marks Entry'!BG11="","",'Marks Entry'!BG11)</f>
        <v>8</v>
      </c>
      <c r="FB11" s="596">
        <f t="shared" si="142"/>
        <v>24</v>
      </c>
      <c r="FC11" s="197">
        <f>IF('Marks Entry'!BH11="","",'Marks Entry'!BH11)</f>
        <v>50</v>
      </c>
      <c r="FD11" s="197">
        <f>IF('Marks Entry'!BI11="","",'Marks Entry'!BI11)</f>
        <v>80</v>
      </c>
      <c r="FE11" s="198">
        <f t="shared" si="143"/>
        <v>154</v>
      </c>
      <c r="FF11" s="199" t="str">
        <f t="shared" si="144"/>
        <v>B</v>
      </c>
      <c r="FG11" s="200">
        <f>IF(AND(E11=""),"",IF('Student DATA Entry'!L7="","",'Student DATA Entry'!L7))</f>
        <v>340</v>
      </c>
      <c r="FH11" s="201">
        <f>IF(AND(E11=""),"",IF('Student DATA Entry'!M7="","",'Student DATA Entry'!M7))</f>
        <v>330</v>
      </c>
      <c r="FI11" s="202">
        <f t="shared" si="145"/>
        <v>97.058823529411768</v>
      </c>
      <c r="FJ11" s="189" t="str">
        <f t="shared" si="146"/>
        <v>II</v>
      </c>
      <c r="FK11" s="189" t="str">
        <f t="shared" si="147"/>
        <v/>
      </c>
      <c r="FL11" s="203" t="str">
        <f t="shared" si="19"/>
        <v/>
      </c>
      <c r="FM11" s="189" t="str">
        <f t="shared" si="148"/>
        <v>I</v>
      </c>
      <c r="FN11" s="204" t="str">
        <f t="shared" si="149"/>
        <v/>
      </c>
      <c r="FO11" s="203" t="str">
        <f t="shared" si="20"/>
        <v/>
      </c>
      <c r="FP11" s="205" t="str">
        <f t="shared" si="150"/>
        <v>I</v>
      </c>
      <c r="FQ11" s="189" t="str">
        <f t="shared" si="21"/>
        <v/>
      </c>
      <c r="FR11" s="189" t="str">
        <f t="shared" si="22"/>
        <v>I</v>
      </c>
      <c r="FS11" s="189" t="str">
        <f t="shared" si="23"/>
        <v/>
      </c>
      <c r="FT11" s="189" t="str">
        <f t="shared" si="24"/>
        <v/>
      </c>
      <c r="FU11" s="189" t="str">
        <f t="shared" si="151"/>
        <v/>
      </c>
      <c r="FV11" s="206" t="str">
        <f t="shared" si="25"/>
        <v/>
      </c>
      <c r="FW11" s="205" t="str">
        <f t="shared" si="152"/>
        <v>II</v>
      </c>
      <c r="FX11" s="189" t="str">
        <f t="shared" si="26"/>
        <v>II</v>
      </c>
      <c r="FY11" s="189" t="str">
        <f t="shared" si="27"/>
        <v/>
      </c>
      <c r="FZ11" s="189" t="str">
        <f t="shared" si="28"/>
        <v/>
      </c>
      <c r="GA11" s="189" t="str">
        <f t="shared" si="29"/>
        <v/>
      </c>
      <c r="GB11" s="189" t="str">
        <f t="shared" si="153"/>
        <v/>
      </c>
      <c r="GC11" s="206" t="str">
        <f t="shared" si="30"/>
        <v/>
      </c>
      <c r="GD11" s="205" t="str">
        <f t="shared" si="154"/>
        <v>D</v>
      </c>
      <c r="GE11" s="189" t="str">
        <f t="shared" si="31"/>
        <v>D</v>
      </c>
      <c r="GF11" s="189" t="str">
        <f t="shared" si="32"/>
        <v/>
      </c>
      <c r="GG11" s="189" t="str">
        <f t="shared" si="33"/>
        <v/>
      </c>
      <c r="GH11" s="189" t="str">
        <f t="shared" si="34"/>
        <v/>
      </c>
      <c r="GI11" s="189" t="str">
        <f t="shared" si="155"/>
        <v/>
      </c>
      <c r="GJ11" s="206" t="str">
        <f t="shared" si="35"/>
        <v/>
      </c>
      <c r="GK11" s="205" t="str">
        <f t="shared" si="156"/>
        <v/>
      </c>
      <c r="GL11" s="189" t="str">
        <f t="shared" si="36"/>
        <v/>
      </c>
      <c r="GM11" s="189" t="str">
        <f t="shared" si="37"/>
        <v/>
      </c>
      <c r="GN11" s="189" t="str">
        <f t="shared" si="38"/>
        <v/>
      </c>
      <c r="GO11" s="189" t="str">
        <f t="shared" si="39"/>
        <v/>
      </c>
      <c r="GP11" s="189" t="str">
        <f t="shared" si="157"/>
        <v/>
      </c>
      <c r="GQ11" s="206" t="str">
        <f t="shared" si="40"/>
        <v/>
      </c>
      <c r="GR11" s="189" t="str">
        <f t="shared" si="158"/>
        <v>A</v>
      </c>
      <c r="GS11" s="189" t="str">
        <f t="shared" si="159"/>
        <v>B</v>
      </c>
      <c r="GT11" s="207" t="str">
        <f t="shared" si="177"/>
        <v xml:space="preserve">    </v>
      </c>
      <c r="GU11" s="207" t="str">
        <f t="shared" si="160"/>
        <v xml:space="preserve">    </v>
      </c>
      <c r="GV11" s="207" t="str">
        <f t="shared" si="161"/>
        <v xml:space="preserve">    </v>
      </c>
      <c r="GW11" s="207" t="str">
        <f t="shared" si="162"/>
        <v xml:space="preserve">       </v>
      </c>
      <c r="GX11" s="598" t="str">
        <f t="shared" si="163"/>
        <v xml:space="preserve">    GEOGRAPHY </v>
      </c>
      <c r="GY11" s="208" t="str">
        <f t="shared" si="164"/>
        <v>PASS</v>
      </c>
      <c r="GZ11" s="606">
        <f>IF(AND(Q11="",AE11="",AZ11="",BW11="",CT11=""),"",IF(AND('Master Sheet'!$D$19="YES",'Marks Entry'!$BA$1=1),SUM(Q11,AE11,AZ11,BW11,DT11),SUM(Q11,AE11,AZ11,BW11,CT11)))</f>
        <v>647</v>
      </c>
      <c r="HA11" s="209">
        <f>IF(GZ11="","",IF(AND('Master Sheet'!$D$19="YES",'Marks Entry'!$BA$1=1),GZ11/((900)-DC11)*100,GZ11/((1000)-DC11)*100))</f>
        <v>64.7</v>
      </c>
      <c r="HB11" s="611" t="str">
        <f t="shared" si="165"/>
        <v>I</v>
      </c>
      <c r="HC11" s="609">
        <f t="shared" si="166"/>
        <v>64.7</v>
      </c>
      <c r="HD11" s="610">
        <f t="shared" si="167"/>
        <v>3.0000000000000284</v>
      </c>
      <c r="HE11" s="210" t="str">
        <f>IFERROR(IF(OR(GY11="SUPPLEMENTARY",GY11="RE-EXAM"),'Supp. Result Entry'!AS10,""),"")</f>
        <v/>
      </c>
      <c r="HF11" s="613" t="str">
        <f t="shared" si="168"/>
        <v/>
      </c>
      <c r="HG11" s="598" t="str">
        <f t="shared" si="169"/>
        <v/>
      </c>
      <c r="HH11" s="598" t="str">
        <f>IF(AND(HE11="",HF11="",HG11=""),"",IF(OR(GY11="SUPPLEMENTARY",GY11="RE-EXAM"),'Supp. Result Entry'!AS10,GY11))</f>
        <v/>
      </c>
      <c r="HI11" s="180"/>
      <c r="HY11" s="212" t="str">
        <f>IF('Supp. Result Entry'!U10="","",'Supp. Result Entry'!$U$6)</f>
        <v/>
      </c>
      <c r="HZ11" s="213" t="str">
        <f>IF('Supp. Result Entry'!X10="","",'Supp. Result Entry'!$X$6)</f>
        <v/>
      </c>
      <c r="IA11" s="213" t="str">
        <f>IF('Supp. Result Entry'!AA10="","",'Supp. Result Entry'!$AA$6)</f>
        <v/>
      </c>
      <c r="IB11" s="213" t="str">
        <f>IF('Supp. Result Entry'!AD10="","",'Supp. Result Entry'!$AD$6)</f>
        <v/>
      </c>
      <c r="IC11" s="213" t="str">
        <f>IF('Supp. Result Entry'!AG10="","",'Supp. Result Entry'!$AG$6)</f>
        <v/>
      </c>
      <c r="ID11" s="213" t="str">
        <f>IF('Supp. Result Entry'!AJ10="","",'Supp. Result Entry'!$AJ$6)</f>
        <v/>
      </c>
      <c r="IE11" s="213" t="str">
        <f>IF('Supp. Result Entry'!V10="","",'Supp. Result Entry'!V10)</f>
        <v/>
      </c>
      <c r="IF11" s="213" t="str">
        <f>IF('Supp. Result Entry'!Y10="","",'Supp. Result Entry'!Y10)</f>
        <v/>
      </c>
      <c r="IG11" s="213" t="str">
        <f>IF('Supp. Result Entry'!AB10="","",'Supp. Result Entry'!AB10)</f>
        <v/>
      </c>
      <c r="IH11" s="213" t="str">
        <f>IF('Supp. Result Entry'!AE10="","",'Supp. Result Entry'!AE10)</f>
        <v/>
      </c>
      <c r="II11" s="213" t="str">
        <f>IF('Supp. Result Entry'!AH10="","",'Supp. Result Entry'!AH10)</f>
        <v/>
      </c>
      <c r="IJ11" s="213" t="str">
        <f>IF('Supp. Result Entry'!AK10="","",'Supp. Result Entry'!AK10)</f>
        <v/>
      </c>
      <c r="IK11" s="213" t="str">
        <f>IF('Supp. Result Entry'!W10="","",'Supp. Result Entry'!W10)</f>
        <v/>
      </c>
      <c r="IL11" s="213" t="str">
        <f>IF('Supp. Result Entry'!Z10="","",'Supp. Result Entry'!Z10)</f>
        <v/>
      </c>
      <c r="IM11" s="213" t="str">
        <f>IF('Supp. Result Entry'!AC10="","",'Supp. Result Entry'!AC10)</f>
        <v/>
      </c>
      <c r="IN11" s="213" t="str">
        <f>IF('Supp. Result Entry'!AF10="","",'Supp. Result Entry'!AF10)</f>
        <v/>
      </c>
      <c r="IO11" s="213" t="str">
        <f>IF('Supp. Result Entry'!AI10="","",'Supp. Result Entry'!AI10)</f>
        <v/>
      </c>
      <c r="IP11" s="213" t="str">
        <f>IF('Supp. Result Entry'!AL10="","",'Supp. Result Entry'!AL10)</f>
        <v/>
      </c>
      <c r="IQ11" s="213">
        <f>COUNTIF('Supp. Result Entry'!K10:Q10,"S")</f>
        <v>0</v>
      </c>
      <c r="IR11" s="213">
        <f t="shared" si="170"/>
        <v>0</v>
      </c>
      <c r="IS11" s="213">
        <f t="shared" si="171"/>
        <v>0</v>
      </c>
      <c r="IT11" s="213" t="str">
        <f t="shared" si="41"/>
        <v/>
      </c>
      <c r="IU11" s="213" t="str">
        <f t="shared" si="42"/>
        <v/>
      </c>
      <c r="IV11" s="213" t="str">
        <f t="shared" si="43"/>
        <v/>
      </c>
      <c r="IW11" s="213" t="str">
        <f t="shared" si="44"/>
        <v/>
      </c>
      <c r="IX11" s="213" t="str">
        <f t="shared" si="45"/>
        <v/>
      </c>
      <c r="IY11" s="213" t="str">
        <f t="shared" si="172"/>
        <v/>
      </c>
      <c r="IZ11" s="213" t="str">
        <f t="shared" si="173"/>
        <v/>
      </c>
      <c r="JA11" s="213" t="str">
        <f t="shared" si="46"/>
        <v/>
      </c>
      <c r="JB11" s="211" t="str">
        <f t="shared" si="174"/>
        <v/>
      </c>
    </row>
    <row r="12" spans="1:262" s="211" customFormat="1" ht="21" customHeight="1">
      <c r="A12" s="184">
        <v>5</v>
      </c>
      <c r="B12" s="185">
        <f>IF('Marks Entry'!B12="","",'Marks Entry'!B12)</f>
        <v>1105</v>
      </c>
      <c r="C12" s="186">
        <f>IF('Marks Entry'!D12="","",'Marks Entry'!D12)</f>
        <v>333</v>
      </c>
      <c r="D12" s="187">
        <f>IF('Marks Entry'!E12="","",'Marks Entry'!E12)</f>
        <v>39270</v>
      </c>
      <c r="E12" s="188" t="str">
        <f>IF('Marks Entry'!F12="","",'Marks Entry'!F12)</f>
        <v>E</v>
      </c>
      <c r="F12" s="188" t="str">
        <f>IF('Marks Entry'!G12="","",'Marks Entry'!G12)</f>
        <v>V</v>
      </c>
      <c r="G12" s="188" t="str">
        <f>IF('Marks Entry'!H12="","",'Marks Entry'!H12)</f>
        <v>Q</v>
      </c>
      <c r="H12" s="189" t="str">
        <f>IF('Marks Entry'!I12="","",'Marks Entry'!I12)</f>
        <v>SBC</v>
      </c>
      <c r="I12" s="190" t="str">
        <f>IF('Marks Entry'!J12="","",'Marks Entry'!J12)</f>
        <v>F</v>
      </c>
      <c r="J12" s="545">
        <f>IF('Marks Entry'!K12="","",'Marks Entry'!K12)</f>
        <v>7</v>
      </c>
      <c r="K12" s="545">
        <f>IF('Marks Entry'!L12="","",'Marks Entry'!L12)</f>
        <v>9</v>
      </c>
      <c r="L12" s="545">
        <f>IF('Marks Entry'!M12="","",'Marks Entry'!M12)</f>
        <v>8</v>
      </c>
      <c r="M12" s="546">
        <f t="shared" si="47"/>
        <v>24</v>
      </c>
      <c r="N12" s="545">
        <f>IF('Marks Entry'!N12="","",'Marks Entry'!N12)</f>
        <v>36</v>
      </c>
      <c r="O12" s="546">
        <f t="shared" si="48"/>
        <v>60</v>
      </c>
      <c r="P12" s="545">
        <f>IF('Marks Entry'!O12="","",'Marks Entry'!O12)</f>
        <v>63</v>
      </c>
      <c r="Q12" s="547">
        <f t="shared" si="49"/>
        <v>123</v>
      </c>
      <c r="R12" s="153">
        <f t="shared" si="50"/>
        <v>0</v>
      </c>
      <c r="S12" s="153">
        <f t="shared" si="51"/>
        <v>0</v>
      </c>
      <c r="T12" s="154">
        <f t="shared" si="52"/>
        <v>200</v>
      </c>
      <c r="U12" s="153" t="str">
        <f t="shared" si="53"/>
        <v/>
      </c>
      <c r="V12" s="153" t="str">
        <f t="shared" si="54"/>
        <v>P</v>
      </c>
      <c r="W12" s="153" t="str">
        <f t="shared" si="55"/>
        <v>I</v>
      </c>
      <c r="X12" s="545">
        <f>IF('Marks Entry'!P12="","",'Marks Entry'!P12)</f>
        <v>9</v>
      </c>
      <c r="Y12" s="545">
        <f>IF('Marks Entry'!Q12="","",'Marks Entry'!Q12)</f>
        <v>5</v>
      </c>
      <c r="Z12" s="545">
        <f>IF('Marks Entry'!R12="","",'Marks Entry'!R12)</f>
        <v>9</v>
      </c>
      <c r="AA12" s="546">
        <f t="shared" si="56"/>
        <v>23</v>
      </c>
      <c r="AB12" s="545">
        <f>IF('Marks Entry'!S12="","",'Marks Entry'!S12)</f>
        <v>47</v>
      </c>
      <c r="AC12" s="546">
        <f t="shared" si="57"/>
        <v>70</v>
      </c>
      <c r="AD12" s="545">
        <f>IF('Marks Entry'!T12="","",'Marks Entry'!T12)</f>
        <v>63</v>
      </c>
      <c r="AE12" s="547">
        <f t="shared" si="58"/>
        <v>133</v>
      </c>
      <c r="AF12" s="153">
        <f t="shared" si="59"/>
        <v>0</v>
      </c>
      <c r="AG12" s="153">
        <f t="shared" si="60"/>
        <v>0</v>
      </c>
      <c r="AH12" s="154">
        <f t="shared" si="61"/>
        <v>200</v>
      </c>
      <c r="AI12" s="153" t="str">
        <f t="shared" si="62"/>
        <v/>
      </c>
      <c r="AJ12" s="153" t="str">
        <f t="shared" si="63"/>
        <v>P</v>
      </c>
      <c r="AK12" s="153" t="str">
        <f t="shared" si="64"/>
        <v>I</v>
      </c>
      <c r="AL12" s="573" t="str">
        <f>IF('Marks Entry'!U12="","",'Marks Entry'!U12)</f>
        <v>B</v>
      </c>
      <c r="AM12" s="573">
        <f>IF('Marks Entry'!V12="","",'Marks Entry'!V12)</f>
        <v>7</v>
      </c>
      <c r="AN12" s="573">
        <f>IF('Marks Entry'!W12="","",'Marks Entry'!W12)</f>
        <v>9</v>
      </c>
      <c r="AO12" s="573">
        <f>IF('Marks Entry'!X12="","",'Marks Entry'!X12)</f>
        <v>7</v>
      </c>
      <c r="AP12" s="572">
        <f t="shared" si="65"/>
        <v>23</v>
      </c>
      <c r="AQ12" s="573">
        <f>IF('Marks Entry'!Y12="","",'Marks Entry'!Y12)</f>
        <v>22</v>
      </c>
      <c r="AR12" s="573">
        <f>IF('Marks Entry'!Z12="","",'Marks Entry'!Z12)</f>
        <v>9</v>
      </c>
      <c r="AS12" s="572">
        <f t="shared" si="66"/>
        <v>31</v>
      </c>
      <c r="AT12" s="572">
        <f t="shared" si="67"/>
        <v>54</v>
      </c>
      <c r="AU12" s="573">
        <f>IF('Marks Entry'!AA12="","",'Marks Entry'!AA12)</f>
        <v>56</v>
      </c>
      <c r="AV12" s="573">
        <f>IF('Marks Entry'!AB12="","",'Marks Entry'!AB12)</f>
        <v>18</v>
      </c>
      <c r="AW12" s="572">
        <f t="shared" si="68"/>
        <v>74</v>
      </c>
      <c r="AX12" s="157">
        <f t="shared" si="69"/>
        <v>101</v>
      </c>
      <c r="AY12" s="157">
        <f t="shared" si="70"/>
        <v>27</v>
      </c>
      <c r="AZ12" s="192">
        <f t="shared" si="71"/>
        <v>128</v>
      </c>
      <c r="BA12" s="153">
        <f t="shared" si="72"/>
        <v>0</v>
      </c>
      <c r="BB12" s="154">
        <f t="shared" si="73"/>
        <v>0</v>
      </c>
      <c r="BC12" s="154">
        <f t="shared" si="74"/>
        <v>70</v>
      </c>
      <c r="BD12" s="154">
        <f t="shared" si="75"/>
        <v>50</v>
      </c>
      <c r="BE12" s="154">
        <f t="shared" si="76"/>
        <v>150</v>
      </c>
      <c r="BF12" s="153" t="str">
        <f t="shared" si="77"/>
        <v/>
      </c>
      <c r="BG12" s="154" t="str">
        <f t="shared" si="175"/>
        <v>P</v>
      </c>
      <c r="BH12" s="153" t="str">
        <f t="shared" si="78"/>
        <v>I</v>
      </c>
      <c r="BI12" s="580" t="str">
        <f>IF('Marks Entry'!AC12="","",'Marks Entry'!AC12)</f>
        <v>B</v>
      </c>
      <c r="BJ12" s="580">
        <f>IF('Marks Entry'!AD12="","",'Marks Entry'!AD12)</f>
        <v>7</v>
      </c>
      <c r="BK12" s="580">
        <f>IF('Marks Entry'!AE12="","",'Marks Entry'!AE12)</f>
        <v>9</v>
      </c>
      <c r="BL12" s="580">
        <f>IF('Marks Entry'!AF12="","",'Marks Entry'!AF12)</f>
        <v>4</v>
      </c>
      <c r="BM12" s="581">
        <f t="shared" si="79"/>
        <v>20</v>
      </c>
      <c r="BN12" s="580">
        <f>IF('Marks Entry'!AG12="","",'Marks Entry'!AG12)</f>
        <v>30</v>
      </c>
      <c r="BO12" s="580">
        <f>IF('Marks Entry'!AH12="","",'Marks Entry'!AH12)</f>
        <v>12</v>
      </c>
      <c r="BP12" s="581">
        <f t="shared" si="80"/>
        <v>42</v>
      </c>
      <c r="BQ12" s="581">
        <f t="shared" si="81"/>
        <v>62</v>
      </c>
      <c r="BR12" s="580">
        <f>IF('Marks Entry'!AI12="","",'Marks Entry'!AI12)</f>
        <v>58</v>
      </c>
      <c r="BS12" s="580">
        <f>IF('Marks Entry'!AJ12="","",'Marks Entry'!AJ12)</f>
        <v>16</v>
      </c>
      <c r="BT12" s="581">
        <f t="shared" si="82"/>
        <v>74</v>
      </c>
      <c r="BU12" s="157">
        <f t="shared" si="83"/>
        <v>108</v>
      </c>
      <c r="BV12" s="157">
        <f t="shared" si="84"/>
        <v>28</v>
      </c>
      <c r="BW12" s="192">
        <f t="shared" si="85"/>
        <v>136</v>
      </c>
      <c r="BX12" s="153">
        <f t="shared" si="86"/>
        <v>0</v>
      </c>
      <c r="BY12" s="154">
        <f t="shared" si="87"/>
        <v>0</v>
      </c>
      <c r="BZ12" s="154">
        <f t="shared" si="88"/>
        <v>70</v>
      </c>
      <c r="CA12" s="154">
        <f t="shared" si="89"/>
        <v>50</v>
      </c>
      <c r="CB12" s="154">
        <f t="shared" si="90"/>
        <v>150</v>
      </c>
      <c r="CC12" s="153" t="str">
        <f t="shared" si="91"/>
        <v/>
      </c>
      <c r="CD12" s="154" t="str">
        <f t="shared" si="92"/>
        <v>P</v>
      </c>
      <c r="CE12" s="153" t="str">
        <f t="shared" si="93"/>
        <v>I</v>
      </c>
      <c r="CF12" s="580" t="str">
        <f>IF('Marks Entry'!AK12="","",'Marks Entry'!AK12)</f>
        <v>A</v>
      </c>
      <c r="CG12" s="580">
        <f>IF('Marks Entry'!AL12="","",'Marks Entry'!AL12)</f>
        <v>8</v>
      </c>
      <c r="CH12" s="580">
        <f>IF('Marks Entry'!AM12="","",'Marks Entry'!AM12)</f>
        <v>8</v>
      </c>
      <c r="CI12" s="580">
        <f>IF('Marks Entry'!AN12="","",'Marks Entry'!AN12)</f>
        <v>8</v>
      </c>
      <c r="CJ12" s="581">
        <f t="shared" si="94"/>
        <v>24</v>
      </c>
      <c r="CK12" s="580">
        <f>IF('Marks Entry'!AO12="","",'Marks Entry'!AO12)</f>
        <v>44</v>
      </c>
      <c r="CL12" s="580">
        <f>IF('Marks Entry'!AP12="","",'Marks Entry'!AP12)</f>
        <v>16</v>
      </c>
      <c r="CM12" s="581">
        <f t="shared" si="95"/>
        <v>60</v>
      </c>
      <c r="CN12" s="581">
        <f t="shared" si="96"/>
        <v>84</v>
      </c>
      <c r="CO12" s="580">
        <f>IF('Marks Entry'!AQ12="","",'Marks Entry'!AQ12)</f>
        <v>60</v>
      </c>
      <c r="CP12" s="580">
        <f>IF('Marks Entry'!AR12="","",'Marks Entry'!AR12)</f>
        <v>22</v>
      </c>
      <c r="CQ12" s="581">
        <f t="shared" si="97"/>
        <v>82</v>
      </c>
      <c r="CR12" s="157">
        <f t="shared" si="98"/>
        <v>128</v>
      </c>
      <c r="CS12" s="157">
        <f t="shared" si="99"/>
        <v>38</v>
      </c>
      <c r="CT12" s="192">
        <f t="shared" si="100"/>
        <v>166</v>
      </c>
      <c r="CU12" s="153">
        <f t="shared" si="101"/>
        <v>0</v>
      </c>
      <c r="CV12" s="154">
        <f t="shared" si="102"/>
        <v>0</v>
      </c>
      <c r="CW12" s="154">
        <f t="shared" si="103"/>
        <v>70</v>
      </c>
      <c r="CX12" s="154">
        <f t="shared" si="104"/>
        <v>50</v>
      </c>
      <c r="CY12" s="154">
        <f t="shared" si="176"/>
        <v>150</v>
      </c>
      <c r="CZ12" s="153" t="str">
        <f t="shared" si="105"/>
        <v/>
      </c>
      <c r="DA12" s="154" t="str">
        <f t="shared" si="106"/>
        <v>P</v>
      </c>
      <c r="DB12" s="153" t="str">
        <f t="shared" si="107"/>
        <v>D</v>
      </c>
      <c r="DC12" s="154">
        <f t="shared" si="108"/>
        <v>0</v>
      </c>
      <c r="DD12" s="826" t="str">
        <f>IF('Marks Entry'!AS12="","",IF(OR('Master Sheet'!$D$19="YES",'Marks Entry'!$BA$1=1),'Marks Entry'!AS12,""))</f>
        <v/>
      </c>
      <c r="DE12" s="826" t="str">
        <f>IF('Marks Entry'!AT12="","",IF(OR('Master Sheet'!$D$19="YES",'Marks Entry'!$BA$1=1),'Marks Entry'!AT12,""))</f>
        <v/>
      </c>
      <c r="DF12" s="826" t="str">
        <f>IF('Marks Entry'!AU12="","",IF(OR('Master Sheet'!$D$19="YES",'Marks Entry'!$BA$1=1),'Marks Entry'!AU12,""))</f>
        <v/>
      </c>
      <c r="DG12" s="826" t="str">
        <f>IF('Marks Entry'!AV12="","",IF(OR('Master Sheet'!$D$19="YES",'Marks Entry'!$BA$1=1),'Marks Entry'!AV12,""))</f>
        <v/>
      </c>
      <c r="DH12" s="827" t="str">
        <f t="shared" si="109"/>
        <v/>
      </c>
      <c r="DI12" s="826" t="str">
        <f>IF('Marks Entry'!AW12="","",IF(OR('Master Sheet'!$D$19="YES",'Marks Entry'!$BA$1=1),'Marks Entry'!AW12,""))</f>
        <v/>
      </c>
      <c r="DJ12" s="826" t="str">
        <f>IF('Marks Entry'!AX12="","",IF(OR('Master Sheet'!$D$19="YES",'Marks Entry'!$BA$1=1),'Marks Entry'!AX12,""))</f>
        <v/>
      </c>
      <c r="DK12" s="827" t="str">
        <f t="shared" si="110"/>
        <v/>
      </c>
      <c r="DL12" s="827" t="str">
        <f t="shared" si="111"/>
        <v/>
      </c>
      <c r="DM12" s="826" t="str">
        <f>IF('Marks Entry'!AY12="","",IF(OR('Master Sheet'!$D$19="YES",'Marks Entry'!$BA$1=1),'Marks Entry'!AY12,""))</f>
        <v/>
      </c>
      <c r="DN12" s="826" t="str">
        <f>IF('Marks Entry'!AZ12="","",IF(OR('Master Sheet'!$D$19="YES",'Marks Entry'!$BA$1=1),'Marks Entry'!AZ12,""))</f>
        <v/>
      </c>
      <c r="DO12" s="826" t="str">
        <f>IF('Marks Entry'!BA12="","",IF(OR('Master Sheet'!$D$19="YES",'Marks Entry'!$BA$1=1),'Marks Entry'!BA12,""))</f>
        <v/>
      </c>
      <c r="DP12" s="827" t="str">
        <f t="shared" si="112"/>
        <v/>
      </c>
      <c r="DQ12" s="157" t="str">
        <f t="shared" si="113"/>
        <v/>
      </c>
      <c r="DR12" s="157" t="str">
        <f t="shared" si="114"/>
        <v/>
      </c>
      <c r="DS12" s="157" t="str">
        <f t="shared" si="115"/>
        <v/>
      </c>
      <c r="DT12" s="192" t="str">
        <f t="shared" si="116"/>
        <v/>
      </c>
      <c r="DU12" s="153">
        <f t="shared" si="117"/>
        <v>0</v>
      </c>
      <c r="DV12" s="154" t="e">
        <f t="shared" si="118"/>
        <v>#VALUE!</v>
      </c>
      <c r="DW12" s="154" t="str">
        <f t="shared" si="119"/>
        <v/>
      </c>
      <c r="DX12" s="154" t="str">
        <f>IF(OR($B12="NSO",$B12=0,DS12=""),"",IF(AND(DJ12="",DO12=""),"",IF('Master Sheet'!$D$19="YES",$DO$6-COUNTIF(DO12,"ML")*DO$6,DS$6-(COUNTIF(DJ12,"ML")*DJ$6)-(COUNTIF(DO12,"ML")*DO$6))))</f>
        <v/>
      </c>
      <c r="DY12" s="154" t="str">
        <f>IF(OR($B12="NSO",$B12=0),"",IF(AND(DH12="",DI12="",DM12=""),"",IF(AND('Master Sheet'!$D$19="YES",'Marks Entry'!$BA$1=1),100,IF(AND(DJ12="",DO12=""),SUM(($DQ$7+$DR$7)-(DU12+DV12)),SUM(($DQ$6+$DR$6)-(DU12+DV12))))))</f>
        <v/>
      </c>
      <c r="DZ12" s="153" t="str">
        <f t="shared" si="120"/>
        <v/>
      </c>
      <c r="EA12" s="154" t="str">
        <f t="shared" si="121"/>
        <v/>
      </c>
      <c r="EB12" s="153" t="str">
        <f t="shared" si="122"/>
        <v/>
      </c>
      <c r="EC12" s="584">
        <f>IF('Marks Entry'!BB12="","",'Marks Entry'!BB12)</f>
        <v>26</v>
      </c>
      <c r="ED12" s="584">
        <f>IF('Marks Entry'!BC12="","",'Marks Entry'!BC12)</f>
        <v>27</v>
      </c>
      <c r="EE12" s="584">
        <f>IF('Marks Entry'!BD12="","",'Marks Entry'!BD12)</f>
        <v>30</v>
      </c>
      <c r="EF12" s="590">
        <f t="shared" si="123"/>
        <v>83</v>
      </c>
      <c r="EG12" s="595">
        <f t="shared" si="124"/>
        <v>0</v>
      </c>
      <c r="EH12" s="595">
        <f t="shared" si="125"/>
        <v>0</v>
      </c>
      <c r="EI12" s="193">
        <f t="shared" si="126"/>
        <v>100</v>
      </c>
      <c r="EJ12" s="595" t="str">
        <f t="shared" si="127"/>
        <v/>
      </c>
      <c r="EK12" s="595" t="str">
        <f t="shared" si="128"/>
        <v>A</v>
      </c>
      <c r="EL12" s="194" t="str">
        <f t="shared" si="129"/>
        <v>I</v>
      </c>
      <c r="EM12" s="194" t="str">
        <f t="shared" si="130"/>
        <v>I</v>
      </c>
      <c r="EN12" s="194" t="str">
        <f t="shared" si="131"/>
        <v>I</v>
      </c>
      <c r="EO12" s="194" t="str">
        <f t="shared" si="132"/>
        <v>I</v>
      </c>
      <c r="EP12" s="194" t="str">
        <f t="shared" si="133"/>
        <v>D</v>
      </c>
      <c r="EQ12" s="194" t="str">
        <f t="shared" si="134"/>
        <v/>
      </c>
      <c r="ER12" s="195">
        <f t="shared" si="135"/>
        <v>0</v>
      </c>
      <c r="ES12" s="195">
        <f t="shared" si="136"/>
        <v>0</v>
      </c>
      <c r="ET12" s="195">
        <f t="shared" si="137"/>
        <v>0</v>
      </c>
      <c r="EU12" s="195">
        <f t="shared" si="138"/>
        <v>0</v>
      </c>
      <c r="EV12" s="195">
        <f t="shared" si="139"/>
        <v>0</v>
      </c>
      <c r="EW12" s="195" t="str">
        <f t="shared" si="140"/>
        <v/>
      </c>
      <c r="EX12" s="196" t="str">
        <f t="shared" si="141"/>
        <v>PASS</v>
      </c>
      <c r="EY12" s="197">
        <f>IF('Marks Entry'!BE12="","",'Marks Entry'!BE12)</f>
        <v>8</v>
      </c>
      <c r="EZ12" s="197">
        <f>IF('Marks Entry'!BF12="","",'Marks Entry'!BF12)</f>
        <v>8</v>
      </c>
      <c r="FA12" s="197">
        <f>IF('Marks Entry'!BG12="","",'Marks Entry'!BG12)</f>
        <v>8</v>
      </c>
      <c r="FB12" s="596">
        <f t="shared" si="142"/>
        <v>24</v>
      </c>
      <c r="FC12" s="197">
        <f>IF('Marks Entry'!BH12="","",'Marks Entry'!BH12)</f>
        <v>50</v>
      </c>
      <c r="FD12" s="197">
        <f>IF('Marks Entry'!BI12="","",'Marks Entry'!BI12)</f>
        <v>80</v>
      </c>
      <c r="FE12" s="198">
        <f t="shared" si="143"/>
        <v>154</v>
      </c>
      <c r="FF12" s="199" t="str">
        <f t="shared" si="144"/>
        <v>B</v>
      </c>
      <c r="FG12" s="200">
        <f>IF(AND(E12=""),"",IF('Student DATA Entry'!L8="","",'Student DATA Entry'!L8))</f>
        <v>320</v>
      </c>
      <c r="FH12" s="201">
        <f>IF(AND(E12=""),"",IF('Student DATA Entry'!M8="","",'Student DATA Entry'!M8))</f>
        <v>318</v>
      </c>
      <c r="FI12" s="202">
        <f t="shared" si="145"/>
        <v>99.375</v>
      </c>
      <c r="FJ12" s="189" t="str">
        <f t="shared" si="146"/>
        <v>I</v>
      </c>
      <c r="FK12" s="189" t="str">
        <f t="shared" si="147"/>
        <v/>
      </c>
      <c r="FL12" s="203" t="str">
        <f t="shared" si="19"/>
        <v/>
      </c>
      <c r="FM12" s="189" t="str">
        <f t="shared" si="148"/>
        <v>I</v>
      </c>
      <c r="FN12" s="204" t="str">
        <f t="shared" si="149"/>
        <v/>
      </c>
      <c r="FO12" s="203" t="str">
        <f t="shared" si="20"/>
        <v/>
      </c>
      <c r="FP12" s="205" t="str">
        <f t="shared" si="150"/>
        <v>I</v>
      </c>
      <c r="FQ12" s="189" t="str">
        <f t="shared" si="21"/>
        <v/>
      </c>
      <c r="FR12" s="189" t="str">
        <f t="shared" si="22"/>
        <v>I</v>
      </c>
      <c r="FS12" s="189" t="str">
        <f t="shared" si="23"/>
        <v/>
      </c>
      <c r="FT12" s="189" t="str">
        <f t="shared" si="24"/>
        <v/>
      </c>
      <c r="FU12" s="189" t="str">
        <f t="shared" si="151"/>
        <v/>
      </c>
      <c r="FV12" s="206" t="str">
        <f t="shared" si="25"/>
        <v/>
      </c>
      <c r="FW12" s="205" t="str">
        <f t="shared" si="152"/>
        <v>I</v>
      </c>
      <c r="FX12" s="189" t="str">
        <f t="shared" si="26"/>
        <v/>
      </c>
      <c r="FY12" s="189" t="str">
        <f t="shared" si="27"/>
        <v>I</v>
      </c>
      <c r="FZ12" s="189" t="str">
        <f t="shared" si="28"/>
        <v/>
      </c>
      <c r="GA12" s="189" t="str">
        <f t="shared" si="29"/>
        <v/>
      </c>
      <c r="GB12" s="189" t="str">
        <f t="shared" si="153"/>
        <v/>
      </c>
      <c r="GC12" s="206" t="str">
        <f t="shared" si="30"/>
        <v/>
      </c>
      <c r="GD12" s="205" t="str">
        <f t="shared" si="154"/>
        <v>D</v>
      </c>
      <c r="GE12" s="189" t="str">
        <f t="shared" si="31"/>
        <v>D</v>
      </c>
      <c r="GF12" s="189" t="str">
        <f t="shared" si="32"/>
        <v/>
      </c>
      <c r="GG12" s="189" t="str">
        <f t="shared" si="33"/>
        <v/>
      </c>
      <c r="GH12" s="189" t="str">
        <f t="shared" si="34"/>
        <v/>
      </c>
      <c r="GI12" s="189" t="str">
        <f t="shared" si="155"/>
        <v/>
      </c>
      <c r="GJ12" s="206" t="str">
        <f t="shared" si="35"/>
        <v/>
      </c>
      <c r="GK12" s="205" t="str">
        <f t="shared" si="156"/>
        <v/>
      </c>
      <c r="GL12" s="189" t="str">
        <f t="shared" si="36"/>
        <v/>
      </c>
      <c r="GM12" s="189" t="str">
        <f t="shared" si="37"/>
        <v/>
      </c>
      <c r="GN12" s="189" t="str">
        <f t="shared" si="38"/>
        <v/>
      </c>
      <c r="GO12" s="189" t="str">
        <f t="shared" si="39"/>
        <v/>
      </c>
      <c r="GP12" s="189" t="str">
        <f t="shared" si="157"/>
        <v/>
      </c>
      <c r="GQ12" s="206" t="str">
        <f t="shared" si="40"/>
        <v/>
      </c>
      <c r="GR12" s="189" t="str">
        <f t="shared" si="158"/>
        <v>A</v>
      </c>
      <c r="GS12" s="189" t="str">
        <f t="shared" si="159"/>
        <v>B</v>
      </c>
      <c r="GT12" s="207" t="str">
        <f t="shared" si="177"/>
        <v xml:space="preserve">    </v>
      </c>
      <c r="GU12" s="207" t="str">
        <f t="shared" si="160"/>
        <v xml:space="preserve">    </v>
      </c>
      <c r="GV12" s="207" t="str">
        <f t="shared" si="161"/>
        <v xml:space="preserve">    </v>
      </c>
      <c r="GW12" s="207" t="str">
        <f t="shared" si="162"/>
        <v xml:space="preserve">       </v>
      </c>
      <c r="GX12" s="598" t="str">
        <f t="shared" si="163"/>
        <v xml:space="preserve">    GEOGRAPHY </v>
      </c>
      <c r="GY12" s="208" t="str">
        <f t="shared" si="164"/>
        <v>PASS</v>
      </c>
      <c r="GZ12" s="606">
        <f>IF(AND(Q12="",AE12="",AZ12="",BW12="",CT12=""),"",IF(AND('Master Sheet'!$D$19="YES",'Marks Entry'!$BA$1=1),SUM(Q12,AE12,AZ12,BW12,DT12),SUM(Q12,AE12,AZ12,BW12,CT12)))</f>
        <v>686</v>
      </c>
      <c r="HA12" s="209">
        <f>IF(GZ12="","",IF(AND('Master Sheet'!$D$19="YES",'Marks Entry'!$BA$1=1),GZ12/((900)-DC12)*100,GZ12/((1000)-DC12)*100))</f>
        <v>68.600000000000009</v>
      </c>
      <c r="HB12" s="611" t="str">
        <f t="shared" si="165"/>
        <v>I</v>
      </c>
      <c r="HC12" s="609">
        <f t="shared" si="166"/>
        <v>68.600000000000009</v>
      </c>
      <c r="HD12" s="610">
        <f t="shared" si="167"/>
        <v>1.9999999999999858</v>
      </c>
      <c r="HE12" s="210" t="str">
        <f>IFERROR(IF(OR(GY12="SUPPLEMENTARY",GY12="RE-EXAM"),'Supp. Result Entry'!AS11,""),"")</f>
        <v/>
      </c>
      <c r="HF12" s="613" t="str">
        <f t="shared" si="168"/>
        <v/>
      </c>
      <c r="HG12" s="598" t="str">
        <f t="shared" si="169"/>
        <v/>
      </c>
      <c r="HH12" s="598" t="str">
        <f>IF(AND(HE12="",HF12="",HG12=""),"",IF(OR(GY12="SUPPLEMENTARY",GY12="RE-EXAM"),'Supp. Result Entry'!AS11,GY12))</f>
        <v/>
      </c>
      <c r="HI12" s="180"/>
      <c r="HY12" s="212" t="str">
        <f>IF('Supp. Result Entry'!U11="","",'Supp. Result Entry'!$U$6)</f>
        <v/>
      </c>
      <c r="HZ12" s="213" t="str">
        <f>IF('Supp. Result Entry'!X11="","",'Supp. Result Entry'!$X$6)</f>
        <v/>
      </c>
      <c r="IA12" s="213" t="str">
        <f>IF('Supp. Result Entry'!AA11="","",'Supp. Result Entry'!$AA$6)</f>
        <v/>
      </c>
      <c r="IB12" s="213" t="str">
        <f>IF('Supp. Result Entry'!AD11="","",'Supp. Result Entry'!$AD$6)</f>
        <v/>
      </c>
      <c r="IC12" s="213" t="str">
        <f>IF('Supp. Result Entry'!AG11="","",'Supp. Result Entry'!$AG$6)</f>
        <v/>
      </c>
      <c r="ID12" s="213" t="str">
        <f>IF('Supp. Result Entry'!AJ11="","",'Supp. Result Entry'!$AJ$6)</f>
        <v/>
      </c>
      <c r="IE12" s="213" t="str">
        <f>IF('Supp. Result Entry'!V11="","",'Supp. Result Entry'!V11)</f>
        <v/>
      </c>
      <c r="IF12" s="213" t="str">
        <f>IF('Supp. Result Entry'!Y11="","",'Supp. Result Entry'!Y11)</f>
        <v/>
      </c>
      <c r="IG12" s="213" t="str">
        <f>IF('Supp. Result Entry'!AB11="","",'Supp. Result Entry'!AB11)</f>
        <v/>
      </c>
      <c r="IH12" s="213" t="str">
        <f>IF('Supp. Result Entry'!AE11="","",'Supp. Result Entry'!AE11)</f>
        <v/>
      </c>
      <c r="II12" s="213" t="str">
        <f>IF('Supp. Result Entry'!AH11="","",'Supp. Result Entry'!AH11)</f>
        <v/>
      </c>
      <c r="IJ12" s="213" t="str">
        <f>IF('Supp. Result Entry'!AK11="","",'Supp. Result Entry'!AK11)</f>
        <v/>
      </c>
      <c r="IK12" s="213" t="str">
        <f>IF('Supp. Result Entry'!W11="","",'Supp. Result Entry'!W11)</f>
        <v/>
      </c>
      <c r="IL12" s="213" t="str">
        <f>IF('Supp. Result Entry'!Z11="","",'Supp. Result Entry'!Z11)</f>
        <v/>
      </c>
      <c r="IM12" s="213" t="str">
        <f>IF('Supp. Result Entry'!AC11="","",'Supp. Result Entry'!AC11)</f>
        <v/>
      </c>
      <c r="IN12" s="213" t="str">
        <f>IF('Supp. Result Entry'!AF11="","",'Supp. Result Entry'!AF11)</f>
        <v/>
      </c>
      <c r="IO12" s="213" t="str">
        <f>IF('Supp. Result Entry'!AI11="","",'Supp. Result Entry'!AI11)</f>
        <v/>
      </c>
      <c r="IP12" s="213" t="str">
        <f>IF('Supp. Result Entry'!AL11="","",'Supp. Result Entry'!AL11)</f>
        <v/>
      </c>
      <c r="IQ12" s="213">
        <f>COUNTIF('Supp. Result Entry'!K11:Q11,"S")</f>
        <v>0</v>
      </c>
      <c r="IR12" s="213">
        <f t="shared" si="170"/>
        <v>0</v>
      </c>
      <c r="IS12" s="213">
        <f t="shared" si="171"/>
        <v>0</v>
      </c>
      <c r="IT12" s="213" t="str">
        <f t="shared" si="41"/>
        <v/>
      </c>
      <c r="IU12" s="213" t="str">
        <f t="shared" si="42"/>
        <v/>
      </c>
      <c r="IV12" s="213" t="str">
        <f t="shared" si="43"/>
        <v/>
      </c>
      <c r="IW12" s="213" t="str">
        <f t="shared" si="44"/>
        <v/>
      </c>
      <c r="IX12" s="213" t="str">
        <f t="shared" si="45"/>
        <v/>
      </c>
      <c r="IY12" s="213" t="str">
        <f t="shared" si="172"/>
        <v/>
      </c>
      <c r="IZ12" s="213" t="str">
        <f t="shared" si="173"/>
        <v/>
      </c>
      <c r="JA12" s="213" t="str">
        <f t="shared" si="46"/>
        <v/>
      </c>
      <c r="JB12" s="211" t="str">
        <f t="shared" si="174"/>
        <v/>
      </c>
    </row>
    <row r="13" spans="1:262" s="211" customFormat="1" ht="21" customHeight="1">
      <c r="A13" s="184">
        <v>6</v>
      </c>
      <c r="B13" s="185">
        <f>IF('Marks Entry'!B13="","",'Marks Entry'!B13)</f>
        <v>1106</v>
      </c>
      <c r="C13" s="186">
        <f>IF('Marks Entry'!D13="","",'Marks Entry'!D13)</f>
        <v>666</v>
      </c>
      <c r="D13" s="187">
        <f>IF('Marks Entry'!E13="","",'Marks Entry'!E13)</f>
        <v>39668</v>
      </c>
      <c r="E13" s="188" t="str">
        <f>IF('Marks Entry'!F13="","",'Marks Entry'!F13)</f>
        <v>F</v>
      </c>
      <c r="F13" s="188" t="str">
        <f>IF('Marks Entry'!G13="","",'Marks Entry'!G13)</f>
        <v>U</v>
      </c>
      <c r="G13" s="188" t="str">
        <f>IF('Marks Entry'!H13="","",'Marks Entry'!H13)</f>
        <v>R</v>
      </c>
      <c r="H13" s="189" t="str">
        <f>IF('Marks Entry'!I13="","",'Marks Entry'!I13)</f>
        <v>OBC</v>
      </c>
      <c r="I13" s="190" t="str">
        <f>IF('Marks Entry'!J13="","",'Marks Entry'!J13)</f>
        <v>M</v>
      </c>
      <c r="J13" s="545">
        <f>IF('Marks Entry'!K13="","",'Marks Entry'!K13)</f>
        <v>10</v>
      </c>
      <c r="K13" s="545">
        <f>IF('Marks Entry'!L13="","",'Marks Entry'!L13)</f>
        <v>9</v>
      </c>
      <c r="L13" s="545">
        <f>IF('Marks Entry'!M13="","",'Marks Entry'!M13)</f>
        <v>8</v>
      </c>
      <c r="M13" s="546">
        <f t="shared" si="47"/>
        <v>27</v>
      </c>
      <c r="N13" s="545">
        <f>IF('Marks Entry'!N13="","",'Marks Entry'!N13)</f>
        <v>42</v>
      </c>
      <c r="O13" s="546">
        <f t="shared" si="48"/>
        <v>69</v>
      </c>
      <c r="P13" s="545">
        <f>IF('Marks Entry'!O13="","",'Marks Entry'!O13)</f>
        <v>45</v>
      </c>
      <c r="Q13" s="547">
        <f t="shared" si="49"/>
        <v>114</v>
      </c>
      <c r="R13" s="153">
        <f t="shared" si="50"/>
        <v>0</v>
      </c>
      <c r="S13" s="153">
        <f t="shared" si="51"/>
        <v>0</v>
      </c>
      <c r="T13" s="154">
        <f t="shared" si="52"/>
        <v>200</v>
      </c>
      <c r="U13" s="153" t="str">
        <f t="shared" si="53"/>
        <v/>
      </c>
      <c r="V13" s="153" t="str">
        <f t="shared" si="54"/>
        <v>P</v>
      </c>
      <c r="W13" s="153" t="str">
        <f t="shared" si="55"/>
        <v>II</v>
      </c>
      <c r="X13" s="545">
        <f>IF('Marks Entry'!P13="","",'Marks Entry'!P13)</f>
        <v>10</v>
      </c>
      <c r="Y13" s="545">
        <f>IF('Marks Entry'!Q13="","",'Marks Entry'!Q13)</f>
        <v>9</v>
      </c>
      <c r="Z13" s="545">
        <f>IF('Marks Entry'!R13="","",'Marks Entry'!R13)</f>
        <v>9</v>
      </c>
      <c r="AA13" s="546">
        <f t="shared" si="56"/>
        <v>28</v>
      </c>
      <c r="AB13" s="545">
        <f>IF('Marks Entry'!S13="","",'Marks Entry'!S13)</f>
        <v>46</v>
      </c>
      <c r="AC13" s="546">
        <f t="shared" si="57"/>
        <v>74</v>
      </c>
      <c r="AD13" s="545">
        <f>IF('Marks Entry'!T13="","",'Marks Entry'!T13)</f>
        <v>65</v>
      </c>
      <c r="AE13" s="547">
        <f t="shared" si="58"/>
        <v>139</v>
      </c>
      <c r="AF13" s="153">
        <f t="shared" si="59"/>
        <v>0</v>
      </c>
      <c r="AG13" s="153">
        <f t="shared" si="60"/>
        <v>0</v>
      </c>
      <c r="AH13" s="154">
        <f t="shared" si="61"/>
        <v>200</v>
      </c>
      <c r="AI13" s="153" t="str">
        <f t="shared" si="62"/>
        <v/>
      </c>
      <c r="AJ13" s="153" t="str">
        <f t="shared" si="63"/>
        <v>P</v>
      </c>
      <c r="AK13" s="153" t="str">
        <f t="shared" si="64"/>
        <v>I</v>
      </c>
      <c r="AL13" s="573" t="str">
        <f>IF('Marks Entry'!U13="","",'Marks Entry'!U13)</f>
        <v>A</v>
      </c>
      <c r="AM13" s="573">
        <f>IF('Marks Entry'!V13="","",'Marks Entry'!V13)</f>
        <v>10</v>
      </c>
      <c r="AN13" s="573">
        <f>IF('Marks Entry'!W13="","",'Marks Entry'!W13)</f>
        <v>10</v>
      </c>
      <c r="AO13" s="573">
        <f>IF('Marks Entry'!X13="","",'Marks Entry'!X13)</f>
        <v>7</v>
      </c>
      <c r="AP13" s="572">
        <f t="shared" si="65"/>
        <v>27</v>
      </c>
      <c r="AQ13" s="573">
        <f>IF('Marks Entry'!Y13="","",'Marks Entry'!Y13)</f>
        <v>20</v>
      </c>
      <c r="AR13" s="573" t="str">
        <f>IF('Marks Entry'!Z13="","",'Marks Entry'!Z13)</f>
        <v/>
      </c>
      <c r="AS13" s="572">
        <f t="shared" si="66"/>
        <v>20</v>
      </c>
      <c r="AT13" s="572">
        <f t="shared" si="67"/>
        <v>47</v>
      </c>
      <c r="AU13" s="573">
        <f>IF('Marks Entry'!AA13="","",'Marks Entry'!AA13)</f>
        <v>25</v>
      </c>
      <c r="AV13" s="573" t="str">
        <f>IF('Marks Entry'!AB13="","",'Marks Entry'!AB13)</f>
        <v/>
      </c>
      <c r="AW13" s="572">
        <f t="shared" si="68"/>
        <v>25</v>
      </c>
      <c r="AX13" s="157">
        <f t="shared" si="69"/>
        <v>72</v>
      </c>
      <c r="AY13" s="157" t="str">
        <f t="shared" si="70"/>
        <v/>
      </c>
      <c r="AZ13" s="192">
        <f t="shared" si="71"/>
        <v>72</v>
      </c>
      <c r="BA13" s="153">
        <f t="shared" si="72"/>
        <v>0</v>
      </c>
      <c r="BB13" s="154">
        <f t="shared" si="73"/>
        <v>0</v>
      </c>
      <c r="BC13" s="154">
        <f t="shared" si="74"/>
        <v>100</v>
      </c>
      <c r="BD13" s="154" t="str">
        <f t="shared" si="75"/>
        <v/>
      </c>
      <c r="BE13" s="154">
        <f t="shared" si="76"/>
        <v>200</v>
      </c>
      <c r="BF13" s="153" t="str">
        <f t="shared" si="77"/>
        <v/>
      </c>
      <c r="BG13" s="154" t="str">
        <f t="shared" si="175"/>
        <v>P</v>
      </c>
      <c r="BH13" s="153" t="str">
        <f t="shared" si="78"/>
        <v>III</v>
      </c>
      <c r="BI13" s="580" t="str">
        <f>IF('Marks Entry'!AC13="","",'Marks Entry'!AC13)</f>
        <v>C</v>
      </c>
      <c r="BJ13" s="580">
        <f>IF('Marks Entry'!AD13="","",'Marks Entry'!AD13)</f>
        <v>10</v>
      </c>
      <c r="BK13" s="580">
        <f>IF('Marks Entry'!AE13="","",'Marks Entry'!AE13)</f>
        <v>10</v>
      </c>
      <c r="BL13" s="580">
        <f>IF('Marks Entry'!AF13="","",'Marks Entry'!AF13)</f>
        <v>5</v>
      </c>
      <c r="BM13" s="581">
        <f t="shared" si="79"/>
        <v>25</v>
      </c>
      <c r="BN13" s="580">
        <f>IF('Marks Entry'!AG13="","",'Marks Entry'!AG13)</f>
        <v>41</v>
      </c>
      <c r="BO13" s="580" t="str">
        <f>IF('Marks Entry'!AH13="","",'Marks Entry'!AH13)</f>
        <v/>
      </c>
      <c r="BP13" s="581">
        <f t="shared" si="80"/>
        <v>41</v>
      </c>
      <c r="BQ13" s="581">
        <f t="shared" si="81"/>
        <v>66</v>
      </c>
      <c r="BR13" s="580">
        <f>IF('Marks Entry'!AI13="","",'Marks Entry'!AI13)</f>
        <v>60</v>
      </c>
      <c r="BS13" s="580" t="str">
        <f>IF('Marks Entry'!AJ13="","",'Marks Entry'!AJ13)</f>
        <v/>
      </c>
      <c r="BT13" s="581">
        <f t="shared" si="82"/>
        <v>60</v>
      </c>
      <c r="BU13" s="157">
        <f t="shared" si="83"/>
        <v>126</v>
      </c>
      <c r="BV13" s="157" t="str">
        <f t="shared" si="84"/>
        <v/>
      </c>
      <c r="BW13" s="192">
        <f t="shared" si="85"/>
        <v>126</v>
      </c>
      <c r="BX13" s="153">
        <f t="shared" si="86"/>
        <v>0</v>
      </c>
      <c r="BY13" s="154">
        <f t="shared" si="87"/>
        <v>0</v>
      </c>
      <c r="BZ13" s="154">
        <f t="shared" si="88"/>
        <v>100</v>
      </c>
      <c r="CA13" s="154" t="str">
        <f t="shared" si="89"/>
        <v/>
      </c>
      <c r="CB13" s="154">
        <f t="shared" si="90"/>
        <v>200</v>
      </c>
      <c r="CC13" s="153" t="str">
        <f t="shared" si="91"/>
        <v/>
      </c>
      <c r="CD13" s="154" t="str">
        <f t="shared" si="92"/>
        <v>P</v>
      </c>
      <c r="CE13" s="153" t="str">
        <f t="shared" si="93"/>
        <v>I</v>
      </c>
      <c r="CF13" s="580" t="str">
        <f>IF('Marks Entry'!AK13="","",'Marks Entry'!AK13)</f>
        <v>A</v>
      </c>
      <c r="CG13" s="580">
        <f>IF('Marks Entry'!AL13="","",'Marks Entry'!AL13)</f>
        <v>5</v>
      </c>
      <c r="CH13" s="580">
        <f>IF('Marks Entry'!AM13="","",'Marks Entry'!AM13)</f>
        <v>5</v>
      </c>
      <c r="CI13" s="580">
        <f>IF('Marks Entry'!AN13="","",'Marks Entry'!AN13)</f>
        <v>5</v>
      </c>
      <c r="CJ13" s="581">
        <f t="shared" si="94"/>
        <v>15</v>
      </c>
      <c r="CK13" s="580">
        <f>IF('Marks Entry'!AO13="","",'Marks Entry'!AO13)</f>
        <v>25</v>
      </c>
      <c r="CL13" s="580">
        <f>IF('Marks Entry'!AP13="","",'Marks Entry'!AP13)</f>
        <v>15</v>
      </c>
      <c r="CM13" s="581">
        <f t="shared" si="95"/>
        <v>40</v>
      </c>
      <c r="CN13" s="581">
        <f t="shared" si="96"/>
        <v>55</v>
      </c>
      <c r="CO13" s="580">
        <f>IF('Marks Entry'!AQ13="","",'Marks Entry'!AQ13)</f>
        <v>35</v>
      </c>
      <c r="CP13" s="580">
        <f>IF('Marks Entry'!AR13="","",'Marks Entry'!AR13)</f>
        <v>20</v>
      </c>
      <c r="CQ13" s="581">
        <f t="shared" si="97"/>
        <v>55</v>
      </c>
      <c r="CR13" s="157">
        <f t="shared" si="98"/>
        <v>75</v>
      </c>
      <c r="CS13" s="157">
        <f t="shared" si="99"/>
        <v>35</v>
      </c>
      <c r="CT13" s="192">
        <f t="shared" si="100"/>
        <v>110</v>
      </c>
      <c r="CU13" s="153">
        <f t="shared" si="101"/>
        <v>0</v>
      </c>
      <c r="CV13" s="154">
        <f t="shared" si="102"/>
        <v>0</v>
      </c>
      <c r="CW13" s="154">
        <f t="shared" si="103"/>
        <v>70</v>
      </c>
      <c r="CX13" s="154">
        <f t="shared" si="104"/>
        <v>50</v>
      </c>
      <c r="CY13" s="154">
        <f t="shared" si="176"/>
        <v>150</v>
      </c>
      <c r="CZ13" s="153" t="str">
        <f t="shared" si="105"/>
        <v/>
      </c>
      <c r="DA13" s="154" t="str">
        <f t="shared" si="106"/>
        <v>P</v>
      </c>
      <c r="DB13" s="153" t="str">
        <f t="shared" si="107"/>
        <v>II</v>
      </c>
      <c r="DC13" s="154">
        <f t="shared" si="108"/>
        <v>0</v>
      </c>
      <c r="DD13" s="826" t="str">
        <f>IF('Marks Entry'!AS13="","",IF(OR('Master Sheet'!$D$19="YES",'Marks Entry'!$BA$1=1),'Marks Entry'!AS13,""))</f>
        <v/>
      </c>
      <c r="DE13" s="826" t="str">
        <f>IF('Marks Entry'!AT13="","",IF(OR('Master Sheet'!$D$19="YES",'Marks Entry'!$BA$1=1),'Marks Entry'!AT13,""))</f>
        <v/>
      </c>
      <c r="DF13" s="826" t="str">
        <f>IF('Marks Entry'!AU13="","",IF(OR('Master Sheet'!$D$19="YES",'Marks Entry'!$BA$1=1),'Marks Entry'!AU13,""))</f>
        <v/>
      </c>
      <c r="DG13" s="826" t="str">
        <f>IF('Marks Entry'!AV13="","",IF(OR('Master Sheet'!$D$19="YES",'Marks Entry'!$BA$1=1),'Marks Entry'!AV13,""))</f>
        <v/>
      </c>
      <c r="DH13" s="827" t="str">
        <f t="shared" si="109"/>
        <v/>
      </c>
      <c r="DI13" s="826" t="str">
        <f>IF('Marks Entry'!AW13="","",IF(OR('Master Sheet'!$D$19="YES",'Marks Entry'!$BA$1=1),'Marks Entry'!AW13,""))</f>
        <v/>
      </c>
      <c r="DJ13" s="826" t="str">
        <f>IF('Marks Entry'!AX13="","",IF(OR('Master Sheet'!$D$19="YES",'Marks Entry'!$BA$1=1),'Marks Entry'!AX13,""))</f>
        <v/>
      </c>
      <c r="DK13" s="827" t="str">
        <f t="shared" si="110"/>
        <v/>
      </c>
      <c r="DL13" s="827" t="str">
        <f t="shared" si="111"/>
        <v/>
      </c>
      <c r="DM13" s="826" t="str">
        <f>IF('Marks Entry'!AY13="","",IF(OR('Master Sheet'!$D$19="YES",'Marks Entry'!$BA$1=1),'Marks Entry'!AY13,""))</f>
        <v/>
      </c>
      <c r="DN13" s="826" t="str">
        <f>IF('Marks Entry'!AZ13="","",IF(OR('Master Sheet'!$D$19="YES",'Marks Entry'!$BA$1=1),'Marks Entry'!AZ13,""))</f>
        <v/>
      </c>
      <c r="DO13" s="826" t="str">
        <f>IF('Marks Entry'!BA13="","",IF(OR('Master Sheet'!$D$19="YES",'Marks Entry'!$BA$1=1),'Marks Entry'!BA13,""))</f>
        <v/>
      </c>
      <c r="DP13" s="827" t="str">
        <f t="shared" si="112"/>
        <v/>
      </c>
      <c r="DQ13" s="157" t="str">
        <f t="shared" si="113"/>
        <v/>
      </c>
      <c r="DR13" s="157" t="str">
        <f t="shared" si="114"/>
        <v/>
      </c>
      <c r="DS13" s="157" t="str">
        <f t="shared" si="115"/>
        <v/>
      </c>
      <c r="DT13" s="192" t="str">
        <f t="shared" si="116"/>
        <v/>
      </c>
      <c r="DU13" s="153">
        <f t="shared" si="117"/>
        <v>0</v>
      </c>
      <c r="DV13" s="154" t="e">
        <f t="shared" si="118"/>
        <v>#VALUE!</v>
      </c>
      <c r="DW13" s="154" t="str">
        <f t="shared" si="119"/>
        <v/>
      </c>
      <c r="DX13" s="154" t="str">
        <f>IF(OR($B13="NSO",$B13=0,DS13=""),"",IF(AND(DJ13="",DO13=""),"",IF('Master Sheet'!$D$19="YES",$DO$6-COUNTIF(DO13,"ML")*DO$6,DS$6-(COUNTIF(DJ13,"ML")*DJ$6)-(COUNTIF(DO13,"ML")*DO$6))))</f>
        <v/>
      </c>
      <c r="DY13" s="154" t="str">
        <f>IF(OR($B13="NSO",$B13=0),"",IF(AND(DH13="",DI13="",DM13=""),"",IF(AND('Master Sheet'!$D$19="YES",'Marks Entry'!$BA$1=1),100,IF(AND(DJ13="",DO13=""),SUM(($DQ$7+$DR$7)-(DU13+DV13)),SUM(($DQ$6+$DR$6)-(DU13+DV13))))))</f>
        <v/>
      </c>
      <c r="DZ13" s="153" t="str">
        <f t="shared" si="120"/>
        <v/>
      </c>
      <c r="EA13" s="154" t="str">
        <f t="shared" si="121"/>
        <v/>
      </c>
      <c r="EB13" s="153" t="str">
        <f t="shared" si="122"/>
        <v/>
      </c>
      <c r="EC13" s="584">
        <f>IF('Marks Entry'!BB13="","",'Marks Entry'!BB13)</f>
        <v>26</v>
      </c>
      <c r="ED13" s="584">
        <f>IF('Marks Entry'!BC13="","",'Marks Entry'!BC13)</f>
        <v>27</v>
      </c>
      <c r="EE13" s="584">
        <f>IF('Marks Entry'!BD13="","",'Marks Entry'!BD13)</f>
        <v>32</v>
      </c>
      <c r="EF13" s="590">
        <f t="shared" si="123"/>
        <v>85</v>
      </c>
      <c r="EG13" s="595">
        <f t="shared" si="124"/>
        <v>0</v>
      </c>
      <c r="EH13" s="595">
        <f t="shared" si="125"/>
        <v>0</v>
      </c>
      <c r="EI13" s="193">
        <f t="shared" si="126"/>
        <v>100</v>
      </c>
      <c r="EJ13" s="595" t="str">
        <f t="shared" si="127"/>
        <v/>
      </c>
      <c r="EK13" s="595" t="str">
        <f t="shared" si="128"/>
        <v>A</v>
      </c>
      <c r="EL13" s="194" t="str">
        <f t="shared" si="129"/>
        <v>II</v>
      </c>
      <c r="EM13" s="194" t="str">
        <f t="shared" si="130"/>
        <v>I</v>
      </c>
      <c r="EN13" s="194" t="str">
        <f t="shared" si="131"/>
        <v>III</v>
      </c>
      <c r="EO13" s="194" t="str">
        <f t="shared" si="132"/>
        <v>I</v>
      </c>
      <c r="EP13" s="194" t="str">
        <f t="shared" si="133"/>
        <v>II</v>
      </c>
      <c r="EQ13" s="194" t="str">
        <f t="shared" si="134"/>
        <v/>
      </c>
      <c r="ER13" s="195">
        <f t="shared" si="135"/>
        <v>0</v>
      </c>
      <c r="ES13" s="195">
        <f t="shared" si="136"/>
        <v>0</v>
      </c>
      <c r="ET13" s="195">
        <f t="shared" si="137"/>
        <v>0</v>
      </c>
      <c r="EU13" s="195">
        <f t="shared" si="138"/>
        <v>0</v>
      </c>
      <c r="EV13" s="195">
        <f t="shared" si="139"/>
        <v>0</v>
      </c>
      <c r="EW13" s="195" t="str">
        <f t="shared" si="140"/>
        <v/>
      </c>
      <c r="EX13" s="196" t="str">
        <f t="shared" si="141"/>
        <v>PASS</v>
      </c>
      <c r="EY13" s="197">
        <f>IF('Marks Entry'!BE13="","",'Marks Entry'!BE13)</f>
        <v>8</v>
      </c>
      <c r="EZ13" s="197">
        <f>IF('Marks Entry'!BF13="","",'Marks Entry'!BF13)</f>
        <v>8</v>
      </c>
      <c r="FA13" s="197">
        <f>IF('Marks Entry'!BG13="","",'Marks Entry'!BG13)</f>
        <v>8</v>
      </c>
      <c r="FB13" s="596">
        <f t="shared" si="142"/>
        <v>24</v>
      </c>
      <c r="FC13" s="197">
        <f>IF('Marks Entry'!BH13="","",'Marks Entry'!BH13)</f>
        <v>52</v>
      </c>
      <c r="FD13" s="197">
        <f>IF('Marks Entry'!BI13="","",'Marks Entry'!BI13)</f>
        <v>72</v>
      </c>
      <c r="FE13" s="198">
        <f t="shared" si="143"/>
        <v>148</v>
      </c>
      <c r="FF13" s="199" t="str">
        <f t="shared" si="144"/>
        <v>B</v>
      </c>
      <c r="FG13" s="200">
        <f>IF(AND(E13=""),"",IF('Student DATA Entry'!L9="","",'Student DATA Entry'!L9))</f>
        <v>320</v>
      </c>
      <c r="FH13" s="201">
        <f>IF(AND(E13=""),"",IF('Student DATA Entry'!M9="","",'Student DATA Entry'!M9))</f>
        <v>310</v>
      </c>
      <c r="FI13" s="202">
        <f t="shared" si="145"/>
        <v>96.875</v>
      </c>
      <c r="FJ13" s="189" t="str">
        <f t="shared" si="146"/>
        <v>II</v>
      </c>
      <c r="FK13" s="189" t="str">
        <f t="shared" si="147"/>
        <v/>
      </c>
      <c r="FL13" s="203" t="str">
        <f t="shared" si="19"/>
        <v/>
      </c>
      <c r="FM13" s="189" t="str">
        <f t="shared" si="148"/>
        <v>I</v>
      </c>
      <c r="FN13" s="204" t="str">
        <f t="shared" si="149"/>
        <v/>
      </c>
      <c r="FO13" s="203" t="str">
        <f t="shared" si="20"/>
        <v/>
      </c>
      <c r="FP13" s="205" t="str">
        <f t="shared" si="150"/>
        <v>III</v>
      </c>
      <c r="FQ13" s="189" t="str">
        <f t="shared" si="21"/>
        <v>III</v>
      </c>
      <c r="FR13" s="189" t="str">
        <f t="shared" si="22"/>
        <v/>
      </c>
      <c r="FS13" s="189" t="str">
        <f t="shared" si="23"/>
        <v/>
      </c>
      <c r="FT13" s="189" t="str">
        <f t="shared" si="24"/>
        <v/>
      </c>
      <c r="FU13" s="189" t="str">
        <f t="shared" si="151"/>
        <v/>
      </c>
      <c r="FV13" s="206" t="str">
        <f t="shared" si="25"/>
        <v/>
      </c>
      <c r="FW13" s="205" t="str">
        <f t="shared" si="152"/>
        <v>I</v>
      </c>
      <c r="FX13" s="189" t="str">
        <f t="shared" si="26"/>
        <v/>
      </c>
      <c r="FY13" s="189" t="str">
        <f t="shared" si="27"/>
        <v/>
      </c>
      <c r="FZ13" s="189" t="str">
        <f t="shared" si="28"/>
        <v>I</v>
      </c>
      <c r="GA13" s="189" t="str">
        <f t="shared" si="29"/>
        <v/>
      </c>
      <c r="GB13" s="189" t="str">
        <f t="shared" si="153"/>
        <v/>
      </c>
      <c r="GC13" s="206" t="str">
        <f t="shared" si="30"/>
        <v/>
      </c>
      <c r="GD13" s="205" t="str">
        <f t="shared" si="154"/>
        <v>II</v>
      </c>
      <c r="GE13" s="189" t="str">
        <f t="shared" si="31"/>
        <v>II</v>
      </c>
      <c r="GF13" s="189" t="str">
        <f t="shared" si="32"/>
        <v/>
      </c>
      <c r="GG13" s="189" t="str">
        <f t="shared" si="33"/>
        <v/>
      </c>
      <c r="GH13" s="189" t="str">
        <f t="shared" si="34"/>
        <v/>
      </c>
      <c r="GI13" s="189" t="str">
        <f t="shared" si="155"/>
        <v/>
      </c>
      <c r="GJ13" s="206" t="str">
        <f t="shared" si="35"/>
        <v/>
      </c>
      <c r="GK13" s="205" t="str">
        <f t="shared" si="156"/>
        <v/>
      </c>
      <c r="GL13" s="189" t="str">
        <f t="shared" si="36"/>
        <v/>
      </c>
      <c r="GM13" s="189" t="str">
        <f t="shared" si="37"/>
        <v/>
      </c>
      <c r="GN13" s="189" t="str">
        <f t="shared" si="38"/>
        <v/>
      </c>
      <c r="GO13" s="189" t="str">
        <f t="shared" si="39"/>
        <v/>
      </c>
      <c r="GP13" s="189" t="str">
        <f t="shared" si="157"/>
        <v/>
      </c>
      <c r="GQ13" s="206" t="str">
        <f t="shared" si="40"/>
        <v/>
      </c>
      <c r="GR13" s="189" t="str">
        <f t="shared" si="158"/>
        <v>A</v>
      </c>
      <c r="GS13" s="189" t="str">
        <f t="shared" si="159"/>
        <v>B</v>
      </c>
      <c r="GT13" s="207" t="str">
        <f t="shared" si="177"/>
        <v xml:space="preserve">    </v>
      </c>
      <c r="GU13" s="207" t="str">
        <f t="shared" si="160"/>
        <v xml:space="preserve">    </v>
      </c>
      <c r="GV13" s="207" t="str">
        <f t="shared" si="161"/>
        <v xml:space="preserve">    </v>
      </c>
      <c r="GW13" s="207" t="str">
        <f t="shared" si="162"/>
        <v xml:space="preserve">       </v>
      </c>
      <c r="GX13" s="598" t="str">
        <f t="shared" si="163"/>
        <v xml:space="preserve">     </v>
      </c>
      <c r="GY13" s="208" t="str">
        <f t="shared" si="164"/>
        <v>PASS</v>
      </c>
      <c r="GZ13" s="606">
        <f>IF(AND(Q13="",AE13="",AZ13="",BW13="",CT13=""),"",IF(AND('Master Sheet'!$D$19="YES",'Marks Entry'!$BA$1=1),SUM(Q13,AE13,AZ13,BW13,DT13),SUM(Q13,AE13,AZ13,BW13,CT13)))</f>
        <v>561</v>
      </c>
      <c r="HA13" s="209">
        <f>IF(GZ13="","",IF(AND('Master Sheet'!$D$19="YES",'Marks Entry'!$BA$1=1),GZ13/((900)-DC13)*100,GZ13/((1000)-DC13)*100))</f>
        <v>56.100000000000009</v>
      </c>
      <c r="HB13" s="611" t="str">
        <f t="shared" si="165"/>
        <v>II</v>
      </c>
      <c r="HC13" s="609">
        <f t="shared" si="166"/>
        <v>56.100000000000009</v>
      </c>
      <c r="HD13" s="610">
        <f t="shared" si="167"/>
        <v>5.9999999999999432</v>
      </c>
      <c r="HE13" s="210" t="str">
        <f>IFERROR(IF(OR(GY13="SUPPLEMENTARY",GY13="RE-EXAM"),'Supp. Result Entry'!AS12,""),"")</f>
        <v/>
      </c>
      <c r="HF13" s="613" t="str">
        <f t="shared" si="168"/>
        <v/>
      </c>
      <c r="HG13" s="598" t="str">
        <f t="shared" si="169"/>
        <v/>
      </c>
      <c r="HH13" s="598" t="str">
        <f>IF(AND(HE13="",HF13="",HG13=""),"",IF(OR(GY13="SUPPLEMENTARY",GY13="RE-EXAM"),'Supp. Result Entry'!AS12,GY13))</f>
        <v/>
      </c>
      <c r="HI13" s="180"/>
      <c r="HY13" s="212" t="str">
        <f>IF('Supp. Result Entry'!U12="","",'Supp. Result Entry'!$U$6)</f>
        <v/>
      </c>
      <c r="HZ13" s="213" t="str">
        <f>IF('Supp. Result Entry'!X12="","",'Supp. Result Entry'!$X$6)</f>
        <v/>
      </c>
      <c r="IA13" s="213" t="str">
        <f>IF('Supp. Result Entry'!AA12="","",'Supp. Result Entry'!$AA$6)</f>
        <v/>
      </c>
      <c r="IB13" s="213" t="str">
        <f>IF('Supp. Result Entry'!AD12="","",'Supp. Result Entry'!$AD$6)</f>
        <v/>
      </c>
      <c r="IC13" s="213" t="str">
        <f>IF('Supp. Result Entry'!AG12="","",'Supp. Result Entry'!$AG$6)</f>
        <v/>
      </c>
      <c r="ID13" s="213" t="str">
        <f>IF('Supp. Result Entry'!AJ12="","",'Supp. Result Entry'!$AJ$6)</f>
        <v/>
      </c>
      <c r="IE13" s="213" t="str">
        <f>IF('Supp. Result Entry'!V12="","",'Supp. Result Entry'!V12)</f>
        <v/>
      </c>
      <c r="IF13" s="213" t="str">
        <f>IF('Supp. Result Entry'!Y12="","",'Supp. Result Entry'!Y12)</f>
        <v/>
      </c>
      <c r="IG13" s="213" t="str">
        <f>IF('Supp. Result Entry'!AB12="","",'Supp. Result Entry'!AB12)</f>
        <v/>
      </c>
      <c r="IH13" s="213" t="str">
        <f>IF('Supp. Result Entry'!AE12="","",'Supp. Result Entry'!AE12)</f>
        <v/>
      </c>
      <c r="II13" s="213" t="str">
        <f>IF('Supp. Result Entry'!AH12="","",'Supp. Result Entry'!AH12)</f>
        <v/>
      </c>
      <c r="IJ13" s="213" t="str">
        <f>IF('Supp. Result Entry'!AK12="","",'Supp. Result Entry'!AK12)</f>
        <v/>
      </c>
      <c r="IK13" s="213" t="str">
        <f>IF('Supp. Result Entry'!W12="","",'Supp. Result Entry'!W12)</f>
        <v/>
      </c>
      <c r="IL13" s="213" t="str">
        <f>IF('Supp. Result Entry'!Z12="","",'Supp. Result Entry'!Z12)</f>
        <v/>
      </c>
      <c r="IM13" s="213" t="str">
        <f>IF('Supp. Result Entry'!AC12="","",'Supp. Result Entry'!AC12)</f>
        <v/>
      </c>
      <c r="IN13" s="213" t="str">
        <f>IF('Supp. Result Entry'!AF12="","",'Supp. Result Entry'!AF12)</f>
        <v/>
      </c>
      <c r="IO13" s="213" t="str">
        <f>IF('Supp. Result Entry'!AI12="","",'Supp. Result Entry'!AI12)</f>
        <v/>
      </c>
      <c r="IP13" s="213" t="str">
        <f>IF('Supp. Result Entry'!AL12="","",'Supp. Result Entry'!AL12)</f>
        <v/>
      </c>
      <c r="IQ13" s="213">
        <f>COUNTIF('Supp. Result Entry'!K12:Q12,"S")</f>
        <v>0</v>
      </c>
      <c r="IR13" s="213">
        <f t="shared" si="170"/>
        <v>0</v>
      </c>
      <c r="IS13" s="213">
        <f t="shared" si="171"/>
        <v>0</v>
      </c>
      <c r="IT13" s="213" t="str">
        <f t="shared" si="41"/>
        <v/>
      </c>
      <c r="IU13" s="213" t="str">
        <f t="shared" si="42"/>
        <v/>
      </c>
      <c r="IV13" s="213" t="str">
        <f t="shared" si="43"/>
        <v/>
      </c>
      <c r="IW13" s="213" t="str">
        <f t="shared" si="44"/>
        <v/>
      </c>
      <c r="IX13" s="213" t="str">
        <f t="shared" si="45"/>
        <v/>
      </c>
      <c r="IY13" s="213" t="str">
        <f t="shared" si="172"/>
        <v/>
      </c>
      <c r="IZ13" s="213" t="str">
        <f t="shared" si="173"/>
        <v/>
      </c>
      <c r="JA13" s="213" t="str">
        <f t="shared" si="46"/>
        <v/>
      </c>
      <c r="JB13" s="211" t="str">
        <f t="shared" si="174"/>
        <v/>
      </c>
    </row>
    <row r="14" spans="1:262" s="211" customFormat="1" ht="21" customHeight="1">
      <c r="A14" s="184">
        <v>7</v>
      </c>
      <c r="B14" s="185">
        <f>IF('Marks Entry'!B14="","",'Marks Entry'!B14)</f>
        <v>1107</v>
      </c>
      <c r="C14" s="186">
        <f>IF('Marks Entry'!D14="","",'Marks Entry'!D14)</f>
        <v>222</v>
      </c>
      <c r="D14" s="187">
        <f>IF('Marks Entry'!E14="","",'Marks Entry'!E14)</f>
        <v>40065</v>
      </c>
      <c r="E14" s="188" t="str">
        <f>IF('Marks Entry'!F14="","",'Marks Entry'!F14)</f>
        <v>G</v>
      </c>
      <c r="F14" s="188" t="str">
        <f>IF('Marks Entry'!G14="","",'Marks Entry'!G14)</f>
        <v>T</v>
      </c>
      <c r="G14" s="188" t="str">
        <f>IF('Marks Entry'!H14="","",'Marks Entry'!H14)</f>
        <v>S</v>
      </c>
      <c r="H14" s="189" t="str">
        <f>IF('Marks Entry'!I14="","",'Marks Entry'!I14)</f>
        <v>GEN</v>
      </c>
      <c r="I14" s="190" t="str">
        <f>IF('Marks Entry'!J14="","",'Marks Entry'!J14)</f>
        <v>M</v>
      </c>
      <c r="J14" s="545">
        <f>IF('Marks Entry'!K14="","",'Marks Entry'!K14)</f>
        <v>7</v>
      </c>
      <c r="K14" s="545">
        <f>IF('Marks Entry'!L14="","",'Marks Entry'!L14)</f>
        <v>9</v>
      </c>
      <c r="L14" s="545">
        <f>IF('Marks Entry'!M14="","",'Marks Entry'!M14)</f>
        <v>8</v>
      </c>
      <c r="M14" s="546">
        <f t="shared" si="47"/>
        <v>24</v>
      </c>
      <c r="N14" s="545">
        <f>IF('Marks Entry'!N14="","",'Marks Entry'!N14)</f>
        <v>43</v>
      </c>
      <c r="O14" s="546">
        <f t="shared" si="48"/>
        <v>67</v>
      </c>
      <c r="P14" s="545">
        <f>IF('Marks Entry'!O14="","",'Marks Entry'!O14)</f>
        <v>43</v>
      </c>
      <c r="Q14" s="547">
        <f t="shared" si="49"/>
        <v>110</v>
      </c>
      <c r="R14" s="153">
        <f t="shared" si="50"/>
        <v>0</v>
      </c>
      <c r="S14" s="153">
        <f t="shared" si="51"/>
        <v>0</v>
      </c>
      <c r="T14" s="154">
        <f t="shared" si="52"/>
        <v>200</v>
      </c>
      <c r="U14" s="153" t="str">
        <f t="shared" si="53"/>
        <v/>
      </c>
      <c r="V14" s="153" t="str">
        <f t="shared" si="54"/>
        <v>P</v>
      </c>
      <c r="W14" s="153" t="str">
        <f t="shared" si="55"/>
        <v>II</v>
      </c>
      <c r="X14" s="545">
        <f>IF('Marks Entry'!P14="","",'Marks Entry'!P14)</f>
        <v>10</v>
      </c>
      <c r="Y14" s="545">
        <f>IF('Marks Entry'!Q14="","",'Marks Entry'!Q14)</f>
        <v>6</v>
      </c>
      <c r="Z14" s="545">
        <f>IF('Marks Entry'!R14="","",'Marks Entry'!R14)</f>
        <v>9</v>
      </c>
      <c r="AA14" s="546">
        <f t="shared" si="56"/>
        <v>25</v>
      </c>
      <c r="AB14" s="545">
        <f>IF('Marks Entry'!S14="","",'Marks Entry'!S14)</f>
        <v>41</v>
      </c>
      <c r="AC14" s="546">
        <f t="shared" si="57"/>
        <v>66</v>
      </c>
      <c r="AD14" s="545">
        <f>IF('Marks Entry'!T14="","",'Marks Entry'!T14)</f>
        <v>64</v>
      </c>
      <c r="AE14" s="547">
        <f t="shared" si="58"/>
        <v>130</v>
      </c>
      <c r="AF14" s="153">
        <f t="shared" si="59"/>
        <v>0</v>
      </c>
      <c r="AG14" s="153">
        <f t="shared" si="60"/>
        <v>0</v>
      </c>
      <c r="AH14" s="154">
        <f t="shared" si="61"/>
        <v>200</v>
      </c>
      <c r="AI14" s="153" t="str">
        <f t="shared" si="62"/>
        <v/>
      </c>
      <c r="AJ14" s="153" t="str">
        <f t="shared" si="63"/>
        <v>P</v>
      </c>
      <c r="AK14" s="153" t="str">
        <f t="shared" si="64"/>
        <v>I</v>
      </c>
      <c r="AL14" s="573" t="str">
        <f>IF('Marks Entry'!U14="","",'Marks Entry'!U14)</f>
        <v>A</v>
      </c>
      <c r="AM14" s="573">
        <f>IF('Marks Entry'!V14="","",'Marks Entry'!V14)</f>
        <v>7</v>
      </c>
      <c r="AN14" s="573">
        <f>IF('Marks Entry'!W14="","",'Marks Entry'!W14)</f>
        <v>4</v>
      </c>
      <c r="AO14" s="573">
        <f>IF('Marks Entry'!X14="","",'Marks Entry'!X14)</f>
        <v>6</v>
      </c>
      <c r="AP14" s="572">
        <f t="shared" si="65"/>
        <v>17</v>
      </c>
      <c r="AQ14" s="573">
        <f>IF('Marks Entry'!Y14="","",'Marks Entry'!Y14)</f>
        <v>14</v>
      </c>
      <c r="AR14" s="573" t="str">
        <f>IF('Marks Entry'!Z14="","",'Marks Entry'!Z14)</f>
        <v/>
      </c>
      <c r="AS14" s="572">
        <f t="shared" si="66"/>
        <v>14</v>
      </c>
      <c r="AT14" s="572">
        <f t="shared" si="67"/>
        <v>31</v>
      </c>
      <c r="AU14" s="573">
        <f>IF('Marks Entry'!AA14="","",'Marks Entry'!AA14)</f>
        <v>30</v>
      </c>
      <c r="AV14" s="573" t="str">
        <f>IF('Marks Entry'!AB14="","",'Marks Entry'!AB14)</f>
        <v/>
      </c>
      <c r="AW14" s="572">
        <f t="shared" si="68"/>
        <v>30</v>
      </c>
      <c r="AX14" s="157">
        <f t="shared" si="69"/>
        <v>61</v>
      </c>
      <c r="AY14" s="157" t="str">
        <f t="shared" si="70"/>
        <v/>
      </c>
      <c r="AZ14" s="192">
        <f t="shared" si="71"/>
        <v>61</v>
      </c>
      <c r="BA14" s="153">
        <f t="shared" si="72"/>
        <v>0</v>
      </c>
      <c r="BB14" s="154">
        <f t="shared" si="73"/>
        <v>0</v>
      </c>
      <c r="BC14" s="154">
        <f t="shared" si="74"/>
        <v>100</v>
      </c>
      <c r="BD14" s="154" t="str">
        <f t="shared" si="75"/>
        <v/>
      </c>
      <c r="BE14" s="154">
        <f t="shared" si="76"/>
        <v>200</v>
      </c>
      <c r="BF14" s="153" t="str">
        <f t="shared" si="77"/>
        <v/>
      </c>
      <c r="BG14" s="154" t="str">
        <f t="shared" si="175"/>
        <v>S</v>
      </c>
      <c r="BH14" s="153" t="str">
        <f t="shared" si="78"/>
        <v>S</v>
      </c>
      <c r="BI14" s="580" t="str">
        <f>IF('Marks Entry'!AC14="","",'Marks Entry'!AC14)</f>
        <v>A</v>
      </c>
      <c r="BJ14" s="580">
        <f>IF('Marks Entry'!AD14="","",'Marks Entry'!AD14)</f>
        <v>8</v>
      </c>
      <c r="BK14" s="580">
        <f>IF('Marks Entry'!AE14="","",'Marks Entry'!AE14)</f>
        <v>10</v>
      </c>
      <c r="BL14" s="580">
        <f>IF('Marks Entry'!AF14="","",'Marks Entry'!AF14)</f>
        <v>8</v>
      </c>
      <c r="BM14" s="581">
        <f t="shared" si="79"/>
        <v>26</v>
      </c>
      <c r="BN14" s="580">
        <f>IF('Marks Entry'!AG14="","",'Marks Entry'!AG14)</f>
        <v>45</v>
      </c>
      <c r="BO14" s="580" t="str">
        <f>IF('Marks Entry'!AH14="","",'Marks Entry'!AH14)</f>
        <v/>
      </c>
      <c r="BP14" s="581">
        <f t="shared" si="80"/>
        <v>45</v>
      </c>
      <c r="BQ14" s="581">
        <f t="shared" si="81"/>
        <v>71</v>
      </c>
      <c r="BR14" s="580">
        <f>IF('Marks Entry'!AI14="","",'Marks Entry'!AI14)</f>
        <v>54</v>
      </c>
      <c r="BS14" s="580" t="str">
        <f>IF('Marks Entry'!AJ14="","",'Marks Entry'!AJ14)</f>
        <v/>
      </c>
      <c r="BT14" s="581">
        <f t="shared" si="82"/>
        <v>54</v>
      </c>
      <c r="BU14" s="157">
        <f t="shared" si="83"/>
        <v>125</v>
      </c>
      <c r="BV14" s="157" t="str">
        <f t="shared" si="84"/>
        <v/>
      </c>
      <c r="BW14" s="192">
        <f t="shared" si="85"/>
        <v>125</v>
      </c>
      <c r="BX14" s="153">
        <f t="shared" si="86"/>
        <v>0</v>
      </c>
      <c r="BY14" s="154">
        <f t="shared" si="87"/>
        <v>0</v>
      </c>
      <c r="BZ14" s="154">
        <f t="shared" si="88"/>
        <v>100</v>
      </c>
      <c r="CA14" s="154" t="str">
        <f t="shared" si="89"/>
        <v/>
      </c>
      <c r="CB14" s="154">
        <f t="shared" si="90"/>
        <v>200</v>
      </c>
      <c r="CC14" s="153" t="str">
        <f t="shared" si="91"/>
        <v/>
      </c>
      <c r="CD14" s="154" t="str">
        <f t="shared" si="92"/>
        <v>P</v>
      </c>
      <c r="CE14" s="153" t="str">
        <f t="shared" si="93"/>
        <v>I</v>
      </c>
      <c r="CF14" s="580" t="str">
        <f>IF('Marks Entry'!AK14="","",'Marks Entry'!AK14)</f>
        <v>B</v>
      </c>
      <c r="CG14" s="580">
        <f>IF('Marks Entry'!AL14="","",'Marks Entry'!AL14)</f>
        <v>4</v>
      </c>
      <c r="CH14" s="580">
        <f>IF('Marks Entry'!AM14="","",'Marks Entry'!AM14)</f>
        <v>4</v>
      </c>
      <c r="CI14" s="580">
        <f>IF('Marks Entry'!AN14="","",'Marks Entry'!AN14)</f>
        <v>9</v>
      </c>
      <c r="CJ14" s="581">
        <f t="shared" si="94"/>
        <v>17</v>
      </c>
      <c r="CK14" s="580">
        <f>IF('Marks Entry'!AO14="","",'Marks Entry'!AO14)</f>
        <v>32</v>
      </c>
      <c r="CL14" s="580" t="str">
        <f>IF('Marks Entry'!AP14="","",'Marks Entry'!AP14)</f>
        <v/>
      </c>
      <c r="CM14" s="581">
        <f t="shared" si="95"/>
        <v>32</v>
      </c>
      <c r="CN14" s="581">
        <f t="shared" si="96"/>
        <v>49</v>
      </c>
      <c r="CO14" s="580">
        <f>IF('Marks Entry'!AQ14="","",'Marks Entry'!AQ14)</f>
        <v>39</v>
      </c>
      <c r="CP14" s="580" t="str">
        <f>IF('Marks Entry'!AR14="","",'Marks Entry'!AR14)</f>
        <v/>
      </c>
      <c r="CQ14" s="581">
        <f t="shared" si="97"/>
        <v>39</v>
      </c>
      <c r="CR14" s="157">
        <f t="shared" si="98"/>
        <v>88</v>
      </c>
      <c r="CS14" s="157" t="str">
        <f t="shared" si="99"/>
        <v/>
      </c>
      <c r="CT14" s="192">
        <f t="shared" si="100"/>
        <v>88</v>
      </c>
      <c r="CU14" s="153">
        <f t="shared" si="101"/>
        <v>0</v>
      </c>
      <c r="CV14" s="154">
        <f t="shared" si="102"/>
        <v>0</v>
      </c>
      <c r="CW14" s="154">
        <f t="shared" si="103"/>
        <v>100</v>
      </c>
      <c r="CX14" s="154" t="str">
        <f t="shared" si="104"/>
        <v/>
      </c>
      <c r="CY14" s="154">
        <f t="shared" si="176"/>
        <v>200</v>
      </c>
      <c r="CZ14" s="153" t="str">
        <f t="shared" si="105"/>
        <v/>
      </c>
      <c r="DA14" s="154" t="str">
        <f t="shared" si="106"/>
        <v>P</v>
      </c>
      <c r="DB14" s="153" t="str">
        <f t="shared" si="107"/>
        <v>III</v>
      </c>
      <c r="DC14" s="154">
        <f t="shared" si="108"/>
        <v>0</v>
      </c>
      <c r="DD14" s="826" t="str">
        <f>IF('Marks Entry'!AS14="","",IF(OR('Master Sheet'!$D$19="YES",'Marks Entry'!$BA$1=1),'Marks Entry'!AS14,""))</f>
        <v/>
      </c>
      <c r="DE14" s="826" t="str">
        <f>IF('Marks Entry'!AT14="","",IF(OR('Master Sheet'!$D$19="YES",'Marks Entry'!$BA$1=1),'Marks Entry'!AT14,""))</f>
        <v/>
      </c>
      <c r="DF14" s="826" t="str">
        <f>IF('Marks Entry'!AU14="","",IF(OR('Master Sheet'!$D$19="YES",'Marks Entry'!$BA$1=1),'Marks Entry'!AU14,""))</f>
        <v/>
      </c>
      <c r="DG14" s="826" t="str">
        <f>IF('Marks Entry'!AV14="","",IF(OR('Master Sheet'!$D$19="YES",'Marks Entry'!$BA$1=1),'Marks Entry'!AV14,""))</f>
        <v/>
      </c>
      <c r="DH14" s="827" t="str">
        <f t="shared" si="109"/>
        <v/>
      </c>
      <c r="DI14" s="826" t="str">
        <f>IF('Marks Entry'!AW14="","",IF(OR('Master Sheet'!$D$19="YES",'Marks Entry'!$BA$1=1),'Marks Entry'!AW14,""))</f>
        <v/>
      </c>
      <c r="DJ14" s="826" t="str">
        <f>IF('Marks Entry'!AX14="","",IF(OR('Master Sheet'!$D$19="YES",'Marks Entry'!$BA$1=1),'Marks Entry'!AX14,""))</f>
        <v/>
      </c>
      <c r="DK14" s="827" t="str">
        <f t="shared" si="110"/>
        <v/>
      </c>
      <c r="DL14" s="827" t="str">
        <f t="shared" si="111"/>
        <v/>
      </c>
      <c r="DM14" s="826" t="str">
        <f>IF('Marks Entry'!AY14="","",IF(OR('Master Sheet'!$D$19="YES",'Marks Entry'!$BA$1=1),'Marks Entry'!AY14,""))</f>
        <v/>
      </c>
      <c r="DN14" s="826" t="str">
        <f>IF('Marks Entry'!AZ14="","",IF(OR('Master Sheet'!$D$19="YES",'Marks Entry'!$BA$1=1),'Marks Entry'!AZ14,""))</f>
        <v/>
      </c>
      <c r="DO14" s="826" t="str">
        <f>IF('Marks Entry'!BA14="","",IF(OR('Master Sheet'!$D$19="YES",'Marks Entry'!$BA$1=1),'Marks Entry'!BA14,""))</f>
        <v/>
      </c>
      <c r="DP14" s="827" t="str">
        <f t="shared" si="112"/>
        <v/>
      </c>
      <c r="DQ14" s="157" t="str">
        <f t="shared" si="113"/>
        <v/>
      </c>
      <c r="DR14" s="157" t="str">
        <f t="shared" si="114"/>
        <v/>
      </c>
      <c r="DS14" s="157" t="str">
        <f t="shared" si="115"/>
        <v/>
      </c>
      <c r="DT14" s="192" t="str">
        <f t="shared" si="116"/>
        <v/>
      </c>
      <c r="DU14" s="153">
        <f t="shared" si="117"/>
        <v>0</v>
      </c>
      <c r="DV14" s="154" t="e">
        <f t="shared" si="118"/>
        <v>#VALUE!</v>
      </c>
      <c r="DW14" s="154" t="str">
        <f t="shared" si="119"/>
        <v/>
      </c>
      <c r="DX14" s="154" t="str">
        <f>IF(OR($B14="NSO",$B14=0,DS14=""),"",IF(AND(DJ14="",DO14=""),"",IF('Master Sheet'!$D$19="YES",$DO$6-COUNTIF(DO14,"ML")*DO$6,DS$6-(COUNTIF(DJ14,"ML")*DJ$6)-(COUNTIF(DO14,"ML")*DO$6))))</f>
        <v/>
      </c>
      <c r="DY14" s="154" t="str">
        <f>IF(OR($B14="NSO",$B14=0),"",IF(AND(DH14="",DI14="",DM14=""),"",IF(AND('Master Sheet'!$D$19="YES",'Marks Entry'!$BA$1=1),100,IF(AND(DJ14="",DO14=""),SUM(($DQ$7+$DR$7)-(DU14+DV14)),SUM(($DQ$6+$DR$6)-(DU14+DV14))))))</f>
        <v/>
      </c>
      <c r="DZ14" s="153" t="str">
        <f t="shared" si="120"/>
        <v/>
      </c>
      <c r="EA14" s="154" t="str">
        <f t="shared" si="121"/>
        <v/>
      </c>
      <c r="EB14" s="153" t="str">
        <f t="shared" si="122"/>
        <v/>
      </c>
      <c r="EC14" s="584">
        <f>IF('Marks Entry'!BB14="","",'Marks Entry'!BB14)</f>
        <v>26</v>
      </c>
      <c r="ED14" s="584">
        <f>IF('Marks Entry'!BC14="","",'Marks Entry'!BC14)</f>
        <v>27</v>
      </c>
      <c r="EE14" s="584">
        <f>IF('Marks Entry'!BD14="","",'Marks Entry'!BD14)</f>
        <v>32</v>
      </c>
      <c r="EF14" s="590">
        <f t="shared" si="123"/>
        <v>85</v>
      </c>
      <c r="EG14" s="595">
        <f t="shared" si="124"/>
        <v>0</v>
      </c>
      <c r="EH14" s="595">
        <f t="shared" si="125"/>
        <v>0</v>
      </c>
      <c r="EI14" s="193">
        <f t="shared" si="126"/>
        <v>100</v>
      </c>
      <c r="EJ14" s="595" t="str">
        <f t="shared" si="127"/>
        <v/>
      </c>
      <c r="EK14" s="595" t="str">
        <f t="shared" si="128"/>
        <v>A</v>
      </c>
      <c r="EL14" s="194" t="str">
        <f t="shared" si="129"/>
        <v>II</v>
      </c>
      <c r="EM14" s="194" t="str">
        <f t="shared" si="130"/>
        <v>I</v>
      </c>
      <c r="EN14" s="194" t="str">
        <f t="shared" si="131"/>
        <v>S</v>
      </c>
      <c r="EO14" s="194" t="str">
        <f t="shared" si="132"/>
        <v>I</v>
      </c>
      <c r="EP14" s="194" t="str">
        <f t="shared" si="133"/>
        <v>III</v>
      </c>
      <c r="EQ14" s="194" t="str">
        <f t="shared" si="134"/>
        <v/>
      </c>
      <c r="ER14" s="195">
        <f t="shared" si="135"/>
        <v>0</v>
      </c>
      <c r="ES14" s="195">
        <f t="shared" si="136"/>
        <v>1</v>
      </c>
      <c r="ET14" s="195">
        <f t="shared" si="137"/>
        <v>0</v>
      </c>
      <c r="EU14" s="195">
        <f t="shared" si="138"/>
        <v>0</v>
      </c>
      <c r="EV14" s="195">
        <f t="shared" si="139"/>
        <v>0</v>
      </c>
      <c r="EW14" s="195" t="str">
        <f t="shared" si="140"/>
        <v/>
      </c>
      <c r="EX14" s="196" t="str">
        <f t="shared" si="141"/>
        <v>SUPPLEMENTARY</v>
      </c>
      <c r="EY14" s="197">
        <f>IF('Marks Entry'!BE14="","",'Marks Entry'!BE14)</f>
        <v>8</v>
      </c>
      <c r="EZ14" s="197">
        <f>IF('Marks Entry'!BF14="","",'Marks Entry'!BF14)</f>
        <v>8</v>
      </c>
      <c r="FA14" s="197">
        <f>IF('Marks Entry'!BG14="","",'Marks Entry'!BG14)</f>
        <v>8</v>
      </c>
      <c r="FB14" s="596">
        <f t="shared" si="142"/>
        <v>24</v>
      </c>
      <c r="FC14" s="197">
        <f>IF('Marks Entry'!BH14="","",'Marks Entry'!BH14)</f>
        <v>52</v>
      </c>
      <c r="FD14" s="197">
        <f>IF('Marks Entry'!BI14="","",'Marks Entry'!BI14)</f>
        <v>73</v>
      </c>
      <c r="FE14" s="198">
        <f t="shared" si="143"/>
        <v>149</v>
      </c>
      <c r="FF14" s="199" t="str">
        <f t="shared" si="144"/>
        <v>B</v>
      </c>
      <c r="FG14" s="200">
        <f>IF(AND(E14=""),"",IF('Student DATA Entry'!L10="","",'Student DATA Entry'!L10))</f>
        <v>380</v>
      </c>
      <c r="FH14" s="201">
        <f>IF(AND(E14=""),"",IF('Student DATA Entry'!M10="","",'Student DATA Entry'!M10))</f>
        <v>370</v>
      </c>
      <c r="FI14" s="202">
        <f t="shared" si="145"/>
        <v>97.368421052631575</v>
      </c>
      <c r="FJ14" s="189" t="str">
        <f t="shared" si="146"/>
        <v>II</v>
      </c>
      <c r="FK14" s="189" t="str">
        <f t="shared" si="147"/>
        <v/>
      </c>
      <c r="FL14" s="203" t="str">
        <f t="shared" si="19"/>
        <v/>
      </c>
      <c r="FM14" s="189" t="str">
        <f t="shared" si="148"/>
        <v>I</v>
      </c>
      <c r="FN14" s="204" t="str">
        <f t="shared" si="149"/>
        <v/>
      </c>
      <c r="FO14" s="203" t="str">
        <f t="shared" si="20"/>
        <v/>
      </c>
      <c r="FP14" s="205" t="str">
        <f t="shared" si="150"/>
        <v>S</v>
      </c>
      <c r="FQ14" s="189" t="str">
        <f t="shared" si="21"/>
        <v>S</v>
      </c>
      <c r="FR14" s="189" t="str">
        <f t="shared" si="22"/>
        <v/>
      </c>
      <c r="FS14" s="189" t="str">
        <f t="shared" si="23"/>
        <v/>
      </c>
      <c r="FT14" s="189" t="str">
        <f t="shared" si="24"/>
        <v/>
      </c>
      <c r="FU14" s="189" t="str">
        <f t="shared" si="151"/>
        <v/>
      </c>
      <c r="FV14" s="206" t="str">
        <f t="shared" si="25"/>
        <v/>
      </c>
      <c r="FW14" s="205" t="str">
        <f t="shared" si="152"/>
        <v>I</v>
      </c>
      <c r="FX14" s="189" t="str">
        <f t="shared" si="26"/>
        <v>I</v>
      </c>
      <c r="FY14" s="189" t="str">
        <f t="shared" si="27"/>
        <v/>
      </c>
      <c r="FZ14" s="189" t="str">
        <f t="shared" si="28"/>
        <v/>
      </c>
      <c r="GA14" s="189" t="str">
        <f t="shared" si="29"/>
        <v/>
      </c>
      <c r="GB14" s="189" t="str">
        <f t="shared" si="153"/>
        <v/>
      </c>
      <c r="GC14" s="206" t="str">
        <f t="shared" si="30"/>
        <v/>
      </c>
      <c r="GD14" s="205" t="str">
        <f t="shared" si="154"/>
        <v>III</v>
      </c>
      <c r="GE14" s="189" t="str">
        <f t="shared" si="31"/>
        <v/>
      </c>
      <c r="GF14" s="189" t="str">
        <f t="shared" si="32"/>
        <v>III</v>
      </c>
      <c r="GG14" s="189" t="str">
        <f t="shared" si="33"/>
        <v/>
      </c>
      <c r="GH14" s="189" t="str">
        <f t="shared" si="34"/>
        <v/>
      </c>
      <c r="GI14" s="189" t="str">
        <f t="shared" si="155"/>
        <v/>
      </c>
      <c r="GJ14" s="206" t="str">
        <f t="shared" si="35"/>
        <v/>
      </c>
      <c r="GK14" s="205" t="str">
        <f t="shared" si="156"/>
        <v/>
      </c>
      <c r="GL14" s="189" t="str">
        <f t="shared" si="36"/>
        <v/>
      </c>
      <c r="GM14" s="189" t="str">
        <f t="shared" si="37"/>
        <v/>
      </c>
      <c r="GN14" s="189" t="str">
        <f t="shared" si="38"/>
        <v/>
      </c>
      <c r="GO14" s="189" t="str">
        <f t="shared" si="39"/>
        <v/>
      </c>
      <c r="GP14" s="189" t="str">
        <f t="shared" si="157"/>
        <v/>
      </c>
      <c r="GQ14" s="206" t="str">
        <f t="shared" si="40"/>
        <v/>
      </c>
      <c r="GR14" s="189" t="str">
        <f t="shared" si="158"/>
        <v>A</v>
      </c>
      <c r="GS14" s="189" t="str">
        <f t="shared" si="159"/>
        <v>B</v>
      </c>
      <c r="GT14" s="207" t="str">
        <f t="shared" si="177"/>
        <v xml:space="preserve">    </v>
      </c>
      <c r="GU14" s="207" t="str">
        <f t="shared" si="160"/>
        <v xml:space="preserve">  POLITICAL SCIENCE  </v>
      </c>
      <c r="GV14" s="207" t="str">
        <f t="shared" si="161"/>
        <v xml:space="preserve">    </v>
      </c>
      <c r="GW14" s="207" t="str">
        <f t="shared" si="162"/>
        <v xml:space="preserve">       </v>
      </c>
      <c r="GX14" s="598" t="str">
        <f t="shared" si="163"/>
        <v xml:space="preserve">     </v>
      </c>
      <c r="GY14" s="208" t="str">
        <f t="shared" si="164"/>
        <v>SUPPLEMENTARY</v>
      </c>
      <c r="GZ14" s="606">
        <f>IF(AND(Q14="",AE14="",AZ14="",BW14="",CT14=""),"",IF(AND('Master Sheet'!$D$19="YES",'Marks Entry'!$BA$1=1),SUM(Q14,AE14,AZ14,BW14,DT14),SUM(Q14,AE14,AZ14,BW14,CT14)))</f>
        <v>514</v>
      </c>
      <c r="HA14" s="209">
        <f>IF(GZ14="","",IF(AND('Master Sheet'!$D$19="YES",'Marks Entry'!$BA$1=1),GZ14/((900)-DC14)*100,GZ14/((1000)-DC14)*100))</f>
        <v>51.4</v>
      </c>
      <c r="HB14" s="611" t="str">
        <f t="shared" si="165"/>
        <v/>
      </c>
      <c r="HC14" s="609" t="str">
        <f t="shared" si="166"/>
        <v/>
      </c>
      <c r="HD14" s="610" t="str">
        <f t="shared" si="167"/>
        <v/>
      </c>
      <c r="HE14" s="210" t="str">
        <f>IFERROR(IF(OR(GY14="SUPPLEMENTARY",GY14="RE-EXAM"),'Supp. Result Entry'!AS13,""),"")</f>
        <v>PASS</v>
      </c>
      <c r="HF14" s="613">
        <f t="shared" si="168"/>
        <v>48.9</v>
      </c>
      <c r="HG14" s="598" t="str">
        <f t="shared" si="169"/>
        <v>II</v>
      </c>
      <c r="HH14" s="598" t="str">
        <f>IF(AND(HE14="",HF14="",HG14=""),"",IF(OR(GY14="SUPPLEMENTARY",GY14="RE-EXAM"),'Supp. Result Entry'!AS13,GY14))</f>
        <v>PASS</v>
      </c>
      <c r="HI14" s="180"/>
      <c r="HY14" s="212" t="str">
        <f>IF('Supp. Result Entry'!U13="","",'Supp. Result Entry'!$U$6)</f>
        <v/>
      </c>
      <c r="HZ14" s="213" t="str">
        <f>IF('Supp. Result Entry'!X13="","",'Supp. Result Entry'!$X$6)</f>
        <v/>
      </c>
      <c r="IA14" s="213">
        <f>IF('Supp. Result Entry'!AA13="","",'Supp. Result Entry'!$AA$6)</f>
        <v>100</v>
      </c>
      <c r="IB14" s="213" t="str">
        <f>IF('Supp. Result Entry'!AD13="","",'Supp. Result Entry'!$AD$6)</f>
        <v/>
      </c>
      <c r="IC14" s="213" t="str">
        <f>IF('Supp. Result Entry'!AG13="","",'Supp. Result Entry'!$AG$6)</f>
        <v/>
      </c>
      <c r="ID14" s="213" t="str">
        <f>IF('Supp. Result Entry'!AJ13="","",'Supp. Result Entry'!$AJ$6)</f>
        <v/>
      </c>
      <c r="IE14" s="213" t="str">
        <f>IF('Supp. Result Entry'!V13="","",'Supp. Result Entry'!V13)</f>
        <v/>
      </c>
      <c r="IF14" s="213" t="str">
        <f>IF('Supp. Result Entry'!Y13="","",'Supp. Result Entry'!Y13)</f>
        <v/>
      </c>
      <c r="IG14" s="213">
        <f>IF('Supp. Result Entry'!AB13="","",'Supp. Result Entry'!AB13)</f>
        <v>36</v>
      </c>
      <c r="IH14" s="213" t="str">
        <f>IF('Supp. Result Entry'!AE13="","",'Supp. Result Entry'!AE13)</f>
        <v/>
      </c>
      <c r="II14" s="213" t="str">
        <f>IF('Supp. Result Entry'!AH13="","",'Supp. Result Entry'!AH13)</f>
        <v/>
      </c>
      <c r="IJ14" s="213" t="str">
        <f>IF('Supp. Result Entry'!AK13="","",'Supp. Result Entry'!AK13)</f>
        <v/>
      </c>
      <c r="IK14" s="213" t="str">
        <f>IF('Supp. Result Entry'!W13="","",'Supp. Result Entry'!W13)</f>
        <v/>
      </c>
      <c r="IL14" s="213" t="str">
        <f>IF('Supp. Result Entry'!Z13="","",'Supp. Result Entry'!Z13)</f>
        <v/>
      </c>
      <c r="IM14" s="213" t="str">
        <f>IF('Supp. Result Entry'!AC13="","",'Supp. Result Entry'!AC13)</f>
        <v>P</v>
      </c>
      <c r="IN14" s="213" t="str">
        <f>IF('Supp. Result Entry'!AF13="","",'Supp. Result Entry'!AF13)</f>
        <v/>
      </c>
      <c r="IO14" s="213" t="str">
        <f>IF('Supp. Result Entry'!AI13="","",'Supp. Result Entry'!AI13)</f>
        <v/>
      </c>
      <c r="IP14" s="213" t="str">
        <f>IF('Supp. Result Entry'!AL13="","",'Supp. Result Entry'!AL13)</f>
        <v/>
      </c>
      <c r="IQ14" s="213">
        <f>COUNTIF('Supp. Result Entry'!K13:Q13,"S")</f>
        <v>1</v>
      </c>
      <c r="IR14" s="213">
        <f t="shared" si="170"/>
        <v>0</v>
      </c>
      <c r="IS14" s="213">
        <f t="shared" si="171"/>
        <v>1</v>
      </c>
      <c r="IT14" s="213">
        <f t="shared" si="41"/>
        <v>110</v>
      </c>
      <c r="IU14" s="213">
        <f t="shared" si="42"/>
        <v>130</v>
      </c>
      <c r="IV14" s="213">
        <f t="shared" si="43"/>
        <v>36</v>
      </c>
      <c r="IW14" s="213">
        <f t="shared" si="44"/>
        <v>125</v>
      </c>
      <c r="IX14" s="213">
        <f t="shared" si="45"/>
        <v>88</v>
      </c>
      <c r="IY14" s="213">
        <f t="shared" si="172"/>
        <v>489</v>
      </c>
      <c r="IZ14" s="213">
        <f t="shared" si="173"/>
        <v>48.9</v>
      </c>
      <c r="JA14" s="213">
        <f t="shared" si="46"/>
        <v>1000</v>
      </c>
      <c r="JB14" s="211" t="str">
        <f t="shared" si="174"/>
        <v>II</v>
      </c>
    </row>
    <row r="15" spans="1:262" s="211" customFormat="1" ht="21" customHeight="1">
      <c r="A15" s="184">
        <v>8</v>
      </c>
      <c r="B15" s="185">
        <f>IF('Marks Entry'!B15="","",'Marks Entry'!B15)</f>
        <v>1108</v>
      </c>
      <c r="C15" s="186">
        <f>IF('Marks Entry'!D15="","",'Marks Entry'!D15)</f>
        <v>123</v>
      </c>
      <c r="D15" s="187">
        <f>IF('Marks Entry'!E15="","",'Marks Entry'!E15)</f>
        <v>39763</v>
      </c>
      <c r="E15" s="188" t="str">
        <f>IF('Marks Entry'!F15="","",'Marks Entry'!F15)</f>
        <v>O</v>
      </c>
      <c r="F15" s="188" t="str">
        <f>IF('Marks Entry'!G15="","",'Marks Entry'!G15)</f>
        <v>R</v>
      </c>
      <c r="G15" s="188" t="str">
        <f>IF('Marks Entry'!H15="","",'Marks Entry'!H15)</f>
        <v>I</v>
      </c>
      <c r="H15" s="189" t="str">
        <f>IF('Marks Entry'!I15="","",'Marks Entry'!I15)</f>
        <v>OBC</v>
      </c>
      <c r="I15" s="190" t="str">
        <f>IF('Marks Entry'!J15="","",'Marks Entry'!J15)</f>
        <v>M</v>
      </c>
      <c r="J15" s="545">
        <f>IF('Marks Entry'!K15="","",'Marks Entry'!K15)</f>
        <v>10</v>
      </c>
      <c r="K15" s="545">
        <f>IF('Marks Entry'!L15="","",'Marks Entry'!L15)</f>
        <v>10</v>
      </c>
      <c r="L15" s="545">
        <f>IF('Marks Entry'!M15="","",'Marks Entry'!M15)</f>
        <v>8</v>
      </c>
      <c r="M15" s="546">
        <f t="shared" si="47"/>
        <v>28</v>
      </c>
      <c r="N15" s="545">
        <f>IF('Marks Entry'!N15="","",'Marks Entry'!N15)</f>
        <v>46</v>
      </c>
      <c r="O15" s="546">
        <f t="shared" si="48"/>
        <v>74</v>
      </c>
      <c r="P15" s="545">
        <f>IF('Marks Entry'!O15="","",'Marks Entry'!O15)</f>
        <v>25</v>
      </c>
      <c r="Q15" s="547">
        <f t="shared" si="49"/>
        <v>99</v>
      </c>
      <c r="R15" s="153">
        <f t="shared" si="50"/>
        <v>0</v>
      </c>
      <c r="S15" s="153">
        <f t="shared" si="51"/>
        <v>0</v>
      </c>
      <c r="T15" s="154">
        <f t="shared" si="52"/>
        <v>200</v>
      </c>
      <c r="U15" s="153" t="str">
        <f t="shared" si="53"/>
        <v/>
      </c>
      <c r="V15" s="153" t="str">
        <f t="shared" si="54"/>
        <v>P</v>
      </c>
      <c r="W15" s="153" t="str">
        <f t="shared" si="55"/>
        <v>II</v>
      </c>
      <c r="X15" s="545">
        <f>IF('Marks Entry'!P15="","",'Marks Entry'!P15)</f>
        <v>8</v>
      </c>
      <c r="Y15" s="545">
        <f>IF('Marks Entry'!Q15="","",'Marks Entry'!Q15)</f>
        <v>5</v>
      </c>
      <c r="Z15" s="545">
        <f>IF('Marks Entry'!R15="","",'Marks Entry'!R15)</f>
        <v>9</v>
      </c>
      <c r="AA15" s="546">
        <f t="shared" si="56"/>
        <v>22</v>
      </c>
      <c r="AB15" s="545">
        <f>IF('Marks Entry'!S15="","",'Marks Entry'!S15)</f>
        <v>42</v>
      </c>
      <c r="AC15" s="546">
        <f t="shared" si="57"/>
        <v>64</v>
      </c>
      <c r="AD15" s="545">
        <f>IF('Marks Entry'!T15="","",'Marks Entry'!T15)</f>
        <v>61</v>
      </c>
      <c r="AE15" s="547">
        <f t="shared" si="58"/>
        <v>125</v>
      </c>
      <c r="AF15" s="153">
        <f t="shared" si="59"/>
        <v>0</v>
      </c>
      <c r="AG15" s="153">
        <f t="shared" si="60"/>
        <v>0</v>
      </c>
      <c r="AH15" s="154">
        <f t="shared" si="61"/>
        <v>200</v>
      </c>
      <c r="AI15" s="153" t="str">
        <f t="shared" si="62"/>
        <v/>
      </c>
      <c r="AJ15" s="153" t="str">
        <f t="shared" si="63"/>
        <v>P</v>
      </c>
      <c r="AK15" s="153" t="str">
        <f t="shared" si="64"/>
        <v>I</v>
      </c>
      <c r="AL15" s="573" t="str">
        <f>IF('Marks Entry'!U15="","",'Marks Entry'!U15)</f>
        <v>A</v>
      </c>
      <c r="AM15" s="573">
        <f>IF('Marks Entry'!V15="","",'Marks Entry'!V15)</f>
        <v>10</v>
      </c>
      <c r="AN15" s="573">
        <f>IF('Marks Entry'!W15="","",'Marks Entry'!W15)</f>
        <v>5</v>
      </c>
      <c r="AO15" s="573">
        <f>IF('Marks Entry'!X15="","",'Marks Entry'!X15)</f>
        <v>7</v>
      </c>
      <c r="AP15" s="572">
        <f t="shared" si="65"/>
        <v>22</v>
      </c>
      <c r="AQ15" s="573">
        <f>IF('Marks Entry'!Y15="","",'Marks Entry'!Y15)</f>
        <v>17</v>
      </c>
      <c r="AR15" s="573" t="str">
        <f>IF('Marks Entry'!Z15="","",'Marks Entry'!Z15)</f>
        <v/>
      </c>
      <c r="AS15" s="572">
        <f t="shared" si="66"/>
        <v>17</v>
      </c>
      <c r="AT15" s="572">
        <f t="shared" si="67"/>
        <v>39</v>
      </c>
      <c r="AU15" s="573">
        <f>IF('Marks Entry'!AA15="","",'Marks Entry'!AA15)</f>
        <v>27</v>
      </c>
      <c r="AV15" s="573" t="str">
        <f>IF('Marks Entry'!AB15="","",'Marks Entry'!AB15)</f>
        <v/>
      </c>
      <c r="AW15" s="572">
        <f t="shared" si="68"/>
        <v>27</v>
      </c>
      <c r="AX15" s="157">
        <f t="shared" si="69"/>
        <v>66</v>
      </c>
      <c r="AY15" s="157" t="str">
        <f t="shared" si="70"/>
        <v/>
      </c>
      <c r="AZ15" s="192">
        <f t="shared" si="71"/>
        <v>66</v>
      </c>
      <c r="BA15" s="153">
        <f t="shared" si="72"/>
        <v>0</v>
      </c>
      <c r="BB15" s="154">
        <f t="shared" si="73"/>
        <v>0</v>
      </c>
      <c r="BC15" s="154">
        <f t="shared" si="74"/>
        <v>100</v>
      </c>
      <c r="BD15" s="154" t="str">
        <f t="shared" si="75"/>
        <v/>
      </c>
      <c r="BE15" s="154">
        <f t="shared" si="76"/>
        <v>200</v>
      </c>
      <c r="BF15" s="153" t="str">
        <f t="shared" si="77"/>
        <v/>
      </c>
      <c r="BG15" s="154" t="str">
        <f t="shared" si="175"/>
        <v>G1</v>
      </c>
      <c r="BH15" s="153" t="str">
        <f t="shared" si="78"/>
        <v>G1</v>
      </c>
      <c r="BI15" s="580" t="str">
        <f>IF('Marks Entry'!AC15="","",'Marks Entry'!AC15)</f>
        <v>A</v>
      </c>
      <c r="BJ15" s="580">
        <f>IF('Marks Entry'!AD15="","",'Marks Entry'!AD15)</f>
        <v>10</v>
      </c>
      <c r="BK15" s="580">
        <f>IF('Marks Entry'!AE15="","",'Marks Entry'!AE15)</f>
        <v>10</v>
      </c>
      <c r="BL15" s="580">
        <f>IF('Marks Entry'!AF15="","",'Marks Entry'!AF15)</f>
        <v>7</v>
      </c>
      <c r="BM15" s="581">
        <f t="shared" si="79"/>
        <v>27</v>
      </c>
      <c r="BN15" s="580">
        <f>IF('Marks Entry'!AG15="","",'Marks Entry'!AG15)</f>
        <v>32</v>
      </c>
      <c r="BO15" s="580" t="str">
        <f>IF('Marks Entry'!AH15="","",'Marks Entry'!AH15)</f>
        <v/>
      </c>
      <c r="BP15" s="581">
        <f t="shared" si="80"/>
        <v>32</v>
      </c>
      <c r="BQ15" s="581">
        <f t="shared" si="81"/>
        <v>59</v>
      </c>
      <c r="BR15" s="580">
        <f>IF('Marks Entry'!AI15="","",'Marks Entry'!AI15)</f>
        <v>65</v>
      </c>
      <c r="BS15" s="580" t="str">
        <f>IF('Marks Entry'!AJ15="","",'Marks Entry'!AJ15)</f>
        <v/>
      </c>
      <c r="BT15" s="581">
        <f t="shared" si="82"/>
        <v>65</v>
      </c>
      <c r="BU15" s="157">
        <f t="shared" si="83"/>
        <v>124</v>
      </c>
      <c r="BV15" s="157" t="str">
        <f t="shared" si="84"/>
        <v/>
      </c>
      <c r="BW15" s="192">
        <f t="shared" si="85"/>
        <v>124</v>
      </c>
      <c r="BX15" s="153">
        <f t="shared" si="86"/>
        <v>0</v>
      </c>
      <c r="BY15" s="154">
        <f t="shared" si="87"/>
        <v>0</v>
      </c>
      <c r="BZ15" s="154">
        <f t="shared" si="88"/>
        <v>100</v>
      </c>
      <c r="CA15" s="154" t="str">
        <f t="shared" si="89"/>
        <v/>
      </c>
      <c r="CB15" s="154">
        <f t="shared" si="90"/>
        <v>200</v>
      </c>
      <c r="CC15" s="153" t="str">
        <f t="shared" si="91"/>
        <v/>
      </c>
      <c r="CD15" s="154" t="str">
        <f t="shared" si="92"/>
        <v>P</v>
      </c>
      <c r="CE15" s="153" t="str">
        <f t="shared" si="93"/>
        <v>I</v>
      </c>
      <c r="CF15" s="580" t="str">
        <f>IF('Marks Entry'!AK15="","",'Marks Entry'!AK15)</f>
        <v>B</v>
      </c>
      <c r="CG15" s="580">
        <f>IF('Marks Entry'!AL15="","",'Marks Entry'!AL15)</f>
        <v>3</v>
      </c>
      <c r="CH15" s="580">
        <f>IF('Marks Entry'!AM15="","",'Marks Entry'!AM15)</f>
        <v>3</v>
      </c>
      <c r="CI15" s="580">
        <f>IF('Marks Entry'!AN15="","",'Marks Entry'!AN15)</f>
        <v>7</v>
      </c>
      <c r="CJ15" s="581">
        <f t="shared" si="94"/>
        <v>13</v>
      </c>
      <c r="CK15" s="580">
        <f>IF('Marks Entry'!AO15="","",'Marks Entry'!AO15)</f>
        <v>10</v>
      </c>
      <c r="CL15" s="580" t="str">
        <f>IF('Marks Entry'!AP15="","",'Marks Entry'!AP15)</f>
        <v/>
      </c>
      <c r="CM15" s="581">
        <f t="shared" si="95"/>
        <v>10</v>
      </c>
      <c r="CN15" s="581">
        <f t="shared" si="96"/>
        <v>23</v>
      </c>
      <c r="CO15" s="580">
        <f>IF('Marks Entry'!AQ15="","",'Marks Entry'!AQ15)</f>
        <v>45</v>
      </c>
      <c r="CP15" s="580" t="str">
        <f>IF('Marks Entry'!AR15="","",'Marks Entry'!AR15)</f>
        <v/>
      </c>
      <c r="CQ15" s="581">
        <f t="shared" si="97"/>
        <v>45</v>
      </c>
      <c r="CR15" s="157">
        <f t="shared" si="98"/>
        <v>68</v>
      </c>
      <c r="CS15" s="157" t="str">
        <f t="shared" si="99"/>
        <v/>
      </c>
      <c r="CT15" s="192">
        <f t="shared" si="100"/>
        <v>68</v>
      </c>
      <c r="CU15" s="153">
        <f t="shared" si="101"/>
        <v>0</v>
      </c>
      <c r="CV15" s="154">
        <f t="shared" si="102"/>
        <v>0</v>
      </c>
      <c r="CW15" s="154">
        <f t="shared" si="103"/>
        <v>100</v>
      </c>
      <c r="CX15" s="154" t="str">
        <f t="shared" si="104"/>
        <v/>
      </c>
      <c r="CY15" s="154">
        <f t="shared" si="176"/>
        <v>200</v>
      </c>
      <c r="CZ15" s="153" t="str">
        <f t="shared" si="105"/>
        <v/>
      </c>
      <c r="DA15" s="154" t="str">
        <f t="shared" si="106"/>
        <v>G2</v>
      </c>
      <c r="DB15" s="153" t="str">
        <f t="shared" si="107"/>
        <v>G2</v>
      </c>
      <c r="DC15" s="154">
        <f t="shared" si="108"/>
        <v>0</v>
      </c>
      <c r="DD15" s="826" t="str">
        <f>IF('Marks Entry'!AS15="","",IF(OR('Master Sheet'!$D$19="YES",'Marks Entry'!$BA$1=1),'Marks Entry'!AS15,""))</f>
        <v/>
      </c>
      <c r="DE15" s="826" t="str">
        <f>IF('Marks Entry'!AT15="","",IF(OR('Master Sheet'!$D$19="YES",'Marks Entry'!$BA$1=1),'Marks Entry'!AT15,""))</f>
        <v/>
      </c>
      <c r="DF15" s="826" t="str">
        <f>IF('Marks Entry'!AU15="","",IF(OR('Master Sheet'!$D$19="YES",'Marks Entry'!$BA$1=1),'Marks Entry'!AU15,""))</f>
        <v/>
      </c>
      <c r="DG15" s="826" t="str">
        <f>IF('Marks Entry'!AV15="","",IF(OR('Master Sheet'!$D$19="YES",'Marks Entry'!$BA$1=1),'Marks Entry'!AV15,""))</f>
        <v/>
      </c>
      <c r="DH15" s="827" t="str">
        <f t="shared" si="109"/>
        <v/>
      </c>
      <c r="DI15" s="826" t="str">
        <f>IF('Marks Entry'!AW15="","",IF(OR('Master Sheet'!$D$19="YES",'Marks Entry'!$BA$1=1),'Marks Entry'!AW15,""))</f>
        <v/>
      </c>
      <c r="DJ15" s="826" t="str">
        <f>IF('Marks Entry'!AX15="","",IF(OR('Master Sheet'!$D$19="YES",'Marks Entry'!$BA$1=1),'Marks Entry'!AX15,""))</f>
        <v/>
      </c>
      <c r="DK15" s="827" t="str">
        <f t="shared" si="110"/>
        <v/>
      </c>
      <c r="DL15" s="827" t="str">
        <f t="shared" si="111"/>
        <v/>
      </c>
      <c r="DM15" s="826" t="str">
        <f>IF('Marks Entry'!AY15="","",IF(OR('Master Sheet'!$D$19="YES",'Marks Entry'!$BA$1=1),'Marks Entry'!AY15,""))</f>
        <v/>
      </c>
      <c r="DN15" s="826" t="str">
        <f>IF('Marks Entry'!AZ15="","",IF(OR('Master Sheet'!$D$19="YES",'Marks Entry'!$BA$1=1),'Marks Entry'!AZ15,""))</f>
        <v/>
      </c>
      <c r="DO15" s="826" t="str">
        <f>IF('Marks Entry'!BA15="","",IF(OR('Master Sheet'!$D$19="YES",'Marks Entry'!$BA$1=1),'Marks Entry'!BA15,""))</f>
        <v/>
      </c>
      <c r="DP15" s="827" t="str">
        <f t="shared" si="112"/>
        <v/>
      </c>
      <c r="DQ15" s="157" t="str">
        <f t="shared" si="113"/>
        <v/>
      </c>
      <c r="DR15" s="157" t="str">
        <f t="shared" si="114"/>
        <v/>
      </c>
      <c r="DS15" s="157" t="str">
        <f t="shared" si="115"/>
        <v/>
      </c>
      <c r="DT15" s="192" t="str">
        <f t="shared" si="116"/>
        <v/>
      </c>
      <c r="DU15" s="153">
        <f t="shared" si="117"/>
        <v>0</v>
      </c>
      <c r="DV15" s="154" t="e">
        <f t="shared" si="118"/>
        <v>#VALUE!</v>
      </c>
      <c r="DW15" s="154" t="str">
        <f t="shared" si="119"/>
        <v/>
      </c>
      <c r="DX15" s="154" t="str">
        <f>IF(OR($B15="NSO",$B15=0,DS15=""),"",IF(AND(DJ15="",DO15=""),"",IF('Master Sheet'!$D$19="YES",$DO$6-COUNTIF(DO15,"ML")*DO$6,DS$6-(COUNTIF(DJ15,"ML")*DJ$6)-(COUNTIF(DO15,"ML")*DO$6))))</f>
        <v/>
      </c>
      <c r="DY15" s="154" t="str">
        <f>IF(OR($B15="NSO",$B15=0),"",IF(AND(DH15="",DI15="",DM15=""),"",IF(AND('Master Sheet'!$D$19="YES",'Marks Entry'!$BA$1=1),100,IF(AND(DJ15="",DO15=""),SUM(($DQ$7+$DR$7)-(DU15+DV15)),SUM(($DQ$6+$DR$6)-(DU15+DV15))))))</f>
        <v/>
      </c>
      <c r="DZ15" s="153" t="str">
        <f t="shared" si="120"/>
        <v/>
      </c>
      <c r="EA15" s="154" t="str">
        <f t="shared" si="121"/>
        <v/>
      </c>
      <c r="EB15" s="153" t="str">
        <f t="shared" si="122"/>
        <v/>
      </c>
      <c r="EC15" s="584">
        <f>IF('Marks Entry'!BB15="","",'Marks Entry'!BB15)</f>
        <v>26</v>
      </c>
      <c r="ED15" s="584">
        <f>IF('Marks Entry'!BC15="","",'Marks Entry'!BC15)</f>
        <v>27</v>
      </c>
      <c r="EE15" s="584">
        <f>IF('Marks Entry'!BD15="","",'Marks Entry'!BD15)</f>
        <v>32</v>
      </c>
      <c r="EF15" s="590">
        <f t="shared" si="123"/>
        <v>85</v>
      </c>
      <c r="EG15" s="595">
        <f t="shared" si="124"/>
        <v>0</v>
      </c>
      <c r="EH15" s="595">
        <f t="shared" si="125"/>
        <v>0</v>
      </c>
      <c r="EI15" s="193">
        <f t="shared" si="126"/>
        <v>100</v>
      </c>
      <c r="EJ15" s="595" t="str">
        <f t="shared" si="127"/>
        <v/>
      </c>
      <c r="EK15" s="595" t="str">
        <f t="shared" si="128"/>
        <v>A</v>
      </c>
      <c r="EL15" s="194" t="str">
        <f t="shared" si="129"/>
        <v>II</v>
      </c>
      <c r="EM15" s="194" t="str">
        <f t="shared" si="130"/>
        <v>I</v>
      </c>
      <c r="EN15" s="194" t="str">
        <f t="shared" si="131"/>
        <v>G1</v>
      </c>
      <c r="EO15" s="194" t="str">
        <f t="shared" si="132"/>
        <v>I</v>
      </c>
      <c r="EP15" s="194" t="str">
        <f t="shared" si="133"/>
        <v>G2</v>
      </c>
      <c r="EQ15" s="194" t="str">
        <f t="shared" si="134"/>
        <v/>
      </c>
      <c r="ER15" s="195">
        <f t="shared" si="135"/>
        <v>0</v>
      </c>
      <c r="ES15" s="195">
        <f t="shared" si="136"/>
        <v>0</v>
      </c>
      <c r="ET15" s="195">
        <f t="shared" si="137"/>
        <v>1</v>
      </c>
      <c r="EU15" s="195">
        <f t="shared" si="138"/>
        <v>1</v>
      </c>
      <c r="EV15" s="195">
        <f t="shared" si="139"/>
        <v>0</v>
      </c>
      <c r="EW15" s="195" t="str">
        <f t="shared" si="140"/>
        <v/>
      </c>
      <c r="EX15" s="196" t="str">
        <f t="shared" si="141"/>
        <v>SUPPLEMENTARY</v>
      </c>
      <c r="EY15" s="197">
        <f>IF('Marks Entry'!BE15="","",'Marks Entry'!BE15)</f>
        <v>8</v>
      </c>
      <c r="EZ15" s="197">
        <f>IF('Marks Entry'!BF15="","",'Marks Entry'!BF15)</f>
        <v>8</v>
      </c>
      <c r="FA15" s="197">
        <f>IF('Marks Entry'!BG15="","",'Marks Entry'!BG15)</f>
        <v>8</v>
      </c>
      <c r="FB15" s="596">
        <f t="shared" si="142"/>
        <v>24</v>
      </c>
      <c r="FC15" s="197">
        <f>IF('Marks Entry'!BH15="","",'Marks Entry'!BH15)</f>
        <v>52</v>
      </c>
      <c r="FD15" s="197">
        <f>IF('Marks Entry'!BI15="","",'Marks Entry'!BI15)</f>
        <v>65</v>
      </c>
      <c r="FE15" s="198">
        <f t="shared" si="143"/>
        <v>141</v>
      </c>
      <c r="FF15" s="199" t="str">
        <f t="shared" si="144"/>
        <v>B</v>
      </c>
      <c r="FG15" s="200">
        <f>IF(AND(E15=""),"",IF('Student DATA Entry'!L11="","",'Student DATA Entry'!L11))</f>
        <v>360</v>
      </c>
      <c r="FH15" s="201">
        <f>IF(AND(E15=""),"",IF('Student DATA Entry'!M11="","",'Student DATA Entry'!M11))</f>
        <v>330</v>
      </c>
      <c r="FI15" s="202">
        <f t="shared" si="145"/>
        <v>91.666666666666657</v>
      </c>
      <c r="FJ15" s="189" t="str">
        <f t="shared" si="146"/>
        <v>II</v>
      </c>
      <c r="FK15" s="189" t="str">
        <f t="shared" si="147"/>
        <v/>
      </c>
      <c r="FL15" s="203" t="str">
        <f t="shared" si="19"/>
        <v/>
      </c>
      <c r="FM15" s="189" t="str">
        <f t="shared" si="148"/>
        <v>I</v>
      </c>
      <c r="FN15" s="204" t="str">
        <f t="shared" si="149"/>
        <v/>
      </c>
      <c r="FO15" s="203" t="str">
        <f t="shared" si="20"/>
        <v/>
      </c>
      <c r="FP15" s="205" t="str">
        <f t="shared" si="150"/>
        <v>S</v>
      </c>
      <c r="FQ15" s="189" t="str">
        <f t="shared" si="21"/>
        <v>S</v>
      </c>
      <c r="FR15" s="189" t="str">
        <f t="shared" si="22"/>
        <v/>
      </c>
      <c r="FS15" s="189" t="str">
        <f t="shared" si="23"/>
        <v/>
      </c>
      <c r="FT15" s="189" t="str">
        <f t="shared" si="24"/>
        <v/>
      </c>
      <c r="FU15" s="189" t="str">
        <f t="shared" si="151"/>
        <v/>
      </c>
      <c r="FV15" s="206" t="str">
        <f t="shared" si="25"/>
        <v/>
      </c>
      <c r="FW15" s="205" t="str">
        <f t="shared" si="152"/>
        <v>I</v>
      </c>
      <c r="FX15" s="189" t="str">
        <f t="shared" si="26"/>
        <v>I</v>
      </c>
      <c r="FY15" s="189" t="str">
        <f t="shared" si="27"/>
        <v/>
      </c>
      <c r="FZ15" s="189" t="str">
        <f t="shared" si="28"/>
        <v/>
      </c>
      <c r="GA15" s="189" t="str">
        <f t="shared" si="29"/>
        <v/>
      </c>
      <c r="GB15" s="189" t="str">
        <f t="shared" si="153"/>
        <v/>
      </c>
      <c r="GC15" s="206" t="str">
        <f t="shared" si="30"/>
        <v/>
      </c>
      <c r="GD15" s="205" t="str">
        <f t="shared" si="154"/>
        <v>S</v>
      </c>
      <c r="GE15" s="189" t="str">
        <f t="shared" si="31"/>
        <v/>
      </c>
      <c r="GF15" s="189" t="str">
        <f t="shared" si="32"/>
        <v>S</v>
      </c>
      <c r="GG15" s="189" t="str">
        <f t="shared" si="33"/>
        <v/>
      </c>
      <c r="GH15" s="189" t="str">
        <f t="shared" si="34"/>
        <v/>
      </c>
      <c r="GI15" s="189" t="str">
        <f t="shared" si="155"/>
        <v/>
      </c>
      <c r="GJ15" s="206" t="str">
        <f t="shared" si="35"/>
        <v/>
      </c>
      <c r="GK15" s="205" t="str">
        <f t="shared" si="156"/>
        <v/>
      </c>
      <c r="GL15" s="189" t="str">
        <f t="shared" si="36"/>
        <v/>
      </c>
      <c r="GM15" s="189" t="str">
        <f t="shared" si="37"/>
        <v/>
      </c>
      <c r="GN15" s="189" t="str">
        <f t="shared" si="38"/>
        <v/>
      </c>
      <c r="GO15" s="189" t="str">
        <f t="shared" si="39"/>
        <v/>
      </c>
      <c r="GP15" s="189" t="str">
        <f t="shared" si="157"/>
        <v/>
      </c>
      <c r="GQ15" s="206" t="str">
        <f t="shared" si="40"/>
        <v/>
      </c>
      <c r="GR15" s="189" t="str">
        <f t="shared" si="158"/>
        <v>A</v>
      </c>
      <c r="GS15" s="189" t="str">
        <f t="shared" si="159"/>
        <v>B</v>
      </c>
      <c r="GT15" s="207" t="str">
        <f t="shared" si="177"/>
        <v xml:space="preserve">    </v>
      </c>
      <c r="GU15" s="207" t="str">
        <f t="shared" si="160"/>
        <v xml:space="preserve">  POLITICAL SCIENCE  HOME SCIENCE</v>
      </c>
      <c r="GV15" s="207" t="str">
        <f t="shared" si="161"/>
        <v xml:space="preserve">    </v>
      </c>
      <c r="GW15" s="207" t="str">
        <f t="shared" si="162"/>
        <v xml:space="preserve">       </v>
      </c>
      <c r="GX15" s="598" t="str">
        <f t="shared" si="163"/>
        <v xml:space="preserve">     </v>
      </c>
      <c r="GY15" s="208" t="str">
        <f t="shared" si="164"/>
        <v>SUPPLEMENTARY</v>
      </c>
      <c r="GZ15" s="606">
        <f>IF(AND(Q15="",AE15="",AZ15="",BW15="",CT15=""),"",IF(AND('Master Sheet'!$D$19="YES",'Marks Entry'!$BA$1=1),SUM(Q15,AE15,AZ15,BW15,DT15),SUM(Q15,AE15,AZ15,BW15,CT15)))</f>
        <v>482</v>
      </c>
      <c r="HA15" s="209">
        <f>IF(GZ15="","",IF(AND('Master Sheet'!$D$19="YES",'Marks Entry'!$BA$1=1),GZ15/((900)-DC15)*100,GZ15/((1000)-DC15)*100))</f>
        <v>48.199999999999996</v>
      </c>
      <c r="HB15" s="611" t="str">
        <f t="shared" si="165"/>
        <v/>
      </c>
      <c r="HC15" s="609" t="str">
        <f t="shared" si="166"/>
        <v/>
      </c>
      <c r="HD15" s="610" t="str">
        <f t="shared" si="167"/>
        <v/>
      </c>
      <c r="HE15" s="210" t="str">
        <f>IFERROR(IF(OR(GY15="SUPPLEMENTARY",GY15="RE-EXAM"),'Supp. Result Entry'!AS14,""),"")</f>
        <v>PASS</v>
      </c>
      <c r="HF15" s="613">
        <f t="shared" si="168"/>
        <v>42</v>
      </c>
      <c r="HG15" s="598" t="str">
        <f t="shared" si="169"/>
        <v>III</v>
      </c>
      <c r="HH15" s="598" t="str">
        <f>IF(AND(HE15="",HF15="",HG15=""),"",IF(OR(GY15="SUPPLEMENTARY",GY15="RE-EXAM"),'Supp. Result Entry'!AS14,GY15))</f>
        <v>PASS</v>
      </c>
      <c r="HI15" s="180"/>
      <c r="HY15" s="212" t="str">
        <f>IF('Supp. Result Entry'!U14="","",'Supp. Result Entry'!$U$6)</f>
        <v/>
      </c>
      <c r="HZ15" s="213" t="str">
        <f>IF('Supp. Result Entry'!X14="","",'Supp. Result Entry'!$X$6)</f>
        <v/>
      </c>
      <c r="IA15" s="213">
        <f>IF('Supp. Result Entry'!AA14="","",'Supp. Result Entry'!$AA$6)</f>
        <v>100</v>
      </c>
      <c r="IB15" s="213" t="str">
        <f>IF('Supp. Result Entry'!AD14="","",'Supp. Result Entry'!$AD$6)</f>
        <v/>
      </c>
      <c r="IC15" s="213">
        <f>IF('Supp. Result Entry'!AG14="","",'Supp. Result Entry'!$AG$6)</f>
        <v>100</v>
      </c>
      <c r="ID15" s="213" t="str">
        <f>IF('Supp. Result Entry'!AJ14="","",'Supp. Result Entry'!$AJ$6)</f>
        <v/>
      </c>
      <c r="IE15" s="213" t="str">
        <f>IF('Supp. Result Entry'!V14="","",'Supp. Result Entry'!V14)</f>
        <v/>
      </c>
      <c r="IF15" s="213" t="str">
        <f>IF('Supp. Result Entry'!Y14="","",'Supp. Result Entry'!Y14)</f>
        <v/>
      </c>
      <c r="IG15" s="213">
        <f>IF('Supp. Result Entry'!AB14="","",'Supp. Result Entry'!AB14)</f>
        <v>36</v>
      </c>
      <c r="IH15" s="213" t="str">
        <f>IF('Supp. Result Entry'!AE14="","",'Supp. Result Entry'!AE14)</f>
        <v/>
      </c>
      <c r="II15" s="213">
        <f>IF('Supp. Result Entry'!AH14="","",'Supp. Result Entry'!AH14)</f>
        <v>36</v>
      </c>
      <c r="IJ15" s="213" t="str">
        <f>IF('Supp. Result Entry'!AK14="","",'Supp. Result Entry'!AK14)</f>
        <v/>
      </c>
      <c r="IK15" s="213" t="str">
        <f>IF('Supp. Result Entry'!W14="","",'Supp. Result Entry'!W14)</f>
        <v/>
      </c>
      <c r="IL15" s="213" t="str">
        <f>IF('Supp. Result Entry'!Z14="","",'Supp. Result Entry'!Z14)</f>
        <v/>
      </c>
      <c r="IM15" s="213" t="str">
        <f>IF('Supp. Result Entry'!AC14="","",'Supp. Result Entry'!AC14)</f>
        <v>P</v>
      </c>
      <c r="IN15" s="213" t="str">
        <f>IF('Supp. Result Entry'!AF14="","",'Supp. Result Entry'!AF14)</f>
        <v/>
      </c>
      <c r="IO15" s="213" t="str">
        <f>IF('Supp. Result Entry'!AI14="","",'Supp. Result Entry'!AI14)</f>
        <v>P</v>
      </c>
      <c r="IP15" s="213" t="str">
        <f>IF('Supp. Result Entry'!AL14="","",'Supp. Result Entry'!AL14)</f>
        <v/>
      </c>
      <c r="IQ15" s="213">
        <f>COUNTIF('Supp. Result Entry'!K14:Q14,"S")</f>
        <v>2</v>
      </c>
      <c r="IR15" s="213">
        <f t="shared" si="170"/>
        <v>0</v>
      </c>
      <c r="IS15" s="213">
        <f t="shared" si="171"/>
        <v>2</v>
      </c>
      <c r="IT15" s="213">
        <f t="shared" si="41"/>
        <v>99</v>
      </c>
      <c r="IU15" s="213">
        <f t="shared" si="42"/>
        <v>125</v>
      </c>
      <c r="IV15" s="213">
        <f t="shared" si="43"/>
        <v>36</v>
      </c>
      <c r="IW15" s="213">
        <f t="shared" si="44"/>
        <v>124</v>
      </c>
      <c r="IX15" s="213">
        <f t="shared" si="45"/>
        <v>36</v>
      </c>
      <c r="IY15" s="213">
        <f t="shared" si="172"/>
        <v>420</v>
      </c>
      <c r="IZ15" s="213">
        <f t="shared" si="173"/>
        <v>42</v>
      </c>
      <c r="JA15" s="213">
        <f t="shared" si="46"/>
        <v>1000</v>
      </c>
      <c r="JB15" s="211" t="str">
        <f t="shared" si="174"/>
        <v>III</v>
      </c>
    </row>
    <row r="16" spans="1:262" s="211" customFormat="1" ht="21" customHeight="1">
      <c r="A16" s="184">
        <v>9</v>
      </c>
      <c r="B16" s="185">
        <f>IF('Marks Entry'!B16="","",'Marks Entry'!B16)</f>
        <v>1109</v>
      </c>
      <c r="C16" s="186">
        <f>IF('Marks Entry'!D16="","",'Marks Entry'!D16)</f>
        <v>345</v>
      </c>
      <c r="D16" s="187">
        <f>IF('Marks Entry'!E16="","",'Marks Entry'!E16)</f>
        <v>40795</v>
      </c>
      <c r="E16" s="188" t="str">
        <f>IF('Marks Entry'!F16="","",'Marks Entry'!F16)</f>
        <v>P</v>
      </c>
      <c r="F16" s="188" t="str">
        <f>IF('Marks Entry'!G16="","",'Marks Entry'!G16)</f>
        <v>P</v>
      </c>
      <c r="G16" s="188" t="str">
        <f>IF('Marks Entry'!H16="","",'Marks Entry'!H16)</f>
        <v>N</v>
      </c>
      <c r="H16" s="189" t="str">
        <f>IF('Marks Entry'!I16="","",'Marks Entry'!I16)</f>
        <v>SC</v>
      </c>
      <c r="I16" s="190" t="str">
        <f>IF('Marks Entry'!J16="","",'Marks Entry'!J16)</f>
        <v>F</v>
      </c>
      <c r="J16" s="545">
        <f>IF('Marks Entry'!K16="","",'Marks Entry'!K16)</f>
        <v>9</v>
      </c>
      <c r="K16" s="545">
        <f>IF('Marks Entry'!L16="","",'Marks Entry'!L16)</f>
        <v>9</v>
      </c>
      <c r="L16" s="545">
        <f>IF('Marks Entry'!M16="","",'Marks Entry'!M16)</f>
        <v>8</v>
      </c>
      <c r="M16" s="546">
        <f t="shared" si="47"/>
        <v>26</v>
      </c>
      <c r="N16" s="545">
        <f>IF('Marks Entry'!N16="","",'Marks Entry'!N16)</f>
        <v>37</v>
      </c>
      <c r="O16" s="546">
        <f t="shared" si="48"/>
        <v>63</v>
      </c>
      <c r="P16" s="545">
        <f>IF('Marks Entry'!O16="","",'Marks Entry'!O16)</f>
        <v>35</v>
      </c>
      <c r="Q16" s="547">
        <f t="shared" si="49"/>
        <v>98</v>
      </c>
      <c r="R16" s="153">
        <f t="shared" si="50"/>
        <v>0</v>
      </c>
      <c r="S16" s="153">
        <f t="shared" si="51"/>
        <v>0</v>
      </c>
      <c r="T16" s="154">
        <f t="shared" si="52"/>
        <v>200</v>
      </c>
      <c r="U16" s="153" t="str">
        <f t="shared" si="53"/>
        <v/>
      </c>
      <c r="V16" s="153" t="str">
        <f t="shared" si="54"/>
        <v>P</v>
      </c>
      <c r="W16" s="153" t="str">
        <f t="shared" si="55"/>
        <v>II</v>
      </c>
      <c r="X16" s="545">
        <f>IF('Marks Entry'!P16="","",'Marks Entry'!P16)</f>
        <v>8</v>
      </c>
      <c r="Y16" s="545">
        <f>IF('Marks Entry'!Q16="","",'Marks Entry'!Q16)</f>
        <v>4</v>
      </c>
      <c r="Z16" s="545">
        <f>IF('Marks Entry'!R16="","",'Marks Entry'!R16)</f>
        <v>9</v>
      </c>
      <c r="AA16" s="546">
        <f t="shared" si="56"/>
        <v>21</v>
      </c>
      <c r="AB16" s="545">
        <f>IF('Marks Entry'!S16="","",'Marks Entry'!S16)</f>
        <v>38</v>
      </c>
      <c r="AC16" s="546">
        <f t="shared" si="57"/>
        <v>59</v>
      </c>
      <c r="AD16" s="545">
        <f>IF('Marks Entry'!T16="","",'Marks Entry'!T16)</f>
        <v>45</v>
      </c>
      <c r="AE16" s="547">
        <f t="shared" si="58"/>
        <v>104</v>
      </c>
      <c r="AF16" s="153">
        <f t="shared" si="59"/>
        <v>0</v>
      </c>
      <c r="AG16" s="153">
        <f t="shared" si="60"/>
        <v>0</v>
      </c>
      <c r="AH16" s="154">
        <f t="shared" si="61"/>
        <v>200</v>
      </c>
      <c r="AI16" s="153" t="str">
        <f t="shared" si="62"/>
        <v/>
      </c>
      <c r="AJ16" s="153" t="str">
        <f t="shared" si="63"/>
        <v>P</v>
      </c>
      <c r="AK16" s="153" t="str">
        <f t="shared" si="64"/>
        <v>II</v>
      </c>
      <c r="AL16" s="573" t="str">
        <f>IF('Marks Entry'!U16="","",'Marks Entry'!U16)</f>
        <v>A</v>
      </c>
      <c r="AM16" s="573">
        <f>IF('Marks Entry'!V16="","",'Marks Entry'!V16)</f>
        <v>7</v>
      </c>
      <c r="AN16" s="573">
        <f>IF('Marks Entry'!W16="","",'Marks Entry'!W16)</f>
        <v>9</v>
      </c>
      <c r="AO16" s="573">
        <f>IF('Marks Entry'!X16="","",'Marks Entry'!X16)</f>
        <v>7</v>
      </c>
      <c r="AP16" s="572">
        <f t="shared" si="65"/>
        <v>23</v>
      </c>
      <c r="AQ16" s="573">
        <f>IF('Marks Entry'!Y16="","",'Marks Entry'!Y16)</f>
        <v>10</v>
      </c>
      <c r="AR16" s="573" t="str">
        <f>IF('Marks Entry'!Z16="","",'Marks Entry'!Z16)</f>
        <v/>
      </c>
      <c r="AS16" s="572">
        <f t="shared" si="66"/>
        <v>10</v>
      </c>
      <c r="AT16" s="572">
        <f t="shared" si="67"/>
        <v>33</v>
      </c>
      <c r="AU16" s="573">
        <f>IF('Marks Entry'!AA16="","",'Marks Entry'!AA16)</f>
        <v>10</v>
      </c>
      <c r="AV16" s="573" t="str">
        <f>IF('Marks Entry'!AB16="","",'Marks Entry'!AB16)</f>
        <v/>
      </c>
      <c r="AW16" s="572">
        <f t="shared" si="68"/>
        <v>10</v>
      </c>
      <c r="AX16" s="157">
        <f t="shared" si="69"/>
        <v>43</v>
      </c>
      <c r="AY16" s="157" t="str">
        <f t="shared" si="70"/>
        <v/>
      </c>
      <c r="AZ16" s="192">
        <f t="shared" si="71"/>
        <v>43</v>
      </c>
      <c r="BA16" s="153">
        <f t="shared" si="72"/>
        <v>0</v>
      </c>
      <c r="BB16" s="154">
        <f t="shared" si="73"/>
        <v>0</v>
      </c>
      <c r="BC16" s="154">
        <f t="shared" si="74"/>
        <v>100</v>
      </c>
      <c r="BD16" s="154" t="str">
        <f t="shared" si="75"/>
        <v/>
      </c>
      <c r="BE16" s="154">
        <f t="shared" si="76"/>
        <v>200</v>
      </c>
      <c r="BF16" s="153" t="str">
        <f t="shared" si="77"/>
        <v/>
      </c>
      <c r="BG16" s="154" t="str">
        <f t="shared" si="175"/>
        <v>F</v>
      </c>
      <c r="BH16" s="153" t="str">
        <f t="shared" si="78"/>
        <v>F</v>
      </c>
      <c r="BI16" s="580" t="str">
        <f>IF('Marks Entry'!AC16="","",'Marks Entry'!AC16)</f>
        <v>A</v>
      </c>
      <c r="BJ16" s="580">
        <f>IF('Marks Entry'!AD16="","",'Marks Entry'!AD16)</f>
        <v>5</v>
      </c>
      <c r="BK16" s="580">
        <f>IF('Marks Entry'!AE16="","",'Marks Entry'!AE16)</f>
        <v>2</v>
      </c>
      <c r="BL16" s="580" t="str">
        <f>IF('Marks Entry'!AF16="","",'Marks Entry'!AF16)</f>
        <v/>
      </c>
      <c r="BM16" s="581">
        <f t="shared" si="79"/>
        <v>7</v>
      </c>
      <c r="BN16" s="580">
        <f>IF('Marks Entry'!AG16="","",'Marks Entry'!AG16)</f>
        <v>37</v>
      </c>
      <c r="BO16" s="580" t="str">
        <f>IF('Marks Entry'!AH16="","",'Marks Entry'!AH16)</f>
        <v/>
      </c>
      <c r="BP16" s="581">
        <f t="shared" si="80"/>
        <v>37</v>
      </c>
      <c r="BQ16" s="581">
        <f t="shared" si="81"/>
        <v>44</v>
      </c>
      <c r="BR16" s="580">
        <f>IF('Marks Entry'!AI16="","",'Marks Entry'!AI16)</f>
        <v>69</v>
      </c>
      <c r="BS16" s="580" t="str">
        <f>IF('Marks Entry'!AJ16="","",'Marks Entry'!AJ16)</f>
        <v/>
      </c>
      <c r="BT16" s="581">
        <f t="shared" si="82"/>
        <v>69</v>
      </c>
      <c r="BU16" s="157">
        <f t="shared" si="83"/>
        <v>113</v>
      </c>
      <c r="BV16" s="157" t="str">
        <f t="shared" si="84"/>
        <v/>
      </c>
      <c r="BW16" s="192">
        <f t="shared" si="85"/>
        <v>113</v>
      </c>
      <c r="BX16" s="153">
        <f t="shared" si="86"/>
        <v>0</v>
      </c>
      <c r="BY16" s="154">
        <f t="shared" si="87"/>
        <v>0</v>
      </c>
      <c r="BZ16" s="154">
        <f t="shared" si="88"/>
        <v>100</v>
      </c>
      <c r="CA16" s="154" t="str">
        <f t="shared" si="89"/>
        <v/>
      </c>
      <c r="CB16" s="154">
        <f t="shared" si="90"/>
        <v>200</v>
      </c>
      <c r="CC16" s="153" t="str">
        <f t="shared" si="91"/>
        <v/>
      </c>
      <c r="CD16" s="154" t="str">
        <f t="shared" si="92"/>
        <v>P</v>
      </c>
      <c r="CE16" s="153" t="str">
        <f t="shared" si="93"/>
        <v>II</v>
      </c>
      <c r="CF16" s="580" t="str">
        <f>IF('Marks Entry'!AK16="","",'Marks Entry'!AK16)</f>
        <v>B</v>
      </c>
      <c r="CG16" s="580">
        <f>IF('Marks Entry'!AL16="","",'Marks Entry'!AL16)</f>
        <v>3</v>
      </c>
      <c r="CH16" s="580">
        <f>IF('Marks Entry'!AM16="","",'Marks Entry'!AM16)</f>
        <v>3</v>
      </c>
      <c r="CI16" s="580">
        <f>IF('Marks Entry'!AN16="","",'Marks Entry'!AN16)</f>
        <v>7</v>
      </c>
      <c r="CJ16" s="581">
        <f t="shared" si="94"/>
        <v>13</v>
      </c>
      <c r="CK16" s="580">
        <f>IF('Marks Entry'!AO16="","",'Marks Entry'!AO16)</f>
        <v>47</v>
      </c>
      <c r="CL16" s="580" t="str">
        <f>IF('Marks Entry'!AP16="","",'Marks Entry'!AP16)</f>
        <v/>
      </c>
      <c r="CM16" s="581">
        <f t="shared" si="95"/>
        <v>47</v>
      </c>
      <c r="CN16" s="581">
        <f t="shared" si="96"/>
        <v>60</v>
      </c>
      <c r="CO16" s="580">
        <f>IF('Marks Entry'!AQ16="","",'Marks Entry'!AQ16)</f>
        <v>56</v>
      </c>
      <c r="CP16" s="580" t="str">
        <f>IF('Marks Entry'!AR16="","",'Marks Entry'!AR16)</f>
        <v/>
      </c>
      <c r="CQ16" s="581">
        <f t="shared" si="97"/>
        <v>56</v>
      </c>
      <c r="CR16" s="157">
        <f t="shared" si="98"/>
        <v>116</v>
      </c>
      <c r="CS16" s="157" t="str">
        <f t="shared" si="99"/>
        <v/>
      </c>
      <c r="CT16" s="192">
        <f t="shared" si="100"/>
        <v>116</v>
      </c>
      <c r="CU16" s="153">
        <f t="shared" si="101"/>
        <v>0</v>
      </c>
      <c r="CV16" s="154">
        <f t="shared" si="102"/>
        <v>0</v>
      </c>
      <c r="CW16" s="154">
        <f t="shared" si="103"/>
        <v>100</v>
      </c>
      <c r="CX16" s="154" t="str">
        <f t="shared" si="104"/>
        <v/>
      </c>
      <c r="CY16" s="154">
        <f t="shared" si="176"/>
        <v>200</v>
      </c>
      <c r="CZ16" s="153" t="str">
        <f t="shared" si="105"/>
        <v/>
      </c>
      <c r="DA16" s="154" t="str">
        <f t="shared" si="106"/>
        <v>P</v>
      </c>
      <c r="DB16" s="153" t="str">
        <f t="shared" si="107"/>
        <v>II</v>
      </c>
      <c r="DC16" s="154">
        <f t="shared" si="108"/>
        <v>0</v>
      </c>
      <c r="DD16" s="826" t="str">
        <f>IF('Marks Entry'!AS16="","",IF(OR('Master Sheet'!$D$19="YES",'Marks Entry'!$BA$1=1),'Marks Entry'!AS16,""))</f>
        <v/>
      </c>
      <c r="DE16" s="826" t="str">
        <f>IF('Marks Entry'!AT16="","",IF(OR('Master Sheet'!$D$19="YES",'Marks Entry'!$BA$1=1),'Marks Entry'!AT16,""))</f>
        <v/>
      </c>
      <c r="DF16" s="826" t="str">
        <f>IF('Marks Entry'!AU16="","",IF(OR('Master Sheet'!$D$19="YES",'Marks Entry'!$BA$1=1),'Marks Entry'!AU16,""))</f>
        <v/>
      </c>
      <c r="DG16" s="826" t="str">
        <f>IF('Marks Entry'!AV16="","",IF(OR('Master Sheet'!$D$19="YES",'Marks Entry'!$BA$1=1),'Marks Entry'!AV16,""))</f>
        <v/>
      </c>
      <c r="DH16" s="827" t="str">
        <f t="shared" si="109"/>
        <v/>
      </c>
      <c r="DI16" s="826" t="str">
        <f>IF('Marks Entry'!AW16="","",IF(OR('Master Sheet'!$D$19="YES",'Marks Entry'!$BA$1=1),'Marks Entry'!AW16,""))</f>
        <v/>
      </c>
      <c r="DJ16" s="826" t="str">
        <f>IF('Marks Entry'!AX16="","",IF(OR('Master Sheet'!$D$19="YES",'Marks Entry'!$BA$1=1),'Marks Entry'!AX16,""))</f>
        <v/>
      </c>
      <c r="DK16" s="827" t="str">
        <f t="shared" si="110"/>
        <v/>
      </c>
      <c r="DL16" s="827" t="str">
        <f t="shared" si="111"/>
        <v/>
      </c>
      <c r="DM16" s="826" t="str">
        <f>IF('Marks Entry'!AY16="","",IF(OR('Master Sheet'!$D$19="YES",'Marks Entry'!$BA$1=1),'Marks Entry'!AY16,""))</f>
        <v/>
      </c>
      <c r="DN16" s="826" t="str">
        <f>IF('Marks Entry'!AZ16="","",IF(OR('Master Sheet'!$D$19="YES",'Marks Entry'!$BA$1=1),'Marks Entry'!AZ16,""))</f>
        <v/>
      </c>
      <c r="DO16" s="826" t="str">
        <f>IF('Marks Entry'!BA16="","",IF(OR('Master Sheet'!$D$19="YES",'Marks Entry'!$BA$1=1),'Marks Entry'!BA16,""))</f>
        <v/>
      </c>
      <c r="DP16" s="827" t="str">
        <f t="shared" si="112"/>
        <v/>
      </c>
      <c r="DQ16" s="157" t="str">
        <f t="shared" si="113"/>
        <v/>
      </c>
      <c r="DR16" s="157" t="str">
        <f t="shared" si="114"/>
        <v/>
      </c>
      <c r="DS16" s="157" t="str">
        <f t="shared" si="115"/>
        <v/>
      </c>
      <c r="DT16" s="192" t="str">
        <f t="shared" si="116"/>
        <v/>
      </c>
      <c r="DU16" s="153">
        <f t="shared" si="117"/>
        <v>0</v>
      </c>
      <c r="DV16" s="154" t="e">
        <f t="shared" si="118"/>
        <v>#VALUE!</v>
      </c>
      <c r="DW16" s="154" t="str">
        <f t="shared" si="119"/>
        <v/>
      </c>
      <c r="DX16" s="154" t="str">
        <f>IF(OR($B16="NSO",$B16=0,DS16=""),"",IF(AND(DJ16="",DO16=""),"",IF('Master Sheet'!$D$19="YES",$DO$6-COUNTIF(DO16,"ML")*DO$6,DS$6-(COUNTIF(DJ16,"ML")*DJ$6)-(COUNTIF(DO16,"ML")*DO$6))))</f>
        <v/>
      </c>
      <c r="DY16" s="154" t="str">
        <f>IF(OR($B16="NSO",$B16=0),"",IF(AND(DH16="",DI16="",DM16=""),"",IF(AND('Master Sheet'!$D$19="YES",'Marks Entry'!$BA$1=1),100,IF(AND(DJ16="",DO16=""),SUM(($DQ$7+$DR$7)-(DU16+DV16)),SUM(($DQ$6+$DR$6)-(DU16+DV16))))))</f>
        <v/>
      </c>
      <c r="DZ16" s="153" t="str">
        <f t="shared" si="120"/>
        <v/>
      </c>
      <c r="EA16" s="154" t="str">
        <f t="shared" si="121"/>
        <v/>
      </c>
      <c r="EB16" s="153" t="str">
        <f t="shared" si="122"/>
        <v/>
      </c>
      <c r="EC16" s="584">
        <f>IF('Marks Entry'!BB16="","",'Marks Entry'!BB16)</f>
        <v>26</v>
      </c>
      <c r="ED16" s="584">
        <f>IF('Marks Entry'!BC16="","",'Marks Entry'!BC16)</f>
        <v>27</v>
      </c>
      <c r="EE16" s="584">
        <f>IF('Marks Entry'!BD16="","",'Marks Entry'!BD16)</f>
        <v>32</v>
      </c>
      <c r="EF16" s="590">
        <f t="shared" si="123"/>
        <v>85</v>
      </c>
      <c r="EG16" s="595">
        <f t="shared" si="124"/>
        <v>0</v>
      </c>
      <c r="EH16" s="595">
        <f t="shared" si="125"/>
        <v>0</v>
      </c>
      <c r="EI16" s="193">
        <f t="shared" si="126"/>
        <v>100</v>
      </c>
      <c r="EJ16" s="595" t="str">
        <f t="shared" si="127"/>
        <v/>
      </c>
      <c r="EK16" s="595" t="str">
        <f t="shared" si="128"/>
        <v>A</v>
      </c>
      <c r="EL16" s="194" t="str">
        <f t="shared" si="129"/>
        <v>II</v>
      </c>
      <c r="EM16" s="194" t="str">
        <f t="shared" si="130"/>
        <v>II</v>
      </c>
      <c r="EN16" s="194" t="str">
        <f t="shared" si="131"/>
        <v>F</v>
      </c>
      <c r="EO16" s="194" t="str">
        <f t="shared" si="132"/>
        <v>II</v>
      </c>
      <c r="EP16" s="194" t="str">
        <f t="shared" si="133"/>
        <v>II</v>
      </c>
      <c r="EQ16" s="194" t="str">
        <f t="shared" si="134"/>
        <v/>
      </c>
      <c r="ER16" s="195">
        <f t="shared" si="135"/>
        <v>1</v>
      </c>
      <c r="ES16" s="195">
        <f t="shared" si="136"/>
        <v>0</v>
      </c>
      <c r="ET16" s="195">
        <f t="shared" si="137"/>
        <v>0</v>
      </c>
      <c r="EU16" s="195">
        <f t="shared" si="138"/>
        <v>0</v>
      </c>
      <c r="EV16" s="195">
        <f t="shared" si="139"/>
        <v>0</v>
      </c>
      <c r="EW16" s="195" t="str">
        <f t="shared" si="140"/>
        <v/>
      </c>
      <c r="EX16" s="196" t="str">
        <f t="shared" si="141"/>
        <v>FAIL</v>
      </c>
      <c r="EY16" s="197">
        <f>IF('Marks Entry'!BE16="","",'Marks Entry'!BE16)</f>
        <v>8</v>
      </c>
      <c r="EZ16" s="197">
        <f>IF('Marks Entry'!BF16="","",'Marks Entry'!BF16)</f>
        <v>8</v>
      </c>
      <c r="FA16" s="197">
        <f>IF('Marks Entry'!BG16="","",'Marks Entry'!BG16)</f>
        <v>8</v>
      </c>
      <c r="FB16" s="596">
        <f t="shared" si="142"/>
        <v>24</v>
      </c>
      <c r="FC16" s="197">
        <f>IF('Marks Entry'!BH16="","",'Marks Entry'!BH16)</f>
        <v>52</v>
      </c>
      <c r="FD16" s="197">
        <f>IF('Marks Entry'!BI16="","",'Marks Entry'!BI16)</f>
        <v>69</v>
      </c>
      <c r="FE16" s="198">
        <f t="shared" si="143"/>
        <v>145</v>
      </c>
      <c r="FF16" s="199" t="str">
        <f t="shared" si="144"/>
        <v>B</v>
      </c>
      <c r="FG16" s="200">
        <f>IF(AND(E16=""),"",IF('Student DATA Entry'!L12="","",'Student DATA Entry'!L12))</f>
        <v>340</v>
      </c>
      <c r="FH16" s="201">
        <f>IF(AND(E16=""),"",IF('Student DATA Entry'!M12="","",'Student DATA Entry'!M12))</f>
        <v>330</v>
      </c>
      <c r="FI16" s="202">
        <f t="shared" si="145"/>
        <v>97.058823529411768</v>
      </c>
      <c r="FJ16" s="189" t="str">
        <f t="shared" si="146"/>
        <v>II</v>
      </c>
      <c r="FK16" s="189" t="str">
        <f t="shared" si="147"/>
        <v/>
      </c>
      <c r="FL16" s="203" t="str">
        <f t="shared" si="19"/>
        <v/>
      </c>
      <c r="FM16" s="189" t="str">
        <f t="shared" si="148"/>
        <v>II</v>
      </c>
      <c r="FN16" s="204" t="str">
        <f t="shared" si="149"/>
        <v/>
      </c>
      <c r="FO16" s="203" t="str">
        <f t="shared" si="20"/>
        <v/>
      </c>
      <c r="FP16" s="205" t="str">
        <f t="shared" si="150"/>
        <v>F</v>
      </c>
      <c r="FQ16" s="189" t="str">
        <f t="shared" si="21"/>
        <v>F</v>
      </c>
      <c r="FR16" s="189" t="str">
        <f t="shared" si="22"/>
        <v/>
      </c>
      <c r="FS16" s="189" t="str">
        <f t="shared" si="23"/>
        <v/>
      </c>
      <c r="FT16" s="189" t="str">
        <f t="shared" si="24"/>
        <v/>
      </c>
      <c r="FU16" s="189" t="str">
        <f t="shared" si="151"/>
        <v/>
      </c>
      <c r="FV16" s="206" t="str">
        <f t="shared" si="25"/>
        <v/>
      </c>
      <c r="FW16" s="205" t="str">
        <f t="shared" si="152"/>
        <v>II</v>
      </c>
      <c r="FX16" s="189" t="str">
        <f t="shared" si="26"/>
        <v>II</v>
      </c>
      <c r="FY16" s="189" t="str">
        <f t="shared" si="27"/>
        <v/>
      </c>
      <c r="FZ16" s="189" t="str">
        <f t="shared" si="28"/>
        <v/>
      </c>
      <c r="GA16" s="189" t="str">
        <f t="shared" si="29"/>
        <v/>
      </c>
      <c r="GB16" s="189" t="str">
        <f t="shared" si="153"/>
        <v/>
      </c>
      <c r="GC16" s="206" t="str">
        <f t="shared" si="30"/>
        <v/>
      </c>
      <c r="GD16" s="205" t="str">
        <f t="shared" si="154"/>
        <v>II</v>
      </c>
      <c r="GE16" s="189" t="str">
        <f t="shared" si="31"/>
        <v/>
      </c>
      <c r="GF16" s="189" t="str">
        <f t="shared" si="32"/>
        <v>II</v>
      </c>
      <c r="GG16" s="189" t="str">
        <f t="shared" si="33"/>
        <v/>
      </c>
      <c r="GH16" s="189" t="str">
        <f t="shared" si="34"/>
        <v/>
      </c>
      <c r="GI16" s="189" t="str">
        <f t="shared" si="155"/>
        <v/>
      </c>
      <c r="GJ16" s="206" t="str">
        <f t="shared" si="35"/>
        <v/>
      </c>
      <c r="GK16" s="205" t="str">
        <f t="shared" si="156"/>
        <v/>
      </c>
      <c r="GL16" s="189" t="str">
        <f t="shared" si="36"/>
        <v/>
      </c>
      <c r="GM16" s="189" t="str">
        <f t="shared" si="37"/>
        <v/>
      </c>
      <c r="GN16" s="189" t="str">
        <f t="shared" si="38"/>
        <v/>
      </c>
      <c r="GO16" s="189" t="str">
        <f t="shared" si="39"/>
        <v/>
      </c>
      <c r="GP16" s="189" t="str">
        <f t="shared" si="157"/>
        <v/>
      </c>
      <c r="GQ16" s="206" t="str">
        <f t="shared" si="40"/>
        <v/>
      </c>
      <c r="GR16" s="189" t="str">
        <f t="shared" si="158"/>
        <v>A</v>
      </c>
      <c r="GS16" s="189" t="str">
        <f t="shared" si="159"/>
        <v>B</v>
      </c>
      <c r="GT16" s="207" t="str">
        <f t="shared" si="177"/>
        <v xml:space="preserve">  POLITICAL SCIENCE  </v>
      </c>
      <c r="GU16" s="207" t="str">
        <f t="shared" si="160"/>
        <v xml:space="preserve">    </v>
      </c>
      <c r="GV16" s="207" t="str">
        <f t="shared" si="161"/>
        <v xml:space="preserve">    </v>
      </c>
      <c r="GW16" s="207" t="str">
        <f t="shared" si="162"/>
        <v xml:space="preserve">       </v>
      </c>
      <c r="GX16" s="598" t="str">
        <f t="shared" si="163"/>
        <v xml:space="preserve">     </v>
      </c>
      <c r="GY16" s="208" t="str">
        <f t="shared" si="164"/>
        <v>FAIL</v>
      </c>
      <c r="GZ16" s="606">
        <f>IF(AND(Q16="",AE16="",AZ16="",BW16="",CT16=""),"",IF(AND('Master Sheet'!$D$19="YES",'Marks Entry'!$BA$1=1),SUM(Q16,AE16,AZ16,BW16,DT16),SUM(Q16,AE16,AZ16,BW16,CT16)))</f>
        <v>474</v>
      </c>
      <c r="HA16" s="209">
        <f>IF(GZ16="","",IF(AND('Master Sheet'!$D$19="YES",'Marks Entry'!$BA$1=1),GZ16/((900)-DC16)*100,GZ16/((1000)-DC16)*100))</f>
        <v>47.4</v>
      </c>
      <c r="HB16" s="611" t="str">
        <f t="shared" si="165"/>
        <v/>
      </c>
      <c r="HC16" s="609" t="str">
        <f t="shared" si="166"/>
        <v/>
      </c>
      <c r="HD16" s="610" t="str">
        <f t="shared" si="167"/>
        <v/>
      </c>
      <c r="HE16" s="210" t="str">
        <f>IFERROR(IF(OR(GY16="SUPPLEMENTARY",GY16="RE-EXAM"),'Supp. Result Entry'!AS15,""),"")</f>
        <v/>
      </c>
      <c r="HF16" s="613" t="str">
        <f t="shared" si="168"/>
        <v/>
      </c>
      <c r="HG16" s="598" t="str">
        <f t="shared" si="169"/>
        <v/>
      </c>
      <c r="HH16" s="598" t="str">
        <f>IF(AND(HE16="",HF16="",HG16=""),"",IF(OR(GY16="SUPPLEMENTARY",GY16="RE-EXAM"),'Supp. Result Entry'!AS15,GY16))</f>
        <v/>
      </c>
      <c r="HI16" s="180"/>
      <c r="HY16" s="212" t="str">
        <f>IF('Supp. Result Entry'!U15="","",'Supp. Result Entry'!$U$6)</f>
        <v/>
      </c>
      <c r="HZ16" s="213" t="str">
        <f>IF('Supp. Result Entry'!X15="","",'Supp. Result Entry'!$X$6)</f>
        <v/>
      </c>
      <c r="IA16" s="213" t="str">
        <f>IF('Supp. Result Entry'!AA15="","",'Supp. Result Entry'!$AA$6)</f>
        <v/>
      </c>
      <c r="IB16" s="213" t="str">
        <f>IF('Supp. Result Entry'!AD15="","",'Supp. Result Entry'!$AD$6)</f>
        <v/>
      </c>
      <c r="IC16" s="213" t="str">
        <f>IF('Supp. Result Entry'!AG15="","",'Supp. Result Entry'!$AG$6)</f>
        <v/>
      </c>
      <c r="ID16" s="213" t="str">
        <f>IF('Supp. Result Entry'!AJ15="","",'Supp. Result Entry'!$AJ$6)</f>
        <v/>
      </c>
      <c r="IE16" s="213" t="str">
        <f>IF('Supp. Result Entry'!V15="","",'Supp. Result Entry'!V15)</f>
        <v/>
      </c>
      <c r="IF16" s="213" t="str">
        <f>IF('Supp. Result Entry'!Y15="","",'Supp. Result Entry'!Y15)</f>
        <v/>
      </c>
      <c r="IG16" s="213" t="str">
        <f>IF('Supp. Result Entry'!AB15="","",'Supp. Result Entry'!AB15)</f>
        <v/>
      </c>
      <c r="IH16" s="213" t="str">
        <f>IF('Supp. Result Entry'!AE15="","",'Supp. Result Entry'!AE15)</f>
        <v/>
      </c>
      <c r="II16" s="213" t="str">
        <f>IF('Supp. Result Entry'!AH15="","",'Supp. Result Entry'!AH15)</f>
        <v/>
      </c>
      <c r="IJ16" s="213" t="str">
        <f>IF('Supp. Result Entry'!AK15="","",'Supp. Result Entry'!AK15)</f>
        <v/>
      </c>
      <c r="IK16" s="213" t="str">
        <f>IF('Supp. Result Entry'!W15="","",'Supp. Result Entry'!W15)</f>
        <v/>
      </c>
      <c r="IL16" s="213" t="str">
        <f>IF('Supp. Result Entry'!Z15="","",'Supp. Result Entry'!Z15)</f>
        <v/>
      </c>
      <c r="IM16" s="213" t="str">
        <f>IF('Supp. Result Entry'!AC15="","",'Supp. Result Entry'!AC15)</f>
        <v/>
      </c>
      <c r="IN16" s="213" t="str">
        <f>IF('Supp. Result Entry'!AF15="","",'Supp. Result Entry'!AF15)</f>
        <v/>
      </c>
      <c r="IO16" s="213" t="str">
        <f>IF('Supp. Result Entry'!AI15="","",'Supp. Result Entry'!AI15)</f>
        <v/>
      </c>
      <c r="IP16" s="213" t="str">
        <f>IF('Supp. Result Entry'!AL15="","",'Supp. Result Entry'!AL15)</f>
        <v/>
      </c>
      <c r="IQ16" s="213">
        <f>COUNTIF('Supp. Result Entry'!K15:Q15,"S")</f>
        <v>0</v>
      </c>
      <c r="IR16" s="213">
        <f t="shared" si="170"/>
        <v>0</v>
      </c>
      <c r="IS16" s="213">
        <f t="shared" si="171"/>
        <v>0</v>
      </c>
      <c r="IT16" s="213" t="str">
        <f t="shared" si="41"/>
        <v/>
      </c>
      <c r="IU16" s="213" t="str">
        <f t="shared" si="42"/>
        <v/>
      </c>
      <c r="IV16" s="213" t="str">
        <f t="shared" si="43"/>
        <v/>
      </c>
      <c r="IW16" s="213" t="str">
        <f t="shared" si="44"/>
        <v/>
      </c>
      <c r="IX16" s="213" t="str">
        <f t="shared" si="45"/>
        <v/>
      </c>
      <c r="IY16" s="213" t="str">
        <f t="shared" si="172"/>
        <v/>
      </c>
      <c r="IZ16" s="213" t="str">
        <f t="shared" si="173"/>
        <v/>
      </c>
      <c r="JA16" s="213" t="str">
        <f t="shared" si="46"/>
        <v/>
      </c>
      <c r="JB16" s="211" t="str">
        <f t="shared" si="174"/>
        <v/>
      </c>
    </row>
    <row r="17" spans="1:262" s="211" customFormat="1" ht="21" customHeight="1">
      <c r="A17" s="184">
        <v>10</v>
      </c>
      <c r="B17" s="185">
        <f>IF('Marks Entry'!B17="","",'Marks Entry'!B17)</f>
        <v>1110</v>
      </c>
      <c r="C17" s="186">
        <f>IF('Marks Entry'!D17="","",'Marks Entry'!D17)</f>
        <v>678</v>
      </c>
      <c r="D17" s="187">
        <f>IF('Marks Entry'!E17="","",'Marks Entry'!E17)</f>
        <v>38841</v>
      </c>
      <c r="E17" s="188" t="str">
        <f>IF('Marks Entry'!F17="","",'Marks Entry'!F17)</f>
        <v>S</v>
      </c>
      <c r="F17" s="188" t="str">
        <f>IF('Marks Entry'!G17="","",'Marks Entry'!G17)</f>
        <v>M</v>
      </c>
      <c r="G17" s="188" t="str">
        <f>IF('Marks Entry'!H17="","",'Marks Entry'!H17)</f>
        <v>B</v>
      </c>
      <c r="H17" s="189" t="str">
        <f>IF('Marks Entry'!I17="","",'Marks Entry'!I17)</f>
        <v>MIN</v>
      </c>
      <c r="I17" s="190" t="str">
        <f>IF('Marks Entry'!J17="","",'Marks Entry'!J17)</f>
        <v>M</v>
      </c>
      <c r="J17" s="545">
        <f>IF('Marks Entry'!K17="","",'Marks Entry'!K17)</f>
        <v>7</v>
      </c>
      <c r="K17" s="545">
        <f>IF('Marks Entry'!L17="","",'Marks Entry'!L17)</f>
        <v>10</v>
      </c>
      <c r="L17" s="545">
        <f>IF('Marks Entry'!M17="","",'Marks Entry'!M17)</f>
        <v>8</v>
      </c>
      <c r="M17" s="546">
        <f t="shared" si="47"/>
        <v>25</v>
      </c>
      <c r="N17" s="545">
        <f>IF('Marks Entry'!N17="","",'Marks Entry'!N17)</f>
        <v>44</v>
      </c>
      <c r="O17" s="546">
        <f t="shared" si="48"/>
        <v>69</v>
      </c>
      <c r="P17" s="545">
        <f>IF('Marks Entry'!O17="","",'Marks Entry'!O17)</f>
        <v>30</v>
      </c>
      <c r="Q17" s="547">
        <f t="shared" si="49"/>
        <v>99</v>
      </c>
      <c r="R17" s="153">
        <f t="shared" si="50"/>
        <v>0</v>
      </c>
      <c r="S17" s="153">
        <f t="shared" si="51"/>
        <v>0</v>
      </c>
      <c r="T17" s="154">
        <f t="shared" si="52"/>
        <v>200</v>
      </c>
      <c r="U17" s="153" t="str">
        <f t="shared" si="53"/>
        <v/>
      </c>
      <c r="V17" s="153" t="str">
        <f t="shared" si="54"/>
        <v>P</v>
      </c>
      <c r="W17" s="153" t="str">
        <f t="shared" si="55"/>
        <v>II</v>
      </c>
      <c r="X17" s="545">
        <f>IF('Marks Entry'!P17="","",'Marks Entry'!P17)</f>
        <v>8</v>
      </c>
      <c r="Y17" s="545">
        <f>IF('Marks Entry'!Q17="","",'Marks Entry'!Q17)</f>
        <v>4</v>
      </c>
      <c r="Z17" s="545">
        <f>IF('Marks Entry'!R17="","",'Marks Entry'!R17)</f>
        <v>9</v>
      </c>
      <c r="AA17" s="546">
        <f t="shared" si="56"/>
        <v>21</v>
      </c>
      <c r="AB17" s="545">
        <f>IF('Marks Entry'!S17="","",'Marks Entry'!S17)</f>
        <v>35</v>
      </c>
      <c r="AC17" s="546">
        <f t="shared" si="57"/>
        <v>56</v>
      </c>
      <c r="AD17" s="545">
        <f>IF('Marks Entry'!T17="","",'Marks Entry'!T17)</f>
        <v>46</v>
      </c>
      <c r="AE17" s="547">
        <f t="shared" si="58"/>
        <v>102</v>
      </c>
      <c r="AF17" s="153">
        <f t="shared" si="59"/>
        <v>0</v>
      </c>
      <c r="AG17" s="153">
        <f t="shared" si="60"/>
        <v>0</v>
      </c>
      <c r="AH17" s="154">
        <f t="shared" si="61"/>
        <v>200</v>
      </c>
      <c r="AI17" s="153" t="str">
        <f t="shared" si="62"/>
        <v/>
      </c>
      <c r="AJ17" s="153" t="str">
        <f t="shared" si="63"/>
        <v>P</v>
      </c>
      <c r="AK17" s="153" t="str">
        <f t="shared" si="64"/>
        <v>II</v>
      </c>
      <c r="AL17" s="573" t="str">
        <f>IF('Marks Entry'!U17="","",'Marks Entry'!U17)</f>
        <v>A</v>
      </c>
      <c r="AM17" s="573" t="str">
        <f>IF('Marks Entry'!V17="","",'Marks Entry'!V17)</f>
        <v>na</v>
      </c>
      <c r="AN17" s="573">
        <f>IF('Marks Entry'!W17="","",'Marks Entry'!W17)</f>
        <v>7</v>
      </c>
      <c r="AO17" s="573">
        <f>IF('Marks Entry'!X17="","",'Marks Entry'!X17)</f>
        <v>7</v>
      </c>
      <c r="AP17" s="572">
        <f t="shared" si="65"/>
        <v>14</v>
      </c>
      <c r="AQ17" s="573">
        <f>IF('Marks Entry'!Y17="","",'Marks Entry'!Y17)</f>
        <v>15</v>
      </c>
      <c r="AR17" s="573" t="str">
        <f>IF('Marks Entry'!Z17="","",'Marks Entry'!Z17)</f>
        <v/>
      </c>
      <c r="AS17" s="572">
        <f t="shared" si="66"/>
        <v>15</v>
      </c>
      <c r="AT17" s="572">
        <f t="shared" si="67"/>
        <v>29</v>
      </c>
      <c r="AU17" s="573">
        <f>IF('Marks Entry'!AA17="","",'Marks Entry'!AA17)</f>
        <v>36</v>
      </c>
      <c r="AV17" s="573" t="str">
        <f>IF('Marks Entry'!AB17="","",'Marks Entry'!AB17)</f>
        <v/>
      </c>
      <c r="AW17" s="572">
        <f t="shared" si="68"/>
        <v>36</v>
      </c>
      <c r="AX17" s="157">
        <f t="shared" si="69"/>
        <v>65</v>
      </c>
      <c r="AY17" s="157" t="str">
        <f t="shared" si="70"/>
        <v/>
      </c>
      <c r="AZ17" s="192">
        <f t="shared" si="71"/>
        <v>65</v>
      </c>
      <c r="BA17" s="153">
        <f t="shared" si="72"/>
        <v>10</v>
      </c>
      <c r="BB17" s="154">
        <f t="shared" si="73"/>
        <v>0</v>
      </c>
      <c r="BC17" s="154">
        <f t="shared" si="74"/>
        <v>100</v>
      </c>
      <c r="BD17" s="154" t="str">
        <f t="shared" si="75"/>
        <v/>
      </c>
      <c r="BE17" s="154">
        <f t="shared" si="76"/>
        <v>190</v>
      </c>
      <c r="BF17" s="153" t="str">
        <f t="shared" si="77"/>
        <v/>
      </c>
      <c r="BG17" s="154" t="str">
        <f t="shared" si="175"/>
        <v>G2</v>
      </c>
      <c r="BH17" s="153" t="str">
        <f t="shared" si="78"/>
        <v>G2</v>
      </c>
      <c r="BI17" s="580" t="str">
        <f>IF('Marks Entry'!AC17="","",'Marks Entry'!AC17)</f>
        <v>A</v>
      </c>
      <c r="BJ17" s="580">
        <f>IF('Marks Entry'!AD17="","",'Marks Entry'!AD17)</f>
        <v>9</v>
      </c>
      <c r="BK17" s="580">
        <f>IF('Marks Entry'!AE17="","",'Marks Entry'!AE17)</f>
        <v>7</v>
      </c>
      <c r="BL17" s="580" t="str">
        <f>IF('Marks Entry'!AF17="","",'Marks Entry'!AF17)</f>
        <v/>
      </c>
      <c r="BM17" s="581">
        <f t="shared" si="79"/>
        <v>16</v>
      </c>
      <c r="BN17" s="580">
        <f>IF('Marks Entry'!AG17="","",'Marks Entry'!AG17)</f>
        <v>35</v>
      </c>
      <c r="BO17" s="580" t="str">
        <f>IF('Marks Entry'!AH17="","",'Marks Entry'!AH17)</f>
        <v/>
      </c>
      <c r="BP17" s="581">
        <f t="shared" si="80"/>
        <v>35</v>
      </c>
      <c r="BQ17" s="581">
        <f t="shared" si="81"/>
        <v>51</v>
      </c>
      <c r="BR17" s="580">
        <f>IF('Marks Entry'!AI17="","",'Marks Entry'!AI17)</f>
        <v>35</v>
      </c>
      <c r="BS17" s="580" t="str">
        <f>IF('Marks Entry'!AJ17="","",'Marks Entry'!AJ17)</f>
        <v/>
      </c>
      <c r="BT17" s="581">
        <f t="shared" si="82"/>
        <v>35</v>
      </c>
      <c r="BU17" s="157">
        <f t="shared" si="83"/>
        <v>86</v>
      </c>
      <c r="BV17" s="157" t="str">
        <f t="shared" si="84"/>
        <v/>
      </c>
      <c r="BW17" s="192">
        <f t="shared" si="85"/>
        <v>86</v>
      </c>
      <c r="BX17" s="153">
        <f t="shared" si="86"/>
        <v>0</v>
      </c>
      <c r="BY17" s="154">
        <f t="shared" si="87"/>
        <v>0</v>
      </c>
      <c r="BZ17" s="154">
        <f t="shared" si="88"/>
        <v>100</v>
      </c>
      <c r="CA17" s="154" t="str">
        <f t="shared" si="89"/>
        <v/>
      </c>
      <c r="CB17" s="154">
        <f t="shared" si="90"/>
        <v>200</v>
      </c>
      <c r="CC17" s="153" t="str">
        <f t="shared" si="91"/>
        <v/>
      </c>
      <c r="CD17" s="154" t="str">
        <f t="shared" si="92"/>
        <v>P</v>
      </c>
      <c r="CE17" s="153" t="str">
        <f t="shared" si="93"/>
        <v>III</v>
      </c>
      <c r="CF17" s="580" t="str">
        <f>IF('Marks Entry'!AK17="","",'Marks Entry'!AK17)</f>
        <v>C</v>
      </c>
      <c r="CG17" s="580">
        <f>IF('Marks Entry'!AL17="","",'Marks Entry'!AL17)</f>
        <v>3</v>
      </c>
      <c r="CH17" s="580">
        <f>IF('Marks Entry'!AM17="","",'Marks Entry'!AM17)</f>
        <v>5</v>
      </c>
      <c r="CI17" s="580">
        <f>IF('Marks Entry'!AN17="","",'Marks Entry'!AN17)</f>
        <v>7</v>
      </c>
      <c r="CJ17" s="581">
        <f t="shared" si="94"/>
        <v>15</v>
      </c>
      <c r="CK17" s="580">
        <f>IF('Marks Entry'!AO17="","",'Marks Entry'!AO17)</f>
        <v>45</v>
      </c>
      <c r="CL17" s="580" t="str">
        <f>IF('Marks Entry'!AP17="","",'Marks Entry'!AP17)</f>
        <v/>
      </c>
      <c r="CM17" s="581">
        <f t="shared" si="95"/>
        <v>45</v>
      </c>
      <c r="CN17" s="581">
        <f t="shared" si="96"/>
        <v>60</v>
      </c>
      <c r="CO17" s="580">
        <f>IF('Marks Entry'!AQ17="","",'Marks Entry'!AQ17)</f>
        <v>45</v>
      </c>
      <c r="CP17" s="580" t="str">
        <f>IF('Marks Entry'!AR17="","",'Marks Entry'!AR17)</f>
        <v/>
      </c>
      <c r="CQ17" s="581">
        <f t="shared" si="97"/>
        <v>45</v>
      </c>
      <c r="CR17" s="157">
        <f t="shared" si="98"/>
        <v>105</v>
      </c>
      <c r="CS17" s="157" t="str">
        <f t="shared" si="99"/>
        <v/>
      </c>
      <c r="CT17" s="192">
        <f t="shared" si="100"/>
        <v>105</v>
      </c>
      <c r="CU17" s="153">
        <f t="shared" si="101"/>
        <v>0</v>
      </c>
      <c r="CV17" s="154">
        <f t="shared" si="102"/>
        <v>0</v>
      </c>
      <c r="CW17" s="154">
        <f t="shared" si="103"/>
        <v>100</v>
      </c>
      <c r="CX17" s="154" t="str">
        <f t="shared" si="104"/>
        <v/>
      </c>
      <c r="CY17" s="154">
        <f t="shared" si="176"/>
        <v>200</v>
      </c>
      <c r="CZ17" s="153" t="str">
        <f t="shared" si="105"/>
        <v/>
      </c>
      <c r="DA17" s="154" t="str">
        <f t="shared" si="106"/>
        <v>P</v>
      </c>
      <c r="DB17" s="153" t="str">
        <f t="shared" si="107"/>
        <v>II</v>
      </c>
      <c r="DC17" s="154">
        <f t="shared" si="108"/>
        <v>10</v>
      </c>
      <c r="DD17" s="826" t="str">
        <f>IF('Marks Entry'!AS17="","",IF(OR('Master Sheet'!$D$19="YES",'Marks Entry'!$BA$1=1),'Marks Entry'!AS17,""))</f>
        <v/>
      </c>
      <c r="DE17" s="826" t="str">
        <f>IF('Marks Entry'!AT17="","",IF(OR('Master Sheet'!$D$19="YES",'Marks Entry'!$BA$1=1),'Marks Entry'!AT17,""))</f>
        <v/>
      </c>
      <c r="DF17" s="826" t="str">
        <f>IF('Marks Entry'!AU17="","",IF(OR('Master Sheet'!$D$19="YES",'Marks Entry'!$BA$1=1),'Marks Entry'!AU17,""))</f>
        <v/>
      </c>
      <c r="DG17" s="826" t="str">
        <f>IF('Marks Entry'!AV17="","",IF(OR('Master Sheet'!$D$19="YES",'Marks Entry'!$BA$1=1),'Marks Entry'!AV17,""))</f>
        <v/>
      </c>
      <c r="DH17" s="827" t="str">
        <f t="shared" si="109"/>
        <v/>
      </c>
      <c r="DI17" s="826" t="str">
        <f>IF('Marks Entry'!AW17="","",IF(OR('Master Sheet'!$D$19="YES",'Marks Entry'!$BA$1=1),'Marks Entry'!AW17,""))</f>
        <v/>
      </c>
      <c r="DJ17" s="826" t="str">
        <f>IF('Marks Entry'!AX17="","",IF(OR('Master Sheet'!$D$19="YES",'Marks Entry'!$BA$1=1),'Marks Entry'!AX17,""))</f>
        <v/>
      </c>
      <c r="DK17" s="827" t="str">
        <f t="shared" si="110"/>
        <v/>
      </c>
      <c r="DL17" s="827" t="str">
        <f t="shared" si="111"/>
        <v/>
      </c>
      <c r="DM17" s="826" t="str">
        <f>IF('Marks Entry'!AY17="","",IF(OR('Master Sheet'!$D$19="YES",'Marks Entry'!$BA$1=1),'Marks Entry'!AY17,""))</f>
        <v/>
      </c>
      <c r="DN17" s="826" t="str">
        <f>IF('Marks Entry'!AZ17="","",IF(OR('Master Sheet'!$D$19="YES",'Marks Entry'!$BA$1=1),'Marks Entry'!AZ17,""))</f>
        <v/>
      </c>
      <c r="DO17" s="826" t="str">
        <f>IF('Marks Entry'!BA17="","",IF(OR('Master Sheet'!$D$19="YES",'Marks Entry'!$BA$1=1),'Marks Entry'!BA17,""))</f>
        <v/>
      </c>
      <c r="DP17" s="827" t="str">
        <f t="shared" si="112"/>
        <v/>
      </c>
      <c r="DQ17" s="157" t="str">
        <f t="shared" si="113"/>
        <v/>
      </c>
      <c r="DR17" s="157" t="str">
        <f t="shared" si="114"/>
        <v/>
      </c>
      <c r="DS17" s="157" t="str">
        <f t="shared" si="115"/>
        <v/>
      </c>
      <c r="DT17" s="192" t="str">
        <f t="shared" si="116"/>
        <v/>
      </c>
      <c r="DU17" s="153">
        <f t="shared" si="117"/>
        <v>0</v>
      </c>
      <c r="DV17" s="154" t="e">
        <f t="shared" si="118"/>
        <v>#VALUE!</v>
      </c>
      <c r="DW17" s="154" t="str">
        <f t="shared" si="119"/>
        <v/>
      </c>
      <c r="DX17" s="154" t="str">
        <f>IF(OR($B17="NSO",$B17=0,DS17=""),"",IF(AND(DJ17="",DO17=""),"",IF('Master Sheet'!$D$19="YES",$DO$6-COUNTIF(DO17,"ML")*DO$6,DS$6-(COUNTIF(DJ17,"ML")*DJ$6)-(COUNTIF(DO17,"ML")*DO$6))))</f>
        <v/>
      </c>
      <c r="DY17" s="154" t="str">
        <f>IF(OR($B17="NSO",$B17=0),"",IF(AND(DH17="",DI17="",DM17=""),"",IF(AND('Master Sheet'!$D$19="YES",'Marks Entry'!$BA$1=1),100,IF(AND(DJ17="",DO17=""),SUM(($DQ$7+$DR$7)-(DU17+DV17)),SUM(($DQ$6+$DR$6)-(DU17+DV17))))))</f>
        <v/>
      </c>
      <c r="DZ17" s="153" t="str">
        <f t="shared" si="120"/>
        <v/>
      </c>
      <c r="EA17" s="154" t="str">
        <f t="shared" si="121"/>
        <v/>
      </c>
      <c r="EB17" s="153" t="str">
        <f t="shared" si="122"/>
        <v/>
      </c>
      <c r="EC17" s="584">
        <f>IF('Marks Entry'!BB17="","",'Marks Entry'!BB17)</f>
        <v>26</v>
      </c>
      <c r="ED17" s="584">
        <f>IF('Marks Entry'!BC17="","",'Marks Entry'!BC17)</f>
        <v>27</v>
      </c>
      <c r="EE17" s="584">
        <f>IF('Marks Entry'!BD17="","",'Marks Entry'!BD17)</f>
        <v>32</v>
      </c>
      <c r="EF17" s="590">
        <f t="shared" si="123"/>
        <v>85</v>
      </c>
      <c r="EG17" s="595">
        <f t="shared" si="124"/>
        <v>0</v>
      </c>
      <c r="EH17" s="595">
        <f t="shared" si="125"/>
        <v>0</v>
      </c>
      <c r="EI17" s="193">
        <f t="shared" si="126"/>
        <v>100</v>
      </c>
      <c r="EJ17" s="595" t="str">
        <f t="shared" si="127"/>
        <v/>
      </c>
      <c r="EK17" s="595" t="str">
        <f t="shared" si="128"/>
        <v>A</v>
      </c>
      <c r="EL17" s="194" t="str">
        <f t="shared" si="129"/>
        <v>II</v>
      </c>
      <c r="EM17" s="194" t="str">
        <f t="shared" si="130"/>
        <v>II</v>
      </c>
      <c r="EN17" s="194" t="str">
        <f t="shared" si="131"/>
        <v>G2</v>
      </c>
      <c r="EO17" s="194" t="str">
        <f t="shared" si="132"/>
        <v>III</v>
      </c>
      <c r="EP17" s="194" t="str">
        <f t="shared" si="133"/>
        <v>II</v>
      </c>
      <c r="EQ17" s="194" t="str">
        <f t="shared" si="134"/>
        <v/>
      </c>
      <c r="ER17" s="195">
        <f t="shared" si="135"/>
        <v>0</v>
      </c>
      <c r="ES17" s="195">
        <f t="shared" si="136"/>
        <v>0</v>
      </c>
      <c r="ET17" s="195">
        <f t="shared" si="137"/>
        <v>0</v>
      </c>
      <c r="EU17" s="195">
        <f t="shared" si="138"/>
        <v>1</v>
      </c>
      <c r="EV17" s="195">
        <f t="shared" si="139"/>
        <v>0</v>
      </c>
      <c r="EW17" s="195" t="str">
        <f t="shared" si="140"/>
        <v/>
      </c>
      <c r="EX17" s="196" t="str">
        <f t="shared" si="141"/>
        <v>BY GRACE PASS</v>
      </c>
      <c r="EY17" s="197">
        <f>IF('Marks Entry'!BE17="","",'Marks Entry'!BE17)</f>
        <v>8</v>
      </c>
      <c r="EZ17" s="197">
        <f>IF('Marks Entry'!BF17="","",'Marks Entry'!BF17)</f>
        <v>8</v>
      </c>
      <c r="FA17" s="197">
        <f>IF('Marks Entry'!BG17="","",'Marks Entry'!BG17)</f>
        <v>8</v>
      </c>
      <c r="FB17" s="596">
        <f t="shared" si="142"/>
        <v>24</v>
      </c>
      <c r="FC17" s="197">
        <f>IF('Marks Entry'!BH17="","",'Marks Entry'!BH17)</f>
        <v>52</v>
      </c>
      <c r="FD17" s="197">
        <f>IF('Marks Entry'!BI17="","",'Marks Entry'!BI17)</f>
        <v>68</v>
      </c>
      <c r="FE17" s="198">
        <f t="shared" si="143"/>
        <v>144</v>
      </c>
      <c r="FF17" s="199" t="str">
        <f t="shared" si="144"/>
        <v>B</v>
      </c>
      <c r="FG17" s="200">
        <f>IF(AND(E17=""),"",IF('Student DATA Entry'!L13="","",'Student DATA Entry'!L13))</f>
        <v>330</v>
      </c>
      <c r="FH17" s="201">
        <f>IF(AND(E17=""),"",IF('Student DATA Entry'!M13="","",'Student DATA Entry'!M13))</f>
        <v>310</v>
      </c>
      <c r="FI17" s="202">
        <f t="shared" si="145"/>
        <v>93.939393939393938</v>
      </c>
      <c r="FJ17" s="189" t="str">
        <f t="shared" si="146"/>
        <v>II</v>
      </c>
      <c r="FK17" s="189" t="str">
        <f t="shared" si="147"/>
        <v/>
      </c>
      <c r="FL17" s="203" t="str">
        <f t="shared" si="19"/>
        <v/>
      </c>
      <c r="FM17" s="189" t="str">
        <f t="shared" si="148"/>
        <v>II</v>
      </c>
      <c r="FN17" s="204" t="str">
        <f t="shared" si="149"/>
        <v/>
      </c>
      <c r="FO17" s="203" t="str">
        <f t="shared" si="20"/>
        <v/>
      </c>
      <c r="FP17" s="205" t="str">
        <f t="shared" si="150"/>
        <v>G</v>
      </c>
      <c r="FQ17" s="189" t="str">
        <f t="shared" si="21"/>
        <v>G</v>
      </c>
      <c r="FR17" s="189" t="str">
        <f t="shared" si="22"/>
        <v/>
      </c>
      <c r="FS17" s="189" t="str">
        <f t="shared" si="23"/>
        <v/>
      </c>
      <c r="FT17" s="189" t="str">
        <f t="shared" si="24"/>
        <v/>
      </c>
      <c r="FU17" s="189" t="str">
        <f t="shared" si="151"/>
        <v>,+</v>
      </c>
      <c r="FV17" s="206">
        <f t="shared" si="25"/>
        <v>4</v>
      </c>
      <c r="FW17" s="205" t="str">
        <f t="shared" si="152"/>
        <v>III</v>
      </c>
      <c r="FX17" s="189" t="str">
        <f t="shared" si="26"/>
        <v>III</v>
      </c>
      <c r="FY17" s="189" t="str">
        <f t="shared" si="27"/>
        <v/>
      </c>
      <c r="FZ17" s="189" t="str">
        <f t="shared" si="28"/>
        <v/>
      </c>
      <c r="GA17" s="189" t="str">
        <f t="shared" si="29"/>
        <v/>
      </c>
      <c r="GB17" s="189" t="str">
        <f t="shared" si="153"/>
        <v/>
      </c>
      <c r="GC17" s="206" t="str">
        <f t="shared" si="30"/>
        <v/>
      </c>
      <c r="GD17" s="205" t="str">
        <f t="shared" si="154"/>
        <v>II</v>
      </c>
      <c r="GE17" s="189" t="str">
        <f t="shared" si="31"/>
        <v/>
      </c>
      <c r="GF17" s="189" t="str">
        <f t="shared" si="32"/>
        <v/>
      </c>
      <c r="GG17" s="189" t="str">
        <f t="shared" si="33"/>
        <v>II</v>
      </c>
      <c r="GH17" s="189" t="str">
        <f t="shared" si="34"/>
        <v/>
      </c>
      <c r="GI17" s="189" t="str">
        <f t="shared" si="155"/>
        <v/>
      </c>
      <c r="GJ17" s="206" t="str">
        <f t="shared" si="35"/>
        <v/>
      </c>
      <c r="GK17" s="205" t="str">
        <f t="shared" si="156"/>
        <v/>
      </c>
      <c r="GL17" s="189" t="str">
        <f t="shared" si="36"/>
        <v/>
      </c>
      <c r="GM17" s="189" t="str">
        <f t="shared" si="37"/>
        <v/>
      </c>
      <c r="GN17" s="189" t="str">
        <f t="shared" si="38"/>
        <v/>
      </c>
      <c r="GO17" s="189" t="str">
        <f t="shared" si="39"/>
        <v/>
      </c>
      <c r="GP17" s="189" t="str">
        <f t="shared" si="157"/>
        <v/>
      </c>
      <c r="GQ17" s="206" t="str">
        <f t="shared" si="40"/>
        <v/>
      </c>
      <c r="GR17" s="189" t="str">
        <f t="shared" si="158"/>
        <v>A</v>
      </c>
      <c r="GS17" s="189" t="str">
        <f t="shared" si="159"/>
        <v>B</v>
      </c>
      <c r="GT17" s="207" t="str">
        <f t="shared" si="177"/>
        <v xml:space="preserve">    </v>
      </c>
      <c r="GU17" s="207" t="str">
        <f t="shared" si="160"/>
        <v xml:space="preserve">    </v>
      </c>
      <c r="GV17" s="207" t="str">
        <f t="shared" si="161"/>
        <v xml:space="preserve">  POLITICAL SCIENCE  </v>
      </c>
      <c r="GW17" s="207" t="str">
        <f t="shared" si="162"/>
        <v xml:space="preserve">       </v>
      </c>
      <c r="GX17" s="598" t="str">
        <f t="shared" si="163"/>
        <v xml:space="preserve">     </v>
      </c>
      <c r="GY17" s="208" t="str">
        <f t="shared" si="164"/>
        <v>BY GRACE PASS</v>
      </c>
      <c r="GZ17" s="606">
        <f>IF(AND(Q17="",AE17="",AZ17="",BW17="",CT17=""),"",IF(AND('Master Sheet'!$D$19="YES",'Marks Entry'!$BA$1=1),SUM(Q17,AE17,AZ17,BW17,DT17),SUM(Q17,AE17,AZ17,BW17,CT17)))</f>
        <v>457</v>
      </c>
      <c r="HA17" s="209">
        <f>IF(GZ17="","",IF(AND('Master Sheet'!$D$19="YES",'Marks Entry'!$BA$1=1),GZ17/((900)-DC17)*100,GZ17/((1000)-DC17)*100))</f>
        <v>46.161616161616159</v>
      </c>
      <c r="HB17" s="611" t="str">
        <f t="shared" si="165"/>
        <v>III</v>
      </c>
      <c r="HC17" s="609">
        <f t="shared" si="166"/>
        <v>46.161616161616159</v>
      </c>
      <c r="HD17" s="610">
        <f t="shared" si="167"/>
        <v>7.9999999999999432</v>
      </c>
      <c r="HE17" s="210" t="str">
        <f>IFERROR(IF(OR(GY17="SUPPLEMENTARY",GY17="RE-EXAM"),'Supp. Result Entry'!AS16,""),"")</f>
        <v/>
      </c>
      <c r="HF17" s="613" t="str">
        <f t="shared" si="168"/>
        <v/>
      </c>
      <c r="HG17" s="598" t="str">
        <f t="shared" si="169"/>
        <v/>
      </c>
      <c r="HH17" s="598" t="str">
        <f>IF(AND(HE17="",HF17="",HG17=""),"",IF(OR(GY17="SUPPLEMENTARY",GY17="RE-EXAM"),'Supp. Result Entry'!AS16,GY17))</f>
        <v/>
      </c>
      <c r="HI17" s="180"/>
      <c r="HY17" s="212" t="str">
        <f>IF('Supp. Result Entry'!U16="","",'Supp. Result Entry'!$U$6)</f>
        <v/>
      </c>
      <c r="HZ17" s="213" t="str">
        <f>IF('Supp. Result Entry'!X16="","",'Supp. Result Entry'!$X$6)</f>
        <v/>
      </c>
      <c r="IA17" s="213" t="str">
        <f>IF('Supp. Result Entry'!AA16="","",'Supp. Result Entry'!$AA$6)</f>
        <v/>
      </c>
      <c r="IB17" s="213" t="str">
        <f>IF('Supp. Result Entry'!AD16="","",'Supp. Result Entry'!$AD$6)</f>
        <v/>
      </c>
      <c r="IC17" s="213" t="str">
        <f>IF('Supp. Result Entry'!AG16="","",'Supp. Result Entry'!$AG$6)</f>
        <v/>
      </c>
      <c r="ID17" s="213" t="str">
        <f>IF('Supp. Result Entry'!AJ16="","",'Supp. Result Entry'!$AJ$6)</f>
        <v/>
      </c>
      <c r="IE17" s="213" t="str">
        <f>IF('Supp. Result Entry'!V16="","",'Supp. Result Entry'!V16)</f>
        <v/>
      </c>
      <c r="IF17" s="213" t="str">
        <f>IF('Supp. Result Entry'!Y16="","",'Supp. Result Entry'!Y16)</f>
        <v/>
      </c>
      <c r="IG17" s="213" t="str">
        <f>IF('Supp. Result Entry'!AB16="","",'Supp. Result Entry'!AB16)</f>
        <v/>
      </c>
      <c r="IH17" s="213" t="str">
        <f>IF('Supp. Result Entry'!AE16="","",'Supp. Result Entry'!AE16)</f>
        <v/>
      </c>
      <c r="II17" s="213" t="str">
        <f>IF('Supp. Result Entry'!AH16="","",'Supp. Result Entry'!AH16)</f>
        <v/>
      </c>
      <c r="IJ17" s="213" t="str">
        <f>IF('Supp. Result Entry'!AK16="","",'Supp. Result Entry'!AK16)</f>
        <v/>
      </c>
      <c r="IK17" s="213" t="str">
        <f>IF('Supp. Result Entry'!W16="","",'Supp. Result Entry'!W16)</f>
        <v/>
      </c>
      <c r="IL17" s="213" t="str">
        <f>IF('Supp. Result Entry'!Z16="","",'Supp. Result Entry'!Z16)</f>
        <v/>
      </c>
      <c r="IM17" s="213" t="str">
        <f>IF('Supp. Result Entry'!AC16="","",'Supp. Result Entry'!AC16)</f>
        <v/>
      </c>
      <c r="IN17" s="213" t="str">
        <f>IF('Supp. Result Entry'!AF16="","",'Supp. Result Entry'!AF16)</f>
        <v/>
      </c>
      <c r="IO17" s="213" t="str">
        <f>IF('Supp. Result Entry'!AI16="","",'Supp. Result Entry'!AI16)</f>
        <v/>
      </c>
      <c r="IP17" s="213" t="str">
        <f>IF('Supp. Result Entry'!AL16="","",'Supp. Result Entry'!AL16)</f>
        <v/>
      </c>
      <c r="IQ17" s="213">
        <f>COUNTIF('Supp. Result Entry'!K16:Q16,"S")</f>
        <v>0</v>
      </c>
      <c r="IR17" s="213">
        <f t="shared" si="170"/>
        <v>0</v>
      </c>
      <c r="IS17" s="213">
        <f t="shared" si="171"/>
        <v>0</v>
      </c>
      <c r="IT17" s="213" t="str">
        <f t="shared" si="41"/>
        <v/>
      </c>
      <c r="IU17" s="213" t="str">
        <f t="shared" si="42"/>
        <v/>
      </c>
      <c r="IV17" s="213" t="str">
        <f t="shared" si="43"/>
        <v/>
      </c>
      <c r="IW17" s="213" t="str">
        <f t="shared" si="44"/>
        <v/>
      </c>
      <c r="IX17" s="213" t="str">
        <f t="shared" si="45"/>
        <v/>
      </c>
      <c r="IY17" s="213" t="str">
        <f t="shared" si="172"/>
        <v/>
      </c>
      <c r="IZ17" s="213" t="str">
        <f t="shared" si="173"/>
        <v/>
      </c>
      <c r="JA17" s="213" t="str">
        <f t="shared" si="46"/>
        <v/>
      </c>
      <c r="JB17" s="211" t="str">
        <f t="shared" si="174"/>
        <v/>
      </c>
    </row>
    <row r="18" spans="1:262" s="211" customFormat="1" ht="21" customHeight="1">
      <c r="A18" s="184">
        <v>11</v>
      </c>
      <c r="B18" s="185">
        <f>IF('Marks Entry'!B18="","",'Marks Entry'!B18)</f>
        <v>1111</v>
      </c>
      <c r="C18" s="186">
        <f>IF('Marks Entry'!D18="","",'Marks Entry'!D18)</f>
        <v>654</v>
      </c>
      <c r="D18" s="187">
        <f>IF('Marks Entry'!E18="","",'Marks Entry'!E18)</f>
        <v>39635</v>
      </c>
      <c r="E18" s="188" t="str">
        <f>IF('Marks Entry'!F18="","",'Marks Entry'!F18)</f>
        <v>M</v>
      </c>
      <c r="F18" s="188" t="str">
        <f>IF('Marks Entry'!G18="","",'Marks Entry'!G18)</f>
        <v>N</v>
      </c>
      <c r="G18" s="188" t="str">
        <f>IF('Marks Entry'!H18="","",'Marks Entry'!H18)</f>
        <v>A</v>
      </c>
      <c r="H18" s="189" t="str">
        <f>IF('Marks Entry'!I18="","",'Marks Entry'!I18)</f>
        <v>SBC</v>
      </c>
      <c r="I18" s="190" t="str">
        <f>IF('Marks Entry'!J18="","",'Marks Entry'!J18)</f>
        <v>M</v>
      </c>
      <c r="J18" s="545" t="str">
        <f>IF('Marks Entry'!K18="","",'Marks Entry'!K18)</f>
        <v>na</v>
      </c>
      <c r="K18" s="545" t="str">
        <f>IF('Marks Entry'!L18="","",'Marks Entry'!L18)</f>
        <v>na</v>
      </c>
      <c r="L18" s="545">
        <f>IF('Marks Entry'!M18="","",'Marks Entry'!M18)</f>
        <v>8</v>
      </c>
      <c r="M18" s="546">
        <f t="shared" si="47"/>
        <v>8</v>
      </c>
      <c r="N18" s="545">
        <f>IF('Marks Entry'!N18="","",'Marks Entry'!N18)</f>
        <v>30</v>
      </c>
      <c r="O18" s="546">
        <f t="shared" si="48"/>
        <v>38</v>
      </c>
      <c r="P18" s="545">
        <f>IF('Marks Entry'!O18="","",'Marks Entry'!O18)</f>
        <v>32</v>
      </c>
      <c r="Q18" s="547">
        <f t="shared" si="49"/>
        <v>70</v>
      </c>
      <c r="R18" s="153">
        <f t="shared" si="50"/>
        <v>20</v>
      </c>
      <c r="S18" s="153">
        <f t="shared" si="51"/>
        <v>0</v>
      </c>
      <c r="T18" s="154">
        <f t="shared" si="52"/>
        <v>180</v>
      </c>
      <c r="U18" s="153" t="str">
        <f t="shared" si="53"/>
        <v/>
      </c>
      <c r="V18" s="153" t="str">
        <f t="shared" si="54"/>
        <v>P</v>
      </c>
      <c r="W18" s="153" t="str">
        <f t="shared" si="55"/>
        <v>III</v>
      </c>
      <c r="X18" s="545">
        <f>IF('Marks Entry'!P18="","",'Marks Entry'!P18)</f>
        <v>5</v>
      </c>
      <c r="Y18" s="545">
        <f>IF('Marks Entry'!Q18="","",'Marks Entry'!Q18)</f>
        <v>4</v>
      </c>
      <c r="Z18" s="545">
        <f>IF('Marks Entry'!R18="","",'Marks Entry'!R18)</f>
        <v>9</v>
      </c>
      <c r="AA18" s="546">
        <f t="shared" si="56"/>
        <v>18</v>
      </c>
      <c r="AB18" s="545">
        <f>IF('Marks Entry'!S18="","",'Marks Entry'!S18)</f>
        <v>34</v>
      </c>
      <c r="AC18" s="546">
        <f t="shared" si="57"/>
        <v>52</v>
      </c>
      <c r="AD18" s="545">
        <f>IF('Marks Entry'!T18="","",'Marks Entry'!T18)</f>
        <v>46</v>
      </c>
      <c r="AE18" s="547">
        <f t="shared" si="58"/>
        <v>98</v>
      </c>
      <c r="AF18" s="153">
        <f t="shared" si="59"/>
        <v>0</v>
      </c>
      <c r="AG18" s="153">
        <f t="shared" si="60"/>
        <v>0</v>
      </c>
      <c r="AH18" s="154">
        <f t="shared" si="61"/>
        <v>200</v>
      </c>
      <c r="AI18" s="153" t="str">
        <f t="shared" si="62"/>
        <v/>
      </c>
      <c r="AJ18" s="153" t="str">
        <f t="shared" si="63"/>
        <v>P</v>
      </c>
      <c r="AK18" s="153" t="str">
        <f t="shared" si="64"/>
        <v>II</v>
      </c>
      <c r="AL18" s="573" t="str">
        <f>IF('Marks Entry'!U18="","",'Marks Entry'!U18)</f>
        <v>A</v>
      </c>
      <c r="AM18" s="573" t="str">
        <f>IF('Marks Entry'!V18="","",'Marks Entry'!V18)</f>
        <v>ab</v>
      </c>
      <c r="AN18" s="573">
        <f>IF('Marks Entry'!W18="","",'Marks Entry'!W18)</f>
        <v>9</v>
      </c>
      <c r="AO18" s="573">
        <f>IF('Marks Entry'!X18="","",'Marks Entry'!X18)</f>
        <v>7</v>
      </c>
      <c r="AP18" s="572">
        <f t="shared" si="65"/>
        <v>16</v>
      </c>
      <c r="AQ18" s="573">
        <f>IF('Marks Entry'!Y18="","",'Marks Entry'!Y18)</f>
        <v>35</v>
      </c>
      <c r="AR18" s="573" t="str">
        <f>IF('Marks Entry'!Z18="","",'Marks Entry'!Z18)</f>
        <v/>
      </c>
      <c r="AS18" s="572">
        <f t="shared" si="66"/>
        <v>35</v>
      </c>
      <c r="AT18" s="572">
        <f t="shared" si="67"/>
        <v>51</v>
      </c>
      <c r="AU18" s="573">
        <f>IF('Marks Entry'!AA18="","",'Marks Entry'!AA18)</f>
        <v>38</v>
      </c>
      <c r="AV18" s="573" t="str">
        <f>IF('Marks Entry'!AB18="","",'Marks Entry'!AB18)</f>
        <v/>
      </c>
      <c r="AW18" s="572">
        <f t="shared" si="68"/>
        <v>38</v>
      </c>
      <c r="AX18" s="157">
        <f t="shared" si="69"/>
        <v>89</v>
      </c>
      <c r="AY18" s="157" t="str">
        <f t="shared" si="70"/>
        <v/>
      </c>
      <c r="AZ18" s="192">
        <f t="shared" si="71"/>
        <v>89</v>
      </c>
      <c r="BA18" s="153">
        <f t="shared" si="72"/>
        <v>0</v>
      </c>
      <c r="BB18" s="154">
        <f t="shared" si="73"/>
        <v>0</v>
      </c>
      <c r="BC18" s="154">
        <f t="shared" si="74"/>
        <v>100</v>
      </c>
      <c r="BD18" s="154" t="str">
        <f t="shared" si="75"/>
        <v/>
      </c>
      <c r="BE18" s="154">
        <f t="shared" si="76"/>
        <v>200</v>
      </c>
      <c r="BF18" s="153" t="str">
        <f t="shared" si="77"/>
        <v/>
      </c>
      <c r="BG18" s="154" t="str">
        <f t="shared" si="175"/>
        <v>P</v>
      </c>
      <c r="BH18" s="153" t="str">
        <f t="shared" si="78"/>
        <v>III</v>
      </c>
      <c r="BI18" s="580" t="str">
        <f>IF('Marks Entry'!AC18="","",'Marks Entry'!AC18)</f>
        <v>A</v>
      </c>
      <c r="BJ18" s="580">
        <f>IF('Marks Entry'!AD18="","",'Marks Entry'!AD18)</f>
        <v>8</v>
      </c>
      <c r="BK18" s="580">
        <f>IF('Marks Entry'!AE18="","",'Marks Entry'!AE18)</f>
        <v>6</v>
      </c>
      <c r="BL18" s="580" t="str">
        <f>IF('Marks Entry'!AF18="","",'Marks Entry'!AF18)</f>
        <v/>
      </c>
      <c r="BM18" s="581">
        <f t="shared" si="79"/>
        <v>14</v>
      </c>
      <c r="BN18" s="580">
        <f>IF('Marks Entry'!AG18="","",'Marks Entry'!AG18)</f>
        <v>43</v>
      </c>
      <c r="BO18" s="580" t="str">
        <f>IF('Marks Entry'!AH18="","",'Marks Entry'!AH18)</f>
        <v/>
      </c>
      <c r="BP18" s="581">
        <f t="shared" si="80"/>
        <v>43</v>
      </c>
      <c r="BQ18" s="581">
        <f t="shared" si="81"/>
        <v>57</v>
      </c>
      <c r="BR18" s="580">
        <f>IF('Marks Entry'!AI18="","",'Marks Entry'!AI18)</f>
        <v>36</v>
      </c>
      <c r="BS18" s="580" t="str">
        <f>IF('Marks Entry'!AJ18="","",'Marks Entry'!AJ18)</f>
        <v/>
      </c>
      <c r="BT18" s="581">
        <f t="shared" si="82"/>
        <v>36</v>
      </c>
      <c r="BU18" s="157">
        <f t="shared" si="83"/>
        <v>93</v>
      </c>
      <c r="BV18" s="157" t="str">
        <f t="shared" si="84"/>
        <v/>
      </c>
      <c r="BW18" s="192">
        <f t="shared" si="85"/>
        <v>93</v>
      </c>
      <c r="BX18" s="153">
        <f t="shared" si="86"/>
        <v>0</v>
      </c>
      <c r="BY18" s="154">
        <f t="shared" si="87"/>
        <v>0</v>
      </c>
      <c r="BZ18" s="154">
        <f t="shared" si="88"/>
        <v>100</v>
      </c>
      <c r="CA18" s="154" t="str">
        <f t="shared" si="89"/>
        <v/>
      </c>
      <c r="CB18" s="154">
        <f t="shared" si="90"/>
        <v>200</v>
      </c>
      <c r="CC18" s="153" t="str">
        <f t="shared" si="91"/>
        <v/>
      </c>
      <c r="CD18" s="154" t="str">
        <f t="shared" si="92"/>
        <v>P</v>
      </c>
      <c r="CE18" s="153" t="str">
        <f t="shared" si="93"/>
        <v>III</v>
      </c>
      <c r="CF18" s="580" t="str">
        <f>IF('Marks Entry'!AK18="","",'Marks Entry'!AK18)</f>
        <v>A</v>
      </c>
      <c r="CG18" s="580">
        <f>IF('Marks Entry'!AL18="","",'Marks Entry'!AL18)</f>
        <v>3</v>
      </c>
      <c r="CH18" s="580">
        <f>IF('Marks Entry'!AM18="","",'Marks Entry'!AM18)</f>
        <v>6</v>
      </c>
      <c r="CI18" s="580">
        <f>IF('Marks Entry'!AN18="","",'Marks Entry'!AN18)</f>
        <v>7</v>
      </c>
      <c r="CJ18" s="581">
        <f t="shared" si="94"/>
        <v>16</v>
      </c>
      <c r="CK18" s="580">
        <f>IF('Marks Entry'!AO18="","",'Marks Entry'!AO18)</f>
        <v>19</v>
      </c>
      <c r="CL18" s="580">
        <f>IF('Marks Entry'!AP18="","",'Marks Entry'!AP18)</f>
        <v>10</v>
      </c>
      <c r="CM18" s="581">
        <f t="shared" si="95"/>
        <v>29</v>
      </c>
      <c r="CN18" s="581">
        <f t="shared" si="96"/>
        <v>45</v>
      </c>
      <c r="CO18" s="580">
        <f>IF('Marks Entry'!AQ18="","",'Marks Entry'!AQ18)</f>
        <v>47</v>
      </c>
      <c r="CP18" s="580">
        <f>IF('Marks Entry'!AR18="","",'Marks Entry'!AR18)</f>
        <v>15</v>
      </c>
      <c r="CQ18" s="581">
        <f t="shared" si="97"/>
        <v>62</v>
      </c>
      <c r="CR18" s="157">
        <f t="shared" si="98"/>
        <v>82</v>
      </c>
      <c r="CS18" s="157">
        <f t="shared" si="99"/>
        <v>25</v>
      </c>
      <c r="CT18" s="192">
        <f t="shared" si="100"/>
        <v>107</v>
      </c>
      <c r="CU18" s="153">
        <f t="shared" si="101"/>
        <v>0</v>
      </c>
      <c r="CV18" s="154">
        <f t="shared" si="102"/>
        <v>0</v>
      </c>
      <c r="CW18" s="154">
        <f t="shared" si="103"/>
        <v>70</v>
      </c>
      <c r="CX18" s="154">
        <f t="shared" si="104"/>
        <v>50</v>
      </c>
      <c r="CY18" s="154">
        <f t="shared" si="176"/>
        <v>150</v>
      </c>
      <c r="CZ18" s="153" t="str">
        <f t="shared" si="105"/>
        <v/>
      </c>
      <c r="DA18" s="154" t="str">
        <f t="shared" si="106"/>
        <v>P</v>
      </c>
      <c r="DB18" s="153" t="str">
        <f t="shared" si="107"/>
        <v>II</v>
      </c>
      <c r="DC18" s="154">
        <f t="shared" si="108"/>
        <v>20</v>
      </c>
      <c r="DD18" s="826" t="str">
        <f>IF('Marks Entry'!AS18="","",IF(OR('Master Sheet'!$D$19="YES",'Marks Entry'!$BA$1=1),'Marks Entry'!AS18,""))</f>
        <v/>
      </c>
      <c r="DE18" s="826" t="str">
        <f>IF('Marks Entry'!AT18="","",IF(OR('Master Sheet'!$D$19="YES",'Marks Entry'!$BA$1=1),'Marks Entry'!AT18,""))</f>
        <v/>
      </c>
      <c r="DF18" s="826" t="str">
        <f>IF('Marks Entry'!AU18="","",IF(OR('Master Sheet'!$D$19="YES",'Marks Entry'!$BA$1=1),'Marks Entry'!AU18,""))</f>
        <v/>
      </c>
      <c r="DG18" s="826" t="str">
        <f>IF('Marks Entry'!AV18="","",IF(OR('Master Sheet'!$D$19="YES",'Marks Entry'!$BA$1=1),'Marks Entry'!AV18,""))</f>
        <v/>
      </c>
      <c r="DH18" s="827" t="str">
        <f t="shared" si="109"/>
        <v/>
      </c>
      <c r="DI18" s="826" t="str">
        <f>IF('Marks Entry'!AW18="","",IF(OR('Master Sheet'!$D$19="YES",'Marks Entry'!$BA$1=1),'Marks Entry'!AW18,""))</f>
        <v/>
      </c>
      <c r="DJ18" s="826" t="str">
        <f>IF('Marks Entry'!AX18="","",IF(OR('Master Sheet'!$D$19="YES",'Marks Entry'!$BA$1=1),'Marks Entry'!AX18,""))</f>
        <v/>
      </c>
      <c r="DK18" s="827" t="str">
        <f t="shared" si="110"/>
        <v/>
      </c>
      <c r="DL18" s="827" t="str">
        <f t="shared" si="111"/>
        <v/>
      </c>
      <c r="DM18" s="826" t="str">
        <f>IF('Marks Entry'!AY18="","",IF(OR('Master Sheet'!$D$19="YES",'Marks Entry'!$BA$1=1),'Marks Entry'!AY18,""))</f>
        <v/>
      </c>
      <c r="DN18" s="826" t="str">
        <f>IF('Marks Entry'!AZ18="","",IF(OR('Master Sheet'!$D$19="YES",'Marks Entry'!$BA$1=1),'Marks Entry'!AZ18,""))</f>
        <v/>
      </c>
      <c r="DO18" s="826" t="str">
        <f>IF('Marks Entry'!BA18="","",IF(OR('Master Sheet'!$D$19="YES",'Marks Entry'!$BA$1=1),'Marks Entry'!BA18,""))</f>
        <v/>
      </c>
      <c r="DP18" s="827" t="str">
        <f t="shared" si="112"/>
        <v/>
      </c>
      <c r="DQ18" s="157" t="str">
        <f t="shared" si="113"/>
        <v/>
      </c>
      <c r="DR18" s="157" t="str">
        <f t="shared" si="114"/>
        <v/>
      </c>
      <c r="DS18" s="157" t="str">
        <f t="shared" si="115"/>
        <v/>
      </c>
      <c r="DT18" s="192" t="str">
        <f t="shared" si="116"/>
        <v/>
      </c>
      <c r="DU18" s="153">
        <f t="shared" si="117"/>
        <v>0</v>
      </c>
      <c r="DV18" s="154" t="e">
        <f t="shared" si="118"/>
        <v>#VALUE!</v>
      </c>
      <c r="DW18" s="154" t="str">
        <f t="shared" si="119"/>
        <v/>
      </c>
      <c r="DX18" s="154" t="str">
        <f>IF(OR($B18="NSO",$B18=0,DS18=""),"",IF(AND(DJ18="",DO18=""),"",IF('Master Sheet'!$D$19="YES",$DO$6-COUNTIF(DO18,"ML")*DO$6,DS$6-(COUNTIF(DJ18,"ML")*DJ$6)-(COUNTIF(DO18,"ML")*DO$6))))</f>
        <v/>
      </c>
      <c r="DY18" s="154" t="str">
        <f>IF(OR($B18="NSO",$B18=0),"",IF(AND(DH18="",DI18="",DM18=""),"",IF(AND('Master Sheet'!$D$19="YES",'Marks Entry'!$BA$1=1),100,IF(AND(DJ18="",DO18=""),SUM(($DQ$7+$DR$7)-(DU18+DV18)),SUM(($DQ$6+$DR$6)-(DU18+DV18))))))</f>
        <v/>
      </c>
      <c r="DZ18" s="153" t="str">
        <f t="shared" si="120"/>
        <v/>
      </c>
      <c r="EA18" s="154" t="str">
        <f t="shared" si="121"/>
        <v/>
      </c>
      <c r="EB18" s="153" t="str">
        <f t="shared" si="122"/>
        <v/>
      </c>
      <c r="EC18" s="584">
        <f>IF('Marks Entry'!BB18="","",'Marks Entry'!BB18)</f>
        <v>26</v>
      </c>
      <c r="ED18" s="584">
        <f>IF('Marks Entry'!BC18="","",'Marks Entry'!BC18)</f>
        <v>27</v>
      </c>
      <c r="EE18" s="584">
        <f>IF('Marks Entry'!BD18="","",'Marks Entry'!BD18)</f>
        <v>32</v>
      </c>
      <c r="EF18" s="590">
        <f t="shared" si="123"/>
        <v>85</v>
      </c>
      <c r="EG18" s="595">
        <f t="shared" si="124"/>
        <v>0</v>
      </c>
      <c r="EH18" s="595">
        <f t="shared" si="125"/>
        <v>0</v>
      </c>
      <c r="EI18" s="193">
        <f t="shared" si="126"/>
        <v>100</v>
      </c>
      <c r="EJ18" s="595" t="str">
        <f t="shared" si="127"/>
        <v/>
      </c>
      <c r="EK18" s="595" t="str">
        <f t="shared" si="128"/>
        <v>A</v>
      </c>
      <c r="EL18" s="194" t="str">
        <f t="shared" si="129"/>
        <v>III</v>
      </c>
      <c r="EM18" s="194" t="str">
        <f t="shared" si="130"/>
        <v>II</v>
      </c>
      <c r="EN18" s="194" t="str">
        <f t="shared" si="131"/>
        <v>III</v>
      </c>
      <c r="EO18" s="194" t="str">
        <f t="shared" si="132"/>
        <v>III</v>
      </c>
      <c r="EP18" s="194" t="str">
        <f t="shared" si="133"/>
        <v>II</v>
      </c>
      <c r="EQ18" s="194" t="str">
        <f t="shared" si="134"/>
        <v/>
      </c>
      <c r="ER18" s="195">
        <f t="shared" si="135"/>
        <v>0</v>
      </c>
      <c r="ES18" s="195">
        <f t="shared" si="136"/>
        <v>0</v>
      </c>
      <c r="ET18" s="195">
        <f t="shared" si="137"/>
        <v>0</v>
      </c>
      <c r="EU18" s="195">
        <f t="shared" si="138"/>
        <v>0</v>
      </c>
      <c r="EV18" s="195">
        <f t="shared" si="139"/>
        <v>0</v>
      </c>
      <c r="EW18" s="195" t="str">
        <f t="shared" si="140"/>
        <v/>
      </c>
      <c r="EX18" s="196" t="str">
        <f t="shared" si="141"/>
        <v>PASS</v>
      </c>
      <c r="EY18" s="197">
        <f>IF('Marks Entry'!BE18="","",'Marks Entry'!BE18)</f>
        <v>8</v>
      </c>
      <c r="EZ18" s="197">
        <f>IF('Marks Entry'!BF18="","",'Marks Entry'!BF18)</f>
        <v>8</v>
      </c>
      <c r="FA18" s="197">
        <f>IF('Marks Entry'!BG18="","",'Marks Entry'!BG18)</f>
        <v>8</v>
      </c>
      <c r="FB18" s="596">
        <f t="shared" si="142"/>
        <v>24</v>
      </c>
      <c r="FC18" s="197">
        <f>IF('Marks Entry'!BH18="","",'Marks Entry'!BH18)</f>
        <v>52</v>
      </c>
      <c r="FD18" s="197">
        <f>IF('Marks Entry'!BI18="","",'Marks Entry'!BI18)</f>
        <v>68</v>
      </c>
      <c r="FE18" s="198">
        <f t="shared" si="143"/>
        <v>144</v>
      </c>
      <c r="FF18" s="199" t="str">
        <f t="shared" si="144"/>
        <v>B</v>
      </c>
      <c r="FG18" s="200">
        <f>IF(AND(E18=""),"",IF('Student DATA Entry'!L14="","",'Student DATA Entry'!L14))</f>
        <v>370</v>
      </c>
      <c r="FH18" s="201">
        <f>IF(AND(E18=""),"",IF('Student DATA Entry'!M14="","",'Student DATA Entry'!M14))</f>
        <v>360</v>
      </c>
      <c r="FI18" s="202">
        <f t="shared" si="145"/>
        <v>97.297297297297305</v>
      </c>
      <c r="FJ18" s="189" t="str">
        <f t="shared" si="146"/>
        <v>III</v>
      </c>
      <c r="FK18" s="189" t="str">
        <f t="shared" si="147"/>
        <v/>
      </c>
      <c r="FL18" s="203" t="str">
        <f t="shared" si="19"/>
        <v/>
      </c>
      <c r="FM18" s="189" t="str">
        <f t="shared" si="148"/>
        <v>II</v>
      </c>
      <c r="FN18" s="204" t="str">
        <f t="shared" si="149"/>
        <v/>
      </c>
      <c r="FO18" s="203" t="str">
        <f t="shared" si="20"/>
        <v/>
      </c>
      <c r="FP18" s="205" t="str">
        <f t="shared" si="150"/>
        <v>III</v>
      </c>
      <c r="FQ18" s="189" t="str">
        <f t="shared" si="21"/>
        <v>III</v>
      </c>
      <c r="FR18" s="189" t="str">
        <f t="shared" si="22"/>
        <v/>
      </c>
      <c r="FS18" s="189" t="str">
        <f t="shared" si="23"/>
        <v/>
      </c>
      <c r="FT18" s="189" t="str">
        <f t="shared" si="24"/>
        <v/>
      </c>
      <c r="FU18" s="189" t="str">
        <f t="shared" si="151"/>
        <v/>
      </c>
      <c r="FV18" s="206" t="str">
        <f t="shared" si="25"/>
        <v/>
      </c>
      <c r="FW18" s="205" t="str">
        <f t="shared" si="152"/>
        <v>III</v>
      </c>
      <c r="FX18" s="189" t="str">
        <f t="shared" si="26"/>
        <v>III</v>
      </c>
      <c r="FY18" s="189" t="str">
        <f t="shared" si="27"/>
        <v/>
      </c>
      <c r="FZ18" s="189" t="str">
        <f t="shared" si="28"/>
        <v/>
      </c>
      <c r="GA18" s="189" t="str">
        <f t="shared" si="29"/>
        <v/>
      </c>
      <c r="GB18" s="189" t="str">
        <f t="shared" si="153"/>
        <v/>
      </c>
      <c r="GC18" s="206" t="str">
        <f t="shared" si="30"/>
        <v/>
      </c>
      <c r="GD18" s="205" t="str">
        <f t="shared" si="154"/>
        <v>II</v>
      </c>
      <c r="GE18" s="189" t="str">
        <f t="shared" si="31"/>
        <v>II</v>
      </c>
      <c r="GF18" s="189" t="str">
        <f t="shared" si="32"/>
        <v/>
      </c>
      <c r="GG18" s="189" t="str">
        <f t="shared" si="33"/>
        <v/>
      </c>
      <c r="GH18" s="189" t="str">
        <f t="shared" si="34"/>
        <v/>
      </c>
      <c r="GI18" s="189" t="str">
        <f t="shared" si="155"/>
        <v/>
      </c>
      <c r="GJ18" s="206" t="str">
        <f t="shared" si="35"/>
        <v/>
      </c>
      <c r="GK18" s="205" t="str">
        <f t="shared" si="156"/>
        <v/>
      </c>
      <c r="GL18" s="189" t="str">
        <f t="shared" si="36"/>
        <v/>
      </c>
      <c r="GM18" s="189" t="str">
        <f t="shared" si="37"/>
        <v/>
      </c>
      <c r="GN18" s="189" t="str">
        <f t="shared" si="38"/>
        <v/>
      </c>
      <c r="GO18" s="189" t="str">
        <f t="shared" si="39"/>
        <v/>
      </c>
      <c r="GP18" s="189" t="str">
        <f t="shared" si="157"/>
        <v/>
      </c>
      <c r="GQ18" s="206" t="str">
        <f t="shared" si="40"/>
        <v/>
      </c>
      <c r="GR18" s="189" t="str">
        <f t="shared" si="158"/>
        <v>A</v>
      </c>
      <c r="GS18" s="189" t="str">
        <f t="shared" si="159"/>
        <v>B</v>
      </c>
      <c r="GT18" s="207" t="str">
        <f t="shared" si="177"/>
        <v xml:space="preserve">    </v>
      </c>
      <c r="GU18" s="207" t="str">
        <f t="shared" si="160"/>
        <v xml:space="preserve">    </v>
      </c>
      <c r="GV18" s="207" t="str">
        <f t="shared" si="161"/>
        <v xml:space="preserve">    </v>
      </c>
      <c r="GW18" s="207" t="str">
        <f t="shared" si="162"/>
        <v xml:space="preserve">       </v>
      </c>
      <c r="GX18" s="598" t="str">
        <f t="shared" si="163"/>
        <v xml:space="preserve">     </v>
      </c>
      <c r="GY18" s="208" t="str">
        <f t="shared" si="164"/>
        <v>PASS</v>
      </c>
      <c r="GZ18" s="606">
        <f>IF(AND(Q18="",AE18="",AZ18="",BW18="",CT18=""),"",IF(AND('Master Sheet'!$D$19="YES",'Marks Entry'!$BA$1=1),SUM(Q18,AE18,AZ18,BW18,DT18),SUM(Q18,AE18,AZ18,BW18,CT18)))</f>
        <v>457</v>
      </c>
      <c r="HA18" s="209">
        <f>IF(GZ18="","",IF(AND('Master Sheet'!$D$19="YES",'Marks Entry'!$BA$1=1),GZ18/((900)-DC18)*100,GZ18/((1000)-DC18)*100))</f>
        <v>46.632653061224488</v>
      </c>
      <c r="HB18" s="611" t="str">
        <f t="shared" si="165"/>
        <v>III</v>
      </c>
      <c r="HC18" s="609">
        <f t="shared" si="166"/>
        <v>46.632653061224488</v>
      </c>
      <c r="HD18" s="610">
        <f t="shared" si="167"/>
        <v>6.9999999999999432</v>
      </c>
      <c r="HE18" s="210" t="str">
        <f>IFERROR(IF(OR(GY18="SUPPLEMENTARY",GY18="RE-EXAM"),'Supp. Result Entry'!AS17,""),"")</f>
        <v/>
      </c>
      <c r="HF18" s="613" t="str">
        <f t="shared" si="168"/>
        <v/>
      </c>
      <c r="HG18" s="598" t="str">
        <f t="shared" si="169"/>
        <v/>
      </c>
      <c r="HH18" s="598" t="str">
        <f>IF(AND(HE18="",HF18="",HG18=""),"",IF(OR(GY18="SUPPLEMENTARY",GY18="RE-EXAM"),'Supp. Result Entry'!AS17,GY18))</f>
        <v/>
      </c>
      <c r="HI18" s="180"/>
      <c r="HY18" s="212" t="str">
        <f>IF('Supp. Result Entry'!U17="","",'Supp. Result Entry'!$U$6)</f>
        <v/>
      </c>
      <c r="HZ18" s="213" t="str">
        <f>IF('Supp. Result Entry'!X17="","",'Supp. Result Entry'!$X$6)</f>
        <v/>
      </c>
      <c r="IA18" s="213" t="str">
        <f>IF('Supp. Result Entry'!AA17="","",'Supp. Result Entry'!$AA$6)</f>
        <v/>
      </c>
      <c r="IB18" s="213" t="str">
        <f>IF('Supp. Result Entry'!AD17="","",'Supp. Result Entry'!$AD$6)</f>
        <v/>
      </c>
      <c r="IC18" s="213" t="str">
        <f>IF('Supp. Result Entry'!AG17="","",'Supp. Result Entry'!$AG$6)</f>
        <v/>
      </c>
      <c r="ID18" s="213" t="str">
        <f>IF('Supp. Result Entry'!AJ17="","",'Supp. Result Entry'!$AJ$6)</f>
        <v/>
      </c>
      <c r="IE18" s="213" t="str">
        <f>IF('Supp. Result Entry'!V17="","",'Supp. Result Entry'!V17)</f>
        <v/>
      </c>
      <c r="IF18" s="213" t="str">
        <f>IF('Supp. Result Entry'!Y17="","",'Supp. Result Entry'!Y17)</f>
        <v/>
      </c>
      <c r="IG18" s="213" t="str">
        <f>IF('Supp. Result Entry'!AB17="","",'Supp. Result Entry'!AB17)</f>
        <v/>
      </c>
      <c r="IH18" s="213" t="str">
        <f>IF('Supp. Result Entry'!AE17="","",'Supp. Result Entry'!AE17)</f>
        <v/>
      </c>
      <c r="II18" s="213" t="str">
        <f>IF('Supp. Result Entry'!AH17="","",'Supp. Result Entry'!AH17)</f>
        <v/>
      </c>
      <c r="IJ18" s="213" t="str">
        <f>IF('Supp. Result Entry'!AK17="","",'Supp. Result Entry'!AK17)</f>
        <v/>
      </c>
      <c r="IK18" s="213" t="str">
        <f>IF('Supp. Result Entry'!W17="","",'Supp. Result Entry'!W17)</f>
        <v/>
      </c>
      <c r="IL18" s="213" t="str">
        <f>IF('Supp. Result Entry'!Z17="","",'Supp. Result Entry'!Z17)</f>
        <v/>
      </c>
      <c r="IM18" s="213" t="str">
        <f>IF('Supp. Result Entry'!AC17="","",'Supp. Result Entry'!AC17)</f>
        <v/>
      </c>
      <c r="IN18" s="213" t="str">
        <f>IF('Supp. Result Entry'!AF17="","",'Supp. Result Entry'!AF17)</f>
        <v/>
      </c>
      <c r="IO18" s="213" t="str">
        <f>IF('Supp. Result Entry'!AI17="","",'Supp. Result Entry'!AI17)</f>
        <v/>
      </c>
      <c r="IP18" s="213" t="str">
        <f>IF('Supp. Result Entry'!AL17="","",'Supp. Result Entry'!AL17)</f>
        <v/>
      </c>
      <c r="IQ18" s="213">
        <f>COUNTIF('Supp. Result Entry'!K17:Q17,"S")</f>
        <v>0</v>
      </c>
      <c r="IR18" s="213">
        <f t="shared" si="170"/>
        <v>0</v>
      </c>
      <c r="IS18" s="213">
        <f t="shared" si="171"/>
        <v>0</v>
      </c>
      <c r="IT18" s="213" t="str">
        <f t="shared" si="41"/>
        <v/>
      </c>
      <c r="IU18" s="213" t="str">
        <f t="shared" si="42"/>
        <v/>
      </c>
      <c r="IV18" s="213" t="str">
        <f t="shared" si="43"/>
        <v/>
      </c>
      <c r="IW18" s="213" t="str">
        <f t="shared" si="44"/>
        <v/>
      </c>
      <c r="IX18" s="213" t="str">
        <f t="shared" si="45"/>
        <v/>
      </c>
      <c r="IY18" s="213" t="str">
        <f t="shared" si="172"/>
        <v/>
      </c>
      <c r="IZ18" s="213" t="str">
        <f t="shared" si="173"/>
        <v/>
      </c>
      <c r="JA18" s="213" t="str">
        <f t="shared" si="46"/>
        <v/>
      </c>
      <c r="JB18" s="211" t="str">
        <f t="shared" si="174"/>
        <v/>
      </c>
    </row>
    <row r="19" spans="1:262" s="211" customFormat="1" ht="21" customHeight="1">
      <c r="A19" s="184">
        <v>12</v>
      </c>
      <c r="B19" s="185" t="str">
        <f>IF('Marks Entry'!B19="","",'Marks Entry'!B19)</f>
        <v/>
      </c>
      <c r="C19" s="186" t="str">
        <f>IF('Marks Entry'!D19="","",'Marks Entry'!D19)</f>
        <v/>
      </c>
      <c r="D19" s="187" t="str">
        <f>IF('Marks Entry'!E19="","",'Marks Entry'!E19)</f>
        <v/>
      </c>
      <c r="E19" s="188" t="str">
        <f>IF('Marks Entry'!F19="","",'Marks Entry'!F19)</f>
        <v/>
      </c>
      <c r="F19" s="188" t="str">
        <f>IF('Marks Entry'!G19="","",'Marks Entry'!G19)</f>
        <v/>
      </c>
      <c r="G19" s="188" t="str">
        <f>IF('Marks Entry'!H19="","",'Marks Entry'!H19)</f>
        <v/>
      </c>
      <c r="H19" s="189" t="str">
        <f>IF('Marks Entry'!I19="","",'Marks Entry'!I19)</f>
        <v/>
      </c>
      <c r="I19" s="190" t="str">
        <f>IF('Marks Entry'!J19="","",'Marks Entry'!J19)</f>
        <v/>
      </c>
      <c r="J19" s="545" t="str">
        <f>IF('Marks Entry'!K19="","",'Marks Entry'!K19)</f>
        <v>na</v>
      </c>
      <c r="K19" s="545">
        <f>IF('Marks Entry'!L19="","",'Marks Entry'!L19)</f>
        <v>8</v>
      </c>
      <c r="L19" s="545">
        <f>IF('Marks Entry'!M19="","",'Marks Entry'!M19)</f>
        <v>8</v>
      </c>
      <c r="M19" s="546">
        <f t="shared" si="47"/>
        <v>16</v>
      </c>
      <c r="N19" s="545">
        <f>IF('Marks Entry'!N19="","",'Marks Entry'!N19)</f>
        <v>43</v>
      </c>
      <c r="O19" s="546">
        <f t="shared" si="48"/>
        <v>59</v>
      </c>
      <c r="P19" s="545">
        <f>IF('Marks Entry'!O19="","",'Marks Entry'!O19)</f>
        <v>46</v>
      </c>
      <c r="Q19" s="547">
        <f t="shared" si="49"/>
        <v>105</v>
      </c>
      <c r="R19" s="153">
        <f t="shared" si="50"/>
        <v>10</v>
      </c>
      <c r="S19" s="153">
        <f t="shared" si="51"/>
        <v>0</v>
      </c>
      <c r="T19" s="154">
        <f t="shared" si="52"/>
        <v>190</v>
      </c>
      <c r="U19" s="153" t="str">
        <f t="shared" si="53"/>
        <v/>
      </c>
      <c r="V19" s="153" t="str">
        <f t="shared" si="54"/>
        <v/>
      </c>
      <c r="W19" s="153" t="str">
        <f t="shared" si="55"/>
        <v/>
      </c>
      <c r="X19" s="545">
        <f>IF('Marks Entry'!P19="","",'Marks Entry'!P19)</f>
        <v>7</v>
      </c>
      <c r="Y19" s="545">
        <f>IF('Marks Entry'!Q19="","",'Marks Entry'!Q19)</f>
        <v>5</v>
      </c>
      <c r="Z19" s="545">
        <f>IF('Marks Entry'!R19="","",'Marks Entry'!R19)</f>
        <v>9</v>
      </c>
      <c r="AA19" s="546">
        <f t="shared" si="56"/>
        <v>21</v>
      </c>
      <c r="AB19" s="545">
        <f>IF('Marks Entry'!S19="","",'Marks Entry'!S19)</f>
        <v>36</v>
      </c>
      <c r="AC19" s="546">
        <f t="shared" si="57"/>
        <v>57</v>
      </c>
      <c r="AD19" s="545">
        <f>IF('Marks Entry'!T19="","",'Marks Entry'!T19)</f>
        <v>48</v>
      </c>
      <c r="AE19" s="547">
        <f t="shared" si="58"/>
        <v>105</v>
      </c>
      <c r="AF19" s="153">
        <f t="shared" si="59"/>
        <v>0</v>
      </c>
      <c r="AG19" s="153">
        <f t="shared" si="60"/>
        <v>0</v>
      </c>
      <c r="AH19" s="154">
        <f t="shared" si="61"/>
        <v>200</v>
      </c>
      <c r="AI19" s="153" t="str">
        <f t="shared" si="62"/>
        <v/>
      </c>
      <c r="AJ19" s="153" t="str">
        <f t="shared" si="63"/>
        <v/>
      </c>
      <c r="AK19" s="153" t="str">
        <f t="shared" si="64"/>
        <v/>
      </c>
      <c r="AL19" s="573" t="str">
        <f>IF('Marks Entry'!U19="","",'Marks Entry'!U19)</f>
        <v>A</v>
      </c>
      <c r="AM19" s="573" t="str">
        <f>IF('Marks Entry'!V19="","",'Marks Entry'!V19)</f>
        <v>na</v>
      </c>
      <c r="AN19" s="573">
        <f>IF('Marks Entry'!W19="","",'Marks Entry'!W19)</f>
        <v>8</v>
      </c>
      <c r="AO19" s="573">
        <f>IF('Marks Entry'!X19="","",'Marks Entry'!X19)</f>
        <v>7</v>
      </c>
      <c r="AP19" s="572">
        <f t="shared" si="65"/>
        <v>15</v>
      </c>
      <c r="AQ19" s="573">
        <f>IF('Marks Entry'!Y19="","",'Marks Entry'!Y19)</f>
        <v>25</v>
      </c>
      <c r="AR19" s="573" t="str">
        <f>IF('Marks Entry'!Z19="","",'Marks Entry'!Z19)</f>
        <v/>
      </c>
      <c r="AS19" s="572">
        <f t="shared" si="66"/>
        <v>25</v>
      </c>
      <c r="AT19" s="572">
        <f t="shared" si="67"/>
        <v>40</v>
      </c>
      <c r="AU19" s="573">
        <f>IF('Marks Entry'!AA19="","",'Marks Entry'!AA19)</f>
        <v>39</v>
      </c>
      <c r="AV19" s="573" t="str">
        <f>IF('Marks Entry'!AB19="","",'Marks Entry'!AB19)</f>
        <v/>
      </c>
      <c r="AW19" s="572">
        <f t="shared" si="68"/>
        <v>39</v>
      </c>
      <c r="AX19" s="157">
        <f t="shared" si="69"/>
        <v>79</v>
      </c>
      <c r="AY19" s="157" t="str">
        <f t="shared" si="70"/>
        <v/>
      </c>
      <c r="AZ19" s="192">
        <f t="shared" si="71"/>
        <v>79</v>
      </c>
      <c r="BA19" s="153">
        <f t="shared" si="72"/>
        <v>10</v>
      </c>
      <c r="BB19" s="154">
        <f t="shared" si="73"/>
        <v>0</v>
      </c>
      <c r="BC19" s="154">
        <f t="shared" si="74"/>
        <v>100</v>
      </c>
      <c r="BD19" s="154" t="str">
        <f t="shared" si="75"/>
        <v/>
      </c>
      <c r="BE19" s="154">
        <f t="shared" si="76"/>
        <v>190</v>
      </c>
      <c r="BF19" s="153" t="str">
        <f t="shared" si="77"/>
        <v/>
      </c>
      <c r="BG19" s="154" t="str">
        <f t="shared" si="175"/>
        <v>P</v>
      </c>
      <c r="BH19" s="153" t="str">
        <f t="shared" si="78"/>
        <v>III</v>
      </c>
      <c r="BI19" s="580" t="str">
        <f>IF('Marks Entry'!AC19="","",'Marks Entry'!AC19)</f>
        <v>A</v>
      </c>
      <c r="BJ19" s="580">
        <f>IF('Marks Entry'!AD19="","",'Marks Entry'!AD19)</f>
        <v>7</v>
      </c>
      <c r="BK19" s="580">
        <f>IF('Marks Entry'!AE19="","",'Marks Entry'!AE19)</f>
        <v>10</v>
      </c>
      <c r="BL19" s="580" t="str">
        <f>IF('Marks Entry'!AF19="","",'Marks Entry'!AF19)</f>
        <v/>
      </c>
      <c r="BM19" s="581">
        <f t="shared" si="79"/>
        <v>17</v>
      </c>
      <c r="BN19" s="580">
        <f>IF('Marks Entry'!AG19="","",'Marks Entry'!AG19)</f>
        <v>46</v>
      </c>
      <c r="BO19" s="580" t="str">
        <f>IF('Marks Entry'!AH19="","",'Marks Entry'!AH19)</f>
        <v/>
      </c>
      <c r="BP19" s="581">
        <f t="shared" si="80"/>
        <v>46</v>
      </c>
      <c r="BQ19" s="581">
        <f t="shared" si="81"/>
        <v>63</v>
      </c>
      <c r="BR19" s="580">
        <f>IF('Marks Entry'!AI19="","",'Marks Entry'!AI19)</f>
        <v>37</v>
      </c>
      <c r="BS19" s="580" t="str">
        <f>IF('Marks Entry'!AJ19="","",'Marks Entry'!AJ19)</f>
        <v/>
      </c>
      <c r="BT19" s="581">
        <f t="shared" si="82"/>
        <v>37</v>
      </c>
      <c r="BU19" s="157">
        <f t="shared" si="83"/>
        <v>100</v>
      </c>
      <c r="BV19" s="157" t="str">
        <f t="shared" si="84"/>
        <v/>
      </c>
      <c r="BW19" s="192">
        <f t="shared" si="85"/>
        <v>100</v>
      </c>
      <c r="BX19" s="153">
        <f t="shared" si="86"/>
        <v>0</v>
      </c>
      <c r="BY19" s="154">
        <f t="shared" si="87"/>
        <v>0</v>
      </c>
      <c r="BZ19" s="154">
        <f t="shared" si="88"/>
        <v>100</v>
      </c>
      <c r="CA19" s="154" t="str">
        <f t="shared" si="89"/>
        <v/>
      </c>
      <c r="CB19" s="154">
        <f t="shared" si="90"/>
        <v>200</v>
      </c>
      <c r="CC19" s="153" t="str">
        <f t="shared" si="91"/>
        <v/>
      </c>
      <c r="CD19" s="154" t="str">
        <f t="shared" si="92"/>
        <v>P</v>
      </c>
      <c r="CE19" s="153" t="str">
        <f t="shared" si="93"/>
        <v>II</v>
      </c>
      <c r="CF19" s="580" t="str">
        <f>IF('Marks Entry'!AK19="","",'Marks Entry'!AK19)</f>
        <v>A</v>
      </c>
      <c r="CG19" s="580">
        <f>IF('Marks Entry'!AL19="","",'Marks Entry'!AL19)</f>
        <v>4</v>
      </c>
      <c r="CH19" s="580">
        <f>IF('Marks Entry'!AM19="","",'Marks Entry'!AM19)</f>
        <v>5</v>
      </c>
      <c r="CI19" s="580">
        <f>IF('Marks Entry'!AN19="","",'Marks Entry'!AN19)</f>
        <v>8</v>
      </c>
      <c r="CJ19" s="581">
        <f t="shared" si="94"/>
        <v>17</v>
      </c>
      <c r="CK19" s="580">
        <f>IF('Marks Entry'!AO19="","",'Marks Entry'!AO19)</f>
        <v>33</v>
      </c>
      <c r="CL19" s="580">
        <f>IF('Marks Entry'!AP19="","",'Marks Entry'!AP19)</f>
        <v>10</v>
      </c>
      <c r="CM19" s="581">
        <f t="shared" si="95"/>
        <v>43</v>
      </c>
      <c r="CN19" s="581">
        <f t="shared" si="96"/>
        <v>60</v>
      </c>
      <c r="CO19" s="580">
        <f>IF('Marks Entry'!AQ19="","",'Marks Entry'!AQ19)</f>
        <v>53</v>
      </c>
      <c r="CP19" s="580">
        <f>IF('Marks Entry'!AR19="","",'Marks Entry'!AR19)</f>
        <v>18</v>
      </c>
      <c r="CQ19" s="581">
        <f t="shared" si="97"/>
        <v>71</v>
      </c>
      <c r="CR19" s="157">
        <f t="shared" si="98"/>
        <v>103</v>
      </c>
      <c r="CS19" s="157">
        <f t="shared" si="99"/>
        <v>28</v>
      </c>
      <c r="CT19" s="192">
        <f t="shared" si="100"/>
        <v>131</v>
      </c>
      <c r="CU19" s="153">
        <f t="shared" si="101"/>
        <v>0</v>
      </c>
      <c r="CV19" s="154">
        <f t="shared" si="102"/>
        <v>0</v>
      </c>
      <c r="CW19" s="154">
        <f t="shared" si="103"/>
        <v>70</v>
      </c>
      <c r="CX19" s="154">
        <f t="shared" si="104"/>
        <v>50</v>
      </c>
      <c r="CY19" s="154">
        <f t="shared" si="176"/>
        <v>150</v>
      </c>
      <c r="CZ19" s="153" t="str">
        <f t="shared" si="105"/>
        <v/>
      </c>
      <c r="DA19" s="154" t="str">
        <f t="shared" si="106"/>
        <v>P</v>
      </c>
      <c r="DB19" s="153" t="str">
        <f t="shared" si="107"/>
        <v>I</v>
      </c>
      <c r="DC19" s="154">
        <f t="shared" si="108"/>
        <v>20</v>
      </c>
      <c r="DD19" s="826" t="str">
        <f>IF('Marks Entry'!AS19="","",IF(OR('Master Sheet'!$D$19="YES",'Marks Entry'!$BA$1=1),'Marks Entry'!AS19,""))</f>
        <v/>
      </c>
      <c r="DE19" s="826" t="str">
        <f>IF('Marks Entry'!AT19="","",IF(OR('Master Sheet'!$D$19="YES",'Marks Entry'!$BA$1=1),'Marks Entry'!AT19,""))</f>
        <v/>
      </c>
      <c r="DF19" s="826" t="str">
        <f>IF('Marks Entry'!AU19="","",IF(OR('Master Sheet'!$D$19="YES",'Marks Entry'!$BA$1=1),'Marks Entry'!AU19,""))</f>
        <v/>
      </c>
      <c r="DG19" s="826" t="str">
        <f>IF('Marks Entry'!AV19="","",IF(OR('Master Sheet'!$D$19="YES",'Marks Entry'!$BA$1=1),'Marks Entry'!AV19,""))</f>
        <v/>
      </c>
      <c r="DH19" s="827" t="str">
        <f t="shared" si="109"/>
        <v/>
      </c>
      <c r="DI19" s="826" t="str">
        <f>IF('Marks Entry'!AW19="","",IF(OR('Master Sheet'!$D$19="YES",'Marks Entry'!$BA$1=1),'Marks Entry'!AW19,""))</f>
        <v/>
      </c>
      <c r="DJ19" s="826" t="str">
        <f>IF('Marks Entry'!AX19="","",IF(OR('Master Sheet'!$D$19="YES",'Marks Entry'!$BA$1=1),'Marks Entry'!AX19,""))</f>
        <v/>
      </c>
      <c r="DK19" s="827" t="str">
        <f t="shared" si="110"/>
        <v/>
      </c>
      <c r="DL19" s="827" t="str">
        <f t="shared" si="111"/>
        <v/>
      </c>
      <c r="DM19" s="826" t="str">
        <f>IF('Marks Entry'!AY19="","",IF(OR('Master Sheet'!$D$19="YES",'Marks Entry'!$BA$1=1),'Marks Entry'!AY19,""))</f>
        <v/>
      </c>
      <c r="DN19" s="826" t="str">
        <f>IF('Marks Entry'!AZ19="","",IF(OR('Master Sheet'!$D$19="YES",'Marks Entry'!$BA$1=1),'Marks Entry'!AZ19,""))</f>
        <v/>
      </c>
      <c r="DO19" s="826" t="str">
        <f>IF('Marks Entry'!BA19="","",IF(OR('Master Sheet'!$D$19="YES",'Marks Entry'!$BA$1=1),'Marks Entry'!BA19,""))</f>
        <v/>
      </c>
      <c r="DP19" s="827" t="str">
        <f t="shared" si="112"/>
        <v/>
      </c>
      <c r="DQ19" s="157" t="str">
        <f t="shared" si="113"/>
        <v/>
      </c>
      <c r="DR19" s="157" t="str">
        <f t="shared" si="114"/>
        <v/>
      </c>
      <c r="DS19" s="157" t="str">
        <f t="shared" si="115"/>
        <v/>
      </c>
      <c r="DT19" s="192" t="str">
        <f t="shared" si="116"/>
        <v/>
      </c>
      <c r="DU19" s="153">
        <f t="shared" si="117"/>
        <v>0</v>
      </c>
      <c r="DV19" s="154" t="e">
        <f t="shared" si="118"/>
        <v>#VALUE!</v>
      </c>
      <c r="DW19" s="154" t="str">
        <f t="shared" si="119"/>
        <v/>
      </c>
      <c r="DX19" s="154" t="str">
        <f>IF(OR($B19="NSO",$B19=0,DS19=""),"",IF(AND(DJ19="",DO19=""),"",IF('Master Sheet'!$D$19="YES",$DO$6-COUNTIF(DO19,"ML")*DO$6,DS$6-(COUNTIF(DJ19,"ML")*DJ$6)-(COUNTIF(DO19,"ML")*DO$6))))</f>
        <v/>
      </c>
      <c r="DY19" s="154" t="str">
        <f>IF(OR($B19="NSO",$B19=0),"",IF(AND(DH19="",DI19="",DM19=""),"",IF(AND('Master Sheet'!$D$19="YES",'Marks Entry'!$BA$1=1),100,IF(AND(DJ19="",DO19=""),SUM(($DQ$7+$DR$7)-(DU19+DV19)),SUM(($DQ$6+$DR$6)-(DU19+DV19))))))</f>
        <v/>
      </c>
      <c r="DZ19" s="153" t="str">
        <f t="shared" si="120"/>
        <v/>
      </c>
      <c r="EA19" s="154" t="str">
        <f t="shared" si="121"/>
        <v/>
      </c>
      <c r="EB19" s="153" t="str">
        <f t="shared" si="122"/>
        <v/>
      </c>
      <c r="EC19" s="584">
        <f>IF('Marks Entry'!BB19="","",'Marks Entry'!BB19)</f>
        <v>26</v>
      </c>
      <c r="ED19" s="584">
        <f>IF('Marks Entry'!BC19="","",'Marks Entry'!BC19)</f>
        <v>27</v>
      </c>
      <c r="EE19" s="584">
        <f>IF('Marks Entry'!BD19="","",'Marks Entry'!BD19)</f>
        <v>32</v>
      </c>
      <c r="EF19" s="590">
        <f t="shared" si="123"/>
        <v>85</v>
      </c>
      <c r="EG19" s="595">
        <f t="shared" si="124"/>
        <v>0</v>
      </c>
      <c r="EH19" s="595">
        <f t="shared" si="125"/>
        <v>0</v>
      </c>
      <c r="EI19" s="193">
        <f t="shared" si="126"/>
        <v>100</v>
      </c>
      <c r="EJ19" s="595" t="str">
        <f t="shared" si="127"/>
        <v/>
      </c>
      <c r="EK19" s="595" t="str">
        <f t="shared" si="128"/>
        <v>A</v>
      </c>
      <c r="EL19" s="194" t="str">
        <f t="shared" si="129"/>
        <v/>
      </c>
      <c r="EM19" s="194" t="str">
        <f t="shared" si="130"/>
        <v/>
      </c>
      <c r="EN19" s="194" t="str">
        <f t="shared" si="131"/>
        <v>III</v>
      </c>
      <c r="EO19" s="194" t="str">
        <f t="shared" si="132"/>
        <v>II</v>
      </c>
      <c r="EP19" s="194" t="str">
        <f t="shared" si="133"/>
        <v>I</v>
      </c>
      <c r="EQ19" s="194" t="str">
        <f t="shared" si="134"/>
        <v/>
      </c>
      <c r="ER19" s="195">
        <f t="shared" si="135"/>
        <v>0</v>
      </c>
      <c r="ES19" s="195">
        <f t="shared" si="136"/>
        <v>0</v>
      </c>
      <c r="ET19" s="195">
        <f t="shared" si="137"/>
        <v>0</v>
      </c>
      <c r="EU19" s="195">
        <f t="shared" si="138"/>
        <v>0</v>
      </c>
      <c r="EV19" s="195">
        <f t="shared" si="139"/>
        <v>0</v>
      </c>
      <c r="EW19" s="195" t="str">
        <f t="shared" si="140"/>
        <v/>
      </c>
      <c r="EX19" s="196" t="str">
        <f t="shared" si="141"/>
        <v/>
      </c>
      <c r="EY19" s="197">
        <f>IF('Marks Entry'!BE19="","",'Marks Entry'!BE19)</f>
        <v>8</v>
      </c>
      <c r="EZ19" s="197">
        <f>IF('Marks Entry'!BF19="","",'Marks Entry'!BF19)</f>
        <v>8</v>
      </c>
      <c r="FA19" s="197">
        <f>IF('Marks Entry'!BG19="","",'Marks Entry'!BG19)</f>
        <v>8</v>
      </c>
      <c r="FB19" s="596">
        <f t="shared" si="142"/>
        <v>24</v>
      </c>
      <c r="FC19" s="197">
        <f>IF('Marks Entry'!BH19="","",'Marks Entry'!BH19)</f>
        <v>50</v>
      </c>
      <c r="FD19" s="197">
        <f>IF('Marks Entry'!BI19="","",'Marks Entry'!BI19)</f>
        <v>68</v>
      </c>
      <c r="FE19" s="198">
        <f t="shared" si="143"/>
        <v>142</v>
      </c>
      <c r="FF19" s="199" t="str">
        <f t="shared" si="144"/>
        <v>B</v>
      </c>
      <c r="FG19" s="200" t="str">
        <f>IF(AND(E19=""),"",IF('Student DATA Entry'!L15="","",'Student DATA Entry'!L15))</f>
        <v/>
      </c>
      <c r="FH19" s="201" t="str">
        <f>IF(AND(E19=""),"",IF('Student DATA Entry'!M15="","",'Student DATA Entry'!M15))</f>
        <v/>
      </c>
      <c r="FI19" s="202" t="str">
        <f t="shared" si="145"/>
        <v/>
      </c>
      <c r="FJ19" s="189" t="str">
        <f t="shared" si="146"/>
        <v/>
      </c>
      <c r="FK19" s="189" t="str">
        <f t="shared" si="147"/>
        <v/>
      </c>
      <c r="FL19" s="203" t="str">
        <f t="shared" si="19"/>
        <v/>
      </c>
      <c r="FM19" s="189" t="str">
        <f t="shared" si="148"/>
        <v/>
      </c>
      <c r="FN19" s="204" t="str">
        <f t="shared" si="149"/>
        <v/>
      </c>
      <c r="FO19" s="203" t="str">
        <f t="shared" si="20"/>
        <v/>
      </c>
      <c r="FP19" s="205" t="str">
        <f t="shared" si="150"/>
        <v>III</v>
      </c>
      <c r="FQ19" s="189" t="str">
        <f t="shared" si="21"/>
        <v>III</v>
      </c>
      <c r="FR19" s="189" t="str">
        <f t="shared" si="22"/>
        <v/>
      </c>
      <c r="FS19" s="189" t="str">
        <f t="shared" si="23"/>
        <v/>
      </c>
      <c r="FT19" s="189" t="str">
        <f t="shared" si="24"/>
        <v/>
      </c>
      <c r="FU19" s="189" t="str">
        <f t="shared" si="151"/>
        <v/>
      </c>
      <c r="FV19" s="206" t="str">
        <f t="shared" si="25"/>
        <v/>
      </c>
      <c r="FW19" s="205" t="str">
        <f t="shared" si="152"/>
        <v>II</v>
      </c>
      <c r="FX19" s="189" t="str">
        <f t="shared" si="26"/>
        <v>II</v>
      </c>
      <c r="FY19" s="189" t="str">
        <f t="shared" si="27"/>
        <v/>
      </c>
      <c r="FZ19" s="189" t="str">
        <f t="shared" si="28"/>
        <v/>
      </c>
      <c r="GA19" s="189" t="str">
        <f t="shared" si="29"/>
        <v/>
      </c>
      <c r="GB19" s="189" t="str">
        <f t="shared" si="153"/>
        <v/>
      </c>
      <c r="GC19" s="206" t="str">
        <f t="shared" si="30"/>
        <v/>
      </c>
      <c r="GD19" s="205" t="str">
        <f t="shared" si="154"/>
        <v>I</v>
      </c>
      <c r="GE19" s="189" t="str">
        <f t="shared" si="31"/>
        <v>I</v>
      </c>
      <c r="GF19" s="189" t="str">
        <f t="shared" si="32"/>
        <v/>
      </c>
      <c r="GG19" s="189" t="str">
        <f t="shared" si="33"/>
        <v/>
      </c>
      <c r="GH19" s="189" t="str">
        <f t="shared" si="34"/>
        <v/>
      </c>
      <c r="GI19" s="189" t="str">
        <f t="shared" si="155"/>
        <v/>
      </c>
      <c r="GJ19" s="206" t="str">
        <f t="shared" si="35"/>
        <v/>
      </c>
      <c r="GK19" s="205" t="str">
        <f t="shared" si="156"/>
        <v/>
      </c>
      <c r="GL19" s="189" t="str">
        <f t="shared" si="36"/>
        <v/>
      </c>
      <c r="GM19" s="189" t="str">
        <f t="shared" si="37"/>
        <v/>
      </c>
      <c r="GN19" s="189" t="str">
        <f t="shared" si="38"/>
        <v/>
      </c>
      <c r="GO19" s="189" t="str">
        <f t="shared" si="39"/>
        <v/>
      </c>
      <c r="GP19" s="189" t="str">
        <f t="shared" si="157"/>
        <v/>
      </c>
      <c r="GQ19" s="206" t="str">
        <f t="shared" si="40"/>
        <v/>
      </c>
      <c r="GR19" s="189" t="str">
        <f t="shared" si="158"/>
        <v>A</v>
      </c>
      <c r="GS19" s="189" t="str">
        <f t="shared" si="159"/>
        <v>B</v>
      </c>
      <c r="GT19" s="207" t="str">
        <f t="shared" si="177"/>
        <v xml:space="preserve">    </v>
      </c>
      <c r="GU19" s="207" t="str">
        <f t="shared" si="160"/>
        <v xml:space="preserve">    </v>
      </c>
      <c r="GV19" s="207" t="str">
        <f t="shared" si="161"/>
        <v xml:space="preserve">    </v>
      </c>
      <c r="GW19" s="207" t="str">
        <f t="shared" si="162"/>
        <v xml:space="preserve">       </v>
      </c>
      <c r="GX19" s="598" t="str">
        <f t="shared" si="163"/>
        <v xml:space="preserve">     </v>
      </c>
      <c r="GY19" s="208" t="str">
        <f t="shared" si="164"/>
        <v/>
      </c>
      <c r="GZ19" s="606">
        <f>IF(AND(Q19="",AE19="",AZ19="",BW19="",CT19=""),"",IF(AND('Master Sheet'!$D$19="YES",'Marks Entry'!$BA$1=1),SUM(Q19,AE19,AZ19,BW19,DT19),SUM(Q19,AE19,AZ19,BW19,CT19)))</f>
        <v>520</v>
      </c>
      <c r="HA19" s="209">
        <f>IF(GZ19="","",IF(AND('Master Sheet'!$D$19="YES",'Marks Entry'!$BA$1=1),GZ19/((900)-DC19)*100,GZ19/((1000)-DC19)*100))</f>
        <v>53.061224489795919</v>
      </c>
      <c r="HB19" s="611" t="str">
        <f t="shared" si="165"/>
        <v/>
      </c>
      <c r="HC19" s="609" t="str">
        <f t="shared" si="166"/>
        <v/>
      </c>
      <c r="HD19" s="610" t="str">
        <f t="shared" si="167"/>
        <v/>
      </c>
      <c r="HE19" s="210" t="str">
        <f>IFERROR(IF(OR(GY19="SUPPLEMENTARY",GY19="RE-EXAM"),'Supp. Result Entry'!AS18,""),"")</f>
        <v/>
      </c>
      <c r="HF19" s="613" t="str">
        <f t="shared" si="168"/>
        <v/>
      </c>
      <c r="HG19" s="598" t="str">
        <f t="shared" si="169"/>
        <v/>
      </c>
      <c r="HH19" s="598" t="str">
        <f>IF(AND(HE19="",HF19="",HG19=""),"",IF(OR(GY19="SUPPLEMENTARY",GY19="RE-EXAM"),'Supp. Result Entry'!AS18,GY19))</f>
        <v/>
      </c>
      <c r="HI19" s="180"/>
      <c r="HY19" s="212" t="str">
        <f>IF('Supp. Result Entry'!U18="","",'Supp. Result Entry'!$U$6)</f>
        <v/>
      </c>
      <c r="HZ19" s="213" t="str">
        <f>IF('Supp. Result Entry'!X18="","",'Supp. Result Entry'!$X$6)</f>
        <v/>
      </c>
      <c r="IA19" s="213" t="str">
        <f>IF('Supp. Result Entry'!AA18="","",'Supp. Result Entry'!$AA$6)</f>
        <v/>
      </c>
      <c r="IB19" s="213" t="str">
        <f>IF('Supp. Result Entry'!AD18="","",'Supp. Result Entry'!$AD$6)</f>
        <v/>
      </c>
      <c r="IC19" s="213" t="str">
        <f>IF('Supp. Result Entry'!AG18="","",'Supp. Result Entry'!$AG$6)</f>
        <v/>
      </c>
      <c r="ID19" s="213" t="str">
        <f>IF('Supp. Result Entry'!AJ18="","",'Supp. Result Entry'!$AJ$6)</f>
        <v/>
      </c>
      <c r="IE19" s="213" t="str">
        <f>IF('Supp. Result Entry'!V18="","",'Supp. Result Entry'!V18)</f>
        <v/>
      </c>
      <c r="IF19" s="213" t="str">
        <f>IF('Supp. Result Entry'!Y18="","",'Supp. Result Entry'!Y18)</f>
        <v/>
      </c>
      <c r="IG19" s="213" t="str">
        <f>IF('Supp. Result Entry'!AB18="","",'Supp. Result Entry'!AB18)</f>
        <v/>
      </c>
      <c r="IH19" s="213" t="str">
        <f>IF('Supp. Result Entry'!AE18="","",'Supp. Result Entry'!AE18)</f>
        <v/>
      </c>
      <c r="II19" s="213" t="str">
        <f>IF('Supp. Result Entry'!AH18="","",'Supp. Result Entry'!AH18)</f>
        <v/>
      </c>
      <c r="IJ19" s="213" t="str">
        <f>IF('Supp. Result Entry'!AK18="","",'Supp. Result Entry'!AK18)</f>
        <v/>
      </c>
      <c r="IK19" s="213" t="str">
        <f>IF('Supp. Result Entry'!W18="","",'Supp. Result Entry'!W18)</f>
        <v/>
      </c>
      <c r="IL19" s="213" t="str">
        <f>IF('Supp. Result Entry'!Z18="","",'Supp. Result Entry'!Z18)</f>
        <v/>
      </c>
      <c r="IM19" s="213" t="str">
        <f>IF('Supp. Result Entry'!AC18="","",'Supp. Result Entry'!AC18)</f>
        <v/>
      </c>
      <c r="IN19" s="213" t="str">
        <f>IF('Supp. Result Entry'!AF18="","",'Supp. Result Entry'!AF18)</f>
        <v/>
      </c>
      <c r="IO19" s="213" t="str">
        <f>IF('Supp. Result Entry'!AI18="","",'Supp. Result Entry'!AI18)</f>
        <v/>
      </c>
      <c r="IP19" s="213" t="str">
        <f>IF('Supp. Result Entry'!AL18="","",'Supp. Result Entry'!AL18)</f>
        <v/>
      </c>
      <c r="IQ19" s="213">
        <f>COUNTIF('Supp. Result Entry'!K18:Q18,"S")</f>
        <v>0</v>
      </c>
      <c r="IR19" s="213">
        <f t="shared" si="170"/>
        <v>0</v>
      </c>
      <c r="IS19" s="213">
        <f t="shared" si="171"/>
        <v>0</v>
      </c>
      <c r="IT19" s="213" t="str">
        <f t="shared" si="41"/>
        <v/>
      </c>
      <c r="IU19" s="213" t="str">
        <f t="shared" si="42"/>
        <v/>
      </c>
      <c r="IV19" s="213" t="str">
        <f t="shared" si="43"/>
        <v/>
      </c>
      <c r="IW19" s="213" t="str">
        <f t="shared" si="44"/>
        <v/>
      </c>
      <c r="IX19" s="213" t="str">
        <f t="shared" si="45"/>
        <v/>
      </c>
      <c r="IY19" s="213" t="str">
        <f t="shared" si="172"/>
        <v/>
      </c>
      <c r="IZ19" s="213" t="str">
        <f t="shared" si="173"/>
        <v/>
      </c>
      <c r="JA19" s="213" t="str">
        <f t="shared" si="46"/>
        <v/>
      </c>
      <c r="JB19" s="211" t="str">
        <f t="shared" si="174"/>
        <v/>
      </c>
    </row>
    <row r="20" spans="1:262" s="211" customFormat="1" ht="21" customHeight="1">
      <c r="A20" s="184">
        <v>13</v>
      </c>
      <c r="B20" s="185" t="str">
        <f>IF('Marks Entry'!B20="","",'Marks Entry'!B20)</f>
        <v/>
      </c>
      <c r="C20" s="186" t="str">
        <f>IF('Marks Entry'!D20="","",'Marks Entry'!D20)</f>
        <v/>
      </c>
      <c r="D20" s="187" t="str">
        <f>IF('Marks Entry'!E20="","",'Marks Entry'!E20)</f>
        <v/>
      </c>
      <c r="E20" s="188" t="str">
        <f>IF('Marks Entry'!F20="","",'Marks Entry'!F20)</f>
        <v/>
      </c>
      <c r="F20" s="188" t="str">
        <f>IF('Marks Entry'!G20="","",'Marks Entry'!G20)</f>
        <v/>
      </c>
      <c r="G20" s="188" t="str">
        <f>IF('Marks Entry'!H20="","",'Marks Entry'!H20)</f>
        <v/>
      </c>
      <c r="H20" s="189" t="str">
        <f>IF('Marks Entry'!I20="","",'Marks Entry'!I20)</f>
        <v/>
      </c>
      <c r="I20" s="190" t="str">
        <f>IF('Marks Entry'!J20="","",'Marks Entry'!J20)</f>
        <v/>
      </c>
      <c r="J20" s="545" t="str">
        <f>IF('Marks Entry'!K20="","",'Marks Entry'!K20)</f>
        <v>ab</v>
      </c>
      <c r="K20" s="545" t="str">
        <f>IF('Marks Entry'!L20="","",'Marks Entry'!L20)</f>
        <v>ml</v>
      </c>
      <c r="L20" s="545">
        <f>IF('Marks Entry'!M20="","",'Marks Entry'!M20)</f>
        <v>8</v>
      </c>
      <c r="M20" s="546">
        <f t="shared" si="47"/>
        <v>8</v>
      </c>
      <c r="N20" s="545">
        <f>IF('Marks Entry'!N20="","",'Marks Entry'!N20)</f>
        <v>25</v>
      </c>
      <c r="O20" s="546">
        <f t="shared" si="48"/>
        <v>33</v>
      </c>
      <c r="P20" s="545">
        <f>IF('Marks Entry'!O20="","",'Marks Entry'!O20)</f>
        <v>70</v>
      </c>
      <c r="Q20" s="547">
        <f t="shared" si="49"/>
        <v>103</v>
      </c>
      <c r="R20" s="153">
        <f t="shared" si="50"/>
        <v>0</v>
      </c>
      <c r="S20" s="153">
        <f t="shared" si="51"/>
        <v>10</v>
      </c>
      <c r="T20" s="154">
        <f t="shared" si="52"/>
        <v>190</v>
      </c>
      <c r="U20" s="153" t="str">
        <f t="shared" si="53"/>
        <v/>
      </c>
      <c r="V20" s="153" t="str">
        <f t="shared" si="54"/>
        <v/>
      </c>
      <c r="W20" s="153" t="str">
        <f t="shared" si="55"/>
        <v/>
      </c>
      <c r="X20" s="545">
        <f>IF('Marks Entry'!P20="","",'Marks Entry'!P20)</f>
        <v>7</v>
      </c>
      <c r="Y20" s="545">
        <f>IF('Marks Entry'!Q20="","",'Marks Entry'!Q20)</f>
        <v>5</v>
      </c>
      <c r="Z20" s="545">
        <f>IF('Marks Entry'!R20="","",'Marks Entry'!R20)</f>
        <v>9</v>
      </c>
      <c r="AA20" s="546">
        <f t="shared" si="56"/>
        <v>21</v>
      </c>
      <c r="AB20" s="545">
        <f>IF('Marks Entry'!S20="","",'Marks Entry'!S20)</f>
        <v>38</v>
      </c>
      <c r="AC20" s="546">
        <f t="shared" si="57"/>
        <v>59</v>
      </c>
      <c r="AD20" s="545">
        <f>IF('Marks Entry'!T20="","",'Marks Entry'!T20)</f>
        <v>47</v>
      </c>
      <c r="AE20" s="547">
        <f t="shared" si="58"/>
        <v>106</v>
      </c>
      <c r="AF20" s="153">
        <f t="shared" si="59"/>
        <v>0</v>
      </c>
      <c r="AG20" s="153">
        <f t="shared" si="60"/>
        <v>0</v>
      </c>
      <c r="AH20" s="154">
        <f t="shared" si="61"/>
        <v>200</v>
      </c>
      <c r="AI20" s="153" t="str">
        <f t="shared" si="62"/>
        <v/>
      </c>
      <c r="AJ20" s="153" t="str">
        <f t="shared" si="63"/>
        <v/>
      </c>
      <c r="AK20" s="153" t="str">
        <f t="shared" si="64"/>
        <v/>
      </c>
      <c r="AL20" s="573" t="str">
        <f>IF('Marks Entry'!U20="","",'Marks Entry'!U20)</f>
        <v>A</v>
      </c>
      <c r="AM20" s="573">
        <f>IF('Marks Entry'!V20="","",'Marks Entry'!V20)</f>
        <v>9</v>
      </c>
      <c r="AN20" s="573">
        <f>IF('Marks Entry'!W20="","",'Marks Entry'!W20)</f>
        <v>8</v>
      </c>
      <c r="AO20" s="573">
        <f>IF('Marks Entry'!X20="","",'Marks Entry'!X20)</f>
        <v>7</v>
      </c>
      <c r="AP20" s="572">
        <f t="shared" si="65"/>
        <v>24</v>
      </c>
      <c r="AQ20" s="573">
        <f>IF('Marks Entry'!Y20="","",'Marks Entry'!Y20)</f>
        <v>47</v>
      </c>
      <c r="AR20" s="573" t="str">
        <f>IF('Marks Entry'!Z20="","",'Marks Entry'!Z20)</f>
        <v/>
      </c>
      <c r="AS20" s="572">
        <f t="shared" si="66"/>
        <v>47</v>
      </c>
      <c r="AT20" s="572">
        <f t="shared" si="67"/>
        <v>71</v>
      </c>
      <c r="AU20" s="573">
        <f>IF('Marks Entry'!AA20="","",'Marks Entry'!AA20)</f>
        <v>78</v>
      </c>
      <c r="AV20" s="573" t="str">
        <f>IF('Marks Entry'!AB20="","",'Marks Entry'!AB20)</f>
        <v/>
      </c>
      <c r="AW20" s="572">
        <f t="shared" si="68"/>
        <v>78</v>
      </c>
      <c r="AX20" s="157">
        <f t="shared" si="69"/>
        <v>149</v>
      </c>
      <c r="AY20" s="157" t="str">
        <f t="shared" si="70"/>
        <v/>
      </c>
      <c r="AZ20" s="192">
        <f t="shared" si="71"/>
        <v>149</v>
      </c>
      <c r="BA20" s="153">
        <f t="shared" si="72"/>
        <v>0</v>
      </c>
      <c r="BB20" s="154">
        <f t="shared" si="73"/>
        <v>0</v>
      </c>
      <c r="BC20" s="154">
        <f t="shared" si="74"/>
        <v>100</v>
      </c>
      <c r="BD20" s="154" t="str">
        <f t="shared" si="75"/>
        <v/>
      </c>
      <c r="BE20" s="154">
        <f t="shared" si="76"/>
        <v>200</v>
      </c>
      <c r="BF20" s="153" t="str">
        <f t="shared" si="77"/>
        <v/>
      </c>
      <c r="BG20" s="154" t="str">
        <f t="shared" si="175"/>
        <v>P</v>
      </c>
      <c r="BH20" s="153" t="str">
        <f t="shared" si="78"/>
        <v>I</v>
      </c>
      <c r="BI20" s="580" t="str">
        <f>IF('Marks Entry'!AC20="","",'Marks Entry'!AC20)</f>
        <v>A</v>
      </c>
      <c r="BJ20" s="580">
        <f>IF('Marks Entry'!AD20="","",'Marks Entry'!AD20)</f>
        <v>20</v>
      </c>
      <c r="BK20" s="580">
        <f>IF('Marks Entry'!AE20="","",'Marks Entry'!AE20)</f>
        <v>20</v>
      </c>
      <c r="BL20" s="580" t="str">
        <f>IF('Marks Entry'!AF20="","",'Marks Entry'!AF20)</f>
        <v/>
      </c>
      <c r="BM20" s="581">
        <f t="shared" si="79"/>
        <v>40</v>
      </c>
      <c r="BN20" s="580">
        <f>IF('Marks Entry'!AG20="","",'Marks Entry'!AG20)</f>
        <v>45</v>
      </c>
      <c r="BO20" s="580" t="str">
        <f>IF('Marks Entry'!AH20="","",'Marks Entry'!AH20)</f>
        <v/>
      </c>
      <c r="BP20" s="581">
        <f t="shared" si="80"/>
        <v>45</v>
      </c>
      <c r="BQ20" s="581">
        <f t="shared" si="81"/>
        <v>85</v>
      </c>
      <c r="BR20" s="580">
        <f>IF('Marks Entry'!AI20="","",'Marks Entry'!AI20)</f>
        <v>78</v>
      </c>
      <c r="BS20" s="580" t="str">
        <f>IF('Marks Entry'!AJ20="","",'Marks Entry'!AJ20)</f>
        <v/>
      </c>
      <c r="BT20" s="581">
        <f t="shared" si="82"/>
        <v>78</v>
      </c>
      <c r="BU20" s="157">
        <f t="shared" si="83"/>
        <v>163</v>
      </c>
      <c r="BV20" s="157" t="str">
        <f t="shared" si="84"/>
        <v/>
      </c>
      <c r="BW20" s="192">
        <f t="shared" si="85"/>
        <v>163</v>
      </c>
      <c r="BX20" s="153">
        <f t="shared" si="86"/>
        <v>0</v>
      </c>
      <c r="BY20" s="154">
        <f t="shared" si="87"/>
        <v>0</v>
      </c>
      <c r="BZ20" s="154">
        <f t="shared" si="88"/>
        <v>100</v>
      </c>
      <c r="CA20" s="154" t="str">
        <f t="shared" si="89"/>
        <v/>
      </c>
      <c r="CB20" s="154">
        <f t="shared" si="90"/>
        <v>200</v>
      </c>
      <c r="CC20" s="153" t="str">
        <f t="shared" si="91"/>
        <v/>
      </c>
      <c r="CD20" s="154" t="str">
        <f t="shared" si="92"/>
        <v>P</v>
      </c>
      <c r="CE20" s="153" t="str">
        <f t="shared" si="93"/>
        <v>D</v>
      </c>
      <c r="CF20" s="580" t="str">
        <f>IF('Marks Entry'!AK20="","",'Marks Entry'!AK20)</f>
        <v>A</v>
      </c>
      <c r="CG20" s="580">
        <f>IF('Marks Entry'!AL20="","",'Marks Entry'!AL20)</f>
        <v>20</v>
      </c>
      <c r="CH20" s="580">
        <f>IF('Marks Entry'!AM20="","",'Marks Entry'!AM20)</f>
        <v>20</v>
      </c>
      <c r="CI20" s="580">
        <f>IF('Marks Entry'!AN20="","",'Marks Entry'!AN20)</f>
        <v>8</v>
      </c>
      <c r="CJ20" s="581">
        <f t="shared" si="94"/>
        <v>48</v>
      </c>
      <c r="CK20" s="580">
        <f>IF('Marks Entry'!AO20="","",'Marks Entry'!AO20)</f>
        <v>32</v>
      </c>
      <c r="CL20" s="580">
        <f>IF('Marks Entry'!AP20="","",'Marks Entry'!AP20)</f>
        <v>12</v>
      </c>
      <c r="CM20" s="581">
        <f t="shared" si="95"/>
        <v>44</v>
      </c>
      <c r="CN20" s="581">
        <f t="shared" si="96"/>
        <v>92</v>
      </c>
      <c r="CO20" s="580">
        <f>IF('Marks Entry'!AQ20="","",'Marks Entry'!AQ20)</f>
        <v>50</v>
      </c>
      <c r="CP20" s="580">
        <f>IF('Marks Entry'!AR20="","",'Marks Entry'!AR20)</f>
        <v>19</v>
      </c>
      <c r="CQ20" s="581">
        <f t="shared" si="97"/>
        <v>69</v>
      </c>
      <c r="CR20" s="157">
        <f t="shared" si="98"/>
        <v>130</v>
      </c>
      <c r="CS20" s="157">
        <f t="shared" si="99"/>
        <v>31</v>
      </c>
      <c r="CT20" s="192">
        <f t="shared" si="100"/>
        <v>161</v>
      </c>
      <c r="CU20" s="153">
        <f t="shared" si="101"/>
        <v>0</v>
      </c>
      <c r="CV20" s="154">
        <f t="shared" si="102"/>
        <v>0</v>
      </c>
      <c r="CW20" s="154">
        <f t="shared" si="103"/>
        <v>70</v>
      </c>
      <c r="CX20" s="154">
        <f t="shared" si="104"/>
        <v>50</v>
      </c>
      <c r="CY20" s="154">
        <f t="shared" si="176"/>
        <v>150</v>
      </c>
      <c r="CZ20" s="153" t="str">
        <f t="shared" si="105"/>
        <v/>
      </c>
      <c r="DA20" s="154" t="str">
        <f t="shared" si="106"/>
        <v>P</v>
      </c>
      <c r="DB20" s="153" t="str">
        <f t="shared" si="107"/>
        <v>D</v>
      </c>
      <c r="DC20" s="154">
        <f t="shared" si="108"/>
        <v>10</v>
      </c>
      <c r="DD20" s="826" t="str">
        <f>IF('Marks Entry'!AS20="","",IF(OR('Master Sheet'!$D$19="YES",'Marks Entry'!$BA$1=1),'Marks Entry'!AS20,""))</f>
        <v/>
      </c>
      <c r="DE20" s="826" t="str">
        <f>IF('Marks Entry'!AT20="","",IF(OR('Master Sheet'!$D$19="YES",'Marks Entry'!$BA$1=1),'Marks Entry'!AT20,""))</f>
        <v/>
      </c>
      <c r="DF20" s="826" t="str">
        <f>IF('Marks Entry'!AU20="","",IF(OR('Master Sheet'!$D$19="YES",'Marks Entry'!$BA$1=1),'Marks Entry'!AU20,""))</f>
        <v/>
      </c>
      <c r="DG20" s="826" t="str">
        <f>IF('Marks Entry'!AV20="","",IF(OR('Master Sheet'!$D$19="YES",'Marks Entry'!$BA$1=1),'Marks Entry'!AV20,""))</f>
        <v/>
      </c>
      <c r="DH20" s="827" t="str">
        <f t="shared" si="109"/>
        <v/>
      </c>
      <c r="DI20" s="826" t="str">
        <f>IF('Marks Entry'!AW20="","",IF(OR('Master Sheet'!$D$19="YES",'Marks Entry'!$BA$1=1),'Marks Entry'!AW20,""))</f>
        <v/>
      </c>
      <c r="DJ20" s="826" t="str">
        <f>IF('Marks Entry'!AX20="","",IF(OR('Master Sheet'!$D$19="YES",'Marks Entry'!$BA$1=1),'Marks Entry'!AX20,""))</f>
        <v/>
      </c>
      <c r="DK20" s="827" t="str">
        <f t="shared" si="110"/>
        <v/>
      </c>
      <c r="DL20" s="827" t="str">
        <f t="shared" si="111"/>
        <v/>
      </c>
      <c r="DM20" s="826" t="str">
        <f>IF('Marks Entry'!AY20="","",IF(OR('Master Sheet'!$D$19="YES",'Marks Entry'!$BA$1=1),'Marks Entry'!AY20,""))</f>
        <v/>
      </c>
      <c r="DN20" s="826" t="str">
        <f>IF('Marks Entry'!AZ20="","",IF(OR('Master Sheet'!$D$19="YES",'Marks Entry'!$BA$1=1),'Marks Entry'!AZ20,""))</f>
        <v/>
      </c>
      <c r="DO20" s="826" t="str">
        <f>IF('Marks Entry'!BA20="","",IF(OR('Master Sheet'!$D$19="YES",'Marks Entry'!$BA$1=1),'Marks Entry'!BA20,""))</f>
        <v/>
      </c>
      <c r="DP20" s="827" t="str">
        <f t="shared" si="112"/>
        <v/>
      </c>
      <c r="DQ20" s="157" t="str">
        <f t="shared" si="113"/>
        <v/>
      </c>
      <c r="DR20" s="157" t="str">
        <f t="shared" si="114"/>
        <v/>
      </c>
      <c r="DS20" s="157" t="str">
        <f t="shared" si="115"/>
        <v/>
      </c>
      <c r="DT20" s="192" t="str">
        <f t="shared" si="116"/>
        <v/>
      </c>
      <c r="DU20" s="153">
        <f t="shared" si="117"/>
        <v>0</v>
      </c>
      <c r="DV20" s="154" t="e">
        <f t="shared" si="118"/>
        <v>#VALUE!</v>
      </c>
      <c r="DW20" s="154" t="str">
        <f t="shared" si="119"/>
        <v/>
      </c>
      <c r="DX20" s="154" t="str">
        <f>IF(OR($B20="NSO",$B20=0,DS20=""),"",IF(AND(DJ20="",DO20=""),"",IF('Master Sheet'!$D$19="YES",$DO$6-COUNTIF(DO20,"ML")*DO$6,DS$6-(COUNTIF(DJ20,"ML")*DJ$6)-(COUNTIF(DO20,"ML")*DO$6))))</f>
        <v/>
      </c>
      <c r="DY20" s="154" t="str">
        <f>IF(OR($B20="NSO",$B20=0),"",IF(AND(DH20="",DI20="",DM20=""),"",IF(AND('Master Sheet'!$D$19="YES",'Marks Entry'!$BA$1=1),100,IF(AND(DJ20="",DO20=""),SUM(($DQ$7+$DR$7)-(DU20+DV20)),SUM(($DQ$6+$DR$6)-(DU20+DV20))))))</f>
        <v/>
      </c>
      <c r="DZ20" s="153" t="str">
        <f t="shared" si="120"/>
        <v/>
      </c>
      <c r="EA20" s="154" t="str">
        <f t="shared" si="121"/>
        <v/>
      </c>
      <c r="EB20" s="153" t="str">
        <f t="shared" si="122"/>
        <v/>
      </c>
      <c r="EC20" s="584">
        <f>IF('Marks Entry'!BB20="","",'Marks Entry'!BB20)</f>
        <v>24</v>
      </c>
      <c r="ED20" s="584">
        <f>IF('Marks Entry'!BC20="","",'Marks Entry'!BC20)</f>
        <v>25</v>
      </c>
      <c r="EE20" s="584">
        <f>IF('Marks Entry'!BD20="","",'Marks Entry'!BD20)</f>
        <v>32</v>
      </c>
      <c r="EF20" s="590">
        <f t="shared" si="123"/>
        <v>81</v>
      </c>
      <c r="EG20" s="595">
        <f t="shared" si="124"/>
        <v>0</v>
      </c>
      <c r="EH20" s="595">
        <f t="shared" si="125"/>
        <v>0</v>
      </c>
      <c r="EI20" s="193">
        <f t="shared" si="126"/>
        <v>100</v>
      </c>
      <c r="EJ20" s="595" t="str">
        <f t="shared" si="127"/>
        <v/>
      </c>
      <c r="EK20" s="595" t="str">
        <f t="shared" si="128"/>
        <v>A</v>
      </c>
      <c r="EL20" s="194" t="str">
        <f t="shared" si="129"/>
        <v/>
      </c>
      <c r="EM20" s="194" t="str">
        <f t="shared" si="130"/>
        <v/>
      </c>
      <c r="EN20" s="194" t="str">
        <f t="shared" si="131"/>
        <v>I</v>
      </c>
      <c r="EO20" s="194" t="str">
        <f t="shared" si="132"/>
        <v>D</v>
      </c>
      <c r="EP20" s="194" t="str">
        <f t="shared" si="133"/>
        <v>D</v>
      </c>
      <c r="EQ20" s="194" t="str">
        <f t="shared" si="134"/>
        <v/>
      </c>
      <c r="ER20" s="195">
        <f t="shared" si="135"/>
        <v>0</v>
      </c>
      <c r="ES20" s="195">
        <f t="shared" si="136"/>
        <v>0</v>
      </c>
      <c r="ET20" s="195">
        <f t="shared" si="137"/>
        <v>0</v>
      </c>
      <c r="EU20" s="195">
        <f t="shared" si="138"/>
        <v>0</v>
      </c>
      <c r="EV20" s="195">
        <f t="shared" si="139"/>
        <v>0</v>
      </c>
      <c r="EW20" s="195" t="str">
        <f t="shared" si="140"/>
        <v/>
      </c>
      <c r="EX20" s="196" t="str">
        <f t="shared" si="141"/>
        <v/>
      </c>
      <c r="EY20" s="197">
        <f>IF('Marks Entry'!BE20="","",'Marks Entry'!BE20)</f>
        <v>8</v>
      </c>
      <c r="EZ20" s="197">
        <f>IF('Marks Entry'!BF20="","",'Marks Entry'!BF20)</f>
        <v>8</v>
      </c>
      <c r="FA20" s="197">
        <f>IF('Marks Entry'!BG20="","",'Marks Entry'!BG20)</f>
        <v>8</v>
      </c>
      <c r="FB20" s="596">
        <f t="shared" si="142"/>
        <v>24</v>
      </c>
      <c r="FC20" s="197">
        <f>IF('Marks Entry'!BH20="","",'Marks Entry'!BH20)</f>
        <v>50</v>
      </c>
      <c r="FD20" s="197">
        <f>IF('Marks Entry'!BI20="","",'Marks Entry'!BI20)</f>
        <v>68</v>
      </c>
      <c r="FE20" s="198">
        <f t="shared" si="143"/>
        <v>142</v>
      </c>
      <c r="FF20" s="199" t="str">
        <f t="shared" si="144"/>
        <v>B</v>
      </c>
      <c r="FG20" s="200" t="str">
        <f>IF(AND(E20=""),"",IF('Student DATA Entry'!L16="","",'Student DATA Entry'!L16))</f>
        <v/>
      </c>
      <c r="FH20" s="201" t="str">
        <f>IF(AND(E20=""),"",IF('Student DATA Entry'!M16="","",'Student DATA Entry'!M16))</f>
        <v/>
      </c>
      <c r="FI20" s="202" t="str">
        <f t="shared" si="145"/>
        <v/>
      </c>
      <c r="FJ20" s="189" t="str">
        <f t="shared" si="146"/>
        <v/>
      </c>
      <c r="FK20" s="189" t="str">
        <f t="shared" si="147"/>
        <v/>
      </c>
      <c r="FL20" s="203" t="str">
        <f t="shared" si="19"/>
        <v/>
      </c>
      <c r="FM20" s="189" t="str">
        <f t="shared" si="148"/>
        <v/>
      </c>
      <c r="FN20" s="204" t="str">
        <f t="shared" si="149"/>
        <v/>
      </c>
      <c r="FO20" s="203" t="str">
        <f t="shared" si="20"/>
        <v/>
      </c>
      <c r="FP20" s="205" t="str">
        <f t="shared" si="150"/>
        <v>I</v>
      </c>
      <c r="FQ20" s="189" t="str">
        <f t="shared" si="21"/>
        <v>I</v>
      </c>
      <c r="FR20" s="189" t="str">
        <f t="shared" si="22"/>
        <v/>
      </c>
      <c r="FS20" s="189" t="str">
        <f t="shared" si="23"/>
        <v/>
      </c>
      <c r="FT20" s="189" t="str">
        <f t="shared" si="24"/>
        <v/>
      </c>
      <c r="FU20" s="189" t="str">
        <f t="shared" si="151"/>
        <v/>
      </c>
      <c r="FV20" s="206" t="str">
        <f t="shared" si="25"/>
        <v/>
      </c>
      <c r="FW20" s="205" t="str">
        <f t="shared" si="152"/>
        <v>D</v>
      </c>
      <c r="FX20" s="189" t="str">
        <f t="shared" si="26"/>
        <v>D</v>
      </c>
      <c r="FY20" s="189" t="str">
        <f t="shared" si="27"/>
        <v/>
      </c>
      <c r="FZ20" s="189" t="str">
        <f t="shared" si="28"/>
        <v/>
      </c>
      <c r="GA20" s="189" t="str">
        <f t="shared" si="29"/>
        <v/>
      </c>
      <c r="GB20" s="189" t="str">
        <f t="shared" si="153"/>
        <v/>
      </c>
      <c r="GC20" s="206" t="str">
        <f t="shared" si="30"/>
        <v/>
      </c>
      <c r="GD20" s="205" t="str">
        <f t="shared" si="154"/>
        <v>D</v>
      </c>
      <c r="GE20" s="189" t="str">
        <f t="shared" si="31"/>
        <v>D</v>
      </c>
      <c r="GF20" s="189" t="str">
        <f t="shared" si="32"/>
        <v/>
      </c>
      <c r="GG20" s="189" t="str">
        <f t="shared" si="33"/>
        <v/>
      </c>
      <c r="GH20" s="189" t="str">
        <f t="shared" si="34"/>
        <v/>
      </c>
      <c r="GI20" s="189" t="str">
        <f t="shared" si="155"/>
        <v/>
      </c>
      <c r="GJ20" s="206" t="str">
        <f t="shared" si="35"/>
        <v/>
      </c>
      <c r="GK20" s="205" t="str">
        <f t="shared" si="156"/>
        <v/>
      </c>
      <c r="GL20" s="189" t="str">
        <f t="shared" si="36"/>
        <v/>
      </c>
      <c r="GM20" s="189" t="str">
        <f t="shared" si="37"/>
        <v/>
      </c>
      <c r="GN20" s="189" t="str">
        <f t="shared" si="38"/>
        <v/>
      </c>
      <c r="GO20" s="189" t="str">
        <f t="shared" si="39"/>
        <v/>
      </c>
      <c r="GP20" s="189" t="str">
        <f t="shared" si="157"/>
        <v/>
      </c>
      <c r="GQ20" s="206" t="str">
        <f t="shared" si="40"/>
        <v/>
      </c>
      <c r="GR20" s="189" t="str">
        <f t="shared" si="158"/>
        <v>A</v>
      </c>
      <c r="GS20" s="189" t="str">
        <f t="shared" si="159"/>
        <v>B</v>
      </c>
      <c r="GT20" s="207" t="str">
        <f t="shared" si="177"/>
        <v xml:space="preserve">    </v>
      </c>
      <c r="GU20" s="207" t="str">
        <f t="shared" si="160"/>
        <v xml:space="preserve">    </v>
      </c>
      <c r="GV20" s="207" t="str">
        <f t="shared" si="161"/>
        <v xml:space="preserve">    </v>
      </c>
      <c r="GW20" s="207" t="str">
        <f t="shared" si="162"/>
        <v xml:space="preserve">       </v>
      </c>
      <c r="GX20" s="598" t="str">
        <f t="shared" si="163"/>
        <v xml:space="preserve">   HISTORY GEOGRAPHY </v>
      </c>
      <c r="GY20" s="208" t="str">
        <f t="shared" si="164"/>
        <v/>
      </c>
      <c r="GZ20" s="606">
        <f>IF(AND(Q20="",AE20="",AZ20="",BW20="",CT20=""),"",IF(AND('Master Sheet'!$D$19="YES",'Marks Entry'!$BA$1=1),SUM(Q20,AE20,AZ20,BW20,DT20),SUM(Q20,AE20,AZ20,BW20,CT20)))</f>
        <v>682</v>
      </c>
      <c r="HA20" s="209">
        <f>IF(GZ20="","",IF(AND('Master Sheet'!$D$19="YES",'Marks Entry'!$BA$1=1),GZ20/((900)-DC20)*100,GZ20/((1000)-DC20)*100))</f>
        <v>68.888888888888886</v>
      </c>
      <c r="HB20" s="611" t="str">
        <f t="shared" si="165"/>
        <v/>
      </c>
      <c r="HC20" s="609" t="str">
        <f t="shared" si="166"/>
        <v/>
      </c>
      <c r="HD20" s="610" t="str">
        <f t="shared" si="167"/>
        <v/>
      </c>
      <c r="HE20" s="210" t="str">
        <f>IFERROR(IF(OR(GY20="SUPPLEMENTARY",GY20="RE-EXAM"),'Supp. Result Entry'!AS19,""),"")</f>
        <v/>
      </c>
      <c r="HF20" s="613" t="str">
        <f t="shared" si="168"/>
        <v/>
      </c>
      <c r="HG20" s="598" t="str">
        <f t="shared" si="169"/>
        <v/>
      </c>
      <c r="HH20" s="598" t="str">
        <f>IF(AND(HE20="",HF20="",HG20=""),"",IF(OR(GY20="SUPPLEMENTARY",GY20="RE-EXAM"),'Supp. Result Entry'!AS19,GY20))</f>
        <v/>
      </c>
      <c r="HI20" s="180"/>
      <c r="HY20" s="212" t="str">
        <f>IF('Supp. Result Entry'!U19="","",'Supp. Result Entry'!$U$6)</f>
        <v/>
      </c>
      <c r="HZ20" s="213" t="str">
        <f>IF('Supp. Result Entry'!X19="","",'Supp. Result Entry'!$X$6)</f>
        <v/>
      </c>
      <c r="IA20" s="213" t="str">
        <f>IF('Supp. Result Entry'!AA19="","",'Supp. Result Entry'!$AA$6)</f>
        <v/>
      </c>
      <c r="IB20" s="213" t="str">
        <f>IF('Supp. Result Entry'!AD19="","",'Supp. Result Entry'!$AD$6)</f>
        <v/>
      </c>
      <c r="IC20" s="213" t="str">
        <f>IF('Supp. Result Entry'!AG19="","",'Supp. Result Entry'!$AG$6)</f>
        <v/>
      </c>
      <c r="ID20" s="213" t="str">
        <f>IF('Supp. Result Entry'!AJ19="","",'Supp. Result Entry'!$AJ$6)</f>
        <v/>
      </c>
      <c r="IE20" s="213" t="str">
        <f>IF('Supp. Result Entry'!V19="","",'Supp. Result Entry'!V19)</f>
        <v/>
      </c>
      <c r="IF20" s="213" t="str">
        <f>IF('Supp. Result Entry'!Y19="","",'Supp. Result Entry'!Y19)</f>
        <v/>
      </c>
      <c r="IG20" s="213" t="str">
        <f>IF('Supp. Result Entry'!AB19="","",'Supp. Result Entry'!AB19)</f>
        <v/>
      </c>
      <c r="IH20" s="213" t="str">
        <f>IF('Supp. Result Entry'!AE19="","",'Supp. Result Entry'!AE19)</f>
        <v/>
      </c>
      <c r="II20" s="213" t="str">
        <f>IF('Supp. Result Entry'!AH19="","",'Supp. Result Entry'!AH19)</f>
        <v/>
      </c>
      <c r="IJ20" s="213" t="str">
        <f>IF('Supp. Result Entry'!AK19="","",'Supp. Result Entry'!AK19)</f>
        <v/>
      </c>
      <c r="IK20" s="213" t="str">
        <f>IF('Supp. Result Entry'!W19="","",'Supp. Result Entry'!W19)</f>
        <v/>
      </c>
      <c r="IL20" s="213" t="str">
        <f>IF('Supp. Result Entry'!Z19="","",'Supp. Result Entry'!Z19)</f>
        <v/>
      </c>
      <c r="IM20" s="213" t="str">
        <f>IF('Supp. Result Entry'!AC19="","",'Supp. Result Entry'!AC19)</f>
        <v/>
      </c>
      <c r="IN20" s="213" t="str">
        <f>IF('Supp. Result Entry'!AF19="","",'Supp. Result Entry'!AF19)</f>
        <v/>
      </c>
      <c r="IO20" s="213" t="str">
        <f>IF('Supp. Result Entry'!AI19="","",'Supp. Result Entry'!AI19)</f>
        <v/>
      </c>
      <c r="IP20" s="213" t="str">
        <f>IF('Supp. Result Entry'!AL19="","",'Supp. Result Entry'!AL19)</f>
        <v/>
      </c>
      <c r="IQ20" s="213">
        <f>COUNTIF('Supp. Result Entry'!K19:Q19,"S")</f>
        <v>0</v>
      </c>
      <c r="IR20" s="213">
        <f t="shared" si="170"/>
        <v>0</v>
      </c>
      <c r="IS20" s="213">
        <f t="shared" si="171"/>
        <v>0</v>
      </c>
      <c r="IT20" s="213" t="str">
        <f t="shared" si="41"/>
        <v/>
      </c>
      <c r="IU20" s="213" t="str">
        <f t="shared" si="42"/>
        <v/>
      </c>
      <c r="IV20" s="213" t="str">
        <f t="shared" si="43"/>
        <v/>
      </c>
      <c r="IW20" s="213" t="str">
        <f t="shared" si="44"/>
        <v/>
      </c>
      <c r="IX20" s="213" t="str">
        <f t="shared" si="45"/>
        <v/>
      </c>
      <c r="IY20" s="213" t="str">
        <f t="shared" si="172"/>
        <v/>
      </c>
      <c r="IZ20" s="213" t="str">
        <f t="shared" si="173"/>
        <v/>
      </c>
      <c r="JA20" s="213" t="str">
        <f t="shared" si="46"/>
        <v/>
      </c>
      <c r="JB20" s="211" t="str">
        <f t="shared" si="174"/>
        <v/>
      </c>
    </row>
    <row r="21" spans="1:262" s="211" customFormat="1" ht="21" customHeight="1">
      <c r="A21" s="184">
        <v>14</v>
      </c>
      <c r="B21" s="185" t="str">
        <f>IF('Marks Entry'!B21="","",'Marks Entry'!B21)</f>
        <v/>
      </c>
      <c r="C21" s="186" t="str">
        <f>IF('Marks Entry'!D21="","",'Marks Entry'!D21)</f>
        <v/>
      </c>
      <c r="D21" s="187" t="str">
        <f>IF('Marks Entry'!E21="","",'Marks Entry'!E21)</f>
        <v/>
      </c>
      <c r="E21" s="188" t="str">
        <f>IF('Marks Entry'!F21="","",'Marks Entry'!F21)</f>
        <v/>
      </c>
      <c r="F21" s="188" t="str">
        <f>IF('Marks Entry'!G21="","",'Marks Entry'!G21)</f>
        <v/>
      </c>
      <c r="G21" s="188" t="str">
        <f>IF('Marks Entry'!H21="","",'Marks Entry'!H21)</f>
        <v/>
      </c>
      <c r="H21" s="189" t="str">
        <f>IF('Marks Entry'!I21="","",'Marks Entry'!I21)</f>
        <v/>
      </c>
      <c r="I21" s="190" t="str">
        <f>IF('Marks Entry'!J21="","",'Marks Entry'!J21)</f>
        <v/>
      </c>
      <c r="J21" s="545" t="str">
        <f>IF('Marks Entry'!K21="","",'Marks Entry'!K21)</f>
        <v>ml</v>
      </c>
      <c r="K21" s="545" t="str">
        <f>IF('Marks Entry'!L21="","",'Marks Entry'!L21)</f>
        <v>ml</v>
      </c>
      <c r="L21" s="545">
        <f>IF('Marks Entry'!M21="","",'Marks Entry'!M21)</f>
        <v>8</v>
      </c>
      <c r="M21" s="546">
        <f t="shared" si="47"/>
        <v>8</v>
      </c>
      <c r="N21" s="545">
        <f>IF('Marks Entry'!N21="","",'Marks Entry'!N21)</f>
        <v>30</v>
      </c>
      <c r="O21" s="546">
        <f t="shared" si="48"/>
        <v>38</v>
      </c>
      <c r="P21" s="545">
        <f>IF('Marks Entry'!O21="","",'Marks Entry'!O21)</f>
        <v>60</v>
      </c>
      <c r="Q21" s="547">
        <f t="shared" si="49"/>
        <v>98</v>
      </c>
      <c r="R21" s="153">
        <f t="shared" si="50"/>
        <v>0</v>
      </c>
      <c r="S21" s="153">
        <f t="shared" si="51"/>
        <v>20</v>
      </c>
      <c r="T21" s="154">
        <f t="shared" si="52"/>
        <v>180</v>
      </c>
      <c r="U21" s="153" t="str">
        <f t="shared" si="53"/>
        <v/>
      </c>
      <c r="V21" s="153" t="str">
        <f t="shared" si="54"/>
        <v/>
      </c>
      <c r="W21" s="153" t="str">
        <f t="shared" si="55"/>
        <v/>
      </c>
      <c r="X21" s="545">
        <f>IF('Marks Entry'!P21="","",'Marks Entry'!P21)</f>
        <v>8</v>
      </c>
      <c r="Y21" s="545">
        <f>IF('Marks Entry'!Q21="","",'Marks Entry'!Q21)</f>
        <v>5</v>
      </c>
      <c r="Z21" s="545">
        <f>IF('Marks Entry'!R21="","",'Marks Entry'!R21)</f>
        <v>9</v>
      </c>
      <c r="AA21" s="546">
        <f t="shared" si="56"/>
        <v>22</v>
      </c>
      <c r="AB21" s="545" t="str">
        <f>IF('Marks Entry'!S21="","",'Marks Entry'!S21)</f>
        <v>AB</v>
      </c>
      <c r="AC21" s="546">
        <f t="shared" si="57"/>
        <v>22</v>
      </c>
      <c r="AD21" s="545">
        <f>IF('Marks Entry'!T21="","",'Marks Entry'!T21)</f>
        <v>56</v>
      </c>
      <c r="AE21" s="547">
        <f t="shared" si="58"/>
        <v>78</v>
      </c>
      <c r="AF21" s="153">
        <f t="shared" si="59"/>
        <v>0</v>
      </c>
      <c r="AG21" s="153">
        <f t="shared" si="60"/>
        <v>0</v>
      </c>
      <c r="AH21" s="154">
        <f t="shared" si="61"/>
        <v>200</v>
      </c>
      <c r="AI21" s="153" t="str">
        <f t="shared" si="62"/>
        <v/>
      </c>
      <c r="AJ21" s="153" t="str">
        <f t="shared" si="63"/>
        <v/>
      </c>
      <c r="AK21" s="153" t="str">
        <f t="shared" si="64"/>
        <v/>
      </c>
      <c r="AL21" s="573" t="str">
        <f>IF('Marks Entry'!U21="","",'Marks Entry'!U21)</f>
        <v>A</v>
      </c>
      <c r="AM21" s="573">
        <f>IF('Marks Entry'!V21="","",'Marks Entry'!V21)</f>
        <v>8</v>
      </c>
      <c r="AN21" s="573">
        <f>IF('Marks Entry'!W21="","",'Marks Entry'!W21)</f>
        <v>8</v>
      </c>
      <c r="AO21" s="573">
        <f>IF('Marks Entry'!X21="","",'Marks Entry'!X21)</f>
        <v>7</v>
      </c>
      <c r="AP21" s="572">
        <f t="shared" si="65"/>
        <v>23</v>
      </c>
      <c r="AQ21" s="573">
        <f>IF('Marks Entry'!Y21="","",'Marks Entry'!Y21)</f>
        <v>32</v>
      </c>
      <c r="AR21" s="573" t="str">
        <f>IF('Marks Entry'!Z21="","",'Marks Entry'!Z21)</f>
        <v/>
      </c>
      <c r="AS21" s="572">
        <f t="shared" si="66"/>
        <v>32</v>
      </c>
      <c r="AT21" s="572">
        <f t="shared" si="67"/>
        <v>55</v>
      </c>
      <c r="AU21" s="573">
        <f>IF('Marks Entry'!AA21="","",'Marks Entry'!AA21)</f>
        <v>41</v>
      </c>
      <c r="AV21" s="573" t="str">
        <f>IF('Marks Entry'!AB21="","",'Marks Entry'!AB21)</f>
        <v/>
      </c>
      <c r="AW21" s="572">
        <f t="shared" si="68"/>
        <v>41</v>
      </c>
      <c r="AX21" s="157">
        <f t="shared" si="69"/>
        <v>96</v>
      </c>
      <c r="AY21" s="157" t="str">
        <f t="shared" si="70"/>
        <v/>
      </c>
      <c r="AZ21" s="192">
        <f t="shared" si="71"/>
        <v>96</v>
      </c>
      <c r="BA21" s="153">
        <f t="shared" si="72"/>
        <v>0</v>
      </c>
      <c r="BB21" s="154">
        <f t="shared" si="73"/>
        <v>0</v>
      </c>
      <c r="BC21" s="154">
        <f t="shared" si="74"/>
        <v>100</v>
      </c>
      <c r="BD21" s="154" t="str">
        <f t="shared" si="75"/>
        <v/>
      </c>
      <c r="BE21" s="154">
        <f t="shared" si="76"/>
        <v>200</v>
      </c>
      <c r="BF21" s="153" t="str">
        <f t="shared" si="77"/>
        <v/>
      </c>
      <c r="BG21" s="154" t="str">
        <f t="shared" si="175"/>
        <v>P</v>
      </c>
      <c r="BH21" s="153" t="str">
        <f t="shared" si="78"/>
        <v>II</v>
      </c>
      <c r="BI21" s="580" t="str">
        <f>IF('Marks Entry'!AC21="","",'Marks Entry'!AC21)</f>
        <v>A</v>
      </c>
      <c r="BJ21" s="580">
        <f>IF('Marks Entry'!AD21="","",'Marks Entry'!AD21)</f>
        <v>6</v>
      </c>
      <c r="BK21" s="580">
        <f>IF('Marks Entry'!AE21="","",'Marks Entry'!AE21)</f>
        <v>8</v>
      </c>
      <c r="BL21" s="580" t="str">
        <f>IF('Marks Entry'!AF21="","",'Marks Entry'!AF21)</f>
        <v/>
      </c>
      <c r="BM21" s="581">
        <f t="shared" si="79"/>
        <v>14</v>
      </c>
      <c r="BN21" s="580">
        <f>IF('Marks Entry'!AG21="","",'Marks Entry'!AG21)</f>
        <v>44</v>
      </c>
      <c r="BO21" s="580" t="str">
        <f>IF('Marks Entry'!AH21="","",'Marks Entry'!AH21)</f>
        <v/>
      </c>
      <c r="BP21" s="581">
        <f t="shared" si="80"/>
        <v>44</v>
      </c>
      <c r="BQ21" s="581">
        <f t="shared" si="81"/>
        <v>58</v>
      </c>
      <c r="BR21" s="580">
        <f>IF('Marks Entry'!AI21="","",'Marks Entry'!AI21)</f>
        <v>39</v>
      </c>
      <c r="BS21" s="580" t="str">
        <f>IF('Marks Entry'!AJ21="","",'Marks Entry'!AJ21)</f>
        <v/>
      </c>
      <c r="BT21" s="581">
        <f t="shared" si="82"/>
        <v>39</v>
      </c>
      <c r="BU21" s="157">
        <f t="shared" si="83"/>
        <v>97</v>
      </c>
      <c r="BV21" s="157" t="str">
        <f t="shared" si="84"/>
        <v/>
      </c>
      <c r="BW21" s="192">
        <f t="shared" si="85"/>
        <v>97</v>
      </c>
      <c r="BX21" s="153">
        <f t="shared" si="86"/>
        <v>0</v>
      </c>
      <c r="BY21" s="154">
        <f t="shared" si="87"/>
        <v>0</v>
      </c>
      <c r="BZ21" s="154">
        <f t="shared" si="88"/>
        <v>100</v>
      </c>
      <c r="CA21" s="154" t="str">
        <f t="shared" si="89"/>
        <v/>
      </c>
      <c r="CB21" s="154">
        <f t="shared" si="90"/>
        <v>200</v>
      </c>
      <c r="CC21" s="153" t="str">
        <f t="shared" si="91"/>
        <v/>
      </c>
      <c r="CD21" s="154" t="str">
        <f t="shared" si="92"/>
        <v>P</v>
      </c>
      <c r="CE21" s="153" t="str">
        <f t="shared" si="93"/>
        <v>II</v>
      </c>
      <c r="CF21" s="580" t="str">
        <f>IF('Marks Entry'!AK21="","",'Marks Entry'!AK21)</f>
        <v>A</v>
      </c>
      <c r="CG21" s="580">
        <f>IF('Marks Entry'!AL21="","",'Marks Entry'!AL21)</f>
        <v>4</v>
      </c>
      <c r="CH21" s="580">
        <f>IF('Marks Entry'!AM21="","",'Marks Entry'!AM21)</f>
        <v>4</v>
      </c>
      <c r="CI21" s="580">
        <f>IF('Marks Entry'!AN21="","",'Marks Entry'!AN21)</f>
        <v>8</v>
      </c>
      <c r="CJ21" s="581">
        <f t="shared" si="94"/>
        <v>16</v>
      </c>
      <c r="CK21" s="580">
        <f>IF('Marks Entry'!AO21="","",'Marks Entry'!AO21)</f>
        <v>30</v>
      </c>
      <c r="CL21" s="580">
        <f>IF('Marks Entry'!AP21="","",'Marks Entry'!AP21)</f>
        <v>13</v>
      </c>
      <c r="CM21" s="581">
        <f t="shared" si="95"/>
        <v>43</v>
      </c>
      <c r="CN21" s="581">
        <f t="shared" si="96"/>
        <v>59</v>
      </c>
      <c r="CO21" s="580">
        <f>IF('Marks Entry'!AQ21="","",'Marks Entry'!AQ21)</f>
        <v>56</v>
      </c>
      <c r="CP21" s="580">
        <f>IF('Marks Entry'!AR21="","",'Marks Entry'!AR21)</f>
        <v>18</v>
      </c>
      <c r="CQ21" s="581">
        <f t="shared" si="97"/>
        <v>74</v>
      </c>
      <c r="CR21" s="157">
        <f t="shared" si="98"/>
        <v>102</v>
      </c>
      <c r="CS21" s="157">
        <f t="shared" si="99"/>
        <v>31</v>
      </c>
      <c r="CT21" s="192">
        <f t="shared" si="100"/>
        <v>133</v>
      </c>
      <c r="CU21" s="153">
        <f t="shared" si="101"/>
        <v>0</v>
      </c>
      <c r="CV21" s="154">
        <f t="shared" si="102"/>
        <v>0</v>
      </c>
      <c r="CW21" s="154">
        <f t="shared" si="103"/>
        <v>70</v>
      </c>
      <c r="CX21" s="154">
        <f t="shared" si="104"/>
        <v>50</v>
      </c>
      <c r="CY21" s="154">
        <f t="shared" si="176"/>
        <v>150</v>
      </c>
      <c r="CZ21" s="153" t="str">
        <f t="shared" si="105"/>
        <v/>
      </c>
      <c r="DA21" s="154" t="str">
        <f t="shared" si="106"/>
        <v>P</v>
      </c>
      <c r="DB21" s="153" t="str">
        <f t="shared" si="107"/>
        <v>I</v>
      </c>
      <c r="DC21" s="154">
        <f t="shared" si="108"/>
        <v>20</v>
      </c>
      <c r="DD21" s="826" t="str">
        <f>IF('Marks Entry'!AS21="","",IF(OR('Master Sheet'!$D$19="YES",'Marks Entry'!$BA$1=1),'Marks Entry'!AS21,""))</f>
        <v/>
      </c>
      <c r="DE21" s="826" t="str">
        <f>IF('Marks Entry'!AT21="","",IF(OR('Master Sheet'!$D$19="YES",'Marks Entry'!$BA$1=1),'Marks Entry'!AT21,""))</f>
        <v/>
      </c>
      <c r="DF21" s="826" t="str">
        <f>IF('Marks Entry'!AU21="","",IF(OR('Master Sheet'!$D$19="YES",'Marks Entry'!$BA$1=1),'Marks Entry'!AU21,""))</f>
        <v/>
      </c>
      <c r="DG21" s="826" t="str">
        <f>IF('Marks Entry'!AV21="","",IF(OR('Master Sheet'!$D$19="YES",'Marks Entry'!$BA$1=1),'Marks Entry'!AV21,""))</f>
        <v/>
      </c>
      <c r="DH21" s="827" t="str">
        <f t="shared" si="109"/>
        <v/>
      </c>
      <c r="DI21" s="826" t="str">
        <f>IF('Marks Entry'!AW21="","",IF(OR('Master Sheet'!$D$19="YES",'Marks Entry'!$BA$1=1),'Marks Entry'!AW21,""))</f>
        <v/>
      </c>
      <c r="DJ21" s="826" t="str">
        <f>IF('Marks Entry'!AX21="","",IF(OR('Master Sheet'!$D$19="YES",'Marks Entry'!$BA$1=1),'Marks Entry'!AX21,""))</f>
        <v/>
      </c>
      <c r="DK21" s="827" t="str">
        <f t="shared" si="110"/>
        <v/>
      </c>
      <c r="DL21" s="827" t="str">
        <f t="shared" si="111"/>
        <v/>
      </c>
      <c r="DM21" s="826" t="str">
        <f>IF('Marks Entry'!AY21="","",IF(OR('Master Sheet'!$D$19="YES",'Marks Entry'!$BA$1=1),'Marks Entry'!AY21,""))</f>
        <v/>
      </c>
      <c r="DN21" s="826" t="str">
        <f>IF('Marks Entry'!AZ21="","",IF(OR('Master Sheet'!$D$19="YES",'Marks Entry'!$BA$1=1),'Marks Entry'!AZ21,""))</f>
        <v/>
      </c>
      <c r="DO21" s="826" t="str">
        <f>IF('Marks Entry'!BA21="","",IF(OR('Master Sheet'!$D$19="YES",'Marks Entry'!$BA$1=1),'Marks Entry'!BA21,""))</f>
        <v/>
      </c>
      <c r="DP21" s="827" t="str">
        <f t="shared" si="112"/>
        <v/>
      </c>
      <c r="DQ21" s="157" t="str">
        <f t="shared" si="113"/>
        <v/>
      </c>
      <c r="DR21" s="157" t="str">
        <f t="shared" si="114"/>
        <v/>
      </c>
      <c r="DS21" s="157" t="str">
        <f t="shared" si="115"/>
        <v/>
      </c>
      <c r="DT21" s="192" t="str">
        <f t="shared" si="116"/>
        <v/>
      </c>
      <c r="DU21" s="153">
        <f t="shared" si="117"/>
        <v>0</v>
      </c>
      <c r="DV21" s="154" t="e">
        <f t="shared" si="118"/>
        <v>#VALUE!</v>
      </c>
      <c r="DW21" s="154" t="str">
        <f t="shared" si="119"/>
        <v/>
      </c>
      <c r="DX21" s="154" t="str">
        <f>IF(OR($B21="NSO",$B21=0,DS21=""),"",IF(AND(DJ21="",DO21=""),"",IF('Master Sheet'!$D$19="YES",$DO$6-COUNTIF(DO21,"ML")*DO$6,DS$6-(COUNTIF(DJ21,"ML")*DJ$6)-(COUNTIF(DO21,"ML")*DO$6))))</f>
        <v/>
      </c>
      <c r="DY21" s="154" t="str">
        <f>IF(OR($B21="NSO",$B21=0),"",IF(AND(DH21="",DI21="",DM21=""),"",IF(AND('Master Sheet'!$D$19="YES",'Marks Entry'!$BA$1=1),100,IF(AND(DJ21="",DO21=""),SUM(($DQ$7+$DR$7)-(DU21+DV21)),SUM(($DQ$6+$DR$6)-(DU21+DV21))))))</f>
        <v/>
      </c>
      <c r="DZ21" s="153" t="str">
        <f t="shared" si="120"/>
        <v/>
      </c>
      <c r="EA21" s="154" t="str">
        <f t="shared" si="121"/>
        <v/>
      </c>
      <c r="EB21" s="153" t="str">
        <f t="shared" si="122"/>
        <v/>
      </c>
      <c r="EC21" s="584">
        <f>IF('Marks Entry'!BB21="","",'Marks Entry'!BB21)</f>
        <v>24</v>
      </c>
      <c r="ED21" s="584">
        <f>IF('Marks Entry'!BC21="","",'Marks Entry'!BC21)</f>
        <v>25</v>
      </c>
      <c r="EE21" s="584">
        <f>IF('Marks Entry'!BD21="","",'Marks Entry'!BD21)</f>
        <v>32</v>
      </c>
      <c r="EF21" s="590">
        <f t="shared" si="123"/>
        <v>81</v>
      </c>
      <c r="EG21" s="595">
        <f t="shared" si="124"/>
        <v>0</v>
      </c>
      <c r="EH21" s="595">
        <f t="shared" si="125"/>
        <v>0</v>
      </c>
      <c r="EI21" s="193">
        <f t="shared" si="126"/>
        <v>100</v>
      </c>
      <c r="EJ21" s="595" t="str">
        <f t="shared" si="127"/>
        <v/>
      </c>
      <c r="EK21" s="595" t="str">
        <f t="shared" si="128"/>
        <v>A</v>
      </c>
      <c r="EL21" s="194" t="str">
        <f t="shared" si="129"/>
        <v/>
      </c>
      <c r="EM21" s="194" t="str">
        <f t="shared" si="130"/>
        <v/>
      </c>
      <c r="EN21" s="194" t="str">
        <f t="shared" si="131"/>
        <v>II</v>
      </c>
      <c r="EO21" s="194" t="str">
        <f t="shared" si="132"/>
        <v>II</v>
      </c>
      <c r="EP21" s="194" t="str">
        <f t="shared" si="133"/>
        <v>I</v>
      </c>
      <c r="EQ21" s="194" t="str">
        <f t="shared" si="134"/>
        <v/>
      </c>
      <c r="ER21" s="195">
        <f t="shared" si="135"/>
        <v>0</v>
      </c>
      <c r="ES21" s="195">
        <f t="shared" si="136"/>
        <v>0</v>
      </c>
      <c r="ET21" s="195">
        <f t="shared" si="137"/>
        <v>0</v>
      </c>
      <c r="EU21" s="195">
        <f t="shared" si="138"/>
        <v>0</v>
      </c>
      <c r="EV21" s="195">
        <f t="shared" si="139"/>
        <v>0</v>
      </c>
      <c r="EW21" s="195" t="str">
        <f t="shared" si="140"/>
        <v/>
      </c>
      <c r="EX21" s="196" t="str">
        <f t="shared" si="141"/>
        <v/>
      </c>
      <c r="EY21" s="197">
        <f>IF('Marks Entry'!BE21="","",'Marks Entry'!BE21)</f>
        <v>8</v>
      </c>
      <c r="EZ21" s="197">
        <f>IF('Marks Entry'!BF21="","",'Marks Entry'!BF21)</f>
        <v>8</v>
      </c>
      <c r="FA21" s="197">
        <f>IF('Marks Entry'!BG21="","",'Marks Entry'!BG21)</f>
        <v>8</v>
      </c>
      <c r="FB21" s="596">
        <f t="shared" si="142"/>
        <v>24</v>
      </c>
      <c r="FC21" s="197">
        <f>IF('Marks Entry'!BH21="","",'Marks Entry'!BH21)</f>
        <v>50</v>
      </c>
      <c r="FD21" s="197">
        <f>IF('Marks Entry'!BI21="","",'Marks Entry'!BI21)</f>
        <v>68</v>
      </c>
      <c r="FE21" s="198">
        <f t="shared" si="143"/>
        <v>142</v>
      </c>
      <c r="FF21" s="199" t="str">
        <f t="shared" si="144"/>
        <v>B</v>
      </c>
      <c r="FG21" s="200" t="str">
        <f>IF(AND(E21=""),"",IF('Student DATA Entry'!L17="","",'Student DATA Entry'!L17))</f>
        <v/>
      </c>
      <c r="FH21" s="201" t="str">
        <f>IF(AND(E21=""),"",IF('Student DATA Entry'!M17="","",'Student DATA Entry'!M17))</f>
        <v/>
      </c>
      <c r="FI21" s="202" t="str">
        <f t="shared" si="145"/>
        <v/>
      </c>
      <c r="FJ21" s="189" t="str">
        <f t="shared" si="146"/>
        <v/>
      </c>
      <c r="FK21" s="189" t="str">
        <f t="shared" si="147"/>
        <v/>
      </c>
      <c r="FL21" s="203" t="str">
        <f t="shared" si="19"/>
        <v/>
      </c>
      <c r="FM21" s="189" t="str">
        <f t="shared" si="148"/>
        <v/>
      </c>
      <c r="FN21" s="204" t="str">
        <f t="shared" si="149"/>
        <v/>
      </c>
      <c r="FO21" s="203" t="str">
        <f t="shared" si="20"/>
        <v/>
      </c>
      <c r="FP21" s="205" t="str">
        <f t="shared" si="150"/>
        <v>II</v>
      </c>
      <c r="FQ21" s="189" t="str">
        <f t="shared" si="21"/>
        <v>II</v>
      </c>
      <c r="FR21" s="189" t="str">
        <f t="shared" si="22"/>
        <v/>
      </c>
      <c r="FS21" s="189" t="str">
        <f t="shared" si="23"/>
        <v/>
      </c>
      <c r="FT21" s="189" t="str">
        <f t="shared" si="24"/>
        <v/>
      </c>
      <c r="FU21" s="189" t="str">
        <f t="shared" si="151"/>
        <v/>
      </c>
      <c r="FV21" s="206" t="str">
        <f t="shared" si="25"/>
        <v/>
      </c>
      <c r="FW21" s="205" t="str">
        <f t="shared" si="152"/>
        <v>II</v>
      </c>
      <c r="FX21" s="189" t="str">
        <f t="shared" si="26"/>
        <v>II</v>
      </c>
      <c r="FY21" s="189" t="str">
        <f t="shared" si="27"/>
        <v/>
      </c>
      <c r="FZ21" s="189" t="str">
        <f t="shared" si="28"/>
        <v/>
      </c>
      <c r="GA21" s="189" t="str">
        <f t="shared" si="29"/>
        <v/>
      </c>
      <c r="GB21" s="189" t="str">
        <f t="shared" si="153"/>
        <v/>
      </c>
      <c r="GC21" s="206" t="str">
        <f t="shared" si="30"/>
        <v/>
      </c>
      <c r="GD21" s="205" t="str">
        <f t="shared" si="154"/>
        <v>I</v>
      </c>
      <c r="GE21" s="189" t="str">
        <f t="shared" si="31"/>
        <v>I</v>
      </c>
      <c r="GF21" s="189" t="str">
        <f t="shared" si="32"/>
        <v/>
      </c>
      <c r="GG21" s="189" t="str">
        <f t="shared" si="33"/>
        <v/>
      </c>
      <c r="GH21" s="189" t="str">
        <f t="shared" si="34"/>
        <v/>
      </c>
      <c r="GI21" s="189" t="str">
        <f t="shared" si="155"/>
        <v/>
      </c>
      <c r="GJ21" s="206" t="str">
        <f t="shared" si="35"/>
        <v/>
      </c>
      <c r="GK21" s="205" t="str">
        <f t="shared" si="156"/>
        <v/>
      </c>
      <c r="GL21" s="189" t="str">
        <f t="shared" si="36"/>
        <v/>
      </c>
      <c r="GM21" s="189" t="str">
        <f t="shared" si="37"/>
        <v/>
      </c>
      <c r="GN21" s="189" t="str">
        <f t="shared" si="38"/>
        <v/>
      </c>
      <c r="GO21" s="189" t="str">
        <f t="shared" si="39"/>
        <v/>
      </c>
      <c r="GP21" s="189" t="str">
        <f t="shared" si="157"/>
        <v/>
      </c>
      <c r="GQ21" s="206" t="str">
        <f t="shared" si="40"/>
        <v/>
      </c>
      <c r="GR21" s="189" t="str">
        <f t="shared" si="158"/>
        <v>A</v>
      </c>
      <c r="GS21" s="189" t="str">
        <f t="shared" si="159"/>
        <v>B</v>
      </c>
      <c r="GT21" s="207" t="str">
        <f t="shared" si="177"/>
        <v xml:space="preserve">    </v>
      </c>
      <c r="GU21" s="207" t="str">
        <f t="shared" si="160"/>
        <v xml:space="preserve">    </v>
      </c>
      <c r="GV21" s="207" t="str">
        <f t="shared" si="161"/>
        <v xml:space="preserve">    </v>
      </c>
      <c r="GW21" s="207" t="str">
        <f t="shared" si="162"/>
        <v xml:space="preserve">       </v>
      </c>
      <c r="GX21" s="598" t="str">
        <f t="shared" si="163"/>
        <v xml:space="preserve">     </v>
      </c>
      <c r="GY21" s="208" t="str">
        <f t="shared" si="164"/>
        <v/>
      </c>
      <c r="GZ21" s="606">
        <f>IF(AND(Q21="",AE21="",AZ21="",BW21="",CT21=""),"",IF(AND('Master Sheet'!$D$19="YES",'Marks Entry'!$BA$1=1),SUM(Q21,AE21,AZ21,BW21,DT21),SUM(Q21,AE21,AZ21,BW21,CT21)))</f>
        <v>502</v>
      </c>
      <c r="HA21" s="209">
        <f>IF(GZ21="","",IF(AND('Master Sheet'!$D$19="YES",'Marks Entry'!$BA$1=1),GZ21/((900)-DC21)*100,GZ21/((1000)-DC21)*100))</f>
        <v>51.224489795918373</v>
      </c>
      <c r="HB21" s="611" t="str">
        <f t="shared" si="165"/>
        <v/>
      </c>
      <c r="HC21" s="609" t="str">
        <f t="shared" si="166"/>
        <v/>
      </c>
      <c r="HD21" s="610" t="str">
        <f t="shared" si="167"/>
        <v/>
      </c>
      <c r="HE21" s="210" t="str">
        <f>IFERROR(IF(OR(GY21="SUPPLEMENTARY",GY21="RE-EXAM"),'Supp. Result Entry'!AS20,""),"")</f>
        <v/>
      </c>
      <c r="HF21" s="613" t="str">
        <f t="shared" si="168"/>
        <v/>
      </c>
      <c r="HG21" s="598" t="str">
        <f t="shared" si="169"/>
        <v/>
      </c>
      <c r="HH21" s="598" t="str">
        <f>IF(AND(HE21="",HF21="",HG21=""),"",IF(OR(GY21="SUPPLEMENTARY",GY21="RE-EXAM"),'Supp. Result Entry'!AS20,GY21))</f>
        <v/>
      </c>
      <c r="HI21" s="180"/>
      <c r="HY21" s="212" t="str">
        <f>IF('Supp. Result Entry'!U20="","",'Supp. Result Entry'!$U$6)</f>
        <v/>
      </c>
      <c r="HZ21" s="213" t="str">
        <f>IF('Supp. Result Entry'!X20="","",'Supp. Result Entry'!$X$6)</f>
        <v/>
      </c>
      <c r="IA21" s="213" t="str">
        <f>IF('Supp. Result Entry'!AA20="","",'Supp. Result Entry'!$AA$6)</f>
        <v/>
      </c>
      <c r="IB21" s="213" t="str">
        <f>IF('Supp. Result Entry'!AD20="","",'Supp. Result Entry'!$AD$6)</f>
        <v/>
      </c>
      <c r="IC21" s="213" t="str">
        <f>IF('Supp. Result Entry'!AG20="","",'Supp. Result Entry'!$AG$6)</f>
        <v/>
      </c>
      <c r="ID21" s="213" t="str">
        <f>IF('Supp. Result Entry'!AJ20="","",'Supp. Result Entry'!$AJ$6)</f>
        <v/>
      </c>
      <c r="IE21" s="213" t="str">
        <f>IF('Supp. Result Entry'!V20="","",'Supp. Result Entry'!V20)</f>
        <v/>
      </c>
      <c r="IF21" s="213" t="str">
        <f>IF('Supp. Result Entry'!Y20="","",'Supp. Result Entry'!Y20)</f>
        <v/>
      </c>
      <c r="IG21" s="213" t="str">
        <f>IF('Supp. Result Entry'!AB20="","",'Supp. Result Entry'!AB20)</f>
        <v/>
      </c>
      <c r="IH21" s="213" t="str">
        <f>IF('Supp. Result Entry'!AE20="","",'Supp. Result Entry'!AE20)</f>
        <v/>
      </c>
      <c r="II21" s="213" t="str">
        <f>IF('Supp. Result Entry'!AH20="","",'Supp. Result Entry'!AH20)</f>
        <v/>
      </c>
      <c r="IJ21" s="213" t="str">
        <f>IF('Supp. Result Entry'!AK20="","",'Supp. Result Entry'!AK20)</f>
        <v/>
      </c>
      <c r="IK21" s="213" t="str">
        <f>IF('Supp. Result Entry'!W20="","",'Supp. Result Entry'!W20)</f>
        <v/>
      </c>
      <c r="IL21" s="213" t="str">
        <f>IF('Supp. Result Entry'!Z20="","",'Supp. Result Entry'!Z20)</f>
        <v/>
      </c>
      <c r="IM21" s="213" t="str">
        <f>IF('Supp. Result Entry'!AC20="","",'Supp. Result Entry'!AC20)</f>
        <v/>
      </c>
      <c r="IN21" s="213" t="str">
        <f>IF('Supp. Result Entry'!AF20="","",'Supp. Result Entry'!AF20)</f>
        <v/>
      </c>
      <c r="IO21" s="213" t="str">
        <f>IF('Supp. Result Entry'!AI20="","",'Supp. Result Entry'!AI20)</f>
        <v/>
      </c>
      <c r="IP21" s="213" t="str">
        <f>IF('Supp. Result Entry'!AL20="","",'Supp. Result Entry'!AL20)</f>
        <v/>
      </c>
      <c r="IQ21" s="213">
        <f>COUNTIF('Supp. Result Entry'!K20:Q20,"S")</f>
        <v>0</v>
      </c>
      <c r="IR21" s="213">
        <f t="shared" si="170"/>
        <v>0</v>
      </c>
      <c r="IS21" s="213">
        <f t="shared" si="171"/>
        <v>0</v>
      </c>
      <c r="IT21" s="213" t="str">
        <f t="shared" si="41"/>
        <v/>
      </c>
      <c r="IU21" s="213" t="str">
        <f t="shared" si="42"/>
        <v/>
      </c>
      <c r="IV21" s="213" t="str">
        <f t="shared" si="43"/>
        <v/>
      </c>
      <c r="IW21" s="213" t="str">
        <f t="shared" si="44"/>
        <v/>
      </c>
      <c r="IX21" s="213" t="str">
        <f t="shared" si="45"/>
        <v/>
      </c>
      <c r="IY21" s="213" t="str">
        <f t="shared" si="172"/>
        <v/>
      </c>
      <c r="IZ21" s="213" t="str">
        <f t="shared" si="173"/>
        <v/>
      </c>
      <c r="JA21" s="213" t="str">
        <f t="shared" si="46"/>
        <v/>
      </c>
      <c r="JB21" s="211" t="str">
        <f t="shared" si="174"/>
        <v/>
      </c>
    </row>
    <row r="22" spans="1:262" s="211" customFormat="1" ht="21" customHeight="1">
      <c r="A22" s="184">
        <v>15</v>
      </c>
      <c r="B22" s="185" t="str">
        <f>IF('Marks Entry'!B22="","",'Marks Entry'!B22)</f>
        <v/>
      </c>
      <c r="C22" s="186" t="str">
        <f>IF('Marks Entry'!D22="","",'Marks Entry'!D22)</f>
        <v/>
      </c>
      <c r="D22" s="187" t="str">
        <f>IF('Marks Entry'!E22="","",'Marks Entry'!E22)</f>
        <v/>
      </c>
      <c r="E22" s="188" t="str">
        <f>IF('Marks Entry'!F22="","",'Marks Entry'!F22)</f>
        <v/>
      </c>
      <c r="F22" s="188" t="str">
        <f>IF('Marks Entry'!G22="","",'Marks Entry'!G22)</f>
        <v/>
      </c>
      <c r="G22" s="188" t="str">
        <f>IF('Marks Entry'!H22="","",'Marks Entry'!H22)</f>
        <v/>
      </c>
      <c r="H22" s="189" t="str">
        <f>IF('Marks Entry'!I22="","",'Marks Entry'!I22)</f>
        <v/>
      </c>
      <c r="I22" s="190" t="str">
        <f>IF('Marks Entry'!J22="","",'Marks Entry'!J22)</f>
        <v/>
      </c>
      <c r="J22" s="545">
        <f>IF('Marks Entry'!K22="","",'Marks Entry'!K22)</f>
        <v>20</v>
      </c>
      <c r="K22" s="545">
        <f>IF('Marks Entry'!L22="","",'Marks Entry'!L22)</f>
        <v>20</v>
      </c>
      <c r="L22" s="545">
        <f>IF('Marks Entry'!M22="","",'Marks Entry'!M22)</f>
        <v>8</v>
      </c>
      <c r="M22" s="546">
        <f t="shared" si="47"/>
        <v>48</v>
      </c>
      <c r="N22" s="545">
        <f>IF('Marks Entry'!N22="","",'Marks Entry'!N22)</f>
        <v>25</v>
      </c>
      <c r="O22" s="546">
        <f t="shared" si="48"/>
        <v>73</v>
      </c>
      <c r="P22" s="545">
        <f>IF('Marks Entry'!O22="","",'Marks Entry'!O22)</f>
        <v>50</v>
      </c>
      <c r="Q22" s="547">
        <f t="shared" si="49"/>
        <v>123</v>
      </c>
      <c r="R22" s="153">
        <f t="shared" si="50"/>
        <v>0</v>
      </c>
      <c r="S22" s="153">
        <f t="shared" si="51"/>
        <v>0</v>
      </c>
      <c r="T22" s="154">
        <f t="shared" si="52"/>
        <v>200</v>
      </c>
      <c r="U22" s="153" t="str">
        <f t="shared" si="53"/>
        <v/>
      </c>
      <c r="V22" s="153" t="str">
        <f t="shared" si="54"/>
        <v/>
      </c>
      <c r="W22" s="153" t="str">
        <f t="shared" si="55"/>
        <v/>
      </c>
      <c r="X22" s="545">
        <f>IF('Marks Entry'!P22="","",'Marks Entry'!P22)</f>
        <v>9</v>
      </c>
      <c r="Y22" s="545">
        <f>IF('Marks Entry'!Q22="","",'Marks Entry'!Q22)</f>
        <v>9</v>
      </c>
      <c r="Z22" s="545">
        <f>IF('Marks Entry'!R22="","",'Marks Entry'!R22)</f>
        <v>9</v>
      </c>
      <c r="AA22" s="546">
        <f t="shared" si="56"/>
        <v>27</v>
      </c>
      <c r="AB22" s="545">
        <f>IF('Marks Entry'!S22="","",'Marks Entry'!S22)</f>
        <v>20</v>
      </c>
      <c r="AC22" s="546">
        <f t="shared" si="57"/>
        <v>47</v>
      </c>
      <c r="AD22" s="545">
        <f>IF('Marks Entry'!T22="","",'Marks Entry'!T22)</f>
        <v>54</v>
      </c>
      <c r="AE22" s="547">
        <f t="shared" si="58"/>
        <v>101</v>
      </c>
      <c r="AF22" s="153">
        <f t="shared" si="59"/>
        <v>0</v>
      </c>
      <c r="AG22" s="153">
        <f t="shared" si="60"/>
        <v>0</v>
      </c>
      <c r="AH22" s="154">
        <f t="shared" si="61"/>
        <v>200</v>
      </c>
      <c r="AI22" s="153" t="str">
        <f t="shared" si="62"/>
        <v/>
      </c>
      <c r="AJ22" s="153" t="str">
        <f t="shared" si="63"/>
        <v/>
      </c>
      <c r="AK22" s="153" t="str">
        <f t="shared" si="64"/>
        <v/>
      </c>
      <c r="AL22" s="573" t="str">
        <f>IF('Marks Entry'!U22="","",'Marks Entry'!U22)</f>
        <v>A</v>
      </c>
      <c r="AM22" s="573">
        <f>IF('Marks Entry'!V22="","",'Marks Entry'!V22)</f>
        <v>10</v>
      </c>
      <c r="AN22" s="573">
        <f>IF('Marks Entry'!W22="","",'Marks Entry'!W22)</f>
        <v>7</v>
      </c>
      <c r="AO22" s="573">
        <f>IF('Marks Entry'!X22="","",'Marks Entry'!X22)</f>
        <v>7</v>
      </c>
      <c r="AP22" s="572">
        <f t="shared" si="65"/>
        <v>24</v>
      </c>
      <c r="AQ22" s="573">
        <f>IF('Marks Entry'!Y22="","",'Marks Entry'!Y22)</f>
        <v>65</v>
      </c>
      <c r="AR22" s="573" t="str">
        <f>IF('Marks Entry'!Z22="","",'Marks Entry'!Z22)</f>
        <v/>
      </c>
      <c r="AS22" s="572">
        <f t="shared" si="66"/>
        <v>65</v>
      </c>
      <c r="AT22" s="572">
        <f t="shared" si="67"/>
        <v>89</v>
      </c>
      <c r="AU22" s="573">
        <f>IF('Marks Entry'!AA22="","",'Marks Entry'!AA22)</f>
        <v>42</v>
      </c>
      <c r="AV22" s="573" t="str">
        <f>IF('Marks Entry'!AB22="","",'Marks Entry'!AB22)</f>
        <v/>
      </c>
      <c r="AW22" s="572">
        <f t="shared" si="68"/>
        <v>42</v>
      </c>
      <c r="AX22" s="157">
        <f t="shared" si="69"/>
        <v>131</v>
      </c>
      <c r="AY22" s="157" t="str">
        <f t="shared" si="70"/>
        <v/>
      </c>
      <c r="AZ22" s="192">
        <f t="shared" si="71"/>
        <v>131</v>
      </c>
      <c r="BA22" s="153">
        <f t="shared" si="72"/>
        <v>0</v>
      </c>
      <c r="BB22" s="154">
        <f t="shared" si="73"/>
        <v>0</v>
      </c>
      <c r="BC22" s="154">
        <f t="shared" si="74"/>
        <v>100</v>
      </c>
      <c r="BD22" s="154" t="str">
        <f t="shared" si="75"/>
        <v/>
      </c>
      <c r="BE22" s="154">
        <f t="shared" si="76"/>
        <v>200</v>
      </c>
      <c r="BF22" s="153" t="str">
        <f t="shared" si="77"/>
        <v/>
      </c>
      <c r="BG22" s="154" t="str">
        <f t="shared" si="175"/>
        <v>P</v>
      </c>
      <c r="BH22" s="153" t="str">
        <f t="shared" si="78"/>
        <v>I</v>
      </c>
      <c r="BI22" s="580" t="str">
        <f>IF('Marks Entry'!AC22="","",'Marks Entry'!AC22)</f>
        <v>A</v>
      </c>
      <c r="BJ22" s="580">
        <f>IF('Marks Entry'!AD22="","",'Marks Entry'!AD22)</f>
        <v>10</v>
      </c>
      <c r="BK22" s="580">
        <f>IF('Marks Entry'!AE22="","",'Marks Entry'!AE22)</f>
        <v>10</v>
      </c>
      <c r="BL22" s="580" t="str">
        <f>IF('Marks Entry'!AF22="","",'Marks Entry'!AF22)</f>
        <v/>
      </c>
      <c r="BM22" s="581">
        <f t="shared" si="79"/>
        <v>20</v>
      </c>
      <c r="BN22" s="580">
        <f>IF('Marks Entry'!AG22="","",'Marks Entry'!AG22)</f>
        <v>37</v>
      </c>
      <c r="BO22" s="580" t="str">
        <f>IF('Marks Entry'!AH22="","",'Marks Entry'!AH22)</f>
        <v/>
      </c>
      <c r="BP22" s="581">
        <f t="shared" si="80"/>
        <v>37</v>
      </c>
      <c r="BQ22" s="581">
        <f t="shared" si="81"/>
        <v>57</v>
      </c>
      <c r="BR22" s="580">
        <f>IF('Marks Entry'!AI22="","",'Marks Entry'!AI22)</f>
        <v>54</v>
      </c>
      <c r="BS22" s="580" t="str">
        <f>IF('Marks Entry'!AJ22="","",'Marks Entry'!AJ22)</f>
        <v/>
      </c>
      <c r="BT22" s="581">
        <f t="shared" si="82"/>
        <v>54</v>
      </c>
      <c r="BU22" s="157">
        <f t="shared" si="83"/>
        <v>111</v>
      </c>
      <c r="BV22" s="157" t="str">
        <f t="shared" si="84"/>
        <v/>
      </c>
      <c r="BW22" s="192">
        <f t="shared" si="85"/>
        <v>111</v>
      </c>
      <c r="BX22" s="153">
        <f t="shared" si="86"/>
        <v>0</v>
      </c>
      <c r="BY22" s="154">
        <f t="shared" si="87"/>
        <v>0</v>
      </c>
      <c r="BZ22" s="154">
        <f t="shared" si="88"/>
        <v>100</v>
      </c>
      <c r="CA22" s="154" t="str">
        <f t="shared" si="89"/>
        <v/>
      </c>
      <c r="CB22" s="154">
        <f t="shared" si="90"/>
        <v>200</v>
      </c>
      <c r="CC22" s="153" t="str">
        <f t="shared" si="91"/>
        <v/>
      </c>
      <c r="CD22" s="154" t="str">
        <f t="shared" si="92"/>
        <v>P</v>
      </c>
      <c r="CE22" s="153" t="str">
        <f t="shared" si="93"/>
        <v>II</v>
      </c>
      <c r="CF22" s="580" t="str">
        <f>IF('Marks Entry'!AK22="","",'Marks Entry'!AK22)</f>
        <v>A</v>
      </c>
      <c r="CG22" s="580">
        <f>IF('Marks Entry'!AL22="","",'Marks Entry'!AL22)</f>
        <v>9</v>
      </c>
      <c r="CH22" s="580">
        <f>IF('Marks Entry'!AM22="","",'Marks Entry'!AM22)</f>
        <v>9</v>
      </c>
      <c r="CI22" s="580">
        <f>IF('Marks Entry'!AN22="","",'Marks Entry'!AN22)</f>
        <v>8</v>
      </c>
      <c r="CJ22" s="581">
        <f t="shared" si="94"/>
        <v>26</v>
      </c>
      <c r="CK22" s="580">
        <f>IF('Marks Entry'!AO22="","",'Marks Entry'!AO22)</f>
        <v>28</v>
      </c>
      <c r="CL22" s="580">
        <f>IF('Marks Entry'!AP22="","",'Marks Entry'!AP22)</f>
        <v>14</v>
      </c>
      <c r="CM22" s="581">
        <f t="shared" si="95"/>
        <v>42</v>
      </c>
      <c r="CN22" s="581">
        <f t="shared" si="96"/>
        <v>68</v>
      </c>
      <c r="CO22" s="580">
        <f>IF('Marks Entry'!AQ22="","",'Marks Entry'!AQ22)</f>
        <v>35</v>
      </c>
      <c r="CP22" s="580">
        <f>IF('Marks Entry'!AR22="","",'Marks Entry'!AR22)</f>
        <v>30</v>
      </c>
      <c r="CQ22" s="581">
        <f t="shared" si="97"/>
        <v>65</v>
      </c>
      <c r="CR22" s="157">
        <f t="shared" si="98"/>
        <v>89</v>
      </c>
      <c r="CS22" s="157">
        <f t="shared" si="99"/>
        <v>44</v>
      </c>
      <c r="CT22" s="192">
        <f t="shared" si="100"/>
        <v>133</v>
      </c>
      <c r="CU22" s="153">
        <f t="shared" si="101"/>
        <v>0</v>
      </c>
      <c r="CV22" s="154">
        <f t="shared" si="102"/>
        <v>0</v>
      </c>
      <c r="CW22" s="154">
        <f t="shared" si="103"/>
        <v>70</v>
      </c>
      <c r="CX22" s="154">
        <f t="shared" si="104"/>
        <v>50</v>
      </c>
      <c r="CY22" s="154">
        <f t="shared" si="176"/>
        <v>150</v>
      </c>
      <c r="CZ22" s="153" t="str">
        <f t="shared" si="105"/>
        <v/>
      </c>
      <c r="DA22" s="154" t="str">
        <f t="shared" si="106"/>
        <v>P</v>
      </c>
      <c r="DB22" s="153" t="str">
        <f t="shared" si="107"/>
        <v>I</v>
      </c>
      <c r="DC22" s="154">
        <f t="shared" si="108"/>
        <v>0</v>
      </c>
      <c r="DD22" s="826" t="str">
        <f>IF('Marks Entry'!AS22="","",IF(OR('Master Sheet'!$D$19="YES",'Marks Entry'!$BA$1=1),'Marks Entry'!AS22,""))</f>
        <v/>
      </c>
      <c r="DE22" s="826" t="str">
        <f>IF('Marks Entry'!AT22="","",IF(OR('Master Sheet'!$D$19="YES",'Marks Entry'!$BA$1=1),'Marks Entry'!AT22,""))</f>
        <v/>
      </c>
      <c r="DF22" s="826" t="str">
        <f>IF('Marks Entry'!AU22="","",IF(OR('Master Sheet'!$D$19="YES",'Marks Entry'!$BA$1=1),'Marks Entry'!AU22,""))</f>
        <v/>
      </c>
      <c r="DG22" s="826" t="str">
        <f>IF('Marks Entry'!AV22="","",IF(OR('Master Sheet'!$D$19="YES",'Marks Entry'!$BA$1=1),'Marks Entry'!AV22,""))</f>
        <v/>
      </c>
      <c r="DH22" s="827" t="str">
        <f t="shared" si="109"/>
        <v/>
      </c>
      <c r="DI22" s="826" t="str">
        <f>IF('Marks Entry'!AW22="","",IF(OR('Master Sheet'!$D$19="YES",'Marks Entry'!$BA$1=1),'Marks Entry'!AW22,""))</f>
        <v/>
      </c>
      <c r="DJ22" s="826" t="str">
        <f>IF('Marks Entry'!AX22="","",IF(OR('Master Sheet'!$D$19="YES",'Marks Entry'!$BA$1=1),'Marks Entry'!AX22,""))</f>
        <v/>
      </c>
      <c r="DK22" s="827" t="str">
        <f t="shared" si="110"/>
        <v/>
      </c>
      <c r="DL22" s="827" t="str">
        <f t="shared" si="111"/>
        <v/>
      </c>
      <c r="DM22" s="826" t="str">
        <f>IF('Marks Entry'!AY22="","",IF(OR('Master Sheet'!$D$19="YES",'Marks Entry'!$BA$1=1),'Marks Entry'!AY22,""))</f>
        <v/>
      </c>
      <c r="DN22" s="826" t="str">
        <f>IF('Marks Entry'!AZ22="","",IF(OR('Master Sheet'!$D$19="YES",'Marks Entry'!$BA$1=1),'Marks Entry'!AZ22,""))</f>
        <v/>
      </c>
      <c r="DO22" s="826" t="str">
        <f>IF('Marks Entry'!BA22="","",IF(OR('Master Sheet'!$D$19="YES",'Marks Entry'!$BA$1=1),'Marks Entry'!BA22,""))</f>
        <v/>
      </c>
      <c r="DP22" s="827" t="str">
        <f t="shared" si="112"/>
        <v/>
      </c>
      <c r="DQ22" s="157" t="str">
        <f t="shared" si="113"/>
        <v/>
      </c>
      <c r="DR22" s="157" t="str">
        <f t="shared" si="114"/>
        <v/>
      </c>
      <c r="DS22" s="157" t="str">
        <f t="shared" si="115"/>
        <v/>
      </c>
      <c r="DT22" s="192" t="str">
        <f t="shared" si="116"/>
        <v/>
      </c>
      <c r="DU22" s="153">
        <f t="shared" si="117"/>
        <v>0</v>
      </c>
      <c r="DV22" s="154" t="e">
        <f t="shared" si="118"/>
        <v>#VALUE!</v>
      </c>
      <c r="DW22" s="154" t="str">
        <f t="shared" si="119"/>
        <v/>
      </c>
      <c r="DX22" s="154" t="str">
        <f>IF(OR($B22="NSO",$B22=0,DS22=""),"",IF(AND(DJ22="",DO22=""),"",IF('Master Sheet'!$D$19="YES",$DO$6-COUNTIF(DO22,"ML")*DO$6,DS$6-(COUNTIF(DJ22,"ML")*DJ$6)-(COUNTIF(DO22,"ML")*DO$6))))</f>
        <v/>
      </c>
      <c r="DY22" s="154" t="str">
        <f>IF(OR($B22="NSO",$B22=0),"",IF(AND(DH22="",DI22="",DM22=""),"",IF(AND('Master Sheet'!$D$19="YES",'Marks Entry'!$BA$1=1),100,IF(AND(DJ22="",DO22=""),SUM(($DQ$7+$DR$7)-(DU22+DV22)),SUM(($DQ$6+$DR$6)-(DU22+DV22))))))</f>
        <v/>
      </c>
      <c r="DZ22" s="153" t="str">
        <f t="shared" si="120"/>
        <v/>
      </c>
      <c r="EA22" s="154" t="str">
        <f t="shared" si="121"/>
        <v/>
      </c>
      <c r="EB22" s="153" t="str">
        <f t="shared" si="122"/>
        <v/>
      </c>
      <c r="EC22" s="584">
        <f>IF('Marks Entry'!BB22="","",'Marks Entry'!BB22)</f>
        <v>24</v>
      </c>
      <c r="ED22" s="584">
        <f>IF('Marks Entry'!BC22="","",'Marks Entry'!BC22)</f>
        <v>25</v>
      </c>
      <c r="EE22" s="584">
        <f>IF('Marks Entry'!BD22="","",'Marks Entry'!BD22)</f>
        <v>32</v>
      </c>
      <c r="EF22" s="590">
        <f t="shared" si="123"/>
        <v>81</v>
      </c>
      <c r="EG22" s="595">
        <f t="shared" si="124"/>
        <v>0</v>
      </c>
      <c r="EH22" s="595">
        <f t="shared" si="125"/>
        <v>0</v>
      </c>
      <c r="EI22" s="193">
        <f t="shared" si="126"/>
        <v>100</v>
      </c>
      <c r="EJ22" s="595" t="str">
        <f t="shared" si="127"/>
        <v/>
      </c>
      <c r="EK22" s="595" t="str">
        <f t="shared" si="128"/>
        <v>A</v>
      </c>
      <c r="EL22" s="194" t="str">
        <f t="shared" si="129"/>
        <v/>
      </c>
      <c r="EM22" s="194" t="str">
        <f t="shared" si="130"/>
        <v/>
      </c>
      <c r="EN22" s="194" t="str">
        <f t="shared" si="131"/>
        <v>I</v>
      </c>
      <c r="EO22" s="194" t="str">
        <f t="shared" si="132"/>
        <v>II</v>
      </c>
      <c r="EP22" s="194" t="str">
        <f t="shared" si="133"/>
        <v>I</v>
      </c>
      <c r="EQ22" s="194" t="str">
        <f t="shared" si="134"/>
        <v/>
      </c>
      <c r="ER22" s="195">
        <f t="shared" si="135"/>
        <v>0</v>
      </c>
      <c r="ES22" s="195">
        <f t="shared" si="136"/>
        <v>0</v>
      </c>
      <c r="ET22" s="195">
        <f t="shared" si="137"/>
        <v>0</v>
      </c>
      <c r="EU22" s="195">
        <f t="shared" si="138"/>
        <v>0</v>
      </c>
      <c r="EV22" s="195">
        <f t="shared" si="139"/>
        <v>0</v>
      </c>
      <c r="EW22" s="195" t="str">
        <f t="shared" si="140"/>
        <v/>
      </c>
      <c r="EX22" s="196" t="str">
        <f t="shared" si="141"/>
        <v/>
      </c>
      <c r="EY22" s="197">
        <f>IF('Marks Entry'!BE22="","",'Marks Entry'!BE22)</f>
        <v>8</v>
      </c>
      <c r="EZ22" s="197">
        <f>IF('Marks Entry'!BF22="","",'Marks Entry'!BF22)</f>
        <v>8</v>
      </c>
      <c r="FA22" s="197">
        <f>IF('Marks Entry'!BG22="","",'Marks Entry'!BG22)</f>
        <v>8</v>
      </c>
      <c r="FB22" s="596">
        <f t="shared" si="142"/>
        <v>24</v>
      </c>
      <c r="FC22" s="197">
        <f>IF('Marks Entry'!BH22="","",'Marks Entry'!BH22)</f>
        <v>50</v>
      </c>
      <c r="FD22" s="197">
        <f>IF('Marks Entry'!BI22="","",'Marks Entry'!BI22)</f>
        <v>68</v>
      </c>
      <c r="FE22" s="198">
        <f t="shared" si="143"/>
        <v>142</v>
      </c>
      <c r="FF22" s="199" t="str">
        <f t="shared" si="144"/>
        <v>B</v>
      </c>
      <c r="FG22" s="200" t="str">
        <f>IF(AND(E22=""),"",IF('Student DATA Entry'!L18="","",'Student DATA Entry'!L18))</f>
        <v/>
      </c>
      <c r="FH22" s="201" t="str">
        <f>IF(AND(E22=""),"",IF('Student DATA Entry'!M18="","",'Student DATA Entry'!M18))</f>
        <v/>
      </c>
      <c r="FI22" s="202" t="str">
        <f t="shared" si="145"/>
        <v/>
      </c>
      <c r="FJ22" s="189" t="str">
        <f t="shared" si="146"/>
        <v/>
      </c>
      <c r="FK22" s="189" t="str">
        <f t="shared" si="147"/>
        <v/>
      </c>
      <c r="FL22" s="203" t="str">
        <f t="shared" si="19"/>
        <v/>
      </c>
      <c r="FM22" s="189" t="str">
        <f t="shared" si="148"/>
        <v/>
      </c>
      <c r="FN22" s="204" t="str">
        <f t="shared" si="149"/>
        <v/>
      </c>
      <c r="FO22" s="203" t="str">
        <f t="shared" si="20"/>
        <v/>
      </c>
      <c r="FP22" s="205" t="str">
        <f t="shared" si="150"/>
        <v>I</v>
      </c>
      <c r="FQ22" s="189" t="str">
        <f t="shared" si="21"/>
        <v>I</v>
      </c>
      <c r="FR22" s="189" t="str">
        <f t="shared" si="22"/>
        <v/>
      </c>
      <c r="FS22" s="189" t="str">
        <f t="shared" si="23"/>
        <v/>
      </c>
      <c r="FT22" s="189" t="str">
        <f t="shared" si="24"/>
        <v/>
      </c>
      <c r="FU22" s="189" t="str">
        <f t="shared" si="151"/>
        <v/>
      </c>
      <c r="FV22" s="206" t="str">
        <f t="shared" si="25"/>
        <v/>
      </c>
      <c r="FW22" s="205" t="str">
        <f t="shared" si="152"/>
        <v>II</v>
      </c>
      <c r="FX22" s="189" t="str">
        <f t="shared" si="26"/>
        <v>II</v>
      </c>
      <c r="FY22" s="189" t="str">
        <f t="shared" si="27"/>
        <v/>
      </c>
      <c r="FZ22" s="189" t="str">
        <f t="shared" si="28"/>
        <v/>
      </c>
      <c r="GA22" s="189" t="str">
        <f t="shared" si="29"/>
        <v/>
      </c>
      <c r="GB22" s="189" t="str">
        <f t="shared" si="153"/>
        <v/>
      </c>
      <c r="GC22" s="206" t="str">
        <f t="shared" si="30"/>
        <v/>
      </c>
      <c r="GD22" s="205" t="str">
        <f t="shared" si="154"/>
        <v>I</v>
      </c>
      <c r="GE22" s="189" t="str">
        <f t="shared" si="31"/>
        <v>I</v>
      </c>
      <c r="GF22" s="189" t="str">
        <f t="shared" si="32"/>
        <v/>
      </c>
      <c r="GG22" s="189" t="str">
        <f t="shared" si="33"/>
        <v/>
      </c>
      <c r="GH22" s="189" t="str">
        <f t="shared" si="34"/>
        <v/>
      </c>
      <c r="GI22" s="189" t="str">
        <f t="shared" si="155"/>
        <v/>
      </c>
      <c r="GJ22" s="206" t="str">
        <f t="shared" si="35"/>
        <v/>
      </c>
      <c r="GK22" s="205" t="str">
        <f t="shared" si="156"/>
        <v/>
      </c>
      <c r="GL22" s="189" t="str">
        <f t="shared" si="36"/>
        <v/>
      </c>
      <c r="GM22" s="189" t="str">
        <f t="shared" si="37"/>
        <v/>
      </c>
      <c r="GN22" s="189" t="str">
        <f t="shared" si="38"/>
        <v/>
      </c>
      <c r="GO22" s="189" t="str">
        <f t="shared" si="39"/>
        <v/>
      </c>
      <c r="GP22" s="189" t="str">
        <f t="shared" si="157"/>
        <v/>
      </c>
      <c r="GQ22" s="206" t="str">
        <f t="shared" si="40"/>
        <v/>
      </c>
      <c r="GR22" s="189" t="str">
        <f t="shared" si="158"/>
        <v>A</v>
      </c>
      <c r="GS22" s="189" t="str">
        <f t="shared" si="159"/>
        <v>B</v>
      </c>
      <c r="GT22" s="207" t="str">
        <f t="shared" si="177"/>
        <v xml:space="preserve">    </v>
      </c>
      <c r="GU22" s="207" t="str">
        <f t="shared" si="160"/>
        <v xml:space="preserve">    </v>
      </c>
      <c r="GV22" s="207" t="str">
        <f t="shared" si="161"/>
        <v xml:space="preserve">    </v>
      </c>
      <c r="GW22" s="207" t="str">
        <f t="shared" si="162"/>
        <v xml:space="preserve">       </v>
      </c>
      <c r="GX22" s="598" t="str">
        <f t="shared" si="163"/>
        <v xml:space="preserve">     </v>
      </c>
      <c r="GY22" s="208" t="str">
        <f t="shared" si="164"/>
        <v/>
      </c>
      <c r="GZ22" s="606">
        <f>IF(AND(Q22="",AE22="",AZ22="",BW22="",CT22=""),"",IF(AND('Master Sheet'!$D$19="YES",'Marks Entry'!$BA$1=1),SUM(Q22,AE22,AZ22,BW22,DT22),SUM(Q22,AE22,AZ22,BW22,CT22)))</f>
        <v>599</v>
      </c>
      <c r="HA22" s="209">
        <f>IF(GZ22="","",IF(AND('Master Sheet'!$D$19="YES",'Marks Entry'!$BA$1=1),GZ22/((900)-DC22)*100,GZ22/((1000)-DC22)*100))</f>
        <v>59.9</v>
      </c>
      <c r="HB22" s="611" t="str">
        <f t="shared" si="165"/>
        <v/>
      </c>
      <c r="HC22" s="609" t="str">
        <f t="shared" si="166"/>
        <v/>
      </c>
      <c r="HD22" s="610" t="str">
        <f t="shared" si="167"/>
        <v/>
      </c>
      <c r="HE22" s="210" t="str">
        <f>IFERROR(IF(OR(GY22="SUPPLEMENTARY",GY22="RE-EXAM"),'Supp. Result Entry'!AS21,""),"")</f>
        <v/>
      </c>
      <c r="HF22" s="613" t="str">
        <f t="shared" si="168"/>
        <v/>
      </c>
      <c r="HG22" s="598" t="str">
        <f t="shared" si="169"/>
        <v/>
      </c>
      <c r="HH22" s="598" t="str">
        <f>IF(AND(HE22="",HF22="",HG22=""),"",IF(OR(GY22="SUPPLEMENTARY",GY22="RE-EXAM"),'Supp. Result Entry'!AS21,GY22))</f>
        <v/>
      </c>
      <c r="HI22" s="180"/>
      <c r="HY22" s="212" t="str">
        <f>IF('Supp. Result Entry'!U21="","",'Supp. Result Entry'!$U$6)</f>
        <v/>
      </c>
      <c r="HZ22" s="213" t="str">
        <f>IF('Supp. Result Entry'!X21="","",'Supp. Result Entry'!$X$6)</f>
        <v/>
      </c>
      <c r="IA22" s="213" t="str">
        <f>IF('Supp. Result Entry'!AA21="","",'Supp. Result Entry'!$AA$6)</f>
        <v/>
      </c>
      <c r="IB22" s="213" t="str">
        <f>IF('Supp. Result Entry'!AD21="","",'Supp. Result Entry'!$AD$6)</f>
        <v/>
      </c>
      <c r="IC22" s="213" t="str">
        <f>IF('Supp. Result Entry'!AG21="","",'Supp. Result Entry'!$AG$6)</f>
        <v/>
      </c>
      <c r="ID22" s="213" t="str">
        <f>IF('Supp. Result Entry'!AJ21="","",'Supp. Result Entry'!$AJ$6)</f>
        <v/>
      </c>
      <c r="IE22" s="213" t="str">
        <f>IF('Supp. Result Entry'!V21="","",'Supp. Result Entry'!V21)</f>
        <v/>
      </c>
      <c r="IF22" s="213" t="str">
        <f>IF('Supp. Result Entry'!Y21="","",'Supp. Result Entry'!Y21)</f>
        <v/>
      </c>
      <c r="IG22" s="213" t="str">
        <f>IF('Supp. Result Entry'!AB21="","",'Supp. Result Entry'!AB21)</f>
        <v/>
      </c>
      <c r="IH22" s="213" t="str">
        <f>IF('Supp. Result Entry'!AE21="","",'Supp. Result Entry'!AE21)</f>
        <v/>
      </c>
      <c r="II22" s="213" t="str">
        <f>IF('Supp. Result Entry'!AH21="","",'Supp. Result Entry'!AH21)</f>
        <v/>
      </c>
      <c r="IJ22" s="213" t="str">
        <f>IF('Supp. Result Entry'!AK21="","",'Supp. Result Entry'!AK21)</f>
        <v/>
      </c>
      <c r="IK22" s="213" t="str">
        <f>IF('Supp. Result Entry'!W21="","",'Supp. Result Entry'!W21)</f>
        <v/>
      </c>
      <c r="IL22" s="213" t="str">
        <f>IF('Supp. Result Entry'!Z21="","",'Supp. Result Entry'!Z21)</f>
        <v/>
      </c>
      <c r="IM22" s="213" t="str">
        <f>IF('Supp. Result Entry'!AC21="","",'Supp. Result Entry'!AC21)</f>
        <v/>
      </c>
      <c r="IN22" s="213" t="str">
        <f>IF('Supp. Result Entry'!AF21="","",'Supp. Result Entry'!AF21)</f>
        <v/>
      </c>
      <c r="IO22" s="213" t="str">
        <f>IF('Supp. Result Entry'!AI21="","",'Supp. Result Entry'!AI21)</f>
        <v/>
      </c>
      <c r="IP22" s="213" t="str">
        <f>IF('Supp. Result Entry'!AL21="","",'Supp. Result Entry'!AL21)</f>
        <v/>
      </c>
      <c r="IQ22" s="213">
        <f>COUNTIF('Supp. Result Entry'!K21:Q21,"S")</f>
        <v>0</v>
      </c>
      <c r="IR22" s="213">
        <f t="shared" si="170"/>
        <v>0</v>
      </c>
      <c r="IS22" s="213">
        <f t="shared" si="171"/>
        <v>0</v>
      </c>
      <c r="IT22" s="213" t="str">
        <f t="shared" si="41"/>
        <v/>
      </c>
      <c r="IU22" s="213" t="str">
        <f t="shared" si="42"/>
        <v/>
      </c>
      <c r="IV22" s="213" t="str">
        <f t="shared" si="43"/>
        <v/>
      </c>
      <c r="IW22" s="213" t="str">
        <f t="shared" si="44"/>
        <v/>
      </c>
      <c r="IX22" s="213" t="str">
        <f t="shared" si="45"/>
        <v/>
      </c>
      <c r="IY22" s="213" t="str">
        <f t="shared" si="172"/>
        <v/>
      </c>
      <c r="IZ22" s="213" t="str">
        <f t="shared" si="173"/>
        <v/>
      </c>
      <c r="JA22" s="213" t="str">
        <f t="shared" si="46"/>
        <v/>
      </c>
      <c r="JB22" s="211" t="str">
        <f t="shared" si="174"/>
        <v/>
      </c>
    </row>
    <row r="23" spans="1:262" s="211" customFormat="1" ht="21" customHeight="1">
      <c r="A23" s="184">
        <v>16</v>
      </c>
      <c r="B23" s="185" t="str">
        <f>IF('Marks Entry'!B23="","",'Marks Entry'!B23)</f>
        <v/>
      </c>
      <c r="C23" s="186" t="str">
        <f>IF('Marks Entry'!D23="","",'Marks Entry'!D23)</f>
        <v/>
      </c>
      <c r="D23" s="187" t="str">
        <f>IF('Marks Entry'!E23="","",'Marks Entry'!E23)</f>
        <v/>
      </c>
      <c r="E23" s="188" t="str">
        <f>IF('Marks Entry'!F23="","",'Marks Entry'!F23)</f>
        <v/>
      </c>
      <c r="F23" s="188" t="str">
        <f>IF('Marks Entry'!G23="","",'Marks Entry'!G23)</f>
        <v/>
      </c>
      <c r="G23" s="188" t="str">
        <f>IF('Marks Entry'!H23="","",'Marks Entry'!H23)</f>
        <v/>
      </c>
      <c r="H23" s="189" t="str">
        <f>IF('Marks Entry'!I23="","",'Marks Entry'!I23)</f>
        <v/>
      </c>
      <c r="I23" s="190" t="str">
        <f>IF('Marks Entry'!J23="","",'Marks Entry'!J23)</f>
        <v/>
      </c>
      <c r="J23" s="545">
        <f>IF('Marks Entry'!K23="","",'Marks Entry'!K23)</f>
        <v>10</v>
      </c>
      <c r="K23" s="545">
        <f>IF('Marks Entry'!L23="","",'Marks Entry'!L23)</f>
        <v>9</v>
      </c>
      <c r="L23" s="545">
        <f>IF('Marks Entry'!M23="","",'Marks Entry'!M23)</f>
        <v>8</v>
      </c>
      <c r="M23" s="546">
        <f t="shared" si="47"/>
        <v>27</v>
      </c>
      <c r="N23" s="545">
        <f>IF('Marks Entry'!N23="","",'Marks Entry'!N23)</f>
        <v>26</v>
      </c>
      <c r="O23" s="546">
        <f t="shared" si="48"/>
        <v>53</v>
      </c>
      <c r="P23" s="545">
        <f>IF('Marks Entry'!O23="","",'Marks Entry'!O23)</f>
        <v>54</v>
      </c>
      <c r="Q23" s="547">
        <f t="shared" si="49"/>
        <v>107</v>
      </c>
      <c r="R23" s="153">
        <f t="shared" si="50"/>
        <v>0</v>
      </c>
      <c r="S23" s="153">
        <f t="shared" si="51"/>
        <v>0</v>
      </c>
      <c r="T23" s="154">
        <f t="shared" si="52"/>
        <v>200</v>
      </c>
      <c r="U23" s="153" t="str">
        <f t="shared" si="53"/>
        <v/>
      </c>
      <c r="V23" s="153" t="str">
        <f t="shared" si="54"/>
        <v/>
      </c>
      <c r="W23" s="153" t="str">
        <f t="shared" si="55"/>
        <v/>
      </c>
      <c r="X23" s="545">
        <f>IF('Marks Entry'!P23="","",'Marks Entry'!P23)</f>
        <v>8</v>
      </c>
      <c r="Y23" s="545">
        <f>IF('Marks Entry'!Q23="","",'Marks Entry'!Q23)</f>
        <v>10</v>
      </c>
      <c r="Z23" s="545">
        <f>IF('Marks Entry'!R23="","",'Marks Entry'!R23)</f>
        <v>9</v>
      </c>
      <c r="AA23" s="546">
        <f t="shared" si="56"/>
        <v>27</v>
      </c>
      <c r="AB23" s="545">
        <f>IF('Marks Entry'!S23="","",'Marks Entry'!S23)</f>
        <v>15</v>
      </c>
      <c r="AC23" s="546">
        <f t="shared" si="57"/>
        <v>42</v>
      </c>
      <c r="AD23" s="545">
        <f>IF('Marks Entry'!T23="","",'Marks Entry'!T23)</f>
        <v>65</v>
      </c>
      <c r="AE23" s="547">
        <f t="shared" si="58"/>
        <v>107</v>
      </c>
      <c r="AF23" s="153">
        <f t="shared" si="59"/>
        <v>0</v>
      </c>
      <c r="AG23" s="153">
        <f t="shared" si="60"/>
        <v>0</v>
      </c>
      <c r="AH23" s="154">
        <f t="shared" si="61"/>
        <v>200</v>
      </c>
      <c r="AI23" s="153" t="str">
        <f t="shared" si="62"/>
        <v/>
      </c>
      <c r="AJ23" s="153" t="str">
        <f t="shared" si="63"/>
        <v/>
      </c>
      <c r="AK23" s="153" t="str">
        <f t="shared" si="64"/>
        <v/>
      </c>
      <c r="AL23" s="573" t="str">
        <f>IF('Marks Entry'!U23="","",'Marks Entry'!U23)</f>
        <v>B</v>
      </c>
      <c r="AM23" s="573">
        <f>IF('Marks Entry'!V23="","",'Marks Entry'!V23)</f>
        <v>7</v>
      </c>
      <c r="AN23" s="573">
        <f>IF('Marks Entry'!W23="","",'Marks Entry'!W23)</f>
        <v>8</v>
      </c>
      <c r="AO23" s="573">
        <f>IF('Marks Entry'!X23="","",'Marks Entry'!X23)</f>
        <v>7</v>
      </c>
      <c r="AP23" s="572">
        <f t="shared" si="65"/>
        <v>22</v>
      </c>
      <c r="AQ23" s="573">
        <f>IF('Marks Entry'!Y23="","",'Marks Entry'!Y23)</f>
        <v>30</v>
      </c>
      <c r="AR23" s="573">
        <f>IF('Marks Entry'!Z23="","",'Marks Entry'!Z23)</f>
        <v>10</v>
      </c>
      <c r="AS23" s="572">
        <f t="shared" si="66"/>
        <v>40</v>
      </c>
      <c r="AT23" s="572">
        <f t="shared" si="67"/>
        <v>62</v>
      </c>
      <c r="AU23" s="573">
        <f>IF('Marks Entry'!AA23="","",'Marks Entry'!AA23)</f>
        <v>25</v>
      </c>
      <c r="AV23" s="573">
        <f>IF('Marks Entry'!AB23="","",'Marks Entry'!AB23)</f>
        <v>29</v>
      </c>
      <c r="AW23" s="572">
        <f t="shared" si="68"/>
        <v>54</v>
      </c>
      <c r="AX23" s="157">
        <f t="shared" si="69"/>
        <v>77</v>
      </c>
      <c r="AY23" s="157">
        <f t="shared" si="70"/>
        <v>39</v>
      </c>
      <c r="AZ23" s="192">
        <f t="shared" si="71"/>
        <v>116</v>
      </c>
      <c r="BA23" s="153">
        <f t="shared" si="72"/>
        <v>0</v>
      </c>
      <c r="BB23" s="154">
        <f t="shared" si="73"/>
        <v>0</v>
      </c>
      <c r="BC23" s="154">
        <f t="shared" si="74"/>
        <v>70</v>
      </c>
      <c r="BD23" s="154">
        <f t="shared" si="75"/>
        <v>50</v>
      </c>
      <c r="BE23" s="154">
        <f t="shared" si="76"/>
        <v>150</v>
      </c>
      <c r="BF23" s="153" t="str">
        <f t="shared" si="77"/>
        <v/>
      </c>
      <c r="BG23" s="154" t="str">
        <f t="shared" si="175"/>
        <v>P</v>
      </c>
      <c r="BH23" s="153" t="str">
        <f t="shared" si="78"/>
        <v>II</v>
      </c>
      <c r="BI23" s="580" t="str">
        <f>IF('Marks Entry'!AC23="","",'Marks Entry'!AC23)</f>
        <v>A</v>
      </c>
      <c r="BJ23" s="580">
        <f>IF('Marks Entry'!AD23="","",'Marks Entry'!AD23)</f>
        <v>11</v>
      </c>
      <c r="BK23" s="580">
        <f>IF('Marks Entry'!AE23="","",'Marks Entry'!AE23)</f>
        <v>12</v>
      </c>
      <c r="BL23" s="580" t="str">
        <f>IF('Marks Entry'!AF23="","",'Marks Entry'!AF23)</f>
        <v/>
      </c>
      <c r="BM23" s="581">
        <f t="shared" si="79"/>
        <v>23</v>
      </c>
      <c r="BN23" s="580">
        <f>IF('Marks Entry'!AG23="","",'Marks Entry'!AG23)</f>
        <v>45</v>
      </c>
      <c r="BO23" s="580" t="str">
        <f>IF('Marks Entry'!AH23="","",'Marks Entry'!AH23)</f>
        <v/>
      </c>
      <c r="BP23" s="581">
        <f t="shared" si="80"/>
        <v>45</v>
      </c>
      <c r="BQ23" s="581">
        <f t="shared" si="81"/>
        <v>68</v>
      </c>
      <c r="BR23" s="580">
        <f>IF('Marks Entry'!AI23="","",'Marks Entry'!AI23)</f>
        <v>45</v>
      </c>
      <c r="BS23" s="580" t="str">
        <f>IF('Marks Entry'!AJ23="","",'Marks Entry'!AJ23)</f>
        <v/>
      </c>
      <c r="BT23" s="581">
        <f t="shared" si="82"/>
        <v>45</v>
      </c>
      <c r="BU23" s="157">
        <f t="shared" si="83"/>
        <v>113</v>
      </c>
      <c r="BV23" s="157" t="str">
        <f t="shared" si="84"/>
        <v/>
      </c>
      <c r="BW23" s="192">
        <f t="shared" si="85"/>
        <v>113</v>
      </c>
      <c r="BX23" s="153">
        <f t="shared" si="86"/>
        <v>0</v>
      </c>
      <c r="BY23" s="154">
        <f t="shared" si="87"/>
        <v>0</v>
      </c>
      <c r="BZ23" s="154">
        <f t="shared" si="88"/>
        <v>100</v>
      </c>
      <c r="CA23" s="154" t="str">
        <f t="shared" si="89"/>
        <v/>
      </c>
      <c r="CB23" s="154">
        <f t="shared" si="90"/>
        <v>200</v>
      </c>
      <c r="CC23" s="153" t="str">
        <f t="shared" si="91"/>
        <v/>
      </c>
      <c r="CD23" s="154" t="str">
        <f t="shared" si="92"/>
        <v>P</v>
      </c>
      <c r="CE23" s="153" t="str">
        <f t="shared" si="93"/>
        <v>II</v>
      </c>
      <c r="CF23" s="580" t="str">
        <f>IF('Marks Entry'!AK23="","",'Marks Entry'!AK23)</f>
        <v>A</v>
      </c>
      <c r="CG23" s="580">
        <f>IF('Marks Entry'!AL23="","",'Marks Entry'!AL23)</f>
        <v>10</v>
      </c>
      <c r="CH23" s="580">
        <f>IF('Marks Entry'!AM23="","",'Marks Entry'!AM23)</f>
        <v>8</v>
      </c>
      <c r="CI23" s="580">
        <f>IF('Marks Entry'!AN23="","",'Marks Entry'!AN23)</f>
        <v>9</v>
      </c>
      <c r="CJ23" s="581">
        <f t="shared" si="94"/>
        <v>27</v>
      </c>
      <c r="CK23" s="580">
        <f>IF('Marks Entry'!AO23="","",'Marks Entry'!AO23)</f>
        <v>31</v>
      </c>
      <c r="CL23" s="580">
        <f>IF('Marks Entry'!AP23="","",'Marks Entry'!AP23)</f>
        <v>12</v>
      </c>
      <c r="CM23" s="581">
        <f t="shared" si="95"/>
        <v>43</v>
      </c>
      <c r="CN23" s="581">
        <f t="shared" si="96"/>
        <v>70</v>
      </c>
      <c r="CO23" s="580">
        <f>IF('Marks Entry'!AQ23="","",'Marks Entry'!AQ23)</f>
        <v>40</v>
      </c>
      <c r="CP23" s="580">
        <f>IF('Marks Entry'!AR23="","",'Marks Entry'!AR23)</f>
        <v>25</v>
      </c>
      <c r="CQ23" s="581">
        <f t="shared" si="97"/>
        <v>65</v>
      </c>
      <c r="CR23" s="157">
        <f t="shared" si="98"/>
        <v>98</v>
      </c>
      <c r="CS23" s="157">
        <f t="shared" si="99"/>
        <v>37</v>
      </c>
      <c r="CT23" s="192">
        <f t="shared" si="100"/>
        <v>135</v>
      </c>
      <c r="CU23" s="153">
        <f t="shared" si="101"/>
        <v>0</v>
      </c>
      <c r="CV23" s="154">
        <f t="shared" si="102"/>
        <v>0</v>
      </c>
      <c r="CW23" s="154">
        <f t="shared" si="103"/>
        <v>70</v>
      </c>
      <c r="CX23" s="154">
        <f t="shared" si="104"/>
        <v>50</v>
      </c>
      <c r="CY23" s="154">
        <f t="shared" si="176"/>
        <v>150</v>
      </c>
      <c r="CZ23" s="153" t="str">
        <f t="shared" si="105"/>
        <v/>
      </c>
      <c r="DA23" s="154" t="str">
        <f t="shared" si="106"/>
        <v>P</v>
      </c>
      <c r="DB23" s="153" t="str">
        <f t="shared" si="107"/>
        <v>I</v>
      </c>
      <c r="DC23" s="154">
        <f t="shared" si="108"/>
        <v>0</v>
      </c>
      <c r="DD23" s="826" t="str">
        <f>IF('Marks Entry'!AS23="","",IF(OR('Master Sheet'!$D$19="YES",'Marks Entry'!$BA$1=1),'Marks Entry'!AS23,""))</f>
        <v/>
      </c>
      <c r="DE23" s="826" t="str">
        <f>IF('Marks Entry'!AT23="","",IF(OR('Master Sheet'!$D$19="YES",'Marks Entry'!$BA$1=1),'Marks Entry'!AT23,""))</f>
        <v/>
      </c>
      <c r="DF23" s="826" t="str">
        <f>IF('Marks Entry'!AU23="","",IF(OR('Master Sheet'!$D$19="YES",'Marks Entry'!$BA$1=1),'Marks Entry'!AU23,""))</f>
        <v/>
      </c>
      <c r="DG23" s="826" t="str">
        <f>IF('Marks Entry'!AV23="","",IF(OR('Master Sheet'!$D$19="YES",'Marks Entry'!$BA$1=1),'Marks Entry'!AV23,""))</f>
        <v/>
      </c>
      <c r="DH23" s="827" t="str">
        <f t="shared" si="109"/>
        <v/>
      </c>
      <c r="DI23" s="826" t="str">
        <f>IF('Marks Entry'!AW23="","",IF(OR('Master Sheet'!$D$19="YES",'Marks Entry'!$BA$1=1),'Marks Entry'!AW23,""))</f>
        <v/>
      </c>
      <c r="DJ23" s="826" t="str">
        <f>IF('Marks Entry'!AX23="","",IF(OR('Master Sheet'!$D$19="YES",'Marks Entry'!$BA$1=1),'Marks Entry'!AX23,""))</f>
        <v/>
      </c>
      <c r="DK23" s="827" t="str">
        <f t="shared" si="110"/>
        <v/>
      </c>
      <c r="DL23" s="827" t="str">
        <f t="shared" si="111"/>
        <v/>
      </c>
      <c r="DM23" s="826" t="str">
        <f>IF('Marks Entry'!AY23="","",IF(OR('Master Sheet'!$D$19="YES",'Marks Entry'!$BA$1=1),'Marks Entry'!AY23,""))</f>
        <v/>
      </c>
      <c r="DN23" s="826" t="str">
        <f>IF('Marks Entry'!AZ23="","",IF(OR('Master Sheet'!$D$19="YES",'Marks Entry'!$BA$1=1),'Marks Entry'!AZ23,""))</f>
        <v/>
      </c>
      <c r="DO23" s="826" t="str">
        <f>IF('Marks Entry'!BA23="","",IF(OR('Master Sheet'!$D$19="YES",'Marks Entry'!$BA$1=1),'Marks Entry'!BA23,""))</f>
        <v/>
      </c>
      <c r="DP23" s="827" t="str">
        <f t="shared" si="112"/>
        <v/>
      </c>
      <c r="DQ23" s="157" t="str">
        <f t="shared" si="113"/>
        <v/>
      </c>
      <c r="DR23" s="157" t="str">
        <f t="shared" si="114"/>
        <v/>
      </c>
      <c r="DS23" s="157" t="str">
        <f t="shared" si="115"/>
        <v/>
      </c>
      <c r="DT23" s="192" t="str">
        <f t="shared" si="116"/>
        <v/>
      </c>
      <c r="DU23" s="153">
        <f t="shared" si="117"/>
        <v>0</v>
      </c>
      <c r="DV23" s="154" t="e">
        <f t="shared" si="118"/>
        <v>#VALUE!</v>
      </c>
      <c r="DW23" s="154" t="str">
        <f t="shared" si="119"/>
        <v/>
      </c>
      <c r="DX23" s="154" t="str">
        <f>IF(OR($B23="NSO",$B23=0,DS23=""),"",IF(AND(DJ23="",DO23=""),"",IF('Master Sheet'!$D$19="YES",$DO$6-COUNTIF(DO23,"ML")*DO$6,DS$6-(COUNTIF(DJ23,"ML")*DJ$6)-(COUNTIF(DO23,"ML")*DO$6))))</f>
        <v/>
      </c>
      <c r="DY23" s="154" t="str">
        <f>IF(OR($B23="NSO",$B23=0),"",IF(AND(DH23="",DI23="",DM23=""),"",IF(AND('Master Sheet'!$D$19="YES",'Marks Entry'!$BA$1=1),100,IF(AND(DJ23="",DO23=""),SUM(($DQ$7+$DR$7)-(DU23+DV23)),SUM(($DQ$6+$DR$6)-(DU23+DV23))))))</f>
        <v/>
      </c>
      <c r="DZ23" s="153" t="str">
        <f t="shared" si="120"/>
        <v/>
      </c>
      <c r="EA23" s="154" t="str">
        <f t="shared" si="121"/>
        <v/>
      </c>
      <c r="EB23" s="153" t="str">
        <f t="shared" si="122"/>
        <v/>
      </c>
      <c r="EC23" s="584">
        <f>IF('Marks Entry'!BB23="","",'Marks Entry'!BB23)</f>
        <v>24</v>
      </c>
      <c r="ED23" s="584">
        <f>IF('Marks Entry'!BC23="","",'Marks Entry'!BC23)</f>
        <v>25</v>
      </c>
      <c r="EE23" s="584">
        <f>IF('Marks Entry'!BD23="","",'Marks Entry'!BD23)</f>
        <v>32</v>
      </c>
      <c r="EF23" s="590">
        <f t="shared" si="123"/>
        <v>81</v>
      </c>
      <c r="EG23" s="595">
        <f t="shared" si="124"/>
        <v>0</v>
      </c>
      <c r="EH23" s="595">
        <f t="shared" si="125"/>
        <v>0</v>
      </c>
      <c r="EI23" s="193">
        <f t="shared" si="126"/>
        <v>100</v>
      </c>
      <c r="EJ23" s="595" t="str">
        <f t="shared" si="127"/>
        <v/>
      </c>
      <c r="EK23" s="595" t="str">
        <f t="shared" si="128"/>
        <v>A</v>
      </c>
      <c r="EL23" s="194" t="str">
        <f t="shared" si="129"/>
        <v/>
      </c>
      <c r="EM23" s="194" t="str">
        <f t="shared" si="130"/>
        <v/>
      </c>
      <c r="EN23" s="194" t="str">
        <f t="shared" si="131"/>
        <v>II</v>
      </c>
      <c r="EO23" s="194" t="str">
        <f t="shared" si="132"/>
        <v>II</v>
      </c>
      <c r="EP23" s="194" t="str">
        <f t="shared" si="133"/>
        <v>I</v>
      </c>
      <c r="EQ23" s="194" t="str">
        <f t="shared" si="134"/>
        <v/>
      </c>
      <c r="ER23" s="195">
        <f t="shared" si="135"/>
        <v>0</v>
      </c>
      <c r="ES23" s="195">
        <f t="shared" si="136"/>
        <v>0</v>
      </c>
      <c r="ET23" s="195">
        <f t="shared" si="137"/>
        <v>0</v>
      </c>
      <c r="EU23" s="195">
        <f t="shared" si="138"/>
        <v>0</v>
      </c>
      <c r="EV23" s="195">
        <f t="shared" si="139"/>
        <v>0</v>
      </c>
      <c r="EW23" s="195" t="str">
        <f t="shared" si="140"/>
        <v/>
      </c>
      <c r="EX23" s="196" t="str">
        <f t="shared" si="141"/>
        <v/>
      </c>
      <c r="EY23" s="197">
        <f>IF('Marks Entry'!BE23="","",'Marks Entry'!BE23)</f>
        <v>8</v>
      </c>
      <c r="EZ23" s="197">
        <f>IF('Marks Entry'!BF23="","",'Marks Entry'!BF23)</f>
        <v>8</v>
      </c>
      <c r="FA23" s="197">
        <f>IF('Marks Entry'!BG23="","",'Marks Entry'!BG23)</f>
        <v>8</v>
      </c>
      <c r="FB23" s="596">
        <f t="shared" si="142"/>
        <v>24</v>
      </c>
      <c r="FC23" s="197">
        <f>IF('Marks Entry'!BH23="","",'Marks Entry'!BH23)</f>
        <v>50</v>
      </c>
      <c r="FD23" s="197">
        <f>IF('Marks Entry'!BI23="","",'Marks Entry'!BI23)</f>
        <v>68</v>
      </c>
      <c r="FE23" s="198">
        <f t="shared" si="143"/>
        <v>142</v>
      </c>
      <c r="FF23" s="199" t="str">
        <f t="shared" si="144"/>
        <v>B</v>
      </c>
      <c r="FG23" s="200" t="str">
        <f>IF(AND(E23=""),"",IF('Student DATA Entry'!L19="","",'Student DATA Entry'!L19))</f>
        <v/>
      </c>
      <c r="FH23" s="201" t="str">
        <f>IF(AND(E23=""),"",IF('Student DATA Entry'!M19="","",'Student DATA Entry'!M19))</f>
        <v/>
      </c>
      <c r="FI23" s="202" t="str">
        <f t="shared" si="145"/>
        <v/>
      </c>
      <c r="FJ23" s="189" t="str">
        <f t="shared" si="146"/>
        <v/>
      </c>
      <c r="FK23" s="189" t="str">
        <f t="shared" si="147"/>
        <v/>
      </c>
      <c r="FL23" s="203" t="str">
        <f t="shared" si="19"/>
        <v/>
      </c>
      <c r="FM23" s="189" t="str">
        <f t="shared" si="148"/>
        <v/>
      </c>
      <c r="FN23" s="204" t="str">
        <f t="shared" si="149"/>
        <v/>
      </c>
      <c r="FO23" s="203" t="str">
        <f t="shared" si="20"/>
        <v/>
      </c>
      <c r="FP23" s="205" t="str">
        <f t="shared" si="150"/>
        <v>II</v>
      </c>
      <c r="FQ23" s="189" t="str">
        <f t="shared" si="21"/>
        <v/>
      </c>
      <c r="FR23" s="189" t="str">
        <f t="shared" si="22"/>
        <v>II</v>
      </c>
      <c r="FS23" s="189" t="str">
        <f t="shared" si="23"/>
        <v/>
      </c>
      <c r="FT23" s="189" t="str">
        <f t="shared" si="24"/>
        <v/>
      </c>
      <c r="FU23" s="189" t="str">
        <f t="shared" si="151"/>
        <v/>
      </c>
      <c r="FV23" s="206" t="str">
        <f t="shared" si="25"/>
        <v/>
      </c>
      <c r="FW23" s="205" t="str">
        <f t="shared" si="152"/>
        <v>II</v>
      </c>
      <c r="FX23" s="189" t="str">
        <f t="shared" si="26"/>
        <v>II</v>
      </c>
      <c r="FY23" s="189" t="str">
        <f t="shared" si="27"/>
        <v/>
      </c>
      <c r="FZ23" s="189" t="str">
        <f t="shared" si="28"/>
        <v/>
      </c>
      <c r="GA23" s="189" t="str">
        <f t="shared" si="29"/>
        <v/>
      </c>
      <c r="GB23" s="189" t="str">
        <f t="shared" si="153"/>
        <v/>
      </c>
      <c r="GC23" s="206" t="str">
        <f t="shared" si="30"/>
        <v/>
      </c>
      <c r="GD23" s="205" t="str">
        <f t="shared" si="154"/>
        <v>I</v>
      </c>
      <c r="GE23" s="189" t="str">
        <f t="shared" si="31"/>
        <v>I</v>
      </c>
      <c r="GF23" s="189" t="str">
        <f t="shared" si="32"/>
        <v/>
      </c>
      <c r="GG23" s="189" t="str">
        <f t="shared" si="33"/>
        <v/>
      </c>
      <c r="GH23" s="189" t="str">
        <f t="shared" si="34"/>
        <v/>
      </c>
      <c r="GI23" s="189" t="str">
        <f t="shared" si="155"/>
        <v/>
      </c>
      <c r="GJ23" s="206" t="str">
        <f t="shared" si="35"/>
        <v/>
      </c>
      <c r="GK23" s="205" t="str">
        <f t="shared" si="156"/>
        <v/>
      </c>
      <c r="GL23" s="189" t="str">
        <f t="shared" si="36"/>
        <v/>
      </c>
      <c r="GM23" s="189" t="str">
        <f t="shared" si="37"/>
        <v/>
      </c>
      <c r="GN23" s="189" t="str">
        <f t="shared" si="38"/>
        <v/>
      </c>
      <c r="GO23" s="189" t="str">
        <f t="shared" si="39"/>
        <v/>
      </c>
      <c r="GP23" s="189" t="str">
        <f t="shared" si="157"/>
        <v/>
      </c>
      <c r="GQ23" s="206" t="str">
        <f t="shared" si="40"/>
        <v/>
      </c>
      <c r="GR23" s="189" t="str">
        <f t="shared" si="158"/>
        <v>A</v>
      </c>
      <c r="GS23" s="189" t="str">
        <f t="shared" si="159"/>
        <v>B</v>
      </c>
      <c r="GT23" s="207" t="str">
        <f t="shared" si="177"/>
        <v xml:space="preserve">    </v>
      </c>
      <c r="GU23" s="207" t="str">
        <f t="shared" si="160"/>
        <v xml:space="preserve">    </v>
      </c>
      <c r="GV23" s="207" t="str">
        <f t="shared" si="161"/>
        <v xml:space="preserve">    </v>
      </c>
      <c r="GW23" s="207" t="str">
        <f t="shared" si="162"/>
        <v xml:space="preserve">       </v>
      </c>
      <c r="GX23" s="598" t="str">
        <f t="shared" si="163"/>
        <v xml:space="preserve">     </v>
      </c>
      <c r="GY23" s="208" t="str">
        <f t="shared" si="164"/>
        <v/>
      </c>
      <c r="GZ23" s="606">
        <f>IF(AND(Q23="",AE23="",AZ23="",BW23="",CT23=""),"",IF(AND('Master Sheet'!$D$19="YES",'Marks Entry'!$BA$1=1),SUM(Q23,AE23,AZ23,BW23,DT23),SUM(Q23,AE23,AZ23,BW23,CT23)))</f>
        <v>578</v>
      </c>
      <c r="HA23" s="209">
        <f>IF(GZ23="","",IF(AND('Master Sheet'!$D$19="YES",'Marks Entry'!$BA$1=1),GZ23/((900)-DC23)*100,GZ23/((1000)-DC23)*100))</f>
        <v>57.8</v>
      </c>
      <c r="HB23" s="611" t="str">
        <f t="shared" si="165"/>
        <v/>
      </c>
      <c r="HC23" s="609" t="str">
        <f t="shared" si="166"/>
        <v/>
      </c>
      <c r="HD23" s="610" t="str">
        <f t="shared" si="167"/>
        <v/>
      </c>
      <c r="HE23" s="210" t="str">
        <f>IFERROR(IF(OR(GY23="SUPPLEMENTARY",GY23="RE-EXAM"),'Supp. Result Entry'!AS22,""),"")</f>
        <v/>
      </c>
      <c r="HF23" s="613" t="str">
        <f t="shared" si="168"/>
        <v/>
      </c>
      <c r="HG23" s="598" t="str">
        <f t="shared" si="169"/>
        <v/>
      </c>
      <c r="HH23" s="598" t="str">
        <f>IF(AND(HE23="",HF23="",HG23=""),"",IF(OR(GY23="SUPPLEMENTARY",GY23="RE-EXAM"),'Supp. Result Entry'!AS22,GY23))</f>
        <v/>
      </c>
      <c r="HI23" s="180"/>
      <c r="HY23" s="212" t="str">
        <f>IF('Supp. Result Entry'!U22="","",'Supp. Result Entry'!$U$6)</f>
        <v/>
      </c>
      <c r="HZ23" s="213" t="str">
        <f>IF('Supp. Result Entry'!X22="","",'Supp. Result Entry'!$X$6)</f>
        <v/>
      </c>
      <c r="IA23" s="213" t="str">
        <f>IF('Supp. Result Entry'!AA22="","",'Supp. Result Entry'!$AA$6)</f>
        <v/>
      </c>
      <c r="IB23" s="213" t="str">
        <f>IF('Supp. Result Entry'!AD22="","",'Supp. Result Entry'!$AD$6)</f>
        <v/>
      </c>
      <c r="IC23" s="213" t="str">
        <f>IF('Supp. Result Entry'!AG22="","",'Supp. Result Entry'!$AG$6)</f>
        <v/>
      </c>
      <c r="ID23" s="213" t="str">
        <f>IF('Supp. Result Entry'!AJ22="","",'Supp. Result Entry'!$AJ$6)</f>
        <v/>
      </c>
      <c r="IE23" s="213" t="str">
        <f>IF('Supp. Result Entry'!V22="","",'Supp. Result Entry'!V22)</f>
        <v/>
      </c>
      <c r="IF23" s="213" t="str">
        <f>IF('Supp. Result Entry'!Y22="","",'Supp. Result Entry'!Y22)</f>
        <v/>
      </c>
      <c r="IG23" s="213" t="str">
        <f>IF('Supp. Result Entry'!AB22="","",'Supp. Result Entry'!AB22)</f>
        <v/>
      </c>
      <c r="IH23" s="213" t="str">
        <f>IF('Supp. Result Entry'!AE22="","",'Supp. Result Entry'!AE22)</f>
        <v/>
      </c>
      <c r="II23" s="213" t="str">
        <f>IF('Supp. Result Entry'!AH22="","",'Supp. Result Entry'!AH22)</f>
        <v/>
      </c>
      <c r="IJ23" s="213" t="str">
        <f>IF('Supp. Result Entry'!AK22="","",'Supp. Result Entry'!AK22)</f>
        <v/>
      </c>
      <c r="IK23" s="213" t="str">
        <f>IF('Supp. Result Entry'!W22="","",'Supp. Result Entry'!W22)</f>
        <v/>
      </c>
      <c r="IL23" s="213" t="str">
        <f>IF('Supp. Result Entry'!Z22="","",'Supp. Result Entry'!Z22)</f>
        <v/>
      </c>
      <c r="IM23" s="213" t="str">
        <f>IF('Supp. Result Entry'!AC22="","",'Supp. Result Entry'!AC22)</f>
        <v/>
      </c>
      <c r="IN23" s="213" t="str">
        <f>IF('Supp. Result Entry'!AF22="","",'Supp. Result Entry'!AF22)</f>
        <v/>
      </c>
      <c r="IO23" s="213" t="str">
        <f>IF('Supp. Result Entry'!AI22="","",'Supp. Result Entry'!AI22)</f>
        <v/>
      </c>
      <c r="IP23" s="213" t="str">
        <f>IF('Supp. Result Entry'!AL22="","",'Supp. Result Entry'!AL22)</f>
        <v/>
      </c>
      <c r="IQ23" s="213">
        <f>COUNTIF('Supp. Result Entry'!K22:Q22,"S")</f>
        <v>0</v>
      </c>
      <c r="IR23" s="213">
        <f t="shared" si="170"/>
        <v>0</v>
      </c>
      <c r="IS23" s="213">
        <f t="shared" si="171"/>
        <v>0</v>
      </c>
      <c r="IT23" s="213" t="str">
        <f t="shared" si="41"/>
        <v/>
      </c>
      <c r="IU23" s="213" t="str">
        <f t="shared" si="42"/>
        <v/>
      </c>
      <c r="IV23" s="213" t="str">
        <f t="shared" si="43"/>
        <v/>
      </c>
      <c r="IW23" s="213" t="str">
        <f t="shared" si="44"/>
        <v/>
      </c>
      <c r="IX23" s="213" t="str">
        <f t="shared" si="45"/>
        <v/>
      </c>
      <c r="IY23" s="213" t="str">
        <f t="shared" si="172"/>
        <v/>
      </c>
      <c r="IZ23" s="213" t="str">
        <f t="shared" si="173"/>
        <v/>
      </c>
      <c r="JA23" s="213" t="str">
        <f t="shared" si="46"/>
        <v/>
      </c>
      <c r="JB23" s="211" t="str">
        <f t="shared" si="174"/>
        <v/>
      </c>
    </row>
    <row r="24" spans="1:262" s="211" customFormat="1" ht="21" customHeight="1">
      <c r="A24" s="184">
        <v>17</v>
      </c>
      <c r="B24" s="185" t="str">
        <f>IF('Marks Entry'!B24="","",'Marks Entry'!B24)</f>
        <v/>
      </c>
      <c r="C24" s="186" t="str">
        <f>IF('Marks Entry'!D24="","",'Marks Entry'!D24)</f>
        <v/>
      </c>
      <c r="D24" s="187" t="str">
        <f>IF('Marks Entry'!E24="","",'Marks Entry'!E24)</f>
        <v/>
      </c>
      <c r="E24" s="188" t="str">
        <f>IF('Marks Entry'!F24="","",'Marks Entry'!F24)</f>
        <v/>
      </c>
      <c r="F24" s="188" t="str">
        <f>IF('Marks Entry'!G24="","",'Marks Entry'!G24)</f>
        <v/>
      </c>
      <c r="G24" s="188" t="str">
        <f>IF('Marks Entry'!H24="","",'Marks Entry'!H24)</f>
        <v/>
      </c>
      <c r="H24" s="189" t="str">
        <f>IF('Marks Entry'!I24="","",'Marks Entry'!I24)</f>
        <v/>
      </c>
      <c r="I24" s="190" t="str">
        <f>IF('Marks Entry'!J24="","",'Marks Entry'!J24)</f>
        <v/>
      </c>
      <c r="J24" s="545">
        <f>IF('Marks Entry'!K24="","",'Marks Entry'!K24)</f>
        <v>10</v>
      </c>
      <c r="K24" s="545">
        <f>IF('Marks Entry'!L24="","",'Marks Entry'!L24)</f>
        <v>8</v>
      </c>
      <c r="L24" s="545">
        <f>IF('Marks Entry'!M24="","",'Marks Entry'!M24)</f>
        <v>8</v>
      </c>
      <c r="M24" s="546">
        <f t="shared" si="47"/>
        <v>26</v>
      </c>
      <c r="N24" s="545">
        <f>IF('Marks Entry'!N24="","",'Marks Entry'!N24)</f>
        <v>24</v>
      </c>
      <c r="O24" s="546">
        <f t="shared" si="48"/>
        <v>50</v>
      </c>
      <c r="P24" s="545">
        <f>IF('Marks Entry'!O24="","",'Marks Entry'!O24)</f>
        <v>52</v>
      </c>
      <c r="Q24" s="547">
        <f t="shared" si="49"/>
        <v>102</v>
      </c>
      <c r="R24" s="153">
        <f t="shared" si="50"/>
        <v>0</v>
      </c>
      <c r="S24" s="153">
        <f t="shared" si="51"/>
        <v>0</v>
      </c>
      <c r="T24" s="154">
        <f t="shared" si="52"/>
        <v>200</v>
      </c>
      <c r="U24" s="153" t="str">
        <f t="shared" si="53"/>
        <v/>
      </c>
      <c r="V24" s="153" t="str">
        <f t="shared" si="54"/>
        <v/>
      </c>
      <c r="W24" s="153" t="str">
        <f t="shared" si="55"/>
        <v/>
      </c>
      <c r="X24" s="545">
        <f>IF('Marks Entry'!P24="","",'Marks Entry'!P24)</f>
        <v>7</v>
      </c>
      <c r="Y24" s="545">
        <f>IF('Marks Entry'!Q24="","",'Marks Entry'!Q24)</f>
        <v>10</v>
      </c>
      <c r="Z24" s="545">
        <f>IF('Marks Entry'!R24="","",'Marks Entry'!R24)</f>
        <v>9</v>
      </c>
      <c r="AA24" s="546">
        <f t="shared" si="56"/>
        <v>26</v>
      </c>
      <c r="AB24" s="545">
        <f>IF('Marks Entry'!S24="","",'Marks Entry'!S24)</f>
        <v>14</v>
      </c>
      <c r="AC24" s="546">
        <f t="shared" si="57"/>
        <v>40</v>
      </c>
      <c r="AD24" s="545">
        <f>IF('Marks Entry'!T24="","",'Marks Entry'!T24)</f>
        <v>64</v>
      </c>
      <c r="AE24" s="547">
        <f t="shared" si="58"/>
        <v>104</v>
      </c>
      <c r="AF24" s="153">
        <f t="shared" si="59"/>
        <v>0</v>
      </c>
      <c r="AG24" s="153">
        <f t="shared" si="60"/>
        <v>0</v>
      </c>
      <c r="AH24" s="154">
        <f t="shared" si="61"/>
        <v>200</v>
      </c>
      <c r="AI24" s="153" t="str">
        <f t="shared" si="62"/>
        <v/>
      </c>
      <c r="AJ24" s="153" t="str">
        <f t="shared" si="63"/>
        <v/>
      </c>
      <c r="AK24" s="153" t="str">
        <f t="shared" si="64"/>
        <v/>
      </c>
      <c r="AL24" s="573" t="str">
        <f>IF('Marks Entry'!U24="","",'Marks Entry'!U24)</f>
        <v>B</v>
      </c>
      <c r="AM24" s="573">
        <f>IF('Marks Entry'!V24="","",'Marks Entry'!V24)</f>
        <v>6</v>
      </c>
      <c r="AN24" s="573">
        <f>IF('Marks Entry'!W24="","",'Marks Entry'!W24)</f>
        <v>9</v>
      </c>
      <c r="AO24" s="573">
        <f>IF('Marks Entry'!X24="","",'Marks Entry'!X24)</f>
        <v>7</v>
      </c>
      <c r="AP24" s="572">
        <f t="shared" si="65"/>
        <v>22</v>
      </c>
      <c r="AQ24" s="573">
        <f>IF('Marks Entry'!Y24="","",'Marks Entry'!Y24)</f>
        <v>22</v>
      </c>
      <c r="AR24" s="573">
        <f>IF('Marks Entry'!Z24="","",'Marks Entry'!Z24)</f>
        <v>10</v>
      </c>
      <c r="AS24" s="572">
        <f t="shared" si="66"/>
        <v>32</v>
      </c>
      <c r="AT24" s="572">
        <f t="shared" si="67"/>
        <v>54</v>
      </c>
      <c r="AU24" s="573">
        <f>IF('Marks Entry'!AA24="","",'Marks Entry'!AA24)</f>
        <v>26</v>
      </c>
      <c r="AV24" s="573">
        <f>IF('Marks Entry'!AB24="","",'Marks Entry'!AB24)</f>
        <v>27</v>
      </c>
      <c r="AW24" s="572">
        <f t="shared" si="68"/>
        <v>53</v>
      </c>
      <c r="AX24" s="157">
        <f t="shared" si="69"/>
        <v>70</v>
      </c>
      <c r="AY24" s="157">
        <f t="shared" si="70"/>
        <v>37</v>
      </c>
      <c r="AZ24" s="192">
        <f t="shared" si="71"/>
        <v>107</v>
      </c>
      <c r="BA24" s="153">
        <f t="shared" si="72"/>
        <v>0</v>
      </c>
      <c r="BB24" s="154">
        <f t="shared" si="73"/>
        <v>0</v>
      </c>
      <c r="BC24" s="154">
        <f t="shared" si="74"/>
        <v>70</v>
      </c>
      <c r="BD24" s="154">
        <f t="shared" si="75"/>
        <v>50</v>
      </c>
      <c r="BE24" s="154">
        <f t="shared" si="76"/>
        <v>150</v>
      </c>
      <c r="BF24" s="153" t="str">
        <f t="shared" si="77"/>
        <v/>
      </c>
      <c r="BG24" s="154" t="str">
        <f t="shared" si="175"/>
        <v>P</v>
      </c>
      <c r="BH24" s="153" t="str">
        <f t="shared" si="78"/>
        <v>II</v>
      </c>
      <c r="BI24" s="580" t="str">
        <f>IF('Marks Entry'!AC24="","",'Marks Entry'!AC24)</f>
        <v>A</v>
      </c>
      <c r="BJ24" s="580">
        <f>IF('Marks Entry'!AD24="","",'Marks Entry'!AD24)</f>
        <v>12</v>
      </c>
      <c r="BK24" s="580">
        <f>IF('Marks Entry'!AE24="","",'Marks Entry'!AE24)</f>
        <v>13</v>
      </c>
      <c r="BL24" s="580" t="str">
        <f>IF('Marks Entry'!AF24="","",'Marks Entry'!AF24)</f>
        <v/>
      </c>
      <c r="BM24" s="581">
        <f t="shared" si="79"/>
        <v>25</v>
      </c>
      <c r="BN24" s="580">
        <f>IF('Marks Entry'!AG24="","",'Marks Entry'!AG24)</f>
        <v>41</v>
      </c>
      <c r="BO24" s="580" t="str">
        <f>IF('Marks Entry'!AH24="","",'Marks Entry'!AH24)</f>
        <v/>
      </c>
      <c r="BP24" s="581">
        <f t="shared" si="80"/>
        <v>41</v>
      </c>
      <c r="BQ24" s="581">
        <f t="shared" si="81"/>
        <v>66</v>
      </c>
      <c r="BR24" s="580">
        <f>IF('Marks Entry'!AI24="","",'Marks Entry'!AI24)</f>
        <v>46</v>
      </c>
      <c r="BS24" s="580" t="str">
        <f>IF('Marks Entry'!AJ24="","",'Marks Entry'!AJ24)</f>
        <v/>
      </c>
      <c r="BT24" s="581">
        <f t="shared" si="82"/>
        <v>46</v>
      </c>
      <c r="BU24" s="157">
        <f t="shared" si="83"/>
        <v>112</v>
      </c>
      <c r="BV24" s="157" t="str">
        <f t="shared" si="84"/>
        <v/>
      </c>
      <c r="BW24" s="192">
        <f t="shared" si="85"/>
        <v>112</v>
      </c>
      <c r="BX24" s="153">
        <f t="shared" si="86"/>
        <v>0</v>
      </c>
      <c r="BY24" s="154">
        <f t="shared" si="87"/>
        <v>0</v>
      </c>
      <c r="BZ24" s="154">
        <f t="shared" si="88"/>
        <v>100</v>
      </c>
      <c r="CA24" s="154" t="str">
        <f t="shared" si="89"/>
        <v/>
      </c>
      <c r="CB24" s="154">
        <f t="shared" si="90"/>
        <v>200</v>
      </c>
      <c r="CC24" s="153" t="str">
        <f t="shared" si="91"/>
        <v/>
      </c>
      <c r="CD24" s="154" t="str">
        <f t="shared" si="92"/>
        <v>P</v>
      </c>
      <c r="CE24" s="153" t="str">
        <f t="shared" si="93"/>
        <v>II</v>
      </c>
      <c r="CF24" s="580" t="str">
        <f>IF('Marks Entry'!AK24="","",'Marks Entry'!AK24)</f>
        <v>A</v>
      </c>
      <c r="CG24" s="580">
        <f>IF('Marks Entry'!AL24="","",'Marks Entry'!AL24)</f>
        <v>11</v>
      </c>
      <c r="CH24" s="580">
        <f>IF('Marks Entry'!AM24="","",'Marks Entry'!AM24)</f>
        <v>9</v>
      </c>
      <c r="CI24" s="580">
        <f>IF('Marks Entry'!AN24="","",'Marks Entry'!AN24)</f>
        <v>9</v>
      </c>
      <c r="CJ24" s="581">
        <f t="shared" si="94"/>
        <v>29</v>
      </c>
      <c r="CK24" s="580">
        <f>IF('Marks Entry'!AO24="","",'Marks Entry'!AO24)</f>
        <v>30</v>
      </c>
      <c r="CL24" s="580">
        <f>IF('Marks Entry'!AP24="","",'Marks Entry'!AP24)</f>
        <v>10</v>
      </c>
      <c r="CM24" s="581">
        <f t="shared" si="95"/>
        <v>40</v>
      </c>
      <c r="CN24" s="581">
        <f t="shared" si="96"/>
        <v>69</v>
      </c>
      <c r="CO24" s="580">
        <f>IF('Marks Entry'!AQ24="","",'Marks Entry'!AQ24)</f>
        <v>41</v>
      </c>
      <c r="CP24" s="580">
        <f>IF('Marks Entry'!AR24="","",'Marks Entry'!AR24)</f>
        <v>25</v>
      </c>
      <c r="CQ24" s="581">
        <f t="shared" si="97"/>
        <v>66</v>
      </c>
      <c r="CR24" s="157">
        <f t="shared" si="98"/>
        <v>100</v>
      </c>
      <c r="CS24" s="157">
        <f t="shared" si="99"/>
        <v>35</v>
      </c>
      <c r="CT24" s="192">
        <f t="shared" si="100"/>
        <v>135</v>
      </c>
      <c r="CU24" s="153">
        <f t="shared" si="101"/>
        <v>0</v>
      </c>
      <c r="CV24" s="154">
        <f t="shared" si="102"/>
        <v>0</v>
      </c>
      <c r="CW24" s="154">
        <f t="shared" si="103"/>
        <v>70</v>
      </c>
      <c r="CX24" s="154">
        <f t="shared" si="104"/>
        <v>50</v>
      </c>
      <c r="CY24" s="154">
        <f t="shared" si="176"/>
        <v>150</v>
      </c>
      <c r="CZ24" s="153" t="str">
        <f t="shared" si="105"/>
        <v/>
      </c>
      <c r="DA24" s="154" t="str">
        <f t="shared" si="106"/>
        <v>P</v>
      </c>
      <c r="DB24" s="153" t="str">
        <f t="shared" si="107"/>
        <v>I</v>
      </c>
      <c r="DC24" s="154">
        <f t="shared" si="108"/>
        <v>0</v>
      </c>
      <c r="DD24" s="826" t="str">
        <f>IF('Marks Entry'!AS24="","",IF(OR('Master Sheet'!$D$19="YES",'Marks Entry'!$BA$1=1),'Marks Entry'!AS24,""))</f>
        <v/>
      </c>
      <c r="DE24" s="826" t="str">
        <f>IF('Marks Entry'!AT24="","",IF(OR('Master Sheet'!$D$19="YES",'Marks Entry'!$BA$1=1),'Marks Entry'!AT24,""))</f>
        <v/>
      </c>
      <c r="DF24" s="826" t="str">
        <f>IF('Marks Entry'!AU24="","",IF(OR('Master Sheet'!$D$19="YES",'Marks Entry'!$BA$1=1),'Marks Entry'!AU24,""))</f>
        <v/>
      </c>
      <c r="DG24" s="826" t="str">
        <f>IF('Marks Entry'!AV24="","",IF(OR('Master Sheet'!$D$19="YES",'Marks Entry'!$BA$1=1),'Marks Entry'!AV24,""))</f>
        <v/>
      </c>
      <c r="DH24" s="827" t="str">
        <f t="shared" si="109"/>
        <v/>
      </c>
      <c r="DI24" s="826" t="str">
        <f>IF('Marks Entry'!AW24="","",IF(OR('Master Sheet'!$D$19="YES",'Marks Entry'!$BA$1=1),'Marks Entry'!AW24,""))</f>
        <v/>
      </c>
      <c r="DJ24" s="826" t="str">
        <f>IF('Marks Entry'!AX24="","",IF(OR('Master Sheet'!$D$19="YES",'Marks Entry'!$BA$1=1),'Marks Entry'!AX24,""))</f>
        <v/>
      </c>
      <c r="DK24" s="827" t="str">
        <f t="shared" si="110"/>
        <v/>
      </c>
      <c r="DL24" s="827" t="str">
        <f t="shared" si="111"/>
        <v/>
      </c>
      <c r="DM24" s="826" t="str">
        <f>IF('Marks Entry'!AY24="","",IF(OR('Master Sheet'!$D$19="YES",'Marks Entry'!$BA$1=1),'Marks Entry'!AY24,""))</f>
        <v/>
      </c>
      <c r="DN24" s="826" t="str">
        <f>IF('Marks Entry'!AZ24="","",IF(OR('Master Sheet'!$D$19="YES",'Marks Entry'!$BA$1=1),'Marks Entry'!AZ24,""))</f>
        <v/>
      </c>
      <c r="DO24" s="826" t="str">
        <f>IF('Marks Entry'!BA24="","",IF(OR('Master Sheet'!$D$19="YES",'Marks Entry'!$BA$1=1),'Marks Entry'!BA24,""))</f>
        <v/>
      </c>
      <c r="DP24" s="827" t="str">
        <f t="shared" si="112"/>
        <v/>
      </c>
      <c r="DQ24" s="157" t="str">
        <f t="shared" si="113"/>
        <v/>
      </c>
      <c r="DR24" s="157" t="str">
        <f t="shared" si="114"/>
        <v/>
      </c>
      <c r="DS24" s="157" t="str">
        <f t="shared" si="115"/>
        <v/>
      </c>
      <c r="DT24" s="192" t="str">
        <f t="shared" si="116"/>
        <v/>
      </c>
      <c r="DU24" s="153">
        <f t="shared" si="117"/>
        <v>0</v>
      </c>
      <c r="DV24" s="154" t="e">
        <f t="shared" si="118"/>
        <v>#VALUE!</v>
      </c>
      <c r="DW24" s="154" t="str">
        <f t="shared" si="119"/>
        <v/>
      </c>
      <c r="DX24" s="154" t="str">
        <f>IF(OR($B24="NSO",$B24=0,DS24=""),"",IF(AND(DJ24="",DO24=""),"",IF('Master Sheet'!$D$19="YES",$DO$6-COUNTIF(DO24,"ML")*DO$6,DS$6-(COUNTIF(DJ24,"ML")*DJ$6)-(COUNTIF(DO24,"ML")*DO$6))))</f>
        <v/>
      </c>
      <c r="DY24" s="154" t="str">
        <f>IF(OR($B24="NSO",$B24=0),"",IF(AND(DH24="",DI24="",DM24=""),"",IF(AND('Master Sheet'!$D$19="YES",'Marks Entry'!$BA$1=1),100,IF(AND(DJ24="",DO24=""),SUM(($DQ$7+$DR$7)-(DU24+DV24)),SUM(($DQ$6+$DR$6)-(DU24+DV24))))))</f>
        <v/>
      </c>
      <c r="DZ24" s="153" t="str">
        <f t="shared" si="120"/>
        <v/>
      </c>
      <c r="EA24" s="154" t="str">
        <f t="shared" si="121"/>
        <v/>
      </c>
      <c r="EB24" s="153" t="str">
        <f t="shared" si="122"/>
        <v/>
      </c>
      <c r="EC24" s="584">
        <f>IF('Marks Entry'!BB24="","",'Marks Entry'!BB24)</f>
        <v>24</v>
      </c>
      <c r="ED24" s="584">
        <f>IF('Marks Entry'!BC24="","",'Marks Entry'!BC24)</f>
        <v>25</v>
      </c>
      <c r="EE24" s="584">
        <f>IF('Marks Entry'!BD24="","",'Marks Entry'!BD24)</f>
        <v>32</v>
      </c>
      <c r="EF24" s="590">
        <f t="shared" si="123"/>
        <v>81</v>
      </c>
      <c r="EG24" s="595">
        <f t="shared" si="124"/>
        <v>0</v>
      </c>
      <c r="EH24" s="595">
        <f t="shared" si="125"/>
        <v>0</v>
      </c>
      <c r="EI24" s="193">
        <f t="shared" si="126"/>
        <v>100</v>
      </c>
      <c r="EJ24" s="595" t="str">
        <f t="shared" si="127"/>
        <v/>
      </c>
      <c r="EK24" s="595" t="str">
        <f t="shared" si="128"/>
        <v>A</v>
      </c>
      <c r="EL24" s="194" t="str">
        <f t="shared" si="129"/>
        <v/>
      </c>
      <c r="EM24" s="194" t="str">
        <f t="shared" si="130"/>
        <v/>
      </c>
      <c r="EN24" s="194" t="str">
        <f t="shared" si="131"/>
        <v>II</v>
      </c>
      <c r="EO24" s="194" t="str">
        <f t="shared" si="132"/>
        <v>II</v>
      </c>
      <c r="EP24" s="194" t="str">
        <f t="shared" si="133"/>
        <v>I</v>
      </c>
      <c r="EQ24" s="194" t="str">
        <f t="shared" si="134"/>
        <v/>
      </c>
      <c r="ER24" s="195">
        <f t="shared" si="135"/>
        <v>0</v>
      </c>
      <c r="ES24" s="195">
        <f t="shared" si="136"/>
        <v>0</v>
      </c>
      <c r="ET24" s="195">
        <f t="shared" si="137"/>
        <v>0</v>
      </c>
      <c r="EU24" s="195">
        <f t="shared" si="138"/>
        <v>0</v>
      </c>
      <c r="EV24" s="195">
        <f t="shared" si="139"/>
        <v>0</v>
      </c>
      <c r="EW24" s="195" t="str">
        <f t="shared" si="140"/>
        <v/>
      </c>
      <c r="EX24" s="196" t="str">
        <f t="shared" si="141"/>
        <v/>
      </c>
      <c r="EY24" s="197">
        <f>IF('Marks Entry'!BE24="","",'Marks Entry'!BE24)</f>
        <v>8</v>
      </c>
      <c r="EZ24" s="197">
        <f>IF('Marks Entry'!BF24="","",'Marks Entry'!BF24)</f>
        <v>8</v>
      </c>
      <c r="FA24" s="197">
        <f>IF('Marks Entry'!BG24="","",'Marks Entry'!BG24)</f>
        <v>8</v>
      </c>
      <c r="FB24" s="596">
        <f t="shared" si="142"/>
        <v>24</v>
      </c>
      <c r="FC24" s="197">
        <f>IF('Marks Entry'!BH24="","",'Marks Entry'!BH24)</f>
        <v>50</v>
      </c>
      <c r="FD24" s="197">
        <f>IF('Marks Entry'!BI24="","",'Marks Entry'!BI24)</f>
        <v>68</v>
      </c>
      <c r="FE24" s="198">
        <f t="shared" si="143"/>
        <v>142</v>
      </c>
      <c r="FF24" s="199" t="str">
        <f t="shared" si="144"/>
        <v>B</v>
      </c>
      <c r="FG24" s="200" t="str">
        <f>IF(AND(E24=""),"",IF('Student DATA Entry'!L20="","",'Student DATA Entry'!L20))</f>
        <v/>
      </c>
      <c r="FH24" s="201" t="str">
        <f>IF(AND(E24=""),"",IF('Student DATA Entry'!M20="","",'Student DATA Entry'!M20))</f>
        <v/>
      </c>
      <c r="FI24" s="202" t="str">
        <f t="shared" si="145"/>
        <v/>
      </c>
      <c r="FJ24" s="189" t="str">
        <f t="shared" si="146"/>
        <v/>
      </c>
      <c r="FK24" s="189" t="str">
        <f t="shared" si="147"/>
        <v/>
      </c>
      <c r="FL24" s="203" t="str">
        <f t="shared" si="19"/>
        <v/>
      </c>
      <c r="FM24" s="189" t="str">
        <f t="shared" si="148"/>
        <v/>
      </c>
      <c r="FN24" s="204" t="str">
        <f t="shared" si="149"/>
        <v/>
      </c>
      <c r="FO24" s="203" t="str">
        <f t="shared" si="20"/>
        <v/>
      </c>
      <c r="FP24" s="205" t="str">
        <f t="shared" si="150"/>
        <v>II</v>
      </c>
      <c r="FQ24" s="189" t="str">
        <f t="shared" si="21"/>
        <v/>
      </c>
      <c r="FR24" s="189" t="str">
        <f t="shared" si="22"/>
        <v>II</v>
      </c>
      <c r="FS24" s="189" t="str">
        <f t="shared" si="23"/>
        <v/>
      </c>
      <c r="FT24" s="189" t="str">
        <f t="shared" si="24"/>
        <v/>
      </c>
      <c r="FU24" s="189" t="str">
        <f t="shared" si="151"/>
        <v/>
      </c>
      <c r="FV24" s="206" t="str">
        <f t="shared" si="25"/>
        <v/>
      </c>
      <c r="FW24" s="205" t="str">
        <f t="shared" si="152"/>
        <v>II</v>
      </c>
      <c r="FX24" s="189" t="str">
        <f t="shared" si="26"/>
        <v>II</v>
      </c>
      <c r="FY24" s="189" t="str">
        <f t="shared" si="27"/>
        <v/>
      </c>
      <c r="FZ24" s="189" t="str">
        <f t="shared" si="28"/>
        <v/>
      </c>
      <c r="GA24" s="189" t="str">
        <f t="shared" si="29"/>
        <v/>
      </c>
      <c r="GB24" s="189" t="str">
        <f t="shared" si="153"/>
        <v/>
      </c>
      <c r="GC24" s="206" t="str">
        <f t="shared" si="30"/>
        <v/>
      </c>
      <c r="GD24" s="205" t="str">
        <f t="shared" si="154"/>
        <v>I</v>
      </c>
      <c r="GE24" s="189" t="str">
        <f t="shared" si="31"/>
        <v>I</v>
      </c>
      <c r="GF24" s="189" t="str">
        <f t="shared" si="32"/>
        <v/>
      </c>
      <c r="GG24" s="189" t="str">
        <f t="shared" si="33"/>
        <v/>
      </c>
      <c r="GH24" s="189" t="str">
        <f t="shared" si="34"/>
        <v/>
      </c>
      <c r="GI24" s="189" t="str">
        <f t="shared" si="155"/>
        <v/>
      </c>
      <c r="GJ24" s="206" t="str">
        <f t="shared" si="35"/>
        <v/>
      </c>
      <c r="GK24" s="205" t="str">
        <f t="shared" si="156"/>
        <v/>
      </c>
      <c r="GL24" s="189" t="str">
        <f t="shared" si="36"/>
        <v/>
      </c>
      <c r="GM24" s="189" t="str">
        <f t="shared" si="37"/>
        <v/>
      </c>
      <c r="GN24" s="189" t="str">
        <f t="shared" si="38"/>
        <v/>
      </c>
      <c r="GO24" s="189" t="str">
        <f t="shared" si="39"/>
        <v/>
      </c>
      <c r="GP24" s="189" t="str">
        <f t="shared" si="157"/>
        <v/>
      </c>
      <c r="GQ24" s="206" t="str">
        <f t="shared" si="40"/>
        <v/>
      </c>
      <c r="GR24" s="189" t="str">
        <f t="shared" si="158"/>
        <v>A</v>
      </c>
      <c r="GS24" s="189" t="str">
        <f t="shared" si="159"/>
        <v>B</v>
      </c>
      <c r="GT24" s="207" t="str">
        <f t="shared" si="177"/>
        <v xml:space="preserve">    </v>
      </c>
      <c r="GU24" s="207" t="str">
        <f t="shared" si="160"/>
        <v xml:space="preserve">    </v>
      </c>
      <c r="GV24" s="207" t="str">
        <f t="shared" si="161"/>
        <v xml:space="preserve">    </v>
      </c>
      <c r="GW24" s="207" t="str">
        <f t="shared" si="162"/>
        <v xml:space="preserve">       </v>
      </c>
      <c r="GX24" s="598" t="str">
        <f t="shared" si="163"/>
        <v xml:space="preserve">     </v>
      </c>
      <c r="GY24" s="208" t="str">
        <f t="shared" si="164"/>
        <v/>
      </c>
      <c r="GZ24" s="606">
        <f>IF(AND(Q24="",AE24="",AZ24="",BW24="",CT24=""),"",IF(AND('Master Sheet'!$D$19="YES",'Marks Entry'!$BA$1=1),SUM(Q24,AE24,AZ24,BW24,DT24),SUM(Q24,AE24,AZ24,BW24,CT24)))</f>
        <v>560</v>
      </c>
      <c r="HA24" s="209">
        <f>IF(GZ24="","",IF(AND('Master Sheet'!$D$19="YES",'Marks Entry'!$BA$1=1),GZ24/((900)-DC24)*100,GZ24/((1000)-DC24)*100))</f>
        <v>56.000000000000007</v>
      </c>
      <c r="HB24" s="611" t="str">
        <f t="shared" si="165"/>
        <v/>
      </c>
      <c r="HC24" s="609" t="str">
        <f t="shared" si="166"/>
        <v/>
      </c>
      <c r="HD24" s="610" t="str">
        <f t="shared" si="167"/>
        <v/>
      </c>
      <c r="HE24" s="210" t="str">
        <f>IFERROR(IF(OR(GY24="SUPPLEMENTARY",GY24="RE-EXAM"),'Supp. Result Entry'!AS23,""),"")</f>
        <v/>
      </c>
      <c r="HF24" s="613" t="str">
        <f t="shared" si="168"/>
        <v/>
      </c>
      <c r="HG24" s="598" t="str">
        <f t="shared" si="169"/>
        <v/>
      </c>
      <c r="HH24" s="598" t="str">
        <f>IF(AND(HE24="",HF24="",HG24=""),"",IF(OR(GY24="SUPPLEMENTARY",GY24="RE-EXAM"),'Supp. Result Entry'!AS23,GY24))</f>
        <v/>
      </c>
      <c r="HI24" s="180"/>
      <c r="HY24" s="212" t="str">
        <f>IF('Supp. Result Entry'!U23="","",'Supp. Result Entry'!$U$6)</f>
        <v/>
      </c>
      <c r="HZ24" s="213" t="str">
        <f>IF('Supp. Result Entry'!X23="","",'Supp. Result Entry'!$X$6)</f>
        <v/>
      </c>
      <c r="IA24" s="213" t="str">
        <f>IF('Supp. Result Entry'!AA23="","",'Supp. Result Entry'!$AA$6)</f>
        <v/>
      </c>
      <c r="IB24" s="213" t="str">
        <f>IF('Supp. Result Entry'!AD23="","",'Supp. Result Entry'!$AD$6)</f>
        <v/>
      </c>
      <c r="IC24" s="213" t="str">
        <f>IF('Supp. Result Entry'!AG23="","",'Supp. Result Entry'!$AG$6)</f>
        <v/>
      </c>
      <c r="ID24" s="213" t="str">
        <f>IF('Supp. Result Entry'!AJ23="","",'Supp. Result Entry'!$AJ$6)</f>
        <v/>
      </c>
      <c r="IE24" s="213" t="str">
        <f>IF('Supp. Result Entry'!V23="","",'Supp. Result Entry'!V23)</f>
        <v/>
      </c>
      <c r="IF24" s="213" t="str">
        <f>IF('Supp. Result Entry'!Y23="","",'Supp. Result Entry'!Y23)</f>
        <v/>
      </c>
      <c r="IG24" s="213" t="str">
        <f>IF('Supp. Result Entry'!AB23="","",'Supp. Result Entry'!AB23)</f>
        <v/>
      </c>
      <c r="IH24" s="213" t="str">
        <f>IF('Supp. Result Entry'!AE23="","",'Supp. Result Entry'!AE23)</f>
        <v/>
      </c>
      <c r="II24" s="213" t="str">
        <f>IF('Supp. Result Entry'!AH23="","",'Supp. Result Entry'!AH23)</f>
        <v/>
      </c>
      <c r="IJ24" s="213" t="str">
        <f>IF('Supp. Result Entry'!AK23="","",'Supp. Result Entry'!AK23)</f>
        <v/>
      </c>
      <c r="IK24" s="213" t="str">
        <f>IF('Supp. Result Entry'!W23="","",'Supp. Result Entry'!W23)</f>
        <v/>
      </c>
      <c r="IL24" s="213" t="str">
        <f>IF('Supp. Result Entry'!Z23="","",'Supp. Result Entry'!Z23)</f>
        <v/>
      </c>
      <c r="IM24" s="213" t="str">
        <f>IF('Supp. Result Entry'!AC23="","",'Supp. Result Entry'!AC23)</f>
        <v/>
      </c>
      <c r="IN24" s="213" t="str">
        <f>IF('Supp. Result Entry'!AF23="","",'Supp. Result Entry'!AF23)</f>
        <v/>
      </c>
      <c r="IO24" s="213" t="str">
        <f>IF('Supp. Result Entry'!AI23="","",'Supp. Result Entry'!AI23)</f>
        <v/>
      </c>
      <c r="IP24" s="213" t="str">
        <f>IF('Supp. Result Entry'!AL23="","",'Supp. Result Entry'!AL23)</f>
        <v/>
      </c>
      <c r="IQ24" s="213">
        <f>COUNTIF('Supp. Result Entry'!K23:Q23,"S")</f>
        <v>0</v>
      </c>
      <c r="IR24" s="213">
        <f t="shared" si="170"/>
        <v>0</v>
      </c>
      <c r="IS24" s="213">
        <f t="shared" si="171"/>
        <v>0</v>
      </c>
      <c r="IT24" s="213" t="str">
        <f t="shared" si="41"/>
        <v/>
      </c>
      <c r="IU24" s="213" t="str">
        <f t="shared" si="42"/>
        <v/>
      </c>
      <c r="IV24" s="213" t="str">
        <f t="shared" si="43"/>
        <v/>
      </c>
      <c r="IW24" s="213" t="str">
        <f t="shared" si="44"/>
        <v/>
      </c>
      <c r="IX24" s="213" t="str">
        <f t="shared" si="45"/>
        <v/>
      </c>
      <c r="IY24" s="213" t="str">
        <f t="shared" si="172"/>
        <v/>
      </c>
      <c r="IZ24" s="213" t="str">
        <f t="shared" si="173"/>
        <v/>
      </c>
      <c r="JA24" s="213" t="str">
        <f t="shared" si="46"/>
        <v/>
      </c>
      <c r="JB24" s="211" t="str">
        <f t="shared" si="174"/>
        <v/>
      </c>
    </row>
    <row r="25" spans="1:262" s="211" customFormat="1" ht="21" customHeight="1">
      <c r="A25" s="184">
        <v>18</v>
      </c>
      <c r="B25" s="185" t="str">
        <f>IF('Marks Entry'!B25="","",'Marks Entry'!B25)</f>
        <v/>
      </c>
      <c r="C25" s="186" t="str">
        <f>IF('Marks Entry'!D25="","",'Marks Entry'!D25)</f>
        <v/>
      </c>
      <c r="D25" s="187" t="str">
        <f>IF('Marks Entry'!E25="","",'Marks Entry'!E25)</f>
        <v/>
      </c>
      <c r="E25" s="188" t="str">
        <f>IF('Marks Entry'!F25="","",'Marks Entry'!F25)</f>
        <v/>
      </c>
      <c r="F25" s="188" t="str">
        <f>IF('Marks Entry'!G25="","",'Marks Entry'!G25)</f>
        <v/>
      </c>
      <c r="G25" s="188" t="str">
        <f>IF('Marks Entry'!H25="","",'Marks Entry'!H25)</f>
        <v/>
      </c>
      <c r="H25" s="189" t="str">
        <f>IF('Marks Entry'!I25="","",'Marks Entry'!I25)</f>
        <v/>
      </c>
      <c r="I25" s="190" t="str">
        <f>IF('Marks Entry'!J25="","",'Marks Entry'!J25)</f>
        <v/>
      </c>
      <c r="J25" s="545">
        <f>IF('Marks Entry'!K25="","",'Marks Entry'!K25)</f>
        <v>10</v>
      </c>
      <c r="K25" s="545">
        <f>IF('Marks Entry'!L25="","",'Marks Entry'!L25)</f>
        <v>9</v>
      </c>
      <c r="L25" s="545">
        <f>IF('Marks Entry'!M25="","",'Marks Entry'!M25)</f>
        <v>8</v>
      </c>
      <c r="M25" s="546">
        <f t="shared" si="47"/>
        <v>27</v>
      </c>
      <c r="N25" s="545">
        <f>IF('Marks Entry'!N25="","",'Marks Entry'!N25)</f>
        <v>26</v>
      </c>
      <c r="O25" s="546">
        <f t="shared" si="48"/>
        <v>53</v>
      </c>
      <c r="P25" s="545">
        <f>IF('Marks Entry'!O25="","",'Marks Entry'!O25)</f>
        <v>54</v>
      </c>
      <c r="Q25" s="547">
        <f t="shared" si="49"/>
        <v>107</v>
      </c>
      <c r="R25" s="153">
        <f t="shared" si="50"/>
        <v>0</v>
      </c>
      <c r="S25" s="153">
        <f t="shared" si="51"/>
        <v>0</v>
      </c>
      <c r="T25" s="154">
        <f t="shared" si="52"/>
        <v>200</v>
      </c>
      <c r="U25" s="153" t="str">
        <f t="shared" si="53"/>
        <v/>
      </c>
      <c r="V25" s="153" t="str">
        <f t="shared" si="54"/>
        <v/>
      </c>
      <c r="W25" s="153" t="str">
        <f t="shared" si="55"/>
        <v/>
      </c>
      <c r="X25" s="545">
        <f>IF('Marks Entry'!P25="","",'Marks Entry'!P25)</f>
        <v>8</v>
      </c>
      <c r="Y25" s="545">
        <f>IF('Marks Entry'!Q25="","",'Marks Entry'!Q25)</f>
        <v>10</v>
      </c>
      <c r="Z25" s="545">
        <f>IF('Marks Entry'!R25="","",'Marks Entry'!R25)</f>
        <v>9</v>
      </c>
      <c r="AA25" s="546">
        <f t="shared" si="56"/>
        <v>27</v>
      </c>
      <c r="AB25" s="545">
        <f>IF('Marks Entry'!S25="","",'Marks Entry'!S25)</f>
        <v>18</v>
      </c>
      <c r="AC25" s="546">
        <f t="shared" si="57"/>
        <v>45</v>
      </c>
      <c r="AD25" s="545">
        <f>IF('Marks Entry'!T25="","",'Marks Entry'!T25)</f>
        <v>61</v>
      </c>
      <c r="AE25" s="547">
        <f t="shared" si="58"/>
        <v>106</v>
      </c>
      <c r="AF25" s="153">
        <f t="shared" si="59"/>
        <v>0</v>
      </c>
      <c r="AG25" s="153">
        <f t="shared" si="60"/>
        <v>0</v>
      </c>
      <c r="AH25" s="154">
        <f t="shared" si="61"/>
        <v>200</v>
      </c>
      <c r="AI25" s="153" t="str">
        <f t="shared" si="62"/>
        <v/>
      </c>
      <c r="AJ25" s="153" t="str">
        <f t="shared" si="63"/>
        <v/>
      </c>
      <c r="AK25" s="153" t="str">
        <f t="shared" si="64"/>
        <v/>
      </c>
      <c r="AL25" s="573" t="str">
        <f>IF('Marks Entry'!U25="","",'Marks Entry'!U25)</f>
        <v>B</v>
      </c>
      <c r="AM25" s="573">
        <f>IF('Marks Entry'!V25="","",'Marks Entry'!V25)</f>
        <v>5</v>
      </c>
      <c r="AN25" s="573">
        <f>IF('Marks Entry'!W25="","",'Marks Entry'!W25)</f>
        <v>4</v>
      </c>
      <c r="AO25" s="573">
        <f>IF('Marks Entry'!X25="","",'Marks Entry'!X25)</f>
        <v>7</v>
      </c>
      <c r="AP25" s="572">
        <f t="shared" si="65"/>
        <v>16</v>
      </c>
      <c r="AQ25" s="573">
        <f>IF('Marks Entry'!Y25="","",'Marks Entry'!Y25)</f>
        <v>22</v>
      </c>
      <c r="AR25" s="573">
        <f>IF('Marks Entry'!Z25="","",'Marks Entry'!Z25)</f>
        <v>10</v>
      </c>
      <c r="AS25" s="572">
        <f t="shared" si="66"/>
        <v>32</v>
      </c>
      <c r="AT25" s="572">
        <f t="shared" si="67"/>
        <v>48</v>
      </c>
      <c r="AU25" s="573">
        <f>IF('Marks Entry'!AA25="","",'Marks Entry'!AA25)</f>
        <v>28</v>
      </c>
      <c r="AV25" s="573">
        <f>IF('Marks Entry'!AB25="","",'Marks Entry'!AB25)</f>
        <v>28</v>
      </c>
      <c r="AW25" s="572">
        <f t="shared" si="68"/>
        <v>56</v>
      </c>
      <c r="AX25" s="157">
        <f t="shared" si="69"/>
        <v>66</v>
      </c>
      <c r="AY25" s="157">
        <f t="shared" si="70"/>
        <v>38</v>
      </c>
      <c r="AZ25" s="192">
        <f t="shared" si="71"/>
        <v>104</v>
      </c>
      <c r="BA25" s="153">
        <f t="shared" si="72"/>
        <v>0</v>
      </c>
      <c r="BB25" s="154">
        <f t="shared" si="73"/>
        <v>0</v>
      </c>
      <c r="BC25" s="154">
        <f t="shared" si="74"/>
        <v>70</v>
      </c>
      <c r="BD25" s="154">
        <f t="shared" si="75"/>
        <v>50</v>
      </c>
      <c r="BE25" s="154">
        <f t="shared" si="76"/>
        <v>150</v>
      </c>
      <c r="BF25" s="153" t="str">
        <f t="shared" si="77"/>
        <v/>
      </c>
      <c r="BG25" s="154" t="str">
        <f t="shared" si="175"/>
        <v>P</v>
      </c>
      <c r="BH25" s="153" t="str">
        <f t="shared" si="78"/>
        <v>II</v>
      </c>
      <c r="BI25" s="580" t="str">
        <f>IF('Marks Entry'!AC25="","",'Marks Entry'!AC25)</f>
        <v>A</v>
      </c>
      <c r="BJ25" s="580">
        <f>IF('Marks Entry'!AD25="","",'Marks Entry'!AD25)</f>
        <v>13</v>
      </c>
      <c r="BK25" s="580">
        <f>IF('Marks Entry'!AE25="","",'Marks Entry'!AE25)</f>
        <v>14</v>
      </c>
      <c r="BL25" s="580" t="str">
        <f>IF('Marks Entry'!AF25="","",'Marks Entry'!AF25)</f>
        <v/>
      </c>
      <c r="BM25" s="581">
        <f t="shared" si="79"/>
        <v>27</v>
      </c>
      <c r="BN25" s="580">
        <f>IF('Marks Entry'!AG25="","",'Marks Entry'!AG25)</f>
        <v>42</v>
      </c>
      <c r="BO25" s="580" t="str">
        <f>IF('Marks Entry'!AH25="","",'Marks Entry'!AH25)</f>
        <v/>
      </c>
      <c r="BP25" s="581">
        <f t="shared" si="80"/>
        <v>42</v>
      </c>
      <c r="BQ25" s="581">
        <f t="shared" si="81"/>
        <v>69</v>
      </c>
      <c r="BR25" s="580">
        <f>IF('Marks Entry'!AI25="","",'Marks Entry'!AI25)</f>
        <v>48</v>
      </c>
      <c r="BS25" s="580" t="str">
        <f>IF('Marks Entry'!AJ25="","",'Marks Entry'!AJ25)</f>
        <v/>
      </c>
      <c r="BT25" s="581">
        <f t="shared" si="82"/>
        <v>48</v>
      </c>
      <c r="BU25" s="157">
        <f t="shared" si="83"/>
        <v>117</v>
      </c>
      <c r="BV25" s="157" t="str">
        <f t="shared" si="84"/>
        <v/>
      </c>
      <c r="BW25" s="192">
        <f t="shared" si="85"/>
        <v>117</v>
      </c>
      <c r="BX25" s="153">
        <f t="shared" si="86"/>
        <v>0</v>
      </c>
      <c r="BY25" s="154">
        <f t="shared" si="87"/>
        <v>0</v>
      </c>
      <c r="BZ25" s="154">
        <f t="shared" si="88"/>
        <v>100</v>
      </c>
      <c r="CA25" s="154" t="str">
        <f t="shared" si="89"/>
        <v/>
      </c>
      <c r="CB25" s="154">
        <f t="shared" si="90"/>
        <v>200</v>
      </c>
      <c r="CC25" s="153" t="str">
        <f t="shared" si="91"/>
        <v/>
      </c>
      <c r="CD25" s="154" t="str">
        <f t="shared" si="92"/>
        <v>P</v>
      </c>
      <c r="CE25" s="153" t="str">
        <f t="shared" si="93"/>
        <v>II</v>
      </c>
      <c r="CF25" s="580" t="str">
        <f>IF('Marks Entry'!AK25="","",'Marks Entry'!AK25)</f>
        <v>A</v>
      </c>
      <c r="CG25" s="580">
        <f>IF('Marks Entry'!AL25="","",'Marks Entry'!AL25)</f>
        <v>12</v>
      </c>
      <c r="CH25" s="580">
        <f>IF('Marks Entry'!AM25="","",'Marks Entry'!AM25)</f>
        <v>5</v>
      </c>
      <c r="CI25" s="580">
        <f>IF('Marks Entry'!AN25="","",'Marks Entry'!AN25)</f>
        <v>9</v>
      </c>
      <c r="CJ25" s="581">
        <f t="shared" si="94"/>
        <v>26</v>
      </c>
      <c r="CK25" s="580">
        <f>IF('Marks Entry'!AO25="","",'Marks Entry'!AO25)</f>
        <v>25</v>
      </c>
      <c r="CL25" s="580">
        <f>IF('Marks Entry'!AP25="","",'Marks Entry'!AP25)</f>
        <v>12</v>
      </c>
      <c r="CM25" s="581">
        <f t="shared" si="95"/>
        <v>37</v>
      </c>
      <c r="CN25" s="581">
        <f t="shared" si="96"/>
        <v>63</v>
      </c>
      <c r="CO25" s="580">
        <f>IF('Marks Entry'!AQ25="","",'Marks Entry'!AQ25)</f>
        <v>45</v>
      </c>
      <c r="CP25" s="580">
        <f>IF('Marks Entry'!AR25="","",'Marks Entry'!AR25)</f>
        <v>26</v>
      </c>
      <c r="CQ25" s="581">
        <f t="shared" si="97"/>
        <v>71</v>
      </c>
      <c r="CR25" s="157">
        <f t="shared" si="98"/>
        <v>96</v>
      </c>
      <c r="CS25" s="157">
        <f t="shared" si="99"/>
        <v>38</v>
      </c>
      <c r="CT25" s="192">
        <f t="shared" si="100"/>
        <v>134</v>
      </c>
      <c r="CU25" s="153">
        <f t="shared" si="101"/>
        <v>0</v>
      </c>
      <c r="CV25" s="154">
        <f t="shared" si="102"/>
        <v>0</v>
      </c>
      <c r="CW25" s="154">
        <f t="shared" si="103"/>
        <v>70</v>
      </c>
      <c r="CX25" s="154">
        <f t="shared" si="104"/>
        <v>50</v>
      </c>
      <c r="CY25" s="154">
        <f t="shared" si="176"/>
        <v>150</v>
      </c>
      <c r="CZ25" s="153" t="str">
        <f t="shared" si="105"/>
        <v/>
      </c>
      <c r="DA25" s="154" t="str">
        <f t="shared" si="106"/>
        <v>P</v>
      </c>
      <c r="DB25" s="153" t="str">
        <f t="shared" si="107"/>
        <v>I</v>
      </c>
      <c r="DC25" s="154">
        <f t="shared" si="108"/>
        <v>0</v>
      </c>
      <c r="DD25" s="826" t="str">
        <f>IF('Marks Entry'!AS25="","",IF(OR('Master Sheet'!$D$19="YES",'Marks Entry'!$BA$1=1),'Marks Entry'!AS25,""))</f>
        <v/>
      </c>
      <c r="DE25" s="826" t="str">
        <f>IF('Marks Entry'!AT25="","",IF(OR('Master Sheet'!$D$19="YES",'Marks Entry'!$BA$1=1),'Marks Entry'!AT25,""))</f>
        <v/>
      </c>
      <c r="DF25" s="826" t="str">
        <f>IF('Marks Entry'!AU25="","",IF(OR('Master Sheet'!$D$19="YES",'Marks Entry'!$BA$1=1),'Marks Entry'!AU25,""))</f>
        <v/>
      </c>
      <c r="DG25" s="826" t="str">
        <f>IF('Marks Entry'!AV25="","",IF(OR('Master Sheet'!$D$19="YES",'Marks Entry'!$BA$1=1),'Marks Entry'!AV25,""))</f>
        <v/>
      </c>
      <c r="DH25" s="827" t="str">
        <f t="shared" si="109"/>
        <v/>
      </c>
      <c r="DI25" s="826" t="str">
        <f>IF('Marks Entry'!AW25="","",IF(OR('Master Sheet'!$D$19="YES",'Marks Entry'!$BA$1=1),'Marks Entry'!AW25,""))</f>
        <v/>
      </c>
      <c r="DJ25" s="826" t="str">
        <f>IF('Marks Entry'!AX25="","",IF(OR('Master Sheet'!$D$19="YES",'Marks Entry'!$BA$1=1),'Marks Entry'!AX25,""))</f>
        <v/>
      </c>
      <c r="DK25" s="827" t="str">
        <f t="shared" si="110"/>
        <v/>
      </c>
      <c r="DL25" s="827" t="str">
        <f t="shared" si="111"/>
        <v/>
      </c>
      <c r="DM25" s="826" t="str">
        <f>IF('Marks Entry'!AY25="","",IF(OR('Master Sheet'!$D$19="YES",'Marks Entry'!$BA$1=1),'Marks Entry'!AY25,""))</f>
        <v/>
      </c>
      <c r="DN25" s="826" t="str">
        <f>IF('Marks Entry'!AZ25="","",IF(OR('Master Sheet'!$D$19="YES",'Marks Entry'!$BA$1=1),'Marks Entry'!AZ25,""))</f>
        <v/>
      </c>
      <c r="DO25" s="826" t="str">
        <f>IF('Marks Entry'!BA25="","",IF(OR('Master Sheet'!$D$19="YES",'Marks Entry'!$BA$1=1),'Marks Entry'!BA25,""))</f>
        <v/>
      </c>
      <c r="DP25" s="827" t="str">
        <f t="shared" si="112"/>
        <v/>
      </c>
      <c r="DQ25" s="157" t="str">
        <f t="shared" si="113"/>
        <v/>
      </c>
      <c r="DR25" s="157" t="str">
        <f t="shared" si="114"/>
        <v/>
      </c>
      <c r="DS25" s="157" t="str">
        <f t="shared" si="115"/>
        <v/>
      </c>
      <c r="DT25" s="192" t="str">
        <f t="shared" si="116"/>
        <v/>
      </c>
      <c r="DU25" s="153">
        <f t="shared" si="117"/>
        <v>0</v>
      </c>
      <c r="DV25" s="154" t="e">
        <f t="shared" si="118"/>
        <v>#VALUE!</v>
      </c>
      <c r="DW25" s="154" t="str">
        <f t="shared" si="119"/>
        <v/>
      </c>
      <c r="DX25" s="154" t="str">
        <f>IF(OR($B25="NSO",$B25=0,DS25=""),"",IF(AND(DJ25="",DO25=""),"",IF('Master Sheet'!$D$19="YES",$DO$6-COUNTIF(DO25,"ML")*DO$6,DS$6-(COUNTIF(DJ25,"ML")*DJ$6)-(COUNTIF(DO25,"ML")*DO$6))))</f>
        <v/>
      </c>
      <c r="DY25" s="154" t="str">
        <f>IF(OR($B25="NSO",$B25=0),"",IF(AND(DH25="",DI25="",DM25=""),"",IF(AND('Master Sheet'!$D$19="YES",'Marks Entry'!$BA$1=1),100,IF(AND(DJ25="",DO25=""),SUM(($DQ$7+$DR$7)-(DU25+DV25)),SUM(($DQ$6+$DR$6)-(DU25+DV25))))))</f>
        <v/>
      </c>
      <c r="DZ25" s="153" t="str">
        <f t="shared" si="120"/>
        <v/>
      </c>
      <c r="EA25" s="154" t="str">
        <f t="shared" si="121"/>
        <v/>
      </c>
      <c r="EB25" s="153" t="str">
        <f t="shared" si="122"/>
        <v/>
      </c>
      <c r="EC25" s="584">
        <f>IF('Marks Entry'!BB25="","",'Marks Entry'!BB25)</f>
        <v>24</v>
      </c>
      <c r="ED25" s="584">
        <f>IF('Marks Entry'!BC25="","",'Marks Entry'!BC25)</f>
        <v>25</v>
      </c>
      <c r="EE25" s="584">
        <f>IF('Marks Entry'!BD25="","",'Marks Entry'!BD25)</f>
        <v>32</v>
      </c>
      <c r="EF25" s="590">
        <f t="shared" si="123"/>
        <v>81</v>
      </c>
      <c r="EG25" s="595">
        <f t="shared" si="124"/>
        <v>0</v>
      </c>
      <c r="EH25" s="595">
        <f t="shared" si="125"/>
        <v>0</v>
      </c>
      <c r="EI25" s="193">
        <f t="shared" si="126"/>
        <v>100</v>
      </c>
      <c r="EJ25" s="595" t="str">
        <f t="shared" si="127"/>
        <v/>
      </c>
      <c r="EK25" s="595" t="str">
        <f t="shared" si="128"/>
        <v>A</v>
      </c>
      <c r="EL25" s="194" t="str">
        <f t="shared" si="129"/>
        <v/>
      </c>
      <c r="EM25" s="194" t="str">
        <f t="shared" si="130"/>
        <v/>
      </c>
      <c r="EN25" s="194" t="str">
        <f t="shared" si="131"/>
        <v>II</v>
      </c>
      <c r="EO25" s="194" t="str">
        <f t="shared" si="132"/>
        <v>II</v>
      </c>
      <c r="EP25" s="194" t="str">
        <f t="shared" si="133"/>
        <v>I</v>
      </c>
      <c r="EQ25" s="194" t="str">
        <f t="shared" si="134"/>
        <v/>
      </c>
      <c r="ER25" s="195">
        <f t="shared" si="135"/>
        <v>0</v>
      </c>
      <c r="ES25" s="195">
        <f t="shared" si="136"/>
        <v>0</v>
      </c>
      <c r="ET25" s="195">
        <f t="shared" si="137"/>
        <v>0</v>
      </c>
      <c r="EU25" s="195">
        <f t="shared" si="138"/>
        <v>0</v>
      </c>
      <c r="EV25" s="195">
        <f t="shared" si="139"/>
        <v>0</v>
      </c>
      <c r="EW25" s="195" t="str">
        <f t="shared" si="140"/>
        <v/>
      </c>
      <c r="EX25" s="196" t="str">
        <f t="shared" si="141"/>
        <v/>
      </c>
      <c r="EY25" s="197">
        <f>IF('Marks Entry'!BE25="","",'Marks Entry'!BE25)</f>
        <v>8</v>
      </c>
      <c r="EZ25" s="197">
        <f>IF('Marks Entry'!BF25="","",'Marks Entry'!BF25)</f>
        <v>8</v>
      </c>
      <c r="FA25" s="197">
        <f>IF('Marks Entry'!BG25="","",'Marks Entry'!BG25)</f>
        <v>8</v>
      </c>
      <c r="FB25" s="596">
        <f t="shared" si="142"/>
        <v>24</v>
      </c>
      <c r="FC25" s="197">
        <f>IF('Marks Entry'!BH25="","",'Marks Entry'!BH25)</f>
        <v>50</v>
      </c>
      <c r="FD25" s="197">
        <f>IF('Marks Entry'!BI25="","",'Marks Entry'!BI25)</f>
        <v>68</v>
      </c>
      <c r="FE25" s="198">
        <f t="shared" si="143"/>
        <v>142</v>
      </c>
      <c r="FF25" s="199" t="str">
        <f t="shared" si="144"/>
        <v>B</v>
      </c>
      <c r="FG25" s="200" t="str">
        <f>IF(AND(E25=""),"",IF('Student DATA Entry'!L21="","",'Student DATA Entry'!L21))</f>
        <v/>
      </c>
      <c r="FH25" s="201" t="str">
        <f>IF(AND(E25=""),"",IF('Student DATA Entry'!M21="","",'Student DATA Entry'!M21))</f>
        <v/>
      </c>
      <c r="FI25" s="202" t="str">
        <f t="shared" si="145"/>
        <v/>
      </c>
      <c r="FJ25" s="189" t="str">
        <f t="shared" si="146"/>
        <v/>
      </c>
      <c r="FK25" s="189" t="str">
        <f t="shared" si="147"/>
        <v/>
      </c>
      <c r="FL25" s="203" t="str">
        <f t="shared" si="19"/>
        <v/>
      </c>
      <c r="FM25" s="189" t="str">
        <f t="shared" si="148"/>
        <v/>
      </c>
      <c r="FN25" s="204" t="str">
        <f t="shared" si="149"/>
        <v/>
      </c>
      <c r="FO25" s="203" t="str">
        <f t="shared" si="20"/>
        <v/>
      </c>
      <c r="FP25" s="205" t="str">
        <f t="shared" si="150"/>
        <v>II</v>
      </c>
      <c r="FQ25" s="189" t="str">
        <f t="shared" si="21"/>
        <v/>
      </c>
      <c r="FR25" s="189" t="str">
        <f t="shared" si="22"/>
        <v>II</v>
      </c>
      <c r="FS25" s="189" t="str">
        <f t="shared" si="23"/>
        <v/>
      </c>
      <c r="FT25" s="189" t="str">
        <f t="shared" si="24"/>
        <v/>
      </c>
      <c r="FU25" s="189" t="str">
        <f t="shared" si="151"/>
        <v/>
      </c>
      <c r="FV25" s="206" t="str">
        <f t="shared" si="25"/>
        <v/>
      </c>
      <c r="FW25" s="205" t="str">
        <f t="shared" si="152"/>
        <v>II</v>
      </c>
      <c r="FX25" s="189" t="str">
        <f t="shared" si="26"/>
        <v>II</v>
      </c>
      <c r="FY25" s="189" t="str">
        <f t="shared" si="27"/>
        <v/>
      </c>
      <c r="FZ25" s="189" t="str">
        <f t="shared" si="28"/>
        <v/>
      </c>
      <c r="GA25" s="189" t="str">
        <f t="shared" si="29"/>
        <v/>
      </c>
      <c r="GB25" s="189" t="str">
        <f t="shared" si="153"/>
        <v/>
      </c>
      <c r="GC25" s="206" t="str">
        <f t="shared" si="30"/>
        <v/>
      </c>
      <c r="GD25" s="205" t="str">
        <f t="shared" si="154"/>
        <v>I</v>
      </c>
      <c r="GE25" s="189" t="str">
        <f t="shared" si="31"/>
        <v>I</v>
      </c>
      <c r="GF25" s="189" t="str">
        <f t="shared" si="32"/>
        <v/>
      </c>
      <c r="GG25" s="189" t="str">
        <f t="shared" si="33"/>
        <v/>
      </c>
      <c r="GH25" s="189" t="str">
        <f t="shared" si="34"/>
        <v/>
      </c>
      <c r="GI25" s="189" t="str">
        <f t="shared" si="155"/>
        <v/>
      </c>
      <c r="GJ25" s="206" t="str">
        <f t="shared" si="35"/>
        <v/>
      </c>
      <c r="GK25" s="205" t="str">
        <f t="shared" si="156"/>
        <v/>
      </c>
      <c r="GL25" s="189" t="str">
        <f t="shared" si="36"/>
        <v/>
      </c>
      <c r="GM25" s="189" t="str">
        <f t="shared" si="37"/>
        <v/>
      </c>
      <c r="GN25" s="189" t="str">
        <f t="shared" si="38"/>
        <v/>
      </c>
      <c r="GO25" s="189" t="str">
        <f t="shared" si="39"/>
        <v/>
      </c>
      <c r="GP25" s="189" t="str">
        <f t="shared" si="157"/>
        <v/>
      </c>
      <c r="GQ25" s="206" t="str">
        <f t="shared" si="40"/>
        <v/>
      </c>
      <c r="GR25" s="189" t="str">
        <f t="shared" si="158"/>
        <v>A</v>
      </c>
      <c r="GS25" s="189" t="str">
        <f t="shared" si="159"/>
        <v>B</v>
      </c>
      <c r="GT25" s="207" t="str">
        <f t="shared" si="177"/>
        <v xml:space="preserve">    </v>
      </c>
      <c r="GU25" s="207" t="str">
        <f t="shared" si="160"/>
        <v xml:space="preserve">    </v>
      </c>
      <c r="GV25" s="207" t="str">
        <f t="shared" si="161"/>
        <v xml:space="preserve">    </v>
      </c>
      <c r="GW25" s="207" t="str">
        <f t="shared" si="162"/>
        <v xml:space="preserve">       </v>
      </c>
      <c r="GX25" s="598" t="str">
        <f t="shared" si="163"/>
        <v xml:space="preserve">     </v>
      </c>
      <c r="GY25" s="208" t="str">
        <f t="shared" si="164"/>
        <v/>
      </c>
      <c r="GZ25" s="606">
        <f>IF(AND(Q25="",AE25="",AZ25="",BW25="",CT25=""),"",IF(AND('Master Sheet'!$D$19="YES",'Marks Entry'!$BA$1=1),SUM(Q25,AE25,AZ25,BW25,DT25),SUM(Q25,AE25,AZ25,BW25,CT25)))</f>
        <v>568</v>
      </c>
      <c r="HA25" s="209">
        <f>IF(GZ25="","",IF(AND('Master Sheet'!$D$19="YES",'Marks Entry'!$BA$1=1),GZ25/((900)-DC25)*100,GZ25/((1000)-DC25)*100))</f>
        <v>56.8</v>
      </c>
      <c r="HB25" s="611" t="str">
        <f t="shared" si="165"/>
        <v/>
      </c>
      <c r="HC25" s="609" t="str">
        <f t="shared" si="166"/>
        <v/>
      </c>
      <c r="HD25" s="610" t="str">
        <f t="shared" si="167"/>
        <v/>
      </c>
      <c r="HE25" s="210" t="str">
        <f>IFERROR(IF(OR(GY25="SUPPLEMENTARY",GY25="RE-EXAM"),'Supp. Result Entry'!AS24,""),"")</f>
        <v/>
      </c>
      <c r="HF25" s="613" t="str">
        <f t="shared" si="168"/>
        <v/>
      </c>
      <c r="HG25" s="598" t="str">
        <f t="shared" si="169"/>
        <v/>
      </c>
      <c r="HH25" s="598" t="str">
        <f>IF(AND(HE25="",HF25="",HG25=""),"",IF(OR(GY25="SUPPLEMENTARY",GY25="RE-EXAM"),'Supp. Result Entry'!AS24,GY25))</f>
        <v/>
      </c>
      <c r="HI25" s="180"/>
      <c r="HY25" s="212" t="str">
        <f>IF('Supp. Result Entry'!U24="","",'Supp. Result Entry'!$U$6)</f>
        <v/>
      </c>
      <c r="HZ25" s="213" t="str">
        <f>IF('Supp. Result Entry'!X24="","",'Supp. Result Entry'!$X$6)</f>
        <v/>
      </c>
      <c r="IA25" s="213" t="str">
        <f>IF('Supp. Result Entry'!AA24="","",'Supp. Result Entry'!$AA$6)</f>
        <v/>
      </c>
      <c r="IB25" s="213" t="str">
        <f>IF('Supp. Result Entry'!AD24="","",'Supp. Result Entry'!$AD$6)</f>
        <v/>
      </c>
      <c r="IC25" s="213" t="str">
        <f>IF('Supp. Result Entry'!AG24="","",'Supp. Result Entry'!$AG$6)</f>
        <v/>
      </c>
      <c r="ID25" s="213" t="str">
        <f>IF('Supp. Result Entry'!AJ24="","",'Supp. Result Entry'!$AJ$6)</f>
        <v/>
      </c>
      <c r="IE25" s="213" t="str">
        <f>IF('Supp. Result Entry'!V24="","",'Supp. Result Entry'!V24)</f>
        <v/>
      </c>
      <c r="IF25" s="213" t="str">
        <f>IF('Supp. Result Entry'!Y24="","",'Supp. Result Entry'!Y24)</f>
        <v/>
      </c>
      <c r="IG25" s="213" t="str">
        <f>IF('Supp. Result Entry'!AB24="","",'Supp. Result Entry'!AB24)</f>
        <v/>
      </c>
      <c r="IH25" s="213" t="str">
        <f>IF('Supp. Result Entry'!AE24="","",'Supp. Result Entry'!AE24)</f>
        <v/>
      </c>
      <c r="II25" s="213" t="str">
        <f>IF('Supp. Result Entry'!AH24="","",'Supp. Result Entry'!AH24)</f>
        <v/>
      </c>
      <c r="IJ25" s="213" t="str">
        <f>IF('Supp. Result Entry'!AK24="","",'Supp. Result Entry'!AK24)</f>
        <v/>
      </c>
      <c r="IK25" s="213" t="str">
        <f>IF('Supp. Result Entry'!W24="","",'Supp. Result Entry'!W24)</f>
        <v/>
      </c>
      <c r="IL25" s="213" t="str">
        <f>IF('Supp. Result Entry'!Z24="","",'Supp. Result Entry'!Z24)</f>
        <v/>
      </c>
      <c r="IM25" s="213" t="str">
        <f>IF('Supp. Result Entry'!AC24="","",'Supp. Result Entry'!AC24)</f>
        <v/>
      </c>
      <c r="IN25" s="213" t="str">
        <f>IF('Supp. Result Entry'!AF24="","",'Supp. Result Entry'!AF24)</f>
        <v/>
      </c>
      <c r="IO25" s="213" t="str">
        <f>IF('Supp. Result Entry'!AI24="","",'Supp. Result Entry'!AI24)</f>
        <v/>
      </c>
      <c r="IP25" s="213" t="str">
        <f>IF('Supp. Result Entry'!AL24="","",'Supp. Result Entry'!AL24)</f>
        <v/>
      </c>
      <c r="IQ25" s="213">
        <f>COUNTIF('Supp. Result Entry'!K24:Q24,"S")</f>
        <v>0</v>
      </c>
      <c r="IR25" s="213">
        <f t="shared" si="170"/>
        <v>0</v>
      </c>
      <c r="IS25" s="213">
        <f t="shared" si="171"/>
        <v>0</v>
      </c>
      <c r="IT25" s="213" t="str">
        <f t="shared" si="41"/>
        <v/>
      </c>
      <c r="IU25" s="213" t="str">
        <f t="shared" si="42"/>
        <v/>
      </c>
      <c r="IV25" s="213" t="str">
        <f t="shared" si="43"/>
        <v/>
      </c>
      <c r="IW25" s="213" t="str">
        <f t="shared" si="44"/>
        <v/>
      </c>
      <c r="IX25" s="213" t="str">
        <f t="shared" si="45"/>
        <v/>
      </c>
      <c r="IY25" s="213" t="str">
        <f t="shared" si="172"/>
        <v/>
      </c>
      <c r="IZ25" s="213" t="str">
        <f t="shared" si="173"/>
        <v/>
      </c>
      <c r="JA25" s="213" t="str">
        <f t="shared" si="46"/>
        <v/>
      </c>
      <c r="JB25" s="211" t="str">
        <f t="shared" si="174"/>
        <v/>
      </c>
    </row>
    <row r="26" spans="1:262" s="211" customFormat="1" ht="21" customHeight="1">
      <c r="A26" s="184">
        <v>19</v>
      </c>
      <c r="B26" s="185" t="str">
        <f>IF('Marks Entry'!B26="","",'Marks Entry'!B26)</f>
        <v/>
      </c>
      <c r="C26" s="186" t="str">
        <f>IF('Marks Entry'!D26="","",'Marks Entry'!D26)</f>
        <v/>
      </c>
      <c r="D26" s="187" t="str">
        <f>IF('Marks Entry'!E26="","",'Marks Entry'!E26)</f>
        <v/>
      </c>
      <c r="E26" s="188" t="str">
        <f>IF('Marks Entry'!F26="","",'Marks Entry'!F26)</f>
        <v/>
      </c>
      <c r="F26" s="188" t="str">
        <f>IF('Marks Entry'!G26="","",'Marks Entry'!G26)</f>
        <v/>
      </c>
      <c r="G26" s="188" t="str">
        <f>IF('Marks Entry'!H26="","",'Marks Entry'!H26)</f>
        <v/>
      </c>
      <c r="H26" s="189" t="str">
        <f>IF('Marks Entry'!I26="","",'Marks Entry'!I26)</f>
        <v/>
      </c>
      <c r="I26" s="190" t="str">
        <f>IF('Marks Entry'!J26="","",'Marks Entry'!J26)</f>
        <v/>
      </c>
      <c r="J26" s="545">
        <f>IF('Marks Entry'!K26="","",'Marks Entry'!K26)</f>
        <v>4</v>
      </c>
      <c r="K26" s="545">
        <f>IF('Marks Entry'!L26="","",'Marks Entry'!L26)</f>
        <v>4</v>
      </c>
      <c r="L26" s="545">
        <f>IF('Marks Entry'!M26="","",'Marks Entry'!M26)</f>
        <v>8</v>
      </c>
      <c r="M26" s="546">
        <f t="shared" si="47"/>
        <v>16</v>
      </c>
      <c r="N26" s="545">
        <f>IF('Marks Entry'!N26="","",'Marks Entry'!N26)</f>
        <v>24</v>
      </c>
      <c r="O26" s="546">
        <f t="shared" si="48"/>
        <v>40</v>
      </c>
      <c r="P26" s="545">
        <f>IF('Marks Entry'!O26="","",'Marks Entry'!O26)</f>
        <v>24</v>
      </c>
      <c r="Q26" s="547">
        <f t="shared" si="49"/>
        <v>64</v>
      </c>
      <c r="R26" s="153">
        <f t="shared" si="50"/>
        <v>0</v>
      </c>
      <c r="S26" s="153">
        <f t="shared" si="51"/>
        <v>0</v>
      </c>
      <c r="T26" s="154">
        <f t="shared" si="52"/>
        <v>200</v>
      </c>
      <c r="U26" s="153" t="str">
        <f t="shared" si="53"/>
        <v/>
      </c>
      <c r="V26" s="153" t="str">
        <f t="shared" si="54"/>
        <v/>
      </c>
      <c r="W26" s="153" t="str">
        <f t="shared" si="55"/>
        <v/>
      </c>
      <c r="X26" s="545">
        <f>IF('Marks Entry'!P26="","",'Marks Entry'!P26)</f>
        <v>7</v>
      </c>
      <c r="Y26" s="545">
        <f>IF('Marks Entry'!Q26="","",'Marks Entry'!Q26)</f>
        <v>10</v>
      </c>
      <c r="Z26" s="545">
        <f>IF('Marks Entry'!R26="","",'Marks Entry'!R26)</f>
        <v>9</v>
      </c>
      <c r="AA26" s="546">
        <f t="shared" si="56"/>
        <v>26</v>
      </c>
      <c r="AB26" s="545">
        <f>IF('Marks Entry'!S26="","",'Marks Entry'!S26)</f>
        <v>25</v>
      </c>
      <c r="AC26" s="546">
        <f t="shared" si="57"/>
        <v>51</v>
      </c>
      <c r="AD26" s="545">
        <f>IF('Marks Entry'!T26="","",'Marks Entry'!T26)</f>
        <v>61</v>
      </c>
      <c r="AE26" s="547">
        <f t="shared" si="58"/>
        <v>112</v>
      </c>
      <c r="AF26" s="153">
        <f t="shared" si="59"/>
        <v>0</v>
      </c>
      <c r="AG26" s="153">
        <f t="shared" si="60"/>
        <v>0</v>
      </c>
      <c r="AH26" s="154">
        <f t="shared" si="61"/>
        <v>200</v>
      </c>
      <c r="AI26" s="153" t="str">
        <f t="shared" si="62"/>
        <v/>
      </c>
      <c r="AJ26" s="153" t="str">
        <f t="shared" si="63"/>
        <v/>
      </c>
      <c r="AK26" s="153" t="str">
        <f t="shared" si="64"/>
        <v/>
      </c>
      <c r="AL26" s="573" t="str">
        <f>IF('Marks Entry'!U26="","",'Marks Entry'!U26)</f>
        <v>B</v>
      </c>
      <c r="AM26" s="573">
        <f>IF('Marks Entry'!V26="","",'Marks Entry'!V26)</f>
        <v>9</v>
      </c>
      <c r="AN26" s="573">
        <f>IF('Marks Entry'!W26="","",'Marks Entry'!W26)</f>
        <v>6</v>
      </c>
      <c r="AO26" s="573">
        <f>IF('Marks Entry'!X26="","",'Marks Entry'!X26)</f>
        <v>7</v>
      </c>
      <c r="AP26" s="572">
        <f t="shared" si="65"/>
        <v>22</v>
      </c>
      <c r="AQ26" s="573">
        <f>IF('Marks Entry'!Y26="","",'Marks Entry'!Y26)</f>
        <v>12</v>
      </c>
      <c r="AR26" s="573">
        <f>IF('Marks Entry'!Z26="","",'Marks Entry'!Z26)</f>
        <v>12</v>
      </c>
      <c r="AS26" s="572">
        <f t="shared" si="66"/>
        <v>24</v>
      </c>
      <c r="AT26" s="572">
        <f t="shared" si="67"/>
        <v>46</v>
      </c>
      <c r="AU26" s="573">
        <f>IF('Marks Entry'!AA26="","",'Marks Entry'!AA26)</f>
        <v>12</v>
      </c>
      <c r="AV26" s="573">
        <f>IF('Marks Entry'!AB26="","",'Marks Entry'!AB26)</f>
        <v>12</v>
      </c>
      <c r="AW26" s="572">
        <f t="shared" si="68"/>
        <v>24</v>
      </c>
      <c r="AX26" s="157">
        <f t="shared" si="69"/>
        <v>46</v>
      </c>
      <c r="AY26" s="157">
        <f t="shared" si="70"/>
        <v>24</v>
      </c>
      <c r="AZ26" s="192">
        <f t="shared" si="71"/>
        <v>70</v>
      </c>
      <c r="BA26" s="153">
        <f t="shared" si="72"/>
        <v>0</v>
      </c>
      <c r="BB26" s="154">
        <f t="shared" si="73"/>
        <v>0</v>
      </c>
      <c r="BC26" s="154">
        <f t="shared" si="74"/>
        <v>70</v>
      </c>
      <c r="BD26" s="154">
        <f t="shared" si="75"/>
        <v>50</v>
      </c>
      <c r="BE26" s="154">
        <f t="shared" si="76"/>
        <v>150</v>
      </c>
      <c r="BF26" s="153" t="str">
        <f t="shared" si="77"/>
        <v/>
      </c>
      <c r="BG26" s="154" t="str">
        <f t="shared" si="175"/>
        <v>F</v>
      </c>
      <c r="BH26" s="153" t="str">
        <f t="shared" si="78"/>
        <v>F</v>
      </c>
      <c r="BI26" s="580" t="str">
        <f>IF('Marks Entry'!AC26="","",'Marks Entry'!AC26)</f>
        <v>A</v>
      </c>
      <c r="BJ26" s="580">
        <f>IF('Marks Entry'!AD26="","",'Marks Entry'!AD26)</f>
        <v>3</v>
      </c>
      <c r="BK26" s="580">
        <f>IF('Marks Entry'!AE26="","",'Marks Entry'!AE26)</f>
        <v>4</v>
      </c>
      <c r="BL26" s="580" t="str">
        <f>IF('Marks Entry'!AF26="","",'Marks Entry'!AF26)</f>
        <v/>
      </c>
      <c r="BM26" s="581">
        <f t="shared" si="79"/>
        <v>7</v>
      </c>
      <c r="BN26" s="580">
        <f>IF('Marks Entry'!AG26="","",'Marks Entry'!AG26)</f>
        <v>20</v>
      </c>
      <c r="BO26" s="580" t="str">
        <f>IF('Marks Entry'!AH26="","",'Marks Entry'!AH26)</f>
        <v/>
      </c>
      <c r="BP26" s="581">
        <f t="shared" si="80"/>
        <v>20</v>
      </c>
      <c r="BQ26" s="581">
        <f t="shared" si="81"/>
        <v>27</v>
      </c>
      <c r="BR26" s="580">
        <f>IF('Marks Entry'!AI26="","",'Marks Entry'!AI26)</f>
        <v>22</v>
      </c>
      <c r="BS26" s="580" t="str">
        <f>IF('Marks Entry'!AJ26="","",'Marks Entry'!AJ26)</f>
        <v/>
      </c>
      <c r="BT26" s="581">
        <f t="shared" si="82"/>
        <v>22</v>
      </c>
      <c r="BU26" s="157">
        <f t="shared" si="83"/>
        <v>49</v>
      </c>
      <c r="BV26" s="157" t="str">
        <f t="shared" si="84"/>
        <v/>
      </c>
      <c r="BW26" s="192">
        <f t="shared" si="85"/>
        <v>49</v>
      </c>
      <c r="BX26" s="153">
        <f t="shared" si="86"/>
        <v>0</v>
      </c>
      <c r="BY26" s="154">
        <f t="shared" si="87"/>
        <v>0</v>
      </c>
      <c r="BZ26" s="154">
        <f t="shared" si="88"/>
        <v>100</v>
      </c>
      <c r="CA26" s="154" t="str">
        <f t="shared" si="89"/>
        <v/>
      </c>
      <c r="CB26" s="154">
        <f t="shared" si="90"/>
        <v>200</v>
      </c>
      <c r="CC26" s="153" t="str">
        <f t="shared" si="91"/>
        <v/>
      </c>
      <c r="CD26" s="154" t="str">
        <f t="shared" si="92"/>
        <v>F</v>
      </c>
      <c r="CE26" s="153" t="str">
        <f t="shared" si="93"/>
        <v>F</v>
      </c>
      <c r="CF26" s="580" t="str">
        <f>IF('Marks Entry'!AK26="","",'Marks Entry'!AK26)</f>
        <v>A</v>
      </c>
      <c r="CG26" s="580">
        <f>IF('Marks Entry'!AL26="","",'Marks Entry'!AL26)</f>
        <v>14</v>
      </c>
      <c r="CH26" s="580">
        <f>IF('Marks Entry'!AM26="","",'Marks Entry'!AM26)</f>
        <v>10</v>
      </c>
      <c r="CI26" s="580" t="str">
        <f>IF('Marks Entry'!AN26="","",'Marks Entry'!AN26)</f>
        <v/>
      </c>
      <c r="CJ26" s="581">
        <f t="shared" si="94"/>
        <v>24</v>
      </c>
      <c r="CK26" s="580">
        <f>IF('Marks Entry'!AO26="","",'Marks Entry'!AO26)</f>
        <v>26</v>
      </c>
      <c r="CL26" s="580">
        <f>IF('Marks Entry'!AP26="","",'Marks Entry'!AP26)</f>
        <v>10</v>
      </c>
      <c r="CM26" s="581">
        <f t="shared" si="95"/>
        <v>36</v>
      </c>
      <c r="CN26" s="581">
        <f t="shared" si="96"/>
        <v>60</v>
      </c>
      <c r="CO26" s="580">
        <f>IF('Marks Entry'!AQ26="","",'Marks Entry'!AQ26)</f>
        <v>35</v>
      </c>
      <c r="CP26" s="580">
        <f>IF('Marks Entry'!AR26="","",'Marks Entry'!AR26)</f>
        <v>24</v>
      </c>
      <c r="CQ26" s="581">
        <f t="shared" si="97"/>
        <v>59</v>
      </c>
      <c r="CR26" s="157">
        <f t="shared" si="98"/>
        <v>85</v>
      </c>
      <c r="CS26" s="157">
        <f t="shared" si="99"/>
        <v>34</v>
      </c>
      <c r="CT26" s="192">
        <f t="shared" si="100"/>
        <v>119</v>
      </c>
      <c r="CU26" s="153">
        <f t="shared" si="101"/>
        <v>0</v>
      </c>
      <c r="CV26" s="154">
        <f t="shared" si="102"/>
        <v>0</v>
      </c>
      <c r="CW26" s="154">
        <f t="shared" si="103"/>
        <v>70</v>
      </c>
      <c r="CX26" s="154">
        <f t="shared" si="104"/>
        <v>50</v>
      </c>
      <c r="CY26" s="154">
        <f t="shared" si="176"/>
        <v>150</v>
      </c>
      <c r="CZ26" s="153" t="str">
        <f t="shared" si="105"/>
        <v/>
      </c>
      <c r="DA26" s="154" t="str">
        <f t="shared" si="106"/>
        <v>P</v>
      </c>
      <c r="DB26" s="153" t="str">
        <f t="shared" si="107"/>
        <v>II</v>
      </c>
      <c r="DC26" s="154">
        <f t="shared" si="108"/>
        <v>0</v>
      </c>
      <c r="DD26" s="826" t="str">
        <f>IF('Marks Entry'!AS26="","",IF(OR('Master Sheet'!$D$19="YES",'Marks Entry'!$BA$1=1),'Marks Entry'!AS26,""))</f>
        <v/>
      </c>
      <c r="DE26" s="826" t="str">
        <f>IF('Marks Entry'!AT26="","",IF(OR('Master Sheet'!$D$19="YES",'Marks Entry'!$BA$1=1),'Marks Entry'!AT26,""))</f>
        <v/>
      </c>
      <c r="DF26" s="826" t="str">
        <f>IF('Marks Entry'!AU26="","",IF(OR('Master Sheet'!$D$19="YES",'Marks Entry'!$BA$1=1),'Marks Entry'!AU26,""))</f>
        <v/>
      </c>
      <c r="DG26" s="826" t="str">
        <f>IF('Marks Entry'!AV26="","",IF(OR('Master Sheet'!$D$19="YES",'Marks Entry'!$BA$1=1),'Marks Entry'!AV26,""))</f>
        <v/>
      </c>
      <c r="DH26" s="827" t="str">
        <f t="shared" si="109"/>
        <v/>
      </c>
      <c r="DI26" s="826" t="str">
        <f>IF('Marks Entry'!AW26="","",IF(OR('Master Sheet'!$D$19="YES",'Marks Entry'!$BA$1=1),'Marks Entry'!AW26,""))</f>
        <v/>
      </c>
      <c r="DJ26" s="826" t="str">
        <f>IF('Marks Entry'!AX26="","",IF(OR('Master Sheet'!$D$19="YES",'Marks Entry'!$BA$1=1),'Marks Entry'!AX26,""))</f>
        <v/>
      </c>
      <c r="DK26" s="827" t="str">
        <f t="shared" si="110"/>
        <v/>
      </c>
      <c r="DL26" s="827" t="str">
        <f t="shared" si="111"/>
        <v/>
      </c>
      <c r="DM26" s="826" t="str">
        <f>IF('Marks Entry'!AY26="","",IF(OR('Master Sheet'!$D$19="YES",'Marks Entry'!$BA$1=1),'Marks Entry'!AY26,""))</f>
        <v/>
      </c>
      <c r="DN26" s="826" t="str">
        <f>IF('Marks Entry'!AZ26="","",IF(OR('Master Sheet'!$D$19="YES",'Marks Entry'!$BA$1=1),'Marks Entry'!AZ26,""))</f>
        <v/>
      </c>
      <c r="DO26" s="826" t="str">
        <f>IF('Marks Entry'!BA26="","",IF(OR('Master Sheet'!$D$19="YES",'Marks Entry'!$BA$1=1),'Marks Entry'!BA26,""))</f>
        <v/>
      </c>
      <c r="DP26" s="827" t="str">
        <f t="shared" si="112"/>
        <v/>
      </c>
      <c r="DQ26" s="157" t="str">
        <f t="shared" si="113"/>
        <v/>
      </c>
      <c r="DR26" s="157" t="str">
        <f t="shared" si="114"/>
        <v/>
      </c>
      <c r="DS26" s="157" t="str">
        <f t="shared" si="115"/>
        <v/>
      </c>
      <c r="DT26" s="192" t="str">
        <f t="shared" si="116"/>
        <v/>
      </c>
      <c r="DU26" s="153">
        <f t="shared" si="117"/>
        <v>0</v>
      </c>
      <c r="DV26" s="154" t="e">
        <f t="shared" si="118"/>
        <v>#VALUE!</v>
      </c>
      <c r="DW26" s="154" t="str">
        <f t="shared" si="119"/>
        <v/>
      </c>
      <c r="DX26" s="154" t="str">
        <f>IF(OR($B26="NSO",$B26=0,DS26=""),"",IF(AND(DJ26="",DO26=""),"",IF('Master Sheet'!$D$19="YES",$DO$6-COUNTIF(DO26,"ML")*DO$6,DS$6-(COUNTIF(DJ26,"ML")*DJ$6)-(COUNTIF(DO26,"ML")*DO$6))))</f>
        <v/>
      </c>
      <c r="DY26" s="154" t="str">
        <f>IF(OR($B26="NSO",$B26=0),"",IF(AND(DH26="",DI26="",DM26=""),"",IF(AND('Master Sheet'!$D$19="YES",'Marks Entry'!$BA$1=1),100,IF(AND(DJ26="",DO26=""),SUM(($DQ$7+$DR$7)-(DU26+DV26)),SUM(($DQ$6+$DR$6)-(DU26+DV26))))))</f>
        <v/>
      </c>
      <c r="DZ26" s="153" t="str">
        <f t="shared" si="120"/>
        <v/>
      </c>
      <c r="EA26" s="154" t="str">
        <f t="shared" si="121"/>
        <v/>
      </c>
      <c r="EB26" s="153" t="str">
        <f t="shared" si="122"/>
        <v/>
      </c>
      <c r="EC26" s="584">
        <f>IF('Marks Entry'!BB26="","",'Marks Entry'!BB26)</f>
        <v>24</v>
      </c>
      <c r="ED26" s="584">
        <f>IF('Marks Entry'!BC26="","",'Marks Entry'!BC26)</f>
        <v>25</v>
      </c>
      <c r="EE26" s="584">
        <f>IF('Marks Entry'!BD26="","",'Marks Entry'!BD26)</f>
        <v>32</v>
      </c>
      <c r="EF26" s="590">
        <f t="shared" si="123"/>
        <v>81</v>
      </c>
      <c r="EG26" s="595">
        <f t="shared" si="124"/>
        <v>0</v>
      </c>
      <c r="EH26" s="595">
        <f t="shared" si="125"/>
        <v>0</v>
      </c>
      <c r="EI26" s="193">
        <f t="shared" si="126"/>
        <v>100</v>
      </c>
      <c r="EJ26" s="595" t="str">
        <f t="shared" si="127"/>
        <v/>
      </c>
      <c r="EK26" s="595" t="str">
        <f t="shared" si="128"/>
        <v>A</v>
      </c>
      <c r="EL26" s="194" t="str">
        <f t="shared" si="129"/>
        <v/>
      </c>
      <c r="EM26" s="194" t="str">
        <f t="shared" si="130"/>
        <v/>
      </c>
      <c r="EN26" s="194" t="str">
        <f t="shared" si="131"/>
        <v>F</v>
      </c>
      <c r="EO26" s="194" t="str">
        <f t="shared" si="132"/>
        <v>F</v>
      </c>
      <c r="EP26" s="194" t="str">
        <f t="shared" si="133"/>
        <v>II</v>
      </c>
      <c r="EQ26" s="194" t="str">
        <f t="shared" si="134"/>
        <v/>
      </c>
      <c r="ER26" s="195">
        <f t="shared" si="135"/>
        <v>2</v>
      </c>
      <c r="ES26" s="195">
        <f t="shared" si="136"/>
        <v>0</v>
      </c>
      <c r="ET26" s="195">
        <f t="shared" si="137"/>
        <v>0</v>
      </c>
      <c r="EU26" s="195">
        <f t="shared" si="138"/>
        <v>0</v>
      </c>
      <c r="EV26" s="195">
        <f t="shared" si="139"/>
        <v>0</v>
      </c>
      <c r="EW26" s="195" t="str">
        <f t="shared" si="140"/>
        <v/>
      </c>
      <c r="EX26" s="196" t="str">
        <f t="shared" si="141"/>
        <v/>
      </c>
      <c r="EY26" s="197">
        <f>IF('Marks Entry'!BE26="","",'Marks Entry'!BE26)</f>
        <v>7</v>
      </c>
      <c r="EZ26" s="197">
        <f>IF('Marks Entry'!BF26="","",'Marks Entry'!BF26)</f>
        <v>7</v>
      </c>
      <c r="FA26" s="197">
        <f>IF('Marks Entry'!BG26="","",'Marks Entry'!BG26)</f>
        <v>7</v>
      </c>
      <c r="FB26" s="596">
        <f t="shared" si="142"/>
        <v>21</v>
      </c>
      <c r="FC26" s="197">
        <f>IF('Marks Entry'!BH26="","",'Marks Entry'!BH26)</f>
        <v>41</v>
      </c>
      <c r="FD26" s="197">
        <f>IF('Marks Entry'!BI26="","",'Marks Entry'!BI26)</f>
        <v>68</v>
      </c>
      <c r="FE26" s="198">
        <f t="shared" si="143"/>
        <v>130</v>
      </c>
      <c r="FF26" s="199" t="str">
        <f t="shared" si="144"/>
        <v>B</v>
      </c>
      <c r="FG26" s="200" t="str">
        <f>IF(AND(E26=""),"",IF('Student DATA Entry'!L22="","",'Student DATA Entry'!L22))</f>
        <v/>
      </c>
      <c r="FH26" s="201" t="str">
        <f>IF(AND(E26=""),"",IF('Student DATA Entry'!M22="","",'Student DATA Entry'!M22))</f>
        <v/>
      </c>
      <c r="FI26" s="202" t="str">
        <f t="shared" si="145"/>
        <v/>
      </c>
      <c r="FJ26" s="189" t="str">
        <f t="shared" si="146"/>
        <v/>
      </c>
      <c r="FK26" s="189" t="str">
        <f t="shared" si="147"/>
        <v/>
      </c>
      <c r="FL26" s="203" t="str">
        <f t="shared" si="19"/>
        <v/>
      </c>
      <c r="FM26" s="189" t="str">
        <f t="shared" si="148"/>
        <v/>
      </c>
      <c r="FN26" s="204" t="str">
        <f t="shared" si="149"/>
        <v/>
      </c>
      <c r="FO26" s="203" t="str">
        <f t="shared" si="20"/>
        <v/>
      </c>
      <c r="FP26" s="205" t="str">
        <f t="shared" si="150"/>
        <v>F</v>
      </c>
      <c r="FQ26" s="189" t="str">
        <f t="shared" si="21"/>
        <v/>
      </c>
      <c r="FR26" s="189" t="str">
        <f t="shared" si="22"/>
        <v>F</v>
      </c>
      <c r="FS26" s="189" t="str">
        <f t="shared" si="23"/>
        <v/>
      </c>
      <c r="FT26" s="189" t="str">
        <f t="shared" si="24"/>
        <v/>
      </c>
      <c r="FU26" s="189" t="str">
        <f t="shared" si="151"/>
        <v/>
      </c>
      <c r="FV26" s="206" t="str">
        <f t="shared" si="25"/>
        <v/>
      </c>
      <c r="FW26" s="205" t="str">
        <f t="shared" si="152"/>
        <v>F</v>
      </c>
      <c r="FX26" s="189" t="str">
        <f t="shared" si="26"/>
        <v>F</v>
      </c>
      <c r="FY26" s="189" t="str">
        <f t="shared" si="27"/>
        <v/>
      </c>
      <c r="FZ26" s="189" t="str">
        <f t="shared" si="28"/>
        <v/>
      </c>
      <c r="GA26" s="189" t="str">
        <f t="shared" si="29"/>
        <v/>
      </c>
      <c r="GB26" s="189" t="str">
        <f t="shared" si="153"/>
        <v/>
      </c>
      <c r="GC26" s="206" t="str">
        <f t="shared" si="30"/>
        <v/>
      </c>
      <c r="GD26" s="205" t="str">
        <f t="shared" si="154"/>
        <v>II</v>
      </c>
      <c r="GE26" s="189" t="str">
        <f t="shared" si="31"/>
        <v>II</v>
      </c>
      <c r="GF26" s="189" t="str">
        <f t="shared" si="32"/>
        <v/>
      </c>
      <c r="GG26" s="189" t="str">
        <f t="shared" si="33"/>
        <v/>
      </c>
      <c r="GH26" s="189" t="str">
        <f t="shared" si="34"/>
        <v/>
      </c>
      <c r="GI26" s="189" t="str">
        <f t="shared" si="155"/>
        <v/>
      </c>
      <c r="GJ26" s="206" t="str">
        <f t="shared" si="35"/>
        <v/>
      </c>
      <c r="GK26" s="205" t="str">
        <f t="shared" si="156"/>
        <v/>
      </c>
      <c r="GL26" s="189" t="str">
        <f t="shared" si="36"/>
        <v/>
      </c>
      <c r="GM26" s="189" t="str">
        <f t="shared" si="37"/>
        <v/>
      </c>
      <c r="GN26" s="189" t="str">
        <f t="shared" si="38"/>
        <v/>
      </c>
      <c r="GO26" s="189" t="str">
        <f t="shared" si="39"/>
        <v/>
      </c>
      <c r="GP26" s="189" t="str">
        <f t="shared" si="157"/>
        <v/>
      </c>
      <c r="GQ26" s="206" t="str">
        <f t="shared" si="40"/>
        <v/>
      </c>
      <c r="GR26" s="189" t="str">
        <f t="shared" si="158"/>
        <v>A</v>
      </c>
      <c r="GS26" s="189" t="str">
        <f t="shared" si="159"/>
        <v>B</v>
      </c>
      <c r="GT26" s="207" t="str">
        <f t="shared" si="177"/>
        <v xml:space="preserve">  BIOLOGY HISTORY </v>
      </c>
      <c r="GU26" s="207" t="str">
        <f t="shared" si="160"/>
        <v xml:space="preserve">    </v>
      </c>
      <c r="GV26" s="207" t="str">
        <f t="shared" si="161"/>
        <v xml:space="preserve">    </v>
      </c>
      <c r="GW26" s="207" t="str">
        <f t="shared" si="162"/>
        <v xml:space="preserve">       </v>
      </c>
      <c r="GX26" s="598" t="str">
        <f t="shared" si="163"/>
        <v xml:space="preserve">     </v>
      </c>
      <c r="GY26" s="208" t="str">
        <f t="shared" si="164"/>
        <v/>
      </c>
      <c r="GZ26" s="606">
        <f>IF(AND(Q26="",AE26="",AZ26="",BW26="",CT26=""),"",IF(AND('Master Sheet'!$D$19="YES",'Marks Entry'!$BA$1=1),SUM(Q26,AE26,AZ26,BW26,DT26),SUM(Q26,AE26,AZ26,BW26,CT26)))</f>
        <v>414</v>
      </c>
      <c r="HA26" s="209">
        <f>IF(GZ26="","",IF(AND('Master Sheet'!$D$19="YES",'Marks Entry'!$BA$1=1),GZ26/((900)-DC26)*100,GZ26/((1000)-DC26)*100))</f>
        <v>41.4</v>
      </c>
      <c r="HB26" s="611" t="str">
        <f t="shared" si="165"/>
        <v/>
      </c>
      <c r="HC26" s="609" t="str">
        <f t="shared" si="166"/>
        <v/>
      </c>
      <c r="HD26" s="610" t="str">
        <f t="shared" si="167"/>
        <v/>
      </c>
      <c r="HE26" s="210" t="str">
        <f>IFERROR(IF(OR(GY26="SUPPLEMENTARY",GY26="RE-EXAM"),'Supp. Result Entry'!AS25,""),"")</f>
        <v/>
      </c>
      <c r="HF26" s="613" t="str">
        <f t="shared" si="168"/>
        <v/>
      </c>
      <c r="HG26" s="598" t="str">
        <f t="shared" si="169"/>
        <v/>
      </c>
      <c r="HH26" s="598" t="str">
        <f>IF(AND(HE26="",HF26="",HG26=""),"",IF(OR(GY26="SUPPLEMENTARY",GY26="RE-EXAM"),'Supp. Result Entry'!AS25,GY26))</f>
        <v/>
      </c>
      <c r="HI26" s="180"/>
      <c r="HY26" s="212" t="str">
        <f>IF('Supp. Result Entry'!U25="","",'Supp. Result Entry'!$U$6)</f>
        <v/>
      </c>
      <c r="HZ26" s="213" t="str">
        <f>IF('Supp. Result Entry'!X25="","",'Supp. Result Entry'!$X$6)</f>
        <v/>
      </c>
      <c r="IA26" s="213" t="str">
        <f>IF('Supp. Result Entry'!AA25="","",'Supp. Result Entry'!$AA$6)</f>
        <v/>
      </c>
      <c r="IB26" s="213" t="str">
        <f>IF('Supp. Result Entry'!AD25="","",'Supp. Result Entry'!$AD$6)</f>
        <v/>
      </c>
      <c r="IC26" s="213" t="str">
        <f>IF('Supp. Result Entry'!AG25="","",'Supp. Result Entry'!$AG$6)</f>
        <v/>
      </c>
      <c r="ID26" s="213" t="str">
        <f>IF('Supp. Result Entry'!AJ25="","",'Supp. Result Entry'!$AJ$6)</f>
        <v/>
      </c>
      <c r="IE26" s="213" t="str">
        <f>IF('Supp. Result Entry'!V25="","",'Supp. Result Entry'!V25)</f>
        <v/>
      </c>
      <c r="IF26" s="213" t="str">
        <f>IF('Supp. Result Entry'!Y25="","",'Supp. Result Entry'!Y25)</f>
        <v/>
      </c>
      <c r="IG26" s="213" t="str">
        <f>IF('Supp. Result Entry'!AB25="","",'Supp. Result Entry'!AB25)</f>
        <v/>
      </c>
      <c r="IH26" s="213" t="str">
        <f>IF('Supp. Result Entry'!AE25="","",'Supp. Result Entry'!AE25)</f>
        <v/>
      </c>
      <c r="II26" s="213" t="str">
        <f>IF('Supp. Result Entry'!AH25="","",'Supp. Result Entry'!AH25)</f>
        <v/>
      </c>
      <c r="IJ26" s="213" t="str">
        <f>IF('Supp. Result Entry'!AK25="","",'Supp. Result Entry'!AK25)</f>
        <v/>
      </c>
      <c r="IK26" s="213" t="str">
        <f>IF('Supp. Result Entry'!W25="","",'Supp. Result Entry'!W25)</f>
        <v/>
      </c>
      <c r="IL26" s="213" t="str">
        <f>IF('Supp. Result Entry'!Z25="","",'Supp. Result Entry'!Z25)</f>
        <v/>
      </c>
      <c r="IM26" s="213" t="str">
        <f>IF('Supp. Result Entry'!AC25="","",'Supp. Result Entry'!AC25)</f>
        <v/>
      </c>
      <c r="IN26" s="213" t="str">
        <f>IF('Supp. Result Entry'!AF25="","",'Supp. Result Entry'!AF25)</f>
        <v/>
      </c>
      <c r="IO26" s="213" t="str">
        <f>IF('Supp. Result Entry'!AI25="","",'Supp. Result Entry'!AI25)</f>
        <v/>
      </c>
      <c r="IP26" s="213" t="str">
        <f>IF('Supp. Result Entry'!AL25="","",'Supp. Result Entry'!AL25)</f>
        <v/>
      </c>
      <c r="IQ26" s="213">
        <f>COUNTIF('Supp. Result Entry'!K25:Q25,"S")</f>
        <v>0</v>
      </c>
      <c r="IR26" s="213">
        <f t="shared" si="170"/>
        <v>0</v>
      </c>
      <c r="IS26" s="213">
        <f t="shared" si="171"/>
        <v>0</v>
      </c>
      <c r="IT26" s="213" t="str">
        <f t="shared" si="41"/>
        <v/>
      </c>
      <c r="IU26" s="213" t="str">
        <f t="shared" si="42"/>
        <v/>
      </c>
      <c r="IV26" s="213" t="str">
        <f t="shared" si="43"/>
        <v/>
      </c>
      <c r="IW26" s="213" t="str">
        <f t="shared" si="44"/>
        <v/>
      </c>
      <c r="IX26" s="213" t="str">
        <f t="shared" si="45"/>
        <v/>
      </c>
      <c r="IY26" s="213" t="str">
        <f t="shared" si="172"/>
        <v/>
      </c>
      <c r="IZ26" s="213" t="str">
        <f t="shared" si="173"/>
        <v/>
      </c>
      <c r="JA26" s="213" t="str">
        <f t="shared" si="46"/>
        <v/>
      </c>
      <c r="JB26" s="211" t="str">
        <f t="shared" si="174"/>
        <v/>
      </c>
    </row>
    <row r="27" spans="1:262" s="211" customFormat="1" ht="21" customHeight="1">
      <c r="A27" s="184">
        <v>20</v>
      </c>
      <c r="B27" s="185" t="str">
        <f>IF('Marks Entry'!B27="","",'Marks Entry'!B27)</f>
        <v/>
      </c>
      <c r="C27" s="186" t="str">
        <f>IF('Marks Entry'!D27="","",'Marks Entry'!D27)</f>
        <v/>
      </c>
      <c r="D27" s="187" t="str">
        <f>IF('Marks Entry'!E27="","",'Marks Entry'!E27)</f>
        <v/>
      </c>
      <c r="E27" s="188" t="str">
        <f>IF('Marks Entry'!F27="","",'Marks Entry'!F27)</f>
        <v/>
      </c>
      <c r="F27" s="188" t="str">
        <f>IF('Marks Entry'!G27="","",'Marks Entry'!G27)</f>
        <v/>
      </c>
      <c r="G27" s="188" t="str">
        <f>IF('Marks Entry'!H27="","",'Marks Entry'!H27)</f>
        <v/>
      </c>
      <c r="H27" s="189" t="str">
        <f>IF('Marks Entry'!I27="","",'Marks Entry'!I27)</f>
        <v/>
      </c>
      <c r="I27" s="190" t="str">
        <f>IF('Marks Entry'!J27="","",'Marks Entry'!J27)</f>
        <v/>
      </c>
      <c r="J27" s="545">
        <f>IF('Marks Entry'!K27="","",'Marks Entry'!K27)</f>
        <v>15</v>
      </c>
      <c r="K27" s="545">
        <f>IF('Marks Entry'!L27="","",'Marks Entry'!L27)</f>
        <v>9</v>
      </c>
      <c r="L27" s="545">
        <f>IF('Marks Entry'!M27="","",'Marks Entry'!M27)</f>
        <v>8</v>
      </c>
      <c r="M27" s="546">
        <f t="shared" si="47"/>
        <v>32</v>
      </c>
      <c r="N27" s="545">
        <f>IF('Marks Entry'!N27="","",'Marks Entry'!N27)</f>
        <v>28</v>
      </c>
      <c r="O27" s="546">
        <f t="shared" si="48"/>
        <v>60</v>
      </c>
      <c r="P27" s="545">
        <f>IF('Marks Entry'!O27="","",'Marks Entry'!O27)</f>
        <v>52</v>
      </c>
      <c r="Q27" s="547">
        <f t="shared" si="49"/>
        <v>112</v>
      </c>
      <c r="R27" s="153">
        <f t="shared" si="50"/>
        <v>0</v>
      </c>
      <c r="S27" s="153">
        <f t="shared" si="51"/>
        <v>0</v>
      </c>
      <c r="T27" s="154">
        <f t="shared" si="52"/>
        <v>200</v>
      </c>
      <c r="U27" s="153" t="str">
        <f t="shared" si="53"/>
        <v/>
      </c>
      <c r="V27" s="153" t="str">
        <f t="shared" si="54"/>
        <v/>
      </c>
      <c r="W27" s="153" t="str">
        <f t="shared" si="55"/>
        <v/>
      </c>
      <c r="X27" s="545">
        <f>IF('Marks Entry'!P27="","",'Marks Entry'!P27)</f>
        <v>8</v>
      </c>
      <c r="Y27" s="545">
        <f>IF('Marks Entry'!Q27="","",'Marks Entry'!Q27)</f>
        <v>10</v>
      </c>
      <c r="Z27" s="545">
        <f>IF('Marks Entry'!R27="","",'Marks Entry'!R27)</f>
        <v>9</v>
      </c>
      <c r="AA27" s="546">
        <f t="shared" si="56"/>
        <v>27</v>
      </c>
      <c r="AB27" s="545">
        <f>IF('Marks Entry'!S27="","",'Marks Entry'!S27)</f>
        <v>24</v>
      </c>
      <c r="AC27" s="546">
        <f t="shared" si="57"/>
        <v>51</v>
      </c>
      <c r="AD27" s="545">
        <f>IF('Marks Entry'!T27="","",'Marks Entry'!T27)</f>
        <v>62</v>
      </c>
      <c r="AE27" s="547">
        <f t="shared" si="58"/>
        <v>113</v>
      </c>
      <c r="AF27" s="153">
        <f t="shared" si="59"/>
        <v>0</v>
      </c>
      <c r="AG27" s="153">
        <f t="shared" si="60"/>
        <v>0</v>
      </c>
      <c r="AH27" s="154">
        <f t="shared" si="61"/>
        <v>200</v>
      </c>
      <c r="AI27" s="153" t="str">
        <f t="shared" si="62"/>
        <v/>
      </c>
      <c r="AJ27" s="153" t="str">
        <f t="shared" si="63"/>
        <v/>
      </c>
      <c r="AK27" s="153" t="str">
        <f t="shared" si="64"/>
        <v/>
      </c>
      <c r="AL27" s="573" t="str">
        <f>IF('Marks Entry'!U27="","",'Marks Entry'!U27)</f>
        <v>A</v>
      </c>
      <c r="AM27" s="573">
        <f>IF('Marks Entry'!V27="","",'Marks Entry'!V27)</f>
        <v>8</v>
      </c>
      <c r="AN27" s="573">
        <f>IF('Marks Entry'!W27="","",'Marks Entry'!W27)</f>
        <v>5</v>
      </c>
      <c r="AO27" s="573">
        <f>IF('Marks Entry'!X27="","",'Marks Entry'!X27)</f>
        <v>7</v>
      </c>
      <c r="AP27" s="572">
        <f t="shared" si="65"/>
        <v>20</v>
      </c>
      <c r="AQ27" s="573">
        <f>IF('Marks Entry'!Y27="","",'Marks Entry'!Y27)</f>
        <v>40</v>
      </c>
      <c r="AR27" s="573" t="str">
        <f>IF('Marks Entry'!Z27="","",'Marks Entry'!Z27)</f>
        <v/>
      </c>
      <c r="AS27" s="572">
        <f t="shared" si="66"/>
        <v>40</v>
      </c>
      <c r="AT27" s="572">
        <f t="shared" si="67"/>
        <v>60</v>
      </c>
      <c r="AU27" s="573">
        <f>IF('Marks Entry'!AA27="","",'Marks Entry'!AA27)</f>
        <v>45</v>
      </c>
      <c r="AV27" s="573" t="str">
        <f>IF('Marks Entry'!AB27="","",'Marks Entry'!AB27)</f>
        <v/>
      </c>
      <c r="AW27" s="572">
        <f t="shared" si="68"/>
        <v>45</v>
      </c>
      <c r="AX27" s="157">
        <f t="shared" si="69"/>
        <v>105</v>
      </c>
      <c r="AY27" s="157" t="str">
        <f t="shared" si="70"/>
        <v/>
      </c>
      <c r="AZ27" s="192">
        <f t="shared" si="71"/>
        <v>105</v>
      </c>
      <c r="BA27" s="153">
        <f t="shared" si="72"/>
        <v>0</v>
      </c>
      <c r="BB27" s="154">
        <f t="shared" si="73"/>
        <v>0</v>
      </c>
      <c r="BC27" s="154">
        <f t="shared" si="74"/>
        <v>100</v>
      </c>
      <c r="BD27" s="154" t="str">
        <f t="shared" si="75"/>
        <v/>
      </c>
      <c r="BE27" s="154">
        <f t="shared" si="76"/>
        <v>200</v>
      </c>
      <c r="BF27" s="153" t="str">
        <f t="shared" si="77"/>
        <v/>
      </c>
      <c r="BG27" s="154" t="str">
        <f t="shared" si="175"/>
        <v>P</v>
      </c>
      <c r="BH27" s="153" t="str">
        <f t="shared" si="78"/>
        <v>II</v>
      </c>
      <c r="BI27" s="580" t="str">
        <f>IF('Marks Entry'!AC27="","",'Marks Entry'!AC27)</f>
        <v>B</v>
      </c>
      <c r="BJ27" s="580">
        <f>IF('Marks Entry'!AD27="","",'Marks Entry'!AD27)</f>
        <v>15</v>
      </c>
      <c r="BK27" s="580">
        <f>IF('Marks Entry'!AE27="","",'Marks Entry'!AE27)</f>
        <v>10</v>
      </c>
      <c r="BL27" s="580" t="str">
        <f>IF('Marks Entry'!AF27="","",'Marks Entry'!AF27)</f>
        <v/>
      </c>
      <c r="BM27" s="581">
        <f t="shared" si="79"/>
        <v>25</v>
      </c>
      <c r="BN27" s="580">
        <f>IF('Marks Entry'!AG27="","",'Marks Entry'!AG27)</f>
        <v>40</v>
      </c>
      <c r="BO27" s="580" t="str">
        <f>IF('Marks Entry'!AH27="","",'Marks Entry'!AH27)</f>
        <v/>
      </c>
      <c r="BP27" s="581">
        <f t="shared" si="80"/>
        <v>40</v>
      </c>
      <c r="BQ27" s="581">
        <f t="shared" si="81"/>
        <v>65</v>
      </c>
      <c r="BR27" s="580">
        <f>IF('Marks Entry'!AI27="","",'Marks Entry'!AI27)</f>
        <v>50</v>
      </c>
      <c r="BS27" s="580" t="str">
        <f>IF('Marks Entry'!AJ27="","",'Marks Entry'!AJ27)</f>
        <v/>
      </c>
      <c r="BT27" s="581">
        <f t="shared" si="82"/>
        <v>50</v>
      </c>
      <c r="BU27" s="157">
        <f t="shared" si="83"/>
        <v>115</v>
      </c>
      <c r="BV27" s="157" t="str">
        <f t="shared" si="84"/>
        <v/>
      </c>
      <c r="BW27" s="192">
        <f t="shared" si="85"/>
        <v>115</v>
      </c>
      <c r="BX27" s="153">
        <f t="shared" si="86"/>
        <v>0</v>
      </c>
      <c r="BY27" s="154">
        <f t="shared" si="87"/>
        <v>0</v>
      </c>
      <c r="BZ27" s="154">
        <f t="shared" si="88"/>
        <v>100</v>
      </c>
      <c r="CA27" s="154" t="str">
        <f t="shared" si="89"/>
        <v/>
      </c>
      <c r="CB27" s="154">
        <f t="shared" si="90"/>
        <v>200</v>
      </c>
      <c r="CC27" s="153" t="str">
        <f t="shared" si="91"/>
        <v/>
      </c>
      <c r="CD27" s="154" t="str">
        <f t="shared" si="92"/>
        <v>P</v>
      </c>
      <c r="CE27" s="153" t="str">
        <f t="shared" si="93"/>
        <v>II</v>
      </c>
      <c r="CF27" s="580" t="str">
        <f>IF('Marks Entry'!AK27="","",'Marks Entry'!AK27)</f>
        <v>A</v>
      </c>
      <c r="CG27" s="580">
        <f>IF('Marks Entry'!AL27="","",'Marks Entry'!AL27)</f>
        <v>15</v>
      </c>
      <c r="CH27" s="580">
        <f>IF('Marks Entry'!AM27="","",'Marks Entry'!AM27)</f>
        <v>10</v>
      </c>
      <c r="CI27" s="580" t="str">
        <f>IF('Marks Entry'!AN27="","",'Marks Entry'!AN27)</f>
        <v/>
      </c>
      <c r="CJ27" s="581">
        <f t="shared" si="94"/>
        <v>25</v>
      </c>
      <c r="CK27" s="580">
        <f>IF('Marks Entry'!AO27="","",'Marks Entry'!AO27)</f>
        <v>24</v>
      </c>
      <c r="CL27" s="580">
        <f>IF('Marks Entry'!AP27="","",'Marks Entry'!AP27)</f>
        <v>12</v>
      </c>
      <c r="CM27" s="581">
        <f t="shared" si="95"/>
        <v>36</v>
      </c>
      <c r="CN27" s="581">
        <f t="shared" si="96"/>
        <v>61</v>
      </c>
      <c r="CO27" s="580">
        <f>IF('Marks Entry'!AQ27="","",'Marks Entry'!AQ27)</f>
        <v>50</v>
      </c>
      <c r="CP27" s="580">
        <f>IF('Marks Entry'!AR27="","",'Marks Entry'!AR27)</f>
        <v>28</v>
      </c>
      <c r="CQ27" s="581">
        <f t="shared" si="97"/>
        <v>78</v>
      </c>
      <c r="CR27" s="157">
        <f t="shared" si="98"/>
        <v>99</v>
      </c>
      <c r="CS27" s="157">
        <f t="shared" si="99"/>
        <v>40</v>
      </c>
      <c r="CT27" s="192">
        <f t="shared" si="100"/>
        <v>139</v>
      </c>
      <c r="CU27" s="153">
        <f t="shared" si="101"/>
        <v>0</v>
      </c>
      <c r="CV27" s="154">
        <f t="shared" si="102"/>
        <v>0</v>
      </c>
      <c r="CW27" s="154">
        <f t="shared" si="103"/>
        <v>70</v>
      </c>
      <c r="CX27" s="154">
        <f t="shared" si="104"/>
        <v>50</v>
      </c>
      <c r="CY27" s="154">
        <f t="shared" si="176"/>
        <v>150</v>
      </c>
      <c r="CZ27" s="153" t="str">
        <f t="shared" si="105"/>
        <v/>
      </c>
      <c r="DA27" s="154" t="str">
        <f t="shared" si="106"/>
        <v>P</v>
      </c>
      <c r="DB27" s="153" t="str">
        <f t="shared" si="107"/>
        <v>I</v>
      </c>
      <c r="DC27" s="154">
        <f t="shared" si="108"/>
        <v>0</v>
      </c>
      <c r="DD27" s="826" t="str">
        <f>IF('Marks Entry'!AS27="","",IF(OR('Master Sheet'!$D$19="YES",'Marks Entry'!$BA$1=1),'Marks Entry'!AS27,""))</f>
        <v/>
      </c>
      <c r="DE27" s="826" t="str">
        <f>IF('Marks Entry'!AT27="","",IF(OR('Master Sheet'!$D$19="YES",'Marks Entry'!$BA$1=1),'Marks Entry'!AT27,""))</f>
        <v/>
      </c>
      <c r="DF27" s="826" t="str">
        <f>IF('Marks Entry'!AU27="","",IF(OR('Master Sheet'!$D$19="YES",'Marks Entry'!$BA$1=1),'Marks Entry'!AU27,""))</f>
        <v/>
      </c>
      <c r="DG27" s="826" t="str">
        <f>IF('Marks Entry'!AV27="","",IF(OR('Master Sheet'!$D$19="YES",'Marks Entry'!$BA$1=1),'Marks Entry'!AV27,""))</f>
        <v/>
      </c>
      <c r="DH27" s="827" t="str">
        <f t="shared" si="109"/>
        <v/>
      </c>
      <c r="DI27" s="826" t="str">
        <f>IF('Marks Entry'!AW27="","",IF(OR('Master Sheet'!$D$19="YES",'Marks Entry'!$BA$1=1),'Marks Entry'!AW27,""))</f>
        <v/>
      </c>
      <c r="DJ27" s="826" t="str">
        <f>IF('Marks Entry'!AX27="","",IF(OR('Master Sheet'!$D$19="YES",'Marks Entry'!$BA$1=1),'Marks Entry'!AX27,""))</f>
        <v/>
      </c>
      <c r="DK27" s="827" t="str">
        <f t="shared" si="110"/>
        <v/>
      </c>
      <c r="DL27" s="827" t="str">
        <f t="shared" si="111"/>
        <v/>
      </c>
      <c r="DM27" s="826" t="str">
        <f>IF('Marks Entry'!AY27="","",IF(OR('Master Sheet'!$D$19="YES",'Marks Entry'!$BA$1=1),'Marks Entry'!AY27,""))</f>
        <v/>
      </c>
      <c r="DN27" s="826" t="str">
        <f>IF('Marks Entry'!AZ27="","",IF(OR('Master Sheet'!$D$19="YES",'Marks Entry'!$BA$1=1),'Marks Entry'!AZ27,""))</f>
        <v/>
      </c>
      <c r="DO27" s="826" t="str">
        <f>IF('Marks Entry'!BA27="","",IF(OR('Master Sheet'!$D$19="YES",'Marks Entry'!$BA$1=1),'Marks Entry'!BA27,""))</f>
        <v/>
      </c>
      <c r="DP27" s="827" t="str">
        <f t="shared" si="112"/>
        <v/>
      </c>
      <c r="DQ27" s="157" t="str">
        <f t="shared" si="113"/>
        <v/>
      </c>
      <c r="DR27" s="157" t="str">
        <f t="shared" si="114"/>
        <v/>
      </c>
      <c r="DS27" s="157" t="str">
        <f t="shared" si="115"/>
        <v/>
      </c>
      <c r="DT27" s="192" t="str">
        <f t="shared" si="116"/>
        <v/>
      </c>
      <c r="DU27" s="153">
        <f t="shared" si="117"/>
        <v>0</v>
      </c>
      <c r="DV27" s="154" t="e">
        <f t="shared" si="118"/>
        <v>#VALUE!</v>
      </c>
      <c r="DW27" s="154" t="str">
        <f t="shared" si="119"/>
        <v/>
      </c>
      <c r="DX27" s="154" t="str">
        <f>IF(OR($B27="NSO",$B27=0,DS27=""),"",IF(AND(DJ27="",DO27=""),"",IF('Master Sheet'!$D$19="YES",$DO$6-COUNTIF(DO27,"ML")*DO$6,DS$6-(COUNTIF(DJ27,"ML")*DJ$6)-(COUNTIF(DO27,"ML")*DO$6))))</f>
        <v/>
      </c>
      <c r="DY27" s="154" t="str">
        <f>IF(OR($B27="NSO",$B27=0),"",IF(AND(DH27="",DI27="",DM27=""),"",IF(AND('Master Sheet'!$D$19="YES",'Marks Entry'!$BA$1=1),100,IF(AND(DJ27="",DO27=""),SUM(($DQ$7+$DR$7)-(DU27+DV27)),SUM(($DQ$6+$DR$6)-(DU27+DV27))))))</f>
        <v/>
      </c>
      <c r="DZ27" s="153" t="str">
        <f t="shared" si="120"/>
        <v/>
      </c>
      <c r="EA27" s="154" t="str">
        <f t="shared" si="121"/>
        <v/>
      </c>
      <c r="EB27" s="153" t="str">
        <f t="shared" si="122"/>
        <v/>
      </c>
      <c r="EC27" s="584">
        <f>IF('Marks Entry'!BB27="","",'Marks Entry'!BB27)</f>
        <v>24</v>
      </c>
      <c r="ED27" s="584">
        <f>IF('Marks Entry'!BC27="","",'Marks Entry'!BC27)</f>
        <v>25</v>
      </c>
      <c r="EE27" s="584">
        <f>IF('Marks Entry'!BD27="","",'Marks Entry'!BD27)</f>
        <v>32</v>
      </c>
      <c r="EF27" s="590">
        <f t="shared" si="123"/>
        <v>81</v>
      </c>
      <c r="EG27" s="595">
        <f t="shared" si="124"/>
        <v>0</v>
      </c>
      <c r="EH27" s="595">
        <f t="shared" si="125"/>
        <v>0</v>
      </c>
      <c r="EI27" s="193">
        <f t="shared" si="126"/>
        <v>100</v>
      </c>
      <c r="EJ27" s="595" t="str">
        <f t="shared" si="127"/>
        <v/>
      </c>
      <c r="EK27" s="595" t="str">
        <f t="shared" si="128"/>
        <v>A</v>
      </c>
      <c r="EL27" s="194" t="str">
        <f t="shared" si="129"/>
        <v/>
      </c>
      <c r="EM27" s="194" t="str">
        <f t="shared" si="130"/>
        <v/>
      </c>
      <c r="EN27" s="194" t="str">
        <f t="shared" si="131"/>
        <v>II</v>
      </c>
      <c r="EO27" s="194" t="str">
        <f t="shared" si="132"/>
        <v>II</v>
      </c>
      <c r="EP27" s="194" t="str">
        <f t="shared" si="133"/>
        <v>I</v>
      </c>
      <c r="EQ27" s="194" t="str">
        <f t="shared" si="134"/>
        <v/>
      </c>
      <c r="ER27" s="195">
        <f t="shared" si="135"/>
        <v>0</v>
      </c>
      <c r="ES27" s="195">
        <f t="shared" si="136"/>
        <v>0</v>
      </c>
      <c r="ET27" s="195">
        <f t="shared" si="137"/>
        <v>0</v>
      </c>
      <c r="EU27" s="195">
        <f t="shared" si="138"/>
        <v>0</v>
      </c>
      <c r="EV27" s="195">
        <f t="shared" si="139"/>
        <v>0</v>
      </c>
      <c r="EW27" s="195" t="str">
        <f t="shared" si="140"/>
        <v/>
      </c>
      <c r="EX27" s="196" t="str">
        <f t="shared" si="141"/>
        <v/>
      </c>
      <c r="EY27" s="197">
        <f>IF('Marks Entry'!BE27="","",'Marks Entry'!BE27)</f>
        <v>7</v>
      </c>
      <c r="EZ27" s="197">
        <f>IF('Marks Entry'!BF27="","",'Marks Entry'!BF27)</f>
        <v>7</v>
      </c>
      <c r="FA27" s="197">
        <f>IF('Marks Entry'!BG27="","",'Marks Entry'!BG27)</f>
        <v>7</v>
      </c>
      <c r="FB27" s="596">
        <f t="shared" si="142"/>
        <v>21</v>
      </c>
      <c r="FC27" s="197">
        <f>IF('Marks Entry'!BH27="","",'Marks Entry'!BH27)</f>
        <v>41</v>
      </c>
      <c r="FD27" s="197">
        <f>IF('Marks Entry'!BI27="","",'Marks Entry'!BI27)</f>
        <v>68</v>
      </c>
      <c r="FE27" s="198">
        <f t="shared" si="143"/>
        <v>130</v>
      </c>
      <c r="FF27" s="199" t="str">
        <f t="shared" si="144"/>
        <v>B</v>
      </c>
      <c r="FG27" s="200" t="str">
        <f>IF(AND(E27=""),"",IF('Student DATA Entry'!L23="","",'Student DATA Entry'!L23))</f>
        <v/>
      </c>
      <c r="FH27" s="201" t="str">
        <f>IF(AND(E27=""),"",IF('Student DATA Entry'!M23="","",'Student DATA Entry'!M23))</f>
        <v/>
      </c>
      <c r="FI27" s="202" t="str">
        <f t="shared" si="145"/>
        <v/>
      </c>
      <c r="FJ27" s="189" t="str">
        <f t="shared" si="146"/>
        <v/>
      </c>
      <c r="FK27" s="189" t="str">
        <f t="shared" si="147"/>
        <v/>
      </c>
      <c r="FL27" s="203" t="str">
        <f t="shared" si="19"/>
        <v/>
      </c>
      <c r="FM27" s="189" t="str">
        <f t="shared" si="148"/>
        <v/>
      </c>
      <c r="FN27" s="204" t="str">
        <f t="shared" si="149"/>
        <v/>
      </c>
      <c r="FO27" s="203" t="str">
        <f t="shared" si="20"/>
        <v/>
      </c>
      <c r="FP27" s="205" t="str">
        <f t="shared" si="150"/>
        <v>II</v>
      </c>
      <c r="FQ27" s="189" t="str">
        <f t="shared" si="21"/>
        <v>II</v>
      </c>
      <c r="FR27" s="189" t="str">
        <f t="shared" si="22"/>
        <v/>
      </c>
      <c r="FS27" s="189" t="str">
        <f t="shared" si="23"/>
        <v/>
      </c>
      <c r="FT27" s="189" t="str">
        <f t="shared" si="24"/>
        <v/>
      </c>
      <c r="FU27" s="189" t="str">
        <f t="shared" si="151"/>
        <v/>
      </c>
      <c r="FV27" s="206" t="str">
        <f t="shared" si="25"/>
        <v/>
      </c>
      <c r="FW27" s="205" t="str">
        <f t="shared" si="152"/>
        <v>II</v>
      </c>
      <c r="FX27" s="189" t="str">
        <f t="shared" si="26"/>
        <v/>
      </c>
      <c r="FY27" s="189" t="str">
        <f t="shared" si="27"/>
        <v>II</v>
      </c>
      <c r="FZ27" s="189" t="str">
        <f t="shared" si="28"/>
        <v/>
      </c>
      <c r="GA27" s="189" t="str">
        <f t="shared" si="29"/>
        <v/>
      </c>
      <c r="GB27" s="189" t="str">
        <f t="shared" si="153"/>
        <v/>
      </c>
      <c r="GC27" s="206" t="str">
        <f t="shared" si="30"/>
        <v/>
      </c>
      <c r="GD27" s="205" t="str">
        <f t="shared" si="154"/>
        <v>I</v>
      </c>
      <c r="GE27" s="189" t="str">
        <f t="shared" si="31"/>
        <v>I</v>
      </c>
      <c r="GF27" s="189" t="str">
        <f t="shared" si="32"/>
        <v/>
      </c>
      <c r="GG27" s="189" t="str">
        <f t="shared" si="33"/>
        <v/>
      </c>
      <c r="GH27" s="189" t="str">
        <f t="shared" si="34"/>
        <v/>
      </c>
      <c r="GI27" s="189" t="str">
        <f t="shared" si="155"/>
        <v/>
      </c>
      <c r="GJ27" s="206" t="str">
        <f t="shared" si="35"/>
        <v/>
      </c>
      <c r="GK27" s="205" t="str">
        <f t="shared" si="156"/>
        <v/>
      </c>
      <c r="GL27" s="189" t="str">
        <f t="shared" si="36"/>
        <v/>
      </c>
      <c r="GM27" s="189" t="str">
        <f t="shared" si="37"/>
        <v/>
      </c>
      <c r="GN27" s="189" t="str">
        <f t="shared" si="38"/>
        <v/>
      </c>
      <c r="GO27" s="189" t="str">
        <f t="shared" si="39"/>
        <v/>
      </c>
      <c r="GP27" s="189" t="str">
        <f t="shared" si="157"/>
        <v/>
      </c>
      <c r="GQ27" s="206" t="str">
        <f t="shared" si="40"/>
        <v/>
      </c>
      <c r="GR27" s="189" t="str">
        <f t="shared" si="158"/>
        <v>A</v>
      </c>
      <c r="GS27" s="189" t="str">
        <f t="shared" si="159"/>
        <v>B</v>
      </c>
      <c r="GT27" s="207" t="str">
        <f t="shared" si="177"/>
        <v xml:space="preserve">    </v>
      </c>
      <c r="GU27" s="207" t="str">
        <f t="shared" si="160"/>
        <v xml:space="preserve">    </v>
      </c>
      <c r="GV27" s="207" t="str">
        <f t="shared" si="161"/>
        <v xml:space="preserve">    </v>
      </c>
      <c r="GW27" s="207" t="str">
        <f t="shared" si="162"/>
        <v xml:space="preserve">       </v>
      </c>
      <c r="GX27" s="598" t="str">
        <f t="shared" si="163"/>
        <v xml:space="preserve">     </v>
      </c>
      <c r="GY27" s="208" t="str">
        <f t="shared" si="164"/>
        <v/>
      </c>
      <c r="GZ27" s="606">
        <f>IF(AND(Q27="",AE27="",AZ27="",BW27="",CT27=""),"",IF(AND('Master Sheet'!$D$19="YES",'Marks Entry'!$BA$1=1),SUM(Q27,AE27,AZ27,BW27,DT27),SUM(Q27,AE27,AZ27,BW27,CT27)))</f>
        <v>584</v>
      </c>
      <c r="HA27" s="209">
        <f>IF(GZ27="","",IF(AND('Master Sheet'!$D$19="YES",'Marks Entry'!$BA$1=1),GZ27/((900)-DC27)*100,GZ27/((1000)-DC27)*100))</f>
        <v>58.4</v>
      </c>
      <c r="HB27" s="611" t="str">
        <f t="shared" si="165"/>
        <v/>
      </c>
      <c r="HC27" s="609" t="str">
        <f t="shared" si="166"/>
        <v/>
      </c>
      <c r="HD27" s="610" t="str">
        <f t="shared" si="167"/>
        <v/>
      </c>
      <c r="HE27" s="210" t="str">
        <f>IFERROR(IF(OR(GY27="SUPPLEMENTARY",GY27="RE-EXAM"),'Supp. Result Entry'!AS26,""),"")</f>
        <v/>
      </c>
      <c r="HF27" s="613" t="str">
        <f t="shared" si="168"/>
        <v/>
      </c>
      <c r="HG27" s="598" t="str">
        <f t="shared" si="169"/>
        <v/>
      </c>
      <c r="HH27" s="598" t="str">
        <f>IF(AND(HE27="",HF27="",HG27=""),"",IF(OR(GY27="SUPPLEMENTARY",GY27="RE-EXAM"),'Supp. Result Entry'!AS26,GY27))</f>
        <v/>
      </c>
      <c r="HI27" s="180"/>
      <c r="HY27" s="212" t="str">
        <f>IF('Supp. Result Entry'!U26="","",'Supp. Result Entry'!$U$6)</f>
        <v/>
      </c>
      <c r="HZ27" s="213" t="str">
        <f>IF('Supp. Result Entry'!X26="","",'Supp. Result Entry'!$X$6)</f>
        <v/>
      </c>
      <c r="IA27" s="213" t="str">
        <f>IF('Supp. Result Entry'!AA26="","",'Supp. Result Entry'!$AA$6)</f>
        <v/>
      </c>
      <c r="IB27" s="213" t="str">
        <f>IF('Supp. Result Entry'!AD26="","",'Supp. Result Entry'!$AD$6)</f>
        <v/>
      </c>
      <c r="IC27" s="213" t="str">
        <f>IF('Supp. Result Entry'!AG26="","",'Supp. Result Entry'!$AG$6)</f>
        <v/>
      </c>
      <c r="ID27" s="213" t="str">
        <f>IF('Supp. Result Entry'!AJ26="","",'Supp. Result Entry'!$AJ$6)</f>
        <v/>
      </c>
      <c r="IE27" s="213" t="str">
        <f>IF('Supp. Result Entry'!V26="","",'Supp. Result Entry'!V26)</f>
        <v/>
      </c>
      <c r="IF27" s="213" t="str">
        <f>IF('Supp. Result Entry'!Y26="","",'Supp. Result Entry'!Y26)</f>
        <v/>
      </c>
      <c r="IG27" s="213" t="str">
        <f>IF('Supp. Result Entry'!AB26="","",'Supp. Result Entry'!AB26)</f>
        <v/>
      </c>
      <c r="IH27" s="213" t="str">
        <f>IF('Supp. Result Entry'!AE26="","",'Supp. Result Entry'!AE26)</f>
        <v/>
      </c>
      <c r="II27" s="213" t="str">
        <f>IF('Supp. Result Entry'!AH26="","",'Supp. Result Entry'!AH26)</f>
        <v/>
      </c>
      <c r="IJ27" s="213" t="str">
        <f>IF('Supp. Result Entry'!AK26="","",'Supp. Result Entry'!AK26)</f>
        <v/>
      </c>
      <c r="IK27" s="213" t="str">
        <f>IF('Supp. Result Entry'!W26="","",'Supp. Result Entry'!W26)</f>
        <v/>
      </c>
      <c r="IL27" s="213" t="str">
        <f>IF('Supp. Result Entry'!Z26="","",'Supp. Result Entry'!Z26)</f>
        <v/>
      </c>
      <c r="IM27" s="213" t="str">
        <f>IF('Supp. Result Entry'!AC26="","",'Supp. Result Entry'!AC26)</f>
        <v/>
      </c>
      <c r="IN27" s="213" t="str">
        <f>IF('Supp. Result Entry'!AF26="","",'Supp. Result Entry'!AF26)</f>
        <v/>
      </c>
      <c r="IO27" s="213" t="str">
        <f>IF('Supp. Result Entry'!AI26="","",'Supp. Result Entry'!AI26)</f>
        <v/>
      </c>
      <c r="IP27" s="213" t="str">
        <f>IF('Supp. Result Entry'!AL26="","",'Supp. Result Entry'!AL26)</f>
        <v/>
      </c>
      <c r="IQ27" s="213">
        <f>COUNTIF('Supp. Result Entry'!K26:Q26,"S")</f>
        <v>0</v>
      </c>
      <c r="IR27" s="213">
        <f t="shared" si="170"/>
        <v>0</v>
      </c>
      <c r="IS27" s="213">
        <f t="shared" si="171"/>
        <v>0</v>
      </c>
      <c r="IT27" s="213" t="str">
        <f t="shared" si="41"/>
        <v/>
      </c>
      <c r="IU27" s="213" t="str">
        <f t="shared" si="42"/>
        <v/>
      </c>
      <c r="IV27" s="213" t="str">
        <f t="shared" si="43"/>
        <v/>
      </c>
      <c r="IW27" s="213" t="str">
        <f t="shared" si="44"/>
        <v/>
      </c>
      <c r="IX27" s="213" t="str">
        <f t="shared" si="45"/>
        <v/>
      </c>
      <c r="IY27" s="213" t="str">
        <f t="shared" si="172"/>
        <v/>
      </c>
      <c r="IZ27" s="213" t="str">
        <f t="shared" si="173"/>
        <v/>
      </c>
      <c r="JA27" s="213" t="str">
        <f t="shared" si="46"/>
        <v/>
      </c>
      <c r="JB27" s="211" t="str">
        <f t="shared" si="174"/>
        <v/>
      </c>
    </row>
    <row r="28" spans="1:262" s="211" customFormat="1" ht="21" customHeight="1">
      <c r="A28" s="184">
        <v>21</v>
      </c>
      <c r="B28" s="185" t="str">
        <f>IF('Marks Entry'!B28="","",'Marks Entry'!B28)</f>
        <v/>
      </c>
      <c r="C28" s="186" t="str">
        <f>IF('Marks Entry'!D28="","",'Marks Entry'!D28)</f>
        <v/>
      </c>
      <c r="D28" s="187" t="str">
        <f>IF('Marks Entry'!E28="","",'Marks Entry'!E28)</f>
        <v/>
      </c>
      <c r="E28" s="188" t="str">
        <f>IF('Marks Entry'!F28="","",'Marks Entry'!F28)</f>
        <v/>
      </c>
      <c r="F28" s="188" t="str">
        <f>IF('Marks Entry'!G28="","",'Marks Entry'!G28)</f>
        <v/>
      </c>
      <c r="G28" s="188" t="str">
        <f>IF('Marks Entry'!H28="","",'Marks Entry'!H28)</f>
        <v/>
      </c>
      <c r="H28" s="189" t="str">
        <f>IF('Marks Entry'!I28="","",'Marks Entry'!I28)</f>
        <v/>
      </c>
      <c r="I28" s="190" t="str">
        <f>IF('Marks Entry'!J28="","",'Marks Entry'!J28)</f>
        <v/>
      </c>
      <c r="J28" s="545">
        <f>IF('Marks Entry'!K28="","",'Marks Entry'!K28)</f>
        <v>12</v>
      </c>
      <c r="K28" s="545">
        <f>IF('Marks Entry'!L28="","",'Marks Entry'!L28)</f>
        <v>8</v>
      </c>
      <c r="L28" s="545">
        <f>IF('Marks Entry'!M28="","",'Marks Entry'!M28)</f>
        <v>8</v>
      </c>
      <c r="M28" s="546">
        <f t="shared" si="47"/>
        <v>28</v>
      </c>
      <c r="N28" s="545">
        <f>IF('Marks Entry'!N28="","",'Marks Entry'!N28)</f>
        <v>29</v>
      </c>
      <c r="O28" s="546">
        <f t="shared" si="48"/>
        <v>57</v>
      </c>
      <c r="P28" s="545">
        <f>IF('Marks Entry'!O28="","",'Marks Entry'!O28)</f>
        <v>51</v>
      </c>
      <c r="Q28" s="547">
        <f t="shared" si="49"/>
        <v>108</v>
      </c>
      <c r="R28" s="153">
        <f t="shared" si="50"/>
        <v>0</v>
      </c>
      <c r="S28" s="153">
        <f t="shared" si="51"/>
        <v>0</v>
      </c>
      <c r="T28" s="154">
        <f t="shared" si="52"/>
        <v>200</v>
      </c>
      <c r="U28" s="153" t="str">
        <f t="shared" si="53"/>
        <v/>
      </c>
      <c r="V28" s="153" t="str">
        <f t="shared" si="54"/>
        <v/>
      </c>
      <c r="W28" s="153" t="str">
        <f t="shared" si="55"/>
        <v/>
      </c>
      <c r="X28" s="545">
        <f>IF('Marks Entry'!P28="","",'Marks Entry'!P28)</f>
        <v>9</v>
      </c>
      <c r="Y28" s="545">
        <f>IF('Marks Entry'!Q28="","",'Marks Entry'!Q28)</f>
        <v>10</v>
      </c>
      <c r="Z28" s="545">
        <f>IF('Marks Entry'!R28="","",'Marks Entry'!R28)</f>
        <v>9</v>
      </c>
      <c r="AA28" s="546">
        <f t="shared" si="56"/>
        <v>28</v>
      </c>
      <c r="AB28" s="545">
        <f>IF('Marks Entry'!S28="","",'Marks Entry'!S28)</f>
        <v>28</v>
      </c>
      <c r="AC28" s="546">
        <f t="shared" si="57"/>
        <v>56</v>
      </c>
      <c r="AD28" s="545">
        <f>IF('Marks Entry'!T28="","",'Marks Entry'!T28)</f>
        <v>65</v>
      </c>
      <c r="AE28" s="547">
        <f t="shared" si="58"/>
        <v>121</v>
      </c>
      <c r="AF28" s="153">
        <f t="shared" si="59"/>
        <v>0</v>
      </c>
      <c r="AG28" s="153">
        <f t="shared" si="60"/>
        <v>0</v>
      </c>
      <c r="AH28" s="154">
        <f t="shared" si="61"/>
        <v>200</v>
      </c>
      <c r="AI28" s="153" t="str">
        <f t="shared" si="62"/>
        <v/>
      </c>
      <c r="AJ28" s="153" t="str">
        <f t="shared" si="63"/>
        <v/>
      </c>
      <c r="AK28" s="153" t="str">
        <f t="shared" si="64"/>
        <v/>
      </c>
      <c r="AL28" s="573" t="str">
        <f>IF('Marks Entry'!U28="","",'Marks Entry'!U28)</f>
        <v>A</v>
      </c>
      <c r="AM28" s="573">
        <f>IF('Marks Entry'!V28="","",'Marks Entry'!V28)</f>
        <v>7</v>
      </c>
      <c r="AN28" s="573">
        <f>IF('Marks Entry'!W28="","",'Marks Entry'!W28)</f>
        <v>6</v>
      </c>
      <c r="AO28" s="573">
        <f>IF('Marks Entry'!X28="","",'Marks Entry'!X28)</f>
        <v>7</v>
      </c>
      <c r="AP28" s="572">
        <f t="shared" si="65"/>
        <v>20</v>
      </c>
      <c r="AQ28" s="573">
        <f>IF('Marks Entry'!Y28="","",'Marks Entry'!Y28)</f>
        <v>41</v>
      </c>
      <c r="AR28" s="573" t="str">
        <f>IF('Marks Entry'!Z28="","",'Marks Entry'!Z28)</f>
        <v/>
      </c>
      <c r="AS28" s="572">
        <f t="shared" si="66"/>
        <v>41</v>
      </c>
      <c r="AT28" s="572">
        <f t="shared" si="67"/>
        <v>61</v>
      </c>
      <c r="AU28" s="573">
        <f>IF('Marks Entry'!AA28="","",'Marks Entry'!AA28)</f>
        <v>48</v>
      </c>
      <c r="AV28" s="573" t="str">
        <f>IF('Marks Entry'!AB28="","",'Marks Entry'!AB28)</f>
        <v/>
      </c>
      <c r="AW28" s="572">
        <f t="shared" si="68"/>
        <v>48</v>
      </c>
      <c r="AX28" s="157">
        <f t="shared" si="69"/>
        <v>109</v>
      </c>
      <c r="AY28" s="157" t="str">
        <f t="shared" si="70"/>
        <v/>
      </c>
      <c r="AZ28" s="192">
        <f t="shared" si="71"/>
        <v>109</v>
      </c>
      <c r="BA28" s="153">
        <f t="shared" si="72"/>
        <v>0</v>
      </c>
      <c r="BB28" s="154">
        <f t="shared" si="73"/>
        <v>0</v>
      </c>
      <c r="BC28" s="154">
        <f t="shared" si="74"/>
        <v>100</v>
      </c>
      <c r="BD28" s="154" t="str">
        <f t="shared" si="75"/>
        <v/>
      </c>
      <c r="BE28" s="154">
        <f t="shared" si="76"/>
        <v>200</v>
      </c>
      <c r="BF28" s="153" t="str">
        <f t="shared" si="77"/>
        <v/>
      </c>
      <c r="BG28" s="154" t="str">
        <f t="shared" si="175"/>
        <v>P</v>
      </c>
      <c r="BH28" s="153" t="str">
        <f t="shared" si="78"/>
        <v>II</v>
      </c>
      <c r="BI28" s="580" t="str">
        <f>IF('Marks Entry'!AC28="","",'Marks Entry'!AC28)</f>
        <v>B</v>
      </c>
      <c r="BJ28" s="580">
        <f>IF('Marks Entry'!AD28="","",'Marks Entry'!AD28)</f>
        <v>12</v>
      </c>
      <c r="BK28" s="580">
        <f>IF('Marks Entry'!AE28="","",'Marks Entry'!AE28)</f>
        <v>12</v>
      </c>
      <c r="BL28" s="580" t="str">
        <f>IF('Marks Entry'!AF28="","",'Marks Entry'!AF28)</f>
        <v/>
      </c>
      <c r="BM28" s="581">
        <f t="shared" si="79"/>
        <v>24</v>
      </c>
      <c r="BN28" s="580">
        <f>IF('Marks Entry'!AG28="","",'Marks Entry'!AG28)</f>
        <v>45</v>
      </c>
      <c r="BO28" s="580" t="str">
        <f>IF('Marks Entry'!AH28="","",'Marks Entry'!AH28)</f>
        <v/>
      </c>
      <c r="BP28" s="581">
        <f t="shared" si="80"/>
        <v>45</v>
      </c>
      <c r="BQ28" s="581">
        <f t="shared" si="81"/>
        <v>69</v>
      </c>
      <c r="BR28" s="580">
        <f>IF('Marks Entry'!AI28="","",'Marks Entry'!AI28)</f>
        <v>52</v>
      </c>
      <c r="BS28" s="580" t="str">
        <f>IF('Marks Entry'!AJ28="","",'Marks Entry'!AJ28)</f>
        <v/>
      </c>
      <c r="BT28" s="581">
        <f t="shared" si="82"/>
        <v>52</v>
      </c>
      <c r="BU28" s="157">
        <f t="shared" si="83"/>
        <v>121</v>
      </c>
      <c r="BV28" s="157" t="str">
        <f t="shared" si="84"/>
        <v/>
      </c>
      <c r="BW28" s="192">
        <f t="shared" si="85"/>
        <v>121</v>
      </c>
      <c r="BX28" s="153">
        <f t="shared" si="86"/>
        <v>0</v>
      </c>
      <c r="BY28" s="154">
        <f t="shared" si="87"/>
        <v>0</v>
      </c>
      <c r="BZ28" s="154">
        <f t="shared" si="88"/>
        <v>100</v>
      </c>
      <c r="CA28" s="154" t="str">
        <f t="shared" si="89"/>
        <v/>
      </c>
      <c r="CB28" s="154">
        <f t="shared" si="90"/>
        <v>200</v>
      </c>
      <c r="CC28" s="153" t="str">
        <f t="shared" si="91"/>
        <v/>
      </c>
      <c r="CD28" s="154" t="str">
        <f t="shared" si="92"/>
        <v>P</v>
      </c>
      <c r="CE28" s="153" t="str">
        <f t="shared" si="93"/>
        <v>I</v>
      </c>
      <c r="CF28" s="580" t="str">
        <f>IF('Marks Entry'!AK28="","",'Marks Entry'!AK28)</f>
        <v>A</v>
      </c>
      <c r="CG28" s="580">
        <f>IF('Marks Entry'!AL28="","",'Marks Entry'!AL28)</f>
        <v>17</v>
      </c>
      <c r="CH28" s="580">
        <f>IF('Marks Entry'!AM28="","",'Marks Entry'!AM28)</f>
        <v>10</v>
      </c>
      <c r="CI28" s="580" t="str">
        <f>IF('Marks Entry'!AN28="","",'Marks Entry'!AN28)</f>
        <v/>
      </c>
      <c r="CJ28" s="581">
        <f t="shared" si="94"/>
        <v>27</v>
      </c>
      <c r="CK28" s="580">
        <f>IF('Marks Entry'!AO28="","",'Marks Entry'!AO28)</f>
        <v>28</v>
      </c>
      <c r="CL28" s="580">
        <f>IF('Marks Entry'!AP28="","",'Marks Entry'!AP28)</f>
        <v>10</v>
      </c>
      <c r="CM28" s="581">
        <f t="shared" si="95"/>
        <v>38</v>
      </c>
      <c r="CN28" s="581">
        <f t="shared" si="96"/>
        <v>65</v>
      </c>
      <c r="CO28" s="580">
        <f>IF('Marks Entry'!AQ28="","",'Marks Entry'!AQ28)</f>
        <v>42</v>
      </c>
      <c r="CP28" s="580">
        <f>IF('Marks Entry'!AR28="","",'Marks Entry'!AR28)</f>
        <v>26</v>
      </c>
      <c r="CQ28" s="581">
        <f t="shared" si="97"/>
        <v>68</v>
      </c>
      <c r="CR28" s="157">
        <f t="shared" si="98"/>
        <v>97</v>
      </c>
      <c r="CS28" s="157">
        <f t="shared" si="99"/>
        <v>36</v>
      </c>
      <c r="CT28" s="192">
        <f t="shared" si="100"/>
        <v>133</v>
      </c>
      <c r="CU28" s="153">
        <f t="shared" si="101"/>
        <v>0</v>
      </c>
      <c r="CV28" s="154">
        <f t="shared" si="102"/>
        <v>0</v>
      </c>
      <c r="CW28" s="154">
        <f t="shared" si="103"/>
        <v>70</v>
      </c>
      <c r="CX28" s="154">
        <f t="shared" si="104"/>
        <v>50</v>
      </c>
      <c r="CY28" s="154">
        <f t="shared" si="176"/>
        <v>150</v>
      </c>
      <c r="CZ28" s="153" t="str">
        <f t="shared" si="105"/>
        <v/>
      </c>
      <c r="DA28" s="154" t="str">
        <f t="shared" si="106"/>
        <v>P</v>
      </c>
      <c r="DB28" s="153" t="str">
        <f t="shared" si="107"/>
        <v>I</v>
      </c>
      <c r="DC28" s="154">
        <f t="shared" si="108"/>
        <v>0</v>
      </c>
      <c r="DD28" s="826" t="str">
        <f>IF('Marks Entry'!AS28="","",IF(OR('Master Sheet'!$D$19="YES",'Marks Entry'!$BA$1=1),'Marks Entry'!AS28,""))</f>
        <v/>
      </c>
      <c r="DE28" s="826" t="str">
        <f>IF('Marks Entry'!AT28="","",IF(OR('Master Sheet'!$D$19="YES",'Marks Entry'!$BA$1=1),'Marks Entry'!AT28,""))</f>
        <v/>
      </c>
      <c r="DF28" s="826" t="str">
        <f>IF('Marks Entry'!AU28="","",IF(OR('Master Sheet'!$D$19="YES",'Marks Entry'!$BA$1=1),'Marks Entry'!AU28,""))</f>
        <v/>
      </c>
      <c r="DG28" s="826" t="str">
        <f>IF('Marks Entry'!AV28="","",IF(OR('Master Sheet'!$D$19="YES",'Marks Entry'!$BA$1=1),'Marks Entry'!AV28,""))</f>
        <v/>
      </c>
      <c r="DH28" s="827" t="str">
        <f t="shared" si="109"/>
        <v/>
      </c>
      <c r="DI28" s="826" t="str">
        <f>IF('Marks Entry'!AW28="","",IF(OR('Master Sheet'!$D$19="YES",'Marks Entry'!$BA$1=1),'Marks Entry'!AW28,""))</f>
        <v/>
      </c>
      <c r="DJ28" s="826" t="str">
        <f>IF('Marks Entry'!AX28="","",IF(OR('Master Sheet'!$D$19="YES",'Marks Entry'!$BA$1=1),'Marks Entry'!AX28,""))</f>
        <v/>
      </c>
      <c r="DK28" s="827" t="str">
        <f t="shared" si="110"/>
        <v/>
      </c>
      <c r="DL28" s="827" t="str">
        <f t="shared" si="111"/>
        <v/>
      </c>
      <c r="DM28" s="826" t="str">
        <f>IF('Marks Entry'!AY28="","",IF(OR('Master Sheet'!$D$19="YES",'Marks Entry'!$BA$1=1),'Marks Entry'!AY28,""))</f>
        <v/>
      </c>
      <c r="DN28" s="826" t="str">
        <f>IF('Marks Entry'!AZ28="","",IF(OR('Master Sheet'!$D$19="YES",'Marks Entry'!$BA$1=1),'Marks Entry'!AZ28,""))</f>
        <v/>
      </c>
      <c r="DO28" s="826" t="str">
        <f>IF('Marks Entry'!BA28="","",IF(OR('Master Sheet'!$D$19="YES",'Marks Entry'!$BA$1=1),'Marks Entry'!BA28,""))</f>
        <v/>
      </c>
      <c r="DP28" s="827" t="str">
        <f t="shared" si="112"/>
        <v/>
      </c>
      <c r="DQ28" s="157" t="str">
        <f t="shared" si="113"/>
        <v/>
      </c>
      <c r="DR28" s="157" t="str">
        <f t="shared" si="114"/>
        <v/>
      </c>
      <c r="DS28" s="157" t="str">
        <f t="shared" si="115"/>
        <v/>
      </c>
      <c r="DT28" s="192" t="str">
        <f t="shared" si="116"/>
        <v/>
      </c>
      <c r="DU28" s="153">
        <f t="shared" si="117"/>
        <v>0</v>
      </c>
      <c r="DV28" s="154" t="e">
        <f t="shared" si="118"/>
        <v>#VALUE!</v>
      </c>
      <c r="DW28" s="154" t="str">
        <f t="shared" si="119"/>
        <v/>
      </c>
      <c r="DX28" s="154" t="str">
        <f>IF(OR($B28="NSO",$B28=0,DS28=""),"",IF(AND(DJ28="",DO28=""),"",IF('Master Sheet'!$D$19="YES",$DO$6-COUNTIF(DO28,"ML")*DO$6,DS$6-(COUNTIF(DJ28,"ML")*DJ$6)-(COUNTIF(DO28,"ML")*DO$6))))</f>
        <v/>
      </c>
      <c r="DY28" s="154" t="str">
        <f>IF(OR($B28="NSO",$B28=0),"",IF(AND(DH28="",DI28="",DM28=""),"",IF(AND('Master Sheet'!$D$19="YES",'Marks Entry'!$BA$1=1),100,IF(AND(DJ28="",DO28=""),SUM(($DQ$7+$DR$7)-(DU28+DV28)),SUM(($DQ$6+$DR$6)-(DU28+DV28))))))</f>
        <v/>
      </c>
      <c r="DZ28" s="153" t="str">
        <f t="shared" si="120"/>
        <v/>
      </c>
      <c r="EA28" s="154" t="str">
        <f t="shared" si="121"/>
        <v/>
      </c>
      <c r="EB28" s="153" t="str">
        <f t="shared" si="122"/>
        <v/>
      </c>
      <c r="EC28" s="584">
        <f>IF('Marks Entry'!BB28="","",'Marks Entry'!BB28)</f>
        <v>24</v>
      </c>
      <c r="ED28" s="584">
        <f>IF('Marks Entry'!BC28="","",'Marks Entry'!BC28)</f>
        <v>25</v>
      </c>
      <c r="EE28" s="584">
        <f>IF('Marks Entry'!BD28="","",'Marks Entry'!BD28)</f>
        <v>32</v>
      </c>
      <c r="EF28" s="590">
        <f t="shared" si="123"/>
        <v>81</v>
      </c>
      <c r="EG28" s="595">
        <f t="shared" si="124"/>
        <v>0</v>
      </c>
      <c r="EH28" s="595">
        <f t="shared" si="125"/>
        <v>0</v>
      </c>
      <c r="EI28" s="193">
        <f t="shared" si="126"/>
        <v>100</v>
      </c>
      <c r="EJ28" s="595" t="str">
        <f t="shared" si="127"/>
        <v/>
      </c>
      <c r="EK28" s="595" t="str">
        <f t="shared" si="128"/>
        <v>A</v>
      </c>
      <c r="EL28" s="194" t="str">
        <f t="shared" si="129"/>
        <v/>
      </c>
      <c r="EM28" s="194" t="str">
        <f t="shared" si="130"/>
        <v/>
      </c>
      <c r="EN28" s="194" t="str">
        <f t="shared" si="131"/>
        <v>II</v>
      </c>
      <c r="EO28" s="194" t="str">
        <f t="shared" si="132"/>
        <v>I</v>
      </c>
      <c r="EP28" s="194" t="str">
        <f t="shared" si="133"/>
        <v>I</v>
      </c>
      <c r="EQ28" s="194" t="str">
        <f t="shared" si="134"/>
        <v/>
      </c>
      <c r="ER28" s="195">
        <f t="shared" si="135"/>
        <v>0</v>
      </c>
      <c r="ES28" s="195">
        <f t="shared" si="136"/>
        <v>0</v>
      </c>
      <c r="ET28" s="195">
        <f t="shared" si="137"/>
        <v>0</v>
      </c>
      <c r="EU28" s="195">
        <f t="shared" si="138"/>
        <v>0</v>
      </c>
      <c r="EV28" s="195">
        <f t="shared" si="139"/>
        <v>0</v>
      </c>
      <c r="EW28" s="195" t="str">
        <f t="shared" si="140"/>
        <v/>
      </c>
      <c r="EX28" s="196" t="str">
        <f t="shared" si="141"/>
        <v/>
      </c>
      <c r="EY28" s="197">
        <f>IF('Marks Entry'!BE28="","",'Marks Entry'!BE28)</f>
        <v>7</v>
      </c>
      <c r="EZ28" s="197">
        <f>IF('Marks Entry'!BF28="","",'Marks Entry'!BF28)</f>
        <v>7</v>
      </c>
      <c r="FA28" s="197">
        <f>IF('Marks Entry'!BG28="","",'Marks Entry'!BG28)</f>
        <v>7</v>
      </c>
      <c r="FB28" s="596">
        <f t="shared" si="142"/>
        <v>21</v>
      </c>
      <c r="FC28" s="197">
        <f>IF('Marks Entry'!BH28="","",'Marks Entry'!BH28)</f>
        <v>41</v>
      </c>
      <c r="FD28" s="197">
        <f>IF('Marks Entry'!BI28="","",'Marks Entry'!BI28)</f>
        <v>68</v>
      </c>
      <c r="FE28" s="198">
        <f t="shared" si="143"/>
        <v>130</v>
      </c>
      <c r="FF28" s="199" t="str">
        <f t="shared" si="144"/>
        <v>B</v>
      </c>
      <c r="FG28" s="200" t="str">
        <f>IF(AND(E28=""),"",IF('Student DATA Entry'!L24="","",'Student DATA Entry'!L24))</f>
        <v/>
      </c>
      <c r="FH28" s="201" t="str">
        <f>IF(AND(E28=""),"",IF('Student DATA Entry'!M24="","",'Student DATA Entry'!M24))</f>
        <v/>
      </c>
      <c r="FI28" s="202" t="str">
        <f t="shared" si="145"/>
        <v/>
      </c>
      <c r="FJ28" s="189" t="str">
        <f t="shared" si="146"/>
        <v/>
      </c>
      <c r="FK28" s="189" t="str">
        <f t="shared" si="147"/>
        <v/>
      </c>
      <c r="FL28" s="203" t="str">
        <f t="shared" si="19"/>
        <v/>
      </c>
      <c r="FM28" s="189" t="str">
        <f t="shared" si="148"/>
        <v/>
      </c>
      <c r="FN28" s="204" t="str">
        <f t="shared" si="149"/>
        <v/>
      </c>
      <c r="FO28" s="203" t="str">
        <f t="shared" si="20"/>
        <v/>
      </c>
      <c r="FP28" s="205" t="str">
        <f t="shared" si="150"/>
        <v>II</v>
      </c>
      <c r="FQ28" s="189" t="str">
        <f t="shared" si="21"/>
        <v>II</v>
      </c>
      <c r="FR28" s="189" t="str">
        <f t="shared" si="22"/>
        <v/>
      </c>
      <c r="FS28" s="189" t="str">
        <f t="shared" si="23"/>
        <v/>
      </c>
      <c r="FT28" s="189" t="str">
        <f t="shared" si="24"/>
        <v/>
      </c>
      <c r="FU28" s="189" t="str">
        <f t="shared" si="151"/>
        <v/>
      </c>
      <c r="FV28" s="206" t="str">
        <f t="shared" si="25"/>
        <v/>
      </c>
      <c r="FW28" s="205" t="str">
        <f t="shared" si="152"/>
        <v>I</v>
      </c>
      <c r="FX28" s="189" t="str">
        <f t="shared" si="26"/>
        <v/>
      </c>
      <c r="FY28" s="189" t="str">
        <f t="shared" si="27"/>
        <v>I</v>
      </c>
      <c r="FZ28" s="189" t="str">
        <f t="shared" si="28"/>
        <v/>
      </c>
      <c r="GA28" s="189" t="str">
        <f t="shared" si="29"/>
        <v/>
      </c>
      <c r="GB28" s="189" t="str">
        <f t="shared" si="153"/>
        <v/>
      </c>
      <c r="GC28" s="206" t="str">
        <f t="shared" si="30"/>
        <v/>
      </c>
      <c r="GD28" s="205" t="str">
        <f t="shared" si="154"/>
        <v>I</v>
      </c>
      <c r="GE28" s="189" t="str">
        <f t="shared" si="31"/>
        <v>I</v>
      </c>
      <c r="GF28" s="189" t="str">
        <f t="shared" si="32"/>
        <v/>
      </c>
      <c r="GG28" s="189" t="str">
        <f t="shared" si="33"/>
        <v/>
      </c>
      <c r="GH28" s="189" t="str">
        <f t="shared" si="34"/>
        <v/>
      </c>
      <c r="GI28" s="189" t="str">
        <f t="shared" si="155"/>
        <v/>
      </c>
      <c r="GJ28" s="206" t="str">
        <f t="shared" si="35"/>
        <v/>
      </c>
      <c r="GK28" s="205" t="str">
        <f t="shared" si="156"/>
        <v/>
      </c>
      <c r="GL28" s="189" t="str">
        <f t="shared" si="36"/>
        <v/>
      </c>
      <c r="GM28" s="189" t="str">
        <f t="shared" si="37"/>
        <v/>
      </c>
      <c r="GN28" s="189" t="str">
        <f t="shared" si="38"/>
        <v/>
      </c>
      <c r="GO28" s="189" t="str">
        <f t="shared" si="39"/>
        <v/>
      </c>
      <c r="GP28" s="189" t="str">
        <f t="shared" si="157"/>
        <v/>
      </c>
      <c r="GQ28" s="206" t="str">
        <f t="shared" si="40"/>
        <v/>
      </c>
      <c r="GR28" s="189" t="str">
        <f t="shared" si="158"/>
        <v>A</v>
      </c>
      <c r="GS28" s="189" t="str">
        <f t="shared" si="159"/>
        <v>B</v>
      </c>
      <c r="GT28" s="207" t="str">
        <f t="shared" si="177"/>
        <v xml:space="preserve">    </v>
      </c>
      <c r="GU28" s="207" t="str">
        <f t="shared" si="160"/>
        <v xml:space="preserve">    </v>
      </c>
      <c r="GV28" s="207" t="str">
        <f t="shared" si="161"/>
        <v xml:space="preserve">    </v>
      </c>
      <c r="GW28" s="207" t="str">
        <f t="shared" si="162"/>
        <v xml:space="preserve">       </v>
      </c>
      <c r="GX28" s="598" t="str">
        <f t="shared" si="163"/>
        <v xml:space="preserve">     </v>
      </c>
      <c r="GY28" s="208" t="str">
        <f t="shared" si="164"/>
        <v/>
      </c>
      <c r="GZ28" s="606">
        <f>IF(AND(Q28="",AE28="",AZ28="",BW28="",CT28=""),"",IF(AND('Master Sheet'!$D$19="YES",'Marks Entry'!$BA$1=1),SUM(Q28,AE28,AZ28,BW28,DT28),SUM(Q28,AE28,AZ28,BW28,CT28)))</f>
        <v>592</v>
      </c>
      <c r="HA28" s="209">
        <f>IF(GZ28="","",IF(AND('Master Sheet'!$D$19="YES",'Marks Entry'!$BA$1=1),GZ28/((900)-DC28)*100,GZ28/((1000)-DC28)*100))</f>
        <v>59.199999999999996</v>
      </c>
      <c r="HB28" s="611" t="str">
        <f t="shared" si="165"/>
        <v/>
      </c>
      <c r="HC28" s="609" t="str">
        <f t="shared" si="166"/>
        <v/>
      </c>
      <c r="HD28" s="610" t="str">
        <f t="shared" si="167"/>
        <v/>
      </c>
      <c r="HE28" s="210" t="str">
        <f>IFERROR(IF(OR(GY28="SUPPLEMENTARY",GY28="RE-EXAM"),'Supp. Result Entry'!AS27,""),"")</f>
        <v/>
      </c>
      <c r="HF28" s="613" t="str">
        <f t="shared" si="168"/>
        <v/>
      </c>
      <c r="HG28" s="598" t="str">
        <f t="shared" si="169"/>
        <v/>
      </c>
      <c r="HH28" s="598" t="str">
        <f>IF(AND(HE28="",HF28="",HG28=""),"",IF(OR(GY28="SUPPLEMENTARY",GY28="RE-EXAM"),'Supp. Result Entry'!AS27,GY28))</f>
        <v/>
      </c>
      <c r="HI28" s="180"/>
      <c r="HY28" s="212" t="str">
        <f>IF('Supp. Result Entry'!U27="","",'Supp. Result Entry'!$U$6)</f>
        <v/>
      </c>
      <c r="HZ28" s="213" t="str">
        <f>IF('Supp. Result Entry'!X27="","",'Supp. Result Entry'!$X$6)</f>
        <v/>
      </c>
      <c r="IA28" s="213" t="str">
        <f>IF('Supp. Result Entry'!AA27="","",'Supp. Result Entry'!$AA$6)</f>
        <v/>
      </c>
      <c r="IB28" s="213" t="str">
        <f>IF('Supp. Result Entry'!AD27="","",'Supp. Result Entry'!$AD$6)</f>
        <v/>
      </c>
      <c r="IC28" s="213" t="str">
        <f>IF('Supp. Result Entry'!AG27="","",'Supp. Result Entry'!$AG$6)</f>
        <v/>
      </c>
      <c r="ID28" s="213" t="str">
        <f>IF('Supp. Result Entry'!AJ27="","",'Supp. Result Entry'!$AJ$6)</f>
        <v/>
      </c>
      <c r="IE28" s="213" t="str">
        <f>IF('Supp. Result Entry'!V27="","",'Supp. Result Entry'!V27)</f>
        <v/>
      </c>
      <c r="IF28" s="213" t="str">
        <f>IF('Supp. Result Entry'!Y27="","",'Supp. Result Entry'!Y27)</f>
        <v/>
      </c>
      <c r="IG28" s="213" t="str">
        <f>IF('Supp. Result Entry'!AB27="","",'Supp. Result Entry'!AB27)</f>
        <v/>
      </c>
      <c r="IH28" s="213" t="str">
        <f>IF('Supp. Result Entry'!AE27="","",'Supp. Result Entry'!AE27)</f>
        <v/>
      </c>
      <c r="II28" s="213" t="str">
        <f>IF('Supp. Result Entry'!AH27="","",'Supp. Result Entry'!AH27)</f>
        <v/>
      </c>
      <c r="IJ28" s="213" t="str">
        <f>IF('Supp. Result Entry'!AK27="","",'Supp. Result Entry'!AK27)</f>
        <v/>
      </c>
      <c r="IK28" s="213" t="str">
        <f>IF('Supp. Result Entry'!W27="","",'Supp. Result Entry'!W27)</f>
        <v/>
      </c>
      <c r="IL28" s="213" t="str">
        <f>IF('Supp. Result Entry'!Z27="","",'Supp. Result Entry'!Z27)</f>
        <v/>
      </c>
      <c r="IM28" s="213" t="str">
        <f>IF('Supp. Result Entry'!AC27="","",'Supp. Result Entry'!AC27)</f>
        <v/>
      </c>
      <c r="IN28" s="213" t="str">
        <f>IF('Supp. Result Entry'!AF27="","",'Supp. Result Entry'!AF27)</f>
        <v/>
      </c>
      <c r="IO28" s="213" t="str">
        <f>IF('Supp. Result Entry'!AI27="","",'Supp. Result Entry'!AI27)</f>
        <v/>
      </c>
      <c r="IP28" s="213" t="str">
        <f>IF('Supp. Result Entry'!AL27="","",'Supp. Result Entry'!AL27)</f>
        <v/>
      </c>
      <c r="IQ28" s="213">
        <f>COUNTIF('Supp. Result Entry'!K27:Q27,"S")</f>
        <v>0</v>
      </c>
      <c r="IR28" s="213">
        <f t="shared" si="170"/>
        <v>0</v>
      </c>
      <c r="IS28" s="213">
        <f t="shared" si="171"/>
        <v>0</v>
      </c>
      <c r="IT28" s="213" t="str">
        <f t="shared" si="41"/>
        <v/>
      </c>
      <c r="IU28" s="213" t="str">
        <f t="shared" si="42"/>
        <v/>
      </c>
      <c r="IV28" s="213" t="str">
        <f t="shared" si="43"/>
        <v/>
      </c>
      <c r="IW28" s="213" t="str">
        <f t="shared" si="44"/>
        <v/>
      </c>
      <c r="IX28" s="213" t="str">
        <f t="shared" si="45"/>
        <v/>
      </c>
      <c r="IY28" s="213" t="str">
        <f t="shared" si="172"/>
        <v/>
      </c>
      <c r="IZ28" s="213" t="str">
        <f t="shared" si="173"/>
        <v/>
      </c>
      <c r="JA28" s="213" t="str">
        <f t="shared" si="46"/>
        <v/>
      </c>
      <c r="JB28" s="211" t="str">
        <f t="shared" si="174"/>
        <v/>
      </c>
    </row>
    <row r="29" spans="1:262" s="211" customFormat="1" ht="21" customHeight="1">
      <c r="A29" s="184">
        <v>22</v>
      </c>
      <c r="B29" s="185" t="str">
        <f>IF('Marks Entry'!B29="","",'Marks Entry'!B29)</f>
        <v/>
      </c>
      <c r="C29" s="186" t="str">
        <f>IF('Marks Entry'!D29="","",'Marks Entry'!D29)</f>
        <v/>
      </c>
      <c r="D29" s="187" t="str">
        <f>IF('Marks Entry'!E29="","",'Marks Entry'!E29)</f>
        <v/>
      </c>
      <c r="E29" s="188" t="str">
        <f>IF('Marks Entry'!F29="","",'Marks Entry'!F29)</f>
        <v/>
      </c>
      <c r="F29" s="188" t="str">
        <f>IF('Marks Entry'!G29="","",'Marks Entry'!G29)</f>
        <v/>
      </c>
      <c r="G29" s="188" t="str">
        <f>IF('Marks Entry'!H29="","",'Marks Entry'!H29)</f>
        <v/>
      </c>
      <c r="H29" s="189" t="str">
        <f>IF('Marks Entry'!I29="","",'Marks Entry'!I29)</f>
        <v/>
      </c>
      <c r="I29" s="190" t="str">
        <f>IF('Marks Entry'!J29="","",'Marks Entry'!J29)</f>
        <v/>
      </c>
      <c r="J29" s="545">
        <f>IF('Marks Entry'!K29="","",'Marks Entry'!K29)</f>
        <v>13</v>
      </c>
      <c r="K29" s="545">
        <f>IF('Marks Entry'!L29="","",'Marks Entry'!L29)</f>
        <v>7</v>
      </c>
      <c r="L29" s="545">
        <f>IF('Marks Entry'!M29="","",'Marks Entry'!M29)</f>
        <v>8</v>
      </c>
      <c r="M29" s="546">
        <f t="shared" si="47"/>
        <v>28</v>
      </c>
      <c r="N29" s="545">
        <f>IF('Marks Entry'!N29="","",'Marks Entry'!N29)</f>
        <v>27</v>
      </c>
      <c r="O29" s="546">
        <f t="shared" si="48"/>
        <v>55</v>
      </c>
      <c r="P29" s="545">
        <f>IF('Marks Entry'!O29="","",'Marks Entry'!O29)</f>
        <v>54</v>
      </c>
      <c r="Q29" s="547">
        <f t="shared" si="49"/>
        <v>109</v>
      </c>
      <c r="R29" s="153">
        <f t="shared" si="50"/>
        <v>0</v>
      </c>
      <c r="S29" s="153">
        <f t="shared" si="51"/>
        <v>0</v>
      </c>
      <c r="T29" s="154">
        <f t="shared" si="52"/>
        <v>200</v>
      </c>
      <c r="U29" s="153" t="str">
        <f t="shared" si="53"/>
        <v/>
      </c>
      <c r="V29" s="153" t="str">
        <f t="shared" si="54"/>
        <v/>
      </c>
      <c r="W29" s="153" t="str">
        <f t="shared" si="55"/>
        <v/>
      </c>
      <c r="X29" s="545">
        <f>IF('Marks Entry'!P29="","",'Marks Entry'!P29)</f>
        <v>8</v>
      </c>
      <c r="Y29" s="545">
        <f>IF('Marks Entry'!Q29="","",'Marks Entry'!Q29)</f>
        <v>10</v>
      </c>
      <c r="Z29" s="545">
        <f>IF('Marks Entry'!R29="","",'Marks Entry'!R29)</f>
        <v>9</v>
      </c>
      <c r="AA29" s="546">
        <f t="shared" si="56"/>
        <v>27</v>
      </c>
      <c r="AB29" s="545">
        <f>IF('Marks Entry'!S29="","",'Marks Entry'!S29)</f>
        <v>29</v>
      </c>
      <c r="AC29" s="546">
        <f t="shared" si="57"/>
        <v>56</v>
      </c>
      <c r="AD29" s="545">
        <f>IF('Marks Entry'!T29="","",'Marks Entry'!T29)</f>
        <v>68</v>
      </c>
      <c r="AE29" s="547">
        <f t="shared" si="58"/>
        <v>124</v>
      </c>
      <c r="AF29" s="153">
        <f t="shared" si="59"/>
        <v>0</v>
      </c>
      <c r="AG29" s="153">
        <f t="shared" si="60"/>
        <v>0</v>
      </c>
      <c r="AH29" s="154">
        <f t="shared" si="61"/>
        <v>200</v>
      </c>
      <c r="AI29" s="153" t="str">
        <f t="shared" si="62"/>
        <v/>
      </c>
      <c r="AJ29" s="153" t="str">
        <f t="shared" si="63"/>
        <v/>
      </c>
      <c r="AK29" s="153" t="str">
        <f t="shared" si="64"/>
        <v/>
      </c>
      <c r="AL29" s="573" t="str">
        <f>IF('Marks Entry'!U29="","",'Marks Entry'!U29)</f>
        <v>A</v>
      </c>
      <c r="AM29" s="573">
        <f>IF('Marks Entry'!V29="","",'Marks Entry'!V29)</f>
        <v>9</v>
      </c>
      <c r="AN29" s="573">
        <f>IF('Marks Entry'!W29="","",'Marks Entry'!W29)</f>
        <v>8</v>
      </c>
      <c r="AO29" s="573">
        <f>IF('Marks Entry'!X29="","",'Marks Entry'!X29)</f>
        <v>7</v>
      </c>
      <c r="AP29" s="572">
        <f t="shared" si="65"/>
        <v>24</v>
      </c>
      <c r="AQ29" s="573">
        <f>IF('Marks Entry'!Y29="","",'Marks Entry'!Y29)</f>
        <v>40</v>
      </c>
      <c r="AR29" s="573" t="str">
        <f>IF('Marks Entry'!Z29="","",'Marks Entry'!Z29)</f>
        <v/>
      </c>
      <c r="AS29" s="572">
        <f t="shared" si="66"/>
        <v>40</v>
      </c>
      <c r="AT29" s="572">
        <f t="shared" si="67"/>
        <v>64</v>
      </c>
      <c r="AU29" s="573">
        <f>IF('Marks Entry'!AA29="","",'Marks Entry'!AA29)</f>
        <v>47</v>
      </c>
      <c r="AV29" s="573" t="str">
        <f>IF('Marks Entry'!AB29="","",'Marks Entry'!AB29)</f>
        <v/>
      </c>
      <c r="AW29" s="572">
        <f t="shared" si="68"/>
        <v>47</v>
      </c>
      <c r="AX29" s="157">
        <f t="shared" si="69"/>
        <v>111</v>
      </c>
      <c r="AY29" s="157" t="str">
        <f t="shared" si="70"/>
        <v/>
      </c>
      <c r="AZ29" s="192">
        <f t="shared" si="71"/>
        <v>111</v>
      </c>
      <c r="BA29" s="153">
        <f t="shared" si="72"/>
        <v>0</v>
      </c>
      <c r="BB29" s="154">
        <f t="shared" si="73"/>
        <v>0</v>
      </c>
      <c r="BC29" s="154">
        <f t="shared" si="74"/>
        <v>100</v>
      </c>
      <c r="BD29" s="154" t="str">
        <f t="shared" si="75"/>
        <v/>
      </c>
      <c r="BE29" s="154">
        <f t="shared" si="76"/>
        <v>200</v>
      </c>
      <c r="BF29" s="153" t="str">
        <f t="shared" si="77"/>
        <v/>
      </c>
      <c r="BG29" s="154" t="str">
        <f t="shared" si="175"/>
        <v>P</v>
      </c>
      <c r="BH29" s="153" t="str">
        <f t="shared" si="78"/>
        <v>II</v>
      </c>
      <c r="BI29" s="580" t="str">
        <f>IF('Marks Entry'!AC29="","",'Marks Entry'!AC29)</f>
        <v>B</v>
      </c>
      <c r="BJ29" s="580">
        <f>IF('Marks Entry'!AD29="","",'Marks Entry'!AD29)</f>
        <v>14</v>
      </c>
      <c r="BK29" s="580">
        <f>IF('Marks Entry'!AE29="","",'Marks Entry'!AE29)</f>
        <v>10</v>
      </c>
      <c r="BL29" s="580" t="str">
        <f>IF('Marks Entry'!AF29="","",'Marks Entry'!AF29)</f>
        <v/>
      </c>
      <c r="BM29" s="581">
        <f t="shared" si="79"/>
        <v>24</v>
      </c>
      <c r="BN29" s="580">
        <f>IF('Marks Entry'!AG29="","",'Marks Entry'!AG29)</f>
        <v>48</v>
      </c>
      <c r="BO29" s="580" t="str">
        <f>IF('Marks Entry'!AH29="","",'Marks Entry'!AH29)</f>
        <v/>
      </c>
      <c r="BP29" s="581">
        <f t="shared" si="80"/>
        <v>48</v>
      </c>
      <c r="BQ29" s="581">
        <f t="shared" si="81"/>
        <v>72</v>
      </c>
      <c r="BR29" s="580">
        <f>IF('Marks Entry'!AI29="","",'Marks Entry'!AI29)</f>
        <v>52</v>
      </c>
      <c r="BS29" s="580" t="str">
        <f>IF('Marks Entry'!AJ29="","",'Marks Entry'!AJ29)</f>
        <v/>
      </c>
      <c r="BT29" s="581">
        <f t="shared" si="82"/>
        <v>52</v>
      </c>
      <c r="BU29" s="157">
        <f t="shared" si="83"/>
        <v>124</v>
      </c>
      <c r="BV29" s="157" t="str">
        <f t="shared" si="84"/>
        <v/>
      </c>
      <c r="BW29" s="192">
        <f t="shared" si="85"/>
        <v>124</v>
      </c>
      <c r="BX29" s="153">
        <f t="shared" si="86"/>
        <v>0</v>
      </c>
      <c r="BY29" s="154">
        <f t="shared" si="87"/>
        <v>0</v>
      </c>
      <c r="BZ29" s="154">
        <f t="shared" si="88"/>
        <v>100</v>
      </c>
      <c r="CA29" s="154" t="str">
        <f t="shared" si="89"/>
        <v/>
      </c>
      <c r="CB29" s="154">
        <f t="shared" si="90"/>
        <v>200</v>
      </c>
      <c r="CC29" s="153" t="str">
        <f t="shared" si="91"/>
        <v/>
      </c>
      <c r="CD29" s="154" t="str">
        <f t="shared" si="92"/>
        <v>P</v>
      </c>
      <c r="CE29" s="153" t="str">
        <f t="shared" si="93"/>
        <v>I</v>
      </c>
      <c r="CF29" s="580" t="str">
        <f>IF('Marks Entry'!AK29="","",'Marks Entry'!AK29)</f>
        <v>A</v>
      </c>
      <c r="CG29" s="580">
        <f>IF('Marks Entry'!AL29="","",'Marks Entry'!AL29)</f>
        <v>10</v>
      </c>
      <c r="CH29" s="580">
        <f>IF('Marks Entry'!AM29="","",'Marks Entry'!AM29)</f>
        <v>12</v>
      </c>
      <c r="CI29" s="580" t="str">
        <f>IF('Marks Entry'!AN29="","",'Marks Entry'!AN29)</f>
        <v/>
      </c>
      <c r="CJ29" s="581">
        <f t="shared" si="94"/>
        <v>22</v>
      </c>
      <c r="CK29" s="580">
        <f>IF('Marks Entry'!AO29="","",'Marks Entry'!AO29)</f>
        <v>29</v>
      </c>
      <c r="CL29" s="580">
        <f>IF('Marks Entry'!AP29="","",'Marks Entry'!AP29)</f>
        <v>8</v>
      </c>
      <c r="CM29" s="581">
        <f t="shared" si="95"/>
        <v>37</v>
      </c>
      <c r="CN29" s="581">
        <f t="shared" si="96"/>
        <v>59</v>
      </c>
      <c r="CO29" s="580">
        <f>IF('Marks Entry'!AQ29="","",'Marks Entry'!AQ29)</f>
        <v>45</v>
      </c>
      <c r="CP29" s="580">
        <f>IF('Marks Entry'!AR29="","",'Marks Entry'!AR29)</f>
        <v>24</v>
      </c>
      <c r="CQ29" s="581">
        <f t="shared" si="97"/>
        <v>69</v>
      </c>
      <c r="CR29" s="157">
        <f t="shared" si="98"/>
        <v>96</v>
      </c>
      <c r="CS29" s="157">
        <f t="shared" si="99"/>
        <v>32</v>
      </c>
      <c r="CT29" s="192">
        <f t="shared" si="100"/>
        <v>128</v>
      </c>
      <c r="CU29" s="153">
        <f t="shared" si="101"/>
        <v>0</v>
      </c>
      <c r="CV29" s="154">
        <f t="shared" si="102"/>
        <v>0</v>
      </c>
      <c r="CW29" s="154">
        <f t="shared" si="103"/>
        <v>70</v>
      </c>
      <c r="CX29" s="154">
        <f t="shared" si="104"/>
        <v>50</v>
      </c>
      <c r="CY29" s="154">
        <f t="shared" si="176"/>
        <v>150</v>
      </c>
      <c r="CZ29" s="153" t="str">
        <f t="shared" si="105"/>
        <v/>
      </c>
      <c r="DA29" s="154" t="str">
        <f t="shared" si="106"/>
        <v>P</v>
      </c>
      <c r="DB29" s="153" t="str">
        <f t="shared" si="107"/>
        <v>I</v>
      </c>
      <c r="DC29" s="154">
        <f t="shared" si="108"/>
        <v>0</v>
      </c>
      <c r="DD29" s="826" t="str">
        <f>IF('Marks Entry'!AS29="","",IF(OR('Master Sheet'!$D$19="YES",'Marks Entry'!$BA$1=1),'Marks Entry'!AS29,""))</f>
        <v/>
      </c>
      <c r="DE29" s="826" t="str">
        <f>IF('Marks Entry'!AT29="","",IF(OR('Master Sheet'!$D$19="YES",'Marks Entry'!$BA$1=1),'Marks Entry'!AT29,""))</f>
        <v/>
      </c>
      <c r="DF29" s="826" t="str">
        <f>IF('Marks Entry'!AU29="","",IF(OR('Master Sheet'!$D$19="YES",'Marks Entry'!$BA$1=1),'Marks Entry'!AU29,""))</f>
        <v/>
      </c>
      <c r="DG29" s="826" t="str">
        <f>IF('Marks Entry'!AV29="","",IF(OR('Master Sheet'!$D$19="YES",'Marks Entry'!$BA$1=1),'Marks Entry'!AV29,""))</f>
        <v/>
      </c>
      <c r="DH29" s="827" t="str">
        <f t="shared" si="109"/>
        <v/>
      </c>
      <c r="DI29" s="826" t="str">
        <f>IF('Marks Entry'!AW29="","",IF(OR('Master Sheet'!$D$19="YES",'Marks Entry'!$BA$1=1),'Marks Entry'!AW29,""))</f>
        <v/>
      </c>
      <c r="DJ29" s="826" t="str">
        <f>IF('Marks Entry'!AX29="","",IF(OR('Master Sheet'!$D$19="YES",'Marks Entry'!$BA$1=1),'Marks Entry'!AX29,""))</f>
        <v/>
      </c>
      <c r="DK29" s="827" t="str">
        <f t="shared" si="110"/>
        <v/>
      </c>
      <c r="DL29" s="827" t="str">
        <f t="shared" si="111"/>
        <v/>
      </c>
      <c r="DM29" s="826" t="str">
        <f>IF('Marks Entry'!AY29="","",IF(OR('Master Sheet'!$D$19="YES",'Marks Entry'!$BA$1=1),'Marks Entry'!AY29,""))</f>
        <v/>
      </c>
      <c r="DN29" s="826" t="str">
        <f>IF('Marks Entry'!AZ29="","",IF(OR('Master Sheet'!$D$19="YES",'Marks Entry'!$BA$1=1),'Marks Entry'!AZ29,""))</f>
        <v/>
      </c>
      <c r="DO29" s="826" t="str">
        <f>IF('Marks Entry'!BA29="","",IF(OR('Master Sheet'!$D$19="YES",'Marks Entry'!$BA$1=1),'Marks Entry'!BA29,""))</f>
        <v/>
      </c>
      <c r="DP29" s="827" t="str">
        <f t="shared" si="112"/>
        <v/>
      </c>
      <c r="DQ29" s="157" t="str">
        <f t="shared" si="113"/>
        <v/>
      </c>
      <c r="DR29" s="157" t="str">
        <f t="shared" si="114"/>
        <v/>
      </c>
      <c r="DS29" s="157" t="str">
        <f t="shared" si="115"/>
        <v/>
      </c>
      <c r="DT29" s="192" t="str">
        <f t="shared" si="116"/>
        <v/>
      </c>
      <c r="DU29" s="153">
        <f t="shared" si="117"/>
        <v>0</v>
      </c>
      <c r="DV29" s="154" t="e">
        <f t="shared" si="118"/>
        <v>#VALUE!</v>
      </c>
      <c r="DW29" s="154" t="str">
        <f t="shared" si="119"/>
        <v/>
      </c>
      <c r="DX29" s="154" t="str">
        <f>IF(OR($B29="NSO",$B29=0,DS29=""),"",IF(AND(DJ29="",DO29=""),"",IF('Master Sheet'!$D$19="YES",$DO$6-COUNTIF(DO29,"ML")*DO$6,DS$6-(COUNTIF(DJ29,"ML")*DJ$6)-(COUNTIF(DO29,"ML")*DO$6))))</f>
        <v/>
      </c>
      <c r="DY29" s="154" t="str">
        <f>IF(OR($B29="NSO",$B29=0),"",IF(AND(DH29="",DI29="",DM29=""),"",IF(AND('Master Sheet'!$D$19="YES",'Marks Entry'!$BA$1=1),100,IF(AND(DJ29="",DO29=""),SUM(($DQ$7+$DR$7)-(DU29+DV29)),SUM(($DQ$6+$DR$6)-(DU29+DV29))))))</f>
        <v/>
      </c>
      <c r="DZ29" s="153" t="str">
        <f t="shared" si="120"/>
        <v/>
      </c>
      <c r="EA29" s="154" t="str">
        <f t="shared" si="121"/>
        <v/>
      </c>
      <c r="EB29" s="153" t="str">
        <f t="shared" si="122"/>
        <v/>
      </c>
      <c r="EC29" s="584">
        <f>IF('Marks Entry'!BB29="","",'Marks Entry'!BB29)</f>
        <v>20</v>
      </c>
      <c r="ED29" s="584">
        <f>IF('Marks Entry'!BC29="","",'Marks Entry'!BC29)</f>
        <v>30</v>
      </c>
      <c r="EE29" s="584">
        <f>IF('Marks Entry'!BD29="","",'Marks Entry'!BD29)</f>
        <v>32</v>
      </c>
      <c r="EF29" s="590">
        <f t="shared" si="123"/>
        <v>82</v>
      </c>
      <c r="EG29" s="595">
        <f t="shared" si="124"/>
        <v>0</v>
      </c>
      <c r="EH29" s="595">
        <f t="shared" si="125"/>
        <v>0</v>
      </c>
      <c r="EI29" s="193">
        <f t="shared" si="126"/>
        <v>100</v>
      </c>
      <c r="EJ29" s="595" t="str">
        <f t="shared" si="127"/>
        <v/>
      </c>
      <c r="EK29" s="595" t="str">
        <f t="shared" si="128"/>
        <v>A</v>
      </c>
      <c r="EL29" s="194" t="str">
        <f t="shared" si="129"/>
        <v/>
      </c>
      <c r="EM29" s="194" t="str">
        <f t="shared" si="130"/>
        <v/>
      </c>
      <c r="EN29" s="194" t="str">
        <f t="shared" si="131"/>
        <v>II</v>
      </c>
      <c r="EO29" s="194" t="str">
        <f t="shared" si="132"/>
        <v>I</v>
      </c>
      <c r="EP29" s="194" t="str">
        <f t="shared" si="133"/>
        <v>I</v>
      </c>
      <c r="EQ29" s="194" t="str">
        <f t="shared" si="134"/>
        <v/>
      </c>
      <c r="ER29" s="195">
        <f t="shared" si="135"/>
        <v>0</v>
      </c>
      <c r="ES29" s="195">
        <f t="shared" si="136"/>
        <v>0</v>
      </c>
      <c r="ET29" s="195">
        <f t="shared" si="137"/>
        <v>0</v>
      </c>
      <c r="EU29" s="195">
        <f t="shared" si="138"/>
        <v>0</v>
      </c>
      <c r="EV29" s="195">
        <f t="shared" si="139"/>
        <v>0</v>
      </c>
      <c r="EW29" s="195" t="str">
        <f t="shared" si="140"/>
        <v/>
      </c>
      <c r="EX29" s="196" t="str">
        <f t="shared" si="141"/>
        <v/>
      </c>
      <c r="EY29" s="197">
        <f>IF('Marks Entry'!BE29="","",'Marks Entry'!BE29)</f>
        <v>7</v>
      </c>
      <c r="EZ29" s="197">
        <f>IF('Marks Entry'!BF29="","",'Marks Entry'!BF29)</f>
        <v>7</v>
      </c>
      <c r="FA29" s="197">
        <f>IF('Marks Entry'!BG29="","",'Marks Entry'!BG29)</f>
        <v>7</v>
      </c>
      <c r="FB29" s="596">
        <f t="shared" si="142"/>
        <v>21</v>
      </c>
      <c r="FC29" s="197">
        <f>IF('Marks Entry'!BH29="","",'Marks Entry'!BH29)</f>
        <v>41</v>
      </c>
      <c r="FD29" s="197">
        <f>IF('Marks Entry'!BI29="","",'Marks Entry'!BI29)</f>
        <v>68</v>
      </c>
      <c r="FE29" s="198">
        <f t="shared" si="143"/>
        <v>130</v>
      </c>
      <c r="FF29" s="199" t="str">
        <f t="shared" si="144"/>
        <v>B</v>
      </c>
      <c r="FG29" s="200" t="str">
        <f>IF(AND(E29=""),"",IF('Student DATA Entry'!L25="","",'Student DATA Entry'!L25))</f>
        <v/>
      </c>
      <c r="FH29" s="201" t="str">
        <f>IF(AND(E29=""),"",IF('Student DATA Entry'!M25="","",'Student DATA Entry'!M25))</f>
        <v/>
      </c>
      <c r="FI29" s="202" t="str">
        <f t="shared" si="145"/>
        <v/>
      </c>
      <c r="FJ29" s="189" t="str">
        <f t="shared" si="146"/>
        <v/>
      </c>
      <c r="FK29" s="189" t="str">
        <f t="shared" si="147"/>
        <v/>
      </c>
      <c r="FL29" s="203" t="str">
        <f t="shared" si="19"/>
        <v/>
      </c>
      <c r="FM29" s="189" t="str">
        <f t="shared" si="148"/>
        <v/>
      </c>
      <c r="FN29" s="204" t="str">
        <f t="shared" si="149"/>
        <v/>
      </c>
      <c r="FO29" s="203" t="str">
        <f t="shared" si="20"/>
        <v/>
      </c>
      <c r="FP29" s="205" t="str">
        <f t="shared" si="150"/>
        <v>II</v>
      </c>
      <c r="FQ29" s="189" t="str">
        <f t="shared" si="21"/>
        <v>II</v>
      </c>
      <c r="FR29" s="189" t="str">
        <f t="shared" si="22"/>
        <v/>
      </c>
      <c r="FS29" s="189" t="str">
        <f t="shared" si="23"/>
        <v/>
      </c>
      <c r="FT29" s="189" t="str">
        <f t="shared" si="24"/>
        <v/>
      </c>
      <c r="FU29" s="189" t="str">
        <f t="shared" si="151"/>
        <v/>
      </c>
      <c r="FV29" s="206" t="str">
        <f t="shared" si="25"/>
        <v/>
      </c>
      <c r="FW29" s="205" t="str">
        <f t="shared" si="152"/>
        <v>I</v>
      </c>
      <c r="FX29" s="189" t="str">
        <f t="shared" si="26"/>
        <v/>
      </c>
      <c r="FY29" s="189" t="str">
        <f t="shared" si="27"/>
        <v>I</v>
      </c>
      <c r="FZ29" s="189" t="str">
        <f t="shared" si="28"/>
        <v/>
      </c>
      <c r="GA29" s="189" t="str">
        <f t="shared" si="29"/>
        <v/>
      </c>
      <c r="GB29" s="189" t="str">
        <f t="shared" si="153"/>
        <v/>
      </c>
      <c r="GC29" s="206" t="str">
        <f t="shared" si="30"/>
        <v/>
      </c>
      <c r="GD29" s="205" t="str">
        <f t="shared" si="154"/>
        <v>I</v>
      </c>
      <c r="GE29" s="189" t="str">
        <f t="shared" si="31"/>
        <v>I</v>
      </c>
      <c r="GF29" s="189" t="str">
        <f t="shared" si="32"/>
        <v/>
      </c>
      <c r="GG29" s="189" t="str">
        <f t="shared" si="33"/>
        <v/>
      </c>
      <c r="GH29" s="189" t="str">
        <f t="shared" si="34"/>
        <v/>
      </c>
      <c r="GI29" s="189" t="str">
        <f t="shared" si="155"/>
        <v/>
      </c>
      <c r="GJ29" s="206" t="str">
        <f t="shared" si="35"/>
        <v/>
      </c>
      <c r="GK29" s="205" t="str">
        <f t="shared" si="156"/>
        <v/>
      </c>
      <c r="GL29" s="189" t="str">
        <f t="shared" si="36"/>
        <v/>
      </c>
      <c r="GM29" s="189" t="str">
        <f t="shared" si="37"/>
        <v/>
      </c>
      <c r="GN29" s="189" t="str">
        <f t="shared" si="38"/>
        <v/>
      </c>
      <c r="GO29" s="189" t="str">
        <f t="shared" si="39"/>
        <v/>
      </c>
      <c r="GP29" s="189" t="str">
        <f t="shared" si="157"/>
        <v/>
      </c>
      <c r="GQ29" s="206" t="str">
        <f t="shared" si="40"/>
        <v/>
      </c>
      <c r="GR29" s="189" t="str">
        <f t="shared" si="158"/>
        <v>A</v>
      </c>
      <c r="GS29" s="189" t="str">
        <f t="shared" si="159"/>
        <v>B</v>
      </c>
      <c r="GT29" s="207" t="str">
        <f t="shared" si="177"/>
        <v xml:space="preserve">    </v>
      </c>
      <c r="GU29" s="207" t="str">
        <f t="shared" si="160"/>
        <v xml:space="preserve">    </v>
      </c>
      <c r="GV29" s="207" t="str">
        <f t="shared" si="161"/>
        <v xml:space="preserve">    </v>
      </c>
      <c r="GW29" s="207" t="str">
        <f t="shared" si="162"/>
        <v xml:space="preserve">       </v>
      </c>
      <c r="GX29" s="598" t="str">
        <f t="shared" si="163"/>
        <v xml:space="preserve">     </v>
      </c>
      <c r="GY29" s="208" t="str">
        <f t="shared" si="164"/>
        <v/>
      </c>
      <c r="GZ29" s="606">
        <f>IF(AND(Q29="",AE29="",AZ29="",BW29="",CT29=""),"",IF(AND('Master Sheet'!$D$19="YES",'Marks Entry'!$BA$1=1),SUM(Q29,AE29,AZ29,BW29,DT29),SUM(Q29,AE29,AZ29,BW29,CT29)))</f>
        <v>596</v>
      </c>
      <c r="HA29" s="209">
        <f>IF(GZ29="","",IF(AND('Master Sheet'!$D$19="YES",'Marks Entry'!$BA$1=1),GZ29/((900)-DC29)*100,GZ29/((1000)-DC29)*100))</f>
        <v>59.599999999999994</v>
      </c>
      <c r="HB29" s="611" t="str">
        <f t="shared" si="165"/>
        <v/>
      </c>
      <c r="HC29" s="609" t="str">
        <f t="shared" si="166"/>
        <v/>
      </c>
      <c r="HD29" s="610" t="str">
        <f t="shared" si="167"/>
        <v/>
      </c>
      <c r="HE29" s="210" t="str">
        <f>IFERROR(IF(OR(GY29="SUPPLEMENTARY",GY29="RE-EXAM"),'Supp. Result Entry'!AS28,""),"")</f>
        <v/>
      </c>
      <c r="HF29" s="613" t="str">
        <f t="shared" si="168"/>
        <v/>
      </c>
      <c r="HG29" s="598" t="str">
        <f t="shared" si="169"/>
        <v/>
      </c>
      <c r="HH29" s="598" t="str">
        <f>IF(AND(HE29="",HF29="",HG29=""),"",IF(OR(GY29="SUPPLEMENTARY",GY29="RE-EXAM"),'Supp. Result Entry'!AS28,GY29))</f>
        <v/>
      </c>
      <c r="HI29" s="180"/>
      <c r="HY29" s="212" t="str">
        <f>IF('Supp. Result Entry'!U28="","",'Supp. Result Entry'!$U$6)</f>
        <v/>
      </c>
      <c r="HZ29" s="213" t="str">
        <f>IF('Supp. Result Entry'!X28="","",'Supp. Result Entry'!$X$6)</f>
        <v/>
      </c>
      <c r="IA29" s="213" t="str">
        <f>IF('Supp. Result Entry'!AA28="","",'Supp. Result Entry'!$AA$6)</f>
        <v/>
      </c>
      <c r="IB29" s="213" t="str">
        <f>IF('Supp. Result Entry'!AD28="","",'Supp. Result Entry'!$AD$6)</f>
        <v/>
      </c>
      <c r="IC29" s="213" t="str">
        <f>IF('Supp. Result Entry'!AG28="","",'Supp. Result Entry'!$AG$6)</f>
        <v/>
      </c>
      <c r="ID29" s="213" t="str">
        <f>IF('Supp. Result Entry'!AJ28="","",'Supp. Result Entry'!$AJ$6)</f>
        <v/>
      </c>
      <c r="IE29" s="213" t="str">
        <f>IF('Supp. Result Entry'!V28="","",'Supp. Result Entry'!V28)</f>
        <v/>
      </c>
      <c r="IF29" s="213" t="str">
        <f>IF('Supp. Result Entry'!Y28="","",'Supp. Result Entry'!Y28)</f>
        <v/>
      </c>
      <c r="IG29" s="213" t="str">
        <f>IF('Supp. Result Entry'!AB28="","",'Supp. Result Entry'!AB28)</f>
        <v/>
      </c>
      <c r="IH29" s="213" t="str">
        <f>IF('Supp. Result Entry'!AE28="","",'Supp. Result Entry'!AE28)</f>
        <v/>
      </c>
      <c r="II29" s="213" t="str">
        <f>IF('Supp. Result Entry'!AH28="","",'Supp. Result Entry'!AH28)</f>
        <v/>
      </c>
      <c r="IJ29" s="213" t="str">
        <f>IF('Supp. Result Entry'!AK28="","",'Supp. Result Entry'!AK28)</f>
        <v/>
      </c>
      <c r="IK29" s="213" t="str">
        <f>IF('Supp. Result Entry'!W28="","",'Supp. Result Entry'!W28)</f>
        <v/>
      </c>
      <c r="IL29" s="213" t="str">
        <f>IF('Supp. Result Entry'!Z28="","",'Supp. Result Entry'!Z28)</f>
        <v/>
      </c>
      <c r="IM29" s="213" t="str">
        <f>IF('Supp. Result Entry'!AC28="","",'Supp. Result Entry'!AC28)</f>
        <v/>
      </c>
      <c r="IN29" s="213" t="str">
        <f>IF('Supp. Result Entry'!AF28="","",'Supp. Result Entry'!AF28)</f>
        <v/>
      </c>
      <c r="IO29" s="213" t="str">
        <f>IF('Supp. Result Entry'!AI28="","",'Supp. Result Entry'!AI28)</f>
        <v/>
      </c>
      <c r="IP29" s="213" t="str">
        <f>IF('Supp. Result Entry'!AL28="","",'Supp. Result Entry'!AL28)</f>
        <v/>
      </c>
      <c r="IQ29" s="213">
        <f>COUNTIF('Supp. Result Entry'!K28:Q28,"S")</f>
        <v>0</v>
      </c>
      <c r="IR29" s="213">
        <f t="shared" si="170"/>
        <v>0</v>
      </c>
      <c r="IS29" s="213">
        <f t="shared" si="171"/>
        <v>0</v>
      </c>
      <c r="IT29" s="213" t="str">
        <f t="shared" si="41"/>
        <v/>
      </c>
      <c r="IU29" s="213" t="str">
        <f t="shared" si="42"/>
        <v/>
      </c>
      <c r="IV29" s="213" t="str">
        <f t="shared" si="43"/>
        <v/>
      </c>
      <c r="IW29" s="213" t="str">
        <f t="shared" si="44"/>
        <v/>
      </c>
      <c r="IX29" s="213" t="str">
        <f t="shared" si="45"/>
        <v/>
      </c>
      <c r="IY29" s="213" t="str">
        <f t="shared" si="172"/>
        <v/>
      </c>
      <c r="IZ29" s="213" t="str">
        <f t="shared" si="173"/>
        <v/>
      </c>
      <c r="JA29" s="213" t="str">
        <f t="shared" si="46"/>
        <v/>
      </c>
      <c r="JB29" s="211" t="str">
        <f t="shared" si="174"/>
        <v/>
      </c>
    </row>
    <row r="30" spans="1:262" s="211" customFormat="1" ht="21" customHeight="1">
      <c r="A30" s="184">
        <v>23</v>
      </c>
      <c r="B30" s="185" t="str">
        <f>IF('Marks Entry'!B30="","",'Marks Entry'!B30)</f>
        <v/>
      </c>
      <c r="C30" s="186" t="str">
        <f>IF('Marks Entry'!D30="","",'Marks Entry'!D30)</f>
        <v/>
      </c>
      <c r="D30" s="187" t="str">
        <f>IF('Marks Entry'!E30="","",'Marks Entry'!E30)</f>
        <v/>
      </c>
      <c r="E30" s="188" t="str">
        <f>IF('Marks Entry'!F30="","",'Marks Entry'!F30)</f>
        <v/>
      </c>
      <c r="F30" s="188" t="str">
        <f>IF('Marks Entry'!G30="","",'Marks Entry'!G30)</f>
        <v/>
      </c>
      <c r="G30" s="188" t="str">
        <f>IF('Marks Entry'!H30="","",'Marks Entry'!H30)</f>
        <v/>
      </c>
      <c r="H30" s="189" t="str">
        <f>IF('Marks Entry'!I30="","",'Marks Entry'!I30)</f>
        <v/>
      </c>
      <c r="I30" s="190" t="str">
        <f>IF('Marks Entry'!J30="","",'Marks Entry'!J30)</f>
        <v/>
      </c>
      <c r="J30" s="545">
        <f>IF('Marks Entry'!K30="","",'Marks Entry'!K30)</f>
        <v>14</v>
      </c>
      <c r="K30" s="545">
        <f>IF('Marks Entry'!L30="","",'Marks Entry'!L30)</f>
        <v>4</v>
      </c>
      <c r="L30" s="545">
        <f>IF('Marks Entry'!M30="","",'Marks Entry'!M30)</f>
        <v>8</v>
      </c>
      <c r="M30" s="546">
        <f t="shared" si="47"/>
        <v>26</v>
      </c>
      <c r="N30" s="545">
        <f>IF('Marks Entry'!N30="","",'Marks Entry'!N30)</f>
        <v>28</v>
      </c>
      <c r="O30" s="546">
        <f t="shared" si="48"/>
        <v>54</v>
      </c>
      <c r="P30" s="545">
        <f>IF('Marks Entry'!O30="","",'Marks Entry'!O30)</f>
        <v>52</v>
      </c>
      <c r="Q30" s="547">
        <f t="shared" si="49"/>
        <v>106</v>
      </c>
      <c r="R30" s="153">
        <f t="shared" si="50"/>
        <v>0</v>
      </c>
      <c r="S30" s="153">
        <f t="shared" si="51"/>
        <v>0</v>
      </c>
      <c r="T30" s="154">
        <f t="shared" si="52"/>
        <v>200</v>
      </c>
      <c r="U30" s="153" t="str">
        <f t="shared" si="53"/>
        <v/>
      </c>
      <c r="V30" s="153" t="str">
        <f t="shared" si="54"/>
        <v/>
      </c>
      <c r="W30" s="153" t="str">
        <f t="shared" si="55"/>
        <v/>
      </c>
      <c r="X30" s="545">
        <f>IF('Marks Entry'!P30="","",'Marks Entry'!P30)</f>
        <v>7</v>
      </c>
      <c r="Y30" s="545">
        <f>IF('Marks Entry'!Q30="","",'Marks Entry'!Q30)</f>
        <v>10</v>
      </c>
      <c r="Z30" s="545">
        <f>IF('Marks Entry'!R30="","",'Marks Entry'!R30)</f>
        <v>9</v>
      </c>
      <c r="AA30" s="546">
        <f t="shared" si="56"/>
        <v>26</v>
      </c>
      <c r="AB30" s="545">
        <f>IF('Marks Entry'!S30="","",'Marks Entry'!S30)</f>
        <v>27</v>
      </c>
      <c r="AC30" s="546">
        <f t="shared" si="57"/>
        <v>53</v>
      </c>
      <c r="AD30" s="545">
        <f>IF('Marks Entry'!T30="","",'Marks Entry'!T30)</f>
        <v>69</v>
      </c>
      <c r="AE30" s="547">
        <f t="shared" si="58"/>
        <v>122</v>
      </c>
      <c r="AF30" s="153">
        <f t="shared" si="59"/>
        <v>0</v>
      </c>
      <c r="AG30" s="153">
        <f t="shared" si="60"/>
        <v>0</v>
      </c>
      <c r="AH30" s="154">
        <f t="shared" si="61"/>
        <v>200</v>
      </c>
      <c r="AI30" s="153" t="str">
        <f t="shared" si="62"/>
        <v/>
      </c>
      <c r="AJ30" s="153" t="str">
        <f t="shared" si="63"/>
        <v/>
      </c>
      <c r="AK30" s="153" t="str">
        <f t="shared" si="64"/>
        <v/>
      </c>
      <c r="AL30" s="573" t="str">
        <f>IF('Marks Entry'!U30="","",'Marks Entry'!U30)</f>
        <v>A</v>
      </c>
      <c r="AM30" s="573">
        <f>IF('Marks Entry'!V30="","",'Marks Entry'!V30)</f>
        <v>8</v>
      </c>
      <c r="AN30" s="573">
        <f>IF('Marks Entry'!W30="","",'Marks Entry'!W30)</f>
        <v>8</v>
      </c>
      <c r="AO30" s="573">
        <f>IF('Marks Entry'!X30="","",'Marks Entry'!X30)</f>
        <v>7</v>
      </c>
      <c r="AP30" s="572">
        <f t="shared" si="65"/>
        <v>23</v>
      </c>
      <c r="AQ30" s="573">
        <f>IF('Marks Entry'!Y30="","",'Marks Entry'!Y30)</f>
        <v>40</v>
      </c>
      <c r="AR30" s="573" t="str">
        <f>IF('Marks Entry'!Z30="","",'Marks Entry'!Z30)</f>
        <v/>
      </c>
      <c r="AS30" s="572">
        <f t="shared" si="66"/>
        <v>40</v>
      </c>
      <c r="AT30" s="572">
        <f t="shared" si="67"/>
        <v>63</v>
      </c>
      <c r="AU30" s="573">
        <f>IF('Marks Entry'!AA30="","",'Marks Entry'!AA30)</f>
        <v>48</v>
      </c>
      <c r="AV30" s="573" t="str">
        <f>IF('Marks Entry'!AB30="","",'Marks Entry'!AB30)</f>
        <v/>
      </c>
      <c r="AW30" s="572">
        <f t="shared" si="68"/>
        <v>48</v>
      </c>
      <c r="AX30" s="157">
        <f t="shared" si="69"/>
        <v>111</v>
      </c>
      <c r="AY30" s="157" t="str">
        <f t="shared" si="70"/>
        <v/>
      </c>
      <c r="AZ30" s="192">
        <f t="shared" si="71"/>
        <v>111</v>
      </c>
      <c r="BA30" s="153">
        <f t="shared" si="72"/>
        <v>0</v>
      </c>
      <c r="BB30" s="154">
        <f t="shared" si="73"/>
        <v>0</v>
      </c>
      <c r="BC30" s="154">
        <f t="shared" si="74"/>
        <v>100</v>
      </c>
      <c r="BD30" s="154" t="str">
        <f t="shared" si="75"/>
        <v/>
      </c>
      <c r="BE30" s="154">
        <f t="shared" si="76"/>
        <v>200</v>
      </c>
      <c r="BF30" s="153" t="str">
        <f t="shared" si="77"/>
        <v/>
      </c>
      <c r="BG30" s="154" t="str">
        <f t="shared" si="175"/>
        <v>P</v>
      </c>
      <c r="BH30" s="153" t="str">
        <f t="shared" si="78"/>
        <v>II</v>
      </c>
      <c r="BI30" s="580" t="str">
        <f>IF('Marks Entry'!AC30="","",'Marks Entry'!AC30)</f>
        <v>B</v>
      </c>
      <c r="BJ30" s="580">
        <f>IF('Marks Entry'!AD30="","",'Marks Entry'!AD30)</f>
        <v>15</v>
      </c>
      <c r="BK30" s="580">
        <f>IF('Marks Entry'!AE30="","",'Marks Entry'!AE30)</f>
        <v>10</v>
      </c>
      <c r="BL30" s="580" t="str">
        <f>IF('Marks Entry'!AF30="","",'Marks Entry'!AF30)</f>
        <v/>
      </c>
      <c r="BM30" s="581">
        <f t="shared" si="79"/>
        <v>25</v>
      </c>
      <c r="BN30" s="580">
        <f>IF('Marks Entry'!AG30="","",'Marks Entry'!AG30)</f>
        <v>40</v>
      </c>
      <c r="BO30" s="580" t="str">
        <f>IF('Marks Entry'!AH30="","",'Marks Entry'!AH30)</f>
        <v/>
      </c>
      <c r="BP30" s="581">
        <f t="shared" si="80"/>
        <v>40</v>
      </c>
      <c r="BQ30" s="581">
        <f t="shared" si="81"/>
        <v>65</v>
      </c>
      <c r="BR30" s="580">
        <f>IF('Marks Entry'!AI30="","",'Marks Entry'!AI30)</f>
        <v>54</v>
      </c>
      <c r="BS30" s="580" t="str">
        <f>IF('Marks Entry'!AJ30="","",'Marks Entry'!AJ30)</f>
        <v/>
      </c>
      <c r="BT30" s="581">
        <f t="shared" si="82"/>
        <v>54</v>
      </c>
      <c r="BU30" s="157">
        <f t="shared" si="83"/>
        <v>119</v>
      </c>
      <c r="BV30" s="157" t="str">
        <f t="shared" si="84"/>
        <v/>
      </c>
      <c r="BW30" s="192">
        <f t="shared" si="85"/>
        <v>119</v>
      </c>
      <c r="BX30" s="153">
        <f t="shared" si="86"/>
        <v>0</v>
      </c>
      <c r="BY30" s="154">
        <f t="shared" si="87"/>
        <v>0</v>
      </c>
      <c r="BZ30" s="154">
        <f t="shared" si="88"/>
        <v>100</v>
      </c>
      <c r="CA30" s="154" t="str">
        <f t="shared" si="89"/>
        <v/>
      </c>
      <c r="CB30" s="154">
        <f t="shared" si="90"/>
        <v>200</v>
      </c>
      <c r="CC30" s="153" t="str">
        <f t="shared" si="91"/>
        <v/>
      </c>
      <c r="CD30" s="154" t="str">
        <f t="shared" si="92"/>
        <v>P</v>
      </c>
      <c r="CE30" s="153" t="str">
        <f t="shared" si="93"/>
        <v>II</v>
      </c>
      <c r="CF30" s="580" t="str">
        <f>IF('Marks Entry'!AK30="","",'Marks Entry'!AK30)</f>
        <v>A</v>
      </c>
      <c r="CG30" s="580">
        <f>IF('Marks Entry'!AL30="","",'Marks Entry'!AL30)</f>
        <v>12</v>
      </c>
      <c r="CH30" s="580">
        <f>IF('Marks Entry'!AM30="","",'Marks Entry'!AM30)</f>
        <v>14</v>
      </c>
      <c r="CI30" s="580" t="str">
        <f>IF('Marks Entry'!AN30="","",'Marks Entry'!AN30)</f>
        <v/>
      </c>
      <c r="CJ30" s="581">
        <f t="shared" si="94"/>
        <v>26</v>
      </c>
      <c r="CK30" s="580">
        <f>IF('Marks Entry'!AO30="","",'Marks Entry'!AO30)</f>
        <v>24</v>
      </c>
      <c r="CL30" s="580">
        <f>IF('Marks Entry'!AP30="","",'Marks Entry'!AP30)</f>
        <v>9</v>
      </c>
      <c r="CM30" s="581">
        <f t="shared" si="95"/>
        <v>33</v>
      </c>
      <c r="CN30" s="581">
        <f t="shared" si="96"/>
        <v>59</v>
      </c>
      <c r="CO30" s="580">
        <f>IF('Marks Entry'!AQ30="","",'Marks Entry'!AQ30)</f>
        <v>46</v>
      </c>
      <c r="CP30" s="580">
        <f>IF('Marks Entry'!AR30="","",'Marks Entry'!AR30)</f>
        <v>19</v>
      </c>
      <c r="CQ30" s="581">
        <f t="shared" si="97"/>
        <v>65</v>
      </c>
      <c r="CR30" s="157">
        <f t="shared" si="98"/>
        <v>96</v>
      </c>
      <c r="CS30" s="157">
        <f t="shared" si="99"/>
        <v>28</v>
      </c>
      <c r="CT30" s="192">
        <f t="shared" si="100"/>
        <v>124</v>
      </c>
      <c r="CU30" s="153">
        <f t="shared" si="101"/>
        <v>0</v>
      </c>
      <c r="CV30" s="154">
        <f t="shared" si="102"/>
        <v>0</v>
      </c>
      <c r="CW30" s="154">
        <f t="shared" si="103"/>
        <v>70</v>
      </c>
      <c r="CX30" s="154">
        <f t="shared" si="104"/>
        <v>50</v>
      </c>
      <c r="CY30" s="154">
        <f t="shared" si="176"/>
        <v>150</v>
      </c>
      <c r="CZ30" s="153" t="str">
        <f t="shared" si="105"/>
        <v/>
      </c>
      <c r="DA30" s="154" t="str">
        <f t="shared" si="106"/>
        <v>P</v>
      </c>
      <c r="DB30" s="153" t="str">
        <f t="shared" si="107"/>
        <v>I</v>
      </c>
      <c r="DC30" s="154">
        <f t="shared" si="108"/>
        <v>0</v>
      </c>
      <c r="DD30" s="826" t="str">
        <f>IF('Marks Entry'!AS30="","",IF(OR('Master Sheet'!$D$19="YES",'Marks Entry'!$BA$1=1),'Marks Entry'!AS30,""))</f>
        <v/>
      </c>
      <c r="DE30" s="826" t="str">
        <f>IF('Marks Entry'!AT30="","",IF(OR('Master Sheet'!$D$19="YES",'Marks Entry'!$BA$1=1),'Marks Entry'!AT30,""))</f>
        <v/>
      </c>
      <c r="DF30" s="826" t="str">
        <f>IF('Marks Entry'!AU30="","",IF(OR('Master Sheet'!$D$19="YES",'Marks Entry'!$BA$1=1),'Marks Entry'!AU30,""))</f>
        <v/>
      </c>
      <c r="DG30" s="826" t="str">
        <f>IF('Marks Entry'!AV30="","",IF(OR('Master Sheet'!$D$19="YES",'Marks Entry'!$BA$1=1),'Marks Entry'!AV30,""))</f>
        <v/>
      </c>
      <c r="DH30" s="827" t="str">
        <f t="shared" si="109"/>
        <v/>
      </c>
      <c r="DI30" s="826" t="str">
        <f>IF('Marks Entry'!AW30="","",IF(OR('Master Sheet'!$D$19="YES",'Marks Entry'!$BA$1=1),'Marks Entry'!AW30,""))</f>
        <v/>
      </c>
      <c r="DJ30" s="826" t="str">
        <f>IF('Marks Entry'!AX30="","",IF(OR('Master Sheet'!$D$19="YES",'Marks Entry'!$BA$1=1),'Marks Entry'!AX30,""))</f>
        <v/>
      </c>
      <c r="DK30" s="827" t="str">
        <f t="shared" si="110"/>
        <v/>
      </c>
      <c r="DL30" s="827" t="str">
        <f t="shared" si="111"/>
        <v/>
      </c>
      <c r="DM30" s="826" t="str">
        <f>IF('Marks Entry'!AY30="","",IF(OR('Master Sheet'!$D$19="YES",'Marks Entry'!$BA$1=1),'Marks Entry'!AY30,""))</f>
        <v/>
      </c>
      <c r="DN30" s="826" t="str">
        <f>IF('Marks Entry'!AZ30="","",IF(OR('Master Sheet'!$D$19="YES",'Marks Entry'!$BA$1=1),'Marks Entry'!AZ30,""))</f>
        <v/>
      </c>
      <c r="DO30" s="826" t="str">
        <f>IF('Marks Entry'!BA30="","",IF(OR('Master Sheet'!$D$19="YES",'Marks Entry'!$BA$1=1),'Marks Entry'!BA30,""))</f>
        <v/>
      </c>
      <c r="DP30" s="827" t="str">
        <f t="shared" si="112"/>
        <v/>
      </c>
      <c r="DQ30" s="157" t="str">
        <f t="shared" si="113"/>
        <v/>
      </c>
      <c r="DR30" s="157" t="str">
        <f t="shared" si="114"/>
        <v/>
      </c>
      <c r="DS30" s="157" t="str">
        <f t="shared" si="115"/>
        <v/>
      </c>
      <c r="DT30" s="192" t="str">
        <f t="shared" si="116"/>
        <v/>
      </c>
      <c r="DU30" s="153">
        <f t="shared" si="117"/>
        <v>0</v>
      </c>
      <c r="DV30" s="154" t="e">
        <f t="shared" si="118"/>
        <v>#VALUE!</v>
      </c>
      <c r="DW30" s="154" t="str">
        <f t="shared" si="119"/>
        <v/>
      </c>
      <c r="DX30" s="154" t="str">
        <f>IF(OR($B30="NSO",$B30=0,DS30=""),"",IF(AND(DJ30="",DO30=""),"",IF('Master Sheet'!$D$19="YES",$DO$6-COUNTIF(DO30,"ML")*DO$6,DS$6-(COUNTIF(DJ30,"ML")*DJ$6)-(COUNTIF(DO30,"ML")*DO$6))))</f>
        <v/>
      </c>
      <c r="DY30" s="154" t="str">
        <f>IF(OR($B30="NSO",$B30=0),"",IF(AND(DH30="",DI30="",DM30=""),"",IF(AND('Master Sheet'!$D$19="YES",'Marks Entry'!$BA$1=1),100,IF(AND(DJ30="",DO30=""),SUM(($DQ$7+$DR$7)-(DU30+DV30)),SUM(($DQ$6+$DR$6)-(DU30+DV30))))))</f>
        <v/>
      </c>
      <c r="DZ30" s="153" t="str">
        <f t="shared" si="120"/>
        <v/>
      </c>
      <c r="EA30" s="154" t="str">
        <f t="shared" si="121"/>
        <v/>
      </c>
      <c r="EB30" s="153" t="str">
        <f t="shared" si="122"/>
        <v/>
      </c>
      <c r="EC30" s="584">
        <f>IF('Marks Entry'!BB30="","",'Marks Entry'!BB30)</f>
        <v>20</v>
      </c>
      <c r="ED30" s="584">
        <f>IF('Marks Entry'!BC30="","",'Marks Entry'!BC30)</f>
        <v>30</v>
      </c>
      <c r="EE30" s="584">
        <f>IF('Marks Entry'!BD30="","",'Marks Entry'!BD30)</f>
        <v>32</v>
      </c>
      <c r="EF30" s="590">
        <f t="shared" si="123"/>
        <v>82</v>
      </c>
      <c r="EG30" s="595">
        <f t="shared" si="124"/>
        <v>0</v>
      </c>
      <c r="EH30" s="595">
        <f t="shared" si="125"/>
        <v>0</v>
      </c>
      <c r="EI30" s="193">
        <f t="shared" si="126"/>
        <v>100</v>
      </c>
      <c r="EJ30" s="595" t="str">
        <f t="shared" si="127"/>
        <v/>
      </c>
      <c r="EK30" s="595" t="str">
        <f t="shared" si="128"/>
        <v>A</v>
      </c>
      <c r="EL30" s="194" t="str">
        <f t="shared" si="129"/>
        <v/>
      </c>
      <c r="EM30" s="194" t="str">
        <f t="shared" si="130"/>
        <v/>
      </c>
      <c r="EN30" s="194" t="str">
        <f t="shared" si="131"/>
        <v>II</v>
      </c>
      <c r="EO30" s="194" t="str">
        <f t="shared" si="132"/>
        <v>II</v>
      </c>
      <c r="EP30" s="194" t="str">
        <f t="shared" si="133"/>
        <v>I</v>
      </c>
      <c r="EQ30" s="194" t="str">
        <f t="shared" si="134"/>
        <v/>
      </c>
      <c r="ER30" s="195">
        <f t="shared" si="135"/>
        <v>0</v>
      </c>
      <c r="ES30" s="195">
        <f t="shared" si="136"/>
        <v>0</v>
      </c>
      <c r="ET30" s="195">
        <f t="shared" si="137"/>
        <v>0</v>
      </c>
      <c r="EU30" s="195">
        <f t="shared" si="138"/>
        <v>0</v>
      </c>
      <c r="EV30" s="195">
        <f t="shared" si="139"/>
        <v>0</v>
      </c>
      <c r="EW30" s="195" t="str">
        <f t="shared" si="140"/>
        <v/>
      </c>
      <c r="EX30" s="196" t="str">
        <f t="shared" si="141"/>
        <v/>
      </c>
      <c r="EY30" s="197">
        <f>IF('Marks Entry'!BE30="","",'Marks Entry'!BE30)</f>
        <v>7</v>
      </c>
      <c r="EZ30" s="197">
        <f>IF('Marks Entry'!BF30="","",'Marks Entry'!BF30)</f>
        <v>7</v>
      </c>
      <c r="FA30" s="197">
        <f>IF('Marks Entry'!BG30="","",'Marks Entry'!BG30)</f>
        <v>7</v>
      </c>
      <c r="FB30" s="596">
        <f t="shared" si="142"/>
        <v>21</v>
      </c>
      <c r="FC30" s="197">
        <f>IF('Marks Entry'!BH30="","",'Marks Entry'!BH30)</f>
        <v>41</v>
      </c>
      <c r="FD30" s="197">
        <f>IF('Marks Entry'!BI30="","",'Marks Entry'!BI30)</f>
        <v>68</v>
      </c>
      <c r="FE30" s="198">
        <f t="shared" si="143"/>
        <v>130</v>
      </c>
      <c r="FF30" s="199" t="str">
        <f t="shared" si="144"/>
        <v>B</v>
      </c>
      <c r="FG30" s="200" t="str">
        <f>IF(AND(E30=""),"",IF('Student DATA Entry'!L26="","",'Student DATA Entry'!L26))</f>
        <v/>
      </c>
      <c r="FH30" s="201" t="str">
        <f>IF(AND(E30=""),"",IF('Student DATA Entry'!M26="","",'Student DATA Entry'!M26))</f>
        <v/>
      </c>
      <c r="FI30" s="202" t="str">
        <f t="shared" si="145"/>
        <v/>
      </c>
      <c r="FJ30" s="189" t="str">
        <f t="shared" si="146"/>
        <v/>
      </c>
      <c r="FK30" s="189" t="str">
        <f t="shared" si="147"/>
        <v/>
      </c>
      <c r="FL30" s="203" t="str">
        <f t="shared" si="19"/>
        <v/>
      </c>
      <c r="FM30" s="189" t="str">
        <f t="shared" si="148"/>
        <v/>
      </c>
      <c r="FN30" s="204" t="str">
        <f t="shared" si="149"/>
        <v/>
      </c>
      <c r="FO30" s="203" t="str">
        <f t="shared" si="20"/>
        <v/>
      </c>
      <c r="FP30" s="205" t="str">
        <f t="shared" si="150"/>
        <v>II</v>
      </c>
      <c r="FQ30" s="189" t="str">
        <f t="shared" si="21"/>
        <v>II</v>
      </c>
      <c r="FR30" s="189" t="str">
        <f t="shared" si="22"/>
        <v/>
      </c>
      <c r="FS30" s="189" t="str">
        <f t="shared" si="23"/>
        <v/>
      </c>
      <c r="FT30" s="189" t="str">
        <f t="shared" si="24"/>
        <v/>
      </c>
      <c r="FU30" s="189" t="str">
        <f t="shared" si="151"/>
        <v/>
      </c>
      <c r="FV30" s="206" t="str">
        <f t="shared" si="25"/>
        <v/>
      </c>
      <c r="FW30" s="205" t="str">
        <f t="shared" si="152"/>
        <v>II</v>
      </c>
      <c r="FX30" s="189" t="str">
        <f t="shared" si="26"/>
        <v/>
      </c>
      <c r="FY30" s="189" t="str">
        <f t="shared" si="27"/>
        <v>II</v>
      </c>
      <c r="FZ30" s="189" t="str">
        <f t="shared" si="28"/>
        <v/>
      </c>
      <c r="GA30" s="189" t="str">
        <f t="shared" si="29"/>
        <v/>
      </c>
      <c r="GB30" s="189" t="str">
        <f t="shared" si="153"/>
        <v/>
      </c>
      <c r="GC30" s="206" t="str">
        <f t="shared" si="30"/>
        <v/>
      </c>
      <c r="GD30" s="205" t="str">
        <f t="shared" si="154"/>
        <v>I</v>
      </c>
      <c r="GE30" s="189" t="str">
        <f t="shared" si="31"/>
        <v>I</v>
      </c>
      <c r="GF30" s="189" t="str">
        <f t="shared" si="32"/>
        <v/>
      </c>
      <c r="GG30" s="189" t="str">
        <f t="shared" si="33"/>
        <v/>
      </c>
      <c r="GH30" s="189" t="str">
        <f t="shared" si="34"/>
        <v/>
      </c>
      <c r="GI30" s="189" t="str">
        <f t="shared" si="155"/>
        <v/>
      </c>
      <c r="GJ30" s="206" t="str">
        <f t="shared" si="35"/>
        <v/>
      </c>
      <c r="GK30" s="205" t="str">
        <f t="shared" si="156"/>
        <v/>
      </c>
      <c r="GL30" s="189" t="str">
        <f t="shared" si="36"/>
        <v/>
      </c>
      <c r="GM30" s="189" t="str">
        <f t="shared" si="37"/>
        <v/>
      </c>
      <c r="GN30" s="189" t="str">
        <f t="shared" si="38"/>
        <v/>
      </c>
      <c r="GO30" s="189" t="str">
        <f t="shared" si="39"/>
        <v/>
      </c>
      <c r="GP30" s="189" t="str">
        <f t="shared" si="157"/>
        <v/>
      </c>
      <c r="GQ30" s="206" t="str">
        <f t="shared" si="40"/>
        <v/>
      </c>
      <c r="GR30" s="189" t="str">
        <f t="shared" si="158"/>
        <v>A</v>
      </c>
      <c r="GS30" s="189" t="str">
        <f t="shared" si="159"/>
        <v>B</v>
      </c>
      <c r="GT30" s="207" t="str">
        <f t="shared" si="177"/>
        <v xml:space="preserve">    </v>
      </c>
      <c r="GU30" s="207" t="str">
        <f t="shared" si="160"/>
        <v xml:space="preserve">    </v>
      </c>
      <c r="GV30" s="207" t="str">
        <f t="shared" si="161"/>
        <v xml:space="preserve">    </v>
      </c>
      <c r="GW30" s="207" t="str">
        <f t="shared" si="162"/>
        <v xml:space="preserve">       </v>
      </c>
      <c r="GX30" s="598" t="str">
        <f t="shared" si="163"/>
        <v xml:space="preserve">     </v>
      </c>
      <c r="GY30" s="208" t="str">
        <f t="shared" si="164"/>
        <v/>
      </c>
      <c r="GZ30" s="606">
        <f>IF(AND(Q30="",AE30="",AZ30="",BW30="",CT30=""),"",IF(AND('Master Sheet'!$D$19="YES",'Marks Entry'!$BA$1=1),SUM(Q30,AE30,AZ30,BW30,DT30),SUM(Q30,AE30,AZ30,BW30,CT30)))</f>
        <v>582</v>
      </c>
      <c r="HA30" s="209">
        <f>IF(GZ30="","",IF(AND('Master Sheet'!$D$19="YES",'Marks Entry'!$BA$1=1),GZ30/((900)-DC30)*100,GZ30/((1000)-DC30)*100))</f>
        <v>58.199999999999996</v>
      </c>
      <c r="HB30" s="611" t="str">
        <f t="shared" si="165"/>
        <v/>
      </c>
      <c r="HC30" s="609" t="str">
        <f t="shared" si="166"/>
        <v/>
      </c>
      <c r="HD30" s="610" t="str">
        <f t="shared" si="167"/>
        <v/>
      </c>
      <c r="HE30" s="210" t="str">
        <f>IFERROR(IF(OR(GY30="SUPPLEMENTARY",GY30="RE-EXAM"),'Supp. Result Entry'!AS29,""),"")</f>
        <v/>
      </c>
      <c r="HF30" s="613" t="str">
        <f t="shared" si="168"/>
        <v/>
      </c>
      <c r="HG30" s="598" t="str">
        <f t="shared" si="169"/>
        <v/>
      </c>
      <c r="HH30" s="598" t="str">
        <f>IF(AND(HE30="",HF30="",HG30=""),"",IF(OR(GY30="SUPPLEMENTARY",GY30="RE-EXAM"),'Supp. Result Entry'!AS29,GY30))</f>
        <v/>
      </c>
      <c r="HI30" s="180"/>
      <c r="HY30" s="212" t="str">
        <f>IF('Supp. Result Entry'!U29="","",'Supp. Result Entry'!$U$6)</f>
        <v/>
      </c>
      <c r="HZ30" s="213" t="str">
        <f>IF('Supp. Result Entry'!X29="","",'Supp. Result Entry'!$X$6)</f>
        <v/>
      </c>
      <c r="IA30" s="213" t="str">
        <f>IF('Supp. Result Entry'!AA29="","",'Supp. Result Entry'!$AA$6)</f>
        <v/>
      </c>
      <c r="IB30" s="213" t="str">
        <f>IF('Supp. Result Entry'!AD29="","",'Supp. Result Entry'!$AD$6)</f>
        <v/>
      </c>
      <c r="IC30" s="213" t="str">
        <f>IF('Supp. Result Entry'!AG29="","",'Supp. Result Entry'!$AG$6)</f>
        <v/>
      </c>
      <c r="ID30" s="213" t="str">
        <f>IF('Supp. Result Entry'!AJ29="","",'Supp. Result Entry'!$AJ$6)</f>
        <v/>
      </c>
      <c r="IE30" s="213" t="str">
        <f>IF('Supp. Result Entry'!V29="","",'Supp. Result Entry'!V29)</f>
        <v/>
      </c>
      <c r="IF30" s="213" t="str">
        <f>IF('Supp. Result Entry'!Y29="","",'Supp. Result Entry'!Y29)</f>
        <v/>
      </c>
      <c r="IG30" s="213" t="str">
        <f>IF('Supp. Result Entry'!AB29="","",'Supp. Result Entry'!AB29)</f>
        <v/>
      </c>
      <c r="IH30" s="213" t="str">
        <f>IF('Supp. Result Entry'!AE29="","",'Supp. Result Entry'!AE29)</f>
        <v/>
      </c>
      <c r="II30" s="213" t="str">
        <f>IF('Supp. Result Entry'!AH29="","",'Supp. Result Entry'!AH29)</f>
        <v/>
      </c>
      <c r="IJ30" s="213" t="str">
        <f>IF('Supp. Result Entry'!AK29="","",'Supp. Result Entry'!AK29)</f>
        <v/>
      </c>
      <c r="IK30" s="213" t="str">
        <f>IF('Supp. Result Entry'!W29="","",'Supp. Result Entry'!W29)</f>
        <v/>
      </c>
      <c r="IL30" s="213" t="str">
        <f>IF('Supp. Result Entry'!Z29="","",'Supp. Result Entry'!Z29)</f>
        <v/>
      </c>
      <c r="IM30" s="213" t="str">
        <f>IF('Supp. Result Entry'!AC29="","",'Supp. Result Entry'!AC29)</f>
        <v/>
      </c>
      <c r="IN30" s="213" t="str">
        <f>IF('Supp. Result Entry'!AF29="","",'Supp. Result Entry'!AF29)</f>
        <v/>
      </c>
      <c r="IO30" s="213" t="str">
        <f>IF('Supp. Result Entry'!AI29="","",'Supp. Result Entry'!AI29)</f>
        <v/>
      </c>
      <c r="IP30" s="213" t="str">
        <f>IF('Supp. Result Entry'!AL29="","",'Supp. Result Entry'!AL29)</f>
        <v/>
      </c>
      <c r="IQ30" s="213">
        <f>COUNTIF('Supp. Result Entry'!K29:Q29,"S")</f>
        <v>0</v>
      </c>
      <c r="IR30" s="213">
        <f t="shared" si="170"/>
        <v>0</v>
      </c>
      <c r="IS30" s="213">
        <f t="shared" si="171"/>
        <v>0</v>
      </c>
      <c r="IT30" s="213" t="str">
        <f t="shared" si="41"/>
        <v/>
      </c>
      <c r="IU30" s="213" t="str">
        <f t="shared" si="42"/>
        <v/>
      </c>
      <c r="IV30" s="213" t="str">
        <f t="shared" si="43"/>
        <v/>
      </c>
      <c r="IW30" s="213" t="str">
        <f t="shared" si="44"/>
        <v/>
      </c>
      <c r="IX30" s="213" t="str">
        <f t="shared" si="45"/>
        <v/>
      </c>
      <c r="IY30" s="213" t="str">
        <f t="shared" si="172"/>
        <v/>
      </c>
      <c r="IZ30" s="213" t="str">
        <f t="shared" si="173"/>
        <v/>
      </c>
      <c r="JA30" s="213" t="str">
        <f t="shared" si="46"/>
        <v/>
      </c>
      <c r="JB30" s="211" t="str">
        <f t="shared" si="174"/>
        <v/>
      </c>
    </row>
    <row r="31" spans="1:262" s="211" customFormat="1" ht="21" customHeight="1">
      <c r="A31" s="184">
        <v>24</v>
      </c>
      <c r="B31" s="185" t="str">
        <f>IF('Marks Entry'!B31="","",'Marks Entry'!B31)</f>
        <v/>
      </c>
      <c r="C31" s="186" t="str">
        <f>IF('Marks Entry'!D31="","",'Marks Entry'!D31)</f>
        <v/>
      </c>
      <c r="D31" s="187" t="str">
        <f>IF('Marks Entry'!E31="","",'Marks Entry'!E31)</f>
        <v/>
      </c>
      <c r="E31" s="188" t="str">
        <f>IF('Marks Entry'!F31="","",'Marks Entry'!F31)</f>
        <v/>
      </c>
      <c r="F31" s="188" t="str">
        <f>IF('Marks Entry'!G31="","",'Marks Entry'!G31)</f>
        <v/>
      </c>
      <c r="G31" s="188" t="str">
        <f>IF('Marks Entry'!H31="","",'Marks Entry'!H31)</f>
        <v/>
      </c>
      <c r="H31" s="189" t="str">
        <f>IF('Marks Entry'!I31="","",'Marks Entry'!I31)</f>
        <v/>
      </c>
      <c r="I31" s="190" t="str">
        <f>IF('Marks Entry'!J31="","",'Marks Entry'!J31)</f>
        <v/>
      </c>
      <c r="J31" s="545">
        <f>IF('Marks Entry'!K31="","",'Marks Entry'!K31)</f>
        <v>15</v>
      </c>
      <c r="K31" s="545">
        <f>IF('Marks Entry'!L31="","",'Marks Entry'!L31)</f>
        <v>5</v>
      </c>
      <c r="L31" s="545">
        <f>IF('Marks Entry'!M31="","",'Marks Entry'!M31)</f>
        <v>8</v>
      </c>
      <c r="M31" s="546">
        <f t="shared" si="47"/>
        <v>28</v>
      </c>
      <c r="N31" s="545">
        <f>IF('Marks Entry'!N31="","",'Marks Entry'!N31)</f>
        <v>29</v>
      </c>
      <c r="O31" s="546">
        <f t="shared" si="48"/>
        <v>57</v>
      </c>
      <c r="P31" s="545">
        <f>IF('Marks Entry'!O31="","",'Marks Entry'!O31)</f>
        <v>52</v>
      </c>
      <c r="Q31" s="547">
        <f t="shared" si="49"/>
        <v>109</v>
      </c>
      <c r="R31" s="153">
        <f t="shared" si="50"/>
        <v>0</v>
      </c>
      <c r="S31" s="153">
        <f t="shared" si="51"/>
        <v>0</v>
      </c>
      <c r="T31" s="154">
        <f t="shared" si="52"/>
        <v>200</v>
      </c>
      <c r="U31" s="153" t="str">
        <f t="shared" si="53"/>
        <v/>
      </c>
      <c r="V31" s="153" t="str">
        <f t="shared" si="54"/>
        <v/>
      </c>
      <c r="W31" s="153" t="str">
        <f t="shared" si="55"/>
        <v/>
      </c>
      <c r="X31" s="545">
        <f>IF('Marks Entry'!P31="","",'Marks Entry'!P31)</f>
        <v>4</v>
      </c>
      <c r="Y31" s="545">
        <f>IF('Marks Entry'!Q31="","",'Marks Entry'!Q31)</f>
        <v>10</v>
      </c>
      <c r="Z31" s="545">
        <f>IF('Marks Entry'!R31="","",'Marks Entry'!R31)</f>
        <v>9</v>
      </c>
      <c r="AA31" s="546">
        <f t="shared" si="56"/>
        <v>23</v>
      </c>
      <c r="AB31" s="545">
        <f>IF('Marks Entry'!S31="","",'Marks Entry'!S31)</f>
        <v>36</v>
      </c>
      <c r="AC31" s="546">
        <f t="shared" si="57"/>
        <v>59</v>
      </c>
      <c r="AD31" s="545">
        <f>IF('Marks Entry'!T31="","",'Marks Entry'!T31)</f>
        <v>67</v>
      </c>
      <c r="AE31" s="547">
        <f t="shared" si="58"/>
        <v>126</v>
      </c>
      <c r="AF31" s="153">
        <f t="shared" si="59"/>
        <v>0</v>
      </c>
      <c r="AG31" s="153">
        <f t="shared" si="60"/>
        <v>0</v>
      </c>
      <c r="AH31" s="154">
        <f t="shared" si="61"/>
        <v>200</v>
      </c>
      <c r="AI31" s="153" t="str">
        <f t="shared" si="62"/>
        <v/>
      </c>
      <c r="AJ31" s="153" t="str">
        <f t="shared" si="63"/>
        <v/>
      </c>
      <c r="AK31" s="153" t="str">
        <f t="shared" si="64"/>
        <v/>
      </c>
      <c r="AL31" s="573" t="str">
        <f>IF('Marks Entry'!U31="","",'Marks Entry'!U31)</f>
        <v>A</v>
      </c>
      <c r="AM31" s="573">
        <f>IF('Marks Entry'!V31="","",'Marks Entry'!V31)</f>
        <v>5</v>
      </c>
      <c r="AN31" s="573">
        <f>IF('Marks Entry'!W31="","",'Marks Entry'!W31)</f>
        <v>8</v>
      </c>
      <c r="AO31" s="573">
        <f>IF('Marks Entry'!X31="","",'Marks Entry'!X31)</f>
        <v>7</v>
      </c>
      <c r="AP31" s="572">
        <f t="shared" si="65"/>
        <v>20</v>
      </c>
      <c r="AQ31" s="573">
        <f>IF('Marks Entry'!Y31="","",'Marks Entry'!Y31)</f>
        <v>36</v>
      </c>
      <c r="AR31" s="573" t="str">
        <f>IF('Marks Entry'!Z31="","",'Marks Entry'!Z31)</f>
        <v/>
      </c>
      <c r="AS31" s="572">
        <f t="shared" si="66"/>
        <v>36</v>
      </c>
      <c r="AT31" s="572">
        <f t="shared" si="67"/>
        <v>56</v>
      </c>
      <c r="AU31" s="573">
        <f>IF('Marks Entry'!AA31="","",'Marks Entry'!AA31)</f>
        <v>47</v>
      </c>
      <c r="AV31" s="573" t="str">
        <f>IF('Marks Entry'!AB31="","",'Marks Entry'!AB31)</f>
        <v/>
      </c>
      <c r="AW31" s="572">
        <f t="shared" si="68"/>
        <v>47</v>
      </c>
      <c r="AX31" s="157">
        <f t="shared" si="69"/>
        <v>103</v>
      </c>
      <c r="AY31" s="157" t="str">
        <f t="shared" si="70"/>
        <v/>
      </c>
      <c r="AZ31" s="192">
        <f t="shared" si="71"/>
        <v>103</v>
      </c>
      <c r="BA31" s="153">
        <f t="shared" si="72"/>
        <v>0</v>
      </c>
      <c r="BB31" s="154">
        <f t="shared" si="73"/>
        <v>0</v>
      </c>
      <c r="BC31" s="154">
        <f t="shared" si="74"/>
        <v>100</v>
      </c>
      <c r="BD31" s="154" t="str">
        <f t="shared" si="75"/>
        <v/>
      </c>
      <c r="BE31" s="154">
        <f t="shared" si="76"/>
        <v>200</v>
      </c>
      <c r="BF31" s="153" t="str">
        <f t="shared" si="77"/>
        <v/>
      </c>
      <c r="BG31" s="154" t="str">
        <f t="shared" si="175"/>
        <v>P</v>
      </c>
      <c r="BH31" s="153" t="str">
        <f t="shared" si="78"/>
        <v>II</v>
      </c>
      <c r="BI31" s="580" t="str">
        <f>IF('Marks Entry'!AC31="","",'Marks Entry'!AC31)</f>
        <v>B</v>
      </c>
      <c r="BJ31" s="580">
        <f>IF('Marks Entry'!AD31="","",'Marks Entry'!AD31)</f>
        <v>16</v>
      </c>
      <c r="BK31" s="580">
        <f>IF('Marks Entry'!AE31="","",'Marks Entry'!AE31)</f>
        <v>12</v>
      </c>
      <c r="BL31" s="580" t="str">
        <f>IF('Marks Entry'!AF31="","",'Marks Entry'!AF31)</f>
        <v/>
      </c>
      <c r="BM31" s="581">
        <f t="shared" si="79"/>
        <v>28</v>
      </c>
      <c r="BN31" s="580">
        <f>IF('Marks Entry'!AG31="","",'Marks Entry'!AG31)</f>
        <v>41</v>
      </c>
      <c r="BO31" s="580" t="str">
        <f>IF('Marks Entry'!AH31="","",'Marks Entry'!AH31)</f>
        <v/>
      </c>
      <c r="BP31" s="581">
        <f t="shared" si="80"/>
        <v>41</v>
      </c>
      <c r="BQ31" s="581">
        <f t="shared" si="81"/>
        <v>69</v>
      </c>
      <c r="BR31" s="580">
        <f>IF('Marks Entry'!AI31="","",'Marks Entry'!AI31)</f>
        <v>56</v>
      </c>
      <c r="BS31" s="580" t="str">
        <f>IF('Marks Entry'!AJ31="","",'Marks Entry'!AJ31)</f>
        <v/>
      </c>
      <c r="BT31" s="581">
        <f t="shared" si="82"/>
        <v>56</v>
      </c>
      <c r="BU31" s="157">
        <f t="shared" si="83"/>
        <v>125</v>
      </c>
      <c r="BV31" s="157" t="str">
        <f t="shared" si="84"/>
        <v/>
      </c>
      <c r="BW31" s="192">
        <f t="shared" si="85"/>
        <v>125</v>
      </c>
      <c r="BX31" s="153">
        <f t="shared" si="86"/>
        <v>0</v>
      </c>
      <c r="BY31" s="154">
        <f t="shared" si="87"/>
        <v>0</v>
      </c>
      <c r="BZ31" s="154">
        <f t="shared" si="88"/>
        <v>100</v>
      </c>
      <c r="CA31" s="154" t="str">
        <f t="shared" si="89"/>
        <v/>
      </c>
      <c r="CB31" s="154">
        <f t="shared" si="90"/>
        <v>200</v>
      </c>
      <c r="CC31" s="153" t="str">
        <f t="shared" si="91"/>
        <v/>
      </c>
      <c r="CD31" s="154" t="str">
        <f t="shared" si="92"/>
        <v>P</v>
      </c>
      <c r="CE31" s="153" t="str">
        <f t="shared" si="93"/>
        <v>I</v>
      </c>
      <c r="CF31" s="580" t="str">
        <f>IF('Marks Entry'!AK31="","",'Marks Entry'!AK31)</f>
        <v>A</v>
      </c>
      <c r="CG31" s="580">
        <f>IF('Marks Entry'!AL31="","",'Marks Entry'!AL31)</f>
        <v>15</v>
      </c>
      <c r="CH31" s="580">
        <f>IF('Marks Entry'!AM31="","",'Marks Entry'!AM31)</f>
        <v>15</v>
      </c>
      <c r="CI31" s="580" t="str">
        <f>IF('Marks Entry'!AN31="","",'Marks Entry'!AN31)</f>
        <v/>
      </c>
      <c r="CJ31" s="581">
        <f t="shared" si="94"/>
        <v>30</v>
      </c>
      <c r="CK31" s="580">
        <f>IF('Marks Entry'!AO31="","",'Marks Entry'!AO31)</f>
        <v>28</v>
      </c>
      <c r="CL31" s="580">
        <f>IF('Marks Entry'!AP31="","",'Marks Entry'!AP31)</f>
        <v>14</v>
      </c>
      <c r="CM31" s="581">
        <f t="shared" si="95"/>
        <v>42</v>
      </c>
      <c r="CN31" s="581">
        <f t="shared" si="96"/>
        <v>72</v>
      </c>
      <c r="CO31" s="580">
        <f>IF('Marks Entry'!AQ31="","",'Marks Entry'!AQ31)</f>
        <v>39</v>
      </c>
      <c r="CP31" s="580">
        <f>IF('Marks Entry'!AR31="","",'Marks Entry'!AR31)</f>
        <v>28</v>
      </c>
      <c r="CQ31" s="581">
        <f t="shared" si="97"/>
        <v>67</v>
      </c>
      <c r="CR31" s="157">
        <f t="shared" si="98"/>
        <v>97</v>
      </c>
      <c r="CS31" s="157">
        <f t="shared" si="99"/>
        <v>42</v>
      </c>
      <c r="CT31" s="192">
        <f t="shared" si="100"/>
        <v>139</v>
      </c>
      <c r="CU31" s="153">
        <f t="shared" si="101"/>
        <v>0</v>
      </c>
      <c r="CV31" s="154">
        <f t="shared" si="102"/>
        <v>0</v>
      </c>
      <c r="CW31" s="154">
        <f t="shared" si="103"/>
        <v>70</v>
      </c>
      <c r="CX31" s="154">
        <f t="shared" si="104"/>
        <v>50</v>
      </c>
      <c r="CY31" s="154">
        <f t="shared" si="176"/>
        <v>150</v>
      </c>
      <c r="CZ31" s="153" t="str">
        <f t="shared" si="105"/>
        <v/>
      </c>
      <c r="DA31" s="154" t="str">
        <f t="shared" si="106"/>
        <v>P</v>
      </c>
      <c r="DB31" s="153" t="str">
        <f t="shared" si="107"/>
        <v>I</v>
      </c>
      <c r="DC31" s="154">
        <f t="shared" si="108"/>
        <v>0</v>
      </c>
      <c r="DD31" s="826" t="str">
        <f>IF('Marks Entry'!AS31="","",IF(OR('Master Sheet'!$D$19="YES",'Marks Entry'!$BA$1=1),'Marks Entry'!AS31,""))</f>
        <v/>
      </c>
      <c r="DE31" s="826" t="str">
        <f>IF('Marks Entry'!AT31="","",IF(OR('Master Sheet'!$D$19="YES",'Marks Entry'!$BA$1=1),'Marks Entry'!AT31,""))</f>
        <v/>
      </c>
      <c r="DF31" s="826" t="str">
        <f>IF('Marks Entry'!AU31="","",IF(OR('Master Sheet'!$D$19="YES",'Marks Entry'!$BA$1=1),'Marks Entry'!AU31,""))</f>
        <v/>
      </c>
      <c r="DG31" s="826" t="str">
        <f>IF('Marks Entry'!AV31="","",IF(OR('Master Sheet'!$D$19="YES",'Marks Entry'!$BA$1=1),'Marks Entry'!AV31,""))</f>
        <v/>
      </c>
      <c r="DH31" s="827" t="str">
        <f t="shared" si="109"/>
        <v/>
      </c>
      <c r="DI31" s="826" t="str">
        <f>IF('Marks Entry'!AW31="","",IF(OR('Master Sheet'!$D$19="YES",'Marks Entry'!$BA$1=1),'Marks Entry'!AW31,""))</f>
        <v/>
      </c>
      <c r="DJ31" s="826" t="str">
        <f>IF('Marks Entry'!AX31="","",IF(OR('Master Sheet'!$D$19="YES",'Marks Entry'!$BA$1=1),'Marks Entry'!AX31,""))</f>
        <v/>
      </c>
      <c r="DK31" s="827" t="str">
        <f t="shared" si="110"/>
        <v/>
      </c>
      <c r="DL31" s="827" t="str">
        <f t="shared" si="111"/>
        <v/>
      </c>
      <c r="DM31" s="826" t="str">
        <f>IF('Marks Entry'!AY31="","",IF(OR('Master Sheet'!$D$19="YES",'Marks Entry'!$BA$1=1),'Marks Entry'!AY31,""))</f>
        <v/>
      </c>
      <c r="DN31" s="826" t="str">
        <f>IF('Marks Entry'!AZ31="","",IF(OR('Master Sheet'!$D$19="YES",'Marks Entry'!$BA$1=1),'Marks Entry'!AZ31,""))</f>
        <v/>
      </c>
      <c r="DO31" s="826" t="str">
        <f>IF('Marks Entry'!BA31="","",IF(OR('Master Sheet'!$D$19="YES",'Marks Entry'!$BA$1=1),'Marks Entry'!BA31,""))</f>
        <v/>
      </c>
      <c r="DP31" s="827" t="str">
        <f t="shared" si="112"/>
        <v/>
      </c>
      <c r="DQ31" s="157" t="str">
        <f t="shared" si="113"/>
        <v/>
      </c>
      <c r="DR31" s="157" t="str">
        <f t="shared" si="114"/>
        <v/>
      </c>
      <c r="DS31" s="157" t="str">
        <f t="shared" si="115"/>
        <v/>
      </c>
      <c r="DT31" s="192" t="str">
        <f t="shared" si="116"/>
        <v/>
      </c>
      <c r="DU31" s="153">
        <f t="shared" si="117"/>
        <v>0</v>
      </c>
      <c r="DV31" s="154" t="e">
        <f t="shared" si="118"/>
        <v>#VALUE!</v>
      </c>
      <c r="DW31" s="154" t="str">
        <f t="shared" si="119"/>
        <v/>
      </c>
      <c r="DX31" s="154" t="str">
        <f>IF(OR($B31="NSO",$B31=0,DS31=""),"",IF(AND(DJ31="",DO31=""),"",IF('Master Sheet'!$D$19="YES",$DO$6-COUNTIF(DO31,"ML")*DO$6,DS$6-(COUNTIF(DJ31,"ML")*DJ$6)-(COUNTIF(DO31,"ML")*DO$6))))</f>
        <v/>
      </c>
      <c r="DY31" s="154" t="str">
        <f>IF(OR($B31="NSO",$B31=0),"",IF(AND(DH31="",DI31="",DM31=""),"",IF(AND('Master Sheet'!$D$19="YES",'Marks Entry'!$BA$1=1),100,IF(AND(DJ31="",DO31=""),SUM(($DQ$7+$DR$7)-(DU31+DV31)),SUM(($DQ$6+$DR$6)-(DU31+DV31))))))</f>
        <v/>
      </c>
      <c r="DZ31" s="153" t="str">
        <f t="shared" si="120"/>
        <v/>
      </c>
      <c r="EA31" s="154" t="str">
        <f t="shared" si="121"/>
        <v/>
      </c>
      <c r="EB31" s="153" t="str">
        <f t="shared" si="122"/>
        <v/>
      </c>
      <c r="EC31" s="584">
        <f>IF('Marks Entry'!BB31="","",'Marks Entry'!BB31)</f>
        <v>20</v>
      </c>
      <c r="ED31" s="584">
        <f>IF('Marks Entry'!BC31="","",'Marks Entry'!BC31)</f>
        <v>30</v>
      </c>
      <c r="EE31" s="584">
        <f>IF('Marks Entry'!BD31="","",'Marks Entry'!BD31)</f>
        <v>32</v>
      </c>
      <c r="EF31" s="590">
        <f t="shared" si="123"/>
        <v>82</v>
      </c>
      <c r="EG31" s="595">
        <f t="shared" si="124"/>
        <v>0</v>
      </c>
      <c r="EH31" s="595">
        <f t="shared" si="125"/>
        <v>0</v>
      </c>
      <c r="EI31" s="193">
        <f t="shared" si="126"/>
        <v>100</v>
      </c>
      <c r="EJ31" s="595" t="str">
        <f t="shared" si="127"/>
        <v/>
      </c>
      <c r="EK31" s="595" t="str">
        <f t="shared" si="128"/>
        <v>A</v>
      </c>
      <c r="EL31" s="194" t="str">
        <f t="shared" si="129"/>
        <v/>
      </c>
      <c r="EM31" s="194" t="str">
        <f t="shared" si="130"/>
        <v/>
      </c>
      <c r="EN31" s="194" t="str">
        <f t="shared" si="131"/>
        <v>II</v>
      </c>
      <c r="EO31" s="194" t="str">
        <f t="shared" si="132"/>
        <v>I</v>
      </c>
      <c r="EP31" s="194" t="str">
        <f t="shared" si="133"/>
        <v>I</v>
      </c>
      <c r="EQ31" s="194" t="str">
        <f t="shared" si="134"/>
        <v/>
      </c>
      <c r="ER31" s="195">
        <f t="shared" si="135"/>
        <v>0</v>
      </c>
      <c r="ES31" s="195">
        <f t="shared" si="136"/>
        <v>0</v>
      </c>
      <c r="ET31" s="195">
        <f t="shared" si="137"/>
        <v>0</v>
      </c>
      <c r="EU31" s="195">
        <f t="shared" si="138"/>
        <v>0</v>
      </c>
      <c r="EV31" s="195">
        <f t="shared" si="139"/>
        <v>0</v>
      </c>
      <c r="EW31" s="195" t="str">
        <f t="shared" si="140"/>
        <v/>
      </c>
      <c r="EX31" s="196" t="str">
        <f t="shared" si="141"/>
        <v/>
      </c>
      <c r="EY31" s="197">
        <f>IF('Marks Entry'!BE31="","",'Marks Entry'!BE31)</f>
        <v>7</v>
      </c>
      <c r="EZ31" s="197">
        <f>IF('Marks Entry'!BF31="","",'Marks Entry'!BF31)</f>
        <v>7</v>
      </c>
      <c r="FA31" s="197">
        <f>IF('Marks Entry'!BG31="","",'Marks Entry'!BG31)</f>
        <v>7</v>
      </c>
      <c r="FB31" s="596">
        <f t="shared" si="142"/>
        <v>21</v>
      </c>
      <c r="FC31" s="197">
        <f>IF('Marks Entry'!BH31="","",'Marks Entry'!BH31)</f>
        <v>41</v>
      </c>
      <c r="FD31" s="197">
        <f>IF('Marks Entry'!BI31="","",'Marks Entry'!BI31)</f>
        <v>68</v>
      </c>
      <c r="FE31" s="198">
        <f t="shared" si="143"/>
        <v>130</v>
      </c>
      <c r="FF31" s="199" t="str">
        <f t="shared" si="144"/>
        <v>B</v>
      </c>
      <c r="FG31" s="200" t="str">
        <f>IF(AND(E31=""),"",IF('Student DATA Entry'!L27="","",'Student DATA Entry'!L27))</f>
        <v/>
      </c>
      <c r="FH31" s="201" t="str">
        <f>IF(AND(E31=""),"",IF('Student DATA Entry'!M27="","",'Student DATA Entry'!M27))</f>
        <v/>
      </c>
      <c r="FI31" s="202" t="str">
        <f t="shared" si="145"/>
        <v/>
      </c>
      <c r="FJ31" s="189" t="str">
        <f t="shared" si="146"/>
        <v/>
      </c>
      <c r="FK31" s="189" t="str">
        <f t="shared" si="147"/>
        <v/>
      </c>
      <c r="FL31" s="203" t="str">
        <f t="shared" si="19"/>
        <v/>
      </c>
      <c r="FM31" s="189" t="str">
        <f t="shared" si="148"/>
        <v/>
      </c>
      <c r="FN31" s="204" t="str">
        <f t="shared" si="149"/>
        <v/>
      </c>
      <c r="FO31" s="203" t="str">
        <f t="shared" si="20"/>
        <v/>
      </c>
      <c r="FP31" s="205" t="str">
        <f t="shared" si="150"/>
        <v>II</v>
      </c>
      <c r="FQ31" s="189" t="str">
        <f t="shared" si="21"/>
        <v>II</v>
      </c>
      <c r="FR31" s="189" t="str">
        <f t="shared" si="22"/>
        <v/>
      </c>
      <c r="FS31" s="189" t="str">
        <f t="shared" si="23"/>
        <v/>
      </c>
      <c r="FT31" s="189" t="str">
        <f t="shared" si="24"/>
        <v/>
      </c>
      <c r="FU31" s="189" t="str">
        <f t="shared" si="151"/>
        <v/>
      </c>
      <c r="FV31" s="206" t="str">
        <f t="shared" si="25"/>
        <v/>
      </c>
      <c r="FW31" s="205" t="str">
        <f t="shared" si="152"/>
        <v>I</v>
      </c>
      <c r="FX31" s="189" t="str">
        <f t="shared" si="26"/>
        <v/>
      </c>
      <c r="FY31" s="189" t="str">
        <f t="shared" si="27"/>
        <v>I</v>
      </c>
      <c r="FZ31" s="189" t="str">
        <f t="shared" si="28"/>
        <v/>
      </c>
      <c r="GA31" s="189" t="str">
        <f t="shared" si="29"/>
        <v/>
      </c>
      <c r="GB31" s="189" t="str">
        <f t="shared" si="153"/>
        <v/>
      </c>
      <c r="GC31" s="206" t="str">
        <f t="shared" si="30"/>
        <v/>
      </c>
      <c r="GD31" s="205" t="str">
        <f t="shared" si="154"/>
        <v>I</v>
      </c>
      <c r="GE31" s="189" t="str">
        <f t="shared" si="31"/>
        <v>I</v>
      </c>
      <c r="GF31" s="189" t="str">
        <f t="shared" si="32"/>
        <v/>
      </c>
      <c r="GG31" s="189" t="str">
        <f t="shared" si="33"/>
        <v/>
      </c>
      <c r="GH31" s="189" t="str">
        <f t="shared" si="34"/>
        <v/>
      </c>
      <c r="GI31" s="189" t="str">
        <f t="shared" si="155"/>
        <v/>
      </c>
      <c r="GJ31" s="206" t="str">
        <f t="shared" si="35"/>
        <v/>
      </c>
      <c r="GK31" s="205" t="str">
        <f t="shared" si="156"/>
        <v/>
      </c>
      <c r="GL31" s="189" t="str">
        <f t="shared" si="36"/>
        <v/>
      </c>
      <c r="GM31" s="189" t="str">
        <f t="shared" si="37"/>
        <v/>
      </c>
      <c r="GN31" s="189" t="str">
        <f t="shared" si="38"/>
        <v/>
      </c>
      <c r="GO31" s="189" t="str">
        <f t="shared" si="39"/>
        <v/>
      </c>
      <c r="GP31" s="189" t="str">
        <f t="shared" si="157"/>
        <v/>
      </c>
      <c r="GQ31" s="206" t="str">
        <f t="shared" si="40"/>
        <v/>
      </c>
      <c r="GR31" s="189" t="str">
        <f t="shared" si="158"/>
        <v>A</v>
      </c>
      <c r="GS31" s="189" t="str">
        <f t="shared" si="159"/>
        <v>B</v>
      </c>
      <c r="GT31" s="207" t="str">
        <f t="shared" si="177"/>
        <v xml:space="preserve">    </v>
      </c>
      <c r="GU31" s="207" t="str">
        <f t="shared" si="160"/>
        <v xml:space="preserve">    </v>
      </c>
      <c r="GV31" s="207" t="str">
        <f t="shared" si="161"/>
        <v xml:space="preserve">    </v>
      </c>
      <c r="GW31" s="207" t="str">
        <f t="shared" si="162"/>
        <v xml:space="preserve">       </v>
      </c>
      <c r="GX31" s="598" t="str">
        <f t="shared" si="163"/>
        <v xml:space="preserve">     </v>
      </c>
      <c r="GY31" s="208" t="str">
        <f t="shared" si="164"/>
        <v/>
      </c>
      <c r="GZ31" s="606">
        <f>IF(AND(Q31="",AE31="",AZ31="",BW31="",CT31=""),"",IF(AND('Master Sheet'!$D$19="YES",'Marks Entry'!$BA$1=1),SUM(Q31,AE31,AZ31,BW31,DT31),SUM(Q31,AE31,AZ31,BW31,CT31)))</f>
        <v>602</v>
      </c>
      <c r="HA31" s="209">
        <f>IF(GZ31="","",IF(AND('Master Sheet'!$D$19="YES",'Marks Entry'!$BA$1=1),GZ31/((900)-DC31)*100,GZ31/((1000)-DC31)*100))</f>
        <v>60.199999999999996</v>
      </c>
      <c r="HB31" s="611" t="str">
        <f t="shared" si="165"/>
        <v/>
      </c>
      <c r="HC31" s="609" t="str">
        <f t="shared" si="166"/>
        <v/>
      </c>
      <c r="HD31" s="610" t="str">
        <f t="shared" si="167"/>
        <v/>
      </c>
      <c r="HE31" s="210" t="str">
        <f>IFERROR(IF(OR(GY31="SUPPLEMENTARY",GY31="RE-EXAM"),'Supp. Result Entry'!AS30,""),"")</f>
        <v/>
      </c>
      <c r="HF31" s="613" t="str">
        <f t="shared" si="168"/>
        <v/>
      </c>
      <c r="HG31" s="598" t="str">
        <f t="shared" si="169"/>
        <v/>
      </c>
      <c r="HH31" s="598" t="str">
        <f>IF(AND(HE31="",HF31="",HG31=""),"",IF(OR(GY31="SUPPLEMENTARY",GY31="RE-EXAM"),'Supp. Result Entry'!AS30,GY31))</f>
        <v/>
      </c>
      <c r="HI31" s="180"/>
      <c r="HY31" s="212" t="str">
        <f>IF('Supp. Result Entry'!U30="","",'Supp. Result Entry'!$U$6)</f>
        <v/>
      </c>
      <c r="HZ31" s="213" t="str">
        <f>IF('Supp. Result Entry'!X30="","",'Supp. Result Entry'!$X$6)</f>
        <v/>
      </c>
      <c r="IA31" s="213" t="str">
        <f>IF('Supp. Result Entry'!AA30="","",'Supp. Result Entry'!$AA$6)</f>
        <v/>
      </c>
      <c r="IB31" s="213" t="str">
        <f>IF('Supp. Result Entry'!AD30="","",'Supp. Result Entry'!$AD$6)</f>
        <v/>
      </c>
      <c r="IC31" s="213" t="str">
        <f>IF('Supp. Result Entry'!AG30="","",'Supp. Result Entry'!$AG$6)</f>
        <v/>
      </c>
      <c r="ID31" s="213" t="str">
        <f>IF('Supp. Result Entry'!AJ30="","",'Supp. Result Entry'!$AJ$6)</f>
        <v/>
      </c>
      <c r="IE31" s="213" t="str">
        <f>IF('Supp. Result Entry'!V30="","",'Supp. Result Entry'!V30)</f>
        <v/>
      </c>
      <c r="IF31" s="213" t="str">
        <f>IF('Supp. Result Entry'!Y30="","",'Supp. Result Entry'!Y30)</f>
        <v/>
      </c>
      <c r="IG31" s="213" t="str">
        <f>IF('Supp. Result Entry'!AB30="","",'Supp. Result Entry'!AB30)</f>
        <v/>
      </c>
      <c r="IH31" s="213" t="str">
        <f>IF('Supp. Result Entry'!AE30="","",'Supp. Result Entry'!AE30)</f>
        <v/>
      </c>
      <c r="II31" s="213" t="str">
        <f>IF('Supp. Result Entry'!AH30="","",'Supp. Result Entry'!AH30)</f>
        <v/>
      </c>
      <c r="IJ31" s="213" t="str">
        <f>IF('Supp. Result Entry'!AK30="","",'Supp. Result Entry'!AK30)</f>
        <v/>
      </c>
      <c r="IK31" s="213" t="str">
        <f>IF('Supp. Result Entry'!W30="","",'Supp. Result Entry'!W30)</f>
        <v/>
      </c>
      <c r="IL31" s="213" t="str">
        <f>IF('Supp. Result Entry'!Z30="","",'Supp. Result Entry'!Z30)</f>
        <v/>
      </c>
      <c r="IM31" s="213" t="str">
        <f>IF('Supp. Result Entry'!AC30="","",'Supp. Result Entry'!AC30)</f>
        <v/>
      </c>
      <c r="IN31" s="213" t="str">
        <f>IF('Supp. Result Entry'!AF30="","",'Supp. Result Entry'!AF30)</f>
        <v/>
      </c>
      <c r="IO31" s="213" t="str">
        <f>IF('Supp. Result Entry'!AI30="","",'Supp. Result Entry'!AI30)</f>
        <v/>
      </c>
      <c r="IP31" s="213" t="str">
        <f>IF('Supp. Result Entry'!AL30="","",'Supp. Result Entry'!AL30)</f>
        <v/>
      </c>
      <c r="IQ31" s="213">
        <f>COUNTIF('Supp. Result Entry'!K30:Q30,"S")</f>
        <v>0</v>
      </c>
      <c r="IR31" s="213">
        <f t="shared" si="170"/>
        <v>0</v>
      </c>
      <c r="IS31" s="213">
        <f t="shared" si="171"/>
        <v>0</v>
      </c>
      <c r="IT31" s="213" t="str">
        <f t="shared" si="41"/>
        <v/>
      </c>
      <c r="IU31" s="213" t="str">
        <f t="shared" si="42"/>
        <v/>
      </c>
      <c r="IV31" s="213" t="str">
        <f t="shared" si="43"/>
        <v/>
      </c>
      <c r="IW31" s="213" t="str">
        <f t="shared" si="44"/>
        <v/>
      </c>
      <c r="IX31" s="213" t="str">
        <f t="shared" si="45"/>
        <v/>
      </c>
      <c r="IY31" s="213" t="str">
        <f t="shared" si="172"/>
        <v/>
      </c>
      <c r="IZ31" s="213" t="str">
        <f t="shared" si="173"/>
        <v/>
      </c>
      <c r="JA31" s="213" t="str">
        <f t="shared" si="46"/>
        <v/>
      </c>
      <c r="JB31" s="211" t="str">
        <f t="shared" si="174"/>
        <v/>
      </c>
    </row>
    <row r="32" spans="1:262" s="211" customFormat="1" ht="21" customHeight="1">
      <c r="A32" s="184">
        <v>25</v>
      </c>
      <c r="B32" s="185" t="str">
        <f>IF('Marks Entry'!B32="","",'Marks Entry'!B32)</f>
        <v/>
      </c>
      <c r="C32" s="186" t="str">
        <f>IF('Marks Entry'!D32="","",'Marks Entry'!D32)</f>
        <v/>
      </c>
      <c r="D32" s="187" t="str">
        <f>IF('Marks Entry'!E32="","",'Marks Entry'!E32)</f>
        <v/>
      </c>
      <c r="E32" s="188" t="str">
        <f>IF('Marks Entry'!F32="","",'Marks Entry'!F32)</f>
        <v/>
      </c>
      <c r="F32" s="188" t="str">
        <f>IF('Marks Entry'!G32="","",'Marks Entry'!G32)</f>
        <v/>
      </c>
      <c r="G32" s="188" t="str">
        <f>IF('Marks Entry'!H32="","",'Marks Entry'!H32)</f>
        <v/>
      </c>
      <c r="H32" s="189" t="str">
        <f>IF('Marks Entry'!I32="","",'Marks Entry'!I32)</f>
        <v/>
      </c>
      <c r="I32" s="190" t="str">
        <f>IF('Marks Entry'!J32="","",'Marks Entry'!J32)</f>
        <v/>
      </c>
      <c r="J32" s="545">
        <f>IF('Marks Entry'!K32="","",'Marks Entry'!K32)</f>
        <v>16</v>
      </c>
      <c r="K32" s="545">
        <f>IF('Marks Entry'!L32="","",'Marks Entry'!L32)</f>
        <v>6</v>
      </c>
      <c r="L32" s="545">
        <f>IF('Marks Entry'!M32="","",'Marks Entry'!M32)</f>
        <v>8</v>
      </c>
      <c r="M32" s="546">
        <f t="shared" si="47"/>
        <v>30</v>
      </c>
      <c r="N32" s="545">
        <f>IF('Marks Entry'!N32="","",'Marks Entry'!N32)</f>
        <v>28</v>
      </c>
      <c r="O32" s="546">
        <f t="shared" si="48"/>
        <v>58</v>
      </c>
      <c r="P32" s="545">
        <f>IF('Marks Entry'!O32="","",'Marks Entry'!O32)</f>
        <v>51</v>
      </c>
      <c r="Q32" s="547">
        <f t="shared" si="49"/>
        <v>109</v>
      </c>
      <c r="R32" s="153">
        <f t="shared" si="50"/>
        <v>0</v>
      </c>
      <c r="S32" s="153">
        <f t="shared" si="51"/>
        <v>0</v>
      </c>
      <c r="T32" s="154">
        <f t="shared" si="52"/>
        <v>200</v>
      </c>
      <c r="U32" s="153" t="str">
        <f t="shared" si="53"/>
        <v/>
      </c>
      <c r="V32" s="153" t="str">
        <f t="shared" si="54"/>
        <v/>
      </c>
      <c r="W32" s="153" t="str">
        <f t="shared" si="55"/>
        <v/>
      </c>
      <c r="X32" s="545">
        <f>IF('Marks Entry'!P32="","",'Marks Entry'!P32)</f>
        <v>5</v>
      </c>
      <c r="Y32" s="545">
        <f>IF('Marks Entry'!Q32="","",'Marks Entry'!Q32)</f>
        <v>10</v>
      </c>
      <c r="Z32" s="545">
        <f>IF('Marks Entry'!R32="","",'Marks Entry'!R32)</f>
        <v>9</v>
      </c>
      <c r="AA32" s="546">
        <f t="shared" si="56"/>
        <v>24</v>
      </c>
      <c r="AB32" s="545">
        <f>IF('Marks Entry'!S32="","",'Marks Entry'!S32)</f>
        <v>35</v>
      </c>
      <c r="AC32" s="546">
        <f t="shared" si="57"/>
        <v>59</v>
      </c>
      <c r="AD32" s="545">
        <f>IF('Marks Entry'!T32="","",'Marks Entry'!T32)</f>
        <v>64</v>
      </c>
      <c r="AE32" s="547">
        <f t="shared" si="58"/>
        <v>123</v>
      </c>
      <c r="AF32" s="153">
        <f t="shared" si="59"/>
        <v>0</v>
      </c>
      <c r="AG32" s="153">
        <f t="shared" si="60"/>
        <v>0</v>
      </c>
      <c r="AH32" s="154">
        <f t="shared" si="61"/>
        <v>200</v>
      </c>
      <c r="AI32" s="153" t="str">
        <f t="shared" si="62"/>
        <v/>
      </c>
      <c r="AJ32" s="153" t="str">
        <f t="shared" si="63"/>
        <v/>
      </c>
      <c r="AK32" s="153" t="str">
        <f t="shared" si="64"/>
        <v/>
      </c>
      <c r="AL32" s="573" t="str">
        <f>IF('Marks Entry'!U32="","",'Marks Entry'!U32)</f>
        <v>A</v>
      </c>
      <c r="AM32" s="573">
        <f>IF('Marks Entry'!V32="","",'Marks Entry'!V32)</f>
        <v>4</v>
      </c>
      <c r="AN32" s="573">
        <f>IF('Marks Entry'!W32="","",'Marks Entry'!W32)</f>
        <v>7</v>
      </c>
      <c r="AO32" s="573">
        <f>IF('Marks Entry'!X32="","",'Marks Entry'!X32)</f>
        <v>7</v>
      </c>
      <c r="AP32" s="572">
        <f t="shared" si="65"/>
        <v>18</v>
      </c>
      <c r="AQ32" s="573">
        <f>IF('Marks Entry'!Y32="","",'Marks Entry'!Y32)</f>
        <v>35</v>
      </c>
      <c r="AR32" s="573" t="str">
        <f>IF('Marks Entry'!Z32="","",'Marks Entry'!Z32)</f>
        <v/>
      </c>
      <c r="AS32" s="572">
        <f t="shared" si="66"/>
        <v>35</v>
      </c>
      <c r="AT32" s="572">
        <f t="shared" si="67"/>
        <v>53</v>
      </c>
      <c r="AU32" s="573">
        <f>IF('Marks Entry'!AA32="","",'Marks Entry'!AA32)</f>
        <v>49</v>
      </c>
      <c r="AV32" s="573" t="str">
        <f>IF('Marks Entry'!AB32="","",'Marks Entry'!AB32)</f>
        <v/>
      </c>
      <c r="AW32" s="572">
        <f t="shared" si="68"/>
        <v>49</v>
      </c>
      <c r="AX32" s="157">
        <f t="shared" si="69"/>
        <v>102</v>
      </c>
      <c r="AY32" s="157" t="str">
        <f t="shared" si="70"/>
        <v/>
      </c>
      <c r="AZ32" s="192">
        <f t="shared" si="71"/>
        <v>102</v>
      </c>
      <c r="BA32" s="153">
        <f t="shared" si="72"/>
        <v>0</v>
      </c>
      <c r="BB32" s="154">
        <f t="shared" si="73"/>
        <v>0</v>
      </c>
      <c r="BC32" s="154">
        <f t="shared" si="74"/>
        <v>100</v>
      </c>
      <c r="BD32" s="154" t="str">
        <f t="shared" si="75"/>
        <v/>
      </c>
      <c r="BE32" s="154">
        <f t="shared" si="76"/>
        <v>200</v>
      </c>
      <c r="BF32" s="153" t="str">
        <f t="shared" si="77"/>
        <v/>
      </c>
      <c r="BG32" s="154" t="str">
        <f t="shared" si="175"/>
        <v>P</v>
      </c>
      <c r="BH32" s="153" t="str">
        <f t="shared" si="78"/>
        <v>II</v>
      </c>
      <c r="BI32" s="580" t="str">
        <f>IF('Marks Entry'!AC32="","",'Marks Entry'!AC32)</f>
        <v>B</v>
      </c>
      <c r="BJ32" s="580">
        <f>IF('Marks Entry'!AD32="","",'Marks Entry'!AD32)</f>
        <v>14</v>
      </c>
      <c r="BK32" s="580">
        <f>IF('Marks Entry'!AE32="","",'Marks Entry'!AE32)</f>
        <v>13</v>
      </c>
      <c r="BL32" s="580" t="str">
        <f>IF('Marks Entry'!AF32="","",'Marks Entry'!AF32)</f>
        <v/>
      </c>
      <c r="BM32" s="581">
        <f t="shared" si="79"/>
        <v>27</v>
      </c>
      <c r="BN32" s="580">
        <f>IF('Marks Entry'!AG32="","",'Marks Entry'!AG32)</f>
        <v>45</v>
      </c>
      <c r="BO32" s="580" t="str">
        <f>IF('Marks Entry'!AH32="","",'Marks Entry'!AH32)</f>
        <v/>
      </c>
      <c r="BP32" s="581">
        <f t="shared" si="80"/>
        <v>45</v>
      </c>
      <c r="BQ32" s="581">
        <f t="shared" si="81"/>
        <v>72</v>
      </c>
      <c r="BR32" s="580">
        <f>IF('Marks Entry'!AI32="","",'Marks Entry'!AI32)</f>
        <v>51</v>
      </c>
      <c r="BS32" s="580" t="str">
        <f>IF('Marks Entry'!AJ32="","",'Marks Entry'!AJ32)</f>
        <v/>
      </c>
      <c r="BT32" s="581">
        <f t="shared" si="82"/>
        <v>51</v>
      </c>
      <c r="BU32" s="157">
        <f t="shared" si="83"/>
        <v>123</v>
      </c>
      <c r="BV32" s="157" t="str">
        <f t="shared" si="84"/>
        <v/>
      </c>
      <c r="BW32" s="192">
        <f t="shared" si="85"/>
        <v>123</v>
      </c>
      <c r="BX32" s="153">
        <f t="shared" si="86"/>
        <v>0</v>
      </c>
      <c r="BY32" s="154">
        <f t="shared" si="87"/>
        <v>0</v>
      </c>
      <c r="BZ32" s="154">
        <f t="shared" si="88"/>
        <v>100</v>
      </c>
      <c r="CA32" s="154" t="str">
        <f t="shared" si="89"/>
        <v/>
      </c>
      <c r="CB32" s="154">
        <f t="shared" si="90"/>
        <v>200</v>
      </c>
      <c r="CC32" s="153" t="str">
        <f t="shared" si="91"/>
        <v/>
      </c>
      <c r="CD32" s="154" t="str">
        <f t="shared" si="92"/>
        <v>P</v>
      </c>
      <c r="CE32" s="153" t="str">
        <f t="shared" si="93"/>
        <v>I</v>
      </c>
      <c r="CF32" s="580" t="str">
        <f>IF('Marks Entry'!AK32="","",'Marks Entry'!AK32)</f>
        <v>A</v>
      </c>
      <c r="CG32" s="580">
        <f>IF('Marks Entry'!AL32="","",'Marks Entry'!AL32)</f>
        <v>14</v>
      </c>
      <c r="CH32" s="580">
        <f>IF('Marks Entry'!AM32="","",'Marks Entry'!AM32)</f>
        <v>14</v>
      </c>
      <c r="CI32" s="580" t="str">
        <f>IF('Marks Entry'!AN32="","",'Marks Entry'!AN32)</f>
        <v/>
      </c>
      <c r="CJ32" s="581">
        <f t="shared" si="94"/>
        <v>28</v>
      </c>
      <c r="CK32" s="580">
        <f>IF('Marks Entry'!AO32="","",'Marks Entry'!AO32)</f>
        <v>29</v>
      </c>
      <c r="CL32" s="580">
        <f>IF('Marks Entry'!AP32="","",'Marks Entry'!AP32)</f>
        <v>10</v>
      </c>
      <c r="CM32" s="581">
        <f t="shared" si="95"/>
        <v>39</v>
      </c>
      <c r="CN32" s="581">
        <f t="shared" si="96"/>
        <v>67</v>
      </c>
      <c r="CO32" s="580">
        <f>IF('Marks Entry'!AQ32="","",'Marks Entry'!AQ32)</f>
        <v>35</v>
      </c>
      <c r="CP32" s="580">
        <f>IF('Marks Entry'!AR32="","",'Marks Entry'!AR32)</f>
        <v>24</v>
      </c>
      <c r="CQ32" s="581">
        <f t="shared" si="97"/>
        <v>59</v>
      </c>
      <c r="CR32" s="157">
        <f t="shared" si="98"/>
        <v>92</v>
      </c>
      <c r="CS32" s="157">
        <f t="shared" si="99"/>
        <v>34</v>
      </c>
      <c r="CT32" s="192">
        <f t="shared" si="100"/>
        <v>126</v>
      </c>
      <c r="CU32" s="153">
        <f t="shared" si="101"/>
        <v>0</v>
      </c>
      <c r="CV32" s="154">
        <f t="shared" si="102"/>
        <v>0</v>
      </c>
      <c r="CW32" s="154">
        <f t="shared" si="103"/>
        <v>70</v>
      </c>
      <c r="CX32" s="154">
        <f t="shared" si="104"/>
        <v>50</v>
      </c>
      <c r="CY32" s="154">
        <f t="shared" si="176"/>
        <v>150</v>
      </c>
      <c r="CZ32" s="153" t="str">
        <f t="shared" si="105"/>
        <v/>
      </c>
      <c r="DA32" s="154" t="str">
        <f t="shared" si="106"/>
        <v>P</v>
      </c>
      <c r="DB32" s="153" t="str">
        <f t="shared" si="107"/>
        <v>I</v>
      </c>
      <c r="DC32" s="154">
        <f t="shared" si="108"/>
        <v>0</v>
      </c>
      <c r="DD32" s="826" t="str">
        <f>IF('Marks Entry'!AS32="","",IF(OR('Master Sheet'!$D$19="YES",'Marks Entry'!$BA$1=1),'Marks Entry'!AS32,""))</f>
        <v/>
      </c>
      <c r="DE32" s="826" t="str">
        <f>IF('Marks Entry'!AT32="","",IF(OR('Master Sheet'!$D$19="YES",'Marks Entry'!$BA$1=1),'Marks Entry'!AT32,""))</f>
        <v/>
      </c>
      <c r="DF32" s="826" t="str">
        <f>IF('Marks Entry'!AU32="","",IF(OR('Master Sheet'!$D$19="YES",'Marks Entry'!$BA$1=1),'Marks Entry'!AU32,""))</f>
        <v/>
      </c>
      <c r="DG32" s="826" t="str">
        <f>IF('Marks Entry'!AV32="","",IF(OR('Master Sheet'!$D$19="YES",'Marks Entry'!$BA$1=1),'Marks Entry'!AV32,""))</f>
        <v/>
      </c>
      <c r="DH32" s="827" t="str">
        <f t="shared" si="109"/>
        <v/>
      </c>
      <c r="DI32" s="826" t="str">
        <f>IF('Marks Entry'!AW32="","",IF(OR('Master Sheet'!$D$19="YES",'Marks Entry'!$BA$1=1),'Marks Entry'!AW32,""))</f>
        <v/>
      </c>
      <c r="DJ32" s="826" t="str">
        <f>IF('Marks Entry'!AX32="","",IF(OR('Master Sheet'!$D$19="YES",'Marks Entry'!$BA$1=1),'Marks Entry'!AX32,""))</f>
        <v/>
      </c>
      <c r="DK32" s="827" t="str">
        <f t="shared" si="110"/>
        <v/>
      </c>
      <c r="DL32" s="827" t="str">
        <f t="shared" si="111"/>
        <v/>
      </c>
      <c r="DM32" s="826" t="str">
        <f>IF('Marks Entry'!AY32="","",IF(OR('Master Sheet'!$D$19="YES",'Marks Entry'!$BA$1=1),'Marks Entry'!AY32,""))</f>
        <v/>
      </c>
      <c r="DN32" s="826" t="str">
        <f>IF('Marks Entry'!AZ32="","",IF(OR('Master Sheet'!$D$19="YES",'Marks Entry'!$BA$1=1),'Marks Entry'!AZ32,""))</f>
        <v/>
      </c>
      <c r="DO32" s="826" t="str">
        <f>IF('Marks Entry'!BA32="","",IF(OR('Master Sheet'!$D$19="YES",'Marks Entry'!$BA$1=1),'Marks Entry'!BA32,""))</f>
        <v/>
      </c>
      <c r="DP32" s="827" t="str">
        <f t="shared" si="112"/>
        <v/>
      </c>
      <c r="DQ32" s="157" t="str">
        <f t="shared" si="113"/>
        <v/>
      </c>
      <c r="DR32" s="157" t="str">
        <f t="shared" si="114"/>
        <v/>
      </c>
      <c r="DS32" s="157" t="str">
        <f t="shared" si="115"/>
        <v/>
      </c>
      <c r="DT32" s="192" t="str">
        <f t="shared" si="116"/>
        <v/>
      </c>
      <c r="DU32" s="153">
        <f t="shared" si="117"/>
        <v>0</v>
      </c>
      <c r="DV32" s="154" t="e">
        <f t="shared" si="118"/>
        <v>#VALUE!</v>
      </c>
      <c r="DW32" s="154" t="str">
        <f t="shared" si="119"/>
        <v/>
      </c>
      <c r="DX32" s="154" t="str">
        <f>IF(OR($B32="NSO",$B32=0,DS32=""),"",IF(AND(DJ32="",DO32=""),"",IF('Master Sheet'!$D$19="YES",$DO$6-COUNTIF(DO32,"ML")*DO$6,DS$6-(COUNTIF(DJ32,"ML")*DJ$6)-(COUNTIF(DO32,"ML")*DO$6))))</f>
        <v/>
      </c>
      <c r="DY32" s="154" t="str">
        <f>IF(OR($B32="NSO",$B32=0),"",IF(AND(DH32="",DI32="",DM32=""),"",IF(AND('Master Sheet'!$D$19="YES",'Marks Entry'!$BA$1=1),100,IF(AND(DJ32="",DO32=""),SUM(($DQ$7+$DR$7)-(DU32+DV32)),SUM(($DQ$6+$DR$6)-(DU32+DV32))))))</f>
        <v/>
      </c>
      <c r="DZ32" s="153" t="str">
        <f t="shared" si="120"/>
        <v/>
      </c>
      <c r="EA32" s="154" t="str">
        <f t="shared" si="121"/>
        <v/>
      </c>
      <c r="EB32" s="153" t="str">
        <f t="shared" si="122"/>
        <v/>
      </c>
      <c r="EC32" s="584">
        <f>IF('Marks Entry'!BB32="","",'Marks Entry'!BB32)</f>
        <v>20</v>
      </c>
      <c r="ED32" s="584">
        <f>IF('Marks Entry'!BC32="","",'Marks Entry'!BC32)</f>
        <v>30</v>
      </c>
      <c r="EE32" s="584">
        <f>IF('Marks Entry'!BD32="","",'Marks Entry'!BD32)</f>
        <v>32</v>
      </c>
      <c r="EF32" s="590">
        <f t="shared" si="123"/>
        <v>82</v>
      </c>
      <c r="EG32" s="595">
        <f t="shared" si="124"/>
        <v>0</v>
      </c>
      <c r="EH32" s="595">
        <f t="shared" si="125"/>
        <v>0</v>
      </c>
      <c r="EI32" s="193">
        <f t="shared" si="126"/>
        <v>100</v>
      </c>
      <c r="EJ32" s="595" t="str">
        <f t="shared" si="127"/>
        <v/>
      </c>
      <c r="EK32" s="595" t="str">
        <f t="shared" si="128"/>
        <v>A</v>
      </c>
      <c r="EL32" s="194" t="str">
        <f t="shared" si="129"/>
        <v/>
      </c>
      <c r="EM32" s="194" t="str">
        <f t="shared" si="130"/>
        <v/>
      </c>
      <c r="EN32" s="194" t="str">
        <f t="shared" si="131"/>
        <v>II</v>
      </c>
      <c r="EO32" s="194" t="str">
        <f t="shared" si="132"/>
        <v>I</v>
      </c>
      <c r="EP32" s="194" t="str">
        <f t="shared" si="133"/>
        <v>I</v>
      </c>
      <c r="EQ32" s="194" t="str">
        <f t="shared" si="134"/>
        <v/>
      </c>
      <c r="ER32" s="195">
        <f t="shared" si="135"/>
        <v>0</v>
      </c>
      <c r="ES32" s="195">
        <f t="shared" si="136"/>
        <v>0</v>
      </c>
      <c r="ET32" s="195">
        <f t="shared" si="137"/>
        <v>0</v>
      </c>
      <c r="EU32" s="195">
        <f t="shared" si="138"/>
        <v>0</v>
      </c>
      <c r="EV32" s="195">
        <f t="shared" si="139"/>
        <v>0</v>
      </c>
      <c r="EW32" s="195" t="str">
        <f t="shared" si="140"/>
        <v/>
      </c>
      <c r="EX32" s="196" t="str">
        <f t="shared" si="141"/>
        <v/>
      </c>
      <c r="EY32" s="197">
        <f>IF('Marks Entry'!BE32="","",'Marks Entry'!BE32)</f>
        <v>7</v>
      </c>
      <c r="EZ32" s="197">
        <f>IF('Marks Entry'!BF32="","",'Marks Entry'!BF32)</f>
        <v>7</v>
      </c>
      <c r="FA32" s="197">
        <f>IF('Marks Entry'!BG32="","",'Marks Entry'!BG32)</f>
        <v>7</v>
      </c>
      <c r="FB32" s="596">
        <f t="shared" si="142"/>
        <v>21</v>
      </c>
      <c r="FC32" s="197">
        <f>IF('Marks Entry'!BH32="","",'Marks Entry'!BH32)</f>
        <v>41</v>
      </c>
      <c r="FD32" s="197">
        <f>IF('Marks Entry'!BI32="","",'Marks Entry'!BI32)</f>
        <v>68</v>
      </c>
      <c r="FE32" s="198">
        <f t="shared" si="143"/>
        <v>130</v>
      </c>
      <c r="FF32" s="199" t="str">
        <f t="shared" si="144"/>
        <v>B</v>
      </c>
      <c r="FG32" s="200" t="str">
        <f>IF(AND(E32=""),"",IF('Student DATA Entry'!L28="","",'Student DATA Entry'!L28))</f>
        <v/>
      </c>
      <c r="FH32" s="201" t="str">
        <f>IF(AND(E32=""),"",IF('Student DATA Entry'!M28="","",'Student DATA Entry'!M28))</f>
        <v/>
      </c>
      <c r="FI32" s="202" t="str">
        <f t="shared" si="145"/>
        <v/>
      </c>
      <c r="FJ32" s="189" t="str">
        <f t="shared" si="146"/>
        <v/>
      </c>
      <c r="FK32" s="189" t="str">
        <f t="shared" si="147"/>
        <v/>
      </c>
      <c r="FL32" s="203" t="str">
        <f t="shared" si="19"/>
        <v/>
      </c>
      <c r="FM32" s="189" t="str">
        <f t="shared" si="148"/>
        <v/>
      </c>
      <c r="FN32" s="204" t="str">
        <f t="shared" si="149"/>
        <v/>
      </c>
      <c r="FO32" s="203" t="str">
        <f t="shared" si="20"/>
        <v/>
      </c>
      <c r="FP32" s="205" t="str">
        <f t="shared" si="150"/>
        <v>II</v>
      </c>
      <c r="FQ32" s="189" t="str">
        <f t="shared" si="21"/>
        <v>II</v>
      </c>
      <c r="FR32" s="189" t="str">
        <f t="shared" si="22"/>
        <v/>
      </c>
      <c r="FS32" s="189" t="str">
        <f t="shared" si="23"/>
        <v/>
      </c>
      <c r="FT32" s="189" t="str">
        <f t="shared" si="24"/>
        <v/>
      </c>
      <c r="FU32" s="189" t="str">
        <f t="shared" si="151"/>
        <v/>
      </c>
      <c r="FV32" s="206" t="str">
        <f t="shared" si="25"/>
        <v/>
      </c>
      <c r="FW32" s="205" t="str">
        <f t="shared" si="152"/>
        <v>I</v>
      </c>
      <c r="FX32" s="189" t="str">
        <f t="shared" si="26"/>
        <v/>
      </c>
      <c r="FY32" s="189" t="str">
        <f t="shared" si="27"/>
        <v>I</v>
      </c>
      <c r="FZ32" s="189" t="str">
        <f t="shared" si="28"/>
        <v/>
      </c>
      <c r="GA32" s="189" t="str">
        <f t="shared" si="29"/>
        <v/>
      </c>
      <c r="GB32" s="189" t="str">
        <f t="shared" si="153"/>
        <v/>
      </c>
      <c r="GC32" s="206" t="str">
        <f t="shared" si="30"/>
        <v/>
      </c>
      <c r="GD32" s="205" t="str">
        <f t="shared" si="154"/>
        <v>I</v>
      </c>
      <c r="GE32" s="189" t="str">
        <f t="shared" si="31"/>
        <v>I</v>
      </c>
      <c r="GF32" s="189" t="str">
        <f t="shared" si="32"/>
        <v/>
      </c>
      <c r="GG32" s="189" t="str">
        <f t="shared" si="33"/>
        <v/>
      </c>
      <c r="GH32" s="189" t="str">
        <f t="shared" si="34"/>
        <v/>
      </c>
      <c r="GI32" s="189" t="str">
        <f t="shared" si="155"/>
        <v/>
      </c>
      <c r="GJ32" s="206" t="str">
        <f t="shared" si="35"/>
        <v/>
      </c>
      <c r="GK32" s="205" t="str">
        <f t="shared" si="156"/>
        <v/>
      </c>
      <c r="GL32" s="189" t="str">
        <f t="shared" si="36"/>
        <v/>
      </c>
      <c r="GM32" s="189" t="str">
        <f t="shared" si="37"/>
        <v/>
      </c>
      <c r="GN32" s="189" t="str">
        <f t="shared" si="38"/>
        <v/>
      </c>
      <c r="GO32" s="189" t="str">
        <f t="shared" si="39"/>
        <v/>
      </c>
      <c r="GP32" s="189" t="str">
        <f t="shared" si="157"/>
        <v/>
      </c>
      <c r="GQ32" s="206" t="str">
        <f t="shared" si="40"/>
        <v/>
      </c>
      <c r="GR32" s="189" t="str">
        <f t="shared" si="158"/>
        <v>A</v>
      </c>
      <c r="GS32" s="189" t="str">
        <f t="shared" si="159"/>
        <v>B</v>
      </c>
      <c r="GT32" s="207" t="str">
        <f t="shared" si="177"/>
        <v xml:space="preserve">    </v>
      </c>
      <c r="GU32" s="207" t="str">
        <f t="shared" si="160"/>
        <v xml:space="preserve">    </v>
      </c>
      <c r="GV32" s="207" t="str">
        <f t="shared" si="161"/>
        <v xml:space="preserve">    </v>
      </c>
      <c r="GW32" s="207" t="str">
        <f t="shared" si="162"/>
        <v xml:space="preserve">       </v>
      </c>
      <c r="GX32" s="598" t="str">
        <f t="shared" si="163"/>
        <v xml:space="preserve">     </v>
      </c>
      <c r="GY32" s="208" t="str">
        <f t="shared" si="164"/>
        <v/>
      </c>
      <c r="GZ32" s="606">
        <f>IF(AND(Q32="",AE32="",AZ32="",BW32="",CT32=""),"",IF(AND('Master Sheet'!$D$19="YES",'Marks Entry'!$BA$1=1),SUM(Q32,AE32,AZ32,BW32,DT32),SUM(Q32,AE32,AZ32,BW32,CT32)))</f>
        <v>583</v>
      </c>
      <c r="HA32" s="209">
        <f>IF(GZ32="","",IF(AND('Master Sheet'!$D$19="YES",'Marks Entry'!$BA$1=1),GZ32/((900)-DC32)*100,GZ32/((1000)-DC32)*100))</f>
        <v>58.3</v>
      </c>
      <c r="HB32" s="611" t="str">
        <f t="shared" si="165"/>
        <v/>
      </c>
      <c r="HC32" s="609" t="str">
        <f t="shared" si="166"/>
        <v/>
      </c>
      <c r="HD32" s="610" t="str">
        <f t="shared" si="167"/>
        <v/>
      </c>
      <c r="HE32" s="210" t="str">
        <f>IFERROR(IF(OR(GY32="SUPPLEMENTARY",GY32="RE-EXAM"),'Supp. Result Entry'!AS31,""),"")</f>
        <v/>
      </c>
      <c r="HF32" s="613" t="str">
        <f t="shared" si="168"/>
        <v/>
      </c>
      <c r="HG32" s="598" t="str">
        <f t="shared" si="169"/>
        <v/>
      </c>
      <c r="HH32" s="598" t="str">
        <f>IF(AND(HE32="",HF32="",HG32=""),"",IF(OR(GY32="SUPPLEMENTARY",GY32="RE-EXAM"),'Supp. Result Entry'!AS31,GY32))</f>
        <v/>
      </c>
      <c r="HI32" s="180"/>
      <c r="HY32" s="212" t="str">
        <f>IF('Supp. Result Entry'!U31="","",'Supp. Result Entry'!$U$6)</f>
        <v/>
      </c>
      <c r="HZ32" s="213" t="str">
        <f>IF('Supp. Result Entry'!X31="","",'Supp. Result Entry'!$X$6)</f>
        <v/>
      </c>
      <c r="IA32" s="213" t="str">
        <f>IF('Supp. Result Entry'!AA31="","",'Supp. Result Entry'!$AA$6)</f>
        <v/>
      </c>
      <c r="IB32" s="213" t="str">
        <f>IF('Supp. Result Entry'!AD31="","",'Supp. Result Entry'!$AD$6)</f>
        <v/>
      </c>
      <c r="IC32" s="213" t="str">
        <f>IF('Supp. Result Entry'!AG31="","",'Supp. Result Entry'!$AG$6)</f>
        <v/>
      </c>
      <c r="ID32" s="213" t="str">
        <f>IF('Supp. Result Entry'!AJ31="","",'Supp. Result Entry'!$AJ$6)</f>
        <v/>
      </c>
      <c r="IE32" s="213" t="str">
        <f>IF('Supp. Result Entry'!V31="","",'Supp. Result Entry'!V31)</f>
        <v/>
      </c>
      <c r="IF32" s="213" t="str">
        <f>IF('Supp. Result Entry'!Y31="","",'Supp. Result Entry'!Y31)</f>
        <v/>
      </c>
      <c r="IG32" s="213" t="str">
        <f>IF('Supp. Result Entry'!AB31="","",'Supp. Result Entry'!AB31)</f>
        <v/>
      </c>
      <c r="IH32" s="213" t="str">
        <f>IF('Supp. Result Entry'!AE31="","",'Supp. Result Entry'!AE31)</f>
        <v/>
      </c>
      <c r="II32" s="213" t="str">
        <f>IF('Supp. Result Entry'!AH31="","",'Supp. Result Entry'!AH31)</f>
        <v/>
      </c>
      <c r="IJ32" s="213" t="str">
        <f>IF('Supp. Result Entry'!AK31="","",'Supp. Result Entry'!AK31)</f>
        <v/>
      </c>
      <c r="IK32" s="213" t="str">
        <f>IF('Supp. Result Entry'!W31="","",'Supp. Result Entry'!W31)</f>
        <v/>
      </c>
      <c r="IL32" s="213" t="str">
        <f>IF('Supp. Result Entry'!Z31="","",'Supp. Result Entry'!Z31)</f>
        <v/>
      </c>
      <c r="IM32" s="213" t="str">
        <f>IF('Supp. Result Entry'!AC31="","",'Supp. Result Entry'!AC31)</f>
        <v/>
      </c>
      <c r="IN32" s="213" t="str">
        <f>IF('Supp. Result Entry'!AF31="","",'Supp. Result Entry'!AF31)</f>
        <v/>
      </c>
      <c r="IO32" s="213" t="str">
        <f>IF('Supp. Result Entry'!AI31="","",'Supp. Result Entry'!AI31)</f>
        <v/>
      </c>
      <c r="IP32" s="213" t="str">
        <f>IF('Supp. Result Entry'!AL31="","",'Supp. Result Entry'!AL31)</f>
        <v/>
      </c>
      <c r="IQ32" s="213">
        <f>COUNTIF('Supp. Result Entry'!K31:Q31,"S")</f>
        <v>0</v>
      </c>
      <c r="IR32" s="213">
        <f t="shared" si="170"/>
        <v>0</v>
      </c>
      <c r="IS32" s="213">
        <f t="shared" si="171"/>
        <v>0</v>
      </c>
      <c r="IT32" s="213" t="str">
        <f t="shared" si="41"/>
        <v/>
      </c>
      <c r="IU32" s="213" t="str">
        <f t="shared" si="42"/>
        <v/>
      </c>
      <c r="IV32" s="213" t="str">
        <f t="shared" si="43"/>
        <v/>
      </c>
      <c r="IW32" s="213" t="str">
        <f t="shared" si="44"/>
        <v/>
      </c>
      <c r="IX32" s="213" t="str">
        <f t="shared" si="45"/>
        <v/>
      </c>
      <c r="IY32" s="213" t="str">
        <f t="shared" si="172"/>
        <v/>
      </c>
      <c r="IZ32" s="213" t="str">
        <f t="shared" si="173"/>
        <v/>
      </c>
      <c r="JA32" s="213" t="str">
        <f t="shared" si="46"/>
        <v/>
      </c>
      <c r="JB32" s="211" t="str">
        <f t="shared" si="174"/>
        <v/>
      </c>
    </row>
    <row r="33" spans="1:262" s="211" customFormat="1" ht="21" customHeight="1">
      <c r="A33" s="184">
        <v>26</v>
      </c>
      <c r="B33" s="185" t="str">
        <f>IF('Marks Entry'!B33="","",'Marks Entry'!B33)</f>
        <v/>
      </c>
      <c r="C33" s="186" t="str">
        <f>IF('Marks Entry'!D33="","",'Marks Entry'!D33)</f>
        <v/>
      </c>
      <c r="D33" s="187" t="str">
        <f>IF('Marks Entry'!E33="","",'Marks Entry'!E33)</f>
        <v/>
      </c>
      <c r="E33" s="188" t="str">
        <f>IF('Marks Entry'!F33="","",'Marks Entry'!F33)</f>
        <v/>
      </c>
      <c r="F33" s="188" t="str">
        <f>IF('Marks Entry'!G33="","",'Marks Entry'!G33)</f>
        <v/>
      </c>
      <c r="G33" s="188" t="str">
        <f>IF('Marks Entry'!H33="","",'Marks Entry'!H33)</f>
        <v/>
      </c>
      <c r="H33" s="189" t="str">
        <f>IF('Marks Entry'!I33="","",'Marks Entry'!I33)</f>
        <v/>
      </c>
      <c r="I33" s="190" t="str">
        <f>IF('Marks Entry'!J33="","",'Marks Entry'!J33)</f>
        <v/>
      </c>
      <c r="J33" s="545">
        <f>IF('Marks Entry'!K33="","",'Marks Entry'!K33)</f>
        <v>13</v>
      </c>
      <c r="K33" s="545">
        <f>IF('Marks Entry'!L33="","",'Marks Entry'!L33)</f>
        <v>9</v>
      </c>
      <c r="L33" s="545">
        <f>IF('Marks Entry'!M33="","",'Marks Entry'!M33)</f>
        <v>8</v>
      </c>
      <c r="M33" s="546">
        <f t="shared" si="47"/>
        <v>30</v>
      </c>
      <c r="N33" s="545">
        <f>IF('Marks Entry'!N33="","",'Marks Entry'!N33)</f>
        <v>27</v>
      </c>
      <c r="O33" s="546">
        <f t="shared" si="48"/>
        <v>57</v>
      </c>
      <c r="P33" s="545">
        <f>IF('Marks Entry'!O33="","",'Marks Entry'!O33)</f>
        <v>50</v>
      </c>
      <c r="Q33" s="547">
        <f t="shared" si="49"/>
        <v>107</v>
      </c>
      <c r="R33" s="153">
        <f t="shared" si="50"/>
        <v>0</v>
      </c>
      <c r="S33" s="153">
        <f t="shared" si="51"/>
        <v>0</v>
      </c>
      <c r="T33" s="154">
        <f t="shared" si="52"/>
        <v>200</v>
      </c>
      <c r="U33" s="153" t="str">
        <f t="shared" si="53"/>
        <v/>
      </c>
      <c r="V33" s="153" t="str">
        <f t="shared" si="54"/>
        <v/>
      </c>
      <c r="W33" s="153" t="str">
        <f t="shared" si="55"/>
        <v/>
      </c>
      <c r="X33" s="545">
        <f>IF('Marks Entry'!P33="","",'Marks Entry'!P33)</f>
        <v>8</v>
      </c>
      <c r="Y33" s="545">
        <f>IF('Marks Entry'!Q33="","",'Marks Entry'!Q33)</f>
        <v>10</v>
      </c>
      <c r="Z33" s="545">
        <f>IF('Marks Entry'!R33="","",'Marks Entry'!R33)</f>
        <v>9</v>
      </c>
      <c r="AA33" s="546">
        <f t="shared" si="56"/>
        <v>27</v>
      </c>
      <c r="AB33" s="545">
        <f>IF('Marks Entry'!S33="","",'Marks Entry'!S33)</f>
        <v>32</v>
      </c>
      <c r="AC33" s="546">
        <f t="shared" si="57"/>
        <v>59</v>
      </c>
      <c r="AD33" s="545">
        <f>IF('Marks Entry'!T33="","",'Marks Entry'!T33)</f>
        <v>61</v>
      </c>
      <c r="AE33" s="547">
        <f t="shared" si="58"/>
        <v>120</v>
      </c>
      <c r="AF33" s="153">
        <f t="shared" si="59"/>
        <v>0</v>
      </c>
      <c r="AG33" s="153">
        <f t="shared" si="60"/>
        <v>0</v>
      </c>
      <c r="AH33" s="154">
        <f t="shared" si="61"/>
        <v>200</v>
      </c>
      <c r="AI33" s="153" t="str">
        <f t="shared" si="62"/>
        <v/>
      </c>
      <c r="AJ33" s="153" t="str">
        <f t="shared" si="63"/>
        <v/>
      </c>
      <c r="AK33" s="153" t="str">
        <f t="shared" si="64"/>
        <v/>
      </c>
      <c r="AL33" s="573" t="str">
        <f>IF('Marks Entry'!U33="","",'Marks Entry'!U33)</f>
        <v>A</v>
      </c>
      <c r="AM33" s="573">
        <f>IF('Marks Entry'!V33="","",'Marks Entry'!V33)</f>
        <v>8</v>
      </c>
      <c r="AN33" s="573">
        <f>IF('Marks Entry'!W33="","",'Marks Entry'!W33)</f>
        <v>8</v>
      </c>
      <c r="AO33" s="573">
        <f>IF('Marks Entry'!X33="","",'Marks Entry'!X33)</f>
        <v>7</v>
      </c>
      <c r="AP33" s="572">
        <f t="shared" si="65"/>
        <v>23</v>
      </c>
      <c r="AQ33" s="573">
        <f>IF('Marks Entry'!Y33="","",'Marks Entry'!Y33)</f>
        <v>35</v>
      </c>
      <c r="AR33" s="573" t="str">
        <f>IF('Marks Entry'!Z33="","",'Marks Entry'!Z33)</f>
        <v/>
      </c>
      <c r="AS33" s="572">
        <f t="shared" si="66"/>
        <v>35</v>
      </c>
      <c r="AT33" s="572">
        <f t="shared" si="67"/>
        <v>58</v>
      </c>
      <c r="AU33" s="573">
        <f>IF('Marks Entry'!AA33="","",'Marks Entry'!AA33)</f>
        <v>52</v>
      </c>
      <c r="AV33" s="573" t="str">
        <f>IF('Marks Entry'!AB33="","",'Marks Entry'!AB33)</f>
        <v/>
      </c>
      <c r="AW33" s="572">
        <f t="shared" si="68"/>
        <v>52</v>
      </c>
      <c r="AX33" s="157">
        <f t="shared" si="69"/>
        <v>110</v>
      </c>
      <c r="AY33" s="157" t="str">
        <f t="shared" si="70"/>
        <v/>
      </c>
      <c r="AZ33" s="192">
        <f t="shared" si="71"/>
        <v>110</v>
      </c>
      <c r="BA33" s="153">
        <f t="shared" si="72"/>
        <v>0</v>
      </c>
      <c r="BB33" s="154">
        <f t="shared" si="73"/>
        <v>0</v>
      </c>
      <c r="BC33" s="154">
        <f t="shared" si="74"/>
        <v>100</v>
      </c>
      <c r="BD33" s="154" t="str">
        <f t="shared" si="75"/>
        <v/>
      </c>
      <c r="BE33" s="154">
        <f t="shared" si="76"/>
        <v>200</v>
      </c>
      <c r="BF33" s="153" t="str">
        <f t="shared" si="77"/>
        <v/>
      </c>
      <c r="BG33" s="154" t="str">
        <f t="shared" si="175"/>
        <v>P</v>
      </c>
      <c r="BH33" s="153" t="str">
        <f t="shared" si="78"/>
        <v>II</v>
      </c>
      <c r="BI33" s="580" t="str">
        <f>IF('Marks Entry'!AC33="","",'Marks Entry'!AC33)</f>
        <v>B</v>
      </c>
      <c r="BJ33" s="580">
        <f>IF('Marks Entry'!AD33="","",'Marks Entry'!AD33)</f>
        <v>15</v>
      </c>
      <c r="BK33" s="580">
        <f>IF('Marks Entry'!AE33="","",'Marks Entry'!AE33)</f>
        <v>14</v>
      </c>
      <c r="BL33" s="580" t="str">
        <f>IF('Marks Entry'!AF33="","",'Marks Entry'!AF33)</f>
        <v/>
      </c>
      <c r="BM33" s="581">
        <f t="shared" si="79"/>
        <v>29</v>
      </c>
      <c r="BN33" s="580">
        <f>IF('Marks Entry'!AG33="","",'Marks Entry'!AG33)</f>
        <v>40</v>
      </c>
      <c r="BO33" s="580" t="str">
        <f>IF('Marks Entry'!AH33="","",'Marks Entry'!AH33)</f>
        <v/>
      </c>
      <c r="BP33" s="581">
        <f t="shared" si="80"/>
        <v>40</v>
      </c>
      <c r="BQ33" s="581">
        <f t="shared" si="81"/>
        <v>69</v>
      </c>
      <c r="BR33" s="580">
        <f>IF('Marks Entry'!AI33="","",'Marks Entry'!AI33)</f>
        <v>50</v>
      </c>
      <c r="BS33" s="580" t="str">
        <f>IF('Marks Entry'!AJ33="","",'Marks Entry'!AJ33)</f>
        <v/>
      </c>
      <c r="BT33" s="581">
        <f t="shared" si="82"/>
        <v>50</v>
      </c>
      <c r="BU33" s="157">
        <f t="shared" si="83"/>
        <v>119</v>
      </c>
      <c r="BV33" s="157" t="str">
        <f t="shared" si="84"/>
        <v/>
      </c>
      <c r="BW33" s="192">
        <f t="shared" si="85"/>
        <v>119</v>
      </c>
      <c r="BX33" s="153">
        <f t="shared" si="86"/>
        <v>0</v>
      </c>
      <c r="BY33" s="154">
        <f t="shared" si="87"/>
        <v>0</v>
      </c>
      <c r="BZ33" s="154">
        <f t="shared" si="88"/>
        <v>100</v>
      </c>
      <c r="CA33" s="154" t="str">
        <f t="shared" si="89"/>
        <v/>
      </c>
      <c r="CB33" s="154">
        <f t="shared" si="90"/>
        <v>200</v>
      </c>
      <c r="CC33" s="153" t="str">
        <f t="shared" si="91"/>
        <v/>
      </c>
      <c r="CD33" s="154" t="str">
        <f t="shared" si="92"/>
        <v>P</v>
      </c>
      <c r="CE33" s="153" t="str">
        <f t="shared" si="93"/>
        <v>II</v>
      </c>
      <c r="CF33" s="580" t="str">
        <f>IF('Marks Entry'!AK33="","",'Marks Entry'!AK33)</f>
        <v>B</v>
      </c>
      <c r="CG33" s="580">
        <f>IF('Marks Entry'!AL33="","",'Marks Entry'!AL33)</f>
        <v>16</v>
      </c>
      <c r="CH33" s="580">
        <f>IF('Marks Entry'!AM33="","",'Marks Entry'!AM33)</f>
        <v>15</v>
      </c>
      <c r="CI33" s="580" t="str">
        <f>IF('Marks Entry'!AN33="","",'Marks Entry'!AN33)</f>
        <v/>
      </c>
      <c r="CJ33" s="581">
        <f t="shared" si="94"/>
        <v>31</v>
      </c>
      <c r="CK33" s="580">
        <f>IF('Marks Entry'!AO33="","",'Marks Entry'!AO33)</f>
        <v>45</v>
      </c>
      <c r="CL33" s="580" t="str">
        <f>IF('Marks Entry'!AP33="","",'Marks Entry'!AP33)</f>
        <v/>
      </c>
      <c r="CM33" s="581">
        <f t="shared" si="95"/>
        <v>45</v>
      </c>
      <c r="CN33" s="581">
        <f t="shared" si="96"/>
        <v>76</v>
      </c>
      <c r="CO33" s="580">
        <f>IF('Marks Entry'!AQ33="","",'Marks Entry'!AQ33)</f>
        <v>74</v>
      </c>
      <c r="CP33" s="580" t="str">
        <f>IF('Marks Entry'!AR33="","",'Marks Entry'!AR33)</f>
        <v/>
      </c>
      <c r="CQ33" s="581">
        <f t="shared" si="97"/>
        <v>74</v>
      </c>
      <c r="CR33" s="157">
        <f t="shared" si="98"/>
        <v>150</v>
      </c>
      <c r="CS33" s="157" t="str">
        <f t="shared" si="99"/>
        <v/>
      </c>
      <c r="CT33" s="192">
        <f t="shared" si="100"/>
        <v>150</v>
      </c>
      <c r="CU33" s="153">
        <f t="shared" si="101"/>
        <v>0</v>
      </c>
      <c r="CV33" s="154">
        <f t="shared" si="102"/>
        <v>0</v>
      </c>
      <c r="CW33" s="154">
        <f t="shared" si="103"/>
        <v>100</v>
      </c>
      <c r="CX33" s="154" t="str">
        <f t="shared" si="104"/>
        <v/>
      </c>
      <c r="CY33" s="154">
        <f t="shared" si="176"/>
        <v>200</v>
      </c>
      <c r="CZ33" s="153" t="str">
        <f t="shared" si="105"/>
        <v/>
      </c>
      <c r="DA33" s="154" t="str">
        <f t="shared" si="106"/>
        <v>P</v>
      </c>
      <c r="DB33" s="153" t="str">
        <f t="shared" si="107"/>
        <v>D</v>
      </c>
      <c r="DC33" s="154">
        <f t="shared" si="108"/>
        <v>0</v>
      </c>
      <c r="DD33" s="826" t="str">
        <f>IF('Marks Entry'!AS33="","",IF(OR('Master Sheet'!$D$19="YES",'Marks Entry'!$BA$1=1),'Marks Entry'!AS33,""))</f>
        <v/>
      </c>
      <c r="DE33" s="826" t="str">
        <f>IF('Marks Entry'!AT33="","",IF(OR('Master Sheet'!$D$19="YES",'Marks Entry'!$BA$1=1),'Marks Entry'!AT33,""))</f>
        <v/>
      </c>
      <c r="DF33" s="826" t="str">
        <f>IF('Marks Entry'!AU33="","",IF(OR('Master Sheet'!$D$19="YES",'Marks Entry'!$BA$1=1),'Marks Entry'!AU33,""))</f>
        <v/>
      </c>
      <c r="DG33" s="826" t="str">
        <f>IF('Marks Entry'!AV33="","",IF(OR('Master Sheet'!$D$19="YES",'Marks Entry'!$BA$1=1),'Marks Entry'!AV33,""))</f>
        <v/>
      </c>
      <c r="DH33" s="827" t="str">
        <f t="shared" si="109"/>
        <v/>
      </c>
      <c r="DI33" s="826" t="str">
        <f>IF('Marks Entry'!AW33="","",IF(OR('Master Sheet'!$D$19="YES",'Marks Entry'!$BA$1=1),'Marks Entry'!AW33,""))</f>
        <v/>
      </c>
      <c r="DJ33" s="826" t="str">
        <f>IF('Marks Entry'!AX33="","",IF(OR('Master Sheet'!$D$19="YES",'Marks Entry'!$BA$1=1),'Marks Entry'!AX33,""))</f>
        <v/>
      </c>
      <c r="DK33" s="827" t="str">
        <f t="shared" si="110"/>
        <v/>
      </c>
      <c r="DL33" s="827" t="str">
        <f t="shared" si="111"/>
        <v/>
      </c>
      <c r="DM33" s="826" t="str">
        <f>IF('Marks Entry'!AY33="","",IF(OR('Master Sheet'!$D$19="YES",'Marks Entry'!$BA$1=1),'Marks Entry'!AY33,""))</f>
        <v/>
      </c>
      <c r="DN33" s="826" t="str">
        <f>IF('Marks Entry'!AZ33="","",IF(OR('Master Sheet'!$D$19="YES",'Marks Entry'!$BA$1=1),'Marks Entry'!AZ33,""))</f>
        <v/>
      </c>
      <c r="DO33" s="826" t="str">
        <f>IF('Marks Entry'!BA33="","",IF(OR('Master Sheet'!$D$19="YES",'Marks Entry'!$BA$1=1),'Marks Entry'!BA33,""))</f>
        <v/>
      </c>
      <c r="DP33" s="827" t="str">
        <f t="shared" si="112"/>
        <v/>
      </c>
      <c r="DQ33" s="157" t="str">
        <f t="shared" si="113"/>
        <v/>
      </c>
      <c r="DR33" s="157" t="str">
        <f t="shared" si="114"/>
        <v/>
      </c>
      <c r="DS33" s="157" t="str">
        <f t="shared" si="115"/>
        <v/>
      </c>
      <c r="DT33" s="192" t="str">
        <f t="shared" si="116"/>
        <v/>
      </c>
      <c r="DU33" s="153">
        <f t="shared" si="117"/>
        <v>0</v>
      </c>
      <c r="DV33" s="154" t="e">
        <f t="shared" si="118"/>
        <v>#VALUE!</v>
      </c>
      <c r="DW33" s="154" t="str">
        <f t="shared" si="119"/>
        <v/>
      </c>
      <c r="DX33" s="154" t="str">
        <f>IF(OR($B33="NSO",$B33=0,DS33=""),"",IF(AND(DJ33="",DO33=""),"",IF('Master Sheet'!$D$19="YES",$DO$6-COUNTIF(DO33,"ML")*DO$6,DS$6-(COUNTIF(DJ33,"ML")*DJ$6)-(COUNTIF(DO33,"ML")*DO$6))))</f>
        <v/>
      </c>
      <c r="DY33" s="154" t="str">
        <f>IF(OR($B33="NSO",$B33=0),"",IF(AND(DH33="",DI33="",DM33=""),"",IF(AND('Master Sheet'!$D$19="YES",'Marks Entry'!$BA$1=1),100,IF(AND(DJ33="",DO33=""),SUM(($DQ$7+$DR$7)-(DU33+DV33)),SUM(($DQ$6+$DR$6)-(DU33+DV33))))))</f>
        <v/>
      </c>
      <c r="DZ33" s="153" t="str">
        <f t="shared" si="120"/>
        <v/>
      </c>
      <c r="EA33" s="154" t="str">
        <f t="shared" si="121"/>
        <v/>
      </c>
      <c r="EB33" s="153" t="str">
        <f t="shared" si="122"/>
        <v/>
      </c>
      <c r="EC33" s="584">
        <f>IF('Marks Entry'!BB33="","",'Marks Entry'!BB33)</f>
        <v>20</v>
      </c>
      <c r="ED33" s="584">
        <f>IF('Marks Entry'!BC33="","",'Marks Entry'!BC33)</f>
        <v>30</v>
      </c>
      <c r="EE33" s="584">
        <f>IF('Marks Entry'!BD33="","",'Marks Entry'!BD33)</f>
        <v>32</v>
      </c>
      <c r="EF33" s="590">
        <f t="shared" si="123"/>
        <v>82</v>
      </c>
      <c r="EG33" s="595">
        <f t="shared" si="124"/>
        <v>0</v>
      </c>
      <c r="EH33" s="595">
        <f t="shared" si="125"/>
        <v>0</v>
      </c>
      <c r="EI33" s="193">
        <f t="shared" si="126"/>
        <v>100</v>
      </c>
      <c r="EJ33" s="595" t="str">
        <f t="shared" si="127"/>
        <v/>
      </c>
      <c r="EK33" s="595" t="str">
        <f t="shared" si="128"/>
        <v>A</v>
      </c>
      <c r="EL33" s="194" t="str">
        <f t="shared" si="129"/>
        <v/>
      </c>
      <c r="EM33" s="194" t="str">
        <f t="shared" si="130"/>
        <v/>
      </c>
      <c r="EN33" s="194" t="str">
        <f t="shared" si="131"/>
        <v>II</v>
      </c>
      <c r="EO33" s="194" t="str">
        <f t="shared" si="132"/>
        <v>II</v>
      </c>
      <c r="EP33" s="194" t="str">
        <f t="shared" si="133"/>
        <v>D</v>
      </c>
      <c r="EQ33" s="194" t="str">
        <f t="shared" si="134"/>
        <v/>
      </c>
      <c r="ER33" s="195">
        <f t="shared" si="135"/>
        <v>0</v>
      </c>
      <c r="ES33" s="195">
        <f t="shared" si="136"/>
        <v>0</v>
      </c>
      <c r="ET33" s="195">
        <f t="shared" si="137"/>
        <v>0</v>
      </c>
      <c r="EU33" s="195">
        <f t="shared" si="138"/>
        <v>0</v>
      </c>
      <c r="EV33" s="195">
        <f t="shared" si="139"/>
        <v>0</v>
      </c>
      <c r="EW33" s="195" t="str">
        <f t="shared" si="140"/>
        <v/>
      </c>
      <c r="EX33" s="196" t="str">
        <f t="shared" si="141"/>
        <v/>
      </c>
      <c r="EY33" s="197">
        <f>IF('Marks Entry'!BE33="","",'Marks Entry'!BE33)</f>
        <v>7</v>
      </c>
      <c r="EZ33" s="197">
        <f>IF('Marks Entry'!BF33="","",'Marks Entry'!BF33)</f>
        <v>7</v>
      </c>
      <c r="FA33" s="197">
        <f>IF('Marks Entry'!BG33="","",'Marks Entry'!BG33)</f>
        <v>7</v>
      </c>
      <c r="FB33" s="596">
        <f t="shared" si="142"/>
        <v>21</v>
      </c>
      <c r="FC33" s="197">
        <f>IF('Marks Entry'!BH33="","",'Marks Entry'!BH33)</f>
        <v>41</v>
      </c>
      <c r="FD33" s="197">
        <f>IF('Marks Entry'!BI33="","",'Marks Entry'!BI33)</f>
        <v>68</v>
      </c>
      <c r="FE33" s="198">
        <f t="shared" si="143"/>
        <v>130</v>
      </c>
      <c r="FF33" s="199" t="str">
        <f t="shared" si="144"/>
        <v>B</v>
      </c>
      <c r="FG33" s="200" t="str">
        <f>IF(AND(E33=""),"",IF('Student DATA Entry'!L29="","",'Student DATA Entry'!L29))</f>
        <v/>
      </c>
      <c r="FH33" s="201" t="str">
        <f>IF(AND(E33=""),"",IF('Student DATA Entry'!M29="","",'Student DATA Entry'!M29))</f>
        <v/>
      </c>
      <c r="FI33" s="202" t="str">
        <f t="shared" si="145"/>
        <v/>
      </c>
      <c r="FJ33" s="189" t="str">
        <f t="shared" si="146"/>
        <v/>
      </c>
      <c r="FK33" s="189" t="str">
        <f t="shared" si="147"/>
        <v/>
      </c>
      <c r="FL33" s="203" t="str">
        <f t="shared" si="19"/>
        <v/>
      </c>
      <c r="FM33" s="189" t="str">
        <f t="shared" si="148"/>
        <v/>
      </c>
      <c r="FN33" s="204" t="str">
        <f t="shared" si="149"/>
        <v/>
      </c>
      <c r="FO33" s="203" t="str">
        <f t="shared" si="20"/>
        <v/>
      </c>
      <c r="FP33" s="205" t="str">
        <f t="shared" si="150"/>
        <v>II</v>
      </c>
      <c r="FQ33" s="189" t="str">
        <f t="shared" si="21"/>
        <v>II</v>
      </c>
      <c r="FR33" s="189" t="str">
        <f t="shared" si="22"/>
        <v/>
      </c>
      <c r="FS33" s="189" t="str">
        <f t="shared" si="23"/>
        <v/>
      </c>
      <c r="FT33" s="189" t="str">
        <f t="shared" si="24"/>
        <v/>
      </c>
      <c r="FU33" s="189" t="str">
        <f t="shared" si="151"/>
        <v/>
      </c>
      <c r="FV33" s="206" t="str">
        <f t="shared" si="25"/>
        <v/>
      </c>
      <c r="FW33" s="205" t="str">
        <f t="shared" si="152"/>
        <v>II</v>
      </c>
      <c r="FX33" s="189" t="str">
        <f t="shared" si="26"/>
        <v/>
      </c>
      <c r="FY33" s="189" t="str">
        <f t="shared" si="27"/>
        <v>II</v>
      </c>
      <c r="FZ33" s="189" t="str">
        <f t="shared" si="28"/>
        <v/>
      </c>
      <c r="GA33" s="189" t="str">
        <f t="shared" si="29"/>
        <v/>
      </c>
      <c r="GB33" s="189" t="str">
        <f t="shared" si="153"/>
        <v/>
      </c>
      <c r="GC33" s="206" t="str">
        <f t="shared" si="30"/>
        <v/>
      </c>
      <c r="GD33" s="205" t="str">
        <f t="shared" si="154"/>
        <v>D</v>
      </c>
      <c r="GE33" s="189" t="str">
        <f t="shared" si="31"/>
        <v/>
      </c>
      <c r="GF33" s="189" t="str">
        <f t="shared" si="32"/>
        <v>D</v>
      </c>
      <c r="GG33" s="189" t="str">
        <f t="shared" si="33"/>
        <v/>
      </c>
      <c r="GH33" s="189" t="str">
        <f t="shared" si="34"/>
        <v/>
      </c>
      <c r="GI33" s="189" t="str">
        <f t="shared" si="155"/>
        <v/>
      </c>
      <c r="GJ33" s="206" t="str">
        <f t="shared" si="35"/>
        <v/>
      </c>
      <c r="GK33" s="205" t="str">
        <f t="shared" si="156"/>
        <v/>
      </c>
      <c r="GL33" s="189" t="str">
        <f t="shared" si="36"/>
        <v/>
      </c>
      <c r="GM33" s="189" t="str">
        <f t="shared" si="37"/>
        <v/>
      </c>
      <c r="GN33" s="189" t="str">
        <f t="shared" si="38"/>
        <v/>
      </c>
      <c r="GO33" s="189" t="str">
        <f t="shared" si="39"/>
        <v/>
      </c>
      <c r="GP33" s="189" t="str">
        <f t="shared" si="157"/>
        <v/>
      </c>
      <c r="GQ33" s="206" t="str">
        <f t="shared" si="40"/>
        <v/>
      </c>
      <c r="GR33" s="189" t="str">
        <f t="shared" si="158"/>
        <v>A</v>
      </c>
      <c r="GS33" s="189" t="str">
        <f t="shared" si="159"/>
        <v>B</v>
      </c>
      <c r="GT33" s="207" t="str">
        <f t="shared" si="177"/>
        <v xml:space="preserve">    </v>
      </c>
      <c r="GU33" s="207" t="str">
        <f t="shared" si="160"/>
        <v xml:space="preserve">    </v>
      </c>
      <c r="GV33" s="207" t="str">
        <f t="shared" si="161"/>
        <v xml:space="preserve">    </v>
      </c>
      <c r="GW33" s="207" t="str">
        <f t="shared" si="162"/>
        <v xml:space="preserve">       </v>
      </c>
      <c r="GX33" s="598" t="str">
        <f t="shared" si="163"/>
        <v xml:space="preserve">    HOME SCIENCE </v>
      </c>
      <c r="GY33" s="208" t="str">
        <f t="shared" si="164"/>
        <v/>
      </c>
      <c r="GZ33" s="606">
        <f>IF(AND(Q33="",AE33="",AZ33="",BW33="",CT33=""),"",IF(AND('Master Sheet'!$D$19="YES",'Marks Entry'!$BA$1=1),SUM(Q33,AE33,AZ33,BW33,DT33),SUM(Q33,AE33,AZ33,BW33,CT33)))</f>
        <v>606</v>
      </c>
      <c r="HA33" s="209">
        <f>IF(GZ33="","",IF(AND('Master Sheet'!$D$19="YES",'Marks Entry'!$BA$1=1),GZ33/((900)-DC33)*100,GZ33/((1000)-DC33)*100))</f>
        <v>60.6</v>
      </c>
      <c r="HB33" s="611" t="str">
        <f t="shared" si="165"/>
        <v/>
      </c>
      <c r="HC33" s="609" t="str">
        <f t="shared" si="166"/>
        <v/>
      </c>
      <c r="HD33" s="610" t="str">
        <f t="shared" si="167"/>
        <v/>
      </c>
      <c r="HE33" s="210" t="str">
        <f>IFERROR(IF(OR(GY33="SUPPLEMENTARY",GY33="RE-EXAM"),'Supp. Result Entry'!AS32,""),"")</f>
        <v/>
      </c>
      <c r="HF33" s="613" t="str">
        <f t="shared" si="168"/>
        <v/>
      </c>
      <c r="HG33" s="598" t="str">
        <f t="shared" si="169"/>
        <v/>
      </c>
      <c r="HH33" s="598" t="str">
        <f>IF(AND(HE33="",HF33="",HG33=""),"",IF(OR(GY33="SUPPLEMENTARY",GY33="RE-EXAM"),'Supp. Result Entry'!AS32,GY33))</f>
        <v/>
      </c>
      <c r="HI33" s="180"/>
      <c r="HY33" s="212" t="str">
        <f>IF('Supp. Result Entry'!U32="","",'Supp. Result Entry'!$U$6)</f>
        <v/>
      </c>
      <c r="HZ33" s="213" t="str">
        <f>IF('Supp. Result Entry'!X32="","",'Supp. Result Entry'!$X$6)</f>
        <v/>
      </c>
      <c r="IA33" s="213" t="str">
        <f>IF('Supp. Result Entry'!AA32="","",'Supp. Result Entry'!$AA$6)</f>
        <v/>
      </c>
      <c r="IB33" s="213" t="str">
        <f>IF('Supp. Result Entry'!AD32="","",'Supp. Result Entry'!$AD$6)</f>
        <v/>
      </c>
      <c r="IC33" s="213" t="str">
        <f>IF('Supp. Result Entry'!AG32="","",'Supp. Result Entry'!$AG$6)</f>
        <v/>
      </c>
      <c r="ID33" s="213" t="str">
        <f>IF('Supp. Result Entry'!AJ32="","",'Supp. Result Entry'!$AJ$6)</f>
        <v/>
      </c>
      <c r="IE33" s="213" t="str">
        <f>IF('Supp. Result Entry'!V32="","",'Supp. Result Entry'!V32)</f>
        <v/>
      </c>
      <c r="IF33" s="213" t="str">
        <f>IF('Supp. Result Entry'!Y32="","",'Supp. Result Entry'!Y32)</f>
        <v/>
      </c>
      <c r="IG33" s="213" t="str">
        <f>IF('Supp. Result Entry'!AB32="","",'Supp. Result Entry'!AB32)</f>
        <v/>
      </c>
      <c r="IH33" s="213" t="str">
        <f>IF('Supp. Result Entry'!AE32="","",'Supp. Result Entry'!AE32)</f>
        <v/>
      </c>
      <c r="II33" s="213" t="str">
        <f>IF('Supp. Result Entry'!AH32="","",'Supp. Result Entry'!AH32)</f>
        <v/>
      </c>
      <c r="IJ33" s="213" t="str">
        <f>IF('Supp. Result Entry'!AK32="","",'Supp. Result Entry'!AK32)</f>
        <v/>
      </c>
      <c r="IK33" s="213" t="str">
        <f>IF('Supp. Result Entry'!W32="","",'Supp. Result Entry'!W32)</f>
        <v/>
      </c>
      <c r="IL33" s="213" t="str">
        <f>IF('Supp. Result Entry'!Z32="","",'Supp. Result Entry'!Z32)</f>
        <v/>
      </c>
      <c r="IM33" s="213" t="str">
        <f>IF('Supp. Result Entry'!AC32="","",'Supp. Result Entry'!AC32)</f>
        <v/>
      </c>
      <c r="IN33" s="213" t="str">
        <f>IF('Supp. Result Entry'!AF32="","",'Supp. Result Entry'!AF32)</f>
        <v/>
      </c>
      <c r="IO33" s="213" t="str">
        <f>IF('Supp. Result Entry'!AI32="","",'Supp. Result Entry'!AI32)</f>
        <v/>
      </c>
      <c r="IP33" s="213" t="str">
        <f>IF('Supp. Result Entry'!AL32="","",'Supp. Result Entry'!AL32)</f>
        <v/>
      </c>
      <c r="IQ33" s="213">
        <f>COUNTIF('Supp. Result Entry'!K32:Q32,"S")</f>
        <v>0</v>
      </c>
      <c r="IR33" s="213">
        <f t="shared" si="170"/>
        <v>0</v>
      </c>
      <c r="IS33" s="213">
        <f t="shared" si="171"/>
        <v>0</v>
      </c>
      <c r="IT33" s="213" t="str">
        <f t="shared" si="41"/>
        <v/>
      </c>
      <c r="IU33" s="213" t="str">
        <f t="shared" si="42"/>
        <v/>
      </c>
      <c r="IV33" s="213" t="str">
        <f t="shared" si="43"/>
        <v/>
      </c>
      <c r="IW33" s="213" t="str">
        <f t="shared" si="44"/>
        <v/>
      </c>
      <c r="IX33" s="213" t="str">
        <f t="shared" si="45"/>
        <v/>
      </c>
      <c r="IY33" s="213" t="str">
        <f t="shared" si="172"/>
        <v/>
      </c>
      <c r="IZ33" s="213" t="str">
        <f t="shared" si="173"/>
        <v/>
      </c>
      <c r="JA33" s="213" t="str">
        <f t="shared" si="46"/>
        <v/>
      </c>
      <c r="JB33" s="211" t="str">
        <f t="shared" si="174"/>
        <v/>
      </c>
    </row>
    <row r="34" spans="1:262" s="211" customFormat="1" ht="21" customHeight="1">
      <c r="A34" s="184">
        <v>27</v>
      </c>
      <c r="B34" s="185" t="str">
        <f>IF('Marks Entry'!B34="","",'Marks Entry'!B34)</f>
        <v/>
      </c>
      <c r="C34" s="186" t="str">
        <f>IF('Marks Entry'!D34="","",'Marks Entry'!D34)</f>
        <v/>
      </c>
      <c r="D34" s="187" t="str">
        <f>IF('Marks Entry'!E34="","",'Marks Entry'!E34)</f>
        <v/>
      </c>
      <c r="E34" s="188" t="str">
        <f>IF('Marks Entry'!F34="","",'Marks Entry'!F34)</f>
        <v/>
      </c>
      <c r="F34" s="188" t="str">
        <f>IF('Marks Entry'!G34="","",'Marks Entry'!G34)</f>
        <v/>
      </c>
      <c r="G34" s="188" t="str">
        <f>IF('Marks Entry'!H34="","",'Marks Entry'!H34)</f>
        <v/>
      </c>
      <c r="H34" s="189" t="str">
        <f>IF('Marks Entry'!I34="","",'Marks Entry'!I34)</f>
        <v/>
      </c>
      <c r="I34" s="190" t="str">
        <f>IF('Marks Entry'!J34="","",'Marks Entry'!J34)</f>
        <v/>
      </c>
      <c r="J34" s="545">
        <f>IF('Marks Entry'!K34="","",'Marks Entry'!K34)</f>
        <v>15</v>
      </c>
      <c r="K34" s="545">
        <f>IF('Marks Entry'!L34="","",'Marks Entry'!L34)</f>
        <v>8</v>
      </c>
      <c r="L34" s="545">
        <f>IF('Marks Entry'!M34="","",'Marks Entry'!M34)</f>
        <v>8</v>
      </c>
      <c r="M34" s="546">
        <f t="shared" si="47"/>
        <v>31</v>
      </c>
      <c r="N34" s="545">
        <f>IF('Marks Entry'!N34="","",'Marks Entry'!N34)</f>
        <v>28</v>
      </c>
      <c r="O34" s="546">
        <f t="shared" si="48"/>
        <v>59</v>
      </c>
      <c r="P34" s="545">
        <f>IF('Marks Entry'!O34="","",'Marks Entry'!O34)</f>
        <v>50</v>
      </c>
      <c r="Q34" s="547">
        <f t="shared" si="49"/>
        <v>109</v>
      </c>
      <c r="R34" s="153">
        <f t="shared" si="50"/>
        <v>0</v>
      </c>
      <c r="S34" s="153">
        <f t="shared" si="51"/>
        <v>0</v>
      </c>
      <c r="T34" s="154">
        <f t="shared" si="52"/>
        <v>200</v>
      </c>
      <c r="U34" s="153" t="str">
        <f t="shared" si="53"/>
        <v/>
      </c>
      <c r="V34" s="153" t="str">
        <f t="shared" si="54"/>
        <v/>
      </c>
      <c r="W34" s="153" t="str">
        <f t="shared" si="55"/>
        <v/>
      </c>
      <c r="X34" s="545">
        <f>IF('Marks Entry'!P34="","",'Marks Entry'!P34)</f>
        <v>9</v>
      </c>
      <c r="Y34" s="545">
        <f>IF('Marks Entry'!Q34="","",'Marks Entry'!Q34)</f>
        <v>10</v>
      </c>
      <c r="Z34" s="545">
        <f>IF('Marks Entry'!R34="","",'Marks Entry'!R34)</f>
        <v>9</v>
      </c>
      <c r="AA34" s="546">
        <f t="shared" si="56"/>
        <v>28</v>
      </c>
      <c r="AB34" s="545">
        <f>IF('Marks Entry'!S34="","",'Marks Entry'!S34)</f>
        <v>31</v>
      </c>
      <c r="AC34" s="546">
        <f t="shared" si="57"/>
        <v>59</v>
      </c>
      <c r="AD34" s="545">
        <f>IF('Marks Entry'!T34="","",'Marks Entry'!T34)</f>
        <v>69</v>
      </c>
      <c r="AE34" s="547">
        <f t="shared" si="58"/>
        <v>128</v>
      </c>
      <c r="AF34" s="153">
        <f t="shared" si="59"/>
        <v>0</v>
      </c>
      <c r="AG34" s="153">
        <f t="shared" si="60"/>
        <v>0</v>
      </c>
      <c r="AH34" s="154">
        <f t="shared" si="61"/>
        <v>200</v>
      </c>
      <c r="AI34" s="153" t="str">
        <f t="shared" si="62"/>
        <v/>
      </c>
      <c r="AJ34" s="153" t="str">
        <f t="shared" si="63"/>
        <v/>
      </c>
      <c r="AK34" s="153" t="str">
        <f t="shared" si="64"/>
        <v/>
      </c>
      <c r="AL34" s="573" t="str">
        <f>IF('Marks Entry'!U34="","",'Marks Entry'!U34)</f>
        <v>A</v>
      </c>
      <c r="AM34" s="573">
        <f>IF('Marks Entry'!V34="","",'Marks Entry'!V34)</f>
        <v>7</v>
      </c>
      <c r="AN34" s="573">
        <f>IF('Marks Entry'!W34="","",'Marks Entry'!W34)</f>
        <v>9</v>
      </c>
      <c r="AO34" s="573">
        <f>IF('Marks Entry'!X34="","",'Marks Entry'!X34)</f>
        <v>7</v>
      </c>
      <c r="AP34" s="572">
        <f t="shared" si="65"/>
        <v>23</v>
      </c>
      <c r="AQ34" s="573">
        <f>IF('Marks Entry'!Y34="","",'Marks Entry'!Y34)</f>
        <v>39</v>
      </c>
      <c r="AR34" s="573" t="str">
        <f>IF('Marks Entry'!Z34="","",'Marks Entry'!Z34)</f>
        <v/>
      </c>
      <c r="AS34" s="572">
        <f t="shared" si="66"/>
        <v>39</v>
      </c>
      <c r="AT34" s="572">
        <f t="shared" si="67"/>
        <v>62</v>
      </c>
      <c r="AU34" s="573">
        <f>IF('Marks Entry'!AA34="","",'Marks Entry'!AA34)</f>
        <v>58</v>
      </c>
      <c r="AV34" s="573" t="str">
        <f>IF('Marks Entry'!AB34="","",'Marks Entry'!AB34)</f>
        <v/>
      </c>
      <c r="AW34" s="572">
        <f t="shared" si="68"/>
        <v>58</v>
      </c>
      <c r="AX34" s="157">
        <f t="shared" si="69"/>
        <v>120</v>
      </c>
      <c r="AY34" s="157" t="str">
        <f t="shared" si="70"/>
        <v/>
      </c>
      <c r="AZ34" s="192">
        <f t="shared" si="71"/>
        <v>120</v>
      </c>
      <c r="BA34" s="153">
        <f t="shared" si="72"/>
        <v>0</v>
      </c>
      <c r="BB34" s="154">
        <f t="shared" si="73"/>
        <v>0</v>
      </c>
      <c r="BC34" s="154">
        <f t="shared" si="74"/>
        <v>100</v>
      </c>
      <c r="BD34" s="154" t="str">
        <f t="shared" si="75"/>
        <v/>
      </c>
      <c r="BE34" s="154">
        <f t="shared" si="76"/>
        <v>200</v>
      </c>
      <c r="BF34" s="153" t="str">
        <f t="shared" si="77"/>
        <v/>
      </c>
      <c r="BG34" s="154" t="str">
        <f t="shared" si="175"/>
        <v>P</v>
      </c>
      <c r="BH34" s="153" t="str">
        <f t="shared" si="78"/>
        <v>I</v>
      </c>
      <c r="BI34" s="580" t="str">
        <f>IF('Marks Entry'!AC34="","",'Marks Entry'!AC34)</f>
        <v>B</v>
      </c>
      <c r="BJ34" s="580">
        <f>IF('Marks Entry'!AD34="","",'Marks Entry'!AD34)</f>
        <v>16</v>
      </c>
      <c r="BK34" s="580">
        <f>IF('Marks Entry'!AE34="","",'Marks Entry'!AE34)</f>
        <v>15</v>
      </c>
      <c r="BL34" s="580" t="str">
        <f>IF('Marks Entry'!AF34="","",'Marks Entry'!AF34)</f>
        <v/>
      </c>
      <c r="BM34" s="581">
        <f t="shared" si="79"/>
        <v>31</v>
      </c>
      <c r="BN34" s="580">
        <f>IF('Marks Entry'!AG34="","",'Marks Entry'!AG34)</f>
        <v>41</v>
      </c>
      <c r="BO34" s="580" t="str">
        <f>IF('Marks Entry'!AH34="","",'Marks Entry'!AH34)</f>
        <v/>
      </c>
      <c r="BP34" s="581">
        <f t="shared" si="80"/>
        <v>41</v>
      </c>
      <c r="BQ34" s="581">
        <f t="shared" si="81"/>
        <v>72</v>
      </c>
      <c r="BR34" s="580">
        <f>IF('Marks Entry'!AI34="","",'Marks Entry'!AI34)</f>
        <v>47</v>
      </c>
      <c r="BS34" s="580" t="str">
        <f>IF('Marks Entry'!AJ34="","",'Marks Entry'!AJ34)</f>
        <v/>
      </c>
      <c r="BT34" s="581">
        <f t="shared" si="82"/>
        <v>47</v>
      </c>
      <c r="BU34" s="157">
        <f t="shared" si="83"/>
        <v>119</v>
      </c>
      <c r="BV34" s="157" t="str">
        <f t="shared" si="84"/>
        <v/>
      </c>
      <c r="BW34" s="192">
        <f t="shared" si="85"/>
        <v>119</v>
      </c>
      <c r="BX34" s="153">
        <f t="shared" si="86"/>
        <v>0</v>
      </c>
      <c r="BY34" s="154">
        <f t="shared" si="87"/>
        <v>0</v>
      </c>
      <c r="BZ34" s="154">
        <f t="shared" si="88"/>
        <v>100</v>
      </c>
      <c r="CA34" s="154" t="str">
        <f t="shared" si="89"/>
        <v/>
      </c>
      <c r="CB34" s="154">
        <f t="shared" si="90"/>
        <v>200</v>
      </c>
      <c r="CC34" s="153" t="str">
        <f t="shared" si="91"/>
        <v/>
      </c>
      <c r="CD34" s="154" t="str">
        <f t="shared" si="92"/>
        <v>P</v>
      </c>
      <c r="CE34" s="153" t="str">
        <f t="shared" si="93"/>
        <v>II</v>
      </c>
      <c r="CF34" s="580" t="str">
        <f>IF('Marks Entry'!AK34="","",'Marks Entry'!AK34)</f>
        <v>B</v>
      </c>
      <c r="CG34" s="580">
        <f>IF('Marks Entry'!AL34="","",'Marks Entry'!AL34)</f>
        <v>14</v>
      </c>
      <c r="CH34" s="580">
        <f>IF('Marks Entry'!AM34="","",'Marks Entry'!AM34)</f>
        <v>14</v>
      </c>
      <c r="CI34" s="580" t="str">
        <f>IF('Marks Entry'!AN34="","",'Marks Entry'!AN34)</f>
        <v/>
      </c>
      <c r="CJ34" s="581">
        <f t="shared" si="94"/>
        <v>28</v>
      </c>
      <c r="CK34" s="580">
        <f>IF('Marks Entry'!AO34="","",'Marks Entry'!AO34)</f>
        <v>31</v>
      </c>
      <c r="CL34" s="580" t="str">
        <f>IF('Marks Entry'!AP34="","",'Marks Entry'!AP34)</f>
        <v/>
      </c>
      <c r="CM34" s="581">
        <f t="shared" si="95"/>
        <v>31</v>
      </c>
      <c r="CN34" s="581">
        <f t="shared" si="96"/>
        <v>59</v>
      </c>
      <c r="CO34" s="580">
        <f>IF('Marks Entry'!AQ34="","",'Marks Entry'!AQ34)</f>
        <v>71</v>
      </c>
      <c r="CP34" s="580" t="str">
        <f>IF('Marks Entry'!AR34="","",'Marks Entry'!AR34)</f>
        <v/>
      </c>
      <c r="CQ34" s="581">
        <f t="shared" si="97"/>
        <v>71</v>
      </c>
      <c r="CR34" s="157">
        <f t="shared" si="98"/>
        <v>130</v>
      </c>
      <c r="CS34" s="157" t="str">
        <f t="shared" si="99"/>
        <v/>
      </c>
      <c r="CT34" s="192">
        <f t="shared" si="100"/>
        <v>130</v>
      </c>
      <c r="CU34" s="153">
        <f t="shared" si="101"/>
        <v>0</v>
      </c>
      <c r="CV34" s="154">
        <f t="shared" si="102"/>
        <v>0</v>
      </c>
      <c r="CW34" s="154">
        <f t="shared" si="103"/>
        <v>100</v>
      </c>
      <c r="CX34" s="154" t="str">
        <f t="shared" si="104"/>
        <v/>
      </c>
      <c r="CY34" s="154">
        <f t="shared" si="176"/>
        <v>200</v>
      </c>
      <c r="CZ34" s="153" t="str">
        <f t="shared" si="105"/>
        <v/>
      </c>
      <c r="DA34" s="154" t="str">
        <f t="shared" si="106"/>
        <v>P</v>
      </c>
      <c r="DB34" s="153" t="str">
        <f t="shared" si="107"/>
        <v>I</v>
      </c>
      <c r="DC34" s="154">
        <f t="shared" si="108"/>
        <v>0</v>
      </c>
      <c r="DD34" s="826" t="str">
        <f>IF('Marks Entry'!AS34="","",IF(OR('Master Sheet'!$D$19="YES",'Marks Entry'!$BA$1=1),'Marks Entry'!AS34,""))</f>
        <v/>
      </c>
      <c r="DE34" s="826" t="str">
        <f>IF('Marks Entry'!AT34="","",IF(OR('Master Sheet'!$D$19="YES",'Marks Entry'!$BA$1=1),'Marks Entry'!AT34,""))</f>
        <v/>
      </c>
      <c r="DF34" s="826" t="str">
        <f>IF('Marks Entry'!AU34="","",IF(OR('Master Sheet'!$D$19="YES",'Marks Entry'!$BA$1=1),'Marks Entry'!AU34,""))</f>
        <v/>
      </c>
      <c r="DG34" s="826" t="str">
        <f>IF('Marks Entry'!AV34="","",IF(OR('Master Sheet'!$D$19="YES",'Marks Entry'!$BA$1=1),'Marks Entry'!AV34,""))</f>
        <v/>
      </c>
      <c r="DH34" s="827" t="str">
        <f t="shared" si="109"/>
        <v/>
      </c>
      <c r="DI34" s="826" t="str">
        <f>IF('Marks Entry'!AW34="","",IF(OR('Master Sheet'!$D$19="YES",'Marks Entry'!$BA$1=1),'Marks Entry'!AW34,""))</f>
        <v/>
      </c>
      <c r="DJ34" s="826" t="str">
        <f>IF('Marks Entry'!AX34="","",IF(OR('Master Sheet'!$D$19="YES",'Marks Entry'!$BA$1=1),'Marks Entry'!AX34,""))</f>
        <v/>
      </c>
      <c r="DK34" s="827" t="str">
        <f t="shared" si="110"/>
        <v/>
      </c>
      <c r="DL34" s="827" t="str">
        <f t="shared" si="111"/>
        <v/>
      </c>
      <c r="DM34" s="826" t="str">
        <f>IF('Marks Entry'!AY34="","",IF(OR('Master Sheet'!$D$19="YES",'Marks Entry'!$BA$1=1),'Marks Entry'!AY34,""))</f>
        <v/>
      </c>
      <c r="DN34" s="826" t="str">
        <f>IF('Marks Entry'!AZ34="","",IF(OR('Master Sheet'!$D$19="YES",'Marks Entry'!$BA$1=1),'Marks Entry'!AZ34,""))</f>
        <v/>
      </c>
      <c r="DO34" s="826" t="str">
        <f>IF('Marks Entry'!BA34="","",IF(OR('Master Sheet'!$D$19="YES",'Marks Entry'!$BA$1=1),'Marks Entry'!BA34,""))</f>
        <v/>
      </c>
      <c r="DP34" s="827" t="str">
        <f t="shared" si="112"/>
        <v/>
      </c>
      <c r="DQ34" s="157" t="str">
        <f t="shared" si="113"/>
        <v/>
      </c>
      <c r="DR34" s="157" t="str">
        <f t="shared" si="114"/>
        <v/>
      </c>
      <c r="DS34" s="157" t="str">
        <f t="shared" si="115"/>
        <v/>
      </c>
      <c r="DT34" s="192" t="str">
        <f t="shared" si="116"/>
        <v/>
      </c>
      <c r="DU34" s="153">
        <f t="shared" si="117"/>
        <v>0</v>
      </c>
      <c r="DV34" s="154" t="e">
        <f t="shared" si="118"/>
        <v>#VALUE!</v>
      </c>
      <c r="DW34" s="154" t="str">
        <f t="shared" si="119"/>
        <v/>
      </c>
      <c r="DX34" s="154" t="str">
        <f>IF(OR($B34="NSO",$B34=0,DS34=""),"",IF(AND(DJ34="",DO34=""),"",IF('Master Sheet'!$D$19="YES",$DO$6-COUNTIF(DO34,"ML")*DO$6,DS$6-(COUNTIF(DJ34,"ML")*DJ$6)-(COUNTIF(DO34,"ML")*DO$6))))</f>
        <v/>
      </c>
      <c r="DY34" s="154" t="str">
        <f>IF(OR($B34="NSO",$B34=0),"",IF(AND(DH34="",DI34="",DM34=""),"",IF(AND('Master Sheet'!$D$19="YES",'Marks Entry'!$BA$1=1),100,IF(AND(DJ34="",DO34=""),SUM(($DQ$7+$DR$7)-(DU34+DV34)),SUM(($DQ$6+$DR$6)-(DU34+DV34))))))</f>
        <v/>
      </c>
      <c r="DZ34" s="153" t="str">
        <f t="shared" si="120"/>
        <v/>
      </c>
      <c r="EA34" s="154" t="str">
        <f t="shared" si="121"/>
        <v/>
      </c>
      <c r="EB34" s="153" t="str">
        <f t="shared" si="122"/>
        <v/>
      </c>
      <c r="EC34" s="584">
        <f>IF('Marks Entry'!BB34="","",'Marks Entry'!BB34)</f>
        <v>20</v>
      </c>
      <c r="ED34" s="584">
        <f>IF('Marks Entry'!BC34="","",'Marks Entry'!BC34)</f>
        <v>30</v>
      </c>
      <c r="EE34" s="584">
        <f>IF('Marks Entry'!BD34="","",'Marks Entry'!BD34)</f>
        <v>32</v>
      </c>
      <c r="EF34" s="590">
        <f t="shared" si="123"/>
        <v>82</v>
      </c>
      <c r="EG34" s="595">
        <f t="shared" si="124"/>
        <v>0</v>
      </c>
      <c r="EH34" s="595">
        <f t="shared" si="125"/>
        <v>0</v>
      </c>
      <c r="EI34" s="193">
        <f t="shared" si="126"/>
        <v>100</v>
      </c>
      <c r="EJ34" s="595" t="str">
        <f t="shared" si="127"/>
        <v/>
      </c>
      <c r="EK34" s="595" t="str">
        <f t="shared" si="128"/>
        <v>A</v>
      </c>
      <c r="EL34" s="194" t="str">
        <f t="shared" si="129"/>
        <v/>
      </c>
      <c r="EM34" s="194" t="str">
        <f t="shared" si="130"/>
        <v/>
      </c>
      <c r="EN34" s="194" t="str">
        <f t="shared" si="131"/>
        <v>I</v>
      </c>
      <c r="EO34" s="194" t="str">
        <f t="shared" si="132"/>
        <v>II</v>
      </c>
      <c r="EP34" s="194" t="str">
        <f t="shared" si="133"/>
        <v>I</v>
      </c>
      <c r="EQ34" s="194" t="str">
        <f t="shared" si="134"/>
        <v/>
      </c>
      <c r="ER34" s="195">
        <f t="shared" si="135"/>
        <v>0</v>
      </c>
      <c r="ES34" s="195">
        <f t="shared" si="136"/>
        <v>0</v>
      </c>
      <c r="ET34" s="195">
        <f t="shared" si="137"/>
        <v>0</v>
      </c>
      <c r="EU34" s="195">
        <f t="shared" si="138"/>
        <v>0</v>
      </c>
      <c r="EV34" s="195">
        <f t="shared" si="139"/>
        <v>0</v>
      </c>
      <c r="EW34" s="195" t="str">
        <f t="shared" si="140"/>
        <v/>
      </c>
      <c r="EX34" s="196" t="str">
        <f t="shared" si="141"/>
        <v/>
      </c>
      <c r="EY34" s="197">
        <f>IF('Marks Entry'!BE34="","",'Marks Entry'!BE34)</f>
        <v>7</v>
      </c>
      <c r="EZ34" s="197">
        <f>IF('Marks Entry'!BF34="","",'Marks Entry'!BF34)</f>
        <v>7</v>
      </c>
      <c r="FA34" s="197">
        <f>IF('Marks Entry'!BG34="","",'Marks Entry'!BG34)</f>
        <v>7</v>
      </c>
      <c r="FB34" s="596">
        <f t="shared" si="142"/>
        <v>21</v>
      </c>
      <c r="FC34" s="197">
        <f>IF('Marks Entry'!BH34="","",'Marks Entry'!BH34)</f>
        <v>41</v>
      </c>
      <c r="FD34" s="197">
        <f>IF('Marks Entry'!BI34="","",'Marks Entry'!BI34)</f>
        <v>68</v>
      </c>
      <c r="FE34" s="198">
        <f t="shared" si="143"/>
        <v>130</v>
      </c>
      <c r="FF34" s="199" t="str">
        <f t="shared" si="144"/>
        <v>B</v>
      </c>
      <c r="FG34" s="200" t="str">
        <f>IF(AND(E34=""),"",IF('Student DATA Entry'!L30="","",'Student DATA Entry'!L30))</f>
        <v/>
      </c>
      <c r="FH34" s="201" t="str">
        <f>IF(AND(E34=""),"",IF('Student DATA Entry'!M30="","",'Student DATA Entry'!M30))</f>
        <v/>
      </c>
      <c r="FI34" s="202" t="str">
        <f t="shared" si="145"/>
        <v/>
      </c>
      <c r="FJ34" s="189" t="str">
        <f t="shared" si="146"/>
        <v/>
      </c>
      <c r="FK34" s="189" t="str">
        <f t="shared" si="147"/>
        <v/>
      </c>
      <c r="FL34" s="203" t="str">
        <f t="shared" si="19"/>
        <v/>
      </c>
      <c r="FM34" s="189" t="str">
        <f t="shared" si="148"/>
        <v/>
      </c>
      <c r="FN34" s="204" t="str">
        <f t="shared" si="149"/>
        <v/>
      </c>
      <c r="FO34" s="203" t="str">
        <f t="shared" si="20"/>
        <v/>
      </c>
      <c r="FP34" s="205" t="str">
        <f t="shared" si="150"/>
        <v>I</v>
      </c>
      <c r="FQ34" s="189" t="str">
        <f t="shared" si="21"/>
        <v>I</v>
      </c>
      <c r="FR34" s="189" t="str">
        <f t="shared" si="22"/>
        <v/>
      </c>
      <c r="FS34" s="189" t="str">
        <f t="shared" si="23"/>
        <v/>
      </c>
      <c r="FT34" s="189" t="str">
        <f t="shared" si="24"/>
        <v/>
      </c>
      <c r="FU34" s="189" t="str">
        <f t="shared" si="151"/>
        <v/>
      </c>
      <c r="FV34" s="206" t="str">
        <f t="shared" si="25"/>
        <v/>
      </c>
      <c r="FW34" s="205" t="str">
        <f t="shared" si="152"/>
        <v>II</v>
      </c>
      <c r="FX34" s="189" t="str">
        <f t="shared" si="26"/>
        <v/>
      </c>
      <c r="FY34" s="189" t="str">
        <f t="shared" si="27"/>
        <v>II</v>
      </c>
      <c r="FZ34" s="189" t="str">
        <f t="shared" si="28"/>
        <v/>
      </c>
      <c r="GA34" s="189" t="str">
        <f t="shared" si="29"/>
        <v/>
      </c>
      <c r="GB34" s="189" t="str">
        <f t="shared" si="153"/>
        <v/>
      </c>
      <c r="GC34" s="206" t="str">
        <f t="shared" si="30"/>
        <v/>
      </c>
      <c r="GD34" s="205" t="str">
        <f t="shared" si="154"/>
        <v>I</v>
      </c>
      <c r="GE34" s="189" t="str">
        <f t="shared" si="31"/>
        <v/>
      </c>
      <c r="GF34" s="189" t="str">
        <f t="shared" si="32"/>
        <v>I</v>
      </c>
      <c r="GG34" s="189" t="str">
        <f t="shared" si="33"/>
        <v/>
      </c>
      <c r="GH34" s="189" t="str">
        <f t="shared" si="34"/>
        <v/>
      </c>
      <c r="GI34" s="189" t="str">
        <f t="shared" si="155"/>
        <v/>
      </c>
      <c r="GJ34" s="206" t="str">
        <f t="shared" si="35"/>
        <v/>
      </c>
      <c r="GK34" s="205" t="str">
        <f t="shared" si="156"/>
        <v/>
      </c>
      <c r="GL34" s="189" t="str">
        <f t="shared" si="36"/>
        <v/>
      </c>
      <c r="GM34" s="189" t="str">
        <f t="shared" si="37"/>
        <v/>
      </c>
      <c r="GN34" s="189" t="str">
        <f t="shared" si="38"/>
        <v/>
      </c>
      <c r="GO34" s="189" t="str">
        <f t="shared" si="39"/>
        <v/>
      </c>
      <c r="GP34" s="189" t="str">
        <f t="shared" si="157"/>
        <v/>
      </c>
      <c r="GQ34" s="206" t="str">
        <f t="shared" si="40"/>
        <v/>
      </c>
      <c r="GR34" s="189" t="str">
        <f t="shared" si="158"/>
        <v>A</v>
      </c>
      <c r="GS34" s="189" t="str">
        <f t="shared" si="159"/>
        <v>B</v>
      </c>
      <c r="GT34" s="207" t="str">
        <f t="shared" si="177"/>
        <v xml:space="preserve">    </v>
      </c>
      <c r="GU34" s="207" t="str">
        <f t="shared" si="160"/>
        <v xml:space="preserve">    </v>
      </c>
      <c r="GV34" s="207" t="str">
        <f t="shared" si="161"/>
        <v xml:space="preserve">    </v>
      </c>
      <c r="GW34" s="207" t="str">
        <f t="shared" si="162"/>
        <v xml:space="preserve">       </v>
      </c>
      <c r="GX34" s="598" t="str">
        <f t="shared" si="163"/>
        <v xml:space="preserve">     </v>
      </c>
      <c r="GY34" s="208" t="str">
        <f t="shared" si="164"/>
        <v/>
      </c>
      <c r="GZ34" s="606">
        <f>IF(AND(Q34="",AE34="",AZ34="",BW34="",CT34=""),"",IF(AND('Master Sheet'!$D$19="YES",'Marks Entry'!$BA$1=1),SUM(Q34,AE34,AZ34,BW34,DT34),SUM(Q34,AE34,AZ34,BW34,CT34)))</f>
        <v>606</v>
      </c>
      <c r="HA34" s="209">
        <f>IF(GZ34="","",IF(AND('Master Sheet'!$D$19="YES",'Marks Entry'!$BA$1=1),GZ34/((900)-DC34)*100,GZ34/((1000)-DC34)*100))</f>
        <v>60.6</v>
      </c>
      <c r="HB34" s="611" t="str">
        <f t="shared" si="165"/>
        <v/>
      </c>
      <c r="HC34" s="609" t="str">
        <f t="shared" si="166"/>
        <v/>
      </c>
      <c r="HD34" s="610" t="str">
        <f t="shared" si="167"/>
        <v/>
      </c>
      <c r="HE34" s="210" t="str">
        <f>IFERROR(IF(OR(GY34="SUPPLEMENTARY",GY34="RE-EXAM"),'Supp. Result Entry'!AS33,""),"")</f>
        <v/>
      </c>
      <c r="HF34" s="613" t="str">
        <f t="shared" si="168"/>
        <v/>
      </c>
      <c r="HG34" s="598" t="str">
        <f t="shared" si="169"/>
        <v/>
      </c>
      <c r="HH34" s="598" t="str">
        <f>IF(AND(HE34="",HF34="",HG34=""),"",IF(OR(GY34="SUPPLEMENTARY",GY34="RE-EXAM"),'Supp. Result Entry'!AS33,GY34))</f>
        <v/>
      </c>
      <c r="HI34" s="180"/>
      <c r="HY34" s="212" t="str">
        <f>IF('Supp. Result Entry'!U33="","",'Supp. Result Entry'!$U$6)</f>
        <v/>
      </c>
      <c r="HZ34" s="213" t="str">
        <f>IF('Supp. Result Entry'!X33="","",'Supp. Result Entry'!$X$6)</f>
        <v/>
      </c>
      <c r="IA34" s="213" t="str">
        <f>IF('Supp. Result Entry'!AA33="","",'Supp. Result Entry'!$AA$6)</f>
        <v/>
      </c>
      <c r="IB34" s="213" t="str">
        <f>IF('Supp. Result Entry'!AD33="","",'Supp. Result Entry'!$AD$6)</f>
        <v/>
      </c>
      <c r="IC34" s="213" t="str">
        <f>IF('Supp. Result Entry'!AG33="","",'Supp. Result Entry'!$AG$6)</f>
        <v/>
      </c>
      <c r="ID34" s="213" t="str">
        <f>IF('Supp. Result Entry'!AJ33="","",'Supp. Result Entry'!$AJ$6)</f>
        <v/>
      </c>
      <c r="IE34" s="213" t="str">
        <f>IF('Supp. Result Entry'!V33="","",'Supp. Result Entry'!V33)</f>
        <v/>
      </c>
      <c r="IF34" s="213" t="str">
        <f>IF('Supp. Result Entry'!Y33="","",'Supp. Result Entry'!Y33)</f>
        <v/>
      </c>
      <c r="IG34" s="213" t="str">
        <f>IF('Supp. Result Entry'!AB33="","",'Supp. Result Entry'!AB33)</f>
        <v/>
      </c>
      <c r="IH34" s="213" t="str">
        <f>IF('Supp. Result Entry'!AE33="","",'Supp. Result Entry'!AE33)</f>
        <v/>
      </c>
      <c r="II34" s="213" t="str">
        <f>IF('Supp. Result Entry'!AH33="","",'Supp. Result Entry'!AH33)</f>
        <v/>
      </c>
      <c r="IJ34" s="213" t="str">
        <f>IF('Supp. Result Entry'!AK33="","",'Supp. Result Entry'!AK33)</f>
        <v/>
      </c>
      <c r="IK34" s="213" t="str">
        <f>IF('Supp. Result Entry'!W33="","",'Supp. Result Entry'!W33)</f>
        <v/>
      </c>
      <c r="IL34" s="213" t="str">
        <f>IF('Supp. Result Entry'!Z33="","",'Supp. Result Entry'!Z33)</f>
        <v/>
      </c>
      <c r="IM34" s="213" t="str">
        <f>IF('Supp. Result Entry'!AC33="","",'Supp. Result Entry'!AC33)</f>
        <v/>
      </c>
      <c r="IN34" s="213" t="str">
        <f>IF('Supp. Result Entry'!AF33="","",'Supp. Result Entry'!AF33)</f>
        <v/>
      </c>
      <c r="IO34" s="213" t="str">
        <f>IF('Supp. Result Entry'!AI33="","",'Supp. Result Entry'!AI33)</f>
        <v/>
      </c>
      <c r="IP34" s="213" t="str">
        <f>IF('Supp. Result Entry'!AL33="","",'Supp. Result Entry'!AL33)</f>
        <v/>
      </c>
      <c r="IQ34" s="213">
        <f>COUNTIF('Supp. Result Entry'!K33:Q33,"S")</f>
        <v>0</v>
      </c>
      <c r="IR34" s="213">
        <f t="shared" si="170"/>
        <v>0</v>
      </c>
      <c r="IS34" s="213">
        <f t="shared" si="171"/>
        <v>0</v>
      </c>
      <c r="IT34" s="213" t="str">
        <f t="shared" si="41"/>
        <v/>
      </c>
      <c r="IU34" s="213" t="str">
        <f t="shared" si="42"/>
        <v/>
      </c>
      <c r="IV34" s="213" t="str">
        <f t="shared" si="43"/>
        <v/>
      </c>
      <c r="IW34" s="213" t="str">
        <f t="shared" si="44"/>
        <v/>
      </c>
      <c r="IX34" s="213" t="str">
        <f t="shared" si="45"/>
        <v/>
      </c>
      <c r="IY34" s="213" t="str">
        <f t="shared" si="172"/>
        <v/>
      </c>
      <c r="IZ34" s="213" t="str">
        <f t="shared" si="173"/>
        <v/>
      </c>
      <c r="JA34" s="213" t="str">
        <f t="shared" si="46"/>
        <v/>
      </c>
      <c r="JB34" s="211" t="str">
        <f t="shared" si="174"/>
        <v/>
      </c>
    </row>
    <row r="35" spans="1:262" s="211" customFormat="1" ht="21" customHeight="1">
      <c r="A35" s="184">
        <v>28</v>
      </c>
      <c r="B35" s="185" t="str">
        <f>IF('Marks Entry'!B35="","",'Marks Entry'!B35)</f>
        <v/>
      </c>
      <c r="C35" s="186" t="str">
        <f>IF('Marks Entry'!D35="","",'Marks Entry'!D35)</f>
        <v/>
      </c>
      <c r="D35" s="187" t="str">
        <f>IF('Marks Entry'!E35="","",'Marks Entry'!E35)</f>
        <v/>
      </c>
      <c r="E35" s="188" t="str">
        <f>IF('Marks Entry'!F35="","",'Marks Entry'!F35)</f>
        <v/>
      </c>
      <c r="F35" s="188" t="str">
        <f>IF('Marks Entry'!G35="","",'Marks Entry'!G35)</f>
        <v/>
      </c>
      <c r="G35" s="188" t="str">
        <f>IF('Marks Entry'!H35="","",'Marks Entry'!H35)</f>
        <v/>
      </c>
      <c r="H35" s="189" t="str">
        <f>IF('Marks Entry'!I35="","",'Marks Entry'!I35)</f>
        <v/>
      </c>
      <c r="I35" s="190" t="str">
        <f>IF('Marks Entry'!J35="","",'Marks Entry'!J35)</f>
        <v/>
      </c>
      <c r="J35" s="545">
        <f>IF('Marks Entry'!K35="","",'Marks Entry'!K35)</f>
        <v>14</v>
      </c>
      <c r="K35" s="545">
        <f>IF('Marks Entry'!L35="","",'Marks Entry'!L35)</f>
        <v>7</v>
      </c>
      <c r="L35" s="545">
        <f>IF('Marks Entry'!M35="","",'Marks Entry'!M35)</f>
        <v>8</v>
      </c>
      <c r="M35" s="546">
        <f t="shared" si="47"/>
        <v>29</v>
      </c>
      <c r="N35" s="545">
        <f>IF('Marks Entry'!N35="","",'Marks Entry'!N35)</f>
        <v>29</v>
      </c>
      <c r="O35" s="546">
        <f t="shared" si="48"/>
        <v>58</v>
      </c>
      <c r="P35" s="545">
        <f>IF('Marks Entry'!O35="","",'Marks Entry'!O35)</f>
        <v>50</v>
      </c>
      <c r="Q35" s="547">
        <f t="shared" si="49"/>
        <v>108</v>
      </c>
      <c r="R35" s="153">
        <f t="shared" si="50"/>
        <v>0</v>
      </c>
      <c r="S35" s="153">
        <f t="shared" si="51"/>
        <v>0</v>
      </c>
      <c r="T35" s="154">
        <f t="shared" si="52"/>
        <v>200</v>
      </c>
      <c r="U35" s="153" t="str">
        <f t="shared" si="53"/>
        <v/>
      </c>
      <c r="V35" s="153" t="str">
        <f t="shared" si="54"/>
        <v/>
      </c>
      <c r="W35" s="153" t="str">
        <f t="shared" si="55"/>
        <v/>
      </c>
      <c r="X35" s="545">
        <f>IF('Marks Entry'!P35="","",'Marks Entry'!P35)</f>
        <v>8</v>
      </c>
      <c r="Y35" s="545">
        <f>IF('Marks Entry'!Q35="","",'Marks Entry'!Q35)</f>
        <v>10</v>
      </c>
      <c r="Z35" s="545">
        <f>IF('Marks Entry'!R35="","",'Marks Entry'!R35)</f>
        <v>9</v>
      </c>
      <c r="AA35" s="546">
        <f t="shared" si="56"/>
        <v>27</v>
      </c>
      <c r="AB35" s="545">
        <f>IF('Marks Entry'!S35="","",'Marks Entry'!S35)</f>
        <v>25</v>
      </c>
      <c r="AC35" s="546">
        <f t="shared" si="57"/>
        <v>52</v>
      </c>
      <c r="AD35" s="545">
        <f>IF('Marks Entry'!T35="","",'Marks Entry'!T35)</f>
        <v>68</v>
      </c>
      <c r="AE35" s="547">
        <f t="shared" si="58"/>
        <v>120</v>
      </c>
      <c r="AF35" s="153">
        <f t="shared" si="59"/>
        <v>0</v>
      </c>
      <c r="AG35" s="153">
        <f t="shared" si="60"/>
        <v>0</v>
      </c>
      <c r="AH35" s="154">
        <f t="shared" si="61"/>
        <v>200</v>
      </c>
      <c r="AI35" s="153" t="str">
        <f t="shared" si="62"/>
        <v/>
      </c>
      <c r="AJ35" s="153" t="str">
        <f t="shared" si="63"/>
        <v/>
      </c>
      <c r="AK35" s="153" t="str">
        <f t="shared" si="64"/>
        <v/>
      </c>
      <c r="AL35" s="573" t="str">
        <f>IF('Marks Entry'!U35="","",'Marks Entry'!U35)</f>
        <v>B</v>
      </c>
      <c r="AM35" s="573">
        <f>IF('Marks Entry'!V35="","",'Marks Entry'!V35)</f>
        <v>10</v>
      </c>
      <c r="AN35" s="573">
        <f>IF('Marks Entry'!W35="","",'Marks Entry'!W35)</f>
        <v>6</v>
      </c>
      <c r="AO35" s="573">
        <f>IF('Marks Entry'!X35="","",'Marks Entry'!X35)</f>
        <v>7</v>
      </c>
      <c r="AP35" s="572">
        <f t="shared" si="65"/>
        <v>23</v>
      </c>
      <c r="AQ35" s="573">
        <f>IF('Marks Entry'!Y35="","",'Marks Entry'!Y35)</f>
        <v>25</v>
      </c>
      <c r="AR35" s="573">
        <f>IF('Marks Entry'!Z35="","",'Marks Entry'!Z35)</f>
        <v>14</v>
      </c>
      <c r="AS35" s="572">
        <f t="shared" si="66"/>
        <v>39</v>
      </c>
      <c r="AT35" s="572">
        <f t="shared" si="67"/>
        <v>62</v>
      </c>
      <c r="AU35" s="573">
        <f>IF('Marks Entry'!AA35="","",'Marks Entry'!AA35)</f>
        <v>41</v>
      </c>
      <c r="AV35" s="573">
        <f>IF('Marks Entry'!AB35="","",'Marks Entry'!AB35)</f>
        <v>26</v>
      </c>
      <c r="AW35" s="572">
        <f t="shared" si="68"/>
        <v>67</v>
      </c>
      <c r="AX35" s="157">
        <f t="shared" si="69"/>
        <v>89</v>
      </c>
      <c r="AY35" s="157">
        <f t="shared" si="70"/>
        <v>40</v>
      </c>
      <c r="AZ35" s="192">
        <f t="shared" si="71"/>
        <v>129</v>
      </c>
      <c r="BA35" s="153">
        <f t="shared" si="72"/>
        <v>0</v>
      </c>
      <c r="BB35" s="154">
        <f t="shared" si="73"/>
        <v>0</v>
      </c>
      <c r="BC35" s="154">
        <f t="shared" si="74"/>
        <v>70</v>
      </c>
      <c r="BD35" s="154">
        <f t="shared" si="75"/>
        <v>50</v>
      </c>
      <c r="BE35" s="154">
        <f t="shared" si="76"/>
        <v>150</v>
      </c>
      <c r="BF35" s="153" t="str">
        <f t="shared" si="77"/>
        <v/>
      </c>
      <c r="BG35" s="154" t="str">
        <f t="shared" si="175"/>
        <v>P</v>
      </c>
      <c r="BH35" s="153" t="str">
        <f t="shared" si="78"/>
        <v>I</v>
      </c>
      <c r="BI35" s="580" t="str">
        <f>IF('Marks Entry'!AC35="","",'Marks Entry'!AC35)</f>
        <v>B</v>
      </c>
      <c r="BJ35" s="580">
        <f>IF('Marks Entry'!AD35="","",'Marks Entry'!AD35)</f>
        <v>14</v>
      </c>
      <c r="BK35" s="580">
        <f>IF('Marks Entry'!AE35="","",'Marks Entry'!AE35)</f>
        <v>12</v>
      </c>
      <c r="BL35" s="580" t="str">
        <f>IF('Marks Entry'!AF35="","",'Marks Entry'!AF35)</f>
        <v/>
      </c>
      <c r="BM35" s="581">
        <f t="shared" si="79"/>
        <v>26</v>
      </c>
      <c r="BN35" s="580">
        <f>IF('Marks Entry'!AG35="","",'Marks Entry'!AG35)</f>
        <v>42</v>
      </c>
      <c r="BO35" s="580" t="str">
        <f>IF('Marks Entry'!AH35="","",'Marks Entry'!AH35)</f>
        <v/>
      </c>
      <c r="BP35" s="581">
        <f t="shared" si="80"/>
        <v>42</v>
      </c>
      <c r="BQ35" s="581">
        <f t="shared" si="81"/>
        <v>68</v>
      </c>
      <c r="BR35" s="580">
        <f>IF('Marks Entry'!AI35="","",'Marks Entry'!AI35)</f>
        <v>48</v>
      </c>
      <c r="BS35" s="580" t="str">
        <f>IF('Marks Entry'!AJ35="","",'Marks Entry'!AJ35)</f>
        <v/>
      </c>
      <c r="BT35" s="581">
        <f t="shared" si="82"/>
        <v>48</v>
      </c>
      <c r="BU35" s="157">
        <f t="shared" si="83"/>
        <v>116</v>
      </c>
      <c r="BV35" s="157" t="str">
        <f t="shared" si="84"/>
        <v/>
      </c>
      <c r="BW35" s="192">
        <f t="shared" si="85"/>
        <v>116</v>
      </c>
      <c r="BX35" s="153">
        <f t="shared" si="86"/>
        <v>0</v>
      </c>
      <c r="BY35" s="154">
        <f t="shared" si="87"/>
        <v>0</v>
      </c>
      <c r="BZ35" s="154">
        <f t="shared" si="88"/>
        <v>100</v>
      </c>
      <c r="CA35" s="154" t="str">
        <f t="shared" si="89"/>
        <v/>
      </c>
      <c r="CB35" s="154">
        <f t="shared" si="90"/>
        <v>200</v>
      </c>
      <c r="CC35" s="153" t="str">
        <f t="shared" si="91"/>
        <v/>
      </c>
      <c r="CD35" s="154" t="str">
        <f t="shared" si="92"/>
        <v>P</v>
      </c>
      <c r="CE35" s="153" t="str">
        <f t="shared" si="93"/>
        <v>II</v>
      </c>
      <c r="CF35" s="580" t="str">
        <f>IF('Marks Entry'!AK35="","",'Marks Entry'!AK35)</f>
        <v>A</v>
      </c>
      <c r="CG35" s="580">
        <f>IF('Marks Entry'!AL35="","",'Marks Entry'!AL35)</f>
        <v>16</v>
      </c>
      <c r="CH35" s="580">
        <f>IF('Marks Entry'!AM35="","",'Marks Entry'!AM35)</f>
        <v>10</v>
      </c>
      <c r="CI35" s="580" t="str">
        <f>IF('Marks Entry'!AN35="","",'Marks Entry'!AN35)</f>
        <v/>
      </c>
      <c r="CJ35" s="581">
        <f t="shared" si="94"/>
        <v>26</v>
      </c>
      <c r="CK35" s="580">
        <f>IF('Marks Entry'!AO35="","",'Marks Entry'!AO35)</f>
        <v>21</v>
      </c>
      <c r="CL35" s="580">
        <f>IF('Marks Entry'!AP35="","",'Marks Entry'!AP35)</f>
        <v>10</v>
      </c>
      <c r="CM35" s="581">
        <f t="shared" si="95"/>
        <v>31</v>
      </c>
      <c r="CN35" s="581">
        <f t="shared" si="96"/>
        <v>57</v>
      </c>
      <c r="CO35" s="580">
        <f>IF('Marks Entry'!AQ35="","",'Marks Entry'!AQ35)</f>
        <v>35</v>
      </c>
      <c r="CP35" s="580">
        <f>IF('Marks Entry'!AR35="","",'Marks Entry'!AR35)</f>
        <v>22</v>
      </c>
      <c r="CQ35" s="581">
        <f t="shared" si="97"/>
        <v>57</v>
      </c>
      <c r="CR35" s="157">
        <f t="shared" si="98"/>
        <v>82</v>
      </c>
      <c r="CS35" s="157">
        <f t="shared" si="99"/>
        <v>32</v>
      </c>
      <c r="CT35" s="192">
        <f t="shared" si="100"/>
        <v>114</v>
      </c>
      <c r="CU35" s="153">
        <f t="shared" si="101"/>
        <v>0</v>
      </c>
      <c r="CV35" s="154">
        <f t="shared" si="102"/>
        <v>0</v>
      </c>
      <c r="CW35" s="154">
        <f t="shared" si="103"/>
        <v>70</v>
      </c>
      <c r="CX35" s="154">
        <f t="shared" si="104"/>
        <v>50</v>
      </c>
      <c r="CY35" s="154">
        <f t="shared" si="176"/>
        <v>150</v>
      </c>
      <c r="CZ35" s="153" t="str">
        <f t="shared" si="105"/>
        <v/>
      </c>
      <c r="DA35" s="154" t="str">
        <f t="shared" si="106"/>
        <v>P</v>
      </c>
      <c r="DB35" s="153" t="str">
        <f t="shared" si="107"/>
        <v>II</v>
      </c>
      <c r="DC35" s="154">
        <f t="shared" si="108"/>
        <v>0</v>
      </c>
      <c r="DD35" s="826" t="str">
        <f>IF('Marks Entry'!AS35="","",IF(OR('Master Sheet'!$D$19="YES",'Marks Entry'!$BA$1=1),'Marks Entry'!AS35,""))</f>
        <v/>
      </c>
      <c r="DE35" s="826" t="str">
        <f>IF('Marks Entry'!AT35="","",IF(OR('Master Sheet'!$D$19="YES",'Marks Entry'!$BA$1=1),'Marks Entry'!AT35,""))</f>
        <v/>
      </c>
      <c r="DF35" s="826" t="str">
        <f>IF('Marks Entry'!AU35="","",IF(OR('Master Sheet'!$D$19="YES",'Marks Entry'!$BA$1=1),'Marks Entry'!AU35,""))</f>
        <v/>
      </c>
      <c r="DG35" s="826" t="str">
        <f>IF('Marks Entry'!AV35="","",IF(OR('Master Sheet'!$D$19="YES",'Marks Entry'!$BA$1=1),'Marks Entry'!AV35,""))</f>
        <v/>
      </c>
      <c r="DH35" s="827" t="str">
        <f t="shared" si="109"/>
        <v/>
      </c>
      <c r="DI35" s="826" t="str">
        <f>IF('Marks Entry'!AW35="","",IF(OR('Master Sheet'!$D$19="YES",'Marks Entry'!$BA$1=1),'Marks Entry'!AW35,""))</f>
        <v/>
      </c>
      <c r="DJ35" s="826" t="str">
        <f>IF('Marks Entry'!AX35="","",IF(OR('Master Sheet'!$D$19="YES",'Marks Entry'!$BA$1=1),'Marks Entry'!AX35,""))</f>
        <v/>
      </c>
      <c r="DK35" s="827" t="str">
        <f t="shared" si="110"/>
        <v/>
      </c>
      <c r="DL35" s="827" t="str">
        <f t="shared" si="111"/>
        <v/>
      </c>
      <c r="DM35" s="826" t="str">
        <f>IF('Marks Entry'!AY35="","",IF(OR('Master Sheet'!$D$19="YES",'Marks Entry'!$BA$1=1),'Marks Entry'!AY35,""))</f>
        <v/>
      </c>
      <c r="DN35" s="826" t="str">
        <f>IF('Marks Entry'!AZ35="","",IF(OR('Master Sheet'!$D$19="YES",'Marks Entry'!$BA$1=1),'Marks Entry'!AZ35,""))</f>
        <v/>
      </c>
      <c r="DO35" s="826" t="str">
        <f>IF('Marks Entry'!BA35="","",IF(OR('Master Sheet'!$D$19="YES",'Marks Entry'!$BA$1=1),'Marks Entry'!BA35,""))</f>
        <v/>
      </c>
      <c r="DP35" s="827" t="str">
        <f t="shared" si="112"/>
        <v/>
      </c>
      <c r="DQ35" s="157" t="str">
        <f t="shared" si="113"/>
        <v/>
      </c>
      <c r="DR35" s="157" t="str">
        <f t="shared" si="114"/>
        <v/>
      </c>
      <c r="DS35" s="157" t="str">
        <f t="shared" si="115"/>
        <v/>
      </c>
      <c r="DT35" s="192" t="str">
        <f t="shared" si="116"/>
        <v/>
      </c>
      <c r="DU35" s="153">
        <f t="shared" si="117"/>
        <v>0</v>
      </c>
      <c r="DV35" s="154" t="e">
        <f t="shared" si="118"/>
        <v>#VALUE!</v>
      </c>
      <c r="DW35" s="154" t="str">
        <f t="shared" si="119"/>
        <v/>
      </c>
      <c r="DX35" s="154" t="str">
        <f>IF(OR($B35="NSO",$B35=0,DS35=""),"",IF(AND(DJ35="",DO35=""),"",IF('Master Sheet'!$D$19="YES",$DO$6-COUNTIF(DO35,"ML")*DO$6,DS$6-(COUNTIF(DJ35,"ML")*DJ$6)-(COUNTIF(DO35,"ML")*DO$6))))</f>
        <v/>
      </c>
      <c r="DY35" s="154" t="str">
        <f>IF(OR($B35="NSO",$B35=0),"",IF(AND(DH35="",DI35="",DM35=""),"",IF(AND('Master Sheet'!$D$19="YES",'Marks Entry'!$BA$1=1),100,IF(AND(DJ35="",DO35=""),SUM(($DQ$7+$DR$7)-(DU35+DV35)),SUM(($DQ$6+$DR$6)-(DU35+DV35))))))</f>
        <v/>
      </c>
      <c r="DZ35" s="153" t="str">
        <f t="shared" si="120"/>
        <v/>
      </c>
      <c r="EA35" s="154" t="str">
        <f t="shared" si="121"/>
        <v/>
      </c>
      <c r="EB35" s="153" t="str">
        <f t="shared" si="122"/>
        <v/>
      </c>
      <c r="EC35" s="584">
        <f>IF('Marks Entry'!BB35="","",'Marks Entry'!BB35)</f>
        <v>20</v>
      </c>
      <c r="ED35" s="584">
        <f>IF('Marks Entry'!BC35="","",'Marks Entry'!BC35)</f>
        <v>30</v>
      </c>
      <c r="EE35" s="584">
        <f>IF('Marks Entry'!BD35="","",'Marks Entry'!BD35)</f>
        <v>32</v>
      </c>
      <c r="EF35" s="590">
        <f t="shared" si="123"/>
        <v>82</v>
      </c>
      <c r="EG35" s="595">
        <f t="shared" si="124"/>
        <v>0</v>
      </c>
      <c r="EH35" s="595">
        <f t="shared" si="125"/>
        <v>0</v>
      </c>
      <c r="EI35" s="193">
        <f t="shared" si="126"/>
        <v>100</v>
      </c>
      <c r="EJ35" s="595" t="str">
        <f t="shared" si="127"/>
        <v/>
      </c>
      <c r="EK35" s="595" t="str">
        <f t="shared" si="128"/>
        <v>A</v>
      </c>
      <c r="EL35" s="194" t="str">
        <f t="shared" si="129"/>
        <v/>
      </c>
      <c r="EM35" s="194" t="str">
        <f t="shared" si="130"/>
        <v/>
      </c>
      <c r="EN35" s="194" t="str">
        <f t="shared" si="131"/>
        <v>I</v>
      </c>
      <c r="EO35" s="194" t="str">
        <f t="shared" si="132"/>
        <v>II</v>
      </c>
      <c r="EP35" s="194" t="str">
        <f t="shared" si="133"/>
        <v>II</v>
      </c>
      <c r="EQ35" s="194" t="str">
        <f t="shared" si="134"/>
        <v/>
      </c>
      <c r="ER35" s="195">
        <f t="shared" si="135"/>
        <v>0</v>
      </c>
      <c r="ES35" s="195">
        <f t="shared" si="136"/>
        <v>0</v>
      </c>
      <c r="ET35" s="195">
        <f t="shared" si="137"/>
        <v>0</v>
      </c>
      <c r="EU35" s="195">
        <f t="shared" si="138"/>
        <v>0</v>
      </c>
      <c r="EV35" s="195">
        <f t="shared" si="139"/>
        <v>0</v>
      </c>
      <c r="EW35" s="195" t="str">
        <f t="shared" si="140"/>
        <v/>
      </c>
      <c r="EX35" s="196" t="str">
        <f t="shared" si="141"/>
        <v/>
      </c>
      <c r="EY35" s="197">
        <f>IF('Marks Entry'!BE35="","",'Marks Entry'!BE35)</f>
        <v>7</v>
      </c>
      <c r="EZ35" s="197">
        <f>IF('Marks Entry'!BF35="","",'Marks Entry'!BF35)</f>
        <v>7</v>
      </c>
      <c r="FA35" s="197">
        <f>IF('Marks Entry'!BG35="","",'Marks Entry'!BG35)</f>
        <v>7</v>
      </c>
      <c r="FB35" s="596">
        <f t="shared" si="142"/>
        <v>21</v>
      </c>
      <c r="FC35" s="197">
        <f>IF('Marks Entry'!BH35="","",'Marks Entry'!BH35)</f>
        <v>41</v>
      </c>
      <c r="FD35" s="197">
        <f>IF('Marks Entry'!BI35="","",'Marks Entry'!BI35)</f>
        <v>68</v>
      </c>
      <c r="FE35" s="198">
        <f t="shared" si="143"/>
        <v>130</v>
      </c>
      <c r="FF35" s="199" t="str">
        <f t="shared" si="144"/>
        <v>B</v>
      </c>
      <c r="FG35" s="200" t="str">
        <f>IF(AND(E35=""),"",IF('Student DATA Entry'!L31="","",'Student DATA Entry'!L31))</f>
        <v/>
      </c>
      <c r="FH35" s="201" t="str">
        <f>IF(AND(E35=""),"",IF('Student DATA Entry'!M31="","",'Student DATA Entry'!M31))</f>
        <v/>
      </c>
      <c r="FI35" s="202" t="str">
        <f t="shared" si="145"/>
        <v/>
      </c>
      <c r="FJ35" s="189" t="str">
        <f t="shared" si="146"/>
        <v/>
      </c>
      <c r="FK35" s="189" t="str">
        <f t="shared" si="147"/>
        <v/>
      </c>
      <c r="FL35" s="203" t="str">
        <f t="shared" si="19"/>
        <v/>
      </c>
      <c r="FM35" s="189" t="str">
        <f t="shared" si="148"/>
        <v/>
      </c>
      <c r="FN35" s="204" t="str">
        <f t="shared" si="149"/>
        <v/>
      </c>
      <c r="FO35" s="203" t="str">
        <f t="shared" si="20"/>
        <v/>
      </c>
      <c r="FP35" s="205" t="str">
        <f t="shared" si="150"/>
        <v>I</v>
      </c>
      <c r="FQ35" s="189" t="str">
        <f t="shared" si="21"/>
        <v/>
      </c>
      <c r="FR35" s="189" t="str">
        <f t="shared" si="22"/>
        <v>I</v>
      </c>
      <c r="FS35" s="189" t="str">
        <f t="shared" si="23"/>
        <v/>
      </c>
      <c r="FT35" s="189" t="str">
        <f t="shared" si="24"/>
        <v/>
      </c>
      <c r="FU35" s="189" t="str">
        <f t="shared" si="151"/>
        <v/>
      </c>
      <c r="FV35" s="206" t="str">
        <f t="shared" si="25"/>
        <v/>
      </c>
      <c r="FW35" s="205" t="str">
        <f t="shared" si="152"/>
        <v>II</v>
      </c>
      <c r="FX35" s="189" t="str">
        <f t="shared" si="26"/>
        <v/>
      </c>
      <c r="FY35" s="189" t="str">
        <f t="shared" si="27"/>
        <v>II</v>
      </c>
      <c r="FZ35" s="189" t="str">
        <f t="shared" si="28"/>
        <v/>
      </c>
      <c r="GA35" s="189" t="str">
        <f t="shared" si="29"/>
        <v/>
      </c>
      <c r="GB35" s="189" t="str">
        <f t="shared" si="153"/>
        <v/>
      </c>
      <c r="GC35" s="206" t="str">
        <f t="shared" si="30"/>
        <v/>
      </c>
      <c r="GD35" s="205" t="str">
        <f t="shared" si="154"/>
        <v>II</v>
      </c>
      <c r="GE35" s="189" t="str">
        <f t="shared" si="31"/>
        <v>II</v>
      </c>
      <c r="GF35" s="189" t="str">
        <f t="shared" si="32"/>
        <v/>
      </c>
      <c r="GG35" s="189" t="str">
        <f t="shared" si="33"/>
        <v/>
      </c>
      <c r="GH35" s="189" t="str">
        <f t="shared" si="34"/>
        <v/>
      </c>
      <c r="GI35" s="189" t="str">
        <f t="shared" si="155"/>
        <v/>
      </c>
      <c r="GJ35" s="206" t="str">
        <f t="shared" si="35"/>
        <v/>
      </c>
      <c r="GK35" s="205" t="str">
        <f t="shared" si="156"/>
        <v/>
      </c>
      <c r="GL35" s="189" t="str">
        <f t="shared" si="36"/>
        <v/>
      </c>
      <c r="GM35" s="189" t="str">
        <f t="shared" si="37"/>
        <v/>
      </c>
      <c r="GN35" s="189" t="str">
        <f t="shared" si="38"/>
        <v/>
      </c>
      <c r="GO35" s="189" t="str">
        <f t="shared" si="39"/>
        <v/>
      </c>
      <c r="GP35" s="189" t="str">
        <f t="shared" si="157"/>
        <v/>
      </c>
      <c r="GQ35" s="206" t="str">
        <f t="shared" si="40"/>
        <v/>
      </c>
      <c r="GR35" s="189" t="str">
        <f t="shared" si="158"/>
        <v>A</v>
      </c>
      <c r="GS35" s="189" t="str">
        <f t="shared" si="159"/>
        <v>B</v>
      </c>
      <c r="GT35" s="207" t="str">
        <f t="shared" si="177"/>
        <v xml:space="preserve">    </v>
      </c>
      <c r="GU35" s="207" t="str">
        <f t="shared" si="160"/>
        <v xml:space="preserve">    </v>
      </c>
      <c r="GV35" s="207" t="str">
        <f t="shared" si="161"/>
        <v xml:space="preserve">    </v>
      </c>
      <c r="GW35" s="207" t="str">
        <f t="shared" si="162"/>
        <v xml:space="preserve">       </v>
      </c>
      <c r="GX35" s="598" t="str">
        <f t="shared" si="163"/>
        <v xml:space="preserve">     </v>
      </c>
      <c r="GY35" s="208" t="str">
        <f t="shared" si="164"/>
        <v/>
      </c>
      <c r="GZ35" s="606">
        <f>IF(AND(Q35="",AE35="",AZ35="",BW35="",CT35=""),"",IF(AND('Master Sheet'!$D$19="YES",'Marks Entry'!$BA$1=1),SUM(Q35,AE35,AZ35,BW35,DT35),SUM(Q35,AE35,AZ35,BW35,CT35)))</f>
        <v>587</v>
      </c>
      <c r="HA35" s="209">
        <f>IF(GZ35="","",IF(AND('Master Sheet'!$D$19="YES",'Marks Entry'!$BA$1=1),GZ35/((900)-DC35)*100,GZ35/((1000)-DC35)*100))</f>
        <v>58.699999999999996</v>
      </c>
      <c r="HB35" s="611" t="str">
        <f t="shared" si="165"/>
        <v/>
      </c>
      <c r="HC35" s="609" t="str">
        <f t="shared" si="166"/>
        <v/>
      </c>
      <c r="HD35" s="610" t="str">
        <f t="shared" si="167"/>
        <v/>
      </c>
      <c r="HE35" s="210" t="str">
        <f>IFERROR(IF(OR(GY35="SUPPLEMENTARY",GY35="RE-EXAM"),'Supp. Result Entry'!AS34,""),"")</f>
        <v/>
      </c>
      <c r="HF35" s="613" t="str">
        <f t="shared" si="168"/>
        <v/>
      </c>
      <c r="HG35" s="598" t="str">
        <f t="shared" si="169"/>
        <v/>
      </c>
      <c r="HH35" s="598" t="str">
        <f>IF(AND(HE35="",HF35="",HG35=""),"",IF(OR(GY35="SUPPLEMENTARY",GY35="RE-EXAM"),'Supp. Result Entry'!AS34,GY35))</f>
        <v/>
      </c>
      <c r="HI35" s="180"/>
      <c r="HY35" s="212" t="str">
        <f>IF('Supp. Result Entry'!U34="","",'Supp. Result Entry'!$U$6)</f>
        <v/>
      </c>
      <c r="HZ35" s="213" t="str">
        <f>IF('Supp. Result Entry'!X34="","",'Supp. Result Entry'!$X$6)</f>
        <v/>
      </c>
      <c r="IA35" s="213" t="str">
        <f>IF('Supp. Result Entry'!AA34="","",'Supp. Result Entry'!$AA$6)</f>
        <v/>
      </c>
      <c r="IB35" s="213" t="str">
        <f>IF('Supp. Result Entry'!AD34="","",'Supp. Result Entry'!$AD$6)</f>
        <v/>
      </c>
      <c r="IC35" s="213" t="str">
        <f>IF('Supp. Result Entry'!AG34="","",'Supp. Result Entry'!$AG$6)</f>
        <v/>
      </c>
      <c r="ID35" s="213" t="str">
        <f>IF('Supp. Result Entry'!AJ34="","",'Supp. Result Entry'!$AJ$6)</f>
        <v/>
      </c>
      <c r="IE35" s="213" t="str">
        <f>IF('Supp. Result Entry'!V34="","",'Supp. Result Entry'!V34)</f>
        <v/>
      </c>
      <c r="IF35" s="213" t="str">
        <f>IF('Supp. Result Entry'!Y34="","",'Supp. Result Entry'!Y34)</f>
        <v/>
      </c>
      <c r="IG35" s="213" t="str">
        <f>IF('Supp. Result Entry'!AB34="","",'Supp. Result Entry'!AB34)</f>
        <v/>
      </c>
      <c r="IH35" s="213" t="str">
        <f>IF('Supp. Result Entry'!AE34="","",'Supp. Result Entry'!AE34)</f>
        <v/>
      </c>
      <c r="II35" s="213" t="str">
        <f>IF('Supp. Result Entry'!AH34="","",'Supp. Result Entry'!AH34)</f>
        <v/>
      </c>
      <c r="IJ35" s="213" t="str">
        <f>IF('Supp. Result Entry'!AK34="","",'Supp. Result Entry'!AK34)</f>
        <v/>
      </c>
      <c r="IK35" s="213" t="str">
        <f>IF('Supp. Result Entry'!W34="","",'Supp. Result Entry'!W34)</f>
        <v/>
      </c>
      <c r="IL35" s="213" t="str">
        <f>IF('Supp. Result Entry'!Z34="","",'Supp. Result Entry'!Z34)</f>
        <v/>
      </c>
      <c r="IM35" s="213" t="str">
        <f>IF('Supp. Result Entry'!AC34="","",'Supp. Result Entry'!AC34)</f>
        <v/>
      </c>
      <c r="IN35" s="213" t="str">
        <f>IF('Supp. Result Entry'!AF34="","",'Supp. Result Entry'!AF34)</f>
        <v/>
      </c>
      <c r="IO35" s="213" t="str">
        <f>IF('Supp. Result Entry'!AI34="","",'Supp. Result Entry'!AI34)</f>
        <v/>
      </c>
      <c r="IP35" s="213" t="str">
        <f>IF('Supp. Result Entry'!AL34="","",'Supp. Result Entry'!AL34)</f>
        <v/>
      </c>
      <c r="IQ35" s="213">
        <f>COUNTIF('Supp. Result Entry'!K34:Q34,"S")</f>
        <v>0</v>
      </c>
      <c r="IR35" s="213">
        <f t="shared" si="170"/>
        <v>0</v>
      </c>
      <c r="IS35" s="213">
        <f t="shared" si="171"/>
        <v>0</v>
      </c>
      <c r="IT35" s="213" t="str">
        <f t="shared" si="41"/>
        <v/>
      </c>
      <c r="IU35" s="213" t="str">
        <f t="shared" si="42"/>
        <v/>
      </c>
      <c r="IV35" s="213" t="str">
        <f t="shared" si="43"/>
        <v/>
      </c>
      <c r="IW35" s="213" t="str">
        <f t="shared" si="44"/>
        <v/>
      </c>
      <c r="IX35" s="213" t="str">
        <f t="shared" si="45"/>
        <v/>
      </c>
      <c r="IY35" s="213" t="str">
        <f t="shared" si="172"/>
        <v/>
      </c>
      <c r="IZ35" s="213" t="str">
        <f t="shared" si="173"/>
        <v/>
      </c>
      <c r="JA35" s="213" t="str">
        <f t="shared" si="46"/>
        <v/>
      </c>
      <c r="JB35" s="211" t="str">
        <f t="shared" si="174"/>
        <v/>
      </c>
    </row>
    <row r="36" spans="1:262" s="211" customFormat="1" ht="21" customHeight="1">
      <c r="A36" s="184">
        <v>29</v>
      </c>
      <c r="B36" s="185" t="str">
        <f>IF('Marks Entry'!B36="","",'Marks Entry'!B36)</f>
        <v/>
      </c>
      <c r="C36" s="186" t="str">
        <f>IF('Marks Entry'!D36="","",'Marks Entry'!D36)</f>
        <v/>
      </c>
      <c r="D36" s="187" t="str">
        <f>IF('Marks Entry'!E36="","",'Marks Entry'!E36)</f>
        <v/>
      </c>
      <c r="E36" s="188" t="str">
        <f>IF('Marks Entry'!F36="","",'Marks Entry'!F36)</f>
        <v/>
      </c>
      <c r="F36" s="188" t="str">
        <f>IF('Marks Entry'!G36="","",'Marks Entry'!G36)</f>
        <v/>
      </c>
      <c r="G36" s="188" t="str">
        <f>IF('Marks Entry'!H36="","",'Marks Entry'!H36)</f>
        <v/>
      </c>
      <c r="H36" s="189" t="str">
        <f>IF('Marks Entry'!I36="","",'Marks Entry'!I36)</f>
        <v/>
      </c>
      <c r="I36" s="190" t="str">
        <f>IF('Marks Entry'!J36="","",'Marks Entry'!J36)</f>
        <v/>
      </c>
      <c r="J36" s="545">
        <f>IF('Marks Entry'!K36="","",'Marks Entry'!K36)</f>
        <v>15</v>
      </c>
      <c r="K36" s="545">
        <f>IF('Marks Entry'!L36="","",'Marks Entry'!L36)</f>
        <v>2</v>
      </c>
      <c r="L36" s="545">
        <f>IF('Marks Entry'!M36="","",'Marks Entry'!M36)</f>
        <v>8</v>
      </c>
      <c r="M36" s="546">
        <f t="shared" si="47"/>
        <v>25</v>
      </c>
      <c r="N36" s="545">
        <f>IF('Marks Entry'!N36="","",'Marks Entry'!N36)</f>
        <v>21</v>
      </c>
      <c r="O36" s="546">
        <f t="shared" si="48"/>
        <v>46</v>
      </c>
      <c r="P36" s="545">
        <f>IF('Marks Entry'!O36="","",'Marks Entry'!O36)</f>
        <v>52</v>
      </c>
      <c r="Q36" s="547">
        <f t="shared" si="49"/>
        <v>98</v>
      </c>
      <c r="R36" s="153">
        <f t="shared" si="50"/>
        <v>0</v>
      </c>
      <c r="S36" s="153">
        <f t="shared" si="51"/>
        <v>0</v>
      </c>
      <c r="T36" s="154">
        <f t="shared" si="52"/>
        <v>200</v>
      </c>
      <c r="U36" s="153" t="str">
        <f t="shared" si="53"/>
        <v/>
      </c>
      <c r="V36" s="153" t="str">
        <f t="shared" si="54"/>
        <v/>
      </c>
      <c r="W36" s="153" t="str">
        <f t="shared" si="55"/>
        <v/>
      </c>
      <c r="X36" s="545">
        <f>IF('Marks Entry'!P36="","",'Marks Entry'!P36)</f>
        <v>9</v>
      </c>
      <c r="Y36" s="545">
        <f>IF('Marks Entry'!Q36="","",'Marks Entry'!Q36)</f>
        <v>10</v>
      </c>
      <c r="Z36" s="545">
        <f>IF('Marks Entry'!R36="","",'Marks Entry'!R36)</f>
        <v>9</v>
      </c>
      <c r="AA36" s="546">
        <f t="shared" si="56"/>
        <v>28</v>
      </c>
      <c r="AB36" s="545">
        <f>IF('Marks Entry'!S36="","",'Marks Entry'!S36)</f>
        <v>26</v>
      </c>
      <c r="AC36" s="546">
        <f t="shared" si="57"/>
        <v>54</v>
      </c>
      <c r="AD36" s="545">
        <f>IF('Marks Entry'!T36="","",'Marks Entry'!T36)</f>
        <v>63</v>
      </c>
      <c r="AE36" s="547">
        <f t="shared" si="58"/>
        <v>117</v>
      </c>
      <c r="AF36" s="153">
        <f t="shared" si="59"/>
        <v>0</v>
      </c>
      <c r="AG36" s="153">
        <f t="shared" si="60"/>
        <v>0</v>
      </c>
      <c r="AH36" s="154">
        <f t="shared" si="61"/>
        <v>200</v>
      </c>
      <c r="AI36" s="153" t="str">
        <f t="shared" si="62"/>
        <v/>
      </c>
      <c r="AJ36" s="153" t="str">
        <f t="shared" si="63"/>
        <v/>
      </c>
      <c r="AK36" s="153" t="str">
        <f t="shared" si="64"/>
        <v/>
      </c>
      <c r="AL36" s="573" t="str">
        <f>IF('Marks Entry'!U36="","",'Marks Entry'!U36)</f>
        <v>B</v>
      </c>
      <c r="AM36" s="573">
        <f>IF('Marks Entry'!V36="","",'Marks Entry'!V36)</f>
        <v>10</v>
      </c>
      <c r="AN36" s="573">
        <f>IF('Marks Entry'!W36="","",'Marks Entry'!W36)</f>
        <v>5</v>
      </c>
      <c r="AO36" s="573">
        <f>IF('Marks Entry'!X36="","",'Marks Entry'!X36)</f>
        <v>7</v>
      </c>
      <c r="AP36" s="572">
        <f t="shared" si="65"/>
        <v>22</v>
      </c>
      <c r="AQ36" s="573">
        <f>IF('Marks Entry'!Y36="","",'Marks Entry'!Y36)</f>
        <v>24</v>
      </c>
      <c r="AR36" s="573">
        <f>IF('Marks Entry'!Z36="","",'Marks Entry'!Z36)</f>
        <v>12</v>
      </c>
      <c r="AS36" s="572">
        <f t="shared" si="66"/>
        <v>36</v>
      </c>
      <c r="AT36" s="572">
        <f t="shared" si="67"/>
        <v>58</v>
      </c>
      <c r="AU36" s="573">
        <f>IF('Marks Entry'!AA36="","",'Marks Entry'!AA36)</f>
        <v>45</v>
      </c>
      <c r="AV36" s="573">
        <f>IF('Marks Entry'!AB36="","",'Marks Entry'!AB36)</f>
        <v>25</v>
      </c>
      <c r="AW36" s="572">
        <f t="shared" si="68"/>
        <v>70</v>
      </c>
      <c r="AX36" s="157">
        <f t="shared" si="69"/>
        <v>91</v>
      </c>
      <c r="AY36" s="157">
        <f t="shared" si="70"/>
        <v>37</v>
      </c>
      <c r="AZ36" s="192">
        <f t="shared" si="71"/>
        <v>128</v>
      </c>
      <c r="BA36" s="153">
        <f t="shared" si="72"/>
        <v>0</v>
      </c>
      <c r="BB36" s="154">
        <f t="shared" si="73"/>
        <v>0</v>
      </c>
      <c r="BC36" s="154">
        <f t="shared" si="74"/>
        <v>70</v>
      </c>
      <c r="BD36" s="154">
        <f t="shared" si="75"/>
        <v>50</v>
      </c>
      <c r="BE36" s="154">
        <f t="shared" si="76"/>
        <v>150</v>
      </c>
      <c r="BF36" s="153" t="str">
        <f t="shared" si="77"/>
        <v/>
      </c>
      <c r="BG36" s="154" t="str">
        <f t="shared" si="175"/>
        <v>P</v>
      </c>
      <c r="BH36" s="153" t="str">
        <f t="shared" si="78"/>
        <v>I</v>
      </c>
      <c r="BI36" s="580" t="str">
        <f>IF('Marks Entry'!AC36="","",'Marks Entry'!AC36)</f>
        <v>B</v>
      </c>
      <c r="BJ36" s="580">
        <f>IF('Marks Entry'!AD36="","",'Marks Entry'!AD36)</f>
        <v>15</v>
      </c>
      <c r="BK36" s="580">
        <f>IF('Marks Entry'!AE36="","",'Marks Entry'!AE36)</f>
        <v>14</v>
      </c>
      <c r="BL36" s="580" t="str">
        <f>IF('Marks Entry'!AF36="","",'Marks Entry'!AF36)</f>
        <v/>
      </c>
      <c r="BM36" s="581">
        <f t="shared" si="79"/>
        <v>29</v>
      </c>
      <c r="BN36" s="580">
        <f>IF('Marks Entry'!AG36="","",'Marks Entry'!AG36)</f>
        <v>40</v>
      </c>
      <c r="BO36" s="580" t="str">
        <f>IF('Marks Entry'!AH36="","",'Marks Entry'!AH36)</f>
        <v/>
      </c>
      <c r="BP36" s="581">
        <f t="shared" si="80"/>
        <v>40</v>
      </c>
      <c r="BQ36" s="581">
        <f t="shared" si="81"/>
        <v>69</v>
      </c>
      <c r="BR36" s="580">
        <f>IF('Marks Entry'!AI36="","",'Marks Entry'!AI36)</f>
        <v>49</v>
      </c>
      <c r="BS36" s="580" t="str">
        <f>IF('Marks Entry'!AJ36="","",'Marks Entry'!AJ36)</f>
        <v/>
      </c>
      <c r="BT36" s="581">
        <f t="shared" si="82"/>
        <v>49</v>
      </c>
      <c r="BU36" s="157">
        <f t="shared" si="83"/>
        <v>118</v>
      </c>
      <c r="BV36" s="157" t="str">
        <f t="shared" si="84"/>
        <v/>
      </c>
      <c r="BW36" s="192">
        <f t="shared" si="85"/>
        <v>118</v>
      </c>
      <c r="BX36" s="153">
        <f t="shared" si="86"/>
        <v>0</v>
      </c>
      <c r="BY36" s="154">
        <f t="shared" si="87"/>
        <v>0</v>
      </c>
      <c r="BZ36" s="154">
        <f t="shared" si="88"/>
        <v>100</v>
      </c>
      <c r="CA36" s="154" t="str">
        <f t="shared" si="89"/>
        <v/>
      </c>
      <c r="CB36" s="154">
        <f t="shared" si="90"/>
        <v>200</v>
      </c>
      <c r="CC36" s="153" t="str">
        <f t="shared" si="91"/>
        <v/>
      </c>
      <c r="CD36" s="154" t="str">
        <f t="shared" si="92"/>
        <v>P</v>
      </c>
      <c r="CE36" s="153" t="str">
        <f t="shared" si="93"/>
        <v>II</v>
      </c>
      <c r="CF36" s="580" t="str">
        <f>IF('Marks Entry'!AK36="","",'Marks Entry'!AK36)</f>
        <v>B</v>
      </c>
      <c r="CG36" s="580">
        <f>IF('Marks Entry'!AL36="","",'Marks Entry'!AL36)</f>
        <v>15</v>
      </c>
      <c r="CH36" s="580">
        <f>IF('Marks Entry'!AM36="","",'Marks Entry'!AM36)</f>
        <v>12</v>
      </c>
      <c r="CI36" s="580" t="str">
        <f>IF('Marks Entry'!AN36="","",'Marks Entry'!AN36)</f>
        <v/>
      </c>
      <c r="CJ36" s="581">
        <f t="shared" si="94"/>
        <v>27</v>
      </c>
      <c r="CK36" s="580">
        <f>IF('Marks Entry'!AO36="","",'Marks Entry'!AO36)</f>
        <v>31</v>
      </c>
      <c r="CL36" s="580" t="str">
        <f>IF('Marks Entry'!AP36="","",'Marks Entry'!AP36)</f>
        <v/>
      </c>
      <c r="CM36" s="581">
        <f t="shared" si="95"/>
        <v>31</v>
      </c>
      <c r="CN36" s="581">
        <f t="shared" si="96"/>
        <v>58</v>
      </c>
      <c r="CO36" s="580">
        <f>IF('Marks Entry'!AQ36="","",'Marks Entry'!AQ36)</f>
        <v>30</v>
      </c>
      <c r="CP36" s="580" t="str">
        <f>IF('Marks Entry'!AR36="","",'Marks Entry'!AR36)</f>
        <v/>
      </c>
      <c r="CQ36" s="581">
        <f t="shared" si="97"/>
        <v>30</v>
      </c>
      <c r="CR36" s="157">
        <f t="shared" si="98"/>
        <v>88</v>
      </c>
      <c r="CS36" s="157" t="str">
        <f t="shared" si="99"/>
        <v/>
      </c>
      <c r="CT36" s="192">
        <f t="shared" si="100"/>
        <v>88</v>
      </c>
      <c r="CU36" s="153">
        <f t="shared" si="101"/>
        <v>0</v>
      </c>
      <c r="CV36" s="154">
        <f t="shared" si="102"/>
        <v>0</v>
      </c>
      <c r="CW36" s="154">
        <f t="shared" si="103"/>
        <v>100</v>
      </c>
      <c r="CX36" s="154" t="str">
        <f t="shared" si="104"/>
        <v/>
      </c>
      <c r="CY36" s="154">
        <f t="shared" si="176"/>
        <v>200</v>
      </c>
      <c r="CZ36" s="153" t="str">
        <f t="shared" si="105"/>
        <v/>
      </c>
      <c r="DA36" s="154" t="str">
        <f t="shared" si="106"/>
        <v>P</v>
      </c>
      <c r="DB36" s="153" t="str">
        <f t="shared" si="107"/>
        <v>III</v>
      </c>
      <c r="DC36" s="154">
        <f t="shared" si="108"/>
        <v>0</v>
      </c>
      <c r="DD36" s="826" t="str">
        <f>IF('Marks Entry'!AS36="","",IF(OR('Master Sheet'!$D$19="YES",'Marks Entry'!$BA$1=1),'Marks Entry'!AS36,""))</f>
        <v/>
      </c>
      <c r="DE36" s="826" t="str">
        <f>IF('Marks Entry'!AT36="","",IF(OR('Master Sheet'!$D$19="YES",'Marks Entry'!$BA$1=1),'Marks Entry'!AT36,""))</f>
        <v/>
      </c>
      <c r="DF36" s="826" t="str">
        <f>IF('Marks Entry'!AU36="","",IF(OR('Master Sheet'!$D$19="YES",'Marks Entry'!$BA$1=1),'Marks Entry'!AU36,""))</f>
        <v/>
      </c>
      <c r="DG36" s="826" t="str">
        <f>IF('Marks Entry'!AV36="","",IF(OR('Master Sheet'!$D$19="YES",'Marks Entry'!$BA$1=1),'Marks Entry'!AV36,""))</f>
        <v/>
      </c>
      <c r="DH36" s="827" t="str">
        <f t="shared" si="109"/>
        <v/>
      </c>
      <c r="DI36" s="826" t="str">
        <f>IF('Marks Entry'!AW36="","",IF(OR('Master Sheet'!$D$19="YES",'Marks Entry'!$BA$1=1),'Marks Entry'!AW36,""))</f>
        <v/>
      </c>
      <c r="DJ36" s="826" t="str">
        <f>IF('Marks Entry'!AX36="","",IF(OR('Master Sheet'!$D$19="YES",'Marks Entry'!$BA$1=1),'Marks Entry'!AX36,""))</f>
        <v/>
      </c>
      <c r="DK36" s="827" t="str">
        <f t="shared" si="110"/>
        <v/>
      </c>
      <c r="DL36" s="827" t="str">
        <f t="shared" si="111"/>
        <v/>
      </c>
      <c r="DM36" s="826" t="str">
        <f>IF('Marks Entry'!AY36="","",IF(OR('Master Sheet'!$D$19="YES",'Marks Entry'!$BA$1=1),'Marks Entry'!AY36,""))</f>
        <v/>
      </c>
      <c r="DN36" s="826" t="str">
        <f>IF('Marks Entry'!AZ36="","",IF(OR('Master Sheet'!$D$19="YES",'Marks Entry'!$BA$1=1),'Marks Entry'!AZ36,""))</f>
        <v/>
      </c>
      <c r="DO36" s="826" t="str">
        <f>IF('Marks Entry'!BA36="","",IF(OR('Master Sheet'!$D$19="YES",'Marks Entry'!$BA$1=1),'Marks Entry'!BA36,""))</f>
        <v/>
      </c>
      <c r="DP36" s="827" t="str">
        <f t="shared" si="112"/>
        <v/>
      </c>
      <c r="DQ36" s="157" t="str">
        <f t="shared" si="113"/>
        <v/>
      </c>
      <c r="DR36" s="157" t="str">
        <f t="shared" si="114"/>
        <v/>
      </c>
      <c r="DS36" s="157" t="str">
        <f t="shared" si="115"/>
        <v/>
      </c>
      <c r="DT36" s="192" t="str">
        <f t="shared" si="116"/>
        <v/>
      </c>
      <c r="DU36" s="153">
        <f t="shared" si="117"/>
        <v>0</v>
      </c>
      <c r="DV36" s="154" t="e">
        <f t="shared" si="118"/>
        <v>#VALUE!</v>
      </c>
      <c r="DW36" s="154" t="str">
        <f t="shared" si="119"/>
        <v/>
      </c>
      <c r="DX36" s="154" t="str">
        <f>IF(OR($B36="NSO",$B36=0,DS36=""),"",IF(AND(DJ36="",DO36=""),"",IF('Master Sheet'!$D$19="YES",$DO$6-COUNTIF(DO36,"ML")*DO$6,DS$6-(COUNTIF(DJ36,"ML")*DJ$6)-(COUNTIF(DO36,"ML")*DO$6))))</f>
        <v/>
      </c>
      <c r="DY36" s="154" t="str">
        <f>IF(OR($B36="NSO",$B36=0),"",IF(AND(DH36="",DI36="",DM36=""),"",IF(AND('Master Sheet'!$D$19="YES",'Marks Entry'!$BA$1=1),100,IF(AND(DJ36="",DO36=""),SUM(($DQ$7+$DR$7)-(DU36+DV36)),SUM(($DQ$6+$DR$6)-(DU36+DV36))))))</f>
        <v/>
      </c>
      <c r="DZ36" s="153" t="str">
        <f t="shared" si="120"/>
        <v/>
      </c>
      <c r="EA36" s="154" t="str">
        <f t="shared" si="121"/>
        <v/>
      </c>
      <c r="EB36" s="153" t="str">
        <f t="shared" si="122"/>
        <v/>
      </c>
      <c r="EC36" s="584">
        <f>IF('Marks Entry'!BB36="","",'Marks Entry'!BB36)</f>
        <v>20</v>
      </c>
      <c r="ED36" s="584">
        <f>IF('Marks Entry'!BC36="","",'Marks Entry'!BC36)</f>
        <v>30</v>
      </c>
      <c r="EE36" s="584">
        <f>IF('Marks Entry'!BD36="","",'Marks Entry'!BD36)</f>
        <v>32</v>
      </c>
      <c r="EF36" s="590">
        <f t="shared" si="123"/>
        <v>82</v>
      </c>
      <c r="EG36" s="595">
        <f t="shared" si="124"/>
        <v>0</v>
      </c>
      <c r="EH36" s="595">
        <f t="shared" si="125"/>
        <v>0</v>
      </c>
      <c r="EI36" s="193">
        <f t="shared" si="126"/>
        <v>100</v>
      </c>
      <c r="EJ36" s="595" t="str">
        <f t="shared" si="127"/>
        <v/>
      </c>
      <c r="EK36" s="595" t="str">
        <f t="shared" si="128"/>
        <v>A</v>
      </c>
      <c r="EL36" s="194" t="str">
        <f t="shared" si="129"/>
        <v/>
      </c>
      <c r="EM36" s="194" t="str">
        <f t="shared" si="130"/>
        <v/>
      </c>
      <c r="EN36" s="194" t="str">
        <f t="shared" si="131"/>
        <v>I</v>
      </c>
      <c r="EO36" s="194" t="str">
        <f t="shared" si="132"/>
        <v>II</v>
      </c>
      <c r="EP36" s="194" t="str">
        <f t="shared" si="133"/>
        <v>III</v>
      </c>
      <c r="EQ36" s="194" t="str">
        <f t="shared" si="134"/>
        <v/>
      </c>
      <c r="ER36" s="195">
        <f t="shared" si="135"/>
        <v>0</v>
      </c>
      <c r="ES36" s="195">
        <f t="shared" si="136"/>
        <v>0</v>
      </c>
      <c r="ET36" s="195">
        <f t="shared" si="137"/>
        <v>0</v>
      </c>
      <c r="EU36" s="195">
        <f t="shared" si="138"/>
        <v>0</v>
      </c>
      <c r="EV36" s="195">
        <f t="shared" si="139"/>
        <v>0</v>
      </c>
      <c r="EW36" s="195" t="str">
        <f t="shared" si="140"/>
        <v/>
      </c>
      <c r="EX36" s="196" t="str">
        <f t="shared" si="141"/>
        <v/>
      </c>
      <c r="EY36" s="197">
        <f>IF('Marks Entry'!BE36="","",'Marks Entry'!BE36)</f>
        <v>7</v>
      </c>
      <c r="EZ36" s="197">
        <f>IF('Marks Entry'!BF36="","",'Marks Entry'!BF36)</f>
        <v>7</v>
      </c>
      <c r="FA36" s="197">
        <f>IF('Marks Entry'!BG36="","",'Marks Entry'!BG36)</f>
        <v>7</v>
      </c>
      <c r="FB36" s="596">
        <f t="shared" si="142"/>
        <v>21</v>
      </c>
      <c r="FC36" s="197">
        <f>IF('Marks Entry'!BH36="","",'Marks Entry'!BH36)</f>
        <v>41</v>
      </c>
      <c r="FD36" s="197">
        <f>IF('Marks Entry'!BI36="","",'Marks Entry'!BI36)</f>
        <v>68</v>
      </c>
      <c r="FE36" s="198">
        <f t="shared" si="143"/>
        <v>130</v>
      </c>
      <c r="FF36" s="199" t="str">
        <f t="shared" si="144"/>
        <v>B</v>
      </c>
      <c r="FG36" s="200" t="str">
        <f>IF(AND(E36=""),"",IF('Student DATA Entry'!L32="","",'Student DATA Entry'!L32))</f>
        <v/>
      </c>
      <c r="FH36" s="201" t="str">
        <f>IF(AND(E36=""),"",IF('Student DATA Entry'!M32="","",'Student DATA Entry'!M32))</f>
        <v/>
      </c>
      <c r="FI36" s="202" t="str">
        <f t="shared" si="145"/>
        <v/>
      </c>
      <c r="FJ36" s="189" t="str">
        <f t="shared" si="146"/>
        <v/>
      </c>
      <c r="FK36" s="189" t="str">
        <f t="shared" si="147"/>
        <v/>
      </c>
      <c r="FL36" s="203" t="str">
        <f t="shared" si="19"/>
        <v/>
      </c>
      <c r="FM36" s="189" t="str">
        <f t="shared" si="148"/>
        <v/>
      </c>
      <c r="FN36" s="204" t="str">
        <f t="shared" si="149"/>
        <v/>
      </c>
      <c r="FO36" s="203" t="str">
        <f t="shared" si="20"/>
        <v/>
      </c>
      <c r="FP36" s="205" t="str">
        <f t="shared" si="150"/>
        <v>I</v>
      </c>
      <c r="FQ36" s="189" t="str">
        <f t="shared" si="21"/>
        <v/>
      </c>
      <c r="FR36" s="189" t="str">
        <f t="shared" si="22"/>
        <v>I</v>
      </c>
      <c r="FS36" s="189" t="str">
        <f t="shared" si="23"/>
        <v/>
      </c>
      <c r="FT36" s="189" t="str">
        <f t="shared" si="24"/>
        <v/>
      </c>
      <c r="FU36" s="189" t="str">
        <f t="shared" si="151"/>
        <v/>
      </c>
      <c r="FV36" s="206" t="str">
        <f t="shared" si="25"/>
        <v/>
      </c>
      <c r="FW36" s="205" t="str">
        <f t="shared" si="152"/>
        <v>II</v>
      </c>
      <c r="FX36" s="189" t="str">
        <f t="shared" si="26"/>
        <v/>
      </c>
      <c r="FY36" s="189" t="str">
        <f t="shared" si="27"/>
        <v>II</v>
      </c>
      <c r="FZ36" s="189" t="str">
        <f t="shared" si="28"/>
        <v/>
      </c>
      <c r="GA36" s="189" t="str">
        <f t="shared" si="29"/>
        <v/>
      </c>
      <c r="GB36" s="189" t="str">
        <f t="shared" si="153"/>
        <v/>
      </c>
      <c r="GC36" s="206" t="str">
        <f t="shared" si="30"/>
        <v/>
      </c>
      <c r="GD36" s="205" t="str">
        <f t="shared" si="154"/>
        <v>III</v>
      </c>
      <c r="GE36" s="189" t="str">
        <f t="shared" si="31"/>
        <v/>
      </c>
      <c r="GF36" s="189" t="str">
        <f t="shared" si="32"/>
        <v>III</v>
      </c>
      <c r="GG36" s="189" t="str">
        <f t="shared" si="33"/>
        <v/>
      </c>
      <c r="GH36" s="189" t="str">
        <f t="shared" si="34"/>
        <v/>
      </c>
      <c r="GI36" s="189" t="str">
        <f t="shared" si="155"/>
        <v/>
      </c>
      <c r="GJ36" s="206" t="str">
        <f t="shared" si="35"/>
        <v/>
      </c>
      <c r="GK36" s="205" t="str">
        <f t="shared" si="156"/>
        <v/>
      </c>
      <c r="GL36" s="189" t="str">
        <f t="shared" si="36"/>
        <v/>
      </c>
      <c r="GM36" s="189" t="str">
        <f t="shared" si="37"/>
        <v/>
      </c>
      <c r="GN36" s="189" t="str">
        <f t="shared" si="38"/>
        <v/>
      </c>
      <c r="GO36" s="189" t="str">
        <f t="shared" si="39"/>
        <v/>
      </c>
      <c r="GP36" s="189" t="str">
        <f t="shared" si="157"/>
        <v/>
      </c>
      <c r="GQ36" s="206" t="str">
        <f t="shared" si="40"/>
        <v/>
      </c>
      <c r="GR36" s="189" t="str">
        <f t="shared" si="158"/>
        <v>A</v>
      </c>
      <c r="GS36" s="189" t="str">
        <f t="shared" si="159"/>
        <v>B</v>
      </c>
      <c r="GT36" s="207" t="str">
        <f t="shared" si="177"/>
        <v xml:space="preserve">    </v>
      </c>
      <c r="GU36" s="207" t="str">
        <f t="shared" si="160"/>
        <v xml:space="preserve">    </v>
      </c>
      <c r="GV36" s="207" t="str">
        <f t="shared" si="161"/>
        <v xml:space="preserve">    </v>
      </c>
      <c r="GW36" s="207" t="str">
        <f t="shared" si="162"/>
        <v xml:space="preserve">       </v>
      </c>
      <c r="GX36" s="598" t="str">
        <f t="shared" si="163"/>
        <v xml:space="preserve">     </v>
      </c>
      <c r="GY36" s="208" t="str">
        <f t="shared" si="164"/>
        <v/>
      </c>
      <c r="GZ36" s="606">
        <f>IF(AND(Q36="",AE36="",AZ36="",BW36="",CT36=""),"",IF(AND('Master Sheet'!$D$19="YES",'Marks Entry'!$BA$1=1),SUM(Q36,AE36,AZ36,BW36,DT36),SUM(Q36,AE36,AZ36,BW36,CT36)))</f>
        <v>549</v>
      </c>
      <c r="HA36" s="209">
        <f>IF(GZ36="","",IF(AND('Master Sheet'!$D$19="YES",'Marks Entry'!$BA$1=1),GZ36/((900)-DC36)*100,GZ36/((1000)-DC36)*100))</f>
        <v>54.900000000000006</v>
      </c>
      <c r="HB36" s="611" t="str">
        <f t="shared" si="165"/>
        <v/>
      </c>
      <c r="HC36" s="609" t="str">
        <f t="shared" si="166"/>
        <v/>
      </c>
      <c r="HD36" s="610" t="str">
        <f t="shared" si="167"/>
        <v/>
      </c>
      <c r="HE36" s="210" t="str">
        <f>IFERROR(IF(OR(GY36="SUPPLEMENTARY",GY36="RE-EXAM"),'Supp. Result Entry'!AS35,""),"")</f>
        <v/>
      </c>
      <c r="HF36" s="613" t="str">
        <f t="shared" si="168"/>
        <v/>
      </c>
      <c r="HG36" s="598" t="str">
        <f t="shared" si="169"/>
        <v/>
      </c>
      <c r="HH36" s="598" t="str">
        <f>IF(AND(HE36="",HF36="",HG36=""),"",IF(OR(GY36="SUPPLEMENTARY",GY36="RE-EXAM"),'Supp. Result Entry'!AS35,GY36))</f>
        <v/>
      </c>
      <c r="HI36" s="180"/>
      <c r="HY36" s="212" t="str">
        <f>IF('Supp. Result Entry'!U35="","",'Supp. Result Entry'!$U$6)</f>
        <v/>
      </c>
      <c r="HZ36" s="213" t="str">
        <f>IF('Supp. Result Entry'!X35="","",'Supp. Result Entry'!$X$6)</f>
        <v/>
      </c>
      <c r="IA36" s="213" t="str">
        <f>IF('Supp. Result Entry'!AA35="","",'Supp. Result Entry'!$AA$6)</f>
        <v/>
      </c>
      <c r="IB36" s="213" t="str">
        <f>IF('Supp. Result Entry'!AD35="","",'Supp. Result Entry'!$AD$6)</f>
        <v/>
      </c>
      <c r="IC36" s="213" t="str">
        <f>IF('Supp. Result Entry'!AG35="","",'Supp. Result Entry'!$AG$6)</f>
        <v/>
      </c>
      <c r="ID36" s="213" t="str">
        <f>IF('Supp. Result Entry'!AJ35="","",'Supp. Result Entry'!$AJ$6)</f>
        <v/>
      </c>
      <c r="IE36" s="213" t="str">
        <f>IF('Supp. Result Entry'!V35="","",'Supp. Result Entry'!V35)</f>
        <v/>
      </c>
      <c r="IF36" s="213" t="str">
        <f>IF('Supp. Result Entry'!Y35="","",'Supp. Result Entry'!Y35)</f>
        <v/>
      </c>
      <c r="IG36" s="213" t="str">
        <f>IF('Supp. Result Entry'!AB35="","",'Supp. Result Entry'!AB35)</f>
        <v/>
      </c>
      <c r="IH36" s="213" t="str">
        <f>IF('Supp. Result Entry'!AE35="","",'Supp. Result Entry'!AE35)</f>
        <v/>
      </c>
      <c r="II36" s="213" t="str">
        <f>IF('Supp. Result Entry'!AH35="","",'Supp. Result Entry'!AH35)</f>
        <v/>
      </c>
      <c r="IJ36" s="213" t="str">
        <f>IF('Supp. Result Entry'!AK35="","",'Supp. Result Entry'!AK35)</f>
        <v/>
      </c>
      <c r="IK36" s="213" t="str">
        <f>IF('Supp. Result Entry'!W35="","",'Supp. Result Entry'!W35)</f>
        <v/>
      </c>
      <c r="IL36" s="213" t="str">
        <f>IF('Supp. Result Entry'!Z35="","",'Supp. Result Entry'!Z35)</f>
        <v/>
      </c>
      <c r="IM36" s="213" t="str">
        <f>IF('Supp. Result Entry'!AC35="","",'Supp. Result Entry'!AC35)</f>
        <v/>
      </c>
      <c r="IN36" s="213" t="str">
        <f>IF('Supp. Result Entry'!AF35="","",'Supp. Result Entry'!AF35)</f>
        <v/>
      </c>
      <c r="IO36" s="213" t="str">
        <f>IF('Supp. Result Entry'!AI35="","",'Supp. Result Entry'!AI35)</f>
        <v/>
      </c>
      <c r="IP36" s="213" t="str">
        <f>IF('Supp. Result Entry'!AL35="","",'Supp. Result Entry'!AL35)</f>
        <v/>
      </c>
      <c r="IQ36" s="213">
        <f>COUNTIF('Supp. Result Entry'!K35:Q35,"S")</f>
        <v>0</v>
      </c>
      <c r="IR36" s="213">
        <f t="shared" si="170"/>
        <v>0</v>
      </c>
      <c r="IS36" s="213">
        <f t="shared" si="171"/>
        <v>0</v>
      </c>
      <c r="IT36" s="213" t="str">
        <f t="shared" si="41"/>
        <v/>
      </c>
      <c r="IU36" s="213" t="str">
        <f t="shared" si="42"/>
        <v/>
      </c>
      <c r="IV36" s="213" t="str">
        <f t="shared" si="43"/>
        <v/>
      </c>
      <c r="IW36" s="213" t="str">
        <f t="shared" si="44"/>
        <v/>
      </c>
      <c r="IX36" s="213" t="str">
        <f t="shared" si="45"/>
        <v/>
      </c>
      <c r="IY36" s="213" t="str">
        <f t="shared" si="172"/>
        <v/>
      </c>
      <c r="IZ36" s="213" t="str">
        <f t="shared" si="173"/>
        <v/>
      </c>
      <c r="JA36" s="213" t="str">
        <f t="shared" si="46"/>
        <v/>
      </c>
      <c r="JB36" s="211" t="str">
        <f t="shared" si="174"/>
        <v/>
      </c>
    </row>
    <row r="37" spans="1:262" s="211" customFormat="1" ht="21" customHeight="1">
      <c r="A37" s="184">
        <v>30</v>
      </c>
      <c r="B37" s="185" t="str">
        <f>IF('Marks Entry'!B37="","",'Marks Entry'!B37)</f>
        <v/>
      </c>
      <c r="C37" s="186" t="str">
        <f>IF('Marks Entry'!D37="","",'Marks Entry'!D37)</f>
        <v/>
      </c>
      <c r="D37" s="187" t="str">
        <f>IF('Marks Entry'!E37="","",'Marks Entry'!E37)</f>
        <v/>
      </c>
      <c r="E37" s="188" t="str">
        <f>IF('Marks Entry'!F37="","",'Marks Entry'!F37)</f>
        <v/>
      </c>
      <c r="F37" s="188" t="str">
        <f>IF('Marks Entry'!G37="","",'Marks Entry'!G37)</f>
        <v/>
      </c>
      <c r="G37" s="188" t="str">
        <f>IF('Marks Entry'!H37="","",'Marks Entry'!H37)</f>
        <v/>
      </c>
      <c r="H37" s="189" t="str">
        <f>IF('Marks Entry'!I37="","",'Marks Entry'!I37)</f>
        <v/>
      </c>
      <c r="I37" s="190" t="str">
        <f>IF('Marks Entry'!J37="","",'Marks Entry'!J37)</f>
        <v/>
      </c>
      <c r="J37" s="545">
        <f>IF('Marks Entry'!K37="","",'Marks Entry'!K37)</f>
        <v>14</v>
      </c>
      <c r="K37" s="545">
        <f>IF('Marks Entry'!L37="","",'Marks Entry'!L37)</f>
        <v>5</v>
      </c>
      <c r="L37" s="545">
        <f>IF('Marks Entry'!M37="","",'Marks Entry'!M37)</f>
        <v>8</v>
      </c>
      <c r="M37" s="546">
        <f t="shared" si="47"/>
        <v>27</v>
      </c>
      <c r="N37" s="545">
        <f>IF('Marks Entry'!N37="","",'Marks Entry'!N37)</f>
        <v>25</v>
      </c>
      <c r="O37" s="546">
        <f t="shared" si="48"/>
        <v>52</v>
      </c>
      <c r="P37" s="545">
        <f>IF('Marks Entry'!O37="","",'Marks Entry'!O37)</f>
        <v>58</v>
      </c>
      <c r="Q37" s="547">
        <f t="shared" si="49"/>
        <v>110</v>
      </c>
      <c r="R37" s="153">
        <f t="shared" si="50"/>
        <v>0</v>
      </c>
      <c r="S37" s="153">
        <f t="shared" si="51"/>
        <v>0</v>
      </c>
      <c r="T37" s="154">
        <f t="shared" si="52"/>
        <v>200</v>
      </c>
      <c r="U37" s="153" t="str">
        <f t="shared" si="53"/>
        <v/>
      </c>
      <c r="V37" s="153" t="str">
        <f t="shared" si="54"/>
        <v/>
      </c>
      <c r="W37" s="153" t="str">
        <f t="shared" si="55"/>
        <v/>
      </c>
      <c r="X37" s="545">
        <f>IF('Marks Entry'!P37="","",'Marks Entry'!P37)</f>
        <v>8</v>
      </c>
      <c r="Y37" s="545">
        <f>IF('Marks Entry'!Q37="","",'Marks Entry'!Q37)</f>
        <v>10</v>
      </c>
      <c r="Z37" s="545">
        <f>IF('Marks Entry'!R37="","",'Marks Entry'!R37)</f>
        <v>9</v>
      </c>
      <c r="AA37" s="546">
        <f t="shared" si="56"/>
        <v>27</v>
      </c>
      <c r="AB37" s="545">
        <f>IF('Marks Entry'!S37="","",'Marks Entry'!S37)</f>
        <v>28</v>
      </c>
      <c r="AC37" s="546">
        <f t="shared" si="57"/>
        <v>55</v>
      </c>
      <c r="AD37" s="545">
        <f>IF('Marks Entry'!T37="","",'Marks Entry'!T37)</f>
        <v>65</v>
      </c>
      <c r="AE37" s="547">
        <f t="shared" si="58"/>
        <v>120</v>
      </c>
      <c r="AF37" s="153">
        <f t="shared" si="59"/>
        <v>0</v>
      </c>
      <c r="AG37" s="153">
        <f t="shared" si="60"/>
        <v>0</v>
      </c>
      <c r="AH37" s="154">
        <f t="shared" si="61"/>
        <v>200</v>
      </c>
      <c r="AI37" s="153" t="str">
        <f t="shared" si="62"/>
        <v/>
      </c>
      <c r="AJ37" s="153" t="str">
        <f t="shared" si="63"/>
        <v/>
      </c>
      <c r="AK37" s="153" t="str">
        <f t="shared" si="64"/>
        <v/>
      </c>
      <c r="AL37" s="573" t="str">
        <f>IF('Marks Entry'!U37="","",'Marks Entry'!U37)</f>
        <v>B</v>
      </c>
      <c r="AM37" s="573">
        <f>IF('Marks Entry'!V37="","",'Marks Entry'!V37)</f>
        <v>10</v>
      </c>
      <c r="AN37" s="573">
        <f>IF('Marks Entry'!W37="","",'Marks Entry'!W37)</f>
        <v>10</v>
      </c>
      <c r="AO37" s="573">
        <f>IF('Marks Entry'!X37="","",'Marks Entry'!X37)</f>
        <v>7</v>
      </c>
      <c r="AP37" s="572">
        <f t="shared" si="65"/>
        <v>27</v>
      </c>
      <c r="AQ37" s="573">
        <f>IF('Marks Entry'!Y37="","",'Marks Entry'!Y37)</f>
        <v>29</v>
      </c>
      <c r="AR37" s="573">
        <f>IF('Marks Entry'!Z37="","",'Marks Entry'!Z37)</f>
        <v>10</v>
      </c>
      <c r="AS37" s="572">
        <f t="shared" si="66"/>
        <v>39</v>
      </c>
      <c r="AT37" s="572">
        <f t="shared" si="67"/>
        <v>66</v>
      </c>
      <c r="AU37" s="573">
        <f>IF('Marks Entry'!AA37="","",'Marks Entry'!AA37)</f>
        <v>40</v>
      </c>
      <c r="AV37" s="573">
        <f>IF('Marks Entry'!AB37="","",'Marks Entry'!AB37)</f>
        <v>25</v>
      </c>
      <c r="AW37" s="572">
        <f t="shared" si="68"/>
        <v>65</v>
      </c>
      <c r="AX37" s="157">
        <f t="shared" si="69"/>
        <v>96</v>
      </c>
      <c r="AY37" s="157">
        <f t="shared" si="70"/>
        <v>35</v>
      </c>
      <c r="AZ37" s="192">
        <f t="shared" si="71"/>
        <v>131</v>
      </c>
      <c r="BA37" s="153">
        <f t="shared" si="72"/>
        <v>0</v>
      </c>
      <c r="BB37" s="154">
        <f t="shared" si="73"/>
        <v>0</v>
      </c>
      <c r="BC37" s="154">
        <f t="shared" si="74"/>
        <v>70</v>
      </c>
      <c r="BD37" s="154">
        <f t="shared" si="75"/>
        <v>50</v>
      </c>
      <c r="BE37" s="154">
        <f t="shared" si="76"/>
        <v>150</v>
      </c>
      <c r="BF37" s="153" t="str">
        <f t="shared" si="77"/>
        <v/>
      </c>
      <c r="BG37" s="154" t="str">
        <f t="shared" si="175"/>
        <v>P</v>
      </c>
      <c r="BH37" s="153" t="str">
        <f t="shared" si="78"/>
        <v>I</v>
      </c>
      <c r="BI37" s="580" t="str">
        <f>IF('Marks Entry'!AC37="","",'Marks Entry'!AC37)</f>
        <v>B</v>
      </c>
      <c r="BJ37" s="580">
        <f>IF('Marks Entry'!AD37="","",'Marks Entry'!AD37)</f>
        <v>14</v>
      </c>
      <c r="BK37" s="580">
        <f>IF('Marks Entry'!AE37="","",'Marks Entry'!AE37)</f>
        <v>15</v>
      </c>
      <c r="BL37" s="580" t="str">
        <f>IF('Marks Entry'!AF37="","",'Marks Entry'!AF37)</f>
        <v/>
      </c>
      <c r="BM37" s="581">
        <f t="shared" si="79"/>
        <v>29</v>
      </c>
      <c r="BN37" s="580">
        <f>IF('Marks Entry'!AG37="","",'Marks Entry'!AG37)</f>
        <v>41</v>
      </c>
      <c r="BO37" s="580" t="str">
        <f>IF('Marks Entry'!AH37="","",'Marks Entry'!AH37)</f>
        <v/>
      </c>
      <c r="BP37" s="581">
        <f t="shared" si="80"/>
        <v>41</v>
      </c>
      <c r="BQ37" s="581">
        <f t="shared" si="81"/>
        <v>70</v>
      </c>
      <c r="BR37" s="580">
        <f>IF('Marks Entry'!AI37="","",'Marks Entry'!AI37)</f>
        <v>50</v>
      </c>
      <c r="BS37" s="580" t="str">
        <f>IF('Marks Entry'!AJ37="","",'Marks Entry'!AJ37)</f>
        <v/>
      </c>
      <c r="BT37" s="581">
        <f t="shared" si="82"/>
        <v>50</v>
      </c>
      <c r="BU37" s="157">
        <f t="shared" si="83"/>
        <v>120</v>
      </c>
      <c r="BV37" s="157" t="str">
        <f t="shared" si="84"/>
        <v/>
      </c>
      <c r="BW37" s="192">
        <f t="shared" si="85"/>
        <v>120</v>
      </c>
      <c r="BX37" s="153">
        <f t="shared" si="86"/>
        <v>0</v>
      </c>
      <c r="BY37" s="154">
        <f t="shared" si="87"/>
        <v>0</v>
      </c>
      <c r="BZ37" s="154">
        <f t="shared" si="88"/>
        <v>100</v>
      </c>
      <c r="CA37" s="154" t="str">
        <f t="shared" si="89"/>
        <v/>
      </c>
      <c r="CB37" s="154">
        <f t="shared" si="90"/>
        <v>200</v>
      </c>
      <c r="CC37" s="153" t="str">
        <f t="shared" si="91"/>
        <v/>
      </c>
      <c r="CD37" s="154" t="str">
        <f t="shared" si="92"/>
        <v>P</v>
      </c>
      <c r="CE37" s="153" t="str">
        <f t="shared" si="93"/>
        <v>I</v>
      </c>
      <c r="CF37" s="580" t="str">
        <f>IF('Marks Entry'!AK37="","",'Marks Entry'!AK37)</f>
        <v>B</v>
      </c>
      <c r="CG37" s="580">
        <f>IF('Marks Entry'!AL37="","",'Marks Entry'!AL37)</f>
        <v>14</v>
      </c>
      <c r="CH37" s="580">
        <f>IF('Marks Entry'!AM37="","",'Marks Entry'!AM37)</f>
        <v>13</v>
      </c>
      <c r="CI37" s="580" t="str">
        <f>IF('Marks Entry'!AN37="","",'Marks Entry'!AN37)</f>
        <v/>
      </c>
      <c r="CJ37" s="581">
        <f t="shared" si="94"/>
        <v>27</v>
      </c>
      <c r="CK37" s="580">
        <f>IF('Marks Entry'!AO37="","",'Marks Entry'!AO37)</f>
        <v>30</v>
      </c>
      <c r="CL37" s="580" t="str">
        <f>IF('Marks Entry'!AP37="","",'Marks Entry'!AP37)</f>
        <v/>
      </c>
      <c r="CM37" s="581">
        <f t="shared" si="95"/>
        <v>30</v>
      </c>
      <c r="CN37" s="581">
        <f t="shared" si="96"/>
        <v>57</v>
      </c>
      <c r="CO37" s="580">
        <f>IF('Marks Entry'!AQ37="","",'Marks Entry'!AQ37)</f>
        <v>35</v>
      </c>
      <c r="CP37" s="580" t="str">
        <f>IF('Marks Entry'!AR37="","",'Marks Entry'!AR37)</f>
        <v/>
      </c>
      <c r="CQ37" s="581">
        <f t="shared" si="97"/>
        <v>35</v>
      </c>
      <c r="CR37" s="157">
        <f t="shared" si="98"/>
        <v>92</v>
      </c>
      <c r="CS37" s="157" t="str">
        <f t="shared" si="99"/>
        <v/>
      </c>
      <c r="CT37" s="192">
        <f t="shared" si="100"/>
        <v>92</v>
      </c>
      <c r="CU37" s="153">
        <f t="shared" si="101"/>
        <v>0</v>
      </c>
      <c r="CV37" s="154">
        <f t="shared" si="102"/>
        <v>0</v>
      </c>
      <c r="CW37" s="154">
        <f t="shared" si="103"/>
        <v>100</v>
      </c>
      <c r="CX37" s="154" t="str">
        <f t="shared" si="104"/>
        <v/>
      </c>
      <c r="CY37" s="154">
        <f t="shared" si="176"/>
        <v>200</v>
      </c>
      <c r="CZ37" s="153" t="str">
        <f t="shared" si="105"/>
        <v/>
      </c>
      <c r="DA37" s="154" t="str">
        <f t="shared" si="106"/>
        <v>P</v>
      </c>
      <c r="DB37" s="153" t="str">
        <f t="shared" si="107"/>
        <v>III</v>
      </c>
      <c r="DC37" s="154">
        <f t="shared" si="108"/>
        <v>0</v>
      </c>
      <c r="DD37" s="826" t="str">
        <f>IF('Marks Entry'!AS37="","",IF(OR('Master Sheet'!$D$19="YES",'Marks Entry'!$BA$1=1),'Marks Entry'!AS37,""))</f>
        <v/>
      </c>
      <c r="DE37" s="826" t="str">
        <f>IF('Marks Entry'!AT37="","",IF(OR('Master Sheet'!$D$19="YES",'Marks Entry'!$BA$1=1),'Marks Entry'!AT37,""))</f>
        <v/>
      </c>
      <c r="DF37" s="826" t="str">
        <f>IF('Marks Entry'!AU37="","",IF(OR('Master Sheet'!$D$19="YES",'Marks Entry'!$BA$1=1),'Marks Entry'!AU37,""))</f>
        <v/>
      </c>
      <c r="DG37" s="826" t="str">
        <f>IF('Marks Entry'!AV37="","",IF(OR('Master Sheet'!$D$19="YES",'Marks Entry'!$BA$1=1),'Marks Entry'!AV37,""))</f>
        <v/>
      </c>
      <c r="DH37" s="827" t="str">
        <f t="shared" si="109"/>
        <v/>
      </c>
      <c r="DI37" s="826" t="str">
        <f>IF('Marks Entry'!AW37="","",IF(OR('Master Sheet'!$D$19="YES",'Marks Entry'!$BA$1=1),'Marks Entry'!AW37,""))</f>
        <v/>
      </c>
      <c r="DJ37" s="826" t="str">
        <f>IF('Marks Entry'!AX37="","",IF(OR('Master Sheet'!$D$19="YES",'Marks Entry'!$BA$1=1),'Marks Entry'!AX37,""))</f>
        <v/>
      </c>
      <c r="DK37" s="827" t="str">
        <f t="shared" si="110"/>
        <v/>
      </c>
      <c r="DL37" s="827" t="str">
        <f t="shared" si="111"/>
        <v/>
      </c>
      <c r="DM37" s="826" t="str">
        <f>IF('Marks Entry'!AY37="","",IF(OR('Master Sheet'!$D$19="YES",'Marks Entry'!$BA$1=1),'Marks Entry'!AY37,""))</f>
        <v/>
      </c>
      <c r="DN37" s="826" t="str">
        <f>IF('Marks Entry'!AZ37="","",IF(OR('Master Sheet'!$D$19="YES",'Marks Entry'!$BA$1=1),'Marks Entry'!AZ37,""))</f>
        <v/>
      </c>
      <c r="DO37" s="826" t="str">
        <f>IF('Marks Entry'!BA37="","",IF(OR('Master Sheet'!$D$19="YES",'Marks Entry'!$BA$1=1),'Marks Entry'!BA37,""))</f>
        <v/>
      </c>
      <c r="DP37" s="827" t="str">
        <f t="shared" si="112"/>
        <v/>
      </c>
      <c r="DQ37" s="157" t="str">
        <f t="shared" si="113"/>
        <v/>
      </c>
      <c r="DR37" s="157" t="str">
        <f t="shared" si="114"/>
        <v/>
      </c>
      <c r="DS37" s="157" t="str">
        <f t="shared" si="115"/>
        <v/>
      </c>
      <c r="DT37" s="192" t="str">
        <f t="shared" si="116"/>
        <v/>
      </c>
      <c r="DU37" s="153">
        <f t="shared" si="117"/>
        <v>0</v>
      </c>
      <c r="DV37" s="154" t="e">
        <f t="shared" si="118"/>
        <v>#VALUE!</v>
      </c>
      <c r="DW37" s="154" t="str">
        <f t="shared" si="119"/>
        <v/>
      </c>
      <c r="DX37" s="154" t="str">
        <f>IF(OR($B37="NSO",$B37=0,DS37=""),"",IF(AND(DJ37="",DO37=""),"",IF('Master Sheet'!$D$19="YES",$DO$6-COUNTIF(DO37,"ML")*DO$6,DS$6-(COUNTIF(DJ37,"ML")*DJ$6)-(COUNTIF(DO37,"ML")*DO$6))))</f>
        <v/>
      </c>
      <c r="DY37" s="154" t="str">
        <f>IF(OR($B37="NSO",$B37=0),"",IF(AND(DH37="",DI37="",DM37=""),"",IF(AND('Master Sheet'!$D$19="YES",'Marks Entry'!$BA$1=1),100,IF(AND(DJ37="",DO37=""),SUM(($DQ$7+$DR$7)-(DU37+DV37)),SUM(($DQ$6+$DR$6)-(DU37+DV37))))))</f>
        <v/>
      </c>
      <c r="DZ37" s="153" t="str">
        <f t="shared" si="120"/>
        <v/>
      </c>
      <c r="EA37" s="154" t="str">
        <f t="shared" si="121"/>
        <v/>
      </c>
      <c r="EB37" s="153" t="str">
        <f t="shared" si="122"/>
        <v/>
      </c>
      <c r="EC37" s="584">
        <f>IF('Marks Entry'!BB37="","",'Marks Entry'!BB37)</f>
        <v>20</v>
      </c>
      <c r="ED37" s="584">
        <f>IF('Marks Entry'!BC37="","",'Marks Entry'!BC37)</f>
        <v>30</v>
      </c>
      <c r="EE37" s="584">
        <f>IF('Marks Entry'!BD37="","",'Marks Entry'!BD37)</f>
        <v>32</v>
      </c>
      <c r="EF37" s="590">
        <f t="shared" si="123"/>
        <v>82</v>
      </c>
      <c r="EG37" s="595">
        <f t="shared" si="124"/>
        <v>0</v>
      </c>
      <c r="EH37" s="595">
        <f t="shared" si="125"/>
        <v>0</v>
      </c>
      <c r="EI37" s="193">
        <f t="shared" si="126"/>
        <v>100</v>
      </c>
      <c r="EJ37" s="595" t="str">
        <f t="shared" si="127"/>
        <v/>
      </c>
      <c r="EK37" s="595" t="str">
        <f t="shared" si="128"/>
        <v>A</v>
      </c>
      <c r="EL37" s="194" t="str">
        <f t="shared" si="129"/>
        <v/>
      </c>
      <c r="EM37" s="194" t="str">
        <f t="shared" si="130"/>
        <v/>
      </c>
      <c r="EN37" s="194" t="str">
        <f t="shared" si="131"/>
        <v>I</v>
      </c>
      <c r="EO37" s="194" t="str">
        <f t="shared" si="132"/>
        <v>I</v>
      </c>
      <c r="EP37" s="194" t="str">
        <f t="shared" si="133"/>
        <v>III</v>
      </c>
      <c r="EQ37" s="194" t="str">
        <f t="shared" si="134"/>
        <v/>
      </c>
      <c r="ER37" s="195">
        <f t="shared" si="135"/>
        <v>0</v>
      </c>
      <c r="ES37" s="195">
        <f t="shared" si="136"/>
        <v>0</v>
      </c>
      <c r="ET37" s="195">
        <f t="shared" si="137"/>
        <v>0</v>
      </c>
      <c r="EU37" s="195">
        <f t="shared" si="138"/>
        <v>0</v>
      </c>
      <c r="EV37" s="195">
        <f t="shared" si="139"/>
        <v>0</v>
      </c>
      <c r="EW37" s="195" t="str">
        <f t="shared" si="140"/>
        <v/>
      </c>
      <c r="EX37" s="196" t="str">
        <f t="shared" si="141"/>
        <v/>
      </c>
      <c r="EY37" s="197">
        <f>IF('Marks Entry'!BE37="","",'Marks Entry'!BE37)</f>
        <v>7</v>
      </c>
      <c r="EZ37" s="197">
        <f>IF('Marks Entry'!BF37="","",'Marks Entry'!BF37)</f>
        <v>7</v>
      </c>
      <c r="FA37" s="197">
        <f>IF('Marks Entry'!BG37="","",'Marks Entry'!BG37)</f>
        <v>7</v>
      </c>
      <c r="FB37" s="596">
        <f t="shared" si="142"/>
        <v>21</v>
      </c>
      <c r="FC37" s="197">
        <f>IF('Marks Entry'!BH37="","",'Marks Entry'!BH37)</f>
        <v>41</v>
      </c>
      <c r="FD37" s="197">
        <f>IF('Marks Entry'!BI37="","",'Marks Entry'!BI37)</f>
        <v>70</v>
      </c>
      <c r="FE37" s="198">
        <f t="shared" si="143"/>
        <v>132</v>
      </c>
      <c r="FF37" s="199" t="str">
        <f t="shared" si="144"/>
        <v>B</v>
      </c>
      <c r="FG37" s="200" t="str">
        <f>IF(AND(E37=""),"",IF('Student DATA Entry'!L33="","",'Student DATA Entry'!L33))</f>
        <v/>
      </c>
      <c r="FH37" s="201" t="str">
        <f>IF(AND(E37=""),"",IF('Student DATA Entry'!M33="","",'Student DATA Entry'!M33))</f>
        <v/>
      </c>
      <c r="FI37" s="202" t="str">
        <f t="shared" si="145"/>
        <v/>
      </c>
      <c r="FJ37" s="189" t="str">
        <f t="shared" si="146"/>
        <v/>
      </c>
      <c r="FK37" s="189" t="str">
        <f t="shared" si="147"/>
        <v/>
      </c>
      <c r="FL37" s="203" t="str">
        <f t="shared" si="19"/>
        <v/>
      </c>
      <c r="FM37" s="189" t="str">
        <f t="shared" si="148"/>
        <v/>
      </c>
      <c r="FN37" s="204" t="str">
        <f t="shared" si="149"/>
        <v/>
      </c>
      <c r="FO37" s="203" t="str">
        <f t="shared" si="20"/>
        <v/>
      </c>
      <c r="FP37" s="205" t="str">
        <f t="shared" si="150"/>
        <v>I</v>
      </c>
      <c r="FQ37" s="189" t="str">
        <f t="shared" si="21"/>
        <v/>
      </c>
      <c r="FR37" s="189" t="str">
        <f t="shared" si="22"/>
        <v>I</v>
      </c>
      <c r="FS37" s="189" t="str">
        <f t="shared" si="23"/>
        <v/>
      </c>
      <c r="FT37" s="189" t="str">
        <f t="shared" si="24"/>
        <v/>
      </c>
      <c r="FU37" s="189" t="str">
        <f t="shared" si="151"/>
        <v/>
      </c>
      <c r="FV37" s="206" t="str">
        <f t="shared" si="25"/>
        <v/>
      </c>
      <c r="FW37" s="205" t="str">
        <f t="shared" si="152"/>
        <v>I</v>
      </c>
      <c r="FX37" s="189" t="str">
        <f t="shared" si="26"/>
        <v/>
      </c>
      <c r="FY37" s="189" t="str">
        <f t="shared" si="27"/>
        <v>I</v>
      </c>
      <c r="FZ37" s="189" t="str">
        <f t="shared" si="28"/>
        <v/>
      </c>
      <c r="GA37" s="189" t="str">
        <f t="shared" si="29"/>
        <v/>
      </c>
      <c r="GB37" s="189" t="str">
        <f t="shared" si="153"/>
        <v/>
      </c>
      <c r="GC37" s="206" t="str">
        <f t="shared" si="30"/>
        <v/>
      </c>
      <c r="GD37" s="205" t="str">
        <f t="shared" si="154"/>
        <v>III</v>
      </c>
      <c r="GE37" s="189" t="str">
        <f t="shared" si="31"/>
        <v/>
      </c>
      <c r="GF37" s="189" t="str">
        <f t="shared" si="32"/>
        <v>III</v>
      </c>
      <c r="GG37" s="189" t="str">
        <f t="shared" si="33"/>
        <v/>
      </c>
      <c r="GH37" s="189" t="str">
        <f t="shared" si="34"/>
        <v/>
      </c>
      <c r="GI37" s="189" t="str">
        <f t="shared" si="155"/>
        <v/>
      </c>
      <c r="GJ37" s="206" t="str">
        <f t="shared" si="35"/>
        <v/>
      </c>
      <c r="GK37" s="205" t="str">
        <f t="shared" si="156"/>
        <v/>
      </c>
      <c r="GL37" s="189" t="str">
        <f t="shared" si="36"/>
        <v/>
      </c>
      <c r="GM37" s="189" t="str">
        <f t="shared" si="37"/>
        <v/>
      </c>
      <c r="GN37" s="189" t="str">
        <f t="shared" si="38"/>
        <v/>
      </c>
      <c r="GO37" s="189" t="str">
        <f t="shared" si="39"/>
        <v/>
      </c>
      <c r="GP37" s="189" t="str">
        <f t="shared" si="157"/>
        <v/>
      </c>
      <c r="GQ37" s="206" t="str">
        <f t="shared" si="40"/>
        <v/>
      </c>
      <c r="GR37" s="189" t="str">
        <f t="shared" si="158"/>
        <v>A</v>
      </c>
      <c r="GS37" s="189" t="str">
        <f t="shared" si="159"/>
        <v>B</v>
      </c>
      <c r="GT37" s="207" t="str">
        <f t="shared" si="177"/>
        <v xml:space="preserve">    </v>
      </c>
      <c r="GU37" s="207" t="str">
        <f t="shared" si="160"/>
        <v xml:space="preserve">    </v>
      </c>
      <c r="GV37" s="207" t="str">
        <f t="shared" si="161"/>
        <v xml:space="preserve">    </v>
      </c>
      <c r="GW37" s="207" t="str">
        <f t="shared" si="162"/>
        <v xml:space="preserve">       </v>
      </c>
      <c r="GX37" s="598" t="str">
        <f t="shared" si="163"/>
        <v xml:space="preserve">     </v>
      </c>
      <c r="GY37" s="208" t="str">
        <f t="shared" si="164"/>
        <v/>
      </c>
      <c r="GZ37" s="606">
        <f>IF(AND(Q37="",AE37="",AZ37="",BW37="",CT37=""),"",IF(AND('Master Sheet'!$D$19="YES",'Marks Entry'!$BA$1=1),SUM(Q37,AE37,AZ37,BW37,DT37),SUM(Q37,AE37,AZ37,BW37,CT37)))</f>
        <v>573</v>
      </c>
      <c r="HA37" s="209">
        <f>IF(GZ37="","",IF(AND('Master Sheet'!$D$19="YES",'Marks Entry'!$BA$1=1),GZ37/((900)-DC37)*100,GZ37/((1000)-DC37)*100))</f>
        <v>57.3</v>
      </c>
      <c r="HB37" s="611" t="str">
        <f t="shared" si="165"/>
        <v/>
      </c>
      <c r="HC37" s="609" t="str">
        <f t="shared" si="166"/>
        <v/>
      </c>
      <c r="HD37" s="610" t="str">
        <f t="shared" si="167"/>
        <v/>
      </c>
      <c r="HE37" s="210" t="str">
        <f>IFERROR(IF(OR(GY37="SUPPLEMENTARY",GY37="RE-EXAM"),'Supp. Result Entry'!AS36,""),"")</f>
        <v/>
      </c>
      <c r="HF37" s="613" t="str">
        <f t="shared" si="168"/>
        <v/>
      </c>
      <c r="HG37" s="598" t="str">
        <f t="shared" si="169"/>
        <v/>
      </c>
      <c r="HH37" s="598" t="str">
        <f>IF(AND(HE37="",HF37="",HG37=""),"",IF(OR(GY37="SUPPLEMENTARY",GY37="RE-EXAM"),'Supp. Result Entry'!AS36,GY37))</f>
        <v/>
      </c>
      <c r="HI37" s="180"/>
      <c r="HY37" s="212" t="str">
        <f>IF('Supp. Result Entry'!U36="","",'Supp. Result Entry'!$U$6)</f>
        <v/>
      </c>
      <c r="HZ37" s="213" t="str">
        <f>IF('Supp. Result Entry'!X36="","",'Supp. Result Entry'!$X$6)</f>
        <v/>
      </c>
      <c r="IA37" s="213" t="str">
        <f>IF('Supp. Result Entry'!AA36="","",'Supp. Result Entry'!$AA$6)</f>
        <v/>
      </c>
      <c r="IB37" s="213" t="str">
        <f>IF('Supp. Result Entry'!AD36="","",'Supp. Result Entry'!$AD$6)</f>
        <v/>
      </c>
      <c r="IC37" s="213" t="str">
        <f>IF('Supp. Result Entry'!AG36="","",'Supp. Result Entry'!$AG$6)</f>
        <v/>
      </c>
      <c r="ID37" s="213" t="str">
        <f>IF('Supp. Result Entry'!AJ36="","",'Supp. Result Entry'!$AJ$6)</f>
        <v/>
      </c>
      <c r="IE37" s="213" t="str">
        <f>IF('Supp. Result Entry'!V36="","",'Supp. Result Entry'!V36)</f>
        <v/>
      </c>
      <c r="IF37" s="213" t="str">
        <f>IF('Supp. Result Entry'!Y36="","",'Supp. Result Entry'!Y36)</f>
        <v/>
      </c>
      <c r="IG37" s="213" t="str">
        <f>IF('Supp. Result Entry'!AB36="","",'Supp. Result Entry'!AB36)</f>
        <v/>
      </c>
      <c r="IH37" s="213" t="str">
        <f>IF('Supp. Result Entry'!AE36="","",'Supp. Result Entry'!AE36)</f>
        <v/>
      </c>
      <c r="II37" s="213" t="str">
        <f>IF('Supp. Result Entry'!AH36="","",'Supp. Result Entry'!AH36)</f>
        <v/>
      </c>
      <c r="IJ37" s="213" t="str">
        <f>IF('Supp. Result Entry'!AK36="","",'Supp. Result Entry'!AK36)</f>
        <v/>
      </c>
      <c r="IK37" s="213" t="str">
        <f>IF('Supp. Result Entry'!W36="","",'Supp. Result Entry'!W36)</f>
        <v/>
      </c>
      <c r="IL37" s="213" t="str">
        <f>IF('Supp. Result Entry'!Z36="","",'Supp. Result Entry'!Z36)</f>
        <v/>
      </c>
      <c r="IM37" s="213" t="str">
        <f>IF('Supp. Result Entry'!AC36="","",'Supp. Result Entry'!AC36)</f>
        <v/>
      </c>
      <c r="IN37" s="213" t="str">
        <f>IF('Supp. Result Entry'!AF36="","",'Supp. Result Entry'!AF36)</f>
        <v/>
      </c>
      <c r="IO37" s="213" t="str">
        <f>IF('Supp. Result Entry'!AI36="","",'Supp. Result Entry'!AI36)</f>
        <v/>
      </c>
      <c r="IP37" s="213" t="str">
        <f>IF('Supp. Result Entry'!AL36="","",'Supp. Result Entry'!AL36)</f>
        <v/>
      </c>
      <c r="IQ37" s="213">
        <f>COUNTIF('Supp. Result Entry'!K36:Q36,"S")</f>
        <v>0</v>
      </c>
      <c r="IR37" s="213">
        <f t="shared" si="170"/>
        <v>0</v>
      </c>
      <c r="IS37" s="213">
        <f t="shared" si="171"/>
        <v>0</v>
      </c>
      <c r="IT37" s="213" t="str">
        <f t="shared" si="41"/>
        <v/>
      </c>
      <c r="IU37" s="213" t="str">
        <f t="shared" si="42"/>
        <v/>
      </c>
      <c r="IV37" s="213" t="str">
        <f t="shared" si="43"/>
        <v/>
      </c>
      <c r="IW37" s="213" t="str">
        <f t="shared" si="44"/>
        <v/>
      </c>
      <c r="IX37" s="213" t="str">
        <f t="shared" si="45"/>
        <v/>
      </c>
      <c r="IY37" s="213" t="str">
        <f t="shared" si="172"/>
        <v/>
      </c>
      <c r="IZ37" s="213" t="str">
        <f t="shared" si="173"/>
        <v/>
      </c>
      <c r="JA37" s="213" t="str">
        <f t="shared" si="46"/>
        <v/>
      </c>
      <c r="JB37" s="211" t="str">
        <f t="shared" si="174"/>
        <v/>
      </c>
    </row>
    <row r="38" spans="1:262" s="211" customFormat="1" ht="21" customHeight="1">
      <c r="A38" s="184">
        <v>31</v>
      </c>
      <c r="B38" s="185" t="str">
        <f>IF('Marks Entry'!B38="","",'Marks Entry'!B38)</f>
        <v/>
      </c>
      <c r="C38" s="186" t="str">
        <f>IF('Marks Entry'!D38="","",'Marks Entry'!D38)</f>
        <v/>
      </c>
      <c r="D38" s="187" t="str">
        <f>IF('Marks Entry'!E38="","",'Marks Entry'!E38)</f>
        <v/>
      </c>
      <c r="E38" s="188" t="str">
        <f>IF('Marks Entry'!F38="","",'Marks Entry'!F38)</f>
        <v/>
      </c>
      <c r="F38" s="188" t="str">
        <f>IF('Marks Entry'!G38="","",'Marks Entry'!G38)</f>
        <v/>
      </c>
      <c r="G38" s="188" t="str">
        <f>IF('Marks Entry'!H38="","",'Marks Entry'!H38)</f>
        <v/>
      </c>
      <c r="H38" s="189" t="str">
        <f>IF('Marks Entry'!I38="","",'Marks Entry'!I38)</f>
        <v/>
      </c>
      <c r="I38" s="190" t="str">
        <f>IF('Marks Entry'!J38="","",'Marks Entry'!J38)</f>
        <v/>
      </c>
      <c r="J38" s="545" t="str">
        <f>IF('Marks Entry'!K38="","",'Marks Entry'!K38)</f>
        <v/>
      </c>
      <c r="K38" s="545" t="str">
        <f>IF('Marks Entry'!L38="","",'Marks Entry'!L38)</f>
        <v/>
      </c>
      <c r="L38" s="545" t="str">
        <f>IF('Marks Entry'!M38="","",'Marks Entry'!M38)</f>
        <v/>
      </c>
      <c r="M38" s="546" t="str">
        <f t="shared" si="47"/>
        <v/>
      </c>
      <c r="N38" s="545" t="str">
        <f>IF('Marks Entry'!N38="","",'Marks Entry'!N38)</f>
        <v/>
      </c>
      <c r="O38" s="546" t="str">
        <f t="shared" si="48"/>
        <v/>
      </c>
      <c r="P38" s="545" t="str">
        <f>IF('Marks Entry'!O38="","",'Marks Entry'!O38)</f>
        <v/>
      </c>
      <c r="Q38" s="547" t="str">
        <f t="shared" si="49"/>
        <v/>
      </c>
      <c r="R38" s="153">
        <f t="shared" si="50"/>
        <v>0</v>
      </c>
      <c r="S38" s="153">
        <f t="shared" si="51"/>
        <v>0</v>
      </c>
      <c r="T38" s="154" t="str">
        <f t="shared" si="52"/>
        <v/>
      </c>
      <c r="U38" s="153" t="str">
        <f t="shared" si="53"/>
        <v/>
      </c>
      <c r="V38" s="153" t="str">
        <f t="shared" si="54"/>
        <v/>
      </c>
      <c r="W38" s="153" t="str">
        <f t="shared" si="55"/>
        <v/>
      </c>
      <c r="X38" s="545" t="str">
        <f>IF('Marks Entry'!P38="","",'Marks Entry'!P38)</f>
        <v/>
      </c>
      <c r="Y38" s="545" t="str">
        <f>IF('Marks Entry'!Q38="","",'Marks Entry'!Q38)</f>
        <v/>
      </c>
      <c r="Z38" s="545" t="str">
        <f>IF('Marks Entry'!R38="","",'Marks Entry'!R38)</f>
        <v/>
      </c>
      <c r="AA38" s="546" t="str">
        <f t="shared" si="56"/>
        <v/>
      </c>
      <c r="AB38" s="545" t="str">
        <f>IF('Marks Entry'!S38="","",'Marks Entry'!S38)</f>
        <v/>
      </c>
      <c r="AC38" s="546" t="str">
        <f t="shared" si="57"/>
        <v/>
      </c>
      <c r="AD38" s="545" t="str">
        <f>IF('Marks Entry'!T38="","",'Marks Entry'!T38)</f>
        <v/>
      </c>
      <c r="AE38" s="547" t="str">
        <f t="shared" si="58"/>
        <v/>
      </c>
      <c r="AF38" s="153">
        <f t="shared" si="59"/>
        <v>0</v>
      </c>
      <c r="AG38" s="153">
        <f t="shared" si="60"/>
        <v>0</v>
      </c>
      <c r="AH38" s="154" t="str">
        <f t="shared" si="61"/>
        <v/>
      </c>
      <c r="AI38" s="153" t="str">
        <f t="shared" si="62"/>
        <v/>
      </c>
      <c r="AJ38" s="153" t="str">
        <f t="shared" si="63"/>
        <v/>
      </c>
      <c r="AK38" s="153" t="str">
        <f t="shared" si="64"/>
        <v/>
      </c>
      <c r="AL38" s="573" t="str">
        <f>IF('Marks Entry'!U38="","",'Marks Entry'!U38)</f>
        <v/>
      </c>
      <c r="AM38" s="573" t="str">
        <f>IF('Marks Entry'!V38="","",'Marks Entry'!V38)</f>
        <v/>
      </c>
      <c r="AN38" s="573" t="str">
        <f>IF('Marks Entry'!W38="","",'Marks Entry'!W38)</f>
        <v/>
      </c>
      <c r="AO38" s="573" t="str">
        <f>IF('Marks Entry'!X38="","",'Marks Entry'!X38)</f>
        <v/>
      </c>
      <c r="AP38" s="572" t="str">
        <f t="shared" si="65"/>
        <v/>
      </c>
      <c r="AQ38" s="573" t="str">
        <f>IF('Marks Entry'!Y38="","",'Marks Entry'!Y38)</f>
        <v/>
      </c>
      <c r="AR38" s="573" t="str">
        <f>IF('Marks Entry'!Z38="","",'Marks Entry'!Z38)</f>
        <v/>
      </c>
      <c r="AS38" s="572" t="str">
        <f t="shared" si="66"/>
        <v/>
      </c>
      <c r="AT38" s="572" t="str">
        <f t="shared" si="67"/>
        <v/>
      </c>
      <c r="AU38" s="573" t="str">
        <f>IF('Marks Entry'!AA38="","",'Marks Entry'!AA38)</f>
        <v/>
      </c>
      <c r="AV38" s="573" t="str">
        <f>IF('Marks Entry'!AB38="","",'Marks Entry'!AB38)</f>
        <v/>
      </c>
      <c r="AW38" s="572" t="str">
        <f t="shared" si="68"/>
        <v/>
      </c>
      <c r="AX38" s="157" t="str">
        <f t="shared" si="69"/>
        <v/>
      </c>
      <c r="AY38" s="157" t="str">
        <f t="shared" si="70"/>
        <v/>
      </c>
      <c r="AZ38" s="192" t="str">
        <f t="shared" si="71"/>
        <v/>
      </c>
      <c r="BA38" s="153">
        <f t="shared" si="72"/>
        <v>0</v>
      </c>
      <c r="BB38" s="154">
        <f t="shared" si="73"/>
        <v>0</v>
      </c>
      <c r="BC38" s="154" t="str">
        <f t="shared" si="74"/>
        <v/>
      </c>
      <c r="BD38" s="154" t="str">
        <f t="shared" si="75"/>
        <v/>
      </c>
      <c r="BE38" s="154" t="str">
        <f t="shared" si="76"/>
        <v/>
      </c>
      <c r="BF38" s="153" t="str">
        <f t="shared" si="77"/>
        <v/>
      </c>
      <c r="BG38" s="154" t="str">
        <f t="shared" si="175"/>
        <v/>
      </c>
      <c r="BH38" s="153" t="str">
        <f t="shared" si="78"/>
        <v/>
      </c>
      <c r="BI38" s="580" t="str">
        <f>IF('Marks Entry'!AC38="","",'Marks Entry'!AC38)</f>
        <v/>
      </c>
      <c r="BJ38" s="580" t="str">
        <f>IF('Marks Entry'!AD38="","",'Marks Entry'!AD38)</f>
        <v/>
      </c>
      <c r="BK38" s="580" t="str">
        <f>IF('Marks Entry'!AE38="","",'Marks Entry'!AE38)</f>
        <v/>
      </c>
      <c r="BL38" s="580" t="str">
        <f>IF('Marks Entry'!AF38="","",'Marks Entry'!AF38)</f>
        <v/>
      </c>
      <c r="BM38" s="581" t="str">
        <f t="shared" si="79"/>
        <v/>
      </c>
      <c r="BN38" s="580" t="str">
        <f>IF('Marks Entry'!AG38="","",'Marks Entry'!AG38)</f>
        <v/>
      </c>
      <c r="BO38" s="580" t="str">
        <f>IF('Marks Entry'!AH38="","",'Marks Entry'!AH38)</f>
        <v/>
      </c>
      <c r="BP38" s="581" t="str">
        <f t="shared" si="80"/>
        <v/>
      </c>
      <c r="BQ38" s="581" t="str">
        <f t="shared" si="81"/>
        <v/>
      </c>
      <c r="BR38" s="580" t="str">
        <f>IF('Marks Entry'!AI38="","",'Marks Entry'!AI38)</f>
        <v/>
      </c>
      <c r="BS38" s="580" t="str">
        <f>IF('Marks Entry'!AJ38="","",'Marks Entry'!AJ38)</f>
        <v/>
      </c>
      <c r="BT38" s="581" t="str">
        <f t="shared" si="82"/>
        <v/>
      </c>
      <c r="BU38" s="157" t="str">
        <f t="shared" si="83"/>
        <v/>
      </c>
      <c r="BV38" s="157" t="str">
        <f t="shared" si="84"/>
        <v/>
      </c>
      <c r="BW38" s="192" t="str">
        <f t="shared" si="85"/>
        <v/>
      </c>
      <c r="BX38" s="153">
        <f t="shared" si="86"/>
        <v>0</v>
      </c>
      <c r="BY38" s="154">
        <f t="shared" si="87"/>
        <v>0</v>
      </c>
      <c r="BZ38" s="154" t="str">
        <f t="shared" si="88"/>
        <v/>
      </c>
      <c r="CA38" s="154" t="str">
        <f t="shared" si="89"/>
        <v/>
      </c>
      <c r="CB38" s="154" t="str">
        <f t="shared" si="90"/>
        <v/>
      </c>
      <c r="CC38" s="153" t="str">
        <f t="shared" si="91"/>
        <v/>
      </c>
      <c r="CD38" s="154" t="str">
        <f t="shared" si="92"/>
        <v/>
      </c>
      <c r="CE38" s="153" t="str">
        <f t="shared" si="93"/>
        <v/>
      </c>
      <c r="CF38" s="580" t="str">
        <f>IF('Marks Entry'!AK38="","",'Marks Entry'!AK38)</f>
        <v/>
      </c>
      <c r="CG38" s="580" t="str">
        <f>IF('Marks Entry'!AL38="","",'Marks Entry'!AL38)</f>
        <v/>
      </c>
      <c r="CH38" s="580" t="str">
        <f>IF('Marks Entry'!AM38="","",'Marks Entry'!AM38)</f>
        <v/>
      </c>
      <c r="CI38" s="580" t="str">
        <f>IF('Marks Entry'!AN38="","",'Marks Entry'!AN38)</f>
        <v/>
      </c>
      <c r="CJ38" s="581" t="str">
        <f t="shared" si="94"/>
        <v/>
      </c>
      <c r="CK38" s="580" t="str">
        <f>IF('Marks Entry'!AO38="","",'Marks Entry'!AO38)</f>
        <v/>
      </c>
      <c r="CL38" s="580" t="str">
        <f>IF('Marks Entry'!AP38="","",'Marks Entry'!AP38)</f>
        <v/>
      </c>
      <c r="CM38" s="581" t="str">
        <f t="shared" si="95"/>
        <v/>
      </c>
      <c r="CN38" s="581" t="str">
        <f t="shared" si="96"/>
        <v/>
      </c>
      <c r="CO38" s="580" t="str">
        <f>IF('Marks Entry'!AQ38="","",'Marks Entry'!AQ38)</f>
        <v/>
      </c>
      <c r="CP38" s="580" t="str">
        <f>IF('Marks Entry'!AR38="","",'Marks Entry'!AR38)</f>
        <v/>
      </c>
      <c r="CQ38" s="581" t="str">
        <f t="shared" si="97"/>
        <v/>
      </c>
      <c r="CR38" s="157" t="str">
        <f t="shared" si="98"/>
        <v/>
      </c>
      <c r="CS38" s="157" t="str">
        <f t="shared" si="99"/>
        <v/>
      </c>
      <c r="CT38" s="192" t="str">
        <f t="shared" si="100"/>
        <v/>
      </c>
      <c r="CU38" s="153">
        <f t="shared" si="101"/>
        <v>0</v>
      </c>
      <c r="CV38" s="154">
        <f t="shared" si="102"/>
        <v>0</v>
      </c>
      <c r="CW38" s="154" t="str">
        <f t="shared" si="103"/>
        <v/>
      </c>
      <c r="CX38" s="154" t="str">
        <f t="shared" si="104"/>
        <v/>
      </c>
      <c r="CY38" s="154" t="str">
        <f t="shared" si="176"/>
        <v/>
      </c>
      <c r="CZ38" s="153" t="str">
        <f t="shared" si="105"/>
        <v/>
      </c>
      <c r="DA38" s="154" t="str">
        <f t="shared" si="106"/>
        <v/>
      </c>
      <c r="DB38" s="153" t="str">
        <f t="shared" si="107"/>
        <v/>
      </c>
      <c r="DC38" s="154">
        <f t="shared" si="108"/>
        <v>0</v>
      </c>
      <c r="DD38" s="826" t="str">
        <f>IF('Marks Entry'!AS38="","",IF(OR('Master Sheet'!$D$19="YES",'Marks Entry'!$BA$1=1),'Marks Entry'!AS38,""))</f>
        <v/>
      </c>
      <c r="DE38" s="826" t="str">
        <f>IF('Marks Entry'!AT38="","",IF(OR('Master Sheet'!$D$19="YES",'Marks Entry'!$BA$1=1),'Marks Entry'!AT38,""))</f>
        <v/>
      </c>
      <c r="DF38" s="826" t="str">
        <f>IF('Marks Entry'!AU38="","",IF(OR('Master Sheet'!$D$19="YES",'Marks Entry'!$BA$1=1),'Marks Entry'!AU38,""))</f>
        <v/>
      </c>
      <c r="DG38" s="826" t="str">
        <f>IF('Marks Entry'!AV38="","",IF(OR('Master Sheet'!$D$19="YES",'Marks Entry'!$BA$1=1),'Marks Entry'!AV38,""))</f>
        <v/>
      </c>
      <c r="DH38" s="827" t="str">
        <f t="shared" si="109"/>
        <v/>
      </c>
      <c r="DI38" s="826" t="str">
        <f>IF('Marks Entry'!AW38="","",IF(OR('Master Sheet'!$D$19="YES",'Marks Entry'!$BA$1=1),'Marks Entry'!AW38,""))</f>
        <v/>
      </c>
      <c r="DJ38" s="826" t="str">
        <f>IF('Marks Entry'!AX38="","",IF(OR('Master Sheet'!$D$19="YES",'Marks Entry'!$BA$1=1),'Marks Entry'!AX38,""))</f>
        <v/>
      </c>
      <c r="DK38" s="827" t="str">
        <f t="shared" si="110"/>
        <v/>
      </c>
      <c r="DL38" s="827" t="str">
        <f t="shared" si="111"/>
        <v/>
      </c>
      <c r="DM38" s="826" t="str">
        <f>IF('Marks Entry'!AY38="","",IF(OR('Master Sheet'!$D$19="YES",'Marks Entry'!$BA$1=1),'Marks Entry'!AY38,""))</f>
        <v/>
      </c>
      <c r="DN38" s="826" t="str">
        <f>IF('Marks Entry'!AZ38="","",IF(OR('Master Sheet'!$D$19="YES",'Marks Entry'!$BA$1=1),'Marks Entry'!AZ38,""))</f>
        <v/>
      </c>
      <c r="DO38" s="826" t="str">
        <f>IF('Marks Entry'!BA38="","",IF(OR('Master Sheet'!$D$19="YES",'Marks Entry'!$BA$1=1),'Marks Entry'!BA38,""))</f>
        <v/>
      </c>
      <c r="DP38" s="827" t="str">
        <f t="shared" si="112"/>
        <v/>
      </c>
      <c r="DQ38" s="157" t="str">
        <f t="shared" si="113"/>
        <v/>
      </c>
      <c r="DR38" s="157" t="str">
        <f t="shared" si="114"/>
        <v/>
      </c>
      <c r="DS38" s="157" t="str">
        <f t="shared" si="115"/>
        <v/>
      </c>
      <c r="DT38" s="192" t="str">
        <f t="shared" si="116"/>
        <v/>
      </c>
      <c r="DU38" s="153">
        <f t="shared" si="117"/>
        <v>0</v>
      </c>
      <c r="DV38" s="154" t="e">
        <f t="shared" si="118"/>
        <v>#VALUE!</v>
      </c>
      <c r="DW38" s="154" t="str">
        <f t="shared" si="119"/>
        <v/>
      </c>
      <c r="DX38" s="154" t="str">
        <f>IF(OR($B38="NSO",$B38=0,DS38=""),"",IF(AND(DJ38="",DO38=""),"",IF('Master Sheet'!$D$19="YES",$DO$6-COUNTIF(DO38,"ML")*DO$6,DS$6-(COUNTIF(DJ38,"ML")*DJ$6)-(COUNTIF(DO38,"ML")*DO$6))))</f>
        <v/>
      </c>
      <c r="DY38" s="154" t="str">
        <f>IF(OR($B38="NSO",$B38=0),"",IF(AND(DH38="",DI38="",DM38=""),"",IF(AND('Master Sheet'!$D$19="YES",'Marks Entry'!$BA$1=1),100,IF(AND(DJ38="",DO38=""),SUM(($DQ$7+$DR$7)-(DU38+DV38)),SUM(($DQ$6+$DR$6)-(DU38+DV38))))))</f>
        <v/>
      </c>
      <c r="DZ38" s="153" t="str">
        <f t="shared" si="120"/>
        <v/>
      </c>
      <c r="EA38" s="154" t="str">
        <f t="shared" si="121"/>
        <v/>
      </c>
      <c r="EB38" s="153" t="str">
        <f t="shared" si="122"/>
        <v/>
      </c>
      <c r="EC38" s="584" t="str">
        <f>IF('Marks Entry'!BB38="","",'Marks Entry'!BB38)</f>
        <v/>
      </c>
      <c r="ED38" s="584" t="str">
        <f>IF('Marks Entry'!BC38="","",'Marks Entry'!BC38)</f>
        <v/>
      </c>
      <c r="EE38" s="584" t="str">
        <f>IF('Marks Entry'!BD38="","",'Marks Entry'!BD38)</f>
        <v/>
      </c>
      <c r="EF38" s="590" t="str">
        <f t="shared" si="123"/>
        <v/>
      </c>
      <c r="EG38" s="595">
        <f t="shared" si="124"/>
        <v>0</v>
      </c>
      <c r="EH38" s="595">
        <f t="shared" si="125"/>
        <v>0</v>
      </c>
      <c r="EI38" s="193" t="str">
        <f t="shared" si="126"/>
        <v/>
      </c>
      <c r="EJ38" s="595" t="str">
        <f t="shared" si="127"/>
        <v/>
      </c>
      <c r="EK38" s="595" t="str">
        <f t="shared" si="128"/>
        <v/>
      </c>
      <c r="EL38" s="194" t="str">
        <f t="shared" si="129"/>
        <v/>
      </c>
      <c r="EM38" s="194" t="str">
        <f t="shared" si="130"/>
        <v/>
      </c>
      <c r="EN38" s="194" t="str">
        <f t="shared" si="131"/>
        <v/>
      </c>
      <c r="EO38" s="194" t="str">
        <f t="shared" si="132"/>
        <v/>
      </c>
      <c r="EP38" s="194" t="str">
        <f t="shared" si="133"/>
        <v/>
      </c>
      <c r="EQ38" s="194" t="str">
        <f t="shared" si="134"/>
        <v/>
      </c>
      <c r="ER38" s="195">
        <f t="shared" si="135"/>
        <v>0</v>
      </c>
      <c r="ES38" s="195">
        <f t="shared" si="136"/>
        <v>0</v>
      </c>
      <c r="ET38" s="195">
        <f t="shared" si="137"/>
        <v>0</v>
      </c>
      <c r="EU38" s="195">
        <f t="shared" si="138"/>
        <v>0</v>
      </c>
      <c r="EV38" s="195">
        <f t="shared" si="139"/>
        <v>0</v>
      </c>
      <c r="EW38" s="195" t="str">
        <f t="shared" si="140"/>
        <v/>
      </c>
      <c r="EX38" s="196" t="str">
        <f t="shared" si="141"/>
        <v/>
      </c>
      <c r="EY38" s="197">
        <f>IF('Marks Entry'!BE38="","",'Marks Entry'!BE38)</f>
        <v>7</v>
      </c>
      <c r="EZ38" s="197">
        <f>IF('Marks Entry'!BF38="","",'Marks Entry'!BF38)</f>
        <v>7</v>
      </c>
      <c r="FA38" s="197">
        <f>IF('Marks Entry'!BG38="","",'Marks Entry'!BG38)</f>
        <v>7</v>
      </c>
      <c r="FB38" s="596">
        <f t="shared" si="142"/>
        <v>21</v>
      </c>
      <c r="FC38" s="197">
        <f>IF('Marks Entry'!BH38="","",'Marks Entry'!BH38)</f>
        <v>41</v>
      </c>
      <c r="FD38" s="197">
        <f>IF('Marks Entry'!BI38="","",'Marks Entry'!BI38)</f>
        <v>70</v>
      </c>
      <c r="FE38" s="198">
        <f t="shared" si="143"/>
        <v>132</v>
      </c>
      <c r="FF38" s="199" t="str">
        <f t="shared" si="144"/>
        <v>B</v>
      </c>
      <c r="FG38" s="200" t="str">
        <f>IF(AND(E38=""),"",IF('Student DATA Entry'!L34="","",'Student DATA Entry'!L34))</f>
        <v/>
      </c>
      <c r="FH38" s="201" t="str">
        <f>IF(AND(E38=""),"",IF('Student DATA Entry'!M34="","",'Student DATA Entry'!M34))</f>
        <v/>
      </c>
      <c r="FI38" s="202" t="str">
        <f t="shared" si="145"/>
        <v/>
      </c>
      <c r="FJ38" s="189" t="str">
        <f t="shared" si="146"/>
        <v/>
      </c>
      <c r="FK38" s="189" t="str">
        <f t="shared" si="147"/>
        <v/>
      </c>
      <c r="FL38" s="203" t="str">
        <f t="shared" si="19"/>
        <v/>
      </c>
      <c r="FM38" s="189" t="str">
        <f t="shared" si="148"/>
        <v/>
      </c>
      <c r="FN38" s="204" t="str">
        <f t="shared" si="149"/>
        <v/>
      </c>
      <c r="FO38" s="203" t="str">
        <f t="shared" si="20"/>
        <v/>
      </c>
      <c r="FP38" s="205" t="str">
        <f t="shared" si="150"/>
        <v/>
      </c>
      <c r="FQ38" s="189" t="str">
        <f t="shared" si="21"/>
        <v/>
      </c>
      <c r="FR38" s="189" t="str">
        <f t="shared" si="22"/>
        <v/>
      </c>
      <c r="FS38" s="189" t="str">
        <f t="shared" si="23"/>
        <v/>
      </c>
      <c r="FT38" s="189" t="str">
        <f t="shared" si="24"/>
        <v/>
      </c>
      <c r="FU38" s="189" t="str">
        <f t="shared" si="151"/>
        <v/>
      </c>
      <c r="FV38" s="206" t="str">
        <f t="shared" si="25"/>
        <v/>
      </c>
      <c r="FW38" s="205" t="str">
        <f t="shared" si="152"/>
        <v/>
      </c>
      <c r="FX38" s="189" t="str">
        <f t="shared" si="26"/>
        <v/>
      </c>
      <c r="FY38" s="189" t="str">
        <f t="shared" si="27"/>
        <v/>
      </c>
      <c r="FZ38" s="189" t="str">
        <f t="shared" si="28"/>
        <v/>
      </c>
      <c r="GA38" s="189" t="str">
        <f t="shared" si="29"/>
        <v/>
      </c>
      <c r="GB38" s="189" t="str">
        <f t="shared" si="153"/>
        <v/>
      </c>
      <c r="GC38" s="206" t="str">
        <f t="shared" si="30"/>
        <v/>
      </c>
      <c r="GD38" s="205" t="str">
        <f t="shared" si="154"/>
        <v/>
      </c>
      <c r="GE38" s="189" t="str">
        <f t="shared" si="31"/>
        <v/>
      </c>
      <c r="GF38" s="189" t="str">
        <f t="shared" si="32"/>
        <v/>
      </c>
      <c r="GG38" s="189" t="str">
        <f t="shared" si="33"/>
        <v/>
      </c>
      <c r="GH38" s="189" t="str">
        <f t="shared" si="34"/>
        <v/>
      </c>
      <c r="GI38" s="189" t="str">
        <f t="shared" si="155"/>
        <v/>
      </c>
      <c r="GJ38" s="206" t="str">
        <f t="shared" si="35"/>
        <v/>
      </c>
      <c r="GK38" s="205" t="str">
        <f t="shared" si="156"/>
        <v/>
      </c>
      <c r="GL38" s="189" t="str">
        <f t="shared" si="36"/>
        <v/>
      </c>
      <c r="GM38" s="189" t="str">
        <f t="shared" si="37"/>
        <v/>
      </c>
      <c r="GN38" s="189" t="str">
        <f t="shared" si="38"/>
        <v/>
      </c>
      <c r="GO38" s="189" t="str">
        <f t="shared" si="39"/>
        <v/>
      </c>
      <c r="GP38" s="189" t="str">
        <f t="shared" si="157"/>
        <v/>
      </c>
      <c r="GQ38" s="206" t="str">
        <f t="shared" si="40"/>
        <v/>
      </c>
      <c r="GR38" s="189" t="str">
        <f t="shared" si="158"/>
        <v/>
      </c>
      <c r="GS38" s="189" t="str">
        <f t="shared" si="159"/>
        <v>B</v>
      </c>
      <c r="GT38" s="207" t="str">
        <f t="shared" si="177"/>
        <v xml:space="preserve">    </v>
      </c>
      <c r="GU38" s="207" t="str">
        <f t="shared" si="160"/>
        <v xml:space="preserve">    </v>
      </c>
      <c r="GV38" s="207" t="str">
        <f t="shared" si="161"/>
        <v xml:space="preserve">    </v>
      </c>
      <c r="GW38" s="207" t="str">
        <f t="shared" si="162"/>
        <v xml:space="preserve">       </v>
      </c>
      <c r="GX38" s="598" t="str">
        <f t="shared" si="163"/>
        <v xml:space="preserve">     </v>
      </c>
      <c r="GY38" s="208" t="str">
        <f t="shared" si="164"/>
        <v/>
      </c>
      <c r="GZ38" s="606" t="str">
        <f>IF(AND(Q38="",AE38="",AZ38="",BW38="",CT38=""),"",IF(AND('Master Sheet'!$D$19="YES",'Marks Entry'!$BA$1=1),SUM(Q38,AE38,AZ38,BW38,DT38),SUM(Q38,AE38,AZ38,BW38,CT38)))</f>
        <v/>
      </c>
      <c r="HA38" s="209" t="str">
        <f>IF(GZ38="","",IF(AND('Master Sheet'!$D$19="YES",'Marks Entry'!$BA$1=1),GZ38/((900)-DC38)*100,GZ38/((1000)-DC38)*100))</f>
        <v/>
      </c>
      <c r="HB38" s="611" t="str">
        <f t="shared" si="165"/>
        <v/>
      </c>
      <c r="HC38" s="609" t="str">
        <f t="shared" si="166"/>
        <v/>
      </c>
      <c r="HD38" s="610" t="str">
        <f t="shared" si="167"/>
        <v/>
      </c>
      <c r="HE38" s="210" t="str">
        <f>IFERROR(IF(OR(GY38="SUPPLEMENTARY",GY38="RE-EXAM"),'Supp. Result Entry'!AS37,""),"")</f>
        <v/>
      </c>
      <c r="HF38" s="613" t="str">
        <f t="shared" si="168"/>
        <v/>
      </c>
      <c r="HG38" s="598" t="str">
        <f t="shared" si="169"/>
        <v/>
      </c>
      <c r="HH38" s="598" t="str">
        <f>IF(AND(HE38="",HF38="",HG38=""),"",IF(OR(GY38="SUPPLEMENTARY",GY38="RE-EXAM"),'Supp. Result Entry'!AS37,GY38))</f>
        <v/>
      </c>
      <c r="HI38" s="180"/>
      <c r="HJ38" s="214"/>
      <c r="HY38" s="212" t="str">
        <f>IF('Supp. Result Entry'!U37="","",'Supp. Result Entry'!$U$6)</f>
        <v/>
      </c>
      <c r="HZ38" s="213" t="str">
        <f>IF('Supp. Result Entry'!X37="","",'Supp. Result Entry'!$X$6)</f>
        <v/>
      </c>
      <c r="IA38" s="213" t="str">
        <f>IF('Supp. Result Entry'!AA37="","",'Supp. Result Entry'!$AA$6)</f>
        <v/>
      </c>
      <c r="IB38" s="213" t="str">
        <f>IF('Supp. Result Entry'!AD37="","",'Supp. Result Entry'!$AD$6)</f>
        <v/>
      </c>
      <c r="IC38" s="213" t="str">
        <f>IF('Supp. Result Entry'!AG37="","",'Supp. Result Entry'!$AG$6)</f>
        <v/>
      </c>
      <c r="ID38" s="213" t="str">
        <f>IF('Supp. Result Entry'!AJ37="","",'Supp. Result Entry'!$AJ$6)</f>
        <v/>
      </c>
      <c r="IE38" s="213" t="str">
        <f>IF('Supp. Result Entry'!V37="","",'Supp. Result Entry'!V37)</f>
        <v/>
      </c>
      <c r="IF38" s="213" t="str">
        <f>IF('Supp. Result Entry'!Y37="","",'Supp. Result Entry'!Y37)</f>
        <v/>
      </c>
      <c r="IG38" s="213" t="str">
        <f>IF('Supp. Result Entry'!AB37="","",'Supp. Result Entry'!AB37)</f>
        <v/>
      </c>
      <c r="IH38" s="213" t="str">
        <f>IF('Supp. Result Entry'!AE37="","",'Supp. Result Entry'!AE37)</f>
        <v/>
      </c>
      <c r="II38" s="213" t="str">
        <f>IF('Supp. Result Entry'!AH37="","",'Supp. Result Entry'!AH37)</f>
        <v/>
      </c>
      <c r="IJ38" s="213" t="str">
        <f>IF('Supp. Result Entry'!AK37="","",'Supp. Result Entry'!AK37)</f>
        <v/>
      </c>
      <c r="IK38" s="213" t="str">
        <f>IF('Supp. Result Entry'!W37="","",'Supp. Result Entry'!W37)</f>
        <v/>
      </c>
      <c r="IL38" s="213" t="str">
        <f>IF('Supp. Result Entry'!Z37="","",'Supp. Result Entry'!Z37)</f>
        <v/>
      </c>
      <c r="IM38" s="213" t="str">
        <f>IF('Supp. Result Entry'!AC37="","",'Supp. Result Entry'!AC37)</f>
        <v/>
      </c>
      <c r="IN38" s="213" t="str">
        <f>IF('Supp. Result Entry'!AF37="","",'Supp. Result Entry'!AF37)</f>
        <v/>
      </c>
      <c r="IO38" s="213" t="str">
        <f>IF('Supp. Result Entry'!AI37="","",'Supp. Result Entry'!AI37)</f>
        <v/>
      </c>
      <c r="IP38" s="213" t="str">
        <f>IF('Supp. Result Entry'!AL37="","",'Supp. Result Entry'!AL37)</f>
        <v/>
      </c>
      <c r="IQ38" s="213">
        <f>COUNTIF('Supp. Result Entry'!K37:Q37,"S")</f>
        <v>0</v>
      </c>
      <c r="IR38" s="213">
        <f t="shared" si="170"/>
        <v>0</v>
      </c>
      <c r="IS38" s="213">
        <f t="shared" si="171"/>
        <v>0</v>
      </c>
      <c r="IT38" s="213" t="str">
        <f t="shared" si="41"/>
        <v/>
      </c>
      <c r="IU38" s="213" t="str">
        <f t="shared" si="42"/>
        <v/>
      </c>
      <c r="IV38" s="213" t="str">
        <f t="shared" si="43"/>
        <v/>
      </c>
      <c r="IW38" s="213" t="str">
        <f t="shared" si="44"/>
        <v/>
      </c>
      <c r="IX38" s="213" t="str">
        <f t="shared" si="45"/>
        <v/>
      </c>
      <c r="IY38" s="213" t="str">
        <f t="shared" si="172"/>
        <v/>
      </c>
      <c r="IZ38" s="213" t="str">
        <f t="shared" si="173"/>
        <v/>
      </c>
      <c r="JA38" s="213" t="str">
        <f t="shared" si="46"/>
        <v/>
      </c>
      <c r="JB38" s="211" t="str">
        <f t="shared" si="174"/>
        <v/>
      </c>
    </row>
    <row r="39" spans="1:262" s="211" customFormat="1" ht="21" customHeight="1">
      <c r="A39" s="184">
        <v>32</v>
      </c>
      <c r="B39" s="185" t="str">
        <f>IF('Marks Entry'!B39="","",'Marks Entry'!B39)</f>
        <v/>
      </c>
      <c r="C39" s="186" t="str">
        <f>IF('Marks Entry'!D39="","",'Marks Entry'!D39)</f>
        <v/>
      </c>
      <c r="D39" s="187" t="str">
        <f>IF('Marks Entry'!E39="","",'Marks Entry'!E39)</f>
        <v/>
      </c>
      <c r="E39" s="188" t="str">
        <f>IF('Marks Entry'!F39="","",'Marks Entry'!F39)</f>
        <v/>
      </c>
      <c r="F39" s="188" t="str">
        <f>IF('Marks Entry'!G39="","",'Marks Entry'!G39)</f>
        <v/>
      </c>
      <c r="G39" s="188" t="str">
        <f>IF('Marks Entry'!H39="","",'Marks Entry'!H39)</f>
        <v/>
      </c>
      <c r="H39" s="189" t="str">
        <f>IF('Marks Entry'!I39="","",'Marks Entry'!I39)</f>
        <v/>
      </c>
      <c r="I39" s="190" t="str">
        <f>IF('Marks Entry'!J39="","",'Marks Entry'!J39)</f>
        <v/>
      </c>
      <c r="J39" s="545" t="str">
        <f>IF('Marks Entry'!K39="","",'Marks Entry'!K39)</f>
        <v/>
      </c>
      <c r="K39" s="545" t="str">
        <f>IF('Marks Entry'!L39="","",'Marks Entry'!L39)</f>
        <v/>
      </c>
      <c r="L39" s="545" t="str">
        <f>IF('Marks Entry'!M39="","",'Marks Entry'!M39)</f>
        <v/>
      </c>
      <c r="M39" s="546" t="str">
        <f t="shared" si="47"/>
        <v/>
      </c>
      <c r="N39" s="545" t="str">
        <f>IF('Marks Entry'!N39="","",'Marks Entry'!N39)</f>
        <v/>
      </c>
      <c r="O39" s="546" t="str">
        <f t="shared" si="48"/>
        <v/>
      </c>
      <c r="P39" s="545" t="str">
        <f>IF('Marks Entry'!O39="","",'Marks Entry'!O39)</f>
        <v/>
      </c>
      <c r="Q39" s="547" t="str">
        <f t="shared" si="49"/>
        <v/>
      </c>
      <c r="R39" s="153">
        <f t="shared" si="50"/>
        <v>0</v>
      </c>
      <c r="S39" s="153">
        <f t="shared" si="51"/>
        <v>0</v>
      </c>
      <c r="T39" s="154" t="str">
        <f t="shared" si="52"/>
        <v/>
      </c>
      <c r="U39" s="153" t="str">
        <f t="shared" si="53"/>
        <v/>
      </c>
      <c r="V39" s="153" t="str">
        <f t="shared" si="54"/>
        <v/>
      </c>
      <c r="W39" s="153" t="str">
        <f t="shared" si="55"/>
        <v/>
      </c>
      <c r="X39" s="545" t="str">
        <f>IF('Marks Entry'!P39="","",'Marks Entry'!P39)</f>
        <v/>
      </c>
      <c r="Y39" s="545" t="str">
        <f>IF('Marks Entry'!Q39="","",'Marks Entry'!Q39)</f>
        <v/>
      </c>
      <c r="Z39" s="545" t="str">
        <f>IF('Marks Entry'!R39="","",'Marks Entry'!R39)</f>
        <v/>
      </c>
      <c r="AA39" s="546" t="str">
        <f t="shared" si="56"/>
        <v/>
      </c>
      <c r="AB39" s="545" t="str">
        <f>IF('Marks Entry'!S39="","",'Marks Entry'!S39)</f>
        <v/>
      </c>
      <c r="AC39" s="546" t="str">
        <f t="shared" si="57"/>
        <v/>
      </c>
      <c r="AD39" s="545" t="str">
        <f>IF('Marks Entry'!T39="","",'Marks Entry'!T39)</f>
        <v/>
      </c>
      <c r="AE39" s="547" t="str">
        <f t="shared" si="58"/>
        <v/>
      </c>
      <c r="AF39" s="153">
        <f t="shared" si="59"/>
        <v>0</v>
      </c>
      <c r="AG39" s="153">
        <f t="shared" si="60"/>
        <v>0</v>
      </c>
      <c r="AH39" s="154" t="str">
        <f t="shared" si="61"/>
        <v/>
      </c>
      <c r="AI39" s="153" t="str">
        <f t="shared" si="62"/>
        <v/>
      </c>
      <c r="AJ39" s="153" t="str">
        <f t="shared" si="63"/>
        <v/>
      </c>
      <c r="AK39" s="153" t="str">
        <f t="shared" si="64"/>
        <v/>
      </c>
      <c r="AL39" s="573" t="str">
        <f>IF('Marks Entry'!U39="","",'Marks Entry'!U39)</f>
        <v/>
      </c>
      <c r="AM39" s="573" t="str">
        <f>IF('Marks Entry'!V39="","",'Marks Entry'!V39)</f>
        <v/>
      </c>
      <c r="AN39" s="573" t="str">
        <f>IF('Marks Entry'!W39="","",'Marks Entry'!W39)</f>
        <v/>
      </c>
      <c r="AO39" s="573" t="str">
        <f>IF('Marks Entry'!X39="","",'Marks Entry'!X39)</f>
        <v/>
      </c>
      <c r="AP39" s="572" t="str">
        <f t="shared" si="65"/>
        <v/>
      </c>
      <c r="AQ39" s="573" t="str">
        <f>IF('Marks Entry'!Y39="","",'Marks Entry'!Y39)</f>
        <v/>
      </c>
      <c r="AR39" s="573" t="str">
        <f>IF('Marks Entry'!Z39="","",'Marks Entry'!Z39)</f>
        <v/>
      </c>
      <c r="AS39" s="572" t="str">
        <f t="shared" si="66"/>
        <v/>
      </c>
      <c r="AT39" s="572" t="str">
        <f t="shared" si="67"/>
        <v/>
      </c>
      <c r="AU39" s="573" t="str">
        <f>IF('Marks Entry'!AA39="","",'Marks Entry'!AA39)</f>
        <v/>
      </c>
      <c r="AV39" s="573" t="str">
        <f>IF('Marks Entry'!AB39="","",'Marks Entry'!AB39)</f>
        <v/>
      </c>
      <c r="AW39" s="572" t="str">
        <f t="shared" si="68"/>
        <v/>
      </c>
      <c r="AX39" s="157" t="str">
        <f t="shared" si="69"/>
        <v/>
      </c>
      <c r="AY39" s="157" t="str">
        <f t="shared" si="70"/>
        <v/>
      </c>
      <c r="AZ39" s="192" t="str">
        <f t="shared" si="71"/>
        <v/>
      </c>
      <c r="BA39" s="153">
        <f t="shared" si="72"/>
        <v>0</v>
      </c>
      <c r="BB39" s="154">
        <f t="shared" si="73"/>
        <v>0</v>
      </c>
      <c r="BC39" s="154" t="str">
        <f t="shared" si="74"/>
        <v/>
      </c>
      <c r="BD39" s="154" t="str">
        <f t="shared" si="75"/>
        <v/>
      </c>
      <c r="BE39" s="154" t="str">
        <f t="shared" si="76"/>
        <v/>
      </c>
      <c r="BF39" s="153" t="str">
        <f t="shared" si="77"/>
        <v/>
      </c>
      <c r="BG39" s="154" t="str">
        <f t="shared" si="175"/>
        <v/>
      </c>
      <c r="BH39" s="153" t="str">
        <f t="shared" si="78"/>
        <v/>
      </c>
      <c r="BI39" s="580" t="str">
        <f>IF('Marks Entry'!AC39="","",'Marks Entry'!AC39)</f>
        <v/>
      </c>
      <c r="BJ39" s="580" t="str">
        <f>IF('Marks Entry'!AD39="","",'Marks Entry'!AD39)</f>
        <v/>
      </c>
      <c r="BK39" s="580" t="str">
        <f>IF('Marks Entry'!AE39="","",'Marks Entry'!AE39)</f>
        <v/>
      </c>
      <c r="BL39" s="580" t="str">
        <f>IF('Marks Entry'!AF39="","",'Marks Entry'!AF39)</f>
        <v/>
      </c>
      <c r="BM39" s="581" t="str">
        <f t="shared" si="79"/>
        <v/>
      </c>
      <c r="BN39" s="580" t="str">
        <f>IF('Marks Entry'!AG39="","",'Marks Entry'!AG39)</f>
        <v/>
      </c>
      <c r="BO39" s="580" t="str">
        <f>IF('Marks Entry'!AH39="","",'Marks Entry'!AH39)</f>
        <v/>
      </c>
      <c r="BP39" s="581" t="str">
        <f t="shared" si="80"/>
        <v/>
      </c>
      <c r="BQ39" s="581" t="str">
        <f t="shared" si="81"/>
        <v/>
      </c>
      <c r="BR39" s="580" t="str">
        <f>IF('Marks Entry'!AI39="","",'Marks Entry'!AI39)</f>
        <v/>
      </c>
      <c r="BS39" s="580" t="str">
        <f>IF('Marks Entry'!AJ39="","",'Marks Entry'!AJ39)</f>
        <v/>
      </c>
      <c r="BT39" s="581" t="str">
        <f t="shared" si="82"/>
        <v/>
      </c>
      <c r="BU39" s="157" t="str">
        <f t="shared" si="83"/>
        <v/>
      </c>
      <c r="BV39" s="157" t="str">
        <f t="shared" si="84"/>
        <v/>
      </c>
      <c r="BW39" s="192" t="str">
        <f t="shared" si="85"/>
        <v/>
      </c>
      <c r="BX39" s="153">
        <f t="shared" si="86"/>
        <v>0</v>
      </c>
      <c r="BY39" s="154">
        <f t="shared" si="87"/>
        <v>0</v>
      </c>
      <c r="BZ39" s="154" t="str">
        <f t="shared" si="88"/>
        <v/>
      </c>
      <c r="CA39" s="154" t="str">
        <f t="shared" si="89"/>
        <v/>
      </c>
      <c r="CB39" s="154" t="str">
        <f t="shared" si="90"/>
        <v/>
      </c>
      <c r="CC39" s="153" t="str">
        <f t="shared" si="91"/>
        <v/>
      </c>
      <c r="CD39" s="154" t="str">
        <f t="shared" si="92"/>
        <v/>
      </c>
      <c r="CE39" s="153" t="str">
        <f t="shared" si="93"/>
        <v/>
      </c>
      <c r="CF39" s="580" t="str">
        <f>IF('Marks Entry'!AK39="","",'Marks Entry'!AK39)</f>
        <v/>
      </c>
      <c r="CG39" s="580" t="str">
        <f>IF('Marks Entry'!AL39="","",'Marks Entry'!AL39)</f>
        <v/>
      </c>
      <c r="CH39" s="580" t="str">
        <f>IF('Marks Entry'!AM39="","",'Marks Entry'!AM39)</f>
        <v/>
      </c>
      <c r="CI39" s="580" t="str">
        <f>IF('Marks Entry'!AN39="","",'Marks Entry'!AN39)</f>
        <v/>
      </c>
      <c r="CJ39" s="581" t="str">
        <f t="shared" si="94"/>
        <v/>
      </c>
      <c r="CK39" s="580" t="str">
        <f>IF('Marks Entry'!AO39="","",'Marks Entry'!AO39)</f>
        <v/>
      </c>
      <c r="CL39" s="580" t="str">
        <f>IF('Marks Entry'!AP39="","",'Marks Entry'!AP39)</f>
        <v/>
      </c>
      <c r="CM39" s="581" t="str">
        <f t="shared" si="95"/>
        <v/>
      </c>
      <c r="CN39" s="581" t="str">
        <f t="shared" si="96"/>
        <v/>
      </c>
      <c r="CO39" s="580" t="str">
        <f>IF('Marks Entry'!AQ39="","",'Marks Entry'!AQ39)</f>
        <v/>
      </c>
      <c r="CP39" s="580" t="str">
        <f>IF('Marks Entry'!AR39="","",'Marks Entry'!AR39)</f>
        <v/>
      </c>
      <c r="CQ39" s="581" t="str">
        <f t="shared" si="97"/>
        <v/>
      </c>
      <c r="CR39" s="157" t="str">
        <f t="shared" si="98"/>
        <v/>
      </c>
      <c r="CS39" s="157" t="str">
        <f t="shared" si="99"/>
        <v/>
      </c>
      <c r="CT39" s="192" t="str">
        <f t="shared" si="100"/>
        <v/>
      </c>
      <c r="CU39" s="153">
        <f t="shared" si="101"/>
        <v>0</v>
      </c>
      <c r="CV39" s="154">
        <f t="shared" si="102"/>
        <v>0</v>
      </c>
      <c r="CW39" s="154" t="str">
        <f t="shared" si="103"/>
        <v/>
      </c>
      <c r="CX39" s="154" t="str">
        <f t="shared" si="104"/>
        <v/>
      </c>
      <c r="CY39" s="154" t="str">
        <f t="shared" si="176"/>
        <v/>
      </c>
      <c r="CZ39" s="153" t="str">
        <f t="shared" si="105"/>
        <v/>
      </c>
      <c r="DA39" s="154" t="str">
        <f t="shared" si="106"/>
        <v/>
      </c>
      <c r="DB39" s="153" t="str">
        <f t="shared" si="107"/>
        <v/>
      </c>
      <c r="DC39" s="154">
        <f t="shared" si="108"/>
        <v>0</v>
      </c>
      <c r="DD39" s="826" t="str">
        <f>IF('Marks Entry'!AS39="","",IF(OR('Master Sheet'!$D$19="YES",'Marks Entry'!$BA$1=1),'Marks Entry'!AS39,""))</f>
        <v/>
      </c>
      <c r="DE39" s="826" t="str">
        <f>IF('Marks Entry'!AT39="","",IF(OR('Master Sheet'!$D$19="YES",'Marks Entry'!$BA$1=1),'Marks Entry'!AT39,""))</f>
        <v/>
      </c>
      <c r="DF39" s="826" t="str">
        <f>IF('Marks Entry'!AU39="","",IF(OR('Master Sheet'!$D$19="YES",'Marks Entry'!$BA$1=1),'Marks Entry'!AU39,""))</f>
        <v/>
      </c>
      <c r="DG39" s="826" t="str">
        <f>IF('Marks Entry'!AV39="","",IF(OR('Master Sheet'!$D$19="YES",'Marks Entry'!$BA$1=1),'Marks Entry'!AV39,""))</f>
        <v/>
      </c>
      <c r="DH39" s="827" t="str">
        <f t="shared" si="109"/>
        <v/>
      </c>
      <c r="DI39" s="826" t="str">
        <f>IF('Marks Entry'!AW39="","",IF(OR('Master Sheet'!$D$19="YES",'Marks Entry'!$BA$1=1),'Marks Entry'!AW39,""))</f>
        <v/>
      </c>
      <c r="DJ39" s="826" t="str">
        <f>IF('Marks Entry'!AX39="","",IF(OR('Master Sheet'!$D$19="YES",'Marks Entry'!$BA$1=1),'Marks Entry'!AX39,""))</f>
        <v/>
      </c>
      <c r="DK39" s="827" t="str">
        <f t="shared" si="110"/>
        <v/>
      </c>
      <c r="DL39" s="827" t="str">
        <f t="shared" si="111"/>
        <v/>
      </c>
      <c r="DM39" s="826" t="str">
        <f>IF('Marks Entry'!AY39="","",IF(OR('Master Sheet'!$D$19="YES",'Marks Entry'!$BA$1=1),'Marks Entry'!AY39,""))</f>
        <v/>
      </c>
      <c r="DN39" s="826" t="str">
        <f>IF('Marks Entry'!AZ39="","",IF(OR('Master Sheet'!$D$19="YES",'Marks Entry'!$BA$1=1),'Marks Entry'!AZ39,""))</f>
        <v/>
      </c>
      <c r="DO39" s="826" t="str">
        <f>IF('Marks Entry'!BA39="","",IF(OR('Master Sheet'!$D$19="YES",'Marks Entry'!$BA$1=1),'Marks Entry'!BA39,""))</f>
        <v/>
      </c>
      <c r="DP39" s="827" t="str">
        <f t="shared" si="112"/>
        <v/>
      </c>
      <c r="DQ39" s="157" t="str">
        <f t="shared" si="113"/>
        <v/>
      </c>
      <c r="DR39" s="157" t="str">
        <f t="shared" si="114"/>
        <v/>
      </c>
      <c r="DS39" s="157" t="str">
        <f t="shared" si="115"/>
        <v/>
      </c>
      <c r="DT39" s="192" t="str">
        <f t="shared" si="116"/>
        <v/>
      </c>
      <c r="DU39" s="153">
        <f t="shared" si="117"/>
        <v>0</v>
      </c>
      <c r="DV39" s="154" t="e">
        <f t="shared" si="118"/>
        <v>#VALUE!</v>
      </c>
      <c r="DW39" s="154" t="str">
        <f t="shared" si="119"/>
        <v/>
      </c>
      <c r="DX39" s="154" t="str">
        <f>IF(OR($B39="NSO",$B39=0,DS39=""),"",IF(AND(DJ39="",DO39=""),"",IF('Master Sheet'!$D$19="YES",$DO$6-COUNTIF(DO39,"ML")*DO$6,DS$6-(COUNTIF(DJ39,"ML")*DJ$6)-(COUNTIF(DO39,"ML")*DO$6))))</f>
        <v/>
      </c>
      <c r="DY39" s="154" t="str">
        <f>IF(OR($B39="NSO",$B39=0),"",IF(AND(DH39="",DI39="",DM39=""),"",IF(AND('Master Sheet'!$D$19="YES",'Marks Entry'!$BA$1=1),100,IF(AND(DJ39="",DO39=""),SUM(($DQ$7+$DR$7)-(DU39+DV39)),SUM(($DQ$6+$DR$6)-(DU39+DV39))))))</f>
        <v/>
      </c>
      <c r="DZ39" s="153" t="str">
        <f t="shared" si="120"/>
        <v/>
      </c>
      <c r="EA39" s="154" t="str">
        <f t="shared" si="121"/>
        <v/>
      </c>
      <c r="EB39" s="153" t="str">
        <f t="shared" si="122"/>
        <v/>
      </c>
      <c r="EC39" s="584" t="str">
        <f>IF('Marks Entry'!BB39="","",'Marks Entry'!BB39)</f>
        <v/>
      </c>
      <c r="ED39" s="584" t="str">
        <f>IF('Marks Entry'!BC39="","",'Marks Entry'!BC39)</f>
        <v/>
      </c>
      <c r="EE39" s="584" t="str">
        <f>IF('Marks Entry'!BD39="","",'Marks Entry'!BD39)</f>
        <v/>
      </c>
      <c r="EF39" s="590" t="str">
        <f t="shared" si="123"/>
        <v/>
      </c>
      <c r="EG39" s="595">
        <f t="shared" si="124"/>
        <v>0</v>
      </c>
      <c r="EH39" s="595">
        <f t="shared" si="125"/>
        <v>0</v>
      </c>
      <c r="EI39" s="193" t="str">
        <f t="shared" si="126"/>
        <v/>
      </c>
      <c r="EJ39" s="595" t="str">
        <f t="shared" si="127"/>
        <v/>
      </c>
      <c r="EK39" s="595" t="str">
        <f t="shared" si="128"/>
        <v/>
      </c>
      <c r="EL39" s="194" t="str">
        <f t="shared" si="129"/>
        <v/>
      </c>
      <c r="EM39" s="194" t="str">
        <f t="shared" si="130"/>
        <v/>
      </c>
      <c r="EN39" s="194" t="str">
        <f t="shared" si="131"/>
        <v/>
      </c>
      <c r="EO39" s="194" t="str">
        <f t="shared" si="132"/>
        <v/>
      </c>
      <c r="EP39" s="194" t="str">
        <f t="shared" si="133"/>
        <v/>
      </c>
      <c r="EQ39" s="194" t="str">
        <f t="shared" si="134"/>
        <v/>
      </c>
      <c r="ER39" s="195">
        <f t="shared" si="135"/>
        <v>0</v>
      </c>
      <c r="ES39" s="195">
        <f t="shared" si="136"/>
        <v>0</v>
      </c>
      <c r="ET39" s="195">
        <f t="shared" si="137"/>
        <v>0</v>
      </c>
      <c r="EU39" s="195">
        <f t="shared" si="138"/>
        <v>0</v>
      </c>
      <c r="EV39" s="195">
        <f t="shared" si="139"/>
        <v>0</v>
      </c>
      <c r="EW39" s="195" t="str">
        <f t="shared" si="140"/>
        <v/>
      </c>
      <c r="EX39" s="196" t="str">
        <f t="shared" si="141"/>
        <v/>
      </c>
      <c r="EY39" s="197" t="str">
        <f>IF('Marks Entry'!BE39="","",'Marks Entry'!BE39)</f>
        <v/>
      </c>
      <c r="EZ39" s="197" t="str">
        <f>IF('Marks Entry'!BF39="","",'Marks Entry'!BF39)</f>
        <v/>
      </c>
      <c r="FA39" s="197" t="str">
        <f>IF('Marks Entry'!BG39="","",'Marks Entry'!BG39)</f>
        <v/>
      </c>
      <c r="FB39" s="596" t="str">
        <f t="shared" si="142"/>
        <v/>
      </c>
      <c r="FC39" s="197" t="str">
        <f>IF('Marks Entry'!BH39="","",'Marks Entry'!BH39)</f>
        <v/>
      </c>
      <c r="FD39" s="197" t="str">
        <f>IF('Marks Entry'!BI39="","",'Marks Entry'!BI39)</f>
        <v/>
      </c>
      <c r="FE39" s="198" t="str">
        <f t="shared" si="143"/>
        <v/>
      </c>
      <c r="FF39" s="199" t="str">
        <f t="shared" si="144"/>
        <v/>
      </c>
      <c r="FG39" s="200" t="str">
        <f>IF(AND(E39=""),"",IF('Student DATA Entry'!L35="","",'Student DATA Entry'!L35))</f>
        <v/>
      </c>
      <c r="FH39" s="201" t="str">
        <f>IF(AND(E39=""),"",IF('Student DATA Entry'!M35="","",'Student DATA Entry'!M35))</f>
        <v/>
      </c>
      <c r="FI39" s="202" t="str">
        <f t="shared" si="145"/>
        <v/>
      </c>
      <c r="FJ39" s="189" t="str">
        <f t="shared" si="146"/>
        <v/>
      </c>
      <c r="FK39" s="189" t="str">
        <f t="shared" si="147"/>
        <v/>
      </c>
      <c r="FL39" s="203" t="str">
        <f t="shared" si="19"/>
        <v/>
      </c>
      <c r="FM39" s="189" t="str">
        <f t="shared" si="148"/>
        <v/>
      </c>
      <c r="FN39" s="204" t="str">
        <f t="shared" si="149"/>
        <v/>
      </c>
      <c r="FO39" s="203" t="str">
        <f t="shared" si="20"/>
        <v/>
      </c>
      <c r="FP39" s="205" t="str">
        <f t="shared" si="150"/>
        <v/>
      </c>
      <c r="FQ39" s="189" t="str">
        <f t="shared" si="21"/>
        <v/>
      </c>
      <c r="FR39" s="189" t="str">
        <f t="shared" si="22"/>
        <v/>
      </c>
      <c r="FS39" s="189" t="str">
        <f t="shared" si="23"/>
        <v/>
      </c>
      <c r="FT39" s="189" t="str">
        <f t="shared" si="24"/>
        <v/>
      </c>
      <c r="FU39" s="189" t="str">
        <f t="shared" si="151"/>
        <v/>
      </c>
      <c r="FV39" s="206" t="str">
        <f t="shared" si="25"/>
        <v/>
      </c>
      <c r="FW39" s="205" t="str">
        <f t="shared" si="152"/>
        <v/>
      </c>
      <c r="FX39" s="189" t="str">
        <f t="shared" si="26"/>
        <v/>
      </c>
      <c r="FY39" s="189" t="str">
        <f t="shared" si="27"/>
        <v/>
      </c>
      <c r="FZ39" s="189" t="str">
        <f t="shared" si="28"/>
        <v/>
      </c>
      <c r="GA39" s="189" t="str">
        <f t="shared" si="29"/>
        <v/>
      </c>
      <c r="GB39" s="189" t="str">
        <f t="shared" si="153"/>
        <v/>
      </c>
      <c r="GC39" s="206" t="str">
        <f t="shared" si="30"/>
        <v/>
      </c>
      <c r="GD39" s="205" t="str">
        <f t="shared" si="154"/>
        <v/>
      </c>
      <c r="GE39" s="189" t="str">
        <f t="shared" si="31"/>
        <v/>
      </c>
      <c r="GF39" s="189" t="str">
        <f t="shared" si="32"/>
        <v/>
      </c>
      <c r="GG39" s="189" t="str">
        <f t="shared" si="33"/>
        <v/>
      </c>
      <c r="GH39" s="189" t="str">
        <f t="shared" si="34"/>
        <v/>
      </c>
      <c r="GI39" s="189" t="str">
        <f t="shared" si="155"/>
        <v/>
      </c>
      <c r="GJ39" s="206" t="str">
        <f t="shared" si="35"/>
        <v/>
      </c>
      <c r="GK39" s="205" t="str">
        <f t="shared" si="156"/>
        <v/>
      </c>
      <c r="GL39" s="189" t="str">
        <f t="shared" si="36"/>
        <v/>
      </c>
      <c r="GM39" s="189" t="str">
        <f t="shared" si="37"/>
        <v/>
      </c>
      <c r="GN39" s="189" t="str">
        <f t="shared" si="38"/>
        <v/>
      </c>
      <c r="GO39" s="189" t="str">
        <f t="shared" si="39"/>
        <v/>
      </c>
      <c r="GP39" s="189" t="str">
        <f t="shared" si="157"/>
        <v/>
      </c>
      <c r="GQ39" s="206" t="str">
        <f t="shared" si="40"/>
        <v/>
      </c>
      <c r="GR39" s="189" t="str">
        <f t="shared" si="158"/>
        <v/>
      </c>
      <c r="GS39" s="189" t="str">
        <f t="shared" si="159"/>
        <v/>
      </c>
      <c r="GT39" s="207" t="str">
        <f t="shared" si="177"/>
        <v xml:space="preserve">    </v>
      </c>
      <c r="GU39" s="207" t="str">
        <f t="shared" si="160"/>
        <v xml:space="preserve">    </v>
      </c>
      <c r="GV39" s="207" t="str">
        <f t="shared" si="161"/>
        <v xml:space="preserve">    </v>
      </c>
      <c r="GW39" s="207" t="str">
        <f t="shared" si="162"/>
        <v xml:space="preserve">       </v>
      </c>
      <c r="GX39" s="598" t="str">
        <f t="shared" si="163"/>
        <v xml:space="preserve">     </v>
      </c>
      <c r="GY39" s="208" t="str">
        <f t="shared" si="164"/>
        <v/>
      </c>
      <c r="GZ39" s="606" t="str">
        <f>IF(AND(Q39="",AE39="",AZ39="",BW39="",CT39=""),"",IF(AND('Master Sheet'!$D$19="YES",'Marks Entry'!$BA$1=1),SUM(Q39,AE39,AZ39,BW39,DT39),SUM(Q39,AE39,AZ39,BW39,CT39)))</f>
        <v/>
      </c>
      <c r="HA39" s="209" t="str">
        <f>IF(GZ39="","",IF(AND('Master Sheet'!$D$19="YES",'Marks Entry'!$BA$1=1),GZ39/((900)-DC39)*100,GZ39/((1000)-DC39)*100))</f>
        <v/>
      </c>
      <c r="HB39" s="611" t="str">
        <f t="shared" si="165"/>
        <v/>
      </c>
      <c r="HC39" s="609" t="str">
        <f t="shared" si="166"/>
        <v/>
      </c>
      <c r="HD39" s="610" t="str">
        <f t="shared" si="167"/>
        <v/>
      </c>
      <c r="HE39" s="210" t="str">
        <f>IFERROR(IF(OR(GY39="SUPPLEMENTARY",GY39="RE-EXAM"),'Supp. Result Entry'!AS38,""),"")</f>
        <v/>
      </c>
      <c r="HF39" s="613" t="str">
        <f t="shared" si="168"/>
        <v/>
      </c>
      <c r="HG39" s="598" t="str">
        <f t="shared" si="169"/>
        <v/>
      </c>
      <c r="HH39" s="598" t="str">
        <f>IF(AND(HE39="",HF39="",HG39=""),"",IF(OR(GY39="SUPPLEMENTARY",GY39="RE-EXAM"),'Supp. Result Entry'!AS38,GY39))</f>
        <v/>
      </c>
      <c r="HI39" s="180"/>
      <c r="HJ39" s="214"/>
      <c r="HY39" s="212" t="str">
        <f>IF('Supp. Result Entry'!U38="","",'Supp. Result Entry'!$U$6)</f>
        <v/>
      </c>
      <c r="HZ39" s="213" t="str">
        <f>IF('Supp. Result Entry'!X38="","",'Supp. Result Entry'!$X$6)</f>
        <v/>
      </c>
      <c r="IA39" s="213" t="str">
        <f>IF('Supp. Result Entry'!AA38="","",'Supp. Result Entry'!$AA$6)</f>
        <v/>
      </c>
      <c r="IB39" s="213" t="str">
        <f>IF('Supp. Result Entry'!AD38="","",'Supp. Result Entry'!$AD$6)</f>
        <v/>
      </c>
      <c r="IC39" s="213" t="str">
        <f>IF('Supp. Result Entry'!AG38="","",'Supp. Result Entry'!$AG$6)</f>
        <v/>
      </c>
      <c r="ID39" s="213" t="str">
        <f>IF('Supp. Result Entry'!AJ38="","",'Supp. Result Entry'!$AJ$6)</f>
        <v/>
      </c>
      <c r="IE39" s="213" t="str">
        <f>IF('Supp. Result Entry'!V38="","",'Supp. Result Entry'!V38)</f>
        <v/>
      </c>
      <c r="IF39" s="213" t="str">
        <f>IF('Supp. Result Entry'!Y38="","",'Supp. Result Entry'!Y38)</f>
        <v/>
      </c>
      <c r="IG39" s="213" t="str">
        <f>IF('Supp. Result Entry'!AB38="","",'Supp. Result Entry'!AB38)</f>
        <v/>
      </c>
      <c r="IH39" s="213" t="str">
        <f>IF('Supp. Result Entry'!AE38="","",'Supp. Result Entry'!AE38)</f>
        <v/>
      </c>
      <c r="II39" s="213" t="str">
        <f>IF('Supp. Result Entry'!AH38="","",'Supp. Result Entry'!AH38)</f>
        <v/>
      </c>
      <c r="IJ39" s="213" t="str">
        <f>IF('Supp. Result Entry'!AK38="","",'Supp. Result Entry'!AK38)</f>
        <v/>
      </c>
      <c r="IK39" s="213" t="str">
        <f>IF('Supp. Result Entry'!W38="","",'Supp. Result Entry'!W38)</f>
        <v/>
      </c>
      <c r="IL39" s="213" t="str">
        <f>IF('Supp. Result Entry'!Z38="","",'Supp. Result Entry'!Z38)</f>
        <v/>
      </c>
      <c r="IM39" s="213" t="str">
        <f>IF('Supp. Result Entry'!AC38="","",'Supp. Result Entry'!AC38)</f>
        <v/>
      </c>
      <c r="IN39" s="213" t="str">
        <f>IF('Supp. Result Entry'!AF38="","",'Supp. Result Entry'!AF38)</f>
        <v/>
      </c>
      <c r="IO39" s="213" t="str">
        <f>IF('Supp. Result Entry'!AI38="","",'Supp. Result Entry'!AI38)</f>
        <v/>
      </c>
      <c r="IP39" s="213" t="str">
        <f>IF('Supp. Result Entry'!AL38="","",'Supp. Result Entry'!AL38)</f>
        <v/>
      </c>
      <c r="IQ39" s="213">
        <f>COUNTIF('Supp. Result Entry'!K38:Q38,"S")</f>
        <v>0</v>
      </c>
      <c r="IR39" s="213">
        <f t="shared" si="170"/>
        <v>0</v>
      </c>
      <c r="IS39" s="213">
        <f t="shared" si="171"/>
        <v>0</v>
      </c>
      <c r="IT39" s="213" t="str">
        <f t="shared" si="41"/>
        <v/>
      </c>
      <c r="IU39" s="213" t="str">
        <f t="shared" si="42"/>
        <v/>
      </c>
      <c r="IV39" s="213" t="str">
        <f t="shared" si="43"/>
        <v/>
      </c>
      <c r="IW39" s="213" t="str">
        <f t="shared" si="44"/>
        <v/>
      </c>
      <c r="IX39" s="213" t="str">
        <f t="shared" si="45"/>
        <v/>
      </c>
      <c r="IY39" s="213" t="str">
        <f t="shared" si="172"/>
        <v/>
      </c>
      <c r="IZ39" s="213" t="str">
        <f t="shared" si="173"/>
        <v/>
      </c>
      <c r="JA39" s="213" t="str">
        <f t="shared" si="46"/>
        <v/>
      </c>
      <c r="JB39" s="211" t="str">
        <f t="shared" si="174"/>
        <v/>
      </c>
    </row>
    <row r="40" spans="1:262" s="211" customFormat="1" ht="21" customHeight="1">
      <c r="A40" s="184">
        <v>33</v>
      </c>
      <c r="B40" s="185" t="str">
        <f>IF('Marks Entry'!B40="","",'Marks Entry'!B40)</f>
        <v/>
      </c>
      <c r="C40" s="186" t="str">
        <f>IF('Marks Entry'!D40="","",'Marks Entry'!D40)</f>
        <v/>
      </c>
      <c r="D40" s="187" t="str">
        <f>IF('Marks Entry'!E40="","",'Marks Entry'!E40)</f>
        <v/>
      </c>
      <c r="E40" s="188" t="str">
        <f>IF('Marks Entry'!F40="","",'Marks Entry'!F40)</f>
        <v/>
      </c>
      <c r="F40" s="188" t="str">
        <f>IF('Marks Entry'!G40="","",'Marks Entry'!G40)</f>
        <v/>
      </c>
      <c r="G40" s="188" t="str">
        <f>IF('Marks Entry'!H40="","",'Marks Entry'!H40)</f>
        <v/>
      </c>
      <c r="H40" s="189" t="str">
        <f>IF('Marks Entry'!I40="","",'Marks Entry'!I40)</f>
        <v/>
      </c>
      <c r="I40" s="190" t="str">
        <f>IF('Marks Entry'!J40="","",'Marks Entry'!J40)</f>
        <v/>
      </c>
      <c r="J40" s="545" t="str">
        <f>IF('Marks Entry'!K40="","",'Marks Entry'!K40)</f>
        <v/>
      </c>
      <c r="K40" s="545" t="str">
        <f>IF('Marks Entry'!L40="","",'Marks Entry'!L40)</f>
        <v/>
      </c>
      <c r="L40" s="545" t="str">
        <f>IF('Marks Entry'!M40="","",'Marks Entry'!M40)</f>
        <v/>
      </c>
      <c r="M40" s="546" t="str">
        <f t="shared" si="47"/>
        <v/>
      </c>
      <c r="N40" s="545" t="str">
        <f>IF('Marks Entry'!N40="","",'Marks Entry'!N40)</f>
        <v/>
      </c>
      <c r="O40" s="546" t="str">
        <f t="shared" si="48"/>
        <v/>
      </c>
      <c r="P40" s="545" t="str">
        <f>IF('Marks Entry'!O40="","",'Marks Entry'!O40)</f>
        <v/>
      </c>
      <c r="Q40" s="547" t="str">
        <f t="shared" si="49"/>
        <v/>
      </c>
      <c r="R40" s="153">
        <f t="shared" si="50"/>
        <v>0</v>
      </c>
      <c r="S40" s="153">
        <f t="shared" si="51"/>
        <v>0</v>
      </c>
      <c r="T40" s="154" t="str">
        <f t="shared" si="52"/>
        <v/>
      </c>
      <c r="U40" s="153" t="str">
        <f t="shared" si="53"/>
        <v/>
      </c>
      <c r="V40" s="153" t="str">
        <f t="shared" si="54"/>
        <v/>
      </c>
      <c r="W40" s="153" t="str">
        <f t="shared" si="55"/>
        <v/>
      </c>
      <c r="X40" s="545" t="str">
        <f>IF('Marks Entry'!P40="","",'Marks Entry'!P40)</f>
        <v/>
      </c>
      <c r="Y40" s="545" t="str">
        <f>IF('Marks Entry'!Q40="","",'Marks Entry'!Q40)</f>
        <v/>
      </c>
      <c r="Z40" s="545" t="str">
        <f>IF('Marks Entry'!R40="","",'Marks Entry'!R40)</f>
        <v/>
      </c>
      <c r="AA40" s="546" t="str">
        <f t="shared" si="56"/>
        <v/>
      </c>
      <c r="AB40" s="545" t="str">
        <f>IF('Marks Entry'!S40="","",'Marks Entry'!S40)</f>
        <v/>
      </c>
      <c r="AC40" s="546" t="str">
        <f t="shared" si="57"/>
        <v/>
      </c>
      <c r="AD40" s="545" t="str">
        <f>IF('Marks Entry'!T40="","",'Marks Entry'!T40)</f>
        <v/>
      </c>
      <c r="AE40" s="547" t="str">
        <f t="shared" si="58"/>
        <v/>
      </c>
      <c r="AF40" s="153">
        <f t="shared" si="59"/>
        <v>0</v>
      </c>
      <c r="AG40" s="153">
        <f t="shared" si="60"/>
        <v>0</v>
      </c>
      <c r="AH40" s="154" t="str">
        <f t="shared" si="61"/>
        <v/>
      </c>
      <c r="AI40" s="153" t="str">
        <f t="shared" si="62"/>
        <v/>
      </c>
      <c r="AJ40" s="153" t="str">
        <f t="shared" si="63"/>
        <v/>
      </c>
      <c r="AK40" s="153" t="str">
        <f t="shared" si="64"/>
        <v/>
      </c>
      <c r="AL40" s="573" t="str">
        <f>IF('Marks Entry'!U40="","",'Marks Entry'!U40)</f>
        <v/>
      </c>
      <c r="AM40" s="573" t="str">
        <f>IF('Marks Entry'!V40="","",'Marks Entry'!V40)</f>
        <v/>
      </c>
      <c r="AN40" s="573" t="str">
        <f>IF('Marks Entry'!W40="","",'Marks Entry'!W40)</f>
        <v/>
      </c>
      <c r="AO40" s="573" t="str">
        <f>IF('Marks Entry'!X40="","",'Marks Entry'!X40)</f>
        <v/>
      </c>
      <c r="AP40" s="572" t="str">
        <f t="shared" si="65"/>
        <v/>
      </c>
      <c r="AQ40" s="573" t="str">
        <f>IF('Marks Entry'!Y40="","",'Marks Entry'!Y40)</f>
        <v/>
      </c>
      <c r="AR40" s="573" t="str">
        <f>IF('Marks Entry'!Z40="","",'Marks Entry'!Z40)</f>
        <v/>
      </c>
      <c r="AS40" s="572" t="str">
        <f t="shared" si="66"/>
        <v/>
      </c>
      <c r="AT40" s="572" t="str">
        <f t="shared" si="67"/>
        <v/>
      </c>
      <c r="AU40" s="573" t="str">
        <f>IF('Marks Entry'!AA40="","",'Marks Entry'!AA40)</f>
        <v/>
      </c>
      <c r="AV40" s="573" t="str">
        <f>IF('Marks Entry'!AB40="","",'Marks Entry'!AB40)</f>
        <v/>
      </c>
      <c r="AW40" s="572" t="str">
        <f t="shared" si="68"/>
        <v/>
      </c>
      <c r="AX40" s="157" t="str">
        <f t="shared" si="69"/>
        <v/>
      </c>
      <c r="AY40" s="157" t="str">
        <f t="shared" si="70"/>
        <v/>
      </c>
      <c r="AZ40" s="192" t="str">
        <f t="shared" si="71"/>
        <v/>
      </c>
      <c r="BA40" s="153">
        <f t="shared" si="72"/>
        <v>0</v>
      </c>
      <c r="BB40" s="154">
        <f t="shared" si="73"/>
        <v>0</v>
      </c>
      <c r="BC40" s="154" t="str">
        <f t="shared" si="74"/>
        <v/>
      </c>
      <c r="BD40" s="154" t="str">
        <f t="shared" si="75"/>
        <v/>
      </c>
      <c r="BE40" s="154" t="str">
        <f t="shared" si="76"/>
        <v/>
      </c>
      <c r="BF40" s="153" t="str">
        <f t="shared" si="77"/>
        <v/>
      </c>
      <c r="BG40" s="154" t="str">
        <f t="shared" si="175"/>
        <v/>
      </c>
      <c r="BH40" s="153" t="str">
        <f t="shared" si="78"/>
        <v/>
      </c>
      <c r="BI40" s="580" t="str">
        <f>IF('Marks Entry'!AC40="","",'Marks Entry'!AC40)</f>
        <v/>
      </c>
      <c r="BJ40" s="580" t="str">
        <f>IF('Marks Entry'!AD40="","",'Marks Entry'!AD40)</f>
        <v/>
      </c>
      <c r="BK40" s="580" t="str">
        <f>IF('Marks Entry'!AE40="","",'Marks Entry'!AE40)</f>
        <v/>
      </c>
      <c r="BL40" s="580" t="str">
        <f>IF('Marks Entry'!AF40="","",'Marks Entry'!AF40)</f>
        <v/>
      </c>
      <c r="BM40" s="581" t="str">
        <f t="shared" si="79"/>
        <v/>
      </c>
      <c r="BN40" s="580" t="str">
        <f>IF('Marks Entry'!AG40="","",'Marks Entry'!AG40)</f>
        <v/>
      </c>
      <c r="BO40" s="580" t="str">
        <f>IF('Marks Entry'!AH40="","",'Marks Entry'!AH40)</f>
        <v/>
      </c>
      <c r="BP40" s="581" t="str">
        <f t="shared" si="80"/>
        <v/>
      </c>
      <c r="BQ40" s="581" t="str">
        <f t="shared" si="81"/>
        <v/>
      </c>
      <c r="BR40" s="580" t="str">
        <f>IF('Marks Entry'!AI40="","",'Marks Entry'!AI40)</f>
        <v/>
      </c>
      <c r="BS40" s="580" t="str">
        <f>IF('Marks Entry'!AJ40="","",'Marks Entry'!AJ40)</f>
        <v/>
      </c>
      <c r="BT40" s="581" t="str">
        <f t="shared" si="82"/>
        <v/>
      </c>
      <c r="BU40" s="157" t="str">
        <f t="shared" si="83"/>
        <v/>
      </c>
      <c r="BV40" s="157" t="str">
        <f t="shared" si="84"/>
        <v/>
      </c>
      <c r="BW40" s="192" t="str">
        <f t="shared" si="85"/>
        <v/>
      </c>
      <c r="BX40" s="153">
        <f t="shared" si="86"/>
        <v>0</v>
      </c>
      <c r="BY40" s="154">
        <f t="shared" si="87"/>
        <v>0</v>
      </c>
      <c r="BZ40" s="154" t="str">
        <f t="shared" si="88"/>
        <v/>
      </c>
      <c r="CA40" s="154" t="str">
        <f t="shared" si="89"/>
        <v/>
      </c>
      <c r="CB40" s="154" t="str">
        <f t="shared" si="90"/>
        <v/>
      </c>
      <c r="CC40" s="153" t="str">
        <f t="shared" si="91"/>
        <v/>
      </c>
      <c r="CD40" s="154" t="str">
        <f t="shared" si="92"/>
        <v/>
      </c>
      <c r="CE40" s="153" t="str">
        <f t="shared" si="93"/>
        <v/>
      </c>
      <c r="CF40" s="580" t="str">
        <f>IF('Marks Entry'!AK40="","",'Marks Entry'!AK40)</f>
        <v/>
      </c>
      <c r="CG40" s="580" t="str">
        <f>IF('Marks Entry'!AL40="","",'Marks Entry'!AL40)</f>
        <v/>
      </c>
      <c r="CH40" s="580" t="str">
        <f>IF('Marks Entry'!AM40="","",'Marks Entry'!AM40)</f>
        <v/>
      </c>
      <c r="CI40" s="580" t="str">
        <f>IF('Marks Entry'!AN40="","",'Marks Entry'!AN40)</f>
        <v/>
      </c>
      <c r="CJ40" s="581" t="str">
        <f t="shared" si="94"/>
        <v/>
      </c>
      <c r="CK40" s="580" t="str">
        <f>IF('Marks Entry'!AO40="","",'Marks Entry'!AO40)</f>
        <v/>
      </c>
      <c r="CL40" s="580" t="str">
        <f>IF('Marks Entry'!AP40="","",'Marks Entry'!AP40)</f>
        <v/>
      </c>
      <c r="CM40" s="581" t="str">
        <f t="shared" si="95"/>
        <v/>
      </c>
      <c r="CN40" s="581" t="str">
        <f t="shared" si="96"/>
        <v/>
      </c>
      <c r="CO40" s="580" t="str">
        <f>IF('Marks Entry'!AQ40="","",'Marks Entry'!AQ40)</f>
        <v/>
      </c>
      <c r="CP40" s="580" t="str">
        <f>IF('Marks Entry'!AR40="","",'Marks Entry'!AR40)</f>
        <v/>
      </c>
      <c r="CQ40" s="581" t="str">
        <f t="shared" si="97"/>
        <v/>
      </c>
      <c r="CR40" s="157" t="str">
        <f t="shared" si="98"/>
        <v/>
      </c>
      <c r="CS40" s="157" t="str">
        <f t="shared" si="99"/>
        <v/>
      </c>
      <c r="CT40" s="192" t="str">
        <f t="shared" si="100"/>
        <v/>
      </c>
      <c r="CU40" s="153">
        <f t="shared" si="101"/>
        <v>0</v>
      </c>
      <c r="CV40" s="154">
        <f t="shared" si="102"/>
        <v>0</v>
      </c>
      <c r="CW40" s="154" t="str">
        <f t="shared" si="103"/>
        <v/>
      </c>
      <c r="CX40" s="154" t="str">
        <f t="shared" si="104"/>
        <v/>
      </c>
      <c r="CY40" s="154" t="str">
        <f t="shared" si="176"/>
        <v/>
      </c>
      <c r="CZ40" s="153" t="str">
        <f t="shared" si="105"/>
        <v/>
      </c>
      <c r="DA40" s="154" t="str">
        <f t="shared" si="106"/>
        <v/>
      </c>
      <c r="DB40" s="153" t="str">
        <f t="shared" si="107"/>
        <v/>
      </c>
      <c r="DC40" s="154">
        <f t="shared" si="108"/>
        <v>0</v>
      </c>
      <c r="DD40" s="826" t="str">
        <f>IF('Marks Entry'!AS40="","",IF(OR('Master Sheet'!$D$19="YES",'Marks Entry'!$BA$1=1),'Marks Entry'!AS40,""))</f>
        <v/>
      </c>
      <c r="DE40" s="826" t="str">
        <f>IF('Marks Entry'!AT40="","",IF(OR('Master Sheet'!$D$19="YES",'Marks Entry'!$BA$1=1),'Marks Entry'!AT40,""))</f>
        <v/>
      </c>
      <c r="DF40" s="826" t="str">
        <f>IF('Marks Entry'!AU40="","",IF(OR('Master Sheet'!$D$19="YES",'Marks Entry'!$BA$1=1),'Marks Entry'!AU40,""))</f>
        <v/>
      </c>
      <c r="DG40" s="826" t="str">
        <f>IF('Marks Entry'!AV40="","",IF(OR('Master Sheet'!$D$19="YES",'Marks Entry'!$BA$1=1),'Marks Entry'!AV40,""))</f>
        <v/>
      </c>
      <c r="DH40" s="827" t="str">
        <f t="shared" si="109"/>
        <v/>
      </c>
      <c r="DI40" s="826" t="str">
        <f>IF('Marks Entry'!AW40="","",IF(OR('Master Sheet'!$D$19="YES",'Marks Entry'!$BA$1=1),'Marks Entry'!AW40,""))</f>
        <v/>
      </c>
      <c r="DJ40" s="826" t="str">
        <f>IF('Marks Entry'!AX40="","",IF(OR('Master Sheet'!$D$19="YES",'Marks Entry'!$BA$1=1),'Marks Entry'!AX40,""))</f>
        <v/>
      </c>
      <c r="DK40" s="827" t="str">
        <f t="shared" si="110"/>
        <v/>
      </c>
      <c r="DL40" s="827" t="str">
        <f t="shared" si="111"/>
        <v/>
      </c>
      <c r="DM40" s="826" t="str">
        <f>IF('Marks Entry'!AY40="","",IF(OR('Master Sheet'!$D$19="YES",'Marks Entry'!$BA$1=1),'Marks Entry'!AY40,""))</f>
        <v/>
      </c>
      <c r="DN40" s="826" t="str">
        <f>IF('Marks Entry'!AZ40="","",IF(OR('Master Sheet'!$D$19="YES",'Marks Entry'!$BA$1=1),'Marks Entry'!AZ40,""))</f>
        <v/>
      </c>
      <c r="DO40" s="826" t="str">
        <f>IF('Marks Entry'!BA40="","",IF(OR('Master Sheet'!$D$19="YES",'Marks Entry'!$BA$1=1),'Marks Entry'!BA40,""))</f>
        <v/>
      </c>
      <c r="DP40" s="827" t="str">
        <f t="shared" si="112"/>
        <v/>
      </c>
      <c r="DQ40" s="157" t="str">
        <f t="shared" si="113"/>
        <v/>
      </c>
      <c r="DR40" s="157" t="str">
        <f t="shared" si="114"/>
        <v/>
      </c>
      <c r="DS40" s="157" t="str">
        <f t="shared" si="115"/>
        <v/>
      </c>
      <c r="DT40" s="192" t="str">
        <f t="shared" si="116"/>
        <v/>
      </c>
      <c r="DU40" s="153">
        <f t="shared" si="117"/>
        <v>0</v>
      </c>
      <c r="DV40" s="154" t="e">
        <f t="shared" si="118"/>
        <v>#VALUE!</v>
      </c>
      <c r="DW40" s="154" t="str">
        <f t="shared" si="119"/>
        <v/>
      </c>
      <c r="DX40" s="154" t="str">
        <f>IF(OR($B40="NSO",$B40=0,DS40=""),"",IF(AND(DJ40="",DO40=""),"",IF('Master Sheet'!$D$19="YES",$DO$6-COUNTIF(DO40,"ML")*DO$6,DS$6-(COUNTIF(DJ40,"ML")*DJ$6)-(COUNTIF(DO40,"ML")*DO$6))))</f>
        <v/>
      </c>
      <c r="DY40" s="154" t="str">
        <f>IF(OR($B40="NSO",$B40=0),"",IF(AND(DH40="",DI40="",DM40=""),"",IF(AND('Master Sheet'!$D$19="YES",'Marks Entry'!$BA$1=1),100,IF(AND(DJ40="",DO40=""),SUM(($DQ$7+$DR$7)-(DU40+DV40)),SUM(($DQ$6+$DR$6)-(DU40+DV40))))))</f>
        <v/>
      </c>
      <c r="DZ40" s="153" t="str">
        <f t="shared" si="120"/>
        <v/>
      </c>
      <c r="EA40" s="154" t="str">
        <f t="shared" si="121"/>
        <v/>
      </c>
      <c r="EB40" s="153" t="str">
        <f t="shared" si="122"/>
        <v/>
      </c>
      <c r="EC40" s="584" t="str">
        <f>IF('Marks Entry'!BB40="","",'Marks Entry'!BB40)</f>
        <v/>
      </c>
      <c r="ED40" s="584" t="str">
        <f>IF('Marks Entry'!BC40="","",'Marks Entry'!BC40)</f>
        <v/>
      </c>
      <c r="EE40" s="584" t="str">
        <f>IF('Marks Entry'!BD40="","",'Marks Entry'!BD40)</f>
        <v/>
      </c>
      <c r="EF40" s="590" t="str">
        <f t="shared" si="123"/>
        <v/>
      </c>
      <c r="EG40" s="595">
        <f t="shared" si="124"/>
        <v>0</v>
      </c>
      <c r="EH40" s="595">
        <f t="shared" si="125"/>
        <v>0</v>
      </c>
      <c r="EI40" s="193" t="str">
        <f t="shared" si="126"/>
        <v/>
      </c>
      <c r="EJ40" s="595" t="str">
        <f t="shared" si="127"/>
        <v/>
      </c>
      <c r="EK40" s="595" t="str">
        <f t="shared" si="128"/>
        <v/>
      </c>
      <c r="EL40" s="194" t="str">
        <f t="shared" si="129"/>
        <v/>
      </c>
      <c r="EM40" s="194" t="str">
        <f t="shared" si="130"/>
        <v/>
      </c>
      <c r="EN40" s="194" t="str">
        <f t="shared" si="131"/>
        <v/>
      </c>
      <c r="EO40" s="194" t="str">
        <f t="shared" si="132"/>
        <v/>
      </c>
      <c r="EP40" s="194" t="str">
        <f t="shared" si="133"/>
        <v/>
      </c>
      <c r="EQ40" s="194" t="str">
        <f t="shared" si="134"/>
        <v/>
      </c>
      <c r="ER40" s="195">
        <f t="shared" si="135"/>
        <v>0</v>
      </c>
      <c r="ES40" s="195">
        <f t="shared" si="136"/>
        <v>0</v>
      </c>
      <c r="ET40" s="195">
        <f t="shared" si="137"/>
        <v>0</v>
      </c>
      <c r="EU40" s="195">
        <f t="shared" si="138"/>
        <v>0</v>
      </c>
      <c r="EV40" s="195">
        <f t="shared" si="139"/>
        <v>0</v>
      </c>
      <c r="EW40" s="195" t="str">
        <f t="shared" si="140"/>
        <v/>
      </c>
      <c r="EX40" s="196" t="str">
        <f t="shared" si="141"/>
        <v/>
      </c>
      <c r="EY40" s="197" t="str">
        <f>IF('Marks Entry'!BE40="","",'Marks Entry'!BE40)</f>
        <v/>
      </c>
      <c r="EZ40" s="197" t="str">
        <f>IF('Marks Entry'!BF40="","",'Marks Entry'!BF40)</f>
        <v/>
      </c>
      <c r="FA40" s="197" t="str">
        <f>IF('Marks Entry'!BG40="","",'Marks Entry'!BG40)</f>
        <v/>
      </c>
      <c r="FB40" s="596" t="str">
        <f t="shared" si="142"/>
        <v/>
      </c>
      <c r="FC40" s="197" t="str">
        <f>IF('Marks Entry'!BH40="","",'Marks Entry'!BH40)</f>
        <v/>
      </c>
      <c r="FD40" s="197" t="str">
        <f>IF('Marks Entry'!BI40="","",'Marks Entry'!BI40)</f>
        <v/>
      </c>
      <c r="FE40" s="198" t="str">
        <f t="shared" si="143"/>
        <v/>
      </c>
      <c r="FF40" s="199" t="str">
        <f t="shared" si="144"/>
        <v/>
      </c>
      <c r="FG40" s="200" t="str">
        <f>IF(AND(E40=""),"",IF('Student DATA Entry'!L36="","",'Student DATA Entry'!L36))</f>
        <v/>
      </c>
      <c r="FH40" s="201" t="str">
        <f>IF(AND(E40=""),"",IF('Student DATA Entry'!M36="","",'Student DATA Entry'!M36))</f>
        <v/>
      </c>
      <c r="FI40" s="202" t="str">
        <f t="shared" si="145"/>
        <v/>
      </c>
      <c r="FJ40" s="189" t="str">
        <f t="shared" si="146"/>
        <v/>
      </c>
      <c r="FK40" s="189" t="str">
        <f t="shared" si="147"/>
        <v/>
      </c>
      <c r="FL40" s="203" t="str">
        <f t="shared" ref="FL40:FL71" si="178">IF(FJ40="G",ROUNDUP(36%*T40-Q40,0),"")</f>
        <v/>
      </c>
      <c r="FM40" s="189" t="str">
        <f t="shared" si="148"/>
        <v/>
      </c>
      <c r="FN40" s="204" t="str">
        <f t="shared" si="149"/>
        <v/>
      </c>
      <c r="FO40" s="203" t="str">
        <f t="shared" ref="FO40:FO71" si="179">IF(FM40="G",ROUNDUP(36%*AH40-AE40,0),"")</f>
        <v/>
      </c>
      <c r="FP40" s="205" t="str">
        <f t="shared" si="150"/>
        <v/>
      </c>
      <c r="FQ40" s="189" t="str">
        <f t="shared" ref="FQ40:FQ71" si="180">IF(AL40="A",FP40,"")</f>
        <v/>
      </c>
      <c r="FR40" s="189" t="str">
        <f t="shared" ref="FR40:FR71" si="181">IF(AL40="B",FP40,"")</f>
        <v/>
      </c>
      <c r="FS40" s="189" t="str">
        <f t="shared" ref="FS40:FS71" si="182">IF(AL40="C",FP40,"")</f>
        <v/>
      </c>
      <c r="FT40" s="189" t="str">
        <f t="shared" ref="FT40:FT71" si="183">IF(AL40="D",FP40,"")</f>
        <v/>
      </c>
      <c r="FU40" s="189" t="str">
        <f t="shared" si="151"/>
        <v/>
      </c>
      <c r="FV40" s="206" t="str">
        <f t="shared" ref="FV40:FV71" si="184">IF(FP40="G",ROUNDUP(36%*BE40-AX40,0),"")</f>
        <v/>
      </c>
      <c r="FW40" s="205" t="str">
        <f t="shared" si="152"/>
        <v/>
      </c>
      <c r="FX40" s="189" t="str">
        <f t="shared" ref="FX40:FX71" si="185">IF(BI40="A",FW40,"")</f>
        <v/>
      </c>
      <c r="FY40" s="189" t="str">
        <f t="shared" ref="FY40:FY71" si="186">IF(BI40="B",FW40,"")</f>
        <v/>
      </c>
      <c r="FZ40" s="189" t="str">
        <f t="shared" ref="FZ40:FZ71" si="187">IF(BI40="C",FW40,"")</f>
        <v/>
      </c>
      <c r="GA40" s="189" t="str">
        <f t="shared" ref="GA40:GA71" si="188">IF(BI40="D",FW40,"")</f>
        <v/>
      </c>
      <c r="GB40" s="189" t="str">
        <f t="shared" si="153"/>
        <v/>
      </c>
      <c r="GC40" s="206" t="str">
        <f t="shared" ref="GC40:GC71" si="189">IF(FW40="G",ROUNDUP(36%*CB40-BU40,0),"")</f>
        <v/>
      </c>
      <c r="GD40" s="205" t="str">
        <f t="shared" si="154"/>
        <v/>
      </c>
      <c r="GE40" s="189" t="str">
        <f t="shared" ref="GE40:GE71" si="190">IF(CF40="A",GD40,"")</f>
        <v/>
      </c>
      <c r="GF40" s="189" t="str">
        <f t="shared" ref="GF40:GF71" si="191">IF(CF40="B",GD40,"")</f>
        <v/>
      </c>
      <c r="GG40" s="189" t="str">
        <f t="shared" ref="GG40:GG71" si="192">IF(CF40="C",GD40,"")</f>
        <v/>
      </c>
      <c r="GH40" s="189" t="str">
        <f t="shared" ref="GH40:GH71" si="193">IF(CF40="D",GD40,"")</f>
        <v/>
      </c>
      <c r="GI40" s="189" t="str">
        <f t="shared" si="155"/>
        <v/>
      </c>
      <c r="GJ40" s="206" t="str">
        <f t="shared" ref="GJ40:GJ71" si="194">IF(GD40="G",ROUNDUP(36%*CY40-CR40,0),"")</f>
        <v/>
      </c>
      <c r="GK40" s="205" t="str">
        <f t="shared" si="156"/>
        <v/>
      </c>
      <c r="GL40" s="189" t="str">
        <f t="shared" ref="GL40:GL71" si="195">IF(DD40="A",GK40,"")</f>
        <v/>
      </c>
      <c r="GM40" s="189" t="str">
        <f t="shared" ref="GM40:GM71" si="196">IF(DD40="B",GK40,"")</f>
        <v/>
      </c>
      <c r="GN40" s="189" t="str">
        <f t="shared" ref="GN40:GN71" si="197">IF(DD40="C",GK40,"")</f>
        <v/>
      </c>
      <c r="GO40" s="189" t="str">
        <f t="shared" ref="GO40:GO71" si="198">IF(DD40="D",GK40,"")</f>
        <v/>
      </c>
      <c r="GP40" s="189" t="str">
        <f t="shared" si="157"/>
        <v/>
      </c>
      <c r="GQ40" s="206" t="str">
        <f t="shared" ref="GQ40:GQ71" si="199">IF(GK40="G",ROUNDUP(36%*DY40-DQ40,0),"")</f>
        <v/>
      </c>
      <c r="GR40" s="189" t="str">
        <f t="shared" si="158"/>
        <v/>
      </c>
      <c r="GS40" s="189" t="str">
        <f t="shared" si="159"/>
        <v/>
      </c>
      <c r="GT40" s="207" t="str">
        <f t="shared" si="177"/>
        <v xml:space="preserve">    </v>
      </c>
      <c r="GU40" s="207" t="str">
        <f t="shared" si="160"/>
        <v xml:space="preserve">    </v>
      </c>
      <c r="GV40" s="207" t="str">
        <f t="shared" si="161"/>
        <v xml:space="preserve">    </v>
      </c>
      <c r="GW40" s="207" t="str">
        <f t="shared" si="162"/>
        <v xml:space="preserve">       </v>
      </c>
      <c r="GX40" s="598" t="str">
        <f t="shared" si="163"/>
        <v xml:space="preserve">     </v>
      </c>
      <c r="GY40" s="208" t="str">
        <f t="shared" ref="GY40:GY71" si="200">IF(B40="NSO","NSO",IF(AND(OR(EX40="PASS",EX40="BY GRACE PASS",EX40="RE-EXAM"),EW40="F"),"FAIL",IF(AND(OR(EX40="PASS",EX40="BY GRACE PASS"),EW40="RE"),"RE-EXAM",EX40)))</f>
        <v/>
      </c>
      <c r="GZ40" s="606" t="str">
        <f>IF(AND(Q40="",AE40="",AZ40="",BW40="",CT40=""),"",IF(AND('Master Sheet'!$D$19="YES",'Marks Entry'!$BA$1=1),SUM(Q40,AE40,AZ40,BW40,DT40),SUM(Q40,AE40,AZ40,BW40,CT40)))</f>
        <v/>
      </c>
      <c r="HA40" s="209" t="str">
        <f>IF(GZ40="","",IF(AND('Master Sheet'!$D$19="YES",'Marks Entry'!$BA$1=1),GZ40/((900)-DC40)*100,GZ40/((1000)-DC40)*100))</f>
        <v/>
      </c>
      <c r="HB40" s="611" t="str">
        <f t="shared" si="165"/>
        <v/>
      </c>
      <c r="HC40" s="609" t="str">
        <f t="shared" si="166"/>
        <v/>
      </c>
      <c r="HD40" s="610" t="str">
        <f t="shared" si="167"/>
        <v/>
      </c>
      <c r="HE40" s="210" t="str">
        <f>IFERROR(IF(OR(GY40="SUPPLEMENTARY",GY40="RE-EXAM"),'Supp. Result Entry'!AS39,""),"")</f>
        <v/>
      </c>
      <c r="HF40" s="613" t="str">
        <f t="shared" si="168"/>
        <v/>
      </c>
      <c r="HG40" s="598" t="str">
        <f t="shared" si="169"/>
        <v/>
      </c>
      <c r="HH40" s="598" t="str">
        <f>IF(AND(HE40="",HF40="",HG40=""),"",IF(OR(GY40="SUPPLEMENTARY",GY40="RE-EXAM"),'Supp. Result Entry'!AS39,GY40))</f>
        <v/>
      </c>
      <c r="HI40" s="180"/>
      <c r="HJ40" s="214"/>
      <c r="HY40" s="212" t="str">
        <f>IF('Supp. Result Entry'!U39="","",'Supp. Result Entry'!$U$6)</f>
        <v/>
      </c>
      <c r="HZ40" s="213" t="str">
        <f>IF('Supp. Result Entry'!X39="","",'Supp. Result Entry'!$X$6)</f>
        <v/>
      </c>
      <c r="IA40" s="213" t="str">
        <f>IF('Supp. Result Entry'!AA39="","",'Supp. Result Entry'!$AA$6)</f>
        <v/>
      </c>
      <c r="IB40" s="213" t="str">
        <f>IF('Supp. Result Entry'!AD39="","",'Supp. Result Entry'!$AD$6)</f>
        <v/>
      </c>
      <c r="IC40" s="213" t="str">
        <f>IF('Supp. Result Entry'!AG39="","",'Supp. Result Entry'!$AG$6)</f>
        <v/>
      </c>
      <c r="ID40" s="213" t="str">
        <f>IF('Supp. Result Entry'!AJ39="","",'Supp. Result Entry'!$AJ$6)</f>
        <v/>
      </c>
      <c r="IE40" s="213" t="str">
        <f>IF('Supp. Result Entry'!V39="","",'Supp. Result Entry'!V39)</f>
        <v/>
      </c>
      <c r="IF40" s="213" t="str">
        <f>IF('Supp. Result Entry'!Y39="","",'Supp. Result Entry'!Y39)</f>
        <v/>
      </c>
      <c r="IG40" s="213" t="str">
        <f>IF('Supp. Result Entry'!AB39="","",'Supp. Result Entry'!AB39)</f>
        <v/>
      </c>
      <c r="IH40" s="213" t="str">
        <f>IF('Supp. Result Entry'!AE39="","",'Supp. Result Entry'!AE39)</f>
        <v/>
      </c>
      <c r="II40" s="213" t="str">
        <f>IF('Supp. Result Entry'!AH39="","",'Supp. Result Entry'!AH39)</f>
        <v/>
      </c>
      <c r="IJ40" s="213" t="str">
        <f>IF('Supp. Result Entry'!AK39="","",'Supp. Result Entry'!AK39)</f>
        <v/>
      </c>
      <c r="IK40" s="213" t="str">
        <f>IF('Supp. Result Entry'!W39="","",'Supp. Result Entry'!W39)</f>
        <v/>
      </c>
      <c r="IL40" s="213" t="str">
        <f>IF('Supp. Result Entry'!Z39="","",'Supp. Result Entry'!Z39)</f>
        <v/>
      </c>
      <c r="IM40" s="213" t="str">
        <f>IF('Supp. Result Entry'!AC39="","",'Supp. Result Entry'!AC39)</f>
        <v/>
      </c>
      <c r="IN40" s="213" t="str">
        <f>IF('Supp. Result Entry'!AF39="","",'Supp. Result Entry'!AF39)</f>
        <v/>
      </c>
      <c r="IO40" s="213" t="str">
        <f>IF('Supp. Result Entry'!AI39="","",'Supp. Result Entry'!AI39)</f>
        <v/>
      </c>
      <c r="IP40" s="213" t="str">
        <f>IF('Supp. Result Entry'!AL39="","",'Supp. Result Entry'!AL39)</f>
        <v/>
      </c>
      <c r="IQ40" s="213">
        <f>COUNTIF('Supp. Result Entry'!K39:Q39,"S")</f>
        <v>0</v>
      </c>
      <c r="IR40" s="213">
        <f t="shared" si="170"/>
        <v>0</v>
      </c>
      <c r="IS40" s="213">
        <f t="shared" si="171"/>
        <v>0</v>
      </c>
      <c r="IT40" s="213" t="str">
        <f t="shared" si="41"/>
        <v/>
      </c>
      <c r="IU40" s="213" t="str">
        <f t="shared" si="42"/>
        <v/>
      </c>
      <c r="IV40" s="213" t="str">
        <f t="shared" si="43"/>
        <v/>
      </c>
      <c r="IW40" s="213" t="str">
        <f t="shared" si="44"/>
        <v/>
      </c>
      <c r="IX40" s="213" t="str">
        <f t="shared" si="45"/>
        <v/>
      </c>
      <c r="IY40" s="213" t="str">
        <f t="shared" si="172"/>
        <v/>
      </c>
      <c r="IZ40" s="213" t="str">
        <f t="shared" si="173"/>
        <v/>
      </c>
      <c r="JA40" s="213" t="str">
        <f t="shared" si="46"/>
        <v/>
      </c>
      <c r="JB40" s="211" t="str">
        <f t="shared" si="174"/>
        <v/>
      </c>
    </row>
    <row r="41" spans="1:262" s="211" customFormat="1" ht="21" customHeight="1">
      <c r="A41" s="184">
        <v>34</v>
      </c>
      <c r="B41" s="185" t="str">
        <f>IF('Marks Entry'!B41="","",'Marks Entry'!B41)</f>
        <v/>
      </c>
      <c r="C41" s="186" t="str">
        <f>IF('Marks Entry'!D41="","",'Marks Entry'!D41)</f>
        <v/>
      </c>
      <c r="D41" s="187" t="str">
        <f>IF('Marks Entry'!E41="","",'Marks Entry'!E41)</f>
        <v/>
      </c>
      <c r="E41" s="188" t="str">
        <f>IF('Marks Entry'!F41="","",'Marks Entry'!F41)</f>
        <v/>
      </c>
      <c r="F41" s="188" t="str">
        <f>IF('Marks Entry'!G41="","",'Marks Entry'!G41)</f>
        <v/>
      </c>
      <c r="G41" s="188" t="str">
        <f>IF('Marks Entry'!H41="","",'Marks Entry'!H41)</f>
        <v/>
      </c>
      <c r="H41" s="189" t="str">
        <f>IF('Marks Entry'!I41="","",'Marks Entry'!I41)</f>
        <v/>
      </c>
      <c r="I41" s="190" t="str">
        <f>IF('Marks Entry'!J41="","",'Marks Entry'!J41)</f>
        <v/>
      </c>
      <c r="J41" s="545" t="str">
        <f>IF('Marks Entry'!K41="","",'Marks Entry'!K41)</f>
        <v/>
      </c>
      <c r="K41" s="545" t="str">
        <f>IF('Marks Entry'!L41="","",'Marks Entry'!L41)</f>
        <v/>
      </c>
      <c r="L41" s="545" t="str">
        <f>IF('Marks Entry'!M41="","",'Marks Entry'!M41)</f>
        <v/>
      </c>
      <c r="M41" s="546" t="str">
        <f t="shared" si="47"/>
        <v/>
      </c>
      <c r="N41" s="545" t="str">
        <f>IF('Marks Entry'!N41="","",'Marks Entry'!N41)</f>
        <v/>
      </c>
      <c r="O41" s="546" t="str">
        <f t="shared" si="48"/>
        <v/>
      </c>
      <c r="P41" s="545" t="str">
        <f>IF('Marks Entry'!O41="","",'Marks Entry'!O41)</f>
        <v/>
      </c>
      <c r="Q41" s="547" t="str">
        <f t="shared" si="49"/>
        <v/>
      </c>
      <c r="R41" s="153">
        <f t="shared" si="50"/>
        <v>0</v>
      </c>
      <c r="S41" s="153">
        <f t="shared" si="51"/>
        <v>0</v>
      </c>
      <c r="T41" s="154" t="str">
        <f t="shared" si="52"/>
        <v/>
      </c>
      <c r="U41" s="153" t="str">
        <f t="shared" si="53"/>
        <v/>
      </c>
      <c r="V41" s="153" t="str">
        <f t="shared" si="54"/>
        <v/>
      </c>
      <c r="W41" s="153" t="str">
        <f t="shared" si="55"/>
        <v/>
      </c>
      <c r="X41" s="545" t="str">
        <f>IF('Marks Entry'!P41="","",'Marks Entry'!P41)</f>
        <v/>
      </c>
      <c r="Y41" s="545" t="str">
        <f>IF('Marks Entry'!Q41="","",'Marks Entry'!Q41)</f>
        <v/>
      </c>
      <c r="Z41" s="545" t="str">
        <f>IF('Marks Entry'!R41="","",'Marks Entry'!R41)</f>
        <v/>
      </c>
      <c r="AA41" s="546" t="str">
        <f t="shared" si="56"/>
        <v/>
      </c>
      <c r="AB41" s="545" t="str">
        <f>IF('Marks Entry'!S41="","",'Marks Entry'!S41)</f>
        <v/>
      </c>
      <c r="AC41" s="546" t="str">
        <f t="shared" si="57"/>
        <v/>
      </c>
      <c r="AD41" s="545" t="str">
        <f>IF('Marks Entry'!T41="","",'Marks Entry'!T41)</f>
        <v/>
      </c>
      <c r="AE41" s="547" t="str">
        <f t="shared" si="58"/>
        <v/>
      </c>
      <c r="AF41" s="153">
        <f t="shared" si="59"/>
        <v>0</v>
      </c>
      <c r="AG41" s="153">
        <f t="shared" si="60"/>
        <v>0</v>
      </c>
      <c r="AH41" s="154" t="str">
        <f t="shared" si="61"/>
        <v/>
      </c>
      <c r="AI41" s="153" t="str">
        <f t="shared" si="62"/>
        <v/>
      </c>
      <c r="AJ41" s="153" t="str">
        <f t="shared" si="63"/>
        <v/>
      </c>
      <c r="AK41" s="153" t="str">
        <f t="shared" si="64"/>
        <v/>
      </c>
      <c r="AL41" s="573" t="str">
        <f>IF('Marks Entry'!U41="","",'Marks Entry'!U41)</f>
        <v/>
      </c>
      <c r="AM41" s="573" t="str">
        <f>IF('Marks Entry'!V41="","",'Marks Entry'!V41)</f>
        <v/>
      </c>
      <c r="AN41" s="573" t="str">
        <f>IF('Marks Entry'!W41="","",'Marks Entry'!W41)</f>
        <v/>
      </c>
      <c r="AO41" s="573" t="str">
        <f>IF('Marks Entry'!X41="","",'Marks Entry'!X41)</f>
        <v/>
      </c>
      <c r="AP41" s="572" t="str">
        <f t="shared" si="65"/>
        <v/>
      </c>
      <c r="AQ41" s="573" t="str">
        <f>IF('Marks Entry'!Y41="","",'Marks Entry'!Y41)</f>
        <v/>
      </c>
      <c r="AR41" s="573" t="str">
        <f>IF('Marks Entry'!Z41="","",'Marks Entry'!Z41)</f>
        <v/>
      </c>
      <c r="AS41" s="572" t="str">
        <f t="shared" si="66"/>
        <v/>
      </c>
      <c r="AT41" s="572" t="str">
        <f t="shared" si="67"/>
        <v/>
      </c>
      <c r="AU41" s="573" t="str">
        <f>IF('Marks Entry'!AA41="","",'Marks Entry'!AA41)</f>
        <v/>
      </c>
      <c r="AV41" s="573" t="str">
        <f>IF('Marks Entry'!AB41="","",'Marks Entry'!AB41)</f>
        <v/>
      </c>
      <c r="AW41" s="572" t="str">
        <f t="shared" si="68"/>
        <v/>
      </c>
      <c r="AX41" s="157" t="str">
        <f t="shared" si="69"/>
        <v/>
      </c>
      <c r="AY41" s="157" t="str">
        <f t="shared" si="70"/>
        <v/>
      </c>
      <c r="AZ41" s="192" t="str">
        <f t="shared" si="71"/>
        <v/>
      </c>
      <c r="BA41" s="153">
        <f t="shared" si="72"/>
        <v>0</v>
      </c>
      <c r="BB41" s="154">
        <f t="shared" si="73"/>
        <v>0</v>
      </c>
      <c r="BC41" s="154" t="str">
        <f t="shared" si="74"/>
        <v/>
      </c>
      <c r="BD41" s="154" t="str">
        <f t="shared" si="75"/>
        <v/>
      </c>
      <c r="BE41" s="154" t="str">
        <f t="shared" si="76"/>
        <v/>
      </c>
      <c r="BF41" s="153" t="str">
        <f t="shared" si="77"/>
        <v/>
      </c>
      <c r="BG41" s="154" t="str">
        <f t="shared" si="175"/>
        <v/>
      </c>
      <c r="BH41" s="153" t="str">
        <f t="shared" si="78"/>
        <v/>
      </c>
      <c r="BI41" s="580" t="str">
        <f>IF('Marks Entry'!AC41="","",'Marks Entry'!AC41)</f>
        <v/>
      </c>
      <c r="BJ41" s="580" t="str">
        <f>IF('Marks Entry'!AD41="","",'Marks Entry'!AD41)</f>
        <v/>
      </c>
      <c r="BK41" s="580" t="str">
        <f>IF('Marks Entry'!AE41="","",'Marks Entry'!AE41)</f>
        <v/>
      </c>
      <c r="BL41" s="580" t="str">
        <f>IF('Marks Entry'!AF41="","",'Marks Entry'!AF41)</f>
        <v/>
      </c>
      <c r="BM41" s="581" t="str">
        <f t="shared" si="79"/>
        <v/>
      </c>
      <c r="BN41" s="580" t="str">
        <f>IF('Marks Entry'!AG41="","",'Marks Entry'!AG41)</f>
        <v/>
      </c>
      <c r="BO41" s="580" t="str">
        <f>IF('Marks Entry'!AH41="","",'Marks Entry'!AH41)</f>
        <v/>
      </c>
      <c r="BP41" s="581" t="str">
        <f t="shared" si="80"/>
        <v/>
      </c>
      <c r="BQ41" s="581" t="str">
        <f t="shared" si="81"/>
        <v/>
      </c>
      <c r="BR41" s="580" t="str">
        <f>IF('Marks Entry'!AI41="","",'Marks Entry'!AI41)</f>
        <v/>
      </c>
      <c r="BS41" s="580" t="str">
        <f>IF('Marks Entry'!AJ41="","",'Marks Entry'!AJ41)</f>
        <v/>
      </c>
      <c r="BT41" s="581" t="str">
        <f t="shared" si="82"/>
        <v/>
      </c>
      <c r="BU41" s="157" t="str">
        <f t="shared" si="83"/>
        <v/>
      </c>
      <c r="BV41" s="157" t="str">
        <f t="shared" si="84"/>
        <v/>
      </c>
      <c r="BW41" s="192" t="str">
        <f t="shared" si="85"/>
        <v/>
      </c>
      <c r="BX41" s="153">
        <f t="shared" si="86"/>
        <v>0</v>
      </c>
      <c r="BY41" s="154">
        <f t="shared" si="87"/>
        <v>0</v>
      </c>
      <c r="BZ41" s="154" t="str">
        <f t="shared" si="88"/>
        <v/>
      </c>
      <c r="CA41" s="154" t="str">
        <f t="shared" si="89"/>
        <v/>
      </c>
      <c r="CB41" s="154" t="str">
        <f t="shared" si="90"/>
        <v/>
      </c>
      <c r="CC41" s="153" t="str">
        <f t="shared" si="91"/>
        <v/>
      </c>
      <c r="CD41" s="154" t="str">
        <f t="shared" si="92"/>
        <v/>
      </c>
      <c r="CE41" s="153" t="str">
        <f t="shared" si="93"/>
        <v/>
      </c>
      <c r="CF41" s="580" t="str">
        <f>IF('Marks Entry'!AK41="","",'Marks Entry'!AK41)</f>
        <v/>
      </c>
      <c r="CG41" s="580" t="str">
        <f>IF('Marks Entry'!AL41="","",'Marks Entry'!AL41)</f>
        <v/>
      </c>
      <c r="CH41" s="580" t="str">
        <f>IF('Marks Entry'!AM41="","",'Marks Entry'!AM41)</f>
        <v/>
      </c>
      <c r="CI41" s="580" t="str">
        <f>IF('Marks Entry'!AN41="","",'Marks Entry'!AN41)</f>
        <v/>
      </c>
      <c r="CJ41" s="581" t="str">
        <f t="shared" si="94"/>
        <v/>
      </c>
      <c r="CK41" s="580" t="str">
        <f>IF('Marks Entry'!AO41="","",'Marks Entry'!AO41)</f>
        <v/>
      </c>
      <c r="CL41" s="580" t="str">
        <f>IF('Marks Entry'!AP41="","",'Marks Entry'!AP41)</f>
        <v/>
      </c>
      <c r="CM41" s="581" t="str">
        <f t="shared" si="95"/>
        <v/>
      </c>
      <c r="CN41" s="581" t="str">
        <f t="shared" si="96"/>
        <v/>
      </c>
      <c r="CO41" s="580" t="str">
        <f>IF('Marks Entry'!AQ41="","",'Marks Entry'!AQ41)</f>
        <v/>
      </c>
      <c r="CP41" s="580" t="str">
        <f>IF('Marks Entry'!AR41="","",'Marks Entry'!AR41)</f>
        <v/>
      </c>
      <c r="CQ41" s="581" t="str">
        <f t="shared" si="97"/>
        <v/>
      </c>
      <c r="CR41" s="157" t="str">
        <f t="shared" si="98"/>
        <v/>
      </c>
      <c r="CS41" s="157" t="str">
        <f t="shared" si="99"/>
        <v/>
      </c>
      <c r="CT41" s="192" t="str">
        <f t="shared" si="100"/>
        <v/>
      </c>
      <c r="CU41" s="153">
        <f t="shared" si="101"/>
        <v>0</v>
      </c>
      <c r="CV41" s="154">
        <f t="shared" si="102"/>
        <v>0</v>
      </c>
      <c r="CW41" s="154" t="str">
        <f t="shared" si="103"/>
        <v/>
      </c>
      <c r="CX41" s="154" t="str">
        <f t="shared" si="104"/>
        <v/>
      </c>
      <c r="CY41" s="154" t="str">
        <f t="shared" si="176"/>
        <v/>
      </c>
      <c r="CZ41" s="153" t="str">
        <f t="shared" si="105"/>
        <v/>
      </c>
      <c r="DA41" s="154" t="str">
        <f t="shared" si="106"/>
        <v/>
      </c>
      <c r="DB41" s="153" t="str">
        <f t="shared" si="107"/>
        <v/>
      </c>
      <c r="DC41" s="154">
        <f t="shared" si="108"/>
        <v>0</v>
      </c>
      <c r="DD41" s="826" t="str">
        <f>IF('Marks Entry'!AS41="","",IF(OR('Master Sheet'!$D$19="YES",'Marks Entry'!$BA$1=1),'Marks Entry'!AS41,""))</f>
        <v/>
      </c>
      <c r="DE41" s="826" t="str">
        <f>IF('Marks Entry'!AT41="","",IF(OR('Master Sheet'!$D$19="YES",'Marks Entry'!$BA$1=1),'Marks Entry'!AT41,""))</f>
        <v/>
      </c>
      <c r="DF41" s="826" t="str">
        <f>IF('Marks Entry'!AU41="","",IF(OR('Master Sheet'!$D$19="YES",'Marks Entry'!$BA$1=1),'Marks Entry'!AU41,""))</f>
        <v/>
      </c>
      <c r="DG41" s="826" t="str">
        <f>IF('Marks Entry'!AV41="","",IF(OR('Master Sheet'!$D$19="YES",'Marks Entry'!$BA$1=1),'Marks Entry'!AV41,""))</f>
        <v/>
      </c>
      <c r="DH41" s="827" t="str">
        <f t="shared" si="109"/>
        <v/>
      </c>
      <c r="DI41" s="826" t="str">
        <f>IF('Marks Entry'!AW41="","",IF(OR('Master Sheet'!$D$19="YES",'Marks Entry'!$BA$1=1),'Marks Entry'!AW41,""))</f>
        <v/>
      </c>
      <c r="DJ41" s="826" t="str">
        <f>IF('Marks Entry'!AX41="","",IF(OR('Master Sheet'!$D$19="YES",'Marks Entry'!$BA$1=1),'Marks Entry'!AX41,""))</f>
        <v/>
      </c>
      <c r="DK41" s="827" t="str">
        <f t="shared" si="110"/>
        <v/>
      </c>
      <c r="DL41" s="827" t="str">
        <f t="shared" si="111"/>
        <v/>
      </c>
      <c r="DM41" s="826" t="str">
        <f>IF('Marks Entry'!AY41="","",IF(OR('Master Sheet'!$D$19="YES",'Marks Entry'!$BA$1=1),'Marks Entry'!AY41,""))</f>
        <v/>
      </c>
      <c r="DN41" s="826" t="str">
        <f>IF('Marks Entry'!AZ41="","",IF(OR('Master Sheet'!$D$19="YES",'Marks Entry'!$BA$1=1),'Marks Entry'!AZ41,""))</f>
        <v/>
      </c>
      <c r="DO41" s="826" t="str">
        <f>IF('Marks Entry'!BA41="","",IF(OR('Master Sheet'!$D$19="YES",'Marks Entry'!$BA$1=1),'Marks Entry'!BA41,""))</f>
        <v/>
      </c>
      <c r="DP41" s="827" t="str">
        <f t="shared" si="112"/>
        <v/>
      </c>
      <c r="DQ41" s="157" t="str">
        <f t="shared" si="113"/>
        <v/>
      </c>
      <c r="DR41" s="157" t="str">
        <f t="shared" si="114"/>
        <v/>
      </c>
      <c r="DS41" s="157" t="str">
        <f t="shared" si="115"/>
        <v/>
      </c>
      <c r="DT41" s="192" t="str">
        <f t="shared" si="116"/>
        <v/>
      </c>
      <c r="DU41" s="153">
        <f t="shared" si="117"/>
        <v>0</v>
      </c>
      <c r="DV41" s="154" t="e">
        <f t="shared" si="118"/>
        <v>#VALUE!</v>
      </c>
      <c r="DW41" s="154" t="str">
        <f t="shared" si="119"/>
        <v/>
      </c>
      <c r="DX41" s="154" t="str">
        <f>IF(OR($B41="NSO",$B41=0,DS41=""),"",IF(AND(DJ41="",DO41=""),"",IF('Master Sheet'!$D$19="YES",$DO$6-COUNTIF(DO41,"ML")*DO$6,DS$6-(COUNTIF(DJ41,"ML")*DJ$6)-(COUNTIF(DO41,"ML")*DO$6))))</f>
        <v/>
      </c>
      <c r="DY41" s="154" t="str">
        <f>IF(OR($B41="NSO",$B41=0),"",IF(AND(DH41="",DI41="",DM41=""),"",IF(AND('Master Sheet'!$D$19="YES",'Marks Entry'!$BA$1=1),100,IF(AND(DJ41="",DO41=""),SUM(($DQ$7+$DR$7)-(DU41+DV41)),SUM(($DQ$6+$DR$6)-(DU41+DV41))))))</f>
        <v/>
      </c>
      <c r="DZ41" s="153" t="str">
        <f t="shared" si="120"/>
        <v/>
      </c>
      <c r="EA41" s="154" t="str">
        <f t="shared" si="121"/>
        <v/>
      </c>
      <c r="EB41" s="153" t="str">
        <f t="shared" si="122"/>
        <v/>
      </c>
      <c r="EC41" s="584" t="str">
        <f>IF('Marks Entry'!BB41="","",'Marks Entry'!BB41)</f>
        <v/>
      </c>
      <c r="ED41" s="584" t="str">
        <f>IF('Marks Entry'!BC41="","",'Marks Entry'!BC41)</f>
        <v/>
      </c>
      <c r="EE41" s="584" t="str">
        <f>IF('Marks Entry'!BD41="","",'Marks Entry'!BD41)</f>
        <v/>
      </c>
      <c r="EF41" s="590" t="str">
        <f t="shared" si="123"/>
        <v/>
      </c>
      <c r="EG41" s="595">
        <f t="shared" si="124"/>
        <v>0</v>
      </c>
      <c r="EH41" s="595">
        <f t="shared" si="125"/>
        <v>0</v>
      </c>
      <c r="EI41" s="193" t="str">
        <f t="shared" si="126"/>
        <v/>
      </c>
      <c r="EJ41" s="595" t="str">
        <f t="shared" si="127"/>
        <v/>
      </c>
      <c r="EK41" s="595" t="str">
        <f t="shared" si="128"/>
        <v/>
      </c>
      <c r="EL41" s="194" t="str">
        <f t="shared" si="129"/>
        <v/>
      </c>
      <c r="EM41" s="194" t="str">
        <f t="shared" si="130"/>
        <v/>
      </c>
      <c r="EN41" s="194" t="str">
        <f t="shared" si="131"/>
        <v/>
      </c>
      <c r="EO41" s="194" t="str">
        <f t="shared" si="132"/>
        <v/>
      </c>
      <c r="EP41" s="194" t="str">
        <f t="shared" si="133"/>
        <v/>
      </c>
      <c r="EQ41" s="194" t="str">
        <f t="shared" si="134"/>
        <v/>
      </c>
      <c r="ER41" s="195">
        <f t="shared" si="135"/>
        <v>0</v>
      </c>
      <c r="ES41" s="195">
        <f t="shared" si="136"/>
        <v>0</v>
      </c>
      <c r="ET41" s="195">
        <f t="shared" si="137"/>
        <v>0</v>
      </c>
      <c r="EU41" s="195">
        <f t="shared" si="138"/>
        <v>0</v>
      </c>
      <c r="EV41" s="195">
        <f t="shared" si="139"/>
        <v>0</v>
      </c>
      <c r="EW41" s="195" t="str">
        <f t="shared" si="140"/>
        <v/>
      </c>
      <c r="EX41" s="196" t="str">
        <f t="shared" si="141"/>
        <v/>
      </c>
      <c r="EY41" s="197" t="str">
        <f>IF('Marks Entry'!BE41="","",'Marks Entry'!BE41)</f>
        <v/>
      </c>
      <c r="EZ41" s="197" t="str">
        <f>IF('Marks Entry'!BF41="","",'Marks Entry'!BF41)</f>
        <v/>
      </c>
      <c r="FA41" s="197" t="str">
        <f>IF('Marks Entry'!BG41="","",'Marks Entry'!BG41)</f>
        <v/>
      </c>
      <c r="FB41" s="596" t="str">
        <f t="shared" si="142"/>
        <v/>
      </c>
      <c r="FC41" s="197" t="str">
        <f>IF('Marks Entry'!BH41="","",'Marks Entry'!BH41)</f>
        <v/>
      </c>
      <c r="FD41" s="197" t="str">
        <f>IF('Marks Entry'!BI41="","",'Marks Entry'!BI41)</f>
        <v/>
      </c>
      <c r="FE41" s="198" t="str">
        <f t="shared" si="143"/>
        <v/>
      </c>
      <c r="FF41" s="199" t="str">
        <f t="shared" si="144"/>
        <v/>
      </c>
      <c r="FG41" s="200" t="str">
        <f>IF(AND(E41=""),"",IF('Student DATA Entry'!L37="","",'Student DATA Entry'!L37))</f>
        <v/>
      </c>
      <c r="FH41" s="201" t="str">
        <f>IF(AND(E41=""),"",IF('Student DATA Entry'!M37="","",'Student DATA Entry'!M37))</f>
        <v/>
      </c>
      <c r="FI41" s="202" t="str">
        <f t="shared" si="145"/>
        <v/>
      </c>
      <c r="FJ41" s="189" t="str">
        <f t="shared" si="146"/>
        <v/>
      </c>
      <c r="FK41" s="189" t="str">
        <f t="shared" si="147"/>
        <v/>
      </c>
      <c r="FL41" s="203" t="str">
        <f t="shared" si="178"/>
        <v/>
      </c>
      <c r="FM41" s="189" t="str">
        <f t="shared" si="148"/>
        <v/>
      </c>
      <c r="FN41" s="204" t="str">
        <f t="shared" si="149"/>
        <v/>
      </c>
      <c r="FO41" s="203" t="str">
        <f t="shared" si="179"/>
        <v/>
      </c>
      <c r="FP41" s="205" t="str">
        <f t="shared" si="150"/>
        <v/>
      </c>
      <c r="FQ41" s="189" t="str">
        <f t="shared" si="180"/>
        <v/>
      </c>
      <c r="FR41" s="189" t="str">
        <f t="shared" si="181"/>
        <v/>
      </c>
      <c r="FS41" s="189" t="str">
        <f t="shared" si="182"/>
        <v/>
      </c>
      <c r="FT41" s="189" t="str">
        <f t="shared" si="183"/>
        <v/>
      </c>
      <c r="FU41" s="189" t="str">
        <f t="shared" si="151"/>
        <v/>
      </c>
      <c r="FV41" s="206" t="str">
        <f t="shared" si="184"/>
        <v/>
      </c>
      <c r="FW41" s="205" t="str">
        <f t="shared" si="152"/>
        <v/>
      </c>
      <c r="FX41" s="189" t="str">
        <f t="shared" si="185"/>
        <v/>
      </c>
      <c r="FY41" s="189" t="str">
        <f t="shared" si="186"/>
        <v/>
      </c>
      <c r="FZ41" s="189" t="str">
        <f t="shared" si="187"/>
        <v/>
      </c>
      <c r="GA41" s="189" t="str">
        <f t="shared" si="188"/>
        <v/>
      </c>
      <c r="GB41" s="189" t="str">
        <f t="shared" si="153"/>
        <v/>
      </c>
      <c r="GC41" s="206" t="str">
        <f t="shared" si="189"/>
        <v/>
      </c>
      <c r="GD41" s="205" t="str">
        <f t="shared" si="154"/>
        <v/>
      </c>
      <c r="GE41" s="189" t="str">
        <f t="shared" si="190"/>
        <v/>
      </c>
      <c r="GF41" s="189" t="str">
        <f t="shared" si="191"/>
        <v/>
      </c>
      <c r="GG41" s="189" t="str">
        <f t="shared" si="192"/>
        <v/>
      </c>
      <c r="GH41" s="189" t="str">
        <f t="shared" si="193"/>
        <v/>
      </c>
      <c r="GI41" s="189" t="str">
        <f t="shared" si="155"/>
        <v/>
      </c>
      <c r="GJ41" s="206" t="str">
        <f t="shared" si="194"/>
        <v/>
      </c>
      <c r="GK41" s="205" t="str">
        <f t="shared" si="156"/>
        <v/>
      </c>
      <c r="GL41" s="189" t="str">
        <f t="shared" si="195"/>
        <v/>
      </c>
      <c r="GM41" s="189" t="str">
        <f t="shared" si="196"/>
        <v/>
      </c>
      <c r="GN41" s="189" t="str">
        <f t="shared" si="197"/>
        <v/>
      </c>
      <c r="GO41" s="189" t="str">
        <f t="shared" si="198"/>
        <v/>
      </c>
      <c r="GP41" s="189" t="str">
        <f t="shared" si="157"/>
        <v/>
      </c>
      <c r="GQ41" s="206" t="str">
        <f t="shared" si="199"/>
        <v/>
      </c>
      <c r="GR41" s="189" t="str">
        <f t="shared" si="158"/>
        <v/>
      </c>
      <c r="GS41" s="189" t="str">
        <f t="shared" si="159"/>
        <v/>
      </c>
      <c r="GT41" s="207" t="str">
        <f t="shared" si="177"/>
        <v xml:space="preserve">    </v>
      </c>
      <c r="GU41" s="207" t="str">
        <f t="shared" si="160"/>
        <v xml:space="preserve">    </v>
      </c>
      <c r="GV41" s="207" t="str">
        <f t="shared" si="161"/>
        <v xml:space="preserve">    </v>
      </c>
      <c r="GW41" s="207" t="str">
        <f t="shared" si="162"/>
        <v xml:space="preserve">       </v>
      </c>
      <c r="GX41" s="598" t="str">
        <f t="shared" si="163"/>
        <v xml:space="preserve">     </v>
      </c>
      <c r="GY41" s="208" t="str">
        <f t="shared" si="200"/>
        <v/>
      </c>
      <c r="GZ41" s="606" t="str">
        <f>IF(AND(Q41="",AE41="",AZ41="",BW41="",CT41=""),"",IF(AND('Master Sheet'!$D$19="YES",'Marks Entry'!$BA$1=1),SUM(Q41,AE41,AZ41,BW41,DT41),SUM(Q41,AE41,AZ41,BW41,CT41)))</f>
        <v/>
      </c>
      <c r="HA41" s="209" t="str">
        <f>IF(GZ41="","",IF(AND('Master Sheet'!$D$19="YES",'Marks Entry'!$BA$1=1),GZ41/((900)-DC41)*100,GZ41/((1000)-DC41)*100))</f>
        <v/>
      </c>
      <c r="HB41" s="611" t="str">
        <f t="shared" si="165"/>
        <v/>
      </c>
      <c r="HC41" s="609" t="str">
        <f t="shared" si="166"/>
        <v/>
      </c>
      <c r="HD41" s="610" t="str">
        <f t="shared" si="167"/>
        <v/>
      </c>
      <c r="HE41" s="210" t="str">
        <f>IFERROR(IF(OR(GY41="SUPPLEMENTARY",GY41="RE-EXAM"),'Supp. Result Entry'!AS40,""),"")</f>
        <v/>
      </c>
      <c r="HF41" s="613" t="str">
        <f t="shared" si="168"/>
        <v/>
      </c>
      <c r="HG41" s="598" t="str">
        <f t="shared" si="169"/>
        <v/>
      </c>
      <c r="HH41" s="598" t="str">
        <f>IF(AND(HE41="",HF41="",HG41=""),"",IF(OR(GY41="SUPPLEMENTARY",GY41="RE-EXAM"),'Supp. Result Entry'!AS40,GY41))</f>
        <v/>
      </c>
      <c r="HI41" s="180"/>
      <c r="HJ41" s="214"/>
      <c r="HY41" s="212" t="str">
        <f>IF('Supp. Result Entry'!U40="","",'Supp. Result Entry'!$U$6)</f>
        <v/>
      </c>
      <c r="HZ41" s="213" t="str">
        <f>IF('Supp. Result Entry'!X40="","",'Supp. Result Entry'!$X$6)</f>
        <v/>
      </c>
      <c r="IA41" s="213" t="str">
        <f>IF('Supp. Result Entry'!AA40="","",'Supp. Result Entry'!$AA$6)</f>
        <v/>
      </c>
      <c r="IB41" s="213" t="str">
        <f>IF('Supp. Result Entry'!AD40="","",'Supp. Result Entry'!$AD$6)</f>
        <v/>
      </c>
      <c r="IC41" s="213" t="str">
        <f>IF('Supp. Result Entry'!AG40="","",'Supp. Result Entry'!$AG$6)</f>
        <v/>
      </c>
      <c r="ID41" s="213" t="str">
        <f>IF('Supp. Result Entry'!AJ40="","",'Supp. Result Entry'!$AJ$6)</f>
        <v/>
      </c>
      <c r="IE41" s="213" t="str">
        <f>IF('Supp. Result Entry'!V40="","",'Supp. Result Entry'!V40)</f>
        <v/>
      </c>
      <c r="IF41" s="213" t="str">
        <f>IF('Supp. Result Entry'!Y40="","",'Supp. Result Entry'!Y40)</f>
        <v/>
      </c>
      <c r="IG41" s="213" t="str">
        <f>IF('Supp. Result Entry'!AB40="","",'Supp. Result Entry'!AB40)</f>
        <v/>
      </c>
      <c r="IH41" s="213" t="str">
        <f>IF('Supp. Result Entry'!AE40="","",'Supp. Result Entry'!AE40)</f>
        <v/>
      </c>
      <c r="II41" s="213" t="str">
        <f>IF('Supp. Result Entry'!AH40="","",'Supp. Result Entry'!AH40)</f>
        <v/>
      </c>
      <c r="IJ41" s="213" t="str">
        <f>IF('Supp. Result Entry'!AK40="","",'Supp. Result Entry'!AK40)</f>
        <v/>
      </c>
      <c r="IK41" s="213" t="str">
        <f>IF('Supp. Result Entry'!W40="","",'Supp. Result Entry'!W40)</f>
        <v/>
      </c>
      <c r="IL41" s="213" t="str">
        <f>IF('Supp. Result Entry'!Z40="","",'Supp. Result Entry'!Z40)</f>
        <v/>
      </c>
      <c r="IM41" s="213" t="str">
        <f>IF('Supp. Result Entry'!AC40="","",'Supp. Result Entry'!AC40)</f>
        <v/>
      </c>
      <c r="IN41" s="213" t="str">
        <f>IF('Supp. Result Entry'!AF40="","",'Supp. Result Entry'!AF40)</f>
        <v/>
      </c>
      <c r="IO41" s="213" t="str">
        <f>IF('Supp. Result Entry'!AI40="","",'Supp. Result Entry'!AI40)</f>
        <v/>
      </c>
      <c r="IP41" s="213" t="str">
        <f>IF('Supp. Result Entry'!AL40="","",'Supp. Result Entry'!AL40)</f>
        <v/>
      </c>
      <c r="IQ41" s="213">
        <f>COUNTIF('Supp. Result Entry'!K40:Q40,"S")</f>
        <v>0</v>
      </c>
      <c r="IR41" s="213">
        <f t="shared" si="170"/>
        <v>0</v>
      </c>
      <c r="IS41" s="213">
        <f t="shared" si="171"/>
        <v>0</v>
      </c>
      <c r="IT41" s="213" t="str">
        <f t="shared" si="41"/>
        <v/>
      </c>
      <c r="IU41" s="213" t="str">
        <f t="shared" si="42"/>
        <v/>
      </c>
      <c r="IV41" s="213" t="str">
        <f t="shared" si="43"/>
        <v/>
      </c>
      <c r="IW41" s="213" t="str">
        <f t="shared" si="44"/>
        <v/>
      </c>
      <c r="IX41" s="213" t="str">
        <f t="shared" si="45"/>
        <v/>
      </c>
      <c r="IY41" s="213" t="str">
        <f t="shared" si="172"/>
        <v/>
      </c>
      <c r="IZ41" s="213" t="str">
        <f t="shared" si="173"/>
        <v/>
      </c>
      <c r="JA41" s="213" t="str">
        <f t="shared" si="46"/>
        <v/>
      </c>
      <c r="JB41" s="211" t="str">
        <f t="shared" si="174"/>
        <v/>
      </c>
    </row>
    <row r="42" spans="1:262" s="211" customFormat="1" ht="21" customHeight="1">
      <c r="A42" s="184">
        <v>35</v>
      </c>
      <c r="B42" s="185" t="str">
        <f>IF('Marks Entry'!B42="","",'Marks Entry'!B42)</f>
        <v/>
      </c>
      <c r="C42" s="186" t="str">
        <f>IF('Marks Entry'!D42="","",'Marks Entry'!D42)</f>
        <v/>
      </c>
      <c r="D42" s="187" t="str">
        <f>IF('Marks Entry'!E42="","",'Marks Entry'!E42)</f>
        <v/>
      </c>
      <c r="E42" s="188" t="str">
        <f>IF('Marks Entry'!F42="","",'Marks Entry'!F42)</f>
        <v/>
      </c>
      <c r="F42" s="188" t="str">
        <f>IF('Marks Entry'!G42="","",'Marks Entry'!G42)</f>
        <v/>
      </c>
      <c r="G42" s="188" t="str">
        <f>IF('Marks Entry'!H42="","",'Marks Entry'!H42)</f>
        <v/>
      </c>
      <c r="H42" s="189" t="str">
        <f>IF('Marks Entry'!I42="","",'Marks Entry'!I42)</f>
        <v/>
      </c>
      <c r="I42" s="190" t="str">
        <f>IF('Marks Entry'!J42="","",'Marks Entry'!J42)</f>
        <v/>
      </c>
      <c r="J42" s="545" t="str">
        <f>IF('Marks Entry'!K42="","",'Marks Entry'!K42)</f>
        <v/>
      </c>
      <c r="K42" s="545" t="str">
        <f>IF('Marks Entry'!L42="","",'Marks Entry'!L42)</f>
        <v/>
      </c>
      <c r="L42" s="545" t="str">
        <f>IF('Marks Entry'!M42="","",'Marks Entry'!M42)</f>
        <v/>
      </c>
      <c r="M42" s="546" t="str">
        <f t="shared" si="47"/>
        <v/>
      </c>
      <c r="N42" s="545" t="str">
        <f>IF('Marks Entry'!N42="","",'Marks Entry'!N42)</f>
        <v/>
      </c>
      <c r="O42" s="546" t="str">
        <f t="shared" si="48"/>
        <v/>
      </c>
      <c r="P42" s="545" t="str">
        <f>IF('Marks Entry'!O42="","",'Marks Entry'!O42)</f>
        <v/>
      </c>
      <c r="Q42" s="547" t="str">
        <f t="shared" si="49"/>
        <v/>
      </c>
      <c r="R42" s="153">
        <f t="shared" si="50"/>
        <v>0</v>
      </c>
      <c r="S42" s="153">
        <f t="shared" si="51"/>
        <v>0</v>
      </c>
      <c r="T42" s="154" t="str">
        <f t="shared" si="52"/>
        <v/>
      </c>
      <c r="U42" s="153" t="str">
        <f t="shared" si="53"/>
        <v/>
      </c>
      <c r="V42" s="153" t="str">
        <f t="shared" si="54"/>
        <v/>
      </c>
      <c r="W42" s="153" t="str">
        <f t="shared" si="55"/>
        <v/>
      </c>
      <c r="X42" s="545" t="str">
        <f>IF('Marks Entry'!P42="","",'Marks Entry'!P42)</f>
        <v/>
      </c>
      <c r="Y42" s="545" t="str">
        <f>IF('Marks Entry'!Q42="","",'Marks Entry'!Q42)</f>
        <v/>
      </c>
      <c r="Z42" s="545" t="str">
        <f>IF('Marks Entry'!R42="","",'Marks Entry'!R42)</f>
        <v/>
      </c>
      <c r="AA42" s="546" t="str">
        <f t="shared" si="56"/>
        <v/>
      </c>
      <c r="AB42" s="545" t="str">
        <f>IF('Marks Entry'!S42="","",'Marks Entry'!S42)</f>
        <v/>
      </c>
      <c r="AC42" s="546" t="str">
        <f t="shared" si="57"/>
        <v/>
      </c>
      <c r="AD42" s="545" t="str">
        <f>IF('Marks Entry'!T42="","",'Marks Entry'!T42)</f>
        <v/>
      </c>
      <c r="AE42" s="547" t="str">
        <f t="shared" si="58"/>
        <v/>
      </c>
      <c r="AF42" s="153">
        <f t="shared" si="59"/>
        <v>0</v>
      </c>
      <c r="AG42" s="153">
        <f t="shared" si="60"/>
        <v>0</v>
      </c>
      <c r="AH42" s="154" t="str">
        <f t="shared" si="61"/>
        <v/>
      </c>
      <c r="AI42" s="153" t="str">
        <f t="shared" si="62"/>
        <v/>
      </c>
      <c r="AJ42" s="153" t="str">
        <f t="shared" si="63"/>
        <v/>
      </c>
      <c r="AK42" s="153" t="str">
        <f t="shared" si="64"/>
        <v/>
      </c>
      <c r="AL42" s="573" t="str">
        <f>IF('Marks Entry'!U42="","",'Marks Entry'!U42)</f>
        <v/>
      </c>
      <c r="AM42" s="573" t="str">
        <f>IF('Marks Entry'!V42="","",'Marks Entry'!V42)</f>
        <v/>
      </c>
      <c r="AN42" s="573" t="str">
        <f>IF('Marks Entry'!W42="","",'Marks Entry'!W42)</f>
        <v/>
      </c>
      <c r="AO42" s="573" t="str">
        <f>IF('Marks Entry'!X42="","",'Marks Entry'!X42)</f>
        <v/>
      </c>
      <c r="AP42" s="572" t="str">
        <f t="shared" si="65"/>
        <v/>
      </c>
      <c r="AQ42" s="573" t="str">
        <f>IF('Marks Entry'!Y42="","",'Marks Entry'!Y42)</f>
        <v/>
      </c>
      <c r="AR42" s="573" t="str">
        <f>IF('Marks Entry'!Z42="","",'Marks Entry'!Z42)</f>
        <v/>
      </c>
      <c r="AS42" s="572" t="str">
        <f t="shared" si="66"/>
        <v/>
      </c>
      <c r="AT42" s="572" t="str">
        <f t="shared" si="67"/>
        <v/>
      </c>
      <c r="AU42" s="573" t="str">
        <f>IF('Marks Entry'!AA42="","",'Marks Entry'!AA42)</f>
        <v/>
      </c>
      <c r="AV42" s="573" t="str">
        <f>IF('Marks Entry'!AB42="","",'Marks Entry'!AB42)</f>
        <v/>
      </c>
      <c r="AW42" s="572" t="str">
        <f t="shared" si="68"/>
        <v/>
      </c>
      <c r="AX42" s="157" t="str">
        <f t="shared" si="69"/>
        <v/>
      </c>
      <c r="AY42" s="157" t="str">
        <f t="shared" si="70"/>
        <v/>
      </c>
      <c r="AZ42" s="192" t="str">
        <f t="shared" si="71"/>
        <v/>
      </c>
      <c r="BA42" s="153">
        <f t="shared" si="72"/>
        <v>0</v>
      </c>
      <c r="BB42" s="154">
        <f t="shared" si="73"/>
        <v>0</v>
      </c>
      <c r="BC42" s="154" t="str">
        <f t="shared" si="74"/>
        <v/>
      </c>
      <c r="BD42" s="154" t="str">
        <f t="shared" si="75"/>
        <v/>
      </c>
      <c r="BE42" s="154" t="str">
        <f t="shared" si="76"/>
        <v/>
      </c>
      <c r="BF42" s="153" t="str">
        <f t="shared" si="77"/>
        <v/>
      </c>
      <c r="BG42" s="154" t="str">
        <f t="shared" si="175"/>
        <v/>
      </c>
      <c r="BH42" s="153" t="str">
        <f t="shared" si="78"/>
        <v/>
      </c>
      <c r="BI42" s="580" t="str">
        <f>IF('Marks Entry'!AC42="","",'Marks Entry'!AC42)</f>
        <v/>
      </c>
      <c r="BJ42" s="580" t="str">
        <f>IF('Marks Entry'!AD42="","",'Marks Entry'!AD42)</f>
        <v/>
      </c>
      <c r="BK42" s="580" t="str">
        <f>IF('Marks Entry'!AE42="","",'Marks Entry'!AE42)</f>
        <v/>
      </c>
      <c r="BL42" s="580" t="str">
        <f>IF('Marks Entry'!AF42="","",'Marks Entry'!AF42)</f>
        <v/>
      </c>
      <c r="BM42" s="581" t="str">
        <f t="shared" si="79"/>
        <v/>
      </c>
      <c r="BN42" s="580" t="str">
        <f>IF('Marks Entry'!AG42="","",'Marks Entry'!AG42)</f>
        <v/>
      </c>
      <c r="BO42" s="580" t="str">
        <f>IF('Marks Entry'!AH42="","",'Marks Entry'!AH42)</f>
        <v/>
      </c>
      <c r="BP42" s="581" t="str">
        <f t="shared" si="80"/>
        <v/>
      </c>
      <c r="BQ42" s="581" t="str">
        <f t="shared" si="81"/>
        <v/>
      </c>
      <c r="BR42" s="580" t="str">
        <f>IF('Marks Entry'!AI42="","",'Marks Entry'!AI42)</f>
        <v/>
      </c>
      <c r="BS42" s="580" t="str">
        <f>IF('Marks Entry'!AJ42="","",'Marks Entry'!AJ42)</f>
        <v/>
      </c>
      <c r="BT42" s="581" t="str">
        <f t="shared" si="82"/>
        <v/>
      </c>
      <c r="BU42" s="157" t="str">
        <f t="shared" si="83"/>
        <v/>
      </c>
      <c r="BV42" s="157" t="str">
        <f t="shared" si="84"/>
        <v/>
      </c>
      <c r="BW42" s="192" t="str">
        <f t="shared" si="85"/>
        <v/>
      </c>
      <c r="BX42" s="153">
        <f t="shared" si="86"/>
        <v>0</v>
      </c>
      <c r="BY42" s="154">
        <f t="shared" si="87"/>
        <v>0</v>
      </c>
      <c r="BZ42" s="154" t="str">
        <f t="shared" si="88"/>
        <v/>
      </c>
      <c r="CA42" s="154" t="str">
        <f t="shared" si="89"/>
        <v/>
      </c>
      <c r="CB42" s="154" t="str">
        <f t="shared" si="90"/>
        <v/>
      </c>
      <c r="CC42" s="153" t="str">
        <f t="shared" si="91"/>
        <v/>
      </c>
      <c r="CD42" s="154" t="str">
        <f t="shared" si="92"/>
        <v/>
      </c>
      <c r="CE42" s="153" t="str">
        <f t="shared" si="93"/>
        <v/>
      </c>
      <c r="CF42" s="580" t="str">
        <f>IF('Marks Entry'!AK42="","",'Marks Entry'!AK42)</f>
        <v/>
      </c>
      <c r="CG42" s="580" t="str">
        <f>IF('Marks Entry'!AL42="","",'Marks Entry'!AL42)</f>
        <v/>
      </c>
      <c r="CH42" s="580" t="str">
        <f>IF('Marks Entry'!AM42="","",'Marks Entry'!AM42)</f>
        <v/>
      </c>
      <c r="CI42" s="580" t="str">
        <f>IF('Marks Entry'!AN42="","",'Marks Entry'!AN42)</f>
        <v/>
      </c>
      <c r="CJ42" s="581" t="str">
        <f t="shared" si="94"/>
        <v/>
      </c>
      <c r="CK42" s="580" t="str">
        <f>IF('Marks Entry'!AO42="","",'Marks Entry'!AO42)</f>
        <v/>
      </c>
      <c r="CL42" s="580" t="str">
        <f>IF('Marks Entry'!AP42="","",'Marks Entry'!AP42)</f>
        <v/>
      </c>
      <c r="CM42" s="581" t="str">
        <f t="shared" si="95"/>
        <v/>
      </c>
      <c r="CN42" s="581" t="str">
        <f t="shared" si="96"/>
        <v/>
      </c>
      <c r="CO42" s="580" t="str">
        <f>IF('Marks Entry'!AQ42="","",'Marks Entry'!AQ42)</f>
        <v/>
      </c>
      <c r="CP42" s="580" t="str">
        <f>IF('Marks Entry'!AR42="","",'Marks Entry'!AR42)</f>
        <v/>
      </c>
      <c r="CQ42" s="581" t="str">
        <f t="shared" si="97"/>
        <v/>
      </c>
      <c r="CR42" s="157" t="str">
        <f t="shared" si="98"/>
        <v/>
      </c>
      <c r="CS42" s="157" t="str">
        <f t="shared" si="99"/>
        <v/>
      </c>
      <c r="CT42" s="192" t="str">
        <f t="shared" si="100"/>
        <v/>
      </c>
      <c r="CU42" s="153">
        <f t="shared" si="101"/>
        <v>0</v>
      </c>
      <c r="CV42" s="154">
        <f t="shared" si="102"/>
        <v>0</v>
      </c>
      <c r="CW42" s="154" t="str">
        <f t="shared" si="103"/>
        <v/>
      </c>
      <c r="CX42" s="154" t="str">
        <f t="shared" si="104"/>
        <v/>
      </c>
      <c r="CY42" s="154" t="str">
        <f t="shared" si="176"/>
        <v/>
      </c>
      <c r="CZ42" s="153" t="str">
        <f t="shared" si="105"/>
        <v/>
      </c>
      <c r="DA42" s="154" t="str">
        <f t="shared" si="106"/>
        <v/>
      </c>
      <c r="DB42" s="153" t="str">
        <f t="shared" si="107"/>
        <v/>
      </c>
      <c r="DC42" s="154">
        <f t="shared" si="108"/>
        <v>0</v>
      </c>
      <c r="DD42" s="826" t="str">
        <f>IF('Marks Entry'!AS42="","",IF(OR('Master Sheet'!$D$19="YES",'Marks Entry'!$BA$1=1),'Marks Entry'!AS42,""))</f>
        <v/>
      </c>
      <c r="DE42" s="826" t="str">
        <f>IF('Marks Entry'!AT42="","",IF(OR('Master Sheet'!$D$19="YES",'Marks Entry'!$BA$1=1),'Marks Entry'!AT42,""))</f>
        <v/>
      </c>
      <c r="DF42" s="826" t="str">
        <f>IF('Marks Entry'!AU42="","",IF(OR('Master Sheet'!$D$19="YES",'Marks Entry'!$BA$1=1),'Marks Entry'!AU42,""))</f>
        <v/>
      </c>
      <c r="DG42" s="826" t="str">
        <f>IF('Marks Entry'!AV42="","",IF(OR('Master Sheet'!$D$19="YES",'Marks Entry'!$BA$1=1),'Marks Entry'!AV42,""))</f>
        <v/>
      </c>
      <c r="DH42" s="827" t="str">
        <f t="shared" si="109"/>
        <v/>
      </c>
      <c r="DI42" s="826" t="str">
        <f>IF('Marks Entry'!AW42="","",IF(OR('Master Sheet'!$D$19="YES",'Marks Entry'!$BA$1=1),'Marks Entry'!AW42,""))</f>
        <v/>
      </c>
      <c r="DJ42" s="826" t="str">
        <f>IF('Marks Entry'!AX42="","",IF(OR('Master Sheet'!$D$19="YES",'Marks Entry'!$BA$1=1),'Marks Entry'!AX42,""))</f>
        <v/>
      </c>
      <c r="DK42" s="827" t="str">
        <f t="shared" si="110"/>
        <v/>
      </c>
      <c r="DL42" s="827" t="str">
        <f t="shared" si="111"/>
        <v/>
      </c>
      <c r="DM42" s="826" t="str">
        <f>IF('Marks Entry'!AY42="","",IF(OR('Master Sheet'!$D$19="YES",'Marks Entry'!$BA$1=1),'Marks Entry'!AY42,""))</f>
        <v/>
      </c>
      <c r="DN42" s="826" t="str">
        <f>IF('Marks Entry'!AZ42="","",IF(OR('Master Sheet'!$D$19="YES",'Marks Entry'!$BA$1=1),'Marks Entry'!AZ42,""))</f>
        <v/>
      </c>
      <c r="DO42" s="826" t="str">
        <f>IF('Marks Entry'!BA42="","",IF(OR('Master Sheet'!$D$19="YES",'Marks Entry'!$BA$1=1),'Marks Entry'!BA42,""))</f>
        <v/>
      </c>
      <c r="DP42" s="827" t="str">
        <f t="shared" si="112"/>
        <v/>
      </c>
      <c r="DQ42" s="157" t="str">
        <f t="shared" si="113"/>
        <v/>
      </c>
      <c r="DR42" s="157" t="str">
        <f t="shared" si="114"/>
        <v/>
      </c>
      <c r="DS42" s="157" t="str">
        <f t="shared" si="115"/>
        <v/>
      </c>
      <c r="DT42" s="192" t="str">
        <f t="shared" si="116"/>
        <v/>
      </c>
      <c r="DU42" s="153">
        <f t="shared" si="117"/>
        <v>0</v>
      </c>
      <c r="DV42" s="154" t="e">
        <f t="shared" si="118"/>
        <v>#VALUE!</v>
      </c>
      <c r="DW42" s="154" t="str">
        <f t="shared" si="119"/>
        <v/>
      </c>
      <c r="DX42" s="154" t="str">
        <f>IF(OR($B42="NSO",$B42=0,DS42=""),"",IF(AND(DJ42="",DO42=""),"",IF('Master Sheet'!$D$19="YES",$DO$6-COUNTIF(DO42,"ML")*DO$6,DS$6-(COUNTIF(DJ42,"ML")*DJ$6)-(COUNTIF(DO42,"ML")*DO$6))))</f>
        <v/>
      </c>
      <c r="DY42" s="154" t="str">
        <f>IF(OR($B42="NSO",$B42=0),"",IF(AND(DH42="",DI42="",DM42=""),"",IF(AND('Master Sheet'!$D$19="YES",'Marks Entry'!$BA$1=1),100,IF(AND(DJ42="",DO42=""),SUM(($DQ$7+$DR$7)-(DU42+DV42)),SUM(($DQ$6+$DR$6)-(DU42+DV42))))))</f>
        <v/>
      </c>
      <c r="DZ42" s="153" t="str">
        <f t="shared" si="120"/>
        <v/>
      </c>
      <c r="EA42" s="154" t="str">
        <f t="shared" si="121"/>
        <v/>
      </c>
      <c r="EB42" s="153" t="str">
        <f t="shared" si="122"/>
        <v/>
      </c>
      <c r="EC42" s="584" t="str">
        <f>IF('Marks Entry'!BB42="","",'Marks Entry'!BB42)</f>
        <v/>
      </c>
      <c r="ED42" s="584" t="str">
        <f>IF('Marks Entry'!BC42="","",'Marks Entry'!BC42)</f>
        <v/>
      </c>
      <c r="EE42" s="584" t="str">
        <f>IF('Marks Entry'!BD42="","",'Marks Entry'!BD42)</f>
        <v/>
      </c>
      <c r="EF42" s="590" t="str">
        <f t="shared" si="123"/>
        <v/>
      </c>
      <c r="EG42" s="595">
        <f t="shared" si="124"/>
        <v>0</v>
      </c>
      <c r="EH42" s="595">
        <f t="shared" si="125"/>
        <v>0</v>
      </c>
      <c r="EI42" s="193" t="str">
        <f t="shared" si="126"/>
        <v/>
      </c>
      <c r="EJ42" s="595" t="str">
        <f t="shared" si="127"/>
        <v/>
      </c>
      <c r="EK42" s="595" t="str">
        <f t="shared" si="128"/>
        <v/>
      </c>
      <c r="EL42" s="194" t="str">
        <f t="shared" si="129"/>
        <v/>
      </c>
      <c r="EM42" s="194" t="str">
        <f t="shared" si="130"/>
        <v/>
      </c>
      <c r="EN42" s="194" t="str">
        <f t="shared" si="131"/>
        <v/>
      </c>
      <c r="EO42" s="194" t="str">
        <f t="shared" si="132"/>
        <v/>
      </c>
      <c r="EP42" s="194" t="str">
        <f t="shared" si="133"/>
        <v/>
      </c>
      <c r="EQ42" s="194" t="str">
        <f t="shared" si="134"/>
        <v/>
      </c>
      <c r="ER42" s="195">
        <f t="shared" si="135"/>
        <v>0</v>
      </c>
      <c r="ES42" s="195">
        <f t="shared" si="136"/>
        <v>0</v>
      </c>
      <c r="ET42" s="195">
        <f t="shared" si="137"/>
        <v>0</v>
      </c>
      <c r="EU42" s="195">
        <f t="shared" si="138"/>
        <v>0</v>
      </c>
      <c r="EV42" s="195">
        <f t="shared" si="139"/>
        <v>0</v>
      </c>
      <c r="EW42" s="195" t="str">
        <f t="shared" si="140"/>
        <v/>
      </c>
      <c r="EX42" s="196" t="str">
        <f t="shared" si="141"/>
        <v/>
      </c>
      <c r="EY42" s="197" t="str">
        <f>IF('Marks Entry'!BE42="","",'Marks Entry'!BE42)</f>
        <v/>
      </c>
      <c r="EZ42" s="197" t="str">
        <f>IF('Marks Entry'!BF42="","",'Marks Entry'!BF42)</f>
        <v/>
      </c>
      <c r="FA42" s="197" t="str">
        <f>IF('Marks Entry'!BG42="","",'Marks Entry'!BG42)</f>
        <v/>
      </c>
      <c r="FB42" s="596" t="str">
        <f t="shared" si="142"/>
        <v/>
      </c>
      <c r="FC42" s="197" t="str">
        <f>IF('Marks Entry'!BH42="","",'Marks Entry'!BH42)</f>
        <v/>
      </c>
      <c r="FD42" s="197" t="str">
        <f>IF('Marks Entry'!BI42="","",'Marks Entry'!BI42)</f>
        <v/>
      </c>
      <c r="FE42" s="198" t="str">
        <f t="shared" si="143"/>
        <v/>
      </c>
      <c r="FF42" s="199" t="str">
        <f t="shared" si="144"/>
        <v/>
      </c>
      <c r="FG42" s="200" t="str">
        <f>IF(AND(E42=""),"",IF('Student DATA Entry'!L38="","",'Student DATA Entry'!L38))</f>
        <v/>
      </c>
      <c r="FH42" s="201" t="str">
        <f>IF(AND(E42=""),"",IF('Student DATA Entry'!M38="","",'Student DATA Entry'!M38))</f>
        <v/>
      </c>
      <c r="FI42" s="202" t="str">
        <f t="shared" si="145"/>
        <v/>
      </c>
      <c r="FJ42" s="189" t="str">
        <f t="shared" si="146"/>
        <v/>
      </c>
      <c r="FK42" s="189" t="str">
        <f t="shared" si="147"/>
        <v/>
      </c>
      <c r="FL42" s="203" t="str">
        <f t="shared" si="178"/>
        <v/>
      </c>
      <c r="FM42" s="189" t="str">
        <f t="shared" si="148"/>
        <v/>
      </c>
      <c r="FN42" s="204" t="str">
        <f t="shared" si="149"/>
        <v/>
      </c>
      <c r="FO42" s="203" t="str">
        <f t="shared" si="179"/>
        <v/>
      </c>
      <c r="FP42" s="205" t="str">
        <f t="shared" si="150"/>
        <v/>
      </c>
      <c r="FQ42" s="189" t="str">
        <f t="shared" si="180"/>
        <v/>
      </c>
      <c r="FR42" s="189" t="str">
        <f t="shared" si="181"/>
        <v/>
      </c>
      <c r="FS42" s="189" t="str">
        <f t="shared" si="182"/>
        <v/>
      </c>
      <c r="FT42" s="189" t="str">
        <f t="shared" si="183"/>
        <v/>
      </c>
      <c r="FU42" s="189" t="str">
        <f t="shared" si="151"/>
        <v/>
      </c>
      <c r="FV42" s="206" t="str">
        <f t="shared" si="184"/>
        <v/>
      </c>
      <c r="FW42" s="205" t="str">
        <f t="shared" si="152"/>
        <v/>
      </c>
      <c r="FX42" s="189" t="str">
        <f t="shared" si="185"/>
        <v/>
      </c>
      <c r="FY42" s="189" t="str">
        <f t="shared" si="186"/>
        <v/>
      </c>
      <c r="FZ42" s="189" t="str">
        <f t="shared" si="187"/>
        <v/>
      </c>
      <c r="GA42" s="189" t="str">
        <f t="shared" si="188"/>
        <v/>
      </c>
      <c r="GB42" s="189" t="str">
        <f t="shared" si="153"/>
        <v/>
      </c>
      <c r="GC42" s="206" t="str">
        <f t="shared" si="189"/>
        <v/>
      </c>
      <c r="GD42" s="205" t="str">
        <f t="shared" si="154"/>
        <v/>
      </c>
      <c r="GE42" s="189" t="str">
        <f t="shared" si="190"/>
        <v/>
      </c>
      <c r="GF42" s="189" t="str">
        <f t="shared" si="191"/>
        <v/>
      </c>
      <c r="GG42" s="189" t="str">
        <f t="shared" si="192"/>
        <v/>
      </c>
      <c r="GH42" s="189" t="str">
        <f t="shared" si="193"/>
        <v/>
      </c>
      <c r="GI42" s="189" t="str">
        <f t="shared" si="155"/>
        <v/>
      </c>
      <c r="GJ42" s="206" t="str">
        <f t="shared" si="194"/>
        <v/>
      </c>
      <c r="GK42" s="205" t="str">
        <f t="shared" si="156"/>
        <v/>
      </c>
      <c r="GL42" s="189" t="str">
        <f t="shared" si="195"/>
        <v/>
      </c>
      <c r="GM42" s="189" t="str">
        <f t="shared" si="196"/>
        <v/>
      </c>
      <c r="GN42" s="189" t="str">
        <f t="shared" si="197"/>
        <v/>
      </c>
      <c r="GO42" s="189" t="str">
        <f t="shared" si="198"/>
        <v/>
      </c>
      <c r="GP42" s="189" t="str">
        <f t="shared" si="157"/>
        <v/>
      </c>
      <c r="GQ42" s="206" t="str">
        <f t="shared" si="199"/>
        <v/>
      </c>
      <c r="GR42" s="189" t="str">
        <f t="shared" si="158"/>
        <v/>
      </c>
      <c r="GS42" s="189" t="str">
        <f t="shared" si="159"/>
        <v/>
      </c>
      <c r="GT42" s="207" t="str">
        <f t="shared" si="177"/>
        <v xml:space="preserve">    </v>
      </c>
      <c r="GU42" s="207" t="str">
        <f t="shared" si="160"/>
        <v xml:space="preserve">    </v>
      </c>
      <c r="GV42" s="207" t="str">
        <f t="shared" si="161"/>
        <v xml:space="preserve">    </v>
      </c>
      <c r="GW42" s="207" t="str">
        <f t="shared" si="162"/>
        <v xml:space="preserve">       </v>
      </c>
      <c r="GX42" s="598" t="str">
        <f t="shared" si="163"/>
        <v xml:space="preserve">     </v>
      </c>
      <c r="GY42" s="208" t="str">
        <f t="shared" si="200"/>
        <v/>
      </c>
      <c r="GZ42" s="606" t="str">
        <f>IF(AND(Q42="",AE42="",AZ42="",BW42="",CT42=""),"",IF(AND('Master Sheet'!$D$19="YES",'Marks Entry'!$BA$1=1),SUM(Q42,AE42,AZ42,BW42,DT42),SUM(Q42,AE42,AZ42,BW42,CT42)))</f>
        <v/>
      </c>
      <c r="HA42" s="209" t="str">
        <f>IF(GZ42="","",IF(AND('Master Sheet'!$D$19="YES",'Marks Entry'!$BA$1=1),GZ42/((900)-DC42)*100,GZ42/((1000)-DC42)*100))</f>
        <v/>
      </c>
      <c r="HB42" s="611" t="str">
        <f t="shared" si="165"/>
        <v/>
      </c>
      <c r="HC42" s="609" t="str">
        <f t="shared" si="166"/>
        <v/>
      </c>
      <c r="HD42" s="610" t="str">
        <f t="shared" si="167"/>
        <v/>
      </c>
      <c r="HE42" s="210" t="str">
        <f>IFERROR(IF(OR(GY42="SUPPLEMENTARY",GY42="RE-EXAM"),'Supp. Result Entry'!AS41,""),"")</f>
        <v/>
      </c>
      <c r="HF42" s="613" t="str">
        <f t="shared" si="168"/>
        <v/>
      </c>
      <c r="HG42" s="598" t="str">
        <f t="shared" si="169"/>
        <v/>
      </c>
      <c r="HH42" s="598" t="str">
        <f>IF(AND(HE42="",HF42="",HG42=""),"",IF(OR(GY42="SUPPLEMENTARY",GY42="RE-EXAM"),'Supp. Result Entry'!AS41,GY42))</f>
        <v/>
      </c>
      <c r="HI42" s="180"/>
      <c r="HJ42" s="214"/>
      <c r="HY42" s="212" t="str">
        <f>IF('Supp. Result Entry'!U41="","",'Supp. Result Entry'!$U$6)</f>
        <v/>
      </c>
      <c r="HZ42" s="213" t="str">
        <f>IF('Supp. Result Entry'!X41="","",'Supp. Result Entry'!$X$6)</f>
        <v/>
      </c>
      <c r="IA42" s="213" t="str">
        <f>IF('Supp. Result Entry'!AA41="","",'Supp. Result Entry'!$AA$6)</f>
        <v/>
      </c>
      <c r="IB42" s="213" t="str">
        <f>IF('Supp. Result Entry'!AD41="","",'Supp. Result Entry'!$AD$6)</f>
        <v/>
      </c>
      <c r="IC42" s="213" t="str">
        <f>IF('Supp. Result Entry'!AG41="","",'Supp. Result Entry'!$AG$6)</f>
        <v/>
      </c>
      <c r="ID42" s="213" t="str">
        <f>IF('Supp. Result Entry'!AJ41="","",'Supp. Result Entry'!$AJ$6)</f>
        <v/>
      </c>
      <c r="IE42" s="213" t="str">
        <f>IF('Supp. Result Entry'!V41="","",'Supp. Result Entry'!V41)</f>
        <v/>
      </c>
      <c r="IF42" s="213" t="str">
        <f>IF('Supp. Result Entry'!Y41="","",'Supp. Result Entry'!Y41)</f>
        <v/>
      </c>
      <c r="IG42" s="213" t="str">
        <f>IF('Supp. Result Entry'!AB41="","",'Supp. Result Entry'!AB41)</f>
        <v/>
      </c>
      <c r="IH42" s="213" t="str">
        <f>IF('Supp. Result Entry'!AE41="","",'Supp. Result Entry'!AE41)</f>
        <v/>
      </c>
      <c r="II42" s="213" t="str">
        <f>IF('Supp. Result Entry'!AH41="","",'Supp. Result Entry'!AH41)</f>
        <v/>
      </c>
      <c r="IJ42" s="213" t="str">
        <f>IF('Supp. Result Entry'!AK41="","",'Supp. Result Entry'!AK41)</f>
        <v/>
      </c>
      <c r="IK42" s="213" t="str">
        <f>IF('Supp. Result Entry'!W41="","",'Supp. Result Entry'!W41)</f>
        <v/>
      </c>
      <c r="IL42" s="213" t="str">
        <f>IF('Supp. Result Entry'!Z41="","",'Supp. Result Entry'!Z41)</f>
        <v/>
      </c>
      <c r="IM42" s="213" t="str">
        <f>IF('Supp. Result Entry'!AC41="","",'Supp. Result Entry'!AC41)</f>
        <v/>
      </c>
      <c r="IN42" s="213" t="str">
        <f>IF('Supp. Result Entry'!AF41="","",'Supp. Result Entry'!AF41)</f>
        <v/>
      </c>
      <c r="IO42" s="213" t="str">
        <f>IF('Supp. Result Entry'!AI41="","",'Supp. Result Entry'!AI41)</f>
        <v/>
      </c>
      <c r="IP42" s="213" t="str">
        <f>IF('Supp. Result Entry'!AL41="","",'Supp. Result Entry'!AL41)</f>
        <v/>
      </c>
      <c r="IQ42" s="213">
        <f>COUNTIF('Supp. Result Entry'!K41:Q41,"S")</f>
        <v>0</v>
      </c>
      <c r="IR42" s="213">
        <f t="shared" si="170"/>
        <v>0</v>
      </c>
      <c r="IS42" s="213">
        <f t="shared" si="171"/>
        <v>0</v>
      </c>
      <c r="IT42" s="213" t="str">
        <f t="shared" si="41"/>
        <v/>
      </c>
      <c r="IU42" s="213" t="str">
        <f t="shared" si="42"/>
        <v/>
      </c>
      <c r="IV42" s="213" t="str">
        <f t="shared" si="43"/>
        <v/>
      </c>
      <c r="IW42" s="213" t="str">
        <f t="shared" si="44"/>
        <v/>
      </c>
      <c r="IX42" s="213" t="str">
        <f t="shared" si="45"/>
        <v/>
      </c>
      <c r="IY42" s="213" t="str">
        <f t="shared" si="172"/>
        <v/>
      </c>
      <c r="IZ42" s="213" t="str">
        <f t="shared" si="173"/>
        <v/>
      </c>
      <c r="JA42" s="213" t="str">
        <f t="shared" si="46"/>
        <v/>
      </c>
      <c r="JB42" s="211" t="str">
        <f t="shared" si="174"/>
        <v/>
      </c>
    </row>
    <row r="43" spans="1:262" s="211" customFormat="1" ht="21" customHeight="1">
      <c r="A43" s="184">
        <v>36</v>
      </c>
      <c r="B43" s="185" t="str">
        <f>IF('Marks Entry'!B43="","",'Marks Entry'!B43)</f>
        <v/>
      </c>
      <c r="C43" s="186" t="str">
        <f>IF('Marks Entry'!D43="","",'Marks Entry'!D43)</f>
        <v/>
      </c>
      <c r="D43" s="187" t="str">
        <f>IF('Marks Entry'!E43="","",'Marks Entry'!E43)</f>
        <v/>
      </c>
      <c r="E43" s="188" t="str">
        <f>IF('Marks Entry'!F43="","",'Marks Entry'!F43)</f>
        <v/>
      </c>
      <c r="F43" s="188" t="str">
        <f>IF('Marks Entry'!G43="","",'Marks Entry'!G43)</f>
        <v/>
      </c>
      <c r="G43" s="188" t="str">
        <f>IF('Marks Entry'!H43="","",'Marks Entry'!H43)</f>
        <v/>
      </c>
      <c r="H43" s="189" t="str">
        <f>IF('Marks Entry'!I43="","",'Marks Entry'!I43)</f>
        <v/>
      </c>
      <c r="I43" s="190" t="str">
        <f>IF('Marks Entry'!J43="","",'Marks Entry'!J43)</f>
        <v/>
      </c>
      <c r="J43" s="545" t="str">
        <f>IF('Marks Entry'!K43="","",'Marks Entry'!K43)</f>
        <v/>
      </c>
      <c r="K43" s="545" t="str">
        <f>IF('Marks Entry'!L43="","",'Marks Entry'!L43)</f>
        <v/>
      </c>
      <c r="L43" s="545" t="str">
        <f>IF('Marks Entry'!M43="","",'Marks Entry'!M43)</f>
        <v/>
      </c>
      <c r="M43" s="546" t="str">
        <f t="shared" si="47"/>
        <v/>
      </c>
      <c r="N43" s="545" t="str">
        <f>IF('Marks Entry'!N43="","",'Marks Entry'!N43)</f>
        <v/>
      </c>
      <c r="O43" s="546" t="str">
        <f t="shared" si="48"/>
        <v/>
      </c>
      <c r="P43" s="545" t="str">
        <f>IF('Marks Entry'!O43="","",'Marks Entry'!O43)</f>
        <v/>
      </c>
      <c r="Q43" s="547" t="str">
        <f t="shared" si="49"/>
        <v/>
      </c>
      <c r="R43" s="153">
        <f t="shared" si="50"/>
        <v>0</v>
      </c>
      <c r="S43" s="153">
        <f t="shared" si="51"/>
        <v>0</v>
      </c>
      <c r="T43" s="154" t="str">
        <f t="shared" si="52"/>
        <v/>
      </c>
      <c r="U43" s="153" t="str">
        <f t="shared" si="53"/>
        <v/>
      </c>
      <c r="V43" s="153" t="str">
        <f t="shared" si="54"/>
        <v/>
      </c>
      <c r="W43" s="153" t="str">
        <f t="shared" si="55"/>
        <v/>
      </c>
      <c r="X43" s="545" t="str">
        <f>IF('Marks Entry'!P43="","",'Marks Entry'!P43)</f>
        <v/>
      </c>
      <c r="Y43" s="545" t="str">
        <f>IF('Marks Entry'!Q43="","",'Marks Entry'!Q43)</f>
        <v/>
      </c>
      <c r="Z43" s="545" t="str">
        <f>IF('Marks Entry'!R43="","",'Marks Entry'!R43)</f>
        <v/>
      </c>
      <c r="AA43" s="546" t="str">
        <f t="shared" si="56"/>
        <v/>
      </c>
      <c r="AB43" s="545" t="str">
        <f>IF('Marks Entry'!S43="","",'Marks Entry'!S43)</f>
        <v/>
      </c>
      <c r="AC43" s="546" t="str">
        <f t="shared" si="57"/>
        <v/>
      </c>
      <c r="AD43" s="545" t="str">
        <f>IF('Marks Entry'!T43="","",'Marks Entry'!T43)</f>
        <v/>
      </c>
      <c r="AE43" s="547" t="str">
        <f t="shared" si="58"/>
        <v/>
      </c>
      <c r="AF43" s="153">
        <f t="shared" si="59"/>
        <v>0</v>
      </c>
      <c r="AG43" s="153">
        <f t="shared" si="60"/>
        <v>0</v>
      </c>
      <c r="AH43" s="154" t="str">
        <f t="shared" si="61"/>
        <v/>
      </c>
      <c r="AI43" s="153" t="str">
        <f t="shared" si="62"/>
        <v/>
      </c>
      <c r="AJ43" s="153" t="str">
        <f t="shared" si="63"/>
        <v/>
      </c>
      <c r="AK43" s="153" t="str">
        <f t="shared" si="64"/>
        <v/>
      </c>
      <c r="AL43" s="573" t="str">
        <f>IF('Marks Entry'!U43="","",'Marks Entry'!U43)</f>
        <v/>
      </c>
      <c r="AM43" s="573" t="str">
        <f>IF('Marks Entry'!V43="","",'Marks Entry'!V43)</f>
        <v/>
      </c>
      <c r="AN43" s="573" t="str">
        <f>IF('Marks Entry'!W43="","",'Marks Entry'!W43)</f>
        <v/>
      </c>
      <c r="AO43" s="573" t="str">
        <f>IF('Marks Entry'!X43="","",'Marks Entry'!X43)</f>
        <v/>
      </c>
      <c r="AP43" s="572" t="str">
        <f t="shared" si="65"/>
        <v/>
      </c>
      <c r="AQ43" s="573" t="str">
        <f>IF('Marks Entry'!Y43="","",'Marks Entry'!Y43)</f>
        <v/>
      </c>
      <c r="AR43" s="573" t="str">
        <f>IF('Marks Entry'!Z43="","",'Marks Entry'!Z43)</f>
        <v/>
      </c>
      <c r="AS43" s="572" t="str">
        <f t="shared" si="66"/>
        <v/>
      </c>
      <c r="AT43" s="572" t="str">
        <f t="shared" si="67"/>
        <v/>
      </c>
      <c r="AU43" s="573" t="str">
        <f>IF('Marks Entry'!AA43="","",'Marks Entry'!AA43)</f>
        <v/>
      </c>
      <c r="AV43" s="573" t="str">
        <f>IF('Marks Entry'!AB43="","",'Marks Entry'!AB43)</f>
        <v/>
      </c>
      <c r="AW43" s="572" t="str">
        <f t="shared" si="68"/>
        <v/>
      </c>
      <c r="AX43" s="157" t="str">
        <f t="shared" si="69"/>
        <v/>
      </c>
      <c r="AY43" s="157" t="str">
        <f t="shared" si="70"/>
        <v/>
      </c>
      <c r="AZ43" s="192" t="str">
        <f t="shared" si="71"/>
        <v/>
      </c>
      <c r="BA43" s="153">
        <f t="shared" si="72"/>
        <v>0</v>
      </c>
      <c r="BB43" s="154">
        <f t="shared" si="73"/>
        <v>0</v>
      </c>
      <c r="BC43" s="154" t="str">
        <f t="shared" si="74"/>
        <v/>
      </c>
      <c r="BD43" s="154" t="str">
        <f t="shared" si="75"/>
        <v/>
      </c>
      <c r="BE43" s="154" t="str">
        <f t="shared" si="76"/>
        <v/>
      </c>
      <c r="BF43" s="153" t="str">
        <f t="shared" si="77"/>
        <v/>
      </c>
      <c r="BG43" s="154" t="str">
        <f t="shared" si="175"/>
        <v/>
      </c>
      <c r="BH43" s="153" t="str">
        <f t="shared" si="78"/>
        <v/>
      </c>
      <c r="BI43" s="580" t="str">
        <f>IF('Marks Entry'!AC43="","",'Marks Entry'!AC43)</f>
        <v/>
      </c>
      <c r="BJ43" s="580" t="str">
        <f>IF('Marks Entry'!AD43="","",'Marks Entry'!AD43)</f>
        <v/>
      </c>
      <c r="BK43" s="580" t="str">
        <f>IF('Marks Entry'!AE43="","",'Marks Entry'!AE43)</f>
        <v/>
      </c>
      <c r="BL43" s="580" t="str">
        <f>IF('Marks Entry'!AF43="","",'Marks Entry'!AF43)</f>
        <v/>
      </c>
      <c r="BM43" s="581" t="str">
        <f t="shared" si="79"/>
        <v/>
      </c>
      <c r="BN43" s="580" t="str">
        <f>IF('Marks Entry'!AG43="","",'Marks Entry'!AG43)</f>
        <v/>
      </c>
      <c r="BO43" s="580" t="str">
        <f>IF('Marks Entry'!AH43="","",'Marks Entry'!AH43)</f>
        <v/>
      </c>
      <c r="BP43" s="581" t="str">
        <f t="shared" si="80"/>
        <v/>
      </c>
      <c r="BQ43" s="581" t="str">
        <f t="shared" si="81"/>
        <v/>
      </c>
      <c r="BR43" s="580" t="str">
        <f>IF('Marks Entry'!AI43="","",'Marks Entry'!AI43)</f>
        <v/>
      </c>
      <c r="BS43" s="580" t="str">
        <f>IF('Marks Entry'!AJ43="","",'Marks Entry'!AJ43)</f>
        <v/>
      </c>
      <c r="BT43" s="581" t="str">
        <f t="shared" si="82"/>
        <v/>
      </c>
      <c r="BU43" s="157" t="str">
        <f t="shared" si="83"/>
        <v/>
      </c>
      <c r="BV43" s="157" t="str">
        <f t="shared" si="84"/>
        <v/>
      </c>
      <c r="BW43" s="192" t="str">
        <f t="shared" si="85"/>
        <v/>
      </c>
      <c r="BX43" s="153">
        <f t="shared" si="86"/>
        <v>0</v>
      </c>
      <c r="BY43" s="154">
        <f t="shared" si="87"/>
        <v>0</v>
      </c>
      <c r="BZ43" s="154" t="str">
        <f t="shared" si="88"/>
        <v/>
      </c>
      <c r="CA43" s="154" t="str">
        <f t="shared" si="89"/>
        <v/>
      </c>
      <c r="CB43" s="154" t="str">
        <f t="shared" si="90"/>
        <v/>
      </c>
      <c r="CC43" s="153" t="str">
        <f t="shared" si="91"/>
        <v/>
      </c>
      <c r="CD43" s="154" t="str">
        <f t="shared" si="92"/>
        <v/>
      </c>
      <c r="CE43" s="153" t="str">
        <f t="shared" si="93"/>
        <v/>
      </c>
      <c r="CF43" s="580" t="str">
        <f>IF('Marks Entry'!AK43="","",'Marks Entry'!AK43)</f>
        <v/>
      </c>
      <c r="CG43" s="580" t="str">
        <f>IF('Marks Entry'!AL43="","",'Marks Entry'!AL43)</f>
        <v/>
      </c>
      <c r="CH43" s="580" t="str">
        <f>IF('Marks Entry'!AM43="","",'Marks Entry'!AM43)</f>
        <v/>
      </c>
      <c r="CI43" s="580" t="str">
        <f>IF('Marks Entry'!AN43="","",'Marks Entry'!AN43)</f>
        <v/>
      </c>
      <c r="CJ43" s="581" t="str">
        <f t="shared" si="94"/>
        <v/>
      </c>
      <c r="CK43" s="580" t="str">
        <f>IF('Marks Entry'!AO43="","",'Marks Entry'!AO43)</f>
        <v/>
      </c>
      <c r="CL43" s="580" t="str">
        <f>IF('Marks Entry'!AP43="","",'Marks Entry'!AP43)</f>
        <v/>
      </c>
      <c r="CM43" s="581" t="str">
        <f t="shared" si="95"/>
        <v/>
      </c>
      <c r="CN43" s="581" t="str">
        <f t="shared" si="96"/>
        <v/>
      </c>
      <c r="CO43" s="580" t="str">
        <f>IF('Marks Entry'!AQ43="","",'Marks Entry'!AQ43)</f>
        <v/>
      </c>
      <c r="CP43" s="580" t="str">
        <f>IF('Marks Entry'!AR43="","",'Marks Entry'!AR43)</f>
        <v/>
      </c>
      <c r="CQ43" s="581" t="str">
        <f t="shared" si="97"/>
        <v/>
      </c>
      <c r="CR43" s="157" t="str">
        <f t="shared" si="98"/>
        <v/>
      </c>
      <c r="CS43" s="157" t="str">
        <f t="shared" si="99"/>
        <v/>
      </c>
      <c r="CT43" s="192" t="str">
        <f t="shared" si="100"/>
        <v/>
      </c>
      <c r="CU43" s="153">
        <f t="shared" si="101"/>
        <v>0</v>
      </c>
      <c r="CV43" s="154">
        <f t="shared" si="102"/>
        <v>0</v>
      </c>
      <c r="CW43" s="154" t="str">
        <f t="shared" si="103"/>
        <v/>
      </c>
      <c r="CX43" s="154" t="str">
        <f t="shared" si="104"/>
        <v/>
      </c>
      <c r="CY43" s="154" t="str">
        <f t="shared" si="176"/>
        <v/>
      </c>
      <c r="CZ43" s="153" t="str">
        <f t="shared" si="105"/>
        <v/>
      </c>
      <c r="DA43" s="154" t="str">
        <f t="shared" si="106"/>
        <v/>
      </c>
      <c r="DB43" s="153" t="str">
        <f t="shared" si="107"/>
        <v/>
      </c>
      <c r="DC43" s="154">
        <f t="shared" si="108"/>
        <v>0</v>
      </c>
      <c r="DD43" s="826" t="str">
        <f>IF('Marks Entry'!AS43="","",IF(OR('Master Sheet'!$D$19="YES",'Marks Entry'!$BA$1=1),'Marks Entry'!AS43,""))</f>
        <v/>
      </c>
      <c r="DE43" s="826" t="str">
        <f>IF('Marks Entry'!AT43="","",IF(OR('Master Sheet'!$D$19="YES",'Marks Entry'!$BA$1=1),'Marks Entry'!AT43,""))</f>
        <v/>
      </c>
      <c r="DF43" s="826" t="str">
        <f>IF('Marks Entry'!AU43="","",IF(OR('Master Sheet'!$D$19="YES",'Marks Entry'!$BA$1=1),'Marks Entry'!AU43,""))</f>
        <v/>
      </c>
      <c r="DG43" s="826" t="str">
        <f>IF('Marks Entry'!AV43="","",IF(OR('Master Sheet'!$D$19="YES",'Marks Entry'!$BA$1=1),'Marks Entry'!AV43,""))</f>
        <v/>
      </c>
      <c r="DH43" s="827" t="str">
        <f t="shared" si="109"/>
        <v/>
      </c>
      <c r="DI43" s="826" t="str">
        <f>IF('Marks Entry'!AW43="","",IF(OR('Master Sheet'!$D$19="YES",'Marks Entry'!$BA$1=1),'Marks Entry'!AW43,""))</f>
        <v/>
      </c>
      <c r="DJ43" s="826" t="str">
        <f>IF('Marks Entry'!AX43="","",IF(OR('Master Sheet'!$D$19="YES",'Marks Entry'!$BA$1=1),'Marks Entry'!AX43,""))</f>
        <v/>
      </c>
      <c r="DK43" s="827" t="str">
        <f t="shared" si="110"/>
        <v/>
      </c>
      <c r="DL43" s="827" t="str">
        <f t="shared" si="111"/>
        <v/>
      </c>
      <c r="DM43" s="826" t="str">
        <f>IF('Marks Entry'!AY43="","",IF(OR('Master Sheet'!$D$19="YES",'Marks Entry'!$BA$1=1),'Marks Entry'!AY43,""))</f>
        <v/>
      </c>
      <c r="DN43" s="826" t="str">
        <f>IF('Marks Entry'!AZ43="","",IF(OR('Master Sheet'!$D$19="YES",'Marks Entry'!$BA$1=1),'Marks Entry'!AZ43,""))</f>
        <v/>
      </c>
      <c r="DO43" s="826" t="str">
        <f>IF('Marks Entry'!BA43="","",IF(OR('Master Sheet'!$D$19="YES",'Marks Entry'!$BA$1=1),'Marks Entry'!BA43,""))</f>
        <v/>
      </c>
      <c r="DP43" s="827" t="str">
        <f t="shared" si="112"/>
        <v/>
      </c>
      <c r="DQ43" s="157" t="str">
        <f t="shared" si="113"/>
        <v/>
      </c>
      <c r="DR43" s="157" t="str">
        <f t="shared" si="114"/>
        <v/>
      </c>
      <c r="DS43" s="157" t="str">
        <f t="shared" si="115"/>
        <v/>
      </c>
      <c r="DT43" s="192" t="str">
        <f t="shared" si="116"/>
        <v/>
      </c>
      <c r="DU43" s="153">
        <f t="shared" si="117"/>
        <v>0</v>
      </c>
      <c r="DV43" s="154" t="e">
        <f t="shared" si="118"/>
        <v>#VALUE!</v>
      </c>
      <c r="DW43" s="154" t="str">
        <f t="shared" si="119"/>
        <v/>
      </c>
      <c r="DX43" s="154" t="str">
        <f>IF(OR($B43="NSO",$B43=0,DS43=""),"",IF(AND(DJ43="",DO43=""),"",IF('Master Sheet'!$D$19="YES",$DO$6-COUNTIF(DO43,"ML")*DO$6,DS$6-(COUNTIF(DJ43,"ML")*DJ$6)-(COUNTIF(DO43,"ML")*DO$6))))</f>
        <v/>
      </c>
      <c r="DY43" s="154" t="str">
        <f>IF(OR($B43="NSO",$B43=0),"",IF(AND(DH43="",DI43="",DM43=""),"",IF(AND('Master Sheet'!$D$19="YES",'Marks Entry'!$BA$1=1),100,IF(AND(DJ43="",DO43=""),SUM(($DQ$7+$DR$7)-(DU43+DV43)),SUM(($DQ$6+$DR$6)-(DU43+DV43))))))</f>
        <v/>
      </c>
      <c r="DZ43" s="153" t="str">
        <f t="shared" si="120"/>
        <v/>
      </c>
      <c r="EA43" s="154" t="str">
        <f t="shared" si="121"/>
        <v/>
      </c>
      <c r="EB43" s="153" t="str">
        <f t="shared" si="122"/>
        <v/>
      </c>
      <c r="EC43" s="584" t="str">
        <f>IF('Marks Entry'!BB43="","",'Marks Entry'!BB43)</f>
        <v/>
      </c>
      <c r="ED43" s="584" t="str">
        <f>IF('Marks Entry'!BC43="","",'Marks Entry'!BC43)</f>
        <v/>
      </c>
      <c r="EE43" s="584" t="str">
        <f>IF('Marks Entry'!BD43="","",'Marks Entry'!BD43)</f>
        <v/>
      </c>
      <c r="EF43" s="590" t="str">
        <f t="shared" si="123"/>
        <v/>
      </c>
      <c r="EG43" s="595">
        <f t="shared" si="124"/>
        <v>0</v>
      </c>
      <c r="EH43" s="595">
        <f t="shared" si="125"/>
        <v>0</v>
      </c>
      <c r="EI43" s="193" t="str">
        <f t="shared" si="126"/>
        <v/>
      </c>
      <c r="EJ43" s="595" t="str">
        <f t="shared" si="127"/>
        <v/>
      </c>
      <c r="EK43" s="595" t="str">
        <f t="shared" si="128"/>
        <v/>
      </c>
      <c r="EL43" s="194" t="str">
        <f t="shared" si="129"/>
        <v/>
      </c>
      <c r="EM43" s="194" t="str">
        <f t="shared" si="130"/>
        <v/>
      </c>
      <c r="EN43" s="194" t="str">
        <f t="shared" si="131"/>
        <v/>
      </c>
      <c r="EO43" s="194" t="str">
        <f t="shared" si="132"/>
        <v/>
      </c>
      <c r="EP43" s="194" t="str">
        <f t="shared" si="133"/>
        <v/>
      </c>
      <c r="EQ43" s="194" t="str">
        <f t="shared" si="134"/>
        <v/>
      </c>
      <c r="ER43" s="195">
        <f t="shared" si="135"/>
        <v>0</v>
      </c>
      <c r="ES43" s="195">
        <f t="shared" si="136"/>
        <v>0</v>
      </c>
      <c r="ET43" s="195">
        <f t="shared" si="137"/>
        <v>0</v>
      </c>
      <c r="EU43" s="195">
        <f t="shared" si="138"/>
        <v>0</v>
      </c>
      <c r="EV43" s="195">
        <f t="shared" si="139"/>
        <v>0</v>
      </c>
      <c r="EW43" s="195" t="str">
        <f t="shared" si="140"/>
        <v/>
      </c>
      <c r="EX43" s="196" t="str">
        <f t="shared" si="141"/>
        <v/>
      </c>
      <c r="EY43" s="197" t="str">
        <f>IF('Marks Entry'!BE43="","",'Marks Entry'!BE43)</f>
        <v/>
      </c>
      <c r="EZ43" s="197" t="str">
        <f>IF('Marks Entry'!BF43="","",'Marks Entry'!BF43)</f>
        <v/>
      </c>
      <c r="FA43" s="197" t="str">
        <f>IF('Marks Entry'!BG43="","",'Marks Entry'!BG43)</f>
        <v/>
      </c>
      <c r="FB43" s="596" t="str">
        <f t="shared" si="142"/>
        <v/>
      </c>
      <c r="FC43" s="197" t="str">
        <f>IF('Marks Entry'!BH43="","",'Marks Entry'!BH43)</f>
        <v/>
      </c>
      <c r="FD43" s="197" t="str">
        <f>IF('Marks Entry'!BI43="","",'Marks Entry'!BI43)</f>
        <v/>
      </c>
      <c r="FE43" s="198" t="str">
        <f t="shared" si="143"/>
        <v/>
      </c>
      <c r="FF43" s="199" t="str">
        <f t="shared" si="144"/>
        <v/>
      </c>
      <c r="FG43" s="200" t="str">
        <f>IF(AND(E43=""),"",IF('Student DATA Entry'!L39="","",'Student DATA Entry'!L39))</f>
        <v/>
      </c>
      <c r="FH43" s="201" t="str">
        <f>IF(AND(E43=""),"",IF('Student DATA Entry'!M39="","",'Student DATA Entry'!M39))</f>
        <v/>
      </c>
      <c r="FI43" s="202" t="str">
        <f t="shared" si="145"/>
        <v/>
      </c>
      <c r="FJ43" s="189" t="str">
        <f t="shared" si="146"/>
        <v/>
      </c>
      <c r="FK43" s="189" t="str">
        <f t="shared" si="147"/>
        <v/>
      </c>
      <c r="FL43" s="203" t="str">
        <f t="shared" si="178"/>
        <v/>
      </c>
      <c r="FM43" s="189" t="str">
        <f t="shared" si="148"/>
        <v/>
      </c>
      <c r="FN43" s="204" t="str">
        <f t="shared" si="149"/>
        <v/>
      </c>
      <c r="FO43" s="203" t="str">
        <f t="shared" si="179"/>
        <v/>
      </c>
      <c r="FP43" s="205" t="str">
        <f t="shared" si="150"/>
        <v/>
      </c>
      <c r="FQ43" s="189" t="str">
        <f t="shared" si="180"/>
        <v/>
      </c>
      <c r="FR43" s="189" t="str">
        <f t="shared" si="181"/>
        <v/>
      </c>
      <c r="FS43" s="189" t="str">
        <f t="shared" si="182"/>
        <v/>
      </c>
      <c r="FT43" s="189" t="str">
        <f t="shared" si="183"/>
        <v/>
      </c>
      <c r="FU43" s="189" t="str">
        <f t="shared" si="151"/>
        <v/>
      </c>
      <c r="FV43" s="206" t="str">
        <f t="shared" si="184"/>
        <v/>
      </c>
      <c r="FW43" s="205" t="str">
        <f t="shared" si="152"/>
        <v/>
      </c>
      <c r="FX43" s="189" t="str">
        <f t="shared" si="185"/>
        <v/>
      </c>
      <c r="FY43" s="189" t="str">
        <f t="shared" si="186"/>
        <v/>
      </c>
      <c r="FZ43" s="189" t="str">
        <f t="shared" si="187"/>
        <v/>
      </c>
      <c r="GA43" s="189" t="str">
        <f t="shared" si="188"/>
        <v/>
      </c>
      <c r="GB43" s="189" t="str">
        <f t="shared" si="153"/>
        <v/>
      </c>
      <c r="GC43" s="206" t="str">
        <f t="shared" si="189"/>
        <v/>
      </c>
      <c r="GD43" s="205" t="str">
        <f t="shared" si="154"/>
        <v/>
      </c>
      <c r="GE43" s="189" t="str">
        <f t="shared" si="190"/>
        <v/>
      </c>
      <c r="GF43" s="189" t="str">
        <f t="shared" si="191"/>
        <v/>
      </c>
      <c r="GG43" s="189" t="str">
        <f t="shared" si="192"/>
        <v/>
      </c>
      <c r="GH43" s="189" t="str">
        <f t="shared" si="193"/>
        <v/>
      </c>
      <c r="GI43" s="189" t="str">
        <f t="shared" si="155"/>
        <v/>
      </c>
      <c r="GJ43" s="206" t="str">
        <f t="shared" si="194"/>
        <v/>
      </c>
      <c r="GK43" s="205" t="str">
        <f t="shared" si="156"/>
        <v/>
      </c>
      <c r="GL43" s="189" t="str">
        <f t="shared" si="195"/>
        <v/>
      </c>
      <c r="GM43" s="189" t="str">
        <f t="shared" si="196"/>
        <v/>
      </c>
      <c r="GN43" s="189" t="str">
        <f t="shared" si="197"/>
        <v/>
      </c>
      <c r="GO43" s="189" t="str">
        <f t="shared" si="198"/>
        <v/>
      </c>
      <c r="GP43" s="189" t="str">
        <f t="shared" si="157"/>
        <v/>
      </c>
      <c r="GQ43" s="206" t="str">
        <f t="shared" si="199"/>
        <v/>
      </c>
      <c r="GR43" s="189" t="str">
        <f t="shared" si="158"/>
        <v/>
      </c>
      <c r="GS43" s="189" t="str">
        <f t="shared" si="159"/>
        <v/>
      </c>
      <c r="GT43" s="207" t="str">
        <f t="shared" si="177"/>
        <v xml:space="preserve">    </v>
      </c>
      <c r="GU43" s="207" t="str">
        <f t="shared" si="160"/>
        <v xml:space="preserve">    </v>
      </c>
      <c r="GV43" s="207" t="str">
        <f t="shared" si="161"/>
        <v xml:space="preserve">    </v>
      </c>
      <c r="GW43" s="207" t="str">
        <f t="shared" si="162"/>
        <v xml:space="preserve">       </v>
      </c>
      <c r="GX43" s="598" t="str">
        <f t="shared" si="163"/>
        <v xml:space="preserve">     </v>
      </c>
      <c r="GY43" s="208" t="str">
        <f t="shared" si="200"/>
        <v/>
      </c>
      <c r="GZ43" s="606" t="str">
        <f>IF(AND(Q43="",AE43="",AZ43="",BW43="",CT43=""),"",IF(AND('Master Sheet'!$D$19="YES",'Marks Entry'!$BA$1=1),SUM(Q43,AE43,AZ43,BW43,DT43),SUM(Q43,AE43,AZ43,BW43,CT43)))</f>
        <v/>
      </c>
      <c r="HA43" s="209" t="str">
        <f>IF(GZ43="","",IF(AND('Master Sheet'!$D$19="YES",'Marks Entry'!$BA$1=1),GZ43/((900)-DC43)*100,GZ43/((1000)-DC43)*100))</f>
        <v/>
      </c>
      <c r="HB43" s="611" t="str">
        <f t="shared" si="165"/>
        <v/>
      </c>
      <c r="HC43" s="609" t="str">
        <f t="shared" si="166"/>
        <v/>
      </c>
      <c r="HD43" s="610" t="str">
        <f t="shared" si="167"/>
        <v/>
      </c>
      <c r="HE43" s="210" t="str">
        <f>IFERROR(IF(OR(GY43="SUPPLEMENTARY",GY43="RE-EXAM"),'Supp. Result Entry'!AS42,""),"")</f>
        <v/>
      </c>
      <c r="HF43" s="613" t="str">
        <f t="shared" si="168"/>
        <v/>
      </c>
      <c r="HG43" s="598" t="str">
        <f t="shared" si="169"/>
        <v/>
      </c>
      <c r="HH43" s="598" t="str">
        <f>IF(AND(HE43="",HF43="",HG43=""),"",IF(OR(GY43="SUPPLEMENTARY",GY43="RE-EXAM"),'Supp. Result Entry'!AS42,GY43))</f>
        <v/>
      </c>
      <c r="HI43" s="180"/>
      <c r="HJ43" s="214"/>
      <c r="HY43" s="212" t="str">
        <f>IF('Supp. Result Entry'!U42="","",'Supp. Result Entry'!$U$6)</f>
        <v/>
      </c>
      <c r="HZ43" s="213" t="str">
        <f>IF('Supp. Result Entry'!X42="","",'Supp. Result Entry'!$X$6)</f>
        <v/>
      </c>
      <c r="IA43" s="213" t="str">
        <f>IF('Supp. Result Entry'!AA42="","",'Supp. Result Entry'!$AA$6)</f>
        <v/>
      </c>
      <c r="IB43" s="213" t="str">
        <f>IF('Supp. Result Entry'!AD42="","",'Supp. Result Entry'!$AD$6)</f>
        <v/>
      </c>
      <c r="IC43" s="213" t="str">
        <f>IF('Supp. Result Entry'!AG42="","",'Supp. Result Entry'!$AG$6)</f>
        <v/>
      </c>
      <c r="ID43" s="213" t="str">
        <f>IF('Supp. Result Entry'!AJ42="","",'Supp. Result Entry'!$AJ$6)</f>
        <v/>
      </c>
      <c r="IE43" s="213" t="str">
        <f>IF('Supp. Result Entry'!V42="","",'Supp. Result Entry'!V42)</f>
        <v/>
      </c>
      <c r="IF43" s="213" t="str">
        <f>IF('Supp. Result Entry'!Y42="","",'Supp. Result Entry'!Y42)</f>
        <v/>
      </c>
      <c r="IG43" s="213" t="str">
        <f>IF('Supp. Result Entry'!AB42="","",'Supp. Result Entry'!AB42)</f>
        <v/>
      </c>
      <c r="IH43" s="213" t="str">
        <f>IF('Supp. Result Entry'!AE42="","",'Supp. Result Entry'!AE42)</f>
        <v/>
      </c>
      <c r="II43" s="213" t="str">
        <f>IF('Supp. Result Entry'!AH42="","",'Supp. Result Entry'!AH42)</f>
        <v/>
      </c>
      <c r="IJ43" s="213" t="str">
        <f>IF('Supp. Result Entry'!AK42="","",'Supp. Result Entry'!AK42)</f>
        <v/>
      </c>
      <c r="IK43" s="213" t="str">
        <f>IF('Supp. Result Entry'!W42="","",'Supp. Result Entry'!W42)</f>
        <v/>
      </c>
      <c r="IL43" s="213" t="str">
        <f>IF('Supp. Result Entry'!Z42="","",'Supp. Result Entry'!Z42)</f>
        <v/>
      </c>
      <c r="IM43" s="213" t="str">
        <f>IF('Supp. Result Entry'!AC42="","",'Supp. Result Entry'!AC42)</f>
        <v/>
      </c>
      <c r="IN43" s="213" t="str">
        <f>IF('Supp. Result Entry'!AF42="","",'Supp. Result Entry'!AF42)</f>
        <v/>
      </c>
      <c r="IO43" s="213" t="str">
        <f>IF('Supp. Result Entry'!AI42="","",'Supp. Result Entry'!AI42)</f>
        <v/>
      </c>
      <c r="IP43" s="213" t="str">
        <f>IF('Supp. Result Entry'!AL42="","",'Supp. Result Entry'!AL42)</f>
        <v/>
      </c>
      <c r="IQ43" s="213">
        <f>COUNTIF('Supp. Result Entry'!K42:Q42,"S")</f>
        <v>0</v>
      </c>
      <c r="IR43" s="213">
        <f t="shared" si="170"/>
        <v>0</v>
      </c>
      <c r="IS43" s="213">
        <f t="shared" si="171"/>
        <v>0</v>
      </c>
      <c r="IT43" s="213" t="str">
        <f t="shared" si="41"/>
        <v/>
      </c>
      <c r="IU43" s="213" t="str">
        <f t="shared" si="42"/>
        <v/>
      </c>
      <c r="IV43" s="213" t="str">
        <f t="shared" si="43"/>
        <v/>
      </c>
      <c r="IW43" s="213" t="str">
        <f t="shared" si="44"/>
        <v/>
      </c>
      <c r="IX43" s="213" t="str">
        <f t="shared" si="45"/>
        <v/>
      </c>
      <c r="IY43" s="213" t="str">
        <f t="shared" si="172"/>
        <v/>
      </c>
      <c r="IZ43" s="213" t="str">
        <f t="shared" si="173"/>
        <v/>
      </c>
      <c r="JA43" s="213" t="str">
        <f t="shared" si="46"/>
        <v/>
      </c>
      <c r="JB43" s="211" t="str">
        <f t="shared" si="174"/>
        <v/>
      </c>
    </row>
    <row r="44" spans="1:262" s="211" customFormat="1" ht="21" customHeight="1">
      <c r="A44" s="184">
        <v>37</v>
      </c>
      <c r="B44" s="185" t="str">
        <f>IF('Marks Entry'!B44="","",'Marks Entry'!B44)</f>
        <v/>
      </c>
      <c r="C44" s="186" t="str">
        <f>IF('Marks Entry'!D44="","",'Marks Entry'!D44)</f>
        <v/>
      </c>
      <c r="D44" s="187" t="str">
        <f>IF('Marks Entry'!E44="","",'Marks Entry'!E44)</f>
        <v/>
      </c>
      <c r="E44" s="188" t="str">
        <f>IF('Marks Entry'!F44="","",'Marks Entry'!F44)</f>
        <v/>
      </c>
      <c r="F44" s="188" t="str">
        <f>IF('Marks Entry'!G44="","",'Marks Entry'!G44)</f>
        <v/>
      </c>
      <c r="G44" s="188" t="str">
        <f>IF('Marks Entry'!H44="","",'Marks Entry'!H44)</f>
        <v/>
      </c>
      <c r="H44" s="189" t="str">
        <f>IF('Marks Entry'!I44="","",'Marks Entry'!I44)</f>
        <v/>
      </c>
      <c r="I44" s="190" t="str">
        <f>IF('Marks Entry'!J44="","",'Marks Entry'!J44)</f>
        <v/>
      </c>
      <c r="J44" s="545" t="str">
        <f>IF('Marks Entry'!K44="","",'Marks Entry'!K44)</f>
        <v/>
      </c>
      <c r="K44" s="545" t="str">
        <f>IF('Marks Entry'!L44="","",'Marks Entry'!L44)</f>
        <v/>
      </c>
      <c r="L44" s="545" t="str">
        <f>IF('Marks Entry'!M44="","",'Marks Entry'!M44)</f>
        <v/>
      </c>
      <c r="M44" s="546" t="str">
        <f t="shared" si="47"/>
        <v/>
      </c>
      <c r="N44" s="545" t="str">
        <f>IF('Marks Entry'!N44="","",'Marks Entry'!N44)</f>
        <v/>
      </c>
      <c r="O44" s="546" t="str">
        <f t="shared" si="48"/>
        <v/>
      </c>
      <c r="P44" s="545" t="str">
        <f>IF('Marks Entry'!O44="","",'Marks Entry'!O44)</f>
        <v/>
      </c>
      <c r="Q44" s="547" t="str">
        <f t="shared" si="49"/>
        <v/>
      </c>
      <c r="R44" s="153">
        <f t="shared" si="50"/>
        <v>0</v>
      </c>
      <c r="S44" s="153">
        <f t="shared" si="51"/>
        <v>0</v>
      </c>
      <c r="T44" s="154" t="str">
        <f t="shared" si="52"/>
        <v/>
      </c>
      <c r="U44" s="153" t="str">
        <f t="shared" si="53"/>
        <v/>
      </c>
      <c r="V44" s="153" t="str">
        <f t="shared" si="54"/>
        <v/>
      </c>
      <c r="W44" s="153" t="str">
        <f t="shared" si="55"/>
        <v/>
      </c>
      <c r="X44" s="545" t="str">
        <f>IF('Marks Entry'!P44="","",'Marks Entry'!P44)</f>
        <v/>
      </c>
      <c r="Y44" s="545" t="str">
        <f>IF('Marks Entry'!Q44="","",'Marks Entry'!Q44)</f>
        <v/>
      </c>
      <c r="Z44" s="545" t="str">
        <f>IF('Marks Entry'!R44="","",'Marks Entry'!R44)</f>
        <v/>
      </c>
      <c r="AA44" s="546" t="str">
        <f t="shared" si="56"/>
        <v/>
      </c>
      <c r="AB44" s="545" t="str">
        <f>IF('Marks Entry'!S44="","",'Marks Entry'!S44)</f>
        <v/>
      </c>
      <c r="AC44" s="546" t="str">
        <f t="shared" si="57"/>
        <v/>
      </c>
      <c r="AD44" s="545" t="str">
        <f>IF('Marks Entry'!T44="","",'Marks Entry'!T44)</f>
        <v/>
      </c>
      <c r="AE44" s="547" t="str">
        <f t="shared" si="58"/>
        <v/>
      </c>
      <c r="AF44" s="153">
        <f t="shared" si="59"/>
        <v>0</v>
      </c>
      <c r="AG44" s="153">
        <f t="shared" si="60"/>
        <v>0</v>
      </c>
      <c r="AH44" s="154" t="str">
        <f t="shared" si="61"/>
        <v/>
      </c>
      <c r="AI44" s="153" t="str">
        <f t="shared" si="62"/>
        <v/>
      </c>
      <c r="AJ44" s="153" t="str">
        <f t="shared" si="63"/>
        <v/>
      </c>
      <c r="AK44" s="153" t="str">
        <f t="shared" si="64"/>
        <v/>
      </c>
      <c r="AL44" s="573" t="str">
        <f>IF('Marks Entry'!U44="","",'Marks Entry'!U44)</f>
        <v/>
      </c>
      <c r="AM44" s="573" t="str">
        <f>IF('Marks Entry'!V44="","",'Marks Entry'!V44)</f>
        <v/>
      </c>
      <c r="AN44" s="573" t="str">
        <f>IF('Marks Entry'!W44="","",'Marks Entry'!W44)</f>
        <v/>
      </c>
      <c r="AO44" s="573" t="str">
        <f>IF('Marks Entry'!X44="","",'Marks Entry'!X44)</f>
        <v/>
      </c>
      <c r="AP44" s="572" t="str">
        <f t="shared" si="65"/>
        <v/>
      </c>
      <c r="AQ44" s="573" t="str">
        <f>IF('Marks Entry'!Y44="","",'Marks Entry'!Y44)</f>
        <v/>
      </c>
      <c r="AR44" s="573" t="str">
        <f>IF('Marks Entry'!Z44="","",'Marks Entry'!Z44)</f>
        <v/>
      </c>
      <c r="AS44" s="572" t="str">
        <f t="shared" si="66"/>
        <v/>
      </c>
      <c r="AT44" s="572" t="str">
        <f t="shared" si="67"/>
        <v/>
      </c>
      <c r="AU44" s="573" t="str">
        <f>IF('Marks Entry'!AA44="","",'Marks Entry'!AA44)</f>
        <v/>
      </c>
      <c r="AV44" s="573" t="str">
        <f>IF('Marks Entry'!AB44="","",'Marks Entry'!AB44)</f>
        <v/>
      </c>
      <c r="AW44" s="572" t="str">
        <f t="shared" si="68"/>
        <v/>
      </c>
      <c r="AX44" s="157" t="str">
        <f t="shared" si="69"/>
        <v/>
      </c>
      <c r="AY44" s="157" t="str">
        <f t="shared" si="70"/>
        <v/>
      </c>
      <c r="AZ44" s="192" t="str">
        <f t="shared" si="71"/>
        <v/>
      </c>
      <c r="BA44" s="153">
        <f t="shared" si="72"/>
        <v>0</v>
      </c>
      <c r="BB44" s="154">
        <f t="shared" si="73"/>
        <v>0</v>
      </c>
      <c r="BC44" s="154" t="str">
        <f t="shared" si="74"/>
        <v/>
      </c>
      <c r="BD44" s="154" t="str">
        <f t="shared" si="75"/>
        <v/>
      </c>
      <c r="BE44" s="154" t="str">
        <f t="shared" si="76"/>
        <v/>
      </c>
      <c r="BF44" s="153" t="str">
        <f t="shared" si="77"/>
        <v/>
      </c>
      <c r="BG44" s="154" t="str">
        <f t="shared" si="175"/>
        <v/>
      </c>
      <c r="BH44" s="153" t="str">
        <f t="shared" si="78"/>
        <v/>
      </c>
      <c r="BI44" s="580" t="str">
        <f>IF('Marks Entry'!AC44="","",'Marks Entry'!AC44)</f>
        <v/>
      </c>
      <c r="BJ44" s="580" t="str">
        <f>IF('Marks Entry'!AD44="","",'Marks Entry'!AD44)</f>
        <v/>
      </c>
      <c r="BK44" s="580" t="str">
        <f>IF('Marks Entry'!AE44="","",'Marks Entry'!AE44)</f>
        <v/>
      </c>
      <c r="BL44" s="580" t="str">
        <f>IF('Marks Entry'!AF44="","",'Marks Entry'!AF44)</f>
        <v/>
      </c>
      <c r="BM44" s="581" t="str">
        <f t="shared" si="79"/>
        <v/>
      </c>
      <c r="BN44" s="580" t="str">
        <f>IF('Marks Entry'!AG44="","",'Marks Entry'!AG44)</f>
        <v/>
      </c>
      <c r="BO44" s="580" t="str">
        <f>IF('Marks Entry'!AH44="","",'Marks Entry'!AH44)</f>
        <v/>
      </c>
      <c r="BP44" s="581" t="str">
        <f t="shared" si="80"/>
        <v/>
      </c>
      <c r="BQ44" s="581" t="str">
        <f t="shared" si="81"/>
        <v/>
      </c>
      <c r="BR44" s="580" t="str">
        <f>IF('Marks Entry'!AI44="","",'Marks Entry'!AI44)</f>
        <v/>
      </c>
      <c r="BS44" s="580" t="str">
        <f>IF('Marks Entry'!AJ44="","",'Marks Entry'!AJ44)</f>
        <v/>
      </c>
      <c r="BT44" s="581" t="str">
        <f t="shared" si="82"/>
        <v/>
      </c>
      <c r="BU44" s="157" t="str">
        <f t="shared" si="83"/>
        <v/>
      </c>
      <c r="BV44" s="157" t="str">
        <f t="shared" si="84"/>
        <v/>
      </c>
      <c r="BW44" s="192" t="str">
        <f t="shared" si="85"/>
        <v/>
      </c>
      <c r="BX44" s="153">
        <f t="shared" si="86"/>
        <v>0</v>
      </c>
      <c r="BY44" s="154">
        <f t="shared" si="87"/>
        <v>0</v>
      </c>
      <c r="BZ44" s="154" t="str">
        <f t="shared" si="88"/>
        <v/>
      </c>
      <c r="CA44" s="154" t="str">
        <f t="shared" si="89"/>
        <v/>
      </c>
      <c r="CB44" s="154" t="str">
        <f t="shared" si="90"/>
        <v/>
      </c>
      <c r="CC44" s="153" t="str">
        <f t="shared" si="91"/>
        <v/>
      </c>
      <c r="CD44" s="154" t="str">
        <f t="shared" si="92"/>
        <v/>
      </c>
      <c r="CE44" s="153" t="str">
        <f t="shared" si="93"/>
        <v/>
      </c>
      <c r="CF44" s="580" t="str">
        <f>IF('Marks Entry'!AK44="","",'Marks Entry'!AK44)</f>
        <v/>
      </c>
      <c r="CG44" s="580" t="str">
        <f>IF('Marks Entry'!AL44="","",'Marks Entry'!AL44)</f>
        <v/>
      </c>
      <c r="CH44" s="580" t="str">
        <f>IF('Marks Entry'!AM44="","",'Marks Entry'!AM44)</f>
        <v/>
      </c>
      <c r="CI44" s="580" t="str">
        <f>IF('Marks Entry'!AN44="","",'Marks Entry'!AN44)</f>
        <v/>
      </c>
      <c r="CJ44" s="581" t="str">
        <f t="shared" si="94"/>
        <v/>
      </c>
      <c r="CK44" s="580" t="str">
        <f>IF('Marks Entry'!AO44="","",'Marks Entry'!AO44)</f>
        <v/>
      </c>
      <c r="CL44" s="580" t="str">
        <f>IF('Marks Entry'!AP44="","",'Marks Entry'!AP44)</f>
        <v/>
      </c>
      <c r="CM44" s="581" t="str">
        <f t="shared" si="95"/>
        <v/>
      </c>
      <c r="CN44" s="581" t="str">
        <f t="shared" si="96"/>
        <v/>
      </c>
      <c r="CO44" s="580" t="str">
        <f>IF('Marks Entry'!AQ44="","",'Marks Entry'!AQ44)</f>
        <v/>
      </c>
      <c r="CP44" s="580" t="str">
        <f>IF('Marks Entry'!AR44="","",'Marks Entry'!AR44)</f>
        <v/>
      </c>
      <c r="CQ44" s="581" t="str">
        <f t="shared" si="97"/>
        <v/>
      </c>
      <c r="CR44" s="157" t="str">
        <f t="shared" si="98"/>
        <v/>
      </c>
      <c r="CS44" s="157" t="str">
        <f t="shared" si="99"/>
        <v/>
      </c>
      <c r="CT44" s="192" t="str">
        <f t="shared" si="100"/>
        <v/>
      </c>
      <c r="CU44" s="153">
        <f t="shared" si="101"/>
        <v>0</v>
      </c>
      <c r="CV44" s="154">
        <f t="shared" si="102"/>
        <v>0</v>
      </c>
      <c r="CW44" s="154" t="str">
        <f t="shared" si="103"/>
        <v/>
      </c>
      <c r="CX44" s="154" t="str">
        <f t="shared" si="104"/>
        <v/>
      </c>
      <c r="CY44" s="154" t="str">
        <f t="shared" si="176"/>
        <v/>
      </c>
      <c r="CZ44" s="153" t="str">
        <f t="shared" si="105"/>
        <v/>
      </c>
      <c r="DA44" s="154" t="str">
        <f t="shared" si="106"/>
        <v/>
      </c>
      <c r="DB44" s="153" t="str">
        <f t="shared" si="107"/>
        <v/>
      </c>
      <c r="DC44" s="154">
        <f t="shared" si="108"/>
        <v>0</v>
      </c>
      <c r="DD44" s="826" t="str">
        <f>IF('Marks Entry'!AS44="","",IF(OR('Master Sheet'!$D$19="YES",'Marks Entry'!$BA$1=1),'Marks Entry'!AS44,""))</f>
        <v/>
      </c>
      <c r="DE44" s="826" t="str">
        <f>IF('Marks Entry'!AT44="","",IF(OR('Master Sheet'!$D$19="YES",'Marks Entry'!$BA$1=1),'Marks Entry'!AT44,""))</f>
        <v/>
      </c>
      <c r="DF44" s="826" t="str">
        <f>IF('Marks Entry'!AU44="","",IF(OR('Master Sheet'!$D$19="YES",'Marks Entry'!$BA$1=1),'Marks Entry'!AU44,""))</f>
        <v/>
      </c>
      <c r="DG44" s="826" t="str">
        <f>IF('Marks Entry'!AV44="","",IF(OR('Master Sheet'!$D$19="YES",'Marks Entry'!$BA$1=1),'Marks Entry'!AV44,""))</f>
        <v/>
      </c>
      <c r="DH44" s="827" t="str">
        <f t="shared" si="109"/>
        <v/>
      </c>
      <c r="DI44" s="826" t="str">
        <f>IF('Marks Entry'!AW44="","",IF(OR('Master Sheet'!$D$19="YES",'Marks Entry'!$BA$1=1),'Marks Entry'!AW44,""))</f>
        <v/>
      </c>
      <c r="DJ44" s="826" t="str">
        <f>IF('Marks Entry'!AX44="","",IF(OR('Master Sheet'!$D$19="YES",'Marks Entry'!$BA$1=1),'Marks Entry'!AX44,""))</f>
        <v/>
      </c>
      <c r="DK44" s="827" t="str">
        <f t="shared" si="110"/>
        <v/>
      </c>
      <c r="DL44" s="827" t="str">
        <f t="shared" si="111"/>
        <v/>
      </c>
      <c r="DM44" s="826" t="str">
        <f>IF('Marks Entry'!AY44="","",IF(OR('Master Sheet'!$D$19="YES",'Marks Entry'!$BA$1=1),'Marks Entry'!AY44,""))</f>
        <v/>
      </c>
      <c r="DN44" s="826" t="str">
        <f>IF('Marks Entry'!AZ44="","",IF(OR('Master Sheet'!$D$19="YES",'Marks Entry'!$BA$1=1),'Marks Entry'!AZ44,""))</f>
        <v/>
      </c>
      <c r="DO44" s="826" t="str">
        <f>IF('Marks Entry'!BA44="","",IF(OR('Master Sheet'!$D$19="YES",'Marks Entry'!$BA$1=1),'Marks Entry'!BA44,""))</f>
        <v/>
      </c>
      <c r="DP44" s="827" t="str">
        <f t="shared" si="112"/>
        <v/>
      </c>
      <c r="DQ44" s="157" t="str">
        <f t="shared" si="113"/>
        <v/>
      </c>
      <c r="DR44" s="157" t="str">
        <f t="shared" si="114"/>
        <v/>
      </c>
      <c r="DS44" s="157" t="str">
        <f t="shared" si="115"/>
        <v/>
      </c>
      <c r="DT44" s="192" t="str">
        <f t="shared" si="116"/>
        <v/>
      </c>
      <c r="DU44" s="153">
        <f t="shared" si="117"/>
        <v>0</v>
      </c>
      <c r="DV44" s="154" t="e">
        <f t="shared" si="118"/>
        <v>#VALUE!</v>
      </c>
      <c r="DW44" s="154" t="str">
        <f t="shared" si="119"/>
        <v/>
      </c>
      <c r="DX44" s="154" t="str">
        <f>IF(OR($B44="NSO",$B44=0,DS44=""),"",IF(AND(DJ44="",DO44=""),"",IF('Master Sheet'!$D$19="YES",$DO$6-COUNTIF(DO44,"ML")*DO$6,DS$6-(COUNTIF(DJ44,"ML")*DJ$6)-(COUNTIF(DO44,"ML")*DO$6))))</f>
        <v/>
      </c>
      <c r="DY44" s="154" t="str">
        <f>IF(OR($B44="NSO",$B44=0),"",IF(AND(DH44="",DI44="",DM44=""),"",IF(AND('Master Sheet'!$D$19="YES",'Marks Entry'!$BA$1=1),100,IF(AND(DJ44="",DO44=""),SUM(($DQ$7+$DR$7)-(DU44+DV44)),SUM(($DQ$6+$DR$6)-(DU44+DV44))))))</f>
        <v/>
      </c>
      <c r="DZ44" s="153" t="str">
        <f t="shared" si="120"/>
        <v/>
      </c>
      <c r="EA44" s="154" t="str">
        <f t="shared" si="121"/>
        <v/>
      </c>
      <c r="EB44" s="153" t="str">
        <f t="shared" si="122"/>
        <v/>
      </c>
      <c r="EC44" s="584" t="str">
        <f>IF('Marks Entry'!BB44="","",'Marks Entry'!BB44)</f>
        <v/>
      </c>
      <c r="ED44" s="584" t="str">
        <f>IF('Marks Entry'!BC44="","",'Marks Entry'!BC44)</f>
        <v/>
      </c>
      <c r="EE44" s="584" t="str">
        <f>IF('Marks Entry'!BD44="","",'Marks Entry'!BD44)</f>
        <v/>
      </c>
      <c r="EF44" s="590" t="str">
        <f t="shared" si="123"/>
        <v/>
      </c>
      <c r="EG44" s="595">
        <f t="shared" si="124"/>
        <v>0</v>
      </c>
      <c r="EH44" s="595">
        <f t="shared" si="125"/>
        <v>0</v>
      </c>
      <c r="EI44" s="193" t="str">
        <f t="shared" si="126"/>
        <v/>
      </c>
      <c r="EJ44" s="595" t="str">
        <f t="shared" si="127"/>
        <v/>
      </c>
      <c r="EK44" s="595" t="str">
        <f t="shared" si="128"/>
        <v/>
      </c>
      <c r="EL44" s="194" t="str">
        <f t="shared" si="129"/>
        <v/>
      </c>
      <c r="EM44" s="194" t="str">
        <f t="shared" si="130"/>
        <v/>
      </c>
      <c r="EN44" s="194" t="str">
        <f t="shared" si="131"/>
        <v/>
      </c>
      <c r="EO44" s="194" t="str">
        <f t="shared" si="132"/>
        <v/>
      </c>
      <c r="EP44" s="194" t="str">
        <f t="shared" si="133"/>
        <v/>
      </c>
      <c r="EQ44" s="194" t="str">
        <f t="shared" si="134"/>
        <v/>
      </c>
      <c r="ER44" s="195">
        <f t="shared" si="135"/>
        <v>0</v>
      </c>
      <c r="ES44" s="195">
        <f t="shared" si="136"/>
        <v>0</v>
      </c>
      <c r="ET44" s="195">
        <f t="shared" si="137"/>
        <v>0</v>
      </c>
      <c r="EU44" s="195">
        <f t="shared" si="138"/>
        <v>0</v>
      </c>
      <c r="EV44" s="195">
        <f t="shared" si="139"/>
        <v>0</v>
      </c>
      <c r="EW44" s="195" t="str">
        <f t="shared" si="140"/>
        <v/>
      </c>
      <c r="EX44" s="196" t="str">
        <f t="shared" si="141"/>
        <v/>
      </c>
      <c r="EY44" s="197" t="str">
        <f>IF('Marks Entry'!BE44="","",'Marks Entry'!BE44)</f>
        <v/>
      </c>
      <c r="EZ44" s="197" t="str">
        <f>IF('Marks Entry'!BF44="","",'Marks Entry'!BF44)</f>
        <v/>
      </c>
      <c r="FA44" s="197" t="str">
        <f>IF('Marks Entry'!BG44="","",'Marks Entry'!BG44)</f>
        <v/>
      </c>
      <c r="FB44" s="596" t="str">
        <f t="shared" si="142"/>
        <v/>
      </c>
      <c r="FC44" s="197" t="str">
        <f>IF('Marks Entry'!BH44="","",'Marks Entry'!BH44)</f>
        <v/>
      </c>
      <c r="FD44" s="197" t="str">
        <f>IF('Marks Entry'!BI44="","",'Marks Entry'!BI44)</f>
        <v/>
      </c>
      <c r="FE44" s="198" t="str">
        <f t="shared" si="143"/>
        <v/>
      </c>
      <c r="FF44" s="199" t="str">
        <f t="shared" si="144"/>
        <v/>
      </c>
      <c r="FG44" s="200" t="str">
        <f>IF(AND(E44=""),"",IF('Student DATA Entry'!L40="","",'Student DATA Entry'!L40))</f>
        <v/>
      </c>
      <c r="FH44" s="201" t="str">
        <f>IF(AND(E44=""),"",IF('Student DATA Entry'!M40="","",'Student DATA Entry'!M40))</f>
        <v/>
      </c>
      <c r="FI44" s="202" t="str">
        <f t="shared" si="145"/>
        <v/>
      </c>
      <c r="FJ44" s="189" t="str">
        <f t="shared" si="146"/>
        <v/>
      </c>
      <c r="FK44" s="189" t="str">
        <f t="shared" si="147"/>
        <v/>
      </c>
      <c r="FL44" s="203" t="str">
        <f t="shared" si="178"/>
        <v/>
      </c>
      <c r="FM44" s="189" t="str">
        <f t="shared" si="148"/>
        <v/>
      </c>
      <c r="FN44" s="204" t="str">
        <f t="shared" si="149"/>
        <v/>
      </c>
      <c r="FO44" s="203" t="str">
        <f t="shared" si="179"/>
        <v/>
      </c>
      <c r="FP44" s="205" t="str">
        <f t="shared" si="150"/>
        <v/>
      </c>
      <c r="FQ44" s="189" t="str">
        <f t="shared" si="180"/>
        <v/>
      </c>
      <c r="FR44" s="189" t="str">
        <f t="shared" si="181"/>
        <v/>
      </c>
      <c r="FS44" s="189" t="str">
        <f t="shared" si="182"/>
        <v/>
      </c>
      <c r="FT44" s="189" t="str">
        <f t="shared" si="183"/>
        <v/>
      </c>
      <c r="FU44" s="189" t="str">
        <f t="shared" si="151"/>
        <v/>
      </c>
      <c r="FV44" s="206" t="str">
        <f t="shared" si="184"/>
        <v/>
      </c>
      <c r="FW44" s="205" t="str">
        <f t="shared" si="152"/>
        <v/>
      </c>
      <c r="FX44" s="189" t="str">
        <f t="shared" si="185"/>
        <v/>
      </c>
      <c r="FY44" s="189" t="str">
        <f t="shared" si="186"/>
        <v/>
      </c>
      <c r="FZ44" s="189" t="str">
        <f t="shared" si="187"/>
        <v/>
      </c>
      <c r="GA44" s="189" t="str">
        <f t="shared" si="188"/>
        <v/>
      </c>
      <c r="GB44" s="189" t="str">
        <f t="shared" si="153"/>
        <v/>
      </c>
      <c r="GC44" s="206" t="str">
        <f t="shared" si="189"/>
        <v/>
      </c>
      <c r="GD44" s="205" t="str">
        <f t="shared" si="154"/>
        <v/>
      </c>
      <c r="GE44" s="189" t="str">
        <f t="shared" si="190"/>
        <v/>
      </c>
      <c r="GF44" s="189" t="str">
        <f t="shared" si="191"/>
        <v/>
      </c>
      <c r="GG44" s="189" t="str">
        <f t="shared" si="192"/>
        <v/>
      </c>
      <c r="GH44" s="189" t="str">
        <f t="shared" si="193"/>
        <v/>
      </c>
      <c r="GI44" s="189" t="str">
        <f t="shared" si="155"/>
        <v/>
      </c>
      <c r="GJ44" s="206" t="str">
        <f t="shared" si="194"/>
        <v/>
      </c>
      <c r="GK44" s="205" t="str">
        <f t="shared" si="156"/>
        <v/>
      </c>
      <c r="GL44" s="189" t="str">
        <f t="shared" si="195"/>
        <v/>
      </c>
      <c r="GM44" s="189" t="str">
        <f t="shared" si="196"/>
        <v/>
      </c>
      <c r="GN44" s="189" t="str">
        <f t="shared" si="197"/>
        <v/>
      </c>
      <c r="GO44" s="189" t="str">
        <f t="shared" si="198"/>
        <v/>
      </c>
      <c r="GP44" s="189" t="str">
        <f t="shared" si="157"/>
        <v/>
      </c>
      <c r="GQ44" s="206" t="str">
        <f t="shared" si="199"/>
        <v/>
      </c>
      <c r="GR44" s="189" t="str">
        <f t="shared" si="158"/>
        <v/>
      </c>
      <c r="GS44" s="189" t="str">
        <f t="shared" si="159"/>
        <v/>
      </c>
      <c r="GT44" s="207" t="str">
        <f t="shared" si="177"/>
        <v xml:space="preserve">    </v>
      </c>
      <c r="GU44" s="207" t="str">
        <f t="shared" si="160"/>
        <v xml:space="preserve">    </v>
      </c>
      <c r="GV44" s="207" t="str">
        <f t="shared" si="161"/>
        <v xml:space="preserve">    </v>
      </c>
      <c r="GW44" s="207" t="str">
        <f t="shared" si="162"/>
        <v xml:space="preserve">       </v>
      </c>
      <c r="GX44" s="598" t="str">
        <f t="shared" si="163"/>
        <v xml:space="preserve">     </v>
      </c>
      <c r="GY44" s="208" t="str">
        <f t="shared" si="200"/>
        <v/>
      </c>
      <c r="GZ44" s="606" t="str">
        <f>IF(AND(Q44="",AE44="",AZ44="",BW44="",CT44=""),"",IF(AND('Master Sheet'!$D$19="YES",'Marks Entry'!$BA$1=1),SUM(Q44,AE44,AZ44,BW44,DT44),SUM(Q44,AE44,AZ44,BW44,CT44)))</f>
        <v/>
      </c>
      <c r="HA44" s="209" t="str">
        <f>IF(GZ44="","",IF(AND('Master Sheet'!$D$19="YES",'Marks Entry'!$BA$1=1),GZ44/((900)-DC44)*100,GZ44/((1000)-DC44)*100))</f>
        <v/>
      </c>
      <c r="HB44" s="611" t="str">
        <f t="shared" si="165"/>
        <v/>
      </c>
      <c r="HC44" s="609" t="str">
        <f t="shared" si="166"/>
        <v/>
      </c>
      <c r="HD44" s="610" t="str">
        <f t="shared" si="167"/>
        <v/>
      </c>
      <c r="HE44" s="210" t="str">
        <f>IFERROR(IF(OR(GY44="SUPPLEMENTARY",GY44="RE-EXAM"),'Supp. Result Entry'!AS43,""),"")</f>
        <v/>
      </c>
      <c r="HF44" s="613" t="str">
        <f t="shared" si="168"/>
        <v/>
      </c>
      <c r="HG44" s="598" t="str">
        <f t="shared" si="169"/>
        <v/>
      </c>
      <c r="HH44" s="598" t="str">
        <f>IF(AND(HE44="",HF44="",HG44=""),"",IF(OR(GY44="SUPPLEMENTARY",GY44="RE-EXAM"),'Supp. Result Entry'!AS43,GY44))</f>
        <v/>
      </c>
      <c r="HI44" s="180"/>
      <c r="HJ44" s="214"/>
      <c r="HY44" s="212" t="str">
        <f>IF('Supp. Result Entry'!U43="","",'Supp. Result Entry'!$U$6)</f>
        <v/>
      </c>
      <c r="HZ44" s="213" t="str">
        <f>IF('Supp. Result Entry'!X43="","",'Supp. Result Entry'!$X$6)</f>
        <v/>
      </c>
      <c r="IA44" s="213" t="str">
        <f>IF('Supp. Result Entry'!AA43="","",'Supp. Result Entry'!$AA$6)</f>
        <v/>
      </c>
      <c r="IB44" s="213" t="str">
        <f>IF('Supp. Result Entry'!AD43="","",'Supp. Result Entry'!$AD$6)</f>
        <v/>
      </c>
      <c r="IC44" s="213" t="str">
        <f>IF('Supp. Result Entry'!AG43="","",'Supp. Result Entry'!$AG$6)</f>
        <v/>
      </c>
      <c r="ID44" s="213" t="str">
        <f>IF('Supp. Result Entry'!AJ43="","",'Supp. Result Entry'!$AJ$6)</f>
        <v/>
      </c>
      <c r="IE44" s="213" t="str">
        <f>IF('Supp. Result Entry'!V43="","",'Supp. Result Entry'!V43)</f>
        <v/>
      </c>
      <c r="IF44" s="213" t="str">
        <f>IF('Supp. Result Entry'!Y43="","",'Supp. Result Entry'!Y43)</f>
        <v/>
      </c>
      <c r="IG44" s="213" t="str">
        <f>IF('Supp. Result Entry'!AB43="","",'Supp. Result Entry'!AB43)</f>
        <v/>
      </c>
      <c r="IH44" s="213" t="str">
        <f>IF('Supp. Result Entry'!AE43="","",'Supp. Result Entry'!AE43)</f>
        <v/>
      </c>
      <c r="II44" s="213" t="str">
        <f>IF('Supp. Result Entry'!AH43="","",'Supp. Result Entry'!AH43)</f>
        <v/>
      </c>
      <c r="IJ44" s="213" t="str">
        <f>IF('Supp. Result Entry'!AK43="","",'Supp. Result Entry'!AK43)</f>
        <v/>
      </c>
      <c r="IK44" s="213" t="str">
        <f>IF('Supp. Result Entry'!W43="","",'Supp. Result Entry'!W43)</f>
        <v/>
      </c>
      <c r="IL44" s="213" t="str">
        <f>IF('Supp. Result Entry'!Z43="","",'Supp. Result Entry'!Z43)</f>
        <v/>
      </c>
      <c r="IM44" s="213" t="str">
        <f>IF('Supp. Result Entry'!AC43="","",'Supp. Result Entry'!AC43)</f>
        <v/>
      </c>
      <c r="IN44" s="213" t="str">
        <f>IF('Supp. Result Entry'!AF43="","",'Supp. Result Entry'!AF43)</f>
        <v/>
      </c>
      <c r="IO44" s="213" t="str">
        <f>IF('Supp. Result Entry'!AI43="","",'Supp. Result Entry'!AI43)</f>
        <v/>
      </c>
      <c r="IP44" s="213" t="str">
        <f>IF('Supp. Result Entry'!AL43="","",'Supp. Result Entry'!AL43)</f>
        <v/>
      </c>
      <c r="IQ44" s="213">
        <f>COUNTIF('Supp. Result Entry'!K43:Q43,"S")</f>
        <v>0</v>
      </c>
      <c r="IR44" s="213">
        <f t="shared" si="170"/>
        <v>0</v>
      </c>
      <c r="IS44" s="213">
        <f t="shared" si="171"/>
        <v>0</v>
      </c>
      <c r="IT44" s="213" t="str">
        <f t="shared" si="41"/>
        <v/>
      </c>
      <c r="IU44" s="213" t="str">
        <f t="shared" si="42"/>
        <v/>
      </c>
      <c r="IV44" s="213" t="str">
        <f t="shared" si="43"/>
        <v/>
      </c>
      <c r="IW44" s="213" t="str">
        <f t="shared" si="44"/>
        <v/>
      </c>
      <c r="IX44" s="213" t="str">
        <f t="shared" si="45"/>
        <v/>
      </c>
      <c r="IY44" s="213" t="str">
        <f t="shared" si="172"/>
        <v/>
      </c>
      <c r="IZ44" s="213" t="str">
        <f t="shared" si="173"/>
        <v/>
      </c>
      <c r="JA44" s="213" t="str">
        <f t="shared" si="46"/>
        <v/>
      </c>
      <c r="JB44" s="211" t="str">
        <f t="shared" si="174"/>
        <v/>
      </c>
    </row>
    <row r="45" spans="1:262" s="211" customFormat="1" ht="21" customHeight="1">
      <c r="A45" s="184">
        <v>38</v>
      </c>
      <c r="B45" s="185" t="str">
        <f>IF('Marks Entry'!B45="","",'Marks Entry'!B45)</f>
        <v/>
      </c>
      <c r="C45" s="186" t="str">
        <f>IF('Marks Entry'!D45="","",'Marks Entry'!D45)</f>
        <v/>
      </c>
      <c r="D45" s="187" t="str">
        <f>IF('Marks Entry'!E45="","",'Marks Entry'!E45)</f>
        <v/>
      </c>
      <c r="E45" s="188" t="str">
        <f>IF('Marks Entry'!F45="","",'Marks Entry'!F45)</f>
        <v/>
      </c>
      <c r="F45" s="188" t="str">
        <f>IF('Marks Entry'!G45="","",'Marks Entry'!G45)</f>
        <v/>
      </c>
      <c r="G45" s="188" t="str">
        <f>IF('Marks Entry'!H45="","",'Marks Entry'!H45)</f>
        <v/>
      </c>
      <c r="H45" s="189" t="str">
        <f>IF('Marks Entry'!I45="","",'Marks Entry'!I45)</f>
        <v/>
      </c>
      <c r="I45" s="190" t="str">
        <f>IF('Marks Entry'!J45="","",'Marks Entry'!J45)</f>
        <v/>
      </c>
      <c r="J45" s="545" t="str">
        <f>IF('Marks Entry'!K45="","",'Marks Entry'!K45)</f>
        <v/>
      </c>
      <c r="K45" s="545" t="str">
        <f>IF('Marks Entry'!L45="","",'Marks Entry'!L45)</f>
        <v/>
      </c>
      <c r="L45" s="545" t="str">
        <f>IF('Marks Entry'!M45="","",'Marks Entry'!M45)</f>
        <v/>
      </c>
      <c r="M45" s="546" t="str">
        <f t="shared" si="47"/>
        <v/>
      </c>
      <c r="N45" s="545" t="str">
        <f>IF('Marks Entry'!N45="","",'Marks Entry'!N45)</f>
        <v/>
      </c>
      <c r="O45" s="546" t="str">
        <f t="shared" si="48"/>
        <v/>
      </c>
      <c r="P45" s="545" t="str">
        <f>IF('Marks Entry'!O45="","",'Marks Entry'!O45)</f>
        <v/>
      </c>
      <c r="Q45" s="547" t="str">
        <f t="shared" si="49"/>
        <v/>
      </c>
      <c r="R45" s="153">
        <f t="shared" si="50"/>
        <v>0</v>
      </c>
      <c r="S45" s="153">
        <f t="shared" si="51"/>
        <v>0</v>
      </c>
      <c r="T45" s="154" t="str">
        <f t="shared" si="52"/>
        <v/>
      </c>
      <c r="U45" s="153" t="str">
        <f t="shared" si="53"/>
        <v/>
      </c>
      <c r="V45" s="153" t="str">
        <f t="shared" si="54"/>
        <v/>
      </c>
      <c r="W45" s="153" t="str">
        <f t="shared" si="55"/>
        <v/>
      </c>
      <c r="X45" s="545" t="str">
        <f>IF('Marks Entry'!P45="","",'Marks Entry'!P45)</f>
        <v/>
      </c>
      <c r="Y45" s="545" t="str">
        <f>IF('Marks Entry'!Q45="","",'Marks Entry'!Q45)</f>
        <v/>
      </c>
      <c r="Z45" s="545" t="str">
        <f>IF('Marks Entry'!R45="","",'Marks Entry'!R45)</f>
        <v/>
      </c>
      <c r="AA45" s="546" t="str">
        <f t="shared" si="56"/>
        <v/>
      </c>
      <c r="AB45" s="545" t="str">
        <f>IF('Marks Entry'!S45="","",'Marks Entry'!S45)</f>
        <v/>
      </c>
      <c r="AC45" s="546" t="str">
        <f t="shared" si="57"/>
        <v/>
      </c>
      <c r="AD45" s="545" t="str">
        <f>IF('Marks Entry'!T45="","",'Marks Entry'!T45)</f>
        <v/>
      </c>
      <c r="AE45" s="547" t="str">
        <f t="shared" si="58"/>
        <v/>
      </c>
      <c r="AF45" s="153">
        <f t="shared" si="59"/>
        <v>0</v>
      </c>
      <c r="AG45" s="153">
        <f t="shared" si="60"/>
        <v>0</v>
      </c>
      <c r="AH45" s="154" t="str">
        <f t="shared" si="61"/>
        <v/>
      </c>
      <c r="AI45" s="153" t="str">
        <f t="shared" si="62"/>
        <v/>
      </c>
      <c r="AJ45" s="153" t="str">
        <f t="shared" si="63"/>
        <v/>
      </c>
      <c r="AK45" s="153" t="str">
        <f t="shared" si="64"/>
        <v/>
      </c>
      <c r="AL45" s="573" t="str">
        <f>IF('Marks Entry'!U45="","",'Marks Entry'!U45)</f>
        <v/>
      </c>
      <c r="AM45" s="573" t="str">
        <f>IF('Marks Entry'!V45="","",'Marks Entry'!V45)</f>
        <v/>
      </c>
      <c r="AN45" s="573" t="str">
        <f>IF('Marks Entry'!W45="","",'Marks Entry'!W45)</f>
        <v/>
      </c>
      <c r="AO45" s="573" t="str">
        <f>IF('Marks Entry'!X45="","",'Marks Entry'!X45)</f>
        <v/>
      </c>
      <c r="AP45" s="572" t="str">
        <f t="shared" si="65"/>
        <v/>
      </c>
      <c r="AQ45" s="573" t="str">
        <f>IF('Marks Entry'!Y45="","",'Marks Entry'!Y45)</f>
        <v/>
      </c>
      <c r="AR45" s="573" t="str">
        <f>IF('Marks Entry'!Z45="","",'Marks Entry'!Z45)</f>
        <v/>
      </c>
      <c r="AS45" s="572" t="str">
        <f t="shared" si="66"/>
        <v/>
      </c>
      <c r="AT45" s="572" t="str">
        <f t="shared" si="67"/>
        <v/>
      </c>
      <c r="AU45" s="573" t="str">
        <f>IF('Marks Entry'!AA45="","",'Marks Entry'!AA45)</f>
        <v/>
      </c>
      <c r="AV45" s="573" t="str">
        <f>IF('Marks Entry'!AB45="","",'Marks Entry'!AB45)</f>
        <v/>
      </c>
      <c r="AW45" s="572" t="str">
        <f t="shared" si="68"/>
        <v/>
      </c>
      <c r="AX45" s="157" t="str">
        <f t="shared" si="69"/>
        <v/>
      </c>
      <c r="AY45" s="157" t="str">
        <f t="shared" si="70"/>
        <v/>
      </c>
      <c r="AZ45" s="192" t="str">
        <f t="shared" si="71"/>
        <v/>
      </c>
      <c r="BA45" s="153">
        <f t="shared" si="72"/>
        <v>0</v>
      </c>
      <c r="BB45" s="154">
        <f t="shared" si="73"/>
        <v>0</v>
      </c>
      <c r="BC45" s="154" t="str">
        <f t="shared" si="74"/>
        <v/>
      </c>
      <c r="BD45" s="154" t="str">
        <f t="shared" si="75"/>
        <v/>
      </c>
      <c r="BE45" s="154" t="str">
        <f t="shared" si="76"/>
        <v/>
      </c>
      <c r="BF45" s="153" t="str">
        <f t="shared" si="77"/>
        <v/>
      </c>
      <c r="BG45" s="154" t="str">
        <f t="shared" si="175"/>
        <v/>
      </c>
      <c r="BH45" s="153" t="str">
        <f t="shared" si="78"/>
        <v/>
      </c>
      <c r="BI45" s="580" t="str">
        <f>IF('Marks Entry'!AC45="","",'Marks Entry'!AC45)</f>
        <v/>
      </c>
      <c r="BJ45" s="580" t="str">
        <f>IF('Marks Entry'!AD45="","",'Marks Entry'!AD45)</f>
        <v/>
      </c>
      <c r="BK45" s="580" t="str">
        <f>IF('Marks Entry'!AE45="","",'Marks Entry'!AE45)</f>
        <v/>
      </c>
      <c r="BL45" s="580" t="str">
        <f>IF('Marks Entry'!AF45="","",'Marks Entry'!AF45)</f>
        <v/>
      </c>
      <c r="BM45" s="581" t="str">
        <f t="shared" si="79"/>
        <v/>
      </c>
      <c r="BN45" s="580" t="str">
        <f>IF('Marks Entry'!AG45="","",'Marks Entry'!AG45)</f>
        <v/>
      </c>
      <c r="BO45" s="580" t="str">
        <f>IF('Marks Entry'!AH45="","",'Marks Entry'!AH45)</f>
        <v/>
      </c>
      <c r="BP45" s="581" t="str">
        <f t="shared" si="80"/>
        <v/>
      </c>
      <c r="BQ45" s="581" t="str">
        <f t="shared" si="81"/>
        <v/>
      </c>
      <c r="BR45" s="580" t="str">
        <f>IF('Marks Entry'!AI45="","",'Marks Entry'!AI45)</f>
        <v/>
      </c>
      <c r="BS45" s="580" t="str">
        <f>IF('Marks Entry'!AJ45="","",'Marks Entry'!AJ45)</f>
        <v/>
      </c>
      <c r="BT45" s="581" t="str">
        <f t="shared" si="82"/>
        <v/>
      </c>
      <c r="BU45" s="157" t="str">
        <f t="shared" si="83"/>
        <v/>
      </c>
      <c r="BV45" s="157" t="str">
        <f t="shared" si="84"/>
        <v/>
      </c>
      <c r="BW45" s="192" t="str">
        <f t="shared" si="85"/>
        <v/>
      </c>
      <c r="BX45" s="153">
        <f t="shared" si="86"/>
        <v>0</v>
      </c>
      <c r="BY45" s="154">
        <f t="shared" si="87"/>
        <v>0</v>
      </c>
      <c r="BZ45" s="154" t="str">
        <f t="shared" si="88"/>
        <v/>
      </c>
      <c r="CA45" s="154" t="str">
        <f t="shared" si="89"/>
        <v/>
      </c>
      <c r="CB45" s="154" t="str">
        <f t="shared" si="90"/>
        <v/>
      </c>
      <c r="CC45" s="153" t="str">
        <f t="shared" si="91"/>
        <v/>
      </c>
      <c r="CD45" s="154" t="str">
        <f t="shared" si="92"/>
        <v/>
      </c>
      <c r="CE45" s="153" t="str">
        <f t="shared" si="93"/>
        <v/>
      </c>
      <c r="CF45" s="580" t="str">
        <f>IF('Marks Entry'!AK45="","",'Marks Entry'!AK45)</f>
        <v/>
      </c>
      <c r="CG45" s="580" t="str">
        <f>IF('Marks Entry'!AL45="","",'Marks Entry'!AL45)</f>
        <v/>
      </c>
      <c r="CH45" s="580" t="str">
        <f>IF('Marks Entry'!AM45="","",'Marks Entry'!AM45)</f>
        <v/>
      </c>
      <c r="CI45" s="580" t="str">
        <f>IF('Marks Entry'!AN45="","",'Marks Entry'!AN45)</f>
        <v/>
      </c>
      <c r="CJ45" s="581" t="str">
        <f t="shared" si="94"/>
        <v/>
      </c>
      <c r="CK45" s="580" t="str">
        <f>IF('Marks Entry'!AO45="","",'Marks Entry'!AO45)</f>
        <v/>
      </c>
      <c r="CL45" s="580" t="str">
        <f>IF('Marks Entry'!AP45="","",'Marks Entry'!AP45)</f>
        <v/>
      </c>
      <c r="CM45" s="581" t="str">
        <f t="shared" si="95"/>
        <v/>
      </c>
      <c r="CN45" s="581" t="str">
        <f t="shared" si="96"/>
        <v/>
      </c>
      <c r="CO45" s="580" t="str">
        <f>IF('Marks Entry'!AQ45="","",'Marks Entry'!AQ45)</f>
        <v/>
      </c>
      <c r="CP45" s="580" t="str">
        <f>IF('Marks Entry'!AR45="","",'Marks Entry'!AR45)</f>
        <v/>
      </c>
      <c r="CQ45" s="581" t="str">
        <f t="shared" si="97"/>
        <v/>
      </c>
      <c r="CR45" s="157" t="str">
        <f t="shared" si="98"/>
        <v/>
      </c>
      <c r="CS45" s="157" t="str">
        <f t="shared" si="99"/>
        <v/>
      </c>
      <c r="CT45" s="192" t="str">
        <f t="shared" si="100"/>
        <v/>
      </c>
      <c r="CU45" s="153">
        <f t="shared" si="101"/>
        <v>0</v>
      </c>
      <c r="CV45" s="154">
        <f t="shared" si="102"/>
        <v>0</v>
      </c>
      <c r="CW45" s="154" t="str">
        <f t="shared" si="103"/>
        <v/>
      </c>
      <c r="CX45" s="154" t="str">
        <f t="shared" si="104"/>
        <v/>
      </c>
      <c r="CY45" s="154" t="str">
        <f t="shared" si="176"/>
        <v/>
      </c>
      <c r="CZ45" s="153" t="str">
        <f t="shared" si="105"/>
        <v/>
      </c>
      <c r="DA45" s="154" t="str">
        <f t="shared" si="106"/>
        <v/>
      </c>
      <c r="DB45" s="153" t="str">
        <f t="shared" si="107"/>
        <v/>
      </c>
      <c r="DC45" s="154">
        <f t="shared" si="108"/>
        <v>0</v>
      </c>
      <c r="DD45" s="826" t="str">
        <f>IF('Marks Entry'!AS45="","",IF(OR('Master Sheet'!$D$19="YES",'Marks Entry'!$BA$1=1),'Marks Entry'!AS45,""))</f>
        <v/>
      </c>
      <c r="DE45" s="826" t="str">
        <f>IF('Marks Entry'!AT45="","",IF(OR('Master Sheet'!$D$19="YES",'Marks Entry'!$BA$1=1),'Marks Entry'!AT45,""))</f>
        <v/>
      </c>
      <c r="DF45" s="826" t="str">
        <f>IF('Marks Entry'!AU45="","",IF(OR('Master Sheet'!$D$19="YES",'Marks Entry'!$BA$1=1),'Marks Entry'!AU45,""))</f>
        <v/>
      </c>
      <c r="DG45" s="826" t="str">
        <f>IF('Marks Entry'!AV45="","",IF(OR('Master Sheet'!$D$19="YES",'Marks Entry'!$BA$1=1),'Marks Entry'!AV45,""))</f>
        <v/>
      </c>
      <c r="DH45" s="827" t="str">
        <f t="shared" si="109"/>
        <v/>
      </c>
      <c r="DI45" s="826" t="str">
        <f>IF('Marks Entry'!AW45="","",IF(OR('Master Sheet'!$D$19="YES",'Marks Entry'!$BA$1=1),'Marks Entry'!AW45,""))</f>
        <v/>
      </c>
      <c r="DJ45" s="826" t="str">
        <f>IF('Marks Entry'!AX45="","",IF(OR('Master Sheet'!$D$19="YES",'Marks Entry'!$BA$1=1),'Marks Entry'!AX45,""))</f>
        <v/>
      </c>
      <c r="DK45" s="827" t="str">
        <f t="shared" si="110"/>
        <v/>
      </c>
      <c r="DL45" s="827" t="str">
        <f t="shared" si="111"/>
        <v/>
      </c>
      <c r="DM45" s="826" t="str">
        <f>IF('Marks Entry'!AY45="","",IF(OR('Master Sheet'!$D$19="YES",'Marks Entry'!$BA$1=1),'Marks Entry'!AY45,""))</f>
        <v/>
      </c>
      <c r="DN45" s="826" t="str">
        <f>IF('Marks Entry'!AZ45="","",IF(OR('Master Sheet'!$D$19="YES",'Marks Entry'!$BA$1=1),'Marks Entry'!AZ45,""))</f>
        <v/>
      </c>
      <c r="DO45" s="826" t="str">
        <f>IF('Marks Entry'!BA45="","",IF(OR('Master Sheet'!$D$19="YES",'Marks Entry'!$BA$1=1),'Marks Entry'!BA45,""))</f>
        <v/>
      </c>
      <c r="DP45" s="827" t="str">
        <f t="shared" si="112"/>
        <v/>
      </c>
      <c r="DQ45" s="157" t="str">
        <f t="shared" si="113"/>
        <v/>
      </c>
      <c r="DR45" s="157" t="str">
        <f t="shared" si="114"/>
        <v/>
      </c>
      <c r="DS45" s="157" t="str">
        <f t="shared" si="115"/>
        <v/>
      </c>
      <c r="DT45" s="192" t="str">
        <f t="shared" si="116"/>
        <v/>
      </c>
      <c r="DU45" s="153">
        <f t="shared" si="117"/>
        <v>0</v>
      </c>
      <c r="DV45" s="154" t="e">
        <f t="shared" si="118"/>
        <v>#VALUE!</v>
      </c>
      <c r="DW45" s="154" t="str">
        <f t="shared" si="119"/>
        <v/>
      </c>
      <c r="DX45" s="154" t="str">
        <f>IF(OR($B45="NSO",$B45=0,DS45=""),"",IF(AND(DJ45="",DO45=""),"",IF('Master Sheet'!$D$19="YES",$DO$6-COUNTIF(DO45,"ML")*DO$6,DS$6-(COUNTIF(DJ45,"ML")*DJ$6)-(COUNTIF(DO45,"ML")*DO$6))))</f>
        <v/>
      </c>
      <c r="DY45" s="154" t="str">
        <f>IF(OR($B45="NSO",$B45=0),"",IF(AND(DH45="",DI45="",DM45=""),"",IF(AND('Master Sheet'!$D$19="YES",'Marks Entry'!$BA$1=1),100,IF(AND(DJ45="",DO45=""),SUM(($DQ$7+$DR$7)-(DU45+DV45)),SUM(($DQ$6+$DR$6)-(DU45+DV45))))))</f>
        <v/>
      </c>
      <c r="DZ45" s="153" t="str">
        <f t="shared" si="120"/>
        <v/>
      </c>
      <c r="EA45" s="154" t="str">
        <f t="shared" si="121"/>
        <v/>
      </c>
      <c r="EB45" s="153" t="str">
        <f t="shared" si="122"/>
        <v/>
      </c>
      <c r="EC45" s="584" t="str">
        <f>IF('Marks Entry'!BB45="","",'Marks Entry'!BB45)</f>
        <v/>
      </c>
      <c r="ED45" s="584" t="str">
        <f>IF('Marks Entry'!BC45="","",'Marks Entry'!BC45)</f>
        <v/>
      </c>
      <c r="EE45" s="584" t="str">
        <f>IF('Marks Entry'!BD45="","",'Marks Entry'!BD45)</f>
        <v/>
      </c>
      <c r="EF45" s="590" t="str">
        <f t="shared" si="123"/>
        <v/>
      </c>
      <c r="EG45" s="595">
        <f t="shared" si="124"/>
        <v>0</v>
      </c>
      <c r="EH45" s="595">
        <f t="shared" si="125"/>
        <v>0</v>
      </c>
      <c r="EI45" s="193" t="str">
        <f t="shared" si="126"/>
        <v/>
      </c>
      <c r="EJ45" s="595" t="str">
        <f t="shared" si="127"/>
        <v/>
      </c>
      <c r="EK45" s="595" t="str">
        <f t="shared" si="128"/>
        <v/>
      </c>
      <c r="EL45" s="194" t="str">
        <f t="shared" si="129"/>
        <v/>
      </c>
      <c r="EM45" s="194" t="str">
        <f t="shared" si="130"/>
        <v/>
      </c>
      <c r="EN45" s="194" t="str">
        <f t="shared" si="131"/>
        <v/>
      </c>
      <c r="EO45" s="194" t="str">
        <f t="shared" si="132"/>
        <v/>
      </c>
      <c r="EP45" s="194" t="str">
        <f t="shared" si="133"/>
        <v/>
      </c>
      <c r="EQ45" s="194" t="str">
        <f t="shared" si="134"/>
        <v/>
      </c>
      <c r="ER45" s="195">
        <f t="shared" si="135"/>
        <v>0</v>
      </c>
      <c r="ES45" s="195">
        <f t="shared" si="136"/>
        <v>0</v>
      </c>
      <c r="ET45" s="195">
        <f t="shared" si="137"/>
        <v>0</v>
      </c>
      <c r="EU45" s="195">
        <f t="shared" si="138"/>
        <v>0</v>
      </c>
      <c r="EV45" s="195">
        <f t="shared" si="139"/>
        <v>0</v>
      </c>
      <c r="EW45" s="195" t="str">
        <f t="shared" si="140"/>
        <v/>
      </c>
      <c r="EX45" s="196" t="str">
        <f t="shared" si="141"/>
        <v/>
      </c>
      <c r="EY45" s="197" t="str">
        <f>IF('Marks Entry'!BE45="","",'Marks Entry'!BE45)</f>
        <v/>
      </c>
      <c r="EZ45" s="197" t="str">
        <f>IF('Marks Entry'!BF45="","",'Marks Entry'!BF45)</f>
        <v/>
      </c>
      <c r="FA45" s="197" t="str">
        <f>IF('Marks Entry'!BG45="","",'Marks Entry'!BG45)</f>
        <v/>
      </c>
      <c r="FB45" s="596" t="str">
        <f t="shared" si="142"/>
        <v/>
      </c>
      <c r="FC45" s="197" t="str">
        <f>IF('Marks Entry'!BH45="","",'Marks Entry'!BH45)</f>
        <v/>
      </c>
      <c r="FD45" s="197" t="str">
        <f>IF('Marks Entry'!BI45="","",'Marks Entry'!BI45)</f>
        <v/>
      </c>
      <c r="FE45" s="198" t="str">
        <f t="shared" si="143"/>
        <v/>
      </c>
      <c r="FF45" s="199" t="str">
        <f t="shared" si="144"/>
        <v/>
      </c>
      <c r="FG45" s="200" t="str">
        <f>IF(AND(E45=""),"",IF('Student DATA Entry'!L41="","",'Student DATA Entry'!L41))</f>
        <v/>
      </c>
      <c r="FH45" s="201" t="str">
        <f>IF(AND(E45=""),"",IF('Student DATA Entry'!M41="","",'Student DATA Entry'!M41))</f>
        <v/>
      </c>
      <c r="FI45" s="202" t="str">
        <f t="shared" si="145"/>
        <v/>
      </c>
      <c r="FJ45" s="189" t="str">
        <f t="shared" si="146"/>
        <v/>
      </c>
      <c r="FK45" s="189" t="str">
        <f t="shared" si="147"/>
        <v/>
      </c>
      <c r="FL45" s="203" t="str">
        <f t="shared" si="178"/>
        <v/>
      </c>
      <c r="FM45" s="189" t="str">
        <f t="shared" si="148"/>
        <v/>
      </c>
      <c r="FN45" s="204" t="str">
        <f t="shared" si="149"/>
        <v/>
      </c>
      <c r="FO45" s="203" t="str">
        <f t="shared" si="179"/>
        <v/>
      </c>
      <c r="FP45" s="205" t="str">
        <f t="shared" si="150"/>
        <v/>
      </c>
      <c r="FQ45" s="189" t="str">
        <f t="shared" si="180"/>
        <v/>
      </c>
      <c r="FR45" s="189" t="str">
        <f t="shared" si="181"/>
        <v/>
      </c>
      <c r="FS45" s="189" t="str">
        <f t="shared" si="182"/>
        <v/>
      </c>
      <c r="FT45" s="189" t="str">
        <f t="shared" si="183"/>
        <v/>
      </c>
      <c r="FU45" s="189" t="str">
        <f t="shared" si="151"/>
        <v/>
      </c>
      <c r="FV45" s="206" t="str">
        <f t="shared" si="184"/>
        <v/>
      </c>
      <c r="FW45" s="205" t="str">
        <f t="shared" si="152"/>
        <v/>
      </c>
      <c r="FX45" s="189" t="str">
        <f t="shared" si="185"/>
        <v/>
      </c>
      <c r="FY45" s="189" t="str">
        <f t="shared" si="186"/>
        <v/>
      </c>
      <c r="FZ45" s="189" t="str">
        <f t="shared" si="187"/>
        <v/>
      </c>
      <c r="GA45" s="189" t="str">
        <f t="shared" si="188"/>
        <v/>
      </c>
      <c r="GB45" s="189" t="str">
        <f t="shared" si="153"/>
        <v/>
      </c>
      <c r="GC45" s="206" t="str">
        <f t="shared" si="189"/>
        <v/>
      </c>
      <c r="GD45" s="205" t="str">
        <f t="shared" si="154"/>
        <v/>
      </c>
      <c r="GE45" s="189" t="str">
        <f t="shared" si="190"/>
        <v/>
      </c>
      <c r="GF45" s="189" t="str">
        <f t="shared" si="191"/>
        <v/>
      </c>
      <c r="GG45" s="189" t="str">
        <f t="shared" si="192"/>
        <v/>
      </c>
      <c r="GH45" s="189" t="str">
        <f t="shared" si="193"/>
        <v/>
      </c>
      <c r="GI45" s="189" t="str">
        <f t="shared" si="155"/>
        <v/>
      </c>
      <c r="GJ45" s="206" t="str">
        <f t="shared" si="194"/>
        <v/>
      </c>
      <c r="GK45" s="205" t="str">
        <f t="shared" si="156"/>
        <v/>
      </c>
      <c r="GL45" s="189" t="str">
        <f t="shared" si="195"/>
        <v/>
      </c>
      <c r="GM45" s="189" t="str">
        <f t="shared" si="196"/>
        <v/>
      </c>
      <c r="GN45" s="189" t="str">
        <f t="shared" si="197"/>
        <v/>
      </c>
      <c r="GO45" s="189" t="str">
        <f t="shared" si="198"/>
        <v/>
      </c>
      <c r="GP45" s="189" t="str">
        <f t="shared" si="157"/>
        <v/>
      </c>
      <c r="GQ45" s="206" t="str">
        <f t="shared" si="199"/>
        <v/>
      </c>
      <c r="GR45" s="189" t="str">
        <f t="shared" si="158"/>
        <v/>
      </c>
      <c r="GS45" s="189" t="str">
        <f t="shared" si="159"/>
        <v/>
      </c>
      <c r="GT45" s="207" t="str">
        <f t="shared" si="177"/>
        <v xml:space="preserve">    </v>
      </c>
      <c r="GU45" s="207" t="str">
        <f t="shared" si="160"/>
        <v xml:space="preserve">    </v>
      </c>
      <c r="GV45" s="207" t="str">
        <f t="shared" si="161"/>
        <v xml:space="preserve">    </v>
      </c>
      <c r="GW45" s="207" t="str">
        <f t="shared" si="162"/>
        <v xml:space="preserve">       </v>
      </c>
      <c r="GX45" s="598" t="str">
        <f t="shared" si="163"/>
        <v xml:space="preserve">     </v>
      </c>
      <c r="GY45" s="208" t="str">
        <f t="shared" si="200"/>
        <v/>
      </c>
      <c r="GZ45" s="606" t="str">
        <f>IF(AND(Q45="",AE45="",AZ45="",BW45="",CT45=""),"",IF(AND('Master Sheet'!$D$19="YES",'Marks Entry'!$BA$1=1),SUM(Q45,AE45,AZ45,BW45,DT45),SUM(Q45,AE45,AZ45,BW45,CT45)))</f>
        <v/>
      </c>
      <c r="HA45" s="209" t="str">
        <f>IF(GZ45="","",IF(AND('Master Sheet'!$D$19="YES",'Marks Entry'!$BA$1=1),GZ45/((900)-DC45)*100,GZ45/((1000)-DC45)*100))</f>
        <v/>
      </c>
      <c r="HB45" s="611" t="str">
        <f t="shared" si="165"/>
        <v/>
      </c>
      <c r="HC45" s="609" t="str">
        <f t="shared" si="166"/>
        <v/>
      </c>
      <c r="HD45" s="610" t="str">
        <f t="shared" si="167"/>
        <v/>
      </c>
      <c r="HE45" s="210" t="str">
        <f>IFERROR(IF(OR(GY45="SUPPLEMENTARY",GY45="RE-EXAM"),'Supp. Result Entry'!AS44,""),"")</f>
        <v/>
      </c>
      <c r="HF45" s="613" t="str">
        <f t="shared" si="168"/>
        <v/>
      </c>
      <c r="HG45" s="598" t="str">
        <f t="shared" si="169"/>
        <v/>
      </c>
      <c r="HH45" s="598" t="str">
        <f>IF(AND(HE45="",HF45="",HG45=""),"",IF(OR(GY45="SUPPLEMENTARY",GY45="RE-EXAM"),'Supp. Result Entry'!AS44,GY45))</f>
        <v/>
      </c>
      <c r="HI45" s="180"/>
      <c r="HJ45" s="214"/>
      <c r="HY45" s="212" t="str">
        <f>IF('Supp. Result Entry'!U44="","",'Supp. Result Entry'!$U$6)</f>
        <v/>
      </c>
      <c r="HZ45" s="213" t="str">
        <f>IF('Supp. Result Entry'!X44="","",'Supp. Result Entry'!$X$6)</f>
        <v/>
      </c>
      <c r="IA45" s="213" t="str">
        <f>IF('Supp. Result Entry'!AA44="","",'Supp. Result Entry'!$AA$6)</f>
        <v/>
      </c>
      <c r="IB45" s="213" t="str">
        <f>IF('Supp. Result Entry'!AD44="","",'Supp. Result Entry'!$AD$6)</f>
        <v/>
      </c>
      <c r="IC45" s="213" t="str">
        <f>IF('Supp. Result Entry'!AG44="","",'Supp. Result Entry'!$AG$6)</f>
        <v/>
      </c>
      <c r="ID45" s="213" t="str">
        <f>IF('Supp. Result Entry'!AJ44="","",'Supp. Result Entry'!$AJ$6)</f>
        <v/>
      </c>
      <c r="IE45" s="213" t="str">
        <f>IF('Supp. Result Entry'!V44="","",'Supp. Result Entry'!V44)</f>
        <v/>
      </c>
      <c r="IF45" s="213" t="str">
        <f>IF('Supp. Result Entry'!Y44="","",'Supp. Result Entry'!Y44)</f>
        <v/>
      </c>
      <c r="IG45" s="213" t="str">
        <f>IF('Supp. Result Entry'!AB44="","",'Supp. Result Entry'!AB44)</f>
        <v/>
      </c>
      <c r="IH45" s="213" t="str">
        <f>IF('Supp. Result Entry'!AE44="","",'Supp. Result Entry'!AE44)</f>
        <v/>
      </c>
      <c r="II45" s="213" t="str">
        <f>IF('Supp. Result Entry'!AH44="","",'Supp. Result Entry'!AH44)</f>
        <v/>
      </c>
      <c r="IJ45" s="213" t="str">
        <f>IF('Supp. Result Entry'!AK44="","",'Supp. Result Entry'!AK44)</f>
        <v/>
      </c>
      <c r="IK45" s="213" t="str">
        <f>IF('Supp. Result Entry'!W44="","",'Supp. Result Entry'!W44)</f>
        <v/>
      </c>
      <c r="IL45" s="213" t="str">
        <f>IF('Supp. Result Entry'!Z44="","",'Supp. Result Entry'!Z44)</f>
        <v/>
      </c>
      <c r="IM45" s="213" t="str">
        <f>IF('Supp. Result Entry'!AC44="","",'Supp. Result Entry'!AC44)</f>
        <v/>
      </c>
      <c r="IN45" s="213" t="str">
        <f>IF('Supp. Result Entry'!AF44="","",'Supp. Result Entry'!AF44)</f>
        <v/>
      </c>
      <c r="IO45" s="213" t="str">
        <f>IF('Supp. Result Entry'!AI44="","",'Supp. Result Entry'!AI44)</f>
        <v/>
      </c>
      <c r="IP45" s="213" t="str">
        <f>IF('Supp. Result Entry'!AL44="","",'Supp. Result Entry'!AL44)</f>
        <v/>
      </c>
      <c r="IQ45" s="213">
        <f>COUNTIF('Supp. Result Entry'!K44:Q44,"S")</f>
        <v>0</v>
      </c>
      <c r="IR45" s="213">
        <f t="shared" si="170"/>
        <v>0</v>
      </c>
      <c r="IS45" s="213">
        <f t="shared" si="171"/>
        <v>0</v>
      </c>
      <c r="IT45" s="213" t="str">
        <f t="shared" si="41"/>
        <v/>
      </c>
      <c r="IU45" s="213" t="str">
        <f t="shared" si="42"/>
        <v/>
      </c>
      <c r="IV45" s="213" t="str">
        <f t="shared" si="43"/>
        <v/>
      </c>
      <c r="IW45" s="213" t="str">
        <f t="shared" si="44"/>
        <v/>
      </c>
      <c r="IX45" s="213" t="str">
        <f t="shared" si="45"/>
        <v/>
      </c>
      <c r="IY45" s="213" t="str">
        <f t="shared" si="172"/>
        <v/>
      </c>
      <c r="IZ45" s="213" t="str">
        <f t="shared" si="173"/>
        <v/>
      </c>
      <c r="JA45" s="213" t="str">
        <f t="shared" si="46"/>
        <v/>
      </c>
      <c r="JB45" s="211" t="str">
        <f t="shared" si="174"/>
        <v/>
      </c>
    </row>
    <row r="46" spans="1:262" s="211" customFormat="1" ht="21" customHeight="1">
      <c r="A46" s="184">
        <v>39</v>
      </c>
      <c r="B46" s="185" t="str">
        <f>IF('Marks Entry'!B46="","",'Marks Entry'!B46)</f>
        <v/>
      </c>
      <c r="C46" s="186" t="str">
        <f>IF('Marks Entry'!D46="","",'Marks Entry'!D46)</f>
        <v/>
      </c>
      <c r="D46" s="187" t="str">
        <f>IF('Marks Entry'!E46="","",'Marks Entry'!E46)</f>
        <v/>
      </c>
      <c r="E46" s="188" t="str">
        <f>IF('Marks Entry'!F46="","",'Marks Entry'!F46)</f>
        <v/>
      </c>
      <c r="F46" s="188" t="str">
        <f>IF('Marks Entry'!G46="","",'Marks Entry'!G46)</f>
        <v/>
      </c>
      <c r="G46" s="188" t="str">
        <f>IF('Marks Entry'!H46="","",'Marks Entry'!H46)</f>
        <v/>
      </c>
      <c r="H46" s="189" t="str">
        <f>IF('Marks Entry'!I46="","",'Marks Entry'!I46)</f>
        <v/>
      </c>
      <c r="I46" s="190" t="str">
        <f>IF('Marks Entry'!J46="","",'Marks Entry'!J46)</f>
        <v/>
      </c>
      <c r="J46" s="545" t="str">
        <f>IF('Marks Entry'!K46="","",'Marks Entry'!K46)</f>
        <v/>
      </c>
      <c r="K46" s="545" t="str">
        <f>IF('Marks Entry'!L46="","",'Marks Entry'!L46)</f>
        <v/>
      </c>
      <c r="L46" s="545" t="str">
        <f>IF('Marks Entry'!M46="","",'Marks Entry'!M46)</f>
        <v/>
      </c>
      <c r="M46" s="546" t="str">
        <f t="shared" si="47"/>
        <v/>
      </c>
      <c r="N46" s="545" t="str">
        <f>IF('Marks Entry'!N46="","",'Marks Entry'!N46)</f>
        <v/>
      </c>
      <c r="O46" s="546" t="str">
        <f t="shared" si="48"/>
        <v/>
      </c>
      <c r="P46" s="545" t="str">
        <f>IF('Marks Entry'!O46="","",'Marks Entry'!O46)</f>
        <v/>
      </c>
      <c r="Q46" s="547" t="str">
        <f t="shared" si="49"/>
        <v/>
      </c>
      <c r="R46" s="153">
        <f t="shared" si="50"/>
        <v>0</v>
      </c>
      <c r="S46" s="153">
        <f t="shared" si="51"/>
        <v>0</v>
      </c>
      <c r="T46" s="154" t="str">
        <f t="shared" si="52"/>
        <v/>
      </c>
      <c r="U46" s="153" t="str">
        <f t="shared" si="53"/>
        <v/>
      </c>
      <c r="V46" s="153" t="str">
        <f t="shared" si="54"/>
        <v/>
      </c>
      <c r="W46" s="153" t="str">
        <f t="shared" si="55"/>
        <v/>
      </c>
      <c r="X46" s="545" t="str">
        <f>IF('Marks Entry'!P46="","",'Marks Entry'!P46)</f>
        <v/>
      </c>
      <c r="Y46" s="545" t="str">
        <f>IF('Marks Entry'!Q46="","",'Marks Entry'!Q46)</f>
        <v/>
      </c>
      <c r="Z46" s="545" t="str">
        <f>IF('Marks Entry'!R46="","",'Marks Entry'!R46)</f>
        <v/>
      </c>
      <c r="AA46" s="546" t="str">
        <f t="shared" si="56"/>
        <v/>
      </c>
      <c r="AB46" s="545" t="str">
        <f>IF('Marks Entry'!S46="","",'Marks Entry'!S46)</f>
        <v/>
      </c>
      <c r="AC46" s="546" t="str">
        <f t="shared" si="57"/>
        <v/>
      </c>
      <c r="AD46" s="545" t="str">
        <f>IF('Marks Entry'!T46="","",'Marks Entry'!T46)</f>
        <v/>
      </c>
      <c r="AE46" s="547" t="str">
        <f t="shared" si="58"/>
        <v/>
      </c>
      <c r="AF46" s="153">
        <f t="shared" si="59"/>
        <v>0</v>
      </c>
      <c r="AG46" s="153">
        <f t="shared" si="60"/>
        <v>0</v>
      </c>
      <c r="AH46" s="154" t="str">
        <f t="shared" si="61"/>
        <v/>
      </c>
      <c r="AI46" s="153" t="str">
        <f t="shared" si="62"/>
        <v/>
      </c>
      <c r="AJ46" s="153" t="str">
        <f t="shared" si="63"/>
        <v/>
      </c>
      <c r="AK46" s="153" t="str">
        <f t="shared" si="64"/>
        <v/>
      </c>
      <c r="AL46" s="573" t="str">
        <f>IF('Marks Entry'!U46="","",'Marks Entry'!U46)</f>
        <v/>
      </c>
      <c r="AM46" s="573" t="str">
        <f>IF('Marks Entry'!V46="","",'Marks Entry'!V46)</f>
        <v/>
      </c>
      <c r="AN46" s="573" t="str">
        <f>IF('Marks Entry'!W46="","",'Marks Entry'!W46)</f>
        <v/>
      </c>
      <c r="AO46" s="573" t="str">
        <f>IF('Marks Entry'!X46="","",'Marks Entry'!X46)</f>
        <v/>
      </c>
      <c r="AP46" s="572" t="str">
        <f t="shared" si="65"/>
        <v/>
      </c>
      <c r="AQ46" s="573" t="str">
        <f>IF('Marks Entry'!Y46="","",'Marks Entry'!Y46)</f>
        <v/>
      </c>
      <c r="AR46" s="573" t="str">
        <f>IF('Marks Entry'!Z46="","",'Marks Entry'!Z46)</f>
        <v/>
      </c>
      <c r="AS46" s="572" t="str">
        <f t="shared" si="66"/>
        <v/>
      </c>
      <c r="AT46" s="572" t="str">
        <f t="shared" si="67"/>
        <v/>
      </c>
      <c r="AU46" s="573" t="str">
        <f>IF('Marks Entry'!AA46="","",'Marks Entry'!AA46)</f>
        <v/>
      </c>
      <c r="AV46" s="573" t="str">
        <f>IF('Marks Entry'!AB46="","",'Marks Entry'!AB46)</f>
        <v/>
      </c>
      <c r="AW46" s="572" t="str">
        <f t="shared" si="68"/>
        <v/>
      </c>
      <c r="AX46" s="157" t="str">
        <f t="shared" si="69"/>
        <v/>
      </c>
      <c r="AY46" s="157" t="str">
        <f t="shared" si="70"/>
        <v/>
      </c>
      <c r="AZ46" s="192" t="str">
        <f t="shared" si="71"/>
        <v/>
      </c>
      <c r="BA46" s="153">
        <f t="shared" si="72"/>
        <v>0</v>
      </c>
      <c r="BB46" s="154">
        <f t="shared" si="73"/>
        <v>0</v>
      </c>
      <c r="BC46" s="154" t="str">
        <f t="shared" si="74"/>
        <v/>
      </c>
      <c r="BD46" s="154" t="str">
        <f t="shared" si="75"/>
        <v/>
      </c>
      <c r="BE46" s="154" t="str">
        <f t="shared" si="76"/>
        <v/>
      </c>
      <c r="BF46" s="153" t="str">
        <f t="shared" si="77"/>
        <v/>
      </c>
      <c r="BG46" s="154" t="str">
        <f t="shared" si="175"/>
        <v/>
      </c>
      <c r="BH46" s="153" t="str">
        <f t="shared" si="78"/>
        <v/>
      </c>
      <c r="BI46" s="580" t="str">
        <f>IF('Marks Entry'!AC46="","",'Marks Entry'!AC46)</f>
        <v/>
      </c>
      <c r="BJ46" s="580" t="str">
        <f>IF('Marks Entry'!AD46="","",'Marks Entry'!AD46)</f>
        <v/>
      </c>
      <c r="BK46" s="580" t="str">
        <f>IF('Marks Entry'!AE46="","",'Marks Entry'!AE46)</f>
        <v/>
      </c>
      <c r="BL46" s="580" t="str">
        <f>IF('Marks Entry'!AF46="","",'Marks Entry'!AF46)</f>
        <v/>
      </c>
      <c r="BM46" s="581" t="str">
        <f t="shared" si="79"/>
        <v/>
      </c>
      <c r="BN46" s="580" t="str">
        <f>IF('Marks Entry'!AG46="","",'Marks Entry'!AG46)</f>
        <v/>
      </c>
      <c r="BO46" s="580" t="str">
        <f>IF('Marks Entry'!AH46="","",'Marks Entry'!AH46)</f>
        <v/>
      </c>
      <c r="BP46" s="581" t="str">
        <f t="shared" si="80"/>
        <v/>
      </c>
      <c r="BQ46" s="581" t="str">
        <f t="shared" si="81"/>
        <v/>
      </c>
      <c r="BR46" s="580" t="str">
        <f>IF('Marks Entry'!AI46="","",'Marks Entry'!AI46)</f>
        <v/>
      </c>
      <c r="BS46" s="580" t="str">
        <f>IF('Marks Entry'!AJ46="","",'Marks Entry'!AJ46)</f>
        <v/>
      </c>
      <c r="BT46" s="581" t="str">
        <f t="shared" si="82"/>
        <v/>
      </c>
      <c r="BU46" s="157" t="str">
        <f t="shared" si="83"/>
        <v/>
      </c>
      <c r="BV46" s="157" t="str">
        <f t="shared" si="84"/>
        <v/>
      </c>
      <c r="BW46" s="192" t="str">
        <f t="shared" si="85"/>
        <v/>
      </c>
      <c r="BX46" s="153">
        <f t="shared" si="86"/>
        <v>0</v>
      </c>
      <c r="BY46" s="154">
        <f t="shared" si="87"/>
        <v>0</v>
      </c>
      <c r="BZ46" s="154" t="str">
        <f t="shared" si="88"/>
        <v/>
      </c>
      <c r="CA46" s="154" t="str">
        <f t="shared" si="89"/>
        <v/>
      </c>
      <c r="CB46" s="154" t="str">
        <f t="shared" si="90"/>
        <v/>
      </c>
      <c r="CC46" s="153" t="str">
        <f t="shared" si="91"/>
        <v/>
      </c>
      <c r="CD46" s="154" t="str">
        <f t="shared" si="92"/>
        <v/>
      </c>
      <c r="CE46" s="153" t="str">
        <f t="shared" si="93"/>
        <v/>
      </c>
      <c r="CF46" s="580" t="str">
        <f>IF('Marks Entry'!AK46="","",'Marks Entry'!AK46)</f>
        <v/>
      </c>
      <c r="CG46" s="580" t="str">
        <f>IF('Marks Entry'!AL46="","",'Marks Entry'!AL46)</f>
        <v/>
      </c>
      <c r="CH46" s="580" t="str">
        <f>IF('Marks Entry'!AM46="","",'Marks Entry'!AM46)</f>
        <v/>
      </c>
      <c r="CI46" s="580" t="str">
        <f>IF('Marks Entry'!AN46="","",'Marks Entry'!AN46)</f>
        <v/>
      </c>
      <c r="CJ46" s="581" t="str">
        <f t="shared" si="94"/>
        <v/>
      </c>
      <c r="CK46" s="580" t="str">
        <f>IF('Marks Entry'!AO46="","",'Marks Entry'!AO46)</f>
        <v/>
      </c>
      <c r="CL46" s="580" t="str">
        <f>IF('Marks Entry'!AP46="","",'Marks Entry'!AP46)</f>
        <v/>
      </c>
      <c r="CM46" s="581" t="str">
        <f t="shared" si="95"/>
        <v/>
      </c>
      <c r="CN46" s="581" t="str">
        <f t="shared" si="96"/>
        <v/>
      </c>
      <c r="CO46" s="580" t="str">
        <f>IF('Marks Entry'!AQ46="","",'Marks Entry'!AQ46)</f>
        <v/>
      </c>
      <c r="CP46" s="580" t="str">
        <f>IF('Marks Entry'!AR46="","",'Marks Entry'!AR46)</f>
        <v/>
      </c>
      <c r="CQ46" s="581" t="str">
        <f t="shared" si="97"/>
        <v/>
      </c>
      <c r="CR46" s="157" t="str">
        <f t="shared" si="98"/>
        <v/>
      </c>
      <c r="CS46" s="157" t="str">
        <f t="shared" si="99"/>
        <v/>
      </c>
      <c r="CT46" s="192" t="str">
        <f t="shared" si="100"/>
        <v/>
      </c>
      <c r="CU46" s="153">
        <f t="shared" si="101"/>
        <v>0</v>
      </c>
      <c r="CV46" s="154">
        <f t="shared" si="102"/>
        <v>0</v>
      </c>
      <c r="CW46" s="154" t="str">
        <f t="shared" si="103"/>
        <v/>
      </c>
      <c r="CX46" s="154" t="str">
        <f t="shared" si="104"/>
        <v/>
      </c>
      <c r="CY46" s="154" t="str">
        <f t="shared" si="176"/>
        <v/>
      </c>
      <c r="CZ46" s="153" t="str">
        <f t="shared" si="105"/>
        <v/>
      </c>
      <c r="DA46" s="154" t="str">
        <f t="shared" si="106"/>
        <v/>
      </c>
      <c r="DB46" s="153" t="str">
        <f t="shared" si="107"/>
        <v/>
      </c>
      <c r="DC46" s="154">
        <f t="shared" si="108"/>
        <v>0</v>
      </c>
      <c r="DD46" s="826" t="str">
        <f>IF('Marks Entry'!AS46="","",IF(OR('Master Sheet'!$D$19="YES",'Marks Entry'!$BA$1=1),'Marks Entry'!AS46,""))</f>
        <v/>
      </c>
      <c r="DE46" s="826" t="str">
        <f>IF('Marks Entry'!AT46="","",IF(OR('Master Sheet'!$D$19="YES",'Marks Entry'!$BA$1=1),'Marks Entry'!AT46,""))</f>
        <v/>
      </c>
      <c r="DF46" s="826" t="str">
        <f>IF('Marks Entry'!AU46="","",IF(OR('Master Sheet'!$D$19="YES",'Marks Entry'!$BA$1=1),'Marks Entry'!AU46,""))</f>
        <v/>
      </c>
      <c r="DG46" s="826" t="str">
        <f>IF('Marks Entry'!AV46="","",IF(OR('Master Sheet'!$D$19="YES",'Marks Entry'!$BA$1=1),'Marks Entry'!AV46,""))</f>
        <v/>
      </c>
      <c r="DH46" s="827" t="str">
        <f t="shared" si="109"/>
        <v/>
      </c>
      <c r="DI46" s="826" t="str">
        <f>IF('Marks Entry'!AW46="","",IF(OR('Master Sheet'!$D$19="YES",'Marks Entry'!$BA$1=1),'Marks Entry'!AW46,""))</f>
        <v/>
      </c>
      <c r="DJ46" s="826" t="str">
        <f>IF('Marks Entry'!AX46="","",IF(OR('Master Sheet'!$D$19="YES",'Marks Entry'!$BA$1=1),'Marks Entry'!AX46,""))</f>
        <v/>
      </c>
      <c r="DK46" s="827" t="str">
        <f t="shared" si="110"/>
        <v/>
      </c>
      <c r="DL46" s="827" t="str">
        <f t="shared" si="111"/>
        <v/>
      </c>
      <c r="DM46" s="826" t="str">
        <f>IF('Marks Entry'!AY46="","",IF(OR('Master Sheet'!$D$19="YES",'Marks Entry'!$BA$1=1),'Marks Entry'!AY46,""))</f>
        <v/>
      </c>
      <c r="DN46" s="826" t="str">
        <f>IF('Marks Entry'!AZ46="","",IF(OR('Master Sheet'!$D$19="YES",'Marks Entry'!$BA$1=1),'Marks Entry'!AZ46,""))</f>
        <v/>
      </c>
      <c r="DO46" s="826" t="str">
        <f>IF('Marks Entry'!BA46="","",IF(OR('Master Sheet'!$D$19="YES",'Marks Entry'!$BA$1=1),'Marks Entry'!BA46,""))</f>
        <v/>
      </c>
      <c r="DP46" s="827" t="str">
        <f t="shared" si="112"/>
        <v/>
      </c>
      <c r="DQ46" s="157" t="str">
        <f t="shared" si="113"/>
        <v/>
      </c>
      <c r="DR46" s="157" t="str">
        <f t="shared" si="114"/>
        <v/>
      </c>
      <c r="DS46" s="157" t="str">
        <f t="shared" si="115"/>
        <v/>
      </c>
      <c r="DT46" s="192" t="str">
        <f t="shared" si="116"/>
        <v/>
      </c>
      <c r="DU46" s="153">
        <f t="shared" si="117"/>
        <v>0</v>
      </c>
      <c r="DV46" s="154" t="e">
        <f t="shared" si="118"/>
        <v>#VALUE!</v>
      </c>
      <c r="DW46" s="154" t="str">
        <f t="shared" si="119"/>
        <v/>
      </c>
      <c r="DX46" s="154" t="str">
        <f>IF(OR($B46="NSO",$B46=0,DS46=""),"",IF(AND(DJ46="",DO46=""),"",IF('Master Sheet'!$D$19="YES",$DO$6-COUNTIF(DO46,"ML")*DO$6,DS$6-(COUNTIF(DJ46,"ML")*DJ$6)-(COUNTIF(DO46,"ML")*DO$6))))</f>
        <v/>
      </c>
      <c r="DY46" s="154" t="str">
        <f>IF(OR($B46="NSO",$B46=0),"",IF(AND(DH46="",DI46="",DM46=""),"",IF(AND('Master Sheet'!$D$19="YES",'Marks Entry'!$BA$1=1),100,IF(AND(DJ46="",DO46=""),SUM(($DQ$7+$DR$7)-(DU46+DV46)),SUM(($DQ$6+$DR$6)-(DU46+DV46))))))</f>
        <v/>
      </c>
      <c r="DZ46" s="153" t="str">
        <f t="shared" si="120"/>
        <v/>
      </c>
      <c r="EA46" s="154" t="str">
        <f t="shared" si="121"/>
        <v/>
      </c>
      <c r="EB46" s="153" t="str">
        <f t="shared" si="122"/>
        <v/>
      </c>
      <c r="EC46" s="584" t="str">
        <f>IF('Marks Entry'!BB46="","",'Marks Entry'!BB46)</f>
        <v/>
      </c>
      <c r="ED46" s="584" t="str">
        <f>IF('Marks Entry'!BC46="","",'Marks Entry'!BC46)</f>
        <v/>
      </c>
      <c r="EE46" s="584" t="str">
        <f>IF('Marks Entry'!BD46="","",'Marks Entry'!BD46)</f>
        <v/>
      </c>
      <c r="EF46" s="590" t="str">
        <f t="shared" si="123"/>
        <v/>
      </c>
      <c r="EG46" s="595">
        <f t="shared" si="124"/>
        <v>0</v>
      </c>
      <c r="EH46" s="595">
        <f t="shared" si="125"/>
        <v>0</v>
      </c>
      <c r="EI46" s="193" t="str">
        <f t="shared" si="126"/>
        <v/>
      </c>
      <c r="EJ46" s="595" t="str">
        <f t="shared" si="127"/>
        <v/>
      </c>
      <c r="EK46" s="595" t="str">
        <f t="shared" si="128"/>
        <v/>
      </c>
      <c r="EL46" s="194" t="str">
        <f t="shared" si="129"/>
        <v/>
      </c>
      <c r="EM46" s="194" t="str">
        <f t="shared" si="130"/>
        <v/>
      </c>
      <c r="EN46" s="194" t="str">
        <f t="shared" si="131"/>
        <v/>
      </c>
      <c r="EO46" s="194" t="str">
        <f t="shared" si="132"/>
        <v/>
      </c>
      <c r="EP46" s="194" t="str">
        <f t="shared" si="133"/>
        <v/>
      </c>
      <c r="EQ46" s="194" t="str">
        <f t="shared" si="134"/>
        <v/>
      </c>
      <c r="ER46" s="195">
        <f t="shared" si="135"/>
        <v>0</v>
      </c>
      <c r="ES46" s="195">
        <f t="shared" si="136"/>
        <v>0</v>
      </c>
      <c r="ET46" s="195">
        <f t="shared" si="137"/>
        <v>0</v>
      </c>
      <c r="EU46" s="195">
        <f t="shared" si="138"/>
        <v>0</v>
      </c>
      <c r="EV46" s="195">
        <f t="shared" si="139"/>
        <v>0</v>
      </c>
      <c r="EW46" s="195" t="str">
        <f t="shared" si="140"/>
        <v/>
      </c>
      <c r="EX46" s="196" t="str">
        <f t="shared" si="141"/>
        <v/>
      </c>
      <c r="EY46" s="197" t="str">
        <f>IF('Marks Entry'!BE46="","",'Marks Entry'!BE46)</f>
        <v/>
      </c>
      <c r="EZ46" s="197" t="str">
        <f>IF('Marks Entry'!BF46="","",'Marks Entry'!BF46)</f>
        <v/>
      </c>
      <c r="FA46" s="197" t="str">
        <f>IF('Marks Entry'!BG46="","",'Marks Entry'!BG46)</f>
        <v/>
      </c>
      <c r="FB46" s="596" t="str">
        <f t="shared" si="142"/>
        <v/>
      </c>
      <c r="FC46" s="197" t="str">
        <f>IF('Marks Entry'!BH46="","",'Marks Entry'!BH46)</f>
        <v/>
      </c>
      <c r="FD46" s="197" t="str">
        <f>IF('Marks Entry'!BI46="","",'Marks Entry'!BI46)</f>
        <v/>
      </c>
      <c r="FE46" s="198" t="str">
        <f t="shared" si="143"/>
        <v/>
      </c>
      <c r="FF46" s="199" t="str">
        <f t="shared" si="144"/>
        <v/>
      </c>
      <c r="FG46" s="200" t="str">
        <f>IF(AND(E46=""),"",IF('Student DATA Entry'!L42="","",'Student DATA Entry'!L42))</f>
        <v/>
      </c>
      <c r="FH46" s="201" t="str">
        <f>IF(AND(E46=""),"",IF('Student DATA Entry'!M42="","",'Student DATA Entry'!M42))</f>
        <v/>
      </c>
      <c r="FI46" s="202" t="str">
        <f t="shared" si="145"/>
        <v/>
      </c>
      <c r="FJ46" s="189" t="str">
        <f t="shared" si="146"/>
        <v/>
      </c>
      <c r="FK46" s="189" t="str">
        <f t="shared" si="147"/>
        <v/>
      </c>
      <c r="FL46" s="203" t="str">
        <f t="shared" si="178"/>
        <v/>
      </c>
      <c r="FM46" s="189" t="str">
        <f t="shared" si="148"/>
        <v/>
      </c>
      <c r="FN46" s="204" t="str">
        <f t="shared" si="149"/>
        <v/>
      </c>
      <c r="FO46" s="203" t="str">
        <f t="shared" si="179"/>
        <v/>
      </c>
      <c r="FP46" s="205" t="str">
        <f t="shared" si="150"/>
        <v/>
      </c>
      <c r="FQ46" s="189" t="str">
        <f t="shared" si="180"/>
        <v/>
      </c>
      <c r="FR46" s="189" t="str">
        <f t="shared" si="181"/>
        <v/>
      </c>
      <c r="FS46" s="189" t="str">
        <f t="shared" si="182"/>
        <v/>
      </c>
      <c r="FT46" s="189" t="str">
        <f t="shared" si="183"/>
        <v/>
      </c>
      <c r="FU46" s="189" t="str">
        <f t="shared" si="151"/>
        <v/>
      </c>
      <c r="FV46" s="206" t="str">
        <f t="shared" si="184"/>
        <v/>
      </c>
      <c r="FW46" s="205" t="str">
        <f t="shared" si="152"/>
        <v/>
      </c>
      <c r="FX46" s="189" t="str">
        <f t="shared" si="185"/>
        <v/>
      </c>
      <c r="FY46" s="189" t="str">
        <f t="shared" si="186"/>
        <v/>
      </c>
      <c r="FZ46" s="189" t="str">
        <f t="shared" si="187"/>
        <v/>
      </c>
      <c r="GA46" s="189" t="str">
        <f t="shared" si="188"/>
        <v/>
      </c>
      <c r="GB46" s="189" t="str">
        <f t="shared" si="153"/>
        <v/>
      </c>
      <c r="GC46" s="206" t="str">
        <f t="shared" si="189"/>
        <v/>
      </c>
      <c r="GD46" s="205" t="str">
        <f t="shared" si="154"/>
        <v/>
      </c>
      <c r="GE46" s="189" t="str">
        <f t="shared" si="190"/>
        <v/>
      </c>
      <c r="GF46" s="189" t="str">
        <f t="shared" si="191"/>
        <v/>
      </c>
      <c r="GG46" s="189" t="str">
        <f t="shared" si="192"/>
        <v/>
      </c>
      <c r="GH46" s="189" t="str">
        <f t="shared" si="193"/>
        <v/>
      </c>
      <c r="GI46" s="189" t="str">
        <f t="shared" si="155"/>
        <v/>
      </c>
      <c r="GJ46" s="206" t="str">
        <f t="shared" si="194"/>
        <v/>
      </c>
      <c r="GK46" s="205" t="str">
        <f t="shared" si="156"/>
        <v/>
      </c>
      <c r="GL46" s="189" t="str">
        <f t="shared" si="195"/>
        <v/>
      </c>
      <c r="GM46" s="189" t="str">
        <f t="shared" si="196"/>
        <v/>
      </c>
      <c r="GN46" s="189" t="str">
        <f t="shared" si="197"/>
        <v/>
      </c>
      <c r="GO46" s="189" t="str">
        <f t="shared" si="198"/>
        <v/>
      </c>
      <c r="GP46" s="189" t="str">
        <f t="shared" si="157"/>
        <v/>
      </c>
      <c r="GQ46" s="206" t="str">
        <f t="shared" si="199"/>
        <v/>
      </c>
      <c r="GR46" s="189" t="str">
        <f t="shared" si="158"/>
        <v/>
      </c>
      <c r="GS46" s="189" t="str">
        <f t="shared" si="159"/>
        <v/>
      </c>
      <c r="GT46" s="207" t="str">
        <f t="shared" si="177"/>
        <v xml:space="preserve">    </v>
      </c>
      <c r="GU46" s="207" t="str">
        <f t="shared" si="160"/>
        <v xml:space="preserve">    </v>
      </c>
      <c r="GV46" s="207" t="str">
        <f t="shared" si="161"/>
        <v xml:space="preserve">    </v>
      </c>
      <c r="GW46" s="207" t="str">
        <f t="shared" si="162"/>
        <v xml:space="preserve">       </v>
      </c>
      <c r="GX46" s="598" t="str">
        <f t="shared" si="163"/>
        <v xml:space="preserve">     </v>
      </c>
      <c r="GY46" s="208" t="str">
        <f t="shared" si="200"/>
        <v/>
      </c>
      <c r="GZ46" s="606" t="str">
        <f>IF(AND(Q46="",AE46="",AZ46="",BW46="",CT46=""),"",IF(AND('Master Sheet'!$D$19="YES",'Marks Entry'!$BA$1=1),SUM(Q46,AE46,AZ46,BW46,DT46),SUM(Q46,AE46,AZ46,BW46,CT46)))</f>
        <v/>
      </c>
      <c r="HA46" s="209" t="str">
        <f>IF(GZ46="","",IF(AND('Master Sheet'!$D$19="YES",'Marks Entry'!$BA$1=1),GZ46/((900)-DC46)*100,GZ46/((1000)-DC46)*100))</f>
        <v/>
      </c>
      <c r="HB46" s="611" t="str">
        <f t="shared" si="165"/>
        <v/>
      </c>
      <c r="HC46" s="609" t="str">
        <f t="shared" si="166"/>
        <v/>
      </c>
      <c r="HD46" s="610" t="str">
        <f t="shared" si="167"/>
        <v/>
      </c>
      <c r="HE46" s="210" t="str">
        <f>IFERROR(IF(OR(GY46="SUPPLEMENTARY",GY46="RE-EXAM"),'Supp. Result Entry'!AS45,""),"")</f>
        <v/>
      </c>
      <c r="HF46" s="613" t="str">
        <f t="shared" si="168"/>
        <v/>
      </c>
      <c r="HG46" s="598" t="str">
        <f t="shared" si="169"/>
        <v/>
      </c>
      <c r="HH46" s="598" t="str">
        <f>IF(AND(HE46="",HF46="",HG46=""),"",IF(OR(GY46="SUPPLEMENTARY",GY46="RE-EXAM"),'Supp. Result Entry'!AS45,GY46))</f>
        <v/>
      </c>
      <c r="HI46" s="180"/>
      <c r="HJ46" s="214"/>
      <c r="HY46" s="212" t="str">
        <f>IF('Supp. Result Entry'!U45="","",'Supp. Result Entry'!$U$6)</f>
        <v/>
      </c>
      <c r="HZ46" s="213" t="str">
        <f>IF('Supp. Result Entry'!X45="","",'Supp. Result Entry'!$X$6)</f>
        <v/>
      </c>
      <c r="IA46" s="213" t="str">
        <f>IF('Supp. Result Entry'!AA45="","",'Supp. Result Entry'!$AA$6)</f>
        <v/>
      </c>
      <c r="IB46" s="213" t="str">
        <f>IF('Supp. Result Entry'!AD45="","",'Supp. Result Entry'!$AD$6)</f>
        <v/>
      </c>
      <c r="IC46" s="213" t="str">
        <f>IF('Supp. Result Entry'!AG45="","",'Supp. Result Entry'!$AG$6)</f>
        <v/>
      </c>
      <c r="ID46" s="213" t="str">
        <f>IF('Supp. Result Entry'!AJ45="","",'Supp. Result Entry'!$AJ$6)</f>
        <v/>
      </c>
      <c r="IE46" s="213" t="str">
        <f>IF('Supp. Result Entry'!V45="","",'Supp. Result Entry'!V45)</f>
        <v/>
      </c>
      <c r="IF46" s="213" t="str">
        <f>IF('Supp. Result Entry'!Y45="","",'Supp. Result Entry'!Y45)</f>
        <v/>
      </c>
      <c r="IG46" s="213" t="str">
        <f>IF('Supp. Result Entry'!AB45="","",'Supp. Result Entry'!AB45)</f>
        <v/>
      </c>
      <c r="IH46" s="213" t="str">
        <f>IF('Supp. Result Entry'!AE45="","",'Supp. Result Entry'!AE45)</f>
        <v/>
      </c>
      <c r="II46" s="213" t="str">
        <f>IF('Supp. Result Entry'!AH45="","",'Supp. Result Entry'!AH45)</f>
        <v/>
      </c>
      <c r="IJ46" s="213" t="str">
        <f>IF('Supp. Result Entry'!AK45="","",'Supp. Result Entry'!AK45)</f>
        <v/>
      </c>
      <c r="IK46" s="213" t="str">
        <f>IF('Supp. Result Entry'!W45="","",'Supp. Result Entry'!W45)</f>
        <v/>
      </c>
      <c r="IL46" s="213" t="str">
        <f>IF('Supp. Result Entry'!Z45="","",'Supp. Result Entry'!Z45)</f>
        <v/>
      </c>
      <c r="IM46" s="213" t="str">
        <f>IF('Supp. Result Entry'!AC45="","",'Supp. Result Entry'!AC45)</f>
        <v/>
      </c>
      <c r="IN46" s="213" t="str">
        <f>IF('Supp. Result Entry'!AF45="","",'Supp. Result Entry'!AF45)</f>
        <v/>
      </c>
      <c r="IO46" s="213" t="str">
        <f>IF('Supp. Result Entry'!AI45="","",'Supp. Result Entry'!AI45)</f>
        <v/>
      </c>
      <c r="IP46" s="213" t="str">
        <f>IF('Supp. Result Entry'!AL45="","",'Supp. Result Entry'!AL45)</f>
        <v/>
      </c>
      <c r="IQ46" s="213">
        <f>COUNTIF('Supp. Result Entry'!K45:Q45,"S")</f>
        <v>0</v>
      </c>
      <c r="IR46" s="213">
        <f t="shared" si="170"/>
        <v>0</v>
      </c>
      <c r="IS46" s="213">
        <f t="shared" si="171"/>
        <v>0</v>
      </c>
      <c r="IT46" s="213" t="str">
        <f t="shared" si="41"/>
        <v/>
      </c>
      <c r="IU46" s="213" t="str">
        <f t="shared" si="42"/>
        <v/>
      </c>
      <c r="IV46" s="213" t="str">
        <f t="shared" si="43"/>
        <v/>
      </c>
      <c r="IW46" s="213" t="str">
        <f t="shared" si="44"/>
        <v/>
      </c>
      <c r="IX46" s="213" t="str">
        <f t="shared" si="45"/>
        <v/>
      </c>
      <c r="IY46" s="213" t="str">
        <f t="shared" si="172"/>
        <v/>
      </c>
      <c r="IZ46" s="213" t="str">
        <f t="shared" si="173"/>
        <v/>
      </c>
      <c r="JA46" s="213" t="str">
        <f t="shared" si="46"/>
        <v/>
      </c>
      <c r="JB46" s="211" t="str">
        <f t="shared" si="174"/>
        <v/>
      </c>
    </row>
    <row r="47" spans="1:262" s="211" customFormat="1" ht="21" customHeight="1">
      <c r="A47" s="184">
        <v>40</v>
      </c>
      <c r="B47" s="185" t="str">
        <f>IF('Marks Entry'!B47="","",'Marks Entry'!B47)</f>
        <v/>
      </c>
      <c r="C47" s="186" t="str">
        <f>IF('Marks Entry'!D47="","",'Marks Entry'!D47)</f>
        <v/>
      </c>
      <c r="D47" s="187" t="str">
        <f>IF('Marks Entry'!E47="","",'Marks Entry'!E47)</f>
        <v/>
      </c>
      <c r="E47" s="188" t="str">
        <f>IF('Marks Entry'!F47="","",'Marks Entry'!F47)</f>
        <v/>
      </c>
      <c r="F47" s="188" t="str">
        <f>IF('Marks Entry'!G47="","",'Marks Entry'!G47)</f>
        <v/>
      </c>
      <c r="G47" s="188" t="str">
        <f>IF('Marks Entry'!H47="","",'Marks Entry'!H47)</f>
        <v/>
      </c>
      <c r="H47" s="189" t="str">
        <f>IF('Marks Entry'!I47="","",'Marks Entry'!I47)</f>
        <v/>
      </c>
      <c r="I47" s="190" t="str">
        <f>IF('Marks Entry'!J47="","",'Marks Entry'!J47)</f>
        <v/>
      </c>
      <c r="J47" s="545" t="str">
        <f>IF('Marks Entry'!K47="","",'Marks Entry'!K47)</f>
        <v/>
      </c>
      <c r="K47" s="545" t="str">
        <f>IF('Marks Entry'!L47="","",'Marks Entry'!L47)</f>
        <v/>
      </c>
      <c r="L47" s="545" t="str">
        <f>IF('Marks Entry'!M47="","",'Marks Entry'!M47)</f>
        <v/>
      </c>
      <c r="M47" s="546" t="str">
        <f t="shared" si="47"/>
        <v/>
      </c>
      <c r="N47" s="545" t="str">
        <f>IF('Marks Entry'!N47="","",'Marks Entry'!N47)</f>
        <v/>
      </c>
      <c r="O47" s="546" t="str">
        <f t="shared" si="48"/>
        <v/>
      </c>
      <c r="P47" s="545" t="str">
        <f>IF('Marks Entry'!O47="","",'Marks Entry'!O47)</f>
        <v/>
      </c>
      <c r="Q47" s="547" t="str">
        <f t="shared" si="49"/>
        <v/>
      </c>
      <c r="R47" s="153">
        <f t="shared" si="50"/>
        <v>0</v>
      </c>
      <c r="S47" s="153">
        <f t="shared" si="51"/>
        <v>0</v>
      </c>
      <c r="T47" s="154" t="str">
        <f t="shared" si="52"/>
        <v/>
      </c>
      <c r="U47" s="153" t="str">
        <f t="shared" si="53"/>
        <v/>
      </c>
      <c r="V47" s="153" t="str">
        <f t="shared" si="54"/>
        <v/>
      </c>
      <c r="W47" s="153" t="str">
        <f t="shared" si="55"/>
        <v/>
      </c>
      <c r="X47" s="545" t="str">
        <f>IF('Marks Entry'!P47="","",'Marks Entry'!P47)</f>
        <v/>
      </c>
      <c r="Y47" s="545" t="str">
        <f>IF('Marks Entry'!Q47="","",'Marks Entry'!Q47)</f>
        <v/>
      </c>
      <c r="Z47" s="545" t="str">
        <f>IF('Marks Entry'!R47="","",'Marks Entry'!R47)</f>
        <v/>
      </c>
      <c r="AA47" s="546" t="str">
        <f t="shared" si="56"/>
        <v/>
      </c>
      <c r="AB47" s="545" t="str">
        <f>IF('Marks Entry'!S47="","",'Marks Entry'!S47)</f>
        <v/>
      </c>
      <c r="AC47" s="546" t="str">
        <f t="shared" si="57"/>
        <v/>
      </c>
      <c r="AD47" s="545" t="str">
        <f>IF('Marks Entry'!T47="","",'Marks Entry'!T47)</f>
        <v/>
      </c>
      <c r="AE47" s="547" t="str">
        <f t="shared" si="58"/>
        <v/>
      </c>
      <c r="AF47" s="153">
        <f t="shared" si="59"/>
        <v>0</v>
      </c>
      <c r="AG47" s="153">
        <f t="shared" si="60"/>
        <v>0</v>
      </c>
      <c r="AH47" s="154" t="str">
        <f t="shared" si="61"/>
        <v/>
      </c>
      <c r="AI47" s="153" t="str">
        <f t="shared" si="62"/>
        <v/>
      </c>
      <c r="AJ47" s="153" t="str">
        <f t="shared" si="63"/>
        <v/>
      </c>
      <c r="AK47" s="153" t="str">
        <f t="shared" si="64"/>
        <v/>
      </c>
      <c r="AL47" s="573" t="str">
        <f>IF('Marks Entry'!U47="","",'Marks Entry'!U47)</f>
        <v/>
      </c>
      <c r="AM47" s="573" t="str">
        <f>IF('Marks Entry'!V47="","",'Marks Entry'!V47)</f>
        <v/>
      </c>
      <c r="AN47" s="573" t="str">
        <f>IF('Marks Entry'!W47="","",'Marks Entry'!W47)</f>
        <v/>
      </c>
      <c r="AO47" s="573" t="str">
        <f>IF('Marks Entry'!X47="","",'Marks Entry'!X47)</f>
        <v/>
      </c>
      <c r="AP47" s="572" t="str">
        <f t="shared" si="65"/>
        <v/>
      </c>
      <c r="AQ47" s="573" t="str">
        <f>IF('Marks Entry'!Y47="","",'Marks Entry'!Y47)</f>
        <v/>
      </c>
      <c r="AR47" s="573" t="str">
        <f>IF('Marks Entry'!Z47="","",'Marks Entry'!Z47)</f>
        <v/>
      </c>
      <c r="AS47" s="572" t="str">
        <f t="shared" si="66"/>
        <v/>
      </c>
      <c r="AT47" s="572" t="str">
        <f t="shared" si="67"/>
        <v/>
      </c>
      <c r="AU47" s="573" t="str">
        <f>IF('Marks Entry'!AA47="","",'Marks Entry'!AA47)</f>
        <v/>
      </c>
      <c r="AV47" s="573" t="str">
        <f>IF('Marks Entry'!AB47="","",'Marks Entry'!AB47)</f>
        <v/>
      </c>
      <c r="AW47" s="572" t="str">
        <f t="shared" si="68"/>
        <v/>
      </c>
      <c r="AX47" s="157" t="str">
        <f t="shared" si="69"/>
        <v/>
      </c>
      <c r="AY47" s="157" t="str">
        <f t="shared" si="70"/>
        <v/>
      </c>
      <c r="AZ47" s="192" t="str">
        <f t="shared" si="71"/>
        <v/>
      </c>
      <c r="BA47" s="153">
        <f t="shared" si="72"/>
        <v>0</v>
      </c>
      <c r="BB47" s="154">
        <f t="shared" si="73"/>
        <v>0</v>
      </c>
      <c r="BC47" s="154" t="str">
        <f t="shared" si="74"/>
        <v/>
      </c>
      <c r="BD47" s="154" t="str">
        <f t="shared" si="75"/>
        <v/>
      </c>
      <c r="BE47" s="154" t="str">
        <f t="shared" si="76"/>
        <v/>
      </c>
      <c r="BF47" s="153" t="str">
        <f t="shared" si="77"/>
        <v/>
      </c>
      <c r="BG47" s="154" t="str">
        <f t="shared" si="175"/>
        <v/>
      </c>
      <c r="BH47" s="153" t="str">
        <f t="shared" si="78"/>
        <v/>
      </c>
      <c r="BI47" s="580" t="str">
        <f>IF('Marks Entry'!AC47="","",'Marks Entry'!AC47)</f>
        <v/>
      </c>
      <c r="BJ47" s="580" t="str">
        <f>IF('Marks Entry'!AD47="","",'Marks Entry'!AD47)</f>
        <v/>
      </c>
      <c r="BK47" s="580" t="str">
        <f>IF('Marks Entry'!AE47="","",'Marks Entry'!AE47)</f>
        <v/>
      </c>
      <c r="BL47" s="580" t="str">
        <f>IF('Marks Entry'!AF47="","",'Marks Entry'!AF47)</f>
        <v/>
      </c>
      <c r="BM47" s="581" t="str">
        <f t="shared" si="79"/>
        <v/>
      </c>
      <c r="BN47" s="580" t="str">
        <f>IF('Marks Entry'!AG47="","",'Marks Entry'!AG47)</f>
        <v/>
      </c>
      <c r="BO47" s="580" t="str">
        <f>IF('Marks Entry'!AH47="","",'Marks Entry'!AH47)</f>
        <v/>
      </c>
      <c r="BP47" s="581" t="str">
        <f t="shared" si="80"/>
        <v/>
      </c>
      <c r="BQ47" s="581" t="str">
        <f t="shared" si="81"/>
        <v/>
      </c>
      <c r="BR47" s="580" t="str">
        <f>IF('Marks Entry'!AI47="","",'Marks Entry'!AI47)</f>
        <v/>
      </c>
      <c r="BS47" s="580" t="str">
        <f>IF('Marks Entry'!AJ47="","",'Marks Entry'!AJ47)</f>
        <v/>
      </c>
      <c r="BT47" s="581" t="str">
        <f t="shared" si="82"/>
        <v/>
      </c>
      <c r="BU47" s="157" t="str">
        <f t="shared" si="83"/>
        <v/>
      </c>
      <c r="BV47" s="157" t="str">
        <f t="shared" si="84"/>
        <v/>
      </c>
      <c r="BW47" s="192" t="str">
        <f t="shared" si="85"/>
        <v/>
      </c>
      <c r="BX47" s="153">
        <f t="shared" si="86"/>
        <v>0</v>
      </c>
      <c r="BY47" s="154">
        <f t="shared" si="87"/>
        <v>0</v>
      </c>
      <c r="BZ47" s="154" t="str">
        <f t="shared" si="88"/>
        <v/>
      </c>
      <c r="CA47" s="154" t="str">
        <f t="shared" si="89"/>
        <v/>
      </c>
      <c r="CB47" s="154" t="str">
        <f t="shared" si="90"/>
        <v/>
      </c>
      <c r="CC47" s="153" t="str">
        <f t="shared" si="91"/>
        <v/>
      </c>
      <c r="CD47" s="154" t="str">
        <f t="shared" si="92"/>
        <v/>
      </c>
      <c r="CE47" s="153" t="str">
        <f t="shared" si="93"/>
        <v/>
      </c>
      <c r="CF47" s="580" t="str">
        <f>IF('Marks Entry'!AK47="","",'Marks Entry'!AK47)</f>
        <v/>
      </c>
      <c r="CG47" s="580" t="str">
        <f>IF('Marks Entry'!AL47="","",'Marks Entry'!AL47)</f>
        <v/>
      </c>
      <c r="CH47" s="580" t="str">
        <f>IF('Marks Entry'!AM47="","",'Marks Entry'!AM47)</f>
        <v/>
      </c>
      <c r="CI47" s="580" t="str">
        <f>IF('Marks Entry'!AN47="","",'Marks Entry'!AN47)</f>
        <v/>
      </c>
      <c r="CJ47" s="581" t="str">
        <f t="shared" si="94"/>
        <v/>
      </c>
      <c r="CK47" s="580" t="str">
        <f>IF('Marks Entry'!AO47="","",'Marks Entry'!AO47)</f>
        <v/>
      </c>
      <c r="CL47" s="580" t="str">
        <f>IF('Marks Entry'!AP47="","",'Marks Entry'!AP47)</f>
        <v/>
      </c>
      <c r="CM47" s="581" t="str">
        <f t="shared" si="95"/>
        <v/>
      </c>
      <c r="CN47" s="581" t="str">
        <f t="shared" si="96"/>
        <v/>
      </c>
      <c r="CO47" s="580" t="str">
        <f>IF('Marks Entry'!AQ47="","",'Marks Entry'!AQ47)</f>
        <v/>
      </c>
      <c r="CP47" s="580" t="str">
        <f>IF('Marks Entry'!AR47="","",'Marks Entry'!AR47)</f>
        <v/>
      </c>
      <c r="CQ47" s="581" t="str">
        <f t="shared" si="97"/>
        <v/>
      </c>
      <c r="CR47" s="157" t="str">
        <f t="shared" si="98"/>
        <v/>
      </c>
      <c r="CS47" s="157" t="str">
        <f t="shared" si="99"/>
        <v/>
      </c>
      <c r="CT47" s="192" t="str">
        <f t="shared" si="100"/>
        <v/>
      </c>
      <c r="CU47" s="153">
        <f t="shared" si="101"/>
        <v>0</v>
      </c>
      <c r="CV47" s="154">
        <f t="shared" si="102"/>
        <v>0</v>
      </c>
      <c r="CW47" s="154" t="str">
        <f t="shared" si="103"/>
        <v/>
      </c>
      <c r="CX47" s="154" t="str">
        <f t="shared" si="104"/>
        <v/>
      </c>
      <c r="CY47" s="154" t="str">
        <f t="shared" si="176"/>
        <v/>
      </c>
      <c r="CZ47" s="153" t="str">
        <f t="shared" si="105"/>
        <v/>
      </c>
      <c r="DA47" s="154" t="str">
        <f t="shared" si="106"/>
        <v/>
      </c>
      <c r="DB47" s="153" t="str">
        <f t="shared" si="107"/>
        <v/>
      </c>
      <c r="DC47" s="154">
        <f t="shared" si="108"/>
        <v>0</v>
      </c>
      <c r="DD47" s="826" t="str">
        <f>IF('Marks Entry'!AS47="","",IF(OR('Master Sheet'!$D$19="YES",'Marks Entry'!$BA$1=1),'Marks Entry'!AS47,""))</f>
        <v/>
      </c>
      <c r="DE47" s="826" t="str">
        <f>IF('Marks Entry'!AT47="","",IF(OR('Master Sheet'!$D$19="YES",'Marks Entry'!$BA$1=1),'Marks Entry'!AT47,""))</f>
        <v/>
      </c>
      <c r="DF47" s="826" t="str">
        <f>IF('Marks Entry'!AU47="","",IF(OR('Master Sheet'!$D$19="YES",'Marks Entry'!$BA$1=1),'Marks Entry'!AU47,""))</f>
        <v/>
      </c>
      <c r="DG47" s="826" t="str">
        <f>IF('Marks Entry'!AV47="","",IF(OR('Master Sheet'!$D$19="YES",'Marks Entry'!$BA$1=1),'Marks Entry'!AV47,""))</f>
        <v/>
      </c>
      <c r="DH47" s="827" t="str">
        <f t="shared" si="109"/>
        <v/>
      </c>
      <c r="DI47" s="826" t="str">
        <f>IF('Marks Entry'!AW47="","",IF(OR('Master Sheet'!$D$19="YES",'Marks Entry'!$BA$1=1),'Marks Entry'!AW47,""))</f>
        <v/>
      </c>
      <c r="DJ47" s="826" t="str">
        <f>IF('Marks Entry'!AX47="","",IF(OR('Master Sheet'!$D$19="YES",'Marks Entry'!$BA$1=1),'Marks Entry'!AX47,""))</f>
        <v/>
      </c>
      <c r="DK47" s="827" t="str">
        <f t="shared" si="110"/>
        <v/>
      </c>
      <c r="DL47" s="827" t="str">
        <f t="shared" si="111"/>
        <v/>
      </c>
      <c r="DM47" s="826" t="str">
        <f>IF('Marks Entry'!AY47="","",IF(OR('Master Sheet'!$D$19="YES",'Marks Entry'!$BA$1=1),'Marks Entry'!AY47,""))</f>
        <v/>
      </c>
      <c r="DN47" s="826" t="str">
        <f>IF('Marks Entry'!AZ47="","",IF(OR('Master Sheet'!$D$19="YES",'Marks Entry'!$BA$1=1),'Marks Entry'!AZ47,""))</f>
        <v/>
      </c>
      <c r="DO47" s="826" t="str">
        <f>IF('Marks Entry'!BA47="","",IF(OR('Master Sheet'!$D$19="YES",'Marks Entry'!$BA$1=1),'Marks Entry'!BA47,""))</f>
        <v/>
      </c>
      <c r="DP47" s="827" t="str">
        <f t="shared" si="112"/>
        <v/>
      </c>
      <c r="DQ47" s="157" t="str">
        <f t="shared" si="113"/>
        <v/>
      </c>
      <c r="DR47" s="157" t="str">
        <f t="shared" si="114"/>
        <v/>
      </c>
      <c r="DS47" s="157" t="str">
        <f t="shared" si="115"/>
        <v/>
      </c>
      <c r="DT47" s="192" t="str">
        <f t="shared" si="116"/>
        <v/>
      </c>
      <c r="DU47" s="153">
        <f t="shared" si="117"/>
        <v>0</v>
      </c>
      <c r="DV47" s="154" t="e">
        <f t="shared" si="118"/>
        <v>#VALUE!</v>
      </c>
      <c r="DW47" s="154" t="str">
        <f t="shared" si="119"/>
        <v/>
      </c>
      <c r="DX47" s="154" t="str">
        <f>IF(OR($B47="NSO",$B47=0,DS47=""),"",IF(AND(DJ47="",DO47=""),"",IF('Master Sheet'!$D$19="YES",$DO$6-COUNTIF(DO47,"ML")*DO$6,DS$6-(COUNTIF(DJ47,"ML")*DJ$6)-(COUNTIF(DO47,"ML")*DO$6))))</f>
        <v/>
      </c>
      <c r="DY47" s="154" t="str">
        <f>IF(OR($B47="NSO",$B47=0),"",IF(AND(DH47="",DI47="",DM47=""),"",IF(AND('Master Sheet'!$D$19="YES",'Marks Entry'!$BA$1=1),100,IF(AND(DJ47="",DO47=""),SUM(($DQ$7+$DR$7)-(DU47+DV47)),SUM(($DQ$6+$DR$6)-(DU47+DV47))))))</f>
        <v/>
      </c>
      <c r="DZ47" s="153" t="str">
        <f t="shared" si="120"/>
        <v/>
      </c>
      <c r="EA47" s="154" t="str">
        <f t="shared" si="121"/>
        <v/>
      </c>
      <c r="EB47" s="153" t="str">
        <f t="shared" si="122"/>
        <v/>
      </c>
      <c r="EC47" s="584" t="str">
        <f>IF('Marks Entry'!BB47="","",'Marks Entry'!BB47)</f>
        <v/>
      </c>
      <c r="ED47" s="584" t="str">
        <f>IF('Marks Entry'!BC47="","",'Marks Entry'!BC47)</f>
        <v/>
      </c>
      <c r="EE47" s="584" t="str">
        <f>IF('Marks Entry'!BD47="","",'Marks Entry'!BD47)</f>
        <v/>
      </c>
      <c r="EF47" s="590" t="str">
        <f t="shared" si="123"/>
        <v/>
      </c>
      <c r="EG47" s="595">
        <f t="shared" si="124"/>
        <v>0</v>
      </c>
      <c r="EH47" s="595">
        <f t="shared" si="125"/>
        <v>0</v>
      </c>
      <c r="EI47" s="193" t="str">
        <f t="shared" si="126"/>
        <v/>
      </c>
      <c r="EJ47" s="595" t="str">
        <f t="shared" si="127"/>
        <v/>
      </c>
      <c r="EK47" s="595" t="str">
        <f t="shared" si="128"/>
        <v/>
      </c>
      <c r="EL47" s="194" t="str">
        <f t="shared" si="129"/>
        <v/>
      </c>
      <c r="EM47" s="194" t="str">
        <f t="shared" si="130"/>
        <v/>
      </c>
      <c r="EN47" s="194" t="str">
        <f t="shared" si="131"/>
        <v/>
      </c>
      <c r="EO47" s="194" t="str">
        <f t="shared" si="132"/>
        <v/>
      </c>
      <c r="EP47" s="194" t="str">
        <f t="shared" si="133"/>
        <v/>
      </c>
      <c r="EQ47" s="194" t="str">
        <f t="shared" si="134"/>
        <v/>
      </c>
      <c r="ER47" s="195">
        <f t="shared" si="135"/>
        <v>0</v>
      </c>
      <c r="ES47" s="195">
        <f t="shared" si="136"/>
        <v>0</v>
      </c>
      <c r="ET47" s="195">
        <f t="shared" si="137"/>
        <v>0</v>
      </c>
      <c r="EU47" s="195">
        <f t="shared" si="138"/>
        <v>0</v>
      </c>
      <c r="EV47" s="195">
        <f t="shared" si="139"/>
        <v>0</v>
      </c>
      <c r="EW47" s="195" t="str">
        <f t="shared" si="140"/>
        <v/>
      </c>
      <c r="EX47" s="196" t="str">
        <f t="shared" si="141"/>
        <v/>
      </c>
      <c r="EY47" s="197" t="str">
        <f>IF('Marks Entry'!BE47="","",'Marks Entry'!BE47)</f>
        <v/>
      </c>
      <c r="EZ47" s="197" t="str">
        <f>IF('Marks Entry'!BF47="","",'Marks Entry'!BF47)</f>
        <v/>
      </c>
      <c r="FA47" s="197" t="str">
        <f>IF('Marks Entry'!BG47="","",'Marks Entry'!BG47)</f>
        <v/>
      </c>
      <c r="FB47" s="596" t="str">
        <f t="shared" si="142"/>
        <v/>
      </c>
      <c r="FC47" s="197" t="str">
        <f>IF('Marks Entry'!BH47="","",'Marks Entry'!BH47)</f>
        <v/>
      </c>
      <c r="FD47" s="197" t="str">
        <f>IF('Marks Entry'!BI47="","",'Marks Entry'!BI47)</f>
        <v/>
      </c>
      <c r="FE47" s="198" t="str">
        <f t="shared" si="143"/>
        <v/>
      </c>
      <c r="FF47" s="199" t="str">
        <f t="shared" si="144"/>
        <v/>
      </c>
      <c r="FG47" s="200" t="str">
        <f>IF(AND(E47=""),"",IF('Student DATA Entry'!L43="","",'Student DATA Entry'!L43))</f>
        <v/>
      </c>
      <c r="FH47" s="201" t="str">
        <f>IF(AND(E47=""),"",IF('Student DATA Entry'!M43="","",'Student DATA Entry'!M43))</f>
        <v/>
      </c>
      <c r="FI47" s="202" t="str">
        <f t="shared" si="145"/>
        <v/>
      </c>
      <c r="FJ47" s="189" t="str">
        <f t="shared" si="146"/>
        <v/>
      </c>
      <c r="FK47" s="189" t="str">
        <f t="shared" si="147"/>
        <v/>
      </c>
      <c r="FL47" s="203" t="str">
        <f t="shared" si="178"/>
        <v/>
      </c>
      <c r="FM47" s="189" t="str">
        <f t="shared" si="148"/>
        <v/>
      </c>
      <c r="FN47" s="204" t="str">
        <f t="shared" si="149"/>
        <v/>
      </c>
      <c r="FO47" s="203" t="str">
        <f t="shared" si="179"/>
        <v/>
      </c>
      <c r="FP47" s="205" t="str">
        <f t="shared" si="150"/>
        <v/>
      </c>
      <c r="FQ47" s="189" t="str">
        <f t="shared" si="180"/>
        <v/>
      </c>
      <c r="FR47" s="189" t="str">
        <f t="shared" si="181"/>
        <v/>
      </c>
      <c r="FS47" s="189" t="str">
        <f t="shared" si="182"/>
        <v/>
      </c>
      <c r="FT47" s="189" t="str">
        <f t="shared" si="183"/>
        <v/>
      </c>
      <c r="FU47" s="189" t="str">
        <f t="shared" si="151"/>
        <v/>
      </c>
      <c r="FV47" s="206" t="str">
        <f t="shared" si="184"/>
        <v/>
      </c>
      <c r="FW47" s="205" t="str">
        <f t="shared" si="152"/>
        <v/>
      </c>
      <c r="FX47" s="189" t="str">
        <f t="shared" si="185"/>
        <v/>
      </c>
      <c r="FY47" s="189" t="str">
        <f t="shared" si="186"/>
        <v/>
      </c>
      <c r="FZ47" s="189" t="str">
        <f t="shared" si="187"/>
        <v/>
      </c>
      <c r="GA47" s="189" t="str">
        <f t="shared" si="188"/>
        <v/>
      </c>
      <c r="GB47" s="189" t="str">
        <f t="shared" si="153"/>
        <v/>
      </c>
      <c r="GC47" s="206" t="str">
        <f t="shared" si="189"/>
        <v/>
      </c>
      <c r="GD47" s="205" t="str">
        <f t="shared" si="154"/>
        <v/>
      </c>
      <c r="GE47" s="189" t="str">
        <f t="shared" si="190"/>
        <v/>
      </c>
      <c r="GF47" s="189" t="str">
        <f t="shared" si="191"/>
        <v/>
      </c>
      <c r="GG47" s="189" t="str">
        <f t="shared" si="192"/>
        <v/>
      </c>
      <c r="GH47" s="189" t="str">
        <f t="shared" si="193"/>
        <v/>
      </c>
      <c r="GI47" s="189" t="str">
        <f t="shared" si="155"/>
        <v/>
      </c>
      <c r="GJ47" s="206" t="str">
        <f t="shared" si="194"/>
        <v/>
      </c>
      <c r="GK47" s="205" t="str">
        <f t="shared" si="156"/>
        <v/>
      </c>
      <c r="GL47" s="189" t="str">
        <f t="shared" si="195"/>
        <v/>
      </c>
      <c r="GM47" s="189" t="str">
        <f t="shared" si="196"/>
        <v/>
      </c>
      <c r="GN47" s="189" t="str">
        <f t="shared" si="197"/>
        <v/>
      </c>
      <c r="GO47" s="189" t="str">
        <f t="shared" si="198"/>
        <v/>
      </c>
      <c r="GP47" s="189" t="str">
        <f t="shared" si="157"/>
        <v/>
      </c>
      <c r="GQ47" s="206" t="str">
        <f t="shared" si="199"/>
        <v/>
      </c>
      <c r="GR47" s="189" t="str">
        <f t="shared" si="158"/>
        <v/>
      </c>
      <c r="GS47" s="189" t="str">
        <f t="shared" si="159"/>
        <v/>
      </c>
      <c r="GT47" s="207" t="str">
        <f t="shared" si="177"/>
        <v xml:space="preserve">    </v>
      </c>
      <c r="GU47" s="207" t="str">
        <f t="shared" si="160"/>
        <v xml:space="preserve">    </v>
      </c>
      <c r="GV47" s="207" t="str">
        <f t="shared" si="161"/>
        <v xml:space="preserve">    </v>
      </c>
      <c r="GW47" s="207" t="str">
        <f t="shared" si="162"/>
        <v xml:space="preserve">       </v>
      </c>
      <c r="GX47" s="598" t="str">
        <f t="shared" si="163"/>
        <v xml:space="preserve">     </v>
      </c>
      <c r="GY47" s="208" t="str">
        <f t="shared" si="200"/>
        <v/>
      </c>
      <c r="GZ47" s="606" t="str">
        <f>IF(AND(Q47="",AE47="",AZ47="",BW47="",CT47=""),"",IF(AND('Master Sheet'!$D$19="YES",'Marks Entry'!$BA$1=1),SUM(Q47,AE47,AZ47,BW47,DT47),SUM(Q47,AE47,AZ47,BW47,CT47)))</f>
        <v/>
      </c>
      <c r="HA47" s="209" t="str">
        <f>IF(GZ47="","",IF(AND('Master Sheet'!$D$19="YES",'Marks Entry'!$BA$1=1),GZ47/((900)-DC47)*100,GZ47/((1000)-DC47)*100))</f>
        <v/>
      </c>
      <c r="HB47" s="611" t="str">
        <f t="shared" si="165"/>
        <v/>
      </c>
      <c r="HC47" s="609" t="str">
        <f t="shared" si="166"/>
        <v/>
      </c>
      <c r="HD47" s="610" t="str">
        <f t="shared" si="167"/>
        <v/>
      </c>
      <c r="HE47" s="210" t="str">
        <f>IFERROR(IF(OR(GY47="SUPPLEMENTARY",GY47="RE-EXAM"),'Supp. Result Entry'!AS46,""),"")</f>
        <v/>
      </c>
      <c r="HF47" s="613" t="str">
        <f t="shared" si="168"/>
        <v/>
      </c>
      <c r="HG47" s="598" t="str">
        <f t="shared" si="169"/>
        <v/>
      </c>
      <c r="HH47" s="598" t="str">
        <f>IF(AND(HE47="",HF47="",HG47=""),"",IF(OR(GY47="SUPPLEMENTARY",GY47="RE-EXAM"),'Supp. Result Entry'!AS46,GY47))</f>
        <v/>
      </c>
      <c r="HI47" s="180"/>
      <c r="HJ47" s="214"/>
      <c r="HY47" s="212" t="str">
        <f>IF('Supp. Result Entry'!U46="","",'Supp. Result Entry'!$U$6)</f>
        <v/>
      </c>
      <c r="HZ47" s="213" t="str">
        <f>IF('Supp. Result Entry'!X46="","",'Supp. Result Entry'!$X$6)</f>
        <v/>
      </c>
      <c r="IA47" s="213" t="str">
        <f>IF('Supp. Result Entry'!AA46="","",'Supp. Result Entry'!$AA$6)</f>
        <v/>
      </c>
      <c r="IB47" s="213" t="str">
        <f>IF('Supp. Result Entry'!AD46="","",'Supp. Result Entry'!$AD$6)</f>
        <v/>
      </c>
      <c r="IC47" s="213" t="str">
        <f>IF('Supp. Result Entry'!AG46="","",'Supp. Result Entry'!$AG$6)</f>
        <v/>
      </c>
      <c r="ID47" s="213" t="str">
        <f>IF('Supp. Result Entry'!AJ46="","",'Supp. Result Entry'!$AJ$6)</f>
        <v/>
      </c>
      <c r="IE47" s="213" t="str">
        <f>IF('Supp. Result Entry'!V46="","",'Supp. Result Entry'!V46)</f>
        <v/>
      </c>
      <c r="IF47" s="213" t="str">
        <f>IF('Supp. Result Entry'!Y46="","",'Supp. Result Entry'!Y46)</f>
        <v/>
      </c>
      <c r="IG47" s="213" t="str">
        <f>IF('Supp. Result Entry'!AB46="","",'Supp. Result Entry'!AB46)</f>
        <v/>
      </c>
      <c r="IH47" s="213" t="str">
        <f>IF('Supp. Result Entry'!AE46="","",'Supp. Result Entry'!AE46)</f>
        <v/>
      </c>
      <c r="II47" s="213" t="str">
        <f>IF('Supp. Result Entry'!AH46="","",'Supp. Result Entry'!AH46)</f>
        <v/>
      </c>
      <c r="IJ47" s="213" t="str">
        <f>IF('Supp. Result Entry'!AK46="","",'Supp. Result Entry'!AK46)</f>
        <v/>
      </c>
      <c r="IK47" s="213" t="str">
        <f>IF('Supp. Result Entry'!W46="","",'Supp. Result Entry'!W46)</f>
        <v/>
      </c>
      <c r="IL47" s="213" t="str">
        <f>IF('Supp. Result Entry'!Z46="","",'Supp. Result Entry'!Z46)</f>
        <v/>
      </c>
      <c r="IM47" s="213" t="str">
        <f>IF('Supp. Result Entry'!AC46="","",'Supp. Result Entry'!AC46)</f>
        <v/>
      </c>
      <c r="IN47" s="213" t="str">
        <f>IF('Supp. Result Entry'!AF46="","",'Supp. Result Entry'!AF46)</f>
        <v/>
      </c>
      <c r="IO47" s="213" t="str">
        <f>IF('Supp. Result Entry'!AI46="","",'Supp. Result Entry'!AI46)</f>
        <v/>
      </c>
      <c r="IP47" s="213" t="str">
        <f>IF('Supp. Result Entry'!AL46="","",'Supp. Result Entry'!AL46)</f>
        <v/>
      </c>
      <c r="IQ47" s="213">
        <f>COUNTIF('Supp. Result Entry'!K46:Q46,"S")</f>
        <v>0</v>
      </c>
      <c r="IR47" s="213">
        <f t="shared" si="170"/>
        <v>0</v>
      </c>
      <c r="IS47" s="213">
        <f t="shared" si="171"/>
        <v>0</v>
      </c>
      <c r="IT47" s="213" t="str">
        <f t="shared" si="41"/>
        <v/>
      </c>
      <c r="IU47" s="213" t="str">
        <f t="shared" si="42"/>
        <v/>
      </c>
      <c r="IV47" s="213" t="str">
        <f t="shared" si="43"/>
        <v/>
      </c>
      <c r="IW47" s="213" t="str">
        <f t="shared" si="44"/>
        <v/>
      </c>
      <c r="IX47" s="213" t="str">
        <f t="shared" si="45"/>
        <v/>
      </c>
      <c r="IY47" s="213" t="str">
        <f t="shared" si="172"/>
        <v/>
      </c>
      <c r="IZ47" s="213" t="str">
        <f t="shared" si="173"/>
        <v/>
      </c>
      <c r="JA47" s="213" t="str">
        <f t="shared" si="46"/>
        <v/>
      </c>
      <c r="JB47" s="211" t="str">
        <f t="shared" si="174"/>
        <v/>
      </c>
    </row>
    <row r="48" spans="1:262" s="211" customFormat="1" ht="21" customHeight="1">
      <c r="A48" s="184">
        <v>41</v>
      </c>
      <c r="B48" s="185" t="str">
        <f>IF('Marks Entry'!B48="","",'Marks Entry'!B48)</f>
        <v/>
      </c>
      <c r="C48" s="186" t="str">
        <f>IF('Marks Entry'!D48="","",'Marks Entry'!D48)</f>
        <v/>
      </c>
      <c r="D48" s="187" t="str">
        <f>IF('Marks Entry'!E48="","",'Marks Entry'!E48)</f>
        <v/>
      </c>
      <c r="E48" s="188" t="str">
        <f>IF('Marks Entry'!F48="","",'Marks Entry'!F48)</f>
        <v/>
      </c>
      <c r="F48" s="188" t="str">
        <f>IF('Marks Entry'!G48="","",'Marks Entry'!G48)</f>
        <v/>
      </c>
      <c r="G48" s="188" t="str">
        <f>IF('Marks Entry'!H48="","",'Marks Entry'!H48)</f>
        <v/>
      </c>
      <c r="H48" s="189" t="str">
        <f>IF('Marks Entry'!I48="","",'Marks Entry'!I48)</f>
        <v/>
      </c>
      <c r="I48" s="190" t="str">
        <f>IF('Marks Entry'!J48="","",'Marks Entry'!J48)</f>
        <v/>
      </c>
      <c r="J48" s="545" t="str">
        <f>IF('Marks Entry'!K48="","",'Marks Entry'!K48)</f>
        <v/>
      </c>
      <c r="K48" s="545" t="str">
        <f>IF('Marks Entry'!L48="","",'Marks Entry'!L48)</f>
        <v/>
      </c>
      <c r="L48" s="545" t="str">
        <f>IF('Marks Entry'!M48="","",'Marks Entry'!M48)</f>
        <v/>
      </c>
      <c r="M48" s="546" t="str">
        <f t="shared" si="47"/>
        <v/>
      </c>
      <c r="N48" s="545" t="str">
        <f>IF('Marks Entry'!N48="","",'Marks Entry'!N48)</f>
        <v/>
      </c>
      <c r="O48" s="546" t="str">
        <f t="shared" si="48"/>
        <v/>
      </c>
      <c r="P48" s="545" t="str">
        <f>IF('Marks Entry'!O48="","",'Marks Entry'!O48)</f>
        <v/>
      </c>
      <c r="Q48" s="547" t="str">
        <f t="shared" si="49"/>
        <v/>
      </c>
      <c r="R48" s="153">
        <f t="shared" si="50"/>
        <v>0</v>
      </c>
      <c r="S48" s="153">
        <f t="shared" si="51"/>
        <v>0</v>
      </c>
      <c r="T48" s="154" t="str">
        <f t="shared" si="52"/>
        <v/>
      </c>
      <c r="U48" s="153" t="str">
        <f t="shared" si="53"/>
        <v/>
      </c>
      <c r="V48" s="153" t="str">
        <f t="shared" si="54"/>
        <v/>
      </c>
      <c r="W48" s="153" t="str">
        <f t="shared" si="55"/>
        <v/>
      </c>
      <c r="X48" s="545" t="str">
        <f>IF('Marks Entry'!P48="","",'Marks Entry'!P48)</f>
        <v/>
      </c>
      <c r="Y48" s="545" t="str">
        <f>IF('Marks Entry'!Q48="","",'Marks Entry'!Q48)</f>
        <v/>
      </c>
      <c r="Z48" s="545" t="str">
        <f>IF('Marks Entry'!R48="","",'Marks Entry'!R48)</f>
        <v/>
      </c>
      <c r="AA48" s="546" t="str">
        <f t="shared" si="56"/>
        <v/>
      </c>
      <c r="AB48" s="545" t="str">
        <f>IF('Marks Entry'!S48="","",'Marks Entry'!S48)</f>
        <v/>
      </c>
      <c r="AC48" s="546" t="str">
        <f t="shared" si="57"/>
        <v/>
      </c>
      <c r="AD48" s="545" t="str">
        <f>IF('Marks Entry'!T48="","",'Marks Entry'!T48)</f>
        <v/>
      </c>
      <c r="AE48" s="547" t="str">
        <f t="shared" si="58"/>
        <v/>
      </c>
      <c r="AF48" s="153">
        <f t="shared" si="59"/>
        <v>0</v>
      </c>
      <c r="AG48" s="153">
        <f t="shared" si="60"/>
        <v>0</v>
      </c>
      <c r="AH48" s="154" t="str">
        <f t="shared" si="61"/>
        <v/>
      </c>
      <c r="AI48" s="153" t="str">
        <f t="shared" si="62"/>
        <v/>
      </c>
      <c r="AJ48" s="153" t="str">
        <f t="shared" si="63"/>
        <v/>
      </c>
      <c r="AK48" s="153" t="str">
        <f t="shared" si="64"/>
        <v/>
      </c>
      <c r="AL48" s="573" t="str">
        <f>IF('Marks Entry'!U48="","",'Marks Entry'!U48)</f>
        <v/>
      </c>
      <c r="AM48" s="573" t="str">
        <f>IF('Marks Entry'!V48="","",'Marks Entry'!V48)</f>
        <v/>
      </c>
      <c r="AN48" s="573" t="str">
        <f>IF('Marks Entry'!W48="","",'Marks Entry'!W48)</f>
        <v/>
      </c>
      <c r="AO48" s="573" t="str">
        <f>IF('Marks Entry'!X48="","",'Marks Entry'!X48)</f>
        <v/>
      </c>
      <c r="AP48" s="572" t="str">
        <f t="shared" si="65"/>
        <v/>
      </c>
      <c r="AQ48" s="573" t="str">
        <f>IF('Marks Entry'!Y48="","",'Marks Entry'!Y48)</f>
        <v/>
      </c>
      <c r="AR48" s="573" t="str">
        <f>IF('Marks Entry'!Z48="","",'Marks Entry'!Z48)</f>
        <v/>
      </c>
      <c r="AS48" s="572" t="str">
        <f t="shared" si="66"/>
        <v/>
      </c>
      <c r="AT48" s="572" t="str">
        <f t="shared" si="67"/>
        <v/>
      </c>
      <c r="AU48" s="573" t="str">
        <f>IF('Marks Entry'!AA48="","",'Marks Entry'!AA48)</f>
        <v/>
      </c>
      <c r="AV48" s="573" t="str">
        <f>IF('Marks Entry'!AB48="","",'Marks Entry'!AB48)</f>
        <v/>
      </c>
      <c r="AW48" s="572" t="str">
        <f t="shared" si="68"/>
        <v/>
      </c>
      <c r="AX48" s="157" t="str">
        <f t="shared" si="69"/>
        <v/>
      </c>
      <c r="AY48" s="157" t="str">
        <f t="shared" si="70"/>
        <v/>
      </c>
      <c r="AZ48" s="192" t="str">
        <f t="shared" si="71"/>
        <v/>
      </c>
      <c r="BA48" s="153">
        <f t="shared" si="72"/>
        <v>0</v>
      </c>
      <c r="BB48" s="154">
        <f t="shared" si="73"/>
        <v>0</v>
      </c>
      <c r="BC48" s="154" t="str">
        <f t="shared" si="74"/>
        <v/>
      </c>
      <c r="BD48" s="154" t="str">
        <f t="shared" si="75"/>
        <v/>
      </c>
      <c r="BE48" s="154" t="str">
        <f t="shared" si="76"/>
        <v/>
      </c>
      <c r="BF48" s="153" t="str">
        <f t="shared" si="77"/>
        <v/>
      </c>
      <c r="BG48" s="154" t="str">
        <f t="shared" si="175"/>
        <v/>
      </c>
      <c r="BH48" s="153" t="str">
        <f t="shared" si="78"/>
        <v/>
      </c>
      <c r="BI48" s="580" t="str">
        <f>IF('Marks Entry'!AC48="","",'Marks Entry'!AC48)</f>
        <v/>
      </c>
      <c r="BJ48" s="580" t="str">
        <f>IF('Marks Entry'!AD48="","",'Marks Entry'!AD48)</f>
        <v/>
      </c>
      <c r="BK48" s="580" t="str">
        <f>IF('Marks Entry'!AE48="","",'Marks Entry'!AE48)</f>
        <v/>
      </c>
      <c r="BL48" s="580" t="str">
        <f>IF('Marks Entry'!AF48="","",'Marks Entry'!AF48)</f>
        <v/>
      </c>
      <c r="BM48" s="581" t="str">
        <f t="shared" si="79"/>
        <v/>
      </c>
      <c r="BN48" s="580" t="str">
        <f>IF('Marks Entry'!AG48="","",'Marks Entry'!AG48)</f>
        <v/>
      </c>
      <c r="BO48" s="580" t="str">
        <f>IF('Marks Entry'!AH48="","",'Marks Entry'!AH48)</f>
        <v/>
      </c>
      <c r="BP48" s="581" t="str">
        <f t="shared" si="80"/>
        <v/>
      </c>
      <c r="BQ48" s="581" t="str">
        <f t="shared" si="81"/>
        <v/>
      </c>
      <c r="BR48" s="580" t="str">
        <f>IF('Marks Entry'!AI48="","",'Marks Entry'!AI48)</f>
        <v/>
      </c>
      <c r="BS48" s="580" t="str">
        <f>IF('Marks Entry'!AJ48="","",'Marks Entry'!AJ48)</f>
        <v/>
      </c>
      <c r="BT48" s="581" t="str">
        <f t="shared" si="82"/>
        <v/>
      </c>
      <c r="BU48" s="157" t="str">
        <f t="shared" si="83"/>
        <v/>
      </c>
      <c r="BV48" s="157" t="str">
        <f t="shared" si="84"/>
        <v/>
      </c>
      <c r="BW48" s="192" t="str">
        <f t="shared" si="85"/>
        <v/>
      </c>
      <c r="BX48" s="153">
        <f t="shared" si="86"/>
        <v>0</v>
      </c>
      <c r="BY48" s="154">
        <f t="shared" si="87"/>
        <v>0</v>
      </c>
      <c r="BZ48" s="154" t="str">
        <f t="shared" si="88"/>
        <v/>
      </c>
      <c r="CA48" s="154" t="str">
        <f t="shared" si="89"/>
        <v/>
      </c>
      <c r="CB48" s="154" t="str">
        <f t="shared" si="90"/>
        <v/>
      </c>
      <c r="CC48" s="153" t="str">
        <f t="shared" si="91"/>
        <v/>
      </c>
      <c r="CD48" s="154" t="str">
        <f t="shared" si="92"/>
        <v/>
      </c>
      <c r="CE48" s="153" t="str">
        <f t="shared" si="93"/>
        <v/>
      </c>
      <c r="CF48" s="580" t="str">
        <f>IF('Marks Entry'!AK48="","",'Marks Entry'!AK48)</f>
        <v/>
      </c>
      <c r="CG48" s="580" t="str">
        <f>IF('Marks Entry'!AL48="","",'Marks Entry'!AL48)</f>
        <v/>
      </c>
      <c r="CH48" s="580" t="str">
        <f>IF('Marks Entry'!AM48="","",'Marks Entry'!AM48)</f>
        <v/>
      </c>
      <c r="CI48" s="580" t="str">
        <f>IF('Marks Entry'!AN48="","",'Marks Entry'!AN48)</f>
        <v/>
      </c>
      <c r="CJ48" s="581" t="str">
        <f t="shared" si="94"/>
        <v/>
      </c>
      <c r="CK48" s="580" t="str">
        <f>IF('Marks Entry'!AO48="","",'Marks Entry'!AO48)</f>
        <v/>
      </c>
      <c r="CL48" s="580" t="str">
        <f>IF('Marks Entry'!AP48="","",'Marks Entry'!AP48)</f>
        <v/>
      </c>
      <c r="CM48" s="581" t="str">
        <f t="shared" si="95"/>
        <v/>
      </c>
      <c r="CN48" s="581" t="str">
        <f t="shared" si="96"/>
        <v/>
      </c>
      <c r="CO48" s="580" t="str">
        <f>IF('Marks Entry'!AQ48="","",'Marks Entry'!AQ48)</f>
        <v/>
      </c>
      <c r="CP48" s="580" t="str">
        <f>IF('Marks Entry'!AR48="","",'Marks Entry'!AR48)</f>
        <v/>
      </c>
      <c r="CQ48" s="581" t="str">
        <f t="shared" si="97"/>
        <v/>
      </c>
      <c r="CR48" s="157" t="str">
        <f t="shared" si="98"/>
        <v/>
      </c>
      <c r="CS48" s="157" t="str">
        <f t="shared" si="99"/>
        <v/>
      </c>
      <c r="CT48" s="192" t="str">
        <f t="shared" si="100"/>
        <v/>
      </c>
      <c r="CU48" s="153">
        <f t="shared" si="101"/>
        <v>0</v>
      </c>
      <c r="CV48" s="154">
        <f t="shared" si="102"/>
        <v>0</v>
      </c>
      <c r="CW48" s="154" t="str">
        <f t="shared" si="103"/>
        <v/>
      </c>
      <c r="CX48" s="154" t="str">
        <f t="shared" si="104"/>
        <v/>
      </c>
      <c r="CY48" s="154" t="str">
        <f t="shared" si="176"/>
        <v/>
      </c>
      <c r="CZ48" s="153" t="str">
        <f t="shared" si="105"/>
        <v/>
      </c>
      <c r="DA48" s="154" t="str">
        <f t="shared" si="106"/>
        <v/>
      </c>
      <c r="DB48" s="153" t="str">
        <f t="shared" si="107"/>
        <v/>
      </c>
      <c r="DC48" s="154">
        <f t="shared" si="108"/>
        <v>0</v>
      </c>
      <c r="DD48" s="826" t="str">
        <f>IF('Marks Entry'!AS48="","",IF(OR('Master Sheet'!$D$19="YES",'Marks Entry'!$BA$1=1),'Marks Entry'!AS48,""))</f>
        <v/>
      </c>
      <c r="DE48" s="826" t="str">
        <f>IF('Marks Entry'!AT48="","",IF(OR('Master Sheet'!$D$19="YES",'Marks Entry'!$BA$1=1),'Marks Entry'!AT48,""))</f>
        <v/>
      </c>
      <c r="DF48" s="826" t="str">
        <f>IF('Marks Entry'!AU48="","",IF(OR('Master Sheet'!$D$19="YES",'Marks Entry'!$BA$1=1),'Marks Entry'!AU48,""))</f>
        <v/>
      </c>
      <c r="DG48" s="826" t="str">
        <f>IF('Marks Entry'!AV48="","",IF(OR('Master Sheet'!$D$19="YES",'Marks Entry'!$BA$1=1),'Marks Entry'!AV48,""))</f>
        <v/>
      </c>
      <c r="DH48" s="827" t="str">
        <f t="shared" si="109"/>
        <v/>
      </c>
      <c r="DI48" s="826" t="str">
        <f>IF('Marks Entry'!AW48="","",IF(OR('Master Sheet'!$D$19="YES",'Marks Entry'!$BA$1=1),'Marks Entry'!AW48,""))</f>
        <v/>
      </c>
      <c r="DJ48" s="826" t="str">
        <f>IF('Marks Entry'!AX48="","",IF(OR('Master Sheet'!$D$19="YES",'Marks Entry'!$BA$1=1),'Marks Entry'!AX48,""))</f>
        <v/>
      </c>
      <c r="DK48" s="827" t="str">
        <f t="shared" si="110"/>
        <v/>
      </c>
      <c r="DL48" s="827" t="str">
        <f t="shared" si="111"/>
        <v/>
      </c>
      <c r="DM48" s="826" t="str">
        <f>IF('Marks Entry'!AY48="","",IF(OR('Master Sheet'!$D$19="YES",'Marks Entry'!$BA$1=1),'Marks Entry'!AY48,""))</f>
        <v/>
      </c>
      <c r="DN48" s="826" t="str">
        <f>IF('Marks Entry'!AZ48="","",IF(OR('Master Sheet'!$D$19="YES",'Marks Entry'!$BA$1=1),'Marks Entry'!AZ48,""))</f>
        <v/>
      </c>
      <c r="DO48" s="826" t="str">
        <f>IF('Marks Entry'!BA48="","",IF(OR('Master Sheet'!$D$19="YES",'Marks Entry'!$BA$1=1),'Marks Entry'!BA48,""))</f>
        <v/>
      </c>
      <c r="DP48" s="827" t="str">
        <f t="shared" si="112"/>
        <v/>
      </c>
      <c r="DQ48" s="157" t="str">
        <f t="shared" si="113"/>
        <v/>
      </c>
      <c r="DR48" s="157" t="str">
        <f t="shared" si="114"/>
        <v/>
      </c>
      <c r="DS48" s="157" t="str">
        <f t="shared" si="115"/>
        <v/>
      </c>
      <c r="DT48" s="192" t="str">
        <f t="shared" si="116"/>
        <v/>
      </c>
      <c r="DU48" s="153">
        <f t="shared" si="117"/>
        <v>0</v>
      </c>
      <c r="DV48" s="154" t="e">
        <f t="shared" si="118"/>
        <v>#VALUE!</v>
      </c>
      <c r="DW48" s="154" t="str">
        <f t="shared" si="119"/>
        <v/>
      </c>
      <c r="DX48" s="154" t="str">
        <f>IF(OR($B48="NSO",$B48=0,DS48=""),"",IF(AND(DJ48="",DO48=""),"",IF('Master Sheet'!$D$19="YES",$DO$6-COUNTIF(DO48,"ML")*DO$6,DS$6-(COUNTIF(DJ48,"ML")*DJ$6)-(COUNTIF(DO48,"ML")*DO$6))))</f>
        <v/>
      </c>
      <c r="DY48" s="154" t="str">
        <f>IF(OR($B48="NSO",$B48=0),"",IF(AND(DH48="",DI48="",DM48=""),"",IF(AND('Master Sheet'!$D$19="YES",'Marks Entry'!$BA$1=1),100,IF(AND(DJ48="",DO48=""),SUM(($DQ$7+$DR$7)-(DU48+DV48)),SUM(($DQ$6+$DR$6)-(DU48+DV48))))))</f>
        <v/>
      </c>
      <c r="DZ48" s="153" t="str">
        <f t="shared" si="120"/>
        <v/>
      </c>
      <c r="EA48" s="154" t="str">
        <f t="shared" si="121"/>
        <v/>
      </c>
      <c r="EB48" s="153" t="str">
        <f t="shared" si="122"/>
        <v/>
      </c>
      <c r="EC48" s="584" t="str">
        <f>IF('Marks Entry'!BB48="","",'Marks Entry'!BB48)</f>
        <v/>
      </c>
      <c r="ED48" s="584" t="str">
        <f>IF('Marks Entry'!BC48="","",'Marks Entry'!BC48)</f>
        <v/>
      </c>
      <c r="EE48" s="584" t="str">
        <f>IF('Marks Entry'!BD48="","",'Marks Entry'!BD48)</f>
        <v/>
      </c>
      <c r="EF48" s="590" t="str">
        <f t="shared" si="123"/>
        <v/>
      </c>
      <c r="EG48" s="595">
        <f t="shared" si="124"/>
        <v>0</v>
      </c>
      <c r="EH48" s="595">
        <f t="shared" si="125"/>
        <v>0</v>
      </c>
      <c r="EI48" s="193" t="str">
        <f t="shared" si="126"/>
        <v/>
      </c>
      <c r="EJ48" s="595" t="str">
        <f t="shared" si="127"/>
        <v/>
      </c>
      <c r="EK48" s="595" t="str">
        <f t="shared" si="128"/>
        <v/>
      </c>
      <c r="EL48" s="194" t="str">
        <f t="shared" si="129"/>
        <v/>
      </c>
      <c r="EM48" s="194" t="str">
        <f t="shared" si="130"/>
        <v/>
      </c>
      <c r="EN48" s="194" t="str">
        <f t="shared" si="131"/>
        <v/>
      </c>
      <c r="EO48" s="194" t="str">
        <f t="shared" si="132"/>
        <v/>
      </c>
      <c r="EP48" s="194" t="str">
        <f t="shared" si="133"/>
        <v/>
      </c>
      <c r="EQ48" s="194" t="str">
        <f t="shared" si="134"/>
        <v/>
      </c>
      <c r="ER48" s="195">
        <f t="shared" si="135"/>
        <v>0</v>
      </c>
      <c r="ES48" s="195">
        <f t="shared" si="136"/>
        <v>0</v>
      </c>
      <c r="ET48" s="195">
        <f t="shared" si="137"/>
        <v>0</v>
      </c>
      <c r="EU48" s="195">
        <f t="shared" si="138"/>
        <v>0</v>
      </c>
      <c r="EV48" s="195">
        <f t="shared" si="139"/>
        <v>0</v>
      </c>
      <c r="EW48" s="195" t="str">
        <f t="shared" si="140"/>
        <v/>
      </c>
      <c r="EX48" s="196" t="str">
        <f t="shared" si="141"/>
        <v/>
      </c>
      <c r="EY48" s="197" t="str">
        <f>IF('Marks Entry'!BE48="","",'Marks Entry'!BE48)</f>
        <v/>
      </c>
      <c r="EZ48" s="197" t="str">
        <f>IF('Marks Entry'!BF48="","",'Marks Entry'!BF48)</f>
        <v/>
      </c>
      <c r="FA48" s="197" t="str">
        <f>IF('Marks Entry'!BG48="","",'Marks Entry'!BG48)</f>
        <v/>
      </c>
      <c r="FB48" s="596" t="str">
        <f t="shared" si="142"/>
        <v/>
      </c>
      <c r="FC48" s="197" t="str">
        <f>IF('Marks Entry'!BH48="","",'Marks Entry'!BH48)</f>
        <v/>
      </c>
      <c r="FD48" s="197" t="str">
        <f>IF('Marks Entry'!BI48="","",'Marks Entry'!BI48)</f>
        <v/>
      </c>
      <c r="FE48" s="198" t="str">
        <f t="shared" si="143"/>
        <v/>
      </c>
      <c r="FF48" s="199" t="str">
        <f t="shared" si="144"/>
        <v/>
      </c>
      <c r="FG48" s="200" t="str">
        <f>IF(AND(E48=""),"",IF('Student DATA Entry'!L44="","",'Student DATA Entry'!L44))</f>
        <v/>
      </c>
      <c r="FH48" s="201" t="str">
        <f>IF(AND(E48=""),"",IF('Student DATA Entry'!M44="","",'Student DATA Entry'!M44))</f>
        <v/>
      </c>
      <c r="FI48" s="202" t="str">
        <f t="shared" si="145"/>
        <v/>
      </c>
      <c r="FJ48" s="189" t="str">
        <f t="shared" si="146"/>
        <v/>
      </c>
      <c r="FK48" s="189" t="str">
        <f t="shared" si="147"/>
        <v/>
      </c>
      <c r="FL48" s="203" t="str">
        <f t="shared" si="178"/>
        <v/>
      </c>
      <c r="FM48" s="189" t="str">
        <f t="shared" si="148"/>
        <v/>
      </c>
      <c r="FN48" s="204" t="str">
        <f t="shared" si="149"/>
        <v/>
      </c>
      <c r="FO48" s="203" t="str">
        <f t="shared" si="179"/>
        <v/>
      </c>
      <c r="FP48" s="205" t="str">
        <f t="shared" si="150"/>
        <v/>
      </c>
      <c r="FQ48" s="189" t="str">
        <f t="shared" si="180"/>
        <v/>
      </c>
      <c r="FR48" s="189" t="str">
        <f t="shared" si="181"/>
        <v/>
      </c>
      <c r="FS48" s="189" t="str">
        <f t="shared" si="182"/>
        <v/>
      </c>
      <c r="FT48" s="189" t="str">
        <f t="shared" si="183"/>
        <v/>
      </c>
      <c r="FU48" s="189" t="str">
        <f t="shared" si="151"/>
        <v/>
      </c>
      <c r="FV48" s="206" t="str">
        <f t="shared" si="184"/>
        <v/>
      </c>
      <c r="FW48" s="205" t="str">
        <f t="shared" si="152"/>
        <v/>
      </c>
      <c r="FX48" s="189" t="str">
        <f t="shared" si="185"/>
        <v/>
      </c>
      <c r="FY48" s="189" t="str">
        <f t="shared" si="186"/>
        <v/>
      </c>
      <c r="FZ48" s="189" t="str">
        <f t="shared" si="187"/>
        <v/>
      </c>
      <c r="GA48" s="189" t="str">
        <f t="shared" si="188"/>
        <v/>
      </c>
      <c r="GB48" s="189" t="str">
        <f t="shared" si="153"/>
        <v/>
      </c>
      <c r="GC48" s="206" t="str">
        <f t="shared" si="189"/>
        <v/>
      </c>
      <c r="GD48" s="205" t="str">
        <f t="shared" si="154"/>
        <v/>
      </c>
      <c r="GE48" s="189" t="str">
        <f t="shared" si="190"/>
        <v/>
      </c>
      <c r="GF48" s="189" t="str">
        <f t="shared" si="191"/>
        <v/>
      </c>
      <c r="GG48" s="189" t="str">
        <f t="shared" si="192"/>
        <v/>
      </c>
      <c r="GH48" s="189" t="str">
        <f t="shared" si="193"/>
        <v/>
      </c>
      <c r="GI48" s="189" t="str">
        <f t="shared" si="155"/>
        <v/>
      </c>
      <c r="GJ48" s="206" t="str">
        <f t="shared" si="194"/>
        <v/>
      </c>
      <c r="GK48" s="205" t="str">
        <f t="shared" si="156"/>
        <v/>
      </c>
      <c r="GL48" s="189" t="str">
        <f t="shared" si="195"/>
        <v/>
      </c>
      <c r="GM48" s="189" t="str">
        <f t="shared" si="196"/>
        <v/>
      </c>
      <c r="GN48" s="189" t="str">
        <f t="shared" si="197"/>
        <v/>
      </c>
      <c r="GO48" s="189" t="str">
        <f t="shared" si="198"/>
        <v/>
      </c>
      <c r="GP48" s="189" t="str">
        <f t="shared" si="157"/>
        <v/>
      </c>
      <c r="GQ48" s="206" t="str">
        <f t="shared" si="199"/>
        <v/>
      </c>
      <c r="GR48" s="189" t="str">
        <f t="shared" si="158"/>
        <v/>
      </c>
      <c r="GS48" s="189" t="str">
        <f t="shared" si="159"/>
        <v/>
      </c>
      <c r="GT48" s="207" t="str">
        <f t="shared" si="177"/>
        <v xml:space="preserve">    </v>
      </c>
      <c r="GU48" s="207" t="str">
        <f t="shared" si="160"/>
        <v xml:space="preserve">    </v>
      </c>
      <c r="GV48" s="207" t="str">
        <f t="shared" si="161"/>
        <v xml:space="preserve">    </v>
      </c>
      <c r="GW48" s="207" t="str">
        <f t="shared" si="162"/>
        <v xml:space="preserve">       </v>
      </c>
      <c r="GX48" s="598" t="str">
        <f t="shared" si="163"/>
        <v xml:space="preserve">     </v>
      </c>
      <c r="GY48" s="208" t="str">
        <f t="shared" si="200"/>
        <v/>
      </c>
      <c r="GZ48" s="606" t="str">
        <f>IF(AND(Q48="",AE48="",AZ48="",BW48="",CT48=""),"",IF(AND('Master Sheet'!$D$19="YES",'Marks Entry'!$BA$1=1),SUM(Q48,AE48,AZ48,BW48,DT48),SUM(Q48,AE48,AZ48,BW48,CT48)))</f>
        <v/>
      </c>
      <c r="HA48" s="209" t="str">
        <f>IF(GZ48="","",IF(AND('Master Sheet'!$D$19="YES",'Marks Entry'!$BA$1=1),GZ48/((900)-DC48)*100,GZ48/((1000)-DC48)*100))</f>
        <v/>
      </c>
      <c r="HB48" s="611" t="str">
        <f t="shared" si="165"/>
        <v/>
      </c>
      <c r="HC48" s="609" t="str">
        <f t="shared" si="166"/>
        <v/>
      </c>
      <c r="HD48" s="610" t="str">
        <f t="shared" si="167"/>
        <v/>
      </c>
      <c r="HE48" s="210" t="str">
        <f>IFERROR(IF(OR(GY48="SUPPLEMENTARY",GY48="RE-EXAM"),'Supp. Result Entry'!AS47,""),"")</f>
        <v/>
      </c>
      <c r="HF48" s="613" t="str">
        <f t="shared" si="168"/>
        <v/>
      </c>
      <c r="HG48" s="598" t="str">
        <f t="shared" si="169"/>
        <v/>
      </c>
      <c r="HH48" s="598" t="str">
        <f>IF(AND(HE48="",HF48="",HG48=""),"",IF(OR(GY48="SUPPLEMENTARY",GY48="RE-EXAM"),'Supp. Result Entry'!AS47,GY48))</f>
        <v/>
      </c>
      <c r="HI48" s="180"/>
      <c r="HJ48" s="214"/>
      <c r="HY48" s="212" t="str">
        <f>IF('Supp. Result Entry'!U47="","",'Supp. Result Entry'!$U$6)</f>
        <v/>
      </c>
      <c r="HZ48" s="213" t="str">
        <f>IF('Supp. Result Entry'!X47="","",'Supp. Result Entry'!$X$6)</f>
        <v/>
      </c>
      <c r="IA48" s="213" t="str">
        <f>IF('Supp. Result Entry'!AA47="","",'Supp. Result Entry'!$AA$6)</f>
        <v/>
      </c>
      <c r="IB48" s="213" t="str">
        <f>IF('Supp. Result Entry'!AD47="","",'Supp. Result Entry'!$AD$6)</f>
        <v/>
      </c>
      <c r="IC48" s="213" t="str">
        <f>IF('Supp. Result Entry'!AG47="","",'Supp. Result Entry'!$AG$6)</f>
        <v/>
      </c>
      <c r="ID48" s="213" t="str">
        <f>IF('Supp. Result Entry'!AJ47="","",'Supp. Result Entry'!$AJ$6)</f>
        <v/>
      </c>
      <c r="IE48" s="213" t="str">
        <f>IF('Supp. Result Entry'!V47="","",'Supp. Result Entry'!V47)</f>
        <v/>
      </c>
      <c r="IF48" s="213" t="str">
        <f>IF('Supp. Result Entry'!Y47="","",'Supp. Result Entry'!Y47)</f>
        <v/>
      </c>
      <c r="IG48" s="213" t="str">
        <f>IF('Supp. Result Entry'!AB47="","",'Supp. Result Entry'!AB47)</f>
        <v/>
      </c>
      <c r="IH48" s="213" t="str">
        <f>IF('Supp. Result Entry'!AE47="","",'Supp. Result Entry'!AE47)</f>
        <v/>
      </c>
      <c r="II48" s="213" t="str">
        <f>IF('Supp. Result Entry'!AH47="","",'Supp. Result Entry'!AH47)</f>
        <v/>
      </c>
      <c r="IJ48" s="213" t="str">
        <f>IF('Supp. Result Entry'!AK47="","",'Supp. Result Entry'!AK47)</f>
        <v/>
      </c>
      <c r="IK48" s="213" t="str">
        <f>IF('Supp. Result Entry'!W47="","",'Supp. Result Entry'!W47)</f>
        <v/>
      </c>
      <c r="IL48" s="213" t="str">
        <f>IF('Supp. Result Entry'!Z47="","",'Supp. Result Entry'!Z47)</f>
        <v/>
      </c>
      <c r="IM48" s="213" t="str">
        <f>IF('Supp. Result Entry'!AC47="","",'Supp. Result Entry'!AC47)</f>
        <v/>
      </c>
      <c r="IN48" s="213" t="str">
        <f>IF('Supp. Result Entry'!AF47="","",'Supp. Result Entry'!AF47)</f>
        <v/>
      </c>
      <c r="IO48" s="213" t="str">
        <f>IF('Supp. Result Entry'!AI47="","",'Supp. Result Entry'!AI47)</f>
        <v/>
      </c>
      <c r="IP48" s="213" t="str">
        <f>IF('Supp. Result Entry'!AL47="","",'Supp. Result Entry'!AL47)</f>
        <v/>
      </c>
      <c r="IQ48" s="213">
        <f>COUNTIF('Supp. Result Entry'!K47:Q47,"S")</f>
        <v>0</v>
      </c>
      <c r="IR48" s="213">
        <f t="shared" si="170"/>
        <v>0</v>
      </c>
      <c r="IS48" s="213">
        <f t="shared" si="171"/>
        <v>0</v>
      </c>
      <c r="IT48" s="213" t="str">
        <f t="shared" si="41"/>
        <v/>
      </c>
      <c r="IU48" s="213" t="str">
        <f t="shared" si="42"/>
        <v/>
      </c>
      <c r="IV48" s="213" t="str">
        <f t="shared" si="43"/>
        <v/>
      </c>
      <c r="IW48" s="213" t="str">
        <f t="shared" si="44"/>
        <v/>
      </c>
      <c r="IX48" s="213" t="str">
        <f t="shared" si="45"/>
        <v/>
      </c>
      <c r="IY48" s="213" t="str">
        <f t="shared" si="172"/>
        <v/>
      </c>
      <c r="IZ48" s="213" t="str">
        <f t="shared" si="173"/>
        <v/>
      </c>
      <c r="JA48" s="213" t="str">
        <f t="shared" si="46"/>
        <v/>
      </c>
      <c r="JB48" s="211" t="str">
        <f t="shared" si="174"/>
        <v/>
      </c>
    </row>
    <row r="49" spans="1:262" s="211" customFormat="1" ht="21" customHeight="1">
      <c r="A49" s="184">
        <v>42</v>
      </c>
      <c r="B49" s="185" t="str">
        <f>IF('Marks Entry'!B49="","",'Marks Entry'!B49)</f>
        <v/>
      </c>
      <c r="C49" s="186" t="str">
        <f>IF('Marks Entry'!D49="","",'Marks Entry'!D49)</f>
        <v/>
      </c>
      <c r="D49" s="187" t="str">
        <f>IF('Marks Entry'!E49="","",'Marks Entry'!E49)</f>
        <v/>
      </c>
      <c r="E49" s="188" t="str">
        <f>IF('Marks Entry'!F49="","",'Marks Entry'!F49)</f>
        <v/>
      </c>
      <c r="F49" s="188" t="str">
        <f>IF('Marks Entry'!G49="","",'Marks Entry'!G49)</f>
        <v/>
      </c>
      <c r="G49" s="188" t="str">
        <f>IF('Marks Entry'!H49="","",'Marks Entry'!H49)</f>
        <v/>
      </c>
      <c r="H49" s="189" t="str">
        <f>IF('Marks Entry'!I49="","",'Marks Entry'!I49)</f>
        <v/>
      </c>
      <c r="I49" s="190" t="str">
        <f>IF('Marks Entry'!J49="","",'Marks Entry'!J49)</f>
        <v/>
      </c>
      <c r="J49" s="545" t="str">
        <f>IF('Marks Entry'!K49="","",'Marks Entry'!K49)</f>
        <v/>
      </c>
      <c r="K49" s="545" t="str">
        <f>IF('Marks Entry'!L49="","",'Marks Entry'!L49)</f>
        <v/>
      </c>
      <c r="L49" s="545" t="str">
        <f>IF('Marks Entry'!M49="","",'Marks Entry'!M49)</f>
        <v/>
      </c>
      <c r="M49" s="546" t="str">
        <f t="shared" si="47"/>
        <v/>
      </c>
      <c r="N49" s="545" t="str">
        <f>IF('Marks Entry'!N49="","",'Marks Entry'!N49)</f>
        <v/>
      </c>
      <c r="O49" s="546" t="str">
        <f t="shared" si="48"/>
        <v/>
      </c>
      <c r="P49" s="545" t="str">
        <f>IF('Marks Entry'!O49="","",'Marks Entry'!O49)</f>
        <v/>
      </c>
      <c r="Q49" s="547" t="str">
        <f t="shared" si="49"/>
        <v/>
      </c>
      <c r="R49" s="153">
        <f t="shared" si="50"/>
        <v>0</v>
      </c>
      <c r="S49" s="153">
        <f t="shared" si="51"/>
        <v>0</v>
      </c>
      <c r="T49" s="154" t="str">
        <f t="shared" si="52"/>
        <v/>
      </c>
      <c r="U49" s="153" t="str">
        <f t="shared" si="53"/>
        <v/>
      </c>
      <c r="V49" s="153" t="str">
        <f t="shared" si="54"/>
        <v/>
      </c>
      <c r="W49" s="153" t="str">
        <f t="shared" si="55"/>
        <v/>
      </c>
      <c r="X49" s="545" t="str">
        <f>IF('Marks Entry'!P49="","",'Marks Entry'!P49)</f>
        <v/>
      </c>
      <c r="Y49" s="545" t="str">
        <f>IF('Marks Entry'!Q49="","",'Marks Entry'!Q49)</f>
        <v/>
      </c>
      <c r="Z49" s="545" t="str">
        <f>IF('Marks Entry'!R49="","",'Marks Entry'!R49)</f>
        <v/>
      </c>
      <c r="AA49" s="546" t="str">
        <f t="shared" si="56"/>
        <v/>
      </c>
      <c r="AB49" s="545" t="str">
        <f>IF('Marks Entry'!S49="","",'Marks Entry'!S49)</f>
        <v/>
      </c>
      <c r="AC49" s="546" t="str">
        <f t="shared" si="57"/>
        <v/>
      </c>
      <c r="AD49" s="545" t="str">
        <f>IF('Marks Entry'!T49="","",'Marks Entry'!T49)</f>
        <v/>
      </c>
      <c r="AE49" s="547" t="str">
        <f t="shared" si="58"/>
        <v/>
      </c>
      <c r="AF49" s="153">
        <f t="shared" si="59"/>
        <v>0</v>
      </c>
      <c r="AG49" s="153">
        <f t="shared" si="60"/>
        <v>0</v>
      </c>
      <c r="AH49" s="154" t="str">
        <f t="shared" si="61"/>
        <v/>
      </c>
      <c r="AI49" s="153" t="str">
        <f t="shared" si="62"/>
        <v/>
      </c>
      <c r="AJ49" s="153" t="str">
        <f t="shared" si="63"/>
        <v/>
      </c>
      <c r="AK49" s="153" t="str">
        <f t="shared" si="64"/>
        <v/>
      </c>
      <c r="AL49" s="573" t="str">
        <f>IF('Marks Entry'!U49="","",'Marks Entry'!U49)</f>
        <v/>
      </c>
      <c r="AM49" s="573" t="str">
        <f>IF('Marks Entry'!V49="","",'Marks Entry'!V49)</f>
        <v/>
      </c>
      <c r="AN49" s="573" t="str">
        <f>IF('Marks Entry'!W49="","",'Marks Entry'!W49)</f>
        <v/>
      </c>
      <c r="AO49" s="573" t="str">
        <f>IF('Marks Entry'!X49="","",'Marks Entry'!X49)</f>
        <v/>
      </c>
      <c r="AP49" s="572" t="str">
        <f t="shared" si="65"/>
        <v/>
      </c>
      <c r="AQ49" s="573" t="str">
        <f>IF('Marks Entry'!Y49="","",'Marks Entry'!Y49)</f>
        <v/>
      </c>
      <c r="AR49" s="573" t="str">
        <f>IF('Marks Entry'!Z49="","",'Marks Entry'!Z49)</f>
        <v/>
      </c>
      <c r="AS49" s="572" t="str">
        <f t="shared" si="66"/>
        <v/>
      </c>
      <c r="AT49" s="572" t="str">
        <f t="shared" si="67"/>
        <v/>
      </c>
      <c r="AU49" s="573" t="str">
        <f>IF('Marks Entry'!AA49="","",'Marks Entry'!AA49)</f>
        <v/>
      </c>
      <c r="AV49" s="573" t="str">
        <f>IF('Marks Entry'!AB49="","",'Marks Entry'!AB49)</f>
        <v/>
      </c>
      <c r="AW49" s="572" t="str">
        <f t="shared" si="68"/>
        <v/>
      </c>
      <c r="AX49" s="157" t="str">
        <f t="shared" si="69"/>
        <v/>
      </c>
      <c r="AY49" s="157" t="str">
        <f t="shared" si="70"/>
        <v/>
      </c>
      <c r="AZ49" s="192" t="str">
        <f t="shared" si="71"/>
        <v/>
      </c>
      <c r="BA49" s="153">
        <f t="shared" si="72"/>
        <v>0</v>
      </c>
      <c r="BB49" s="154">
        <f t="shared" si="73"/>
        <v>0</v>
      </c>
      <c r="BC49" s="154" t="str">
        <f t="shared" si="74"/>
        <v/>
      </c>
      <c r="BD49" s="154" t="str">
        <f t="shared" si="75"/>
        <v/>
      </c>
      <c r="BE49" s="154" t="str">
        <f t="shared" si="76"/>
        <v/>
      </c>
      <c r="BF49" s="153" t="str">
        <f t="shared" si="77"/>
        <v/>
      </c>
      <c r="BG49" s="154" t="str">
        <f t="shared" si="175"/>
        <v/>
      </c>
      <c r="BH49" s="153" t="str">
        <f t="shared" si="78"/>
        <v/>
      </c>
      <c r="BI49" s="580" t="str">
        <f>IF('Marks Entry'!AC49="","",'Marks Entry'!AC49)</f>
        <v/>
      </c>
      <c r="BJ49" s="580" t="str">
        <f>IF('Marks Entry'!AD49="","",'Marks Entry'!AD49)</f>
        <v/>
      </c>
      <c r="BK49" s="580" t="str">
        <f>IF('Marks Entry'!AE49="","",'Marks Entry'!AE49)</f>
        <v/>
      </c>
      <c r="BL49" s="580" t="str">
        <f>IF('Marks Entry'!AF49="","",'Marks Entry'!AF49)</f>
        <v/>
      </c>
      <c r="BM49" s="581" t="str">
        <f t="shared" si="79"/>
        <v/>
      </c>
      <c r="BN49" s="580" t="str">
        <f>IF('Marks Entry'!AG49="","",'Marks Entry'!AG49)</f>
        <v/>
      </c>
      <c r="BO49" s="580" t="str">
        <f>IF('Marks Entry'!AH49="","",'Marks Entry'!AH49)</f>
        <v/>
      </c>
      <c r="BP49" s="581" t="str">
        <f t="shared" si="80"/>
        <v/>
      </c>
      <c r="BQ49" s="581" t="str">
        <f t="shared" si="81"/>
        <v/>
      </c>
      <c r="BR49" s="580" t="str">
        <f>IF('Marks Entry'!AI49="","",'Marks Entry'!AI49)</f>
        <v/>
      </c>
      <c r="BS49" s="580" t="str">
        <f>IF('Marks Entry'!AJ49="","",'Marks Entry'!AJ49)</f>
        <v/>
      </c>
      <c r="BT49" s="581" t="str">
        <f t="shared" si="82"/>
        <v/>
      </c>
      <c r="BU49" s="157" t="str">
        <f t="shared" si="83"/>
        <v/>
      </c>
      <c r="BV49" s="157" t="str">
        <f t="shared" si="84"/>
        <v/>
      </c>
      <c r="BW49" s="192" t="str">
        <f t="shared" si="85"/>
        <v/>
      </c>
      <c r="BX49" s="153">
        <f t="shared" si="86"/>
        <v>0</v>
      </c>
      <c r="BY49" s="154">
        <f t="shared" si="87"/>
        <v>0</v>
      </c>
      <c r="BZ49" s="154" t="str">
        <f t="shared" si="88"/>
        <v/>
      </c>
      <c r="CA49" s="154" t="str">
        <f t="shared" si="89"/>
        <v/>
      </c>
      <c r="CB49" s="154" t="str">
        <f t="shared" si="90"/>
        <v/>
      </c>
      <c r="CC49" s="153" t="str">
        <f t="shared" si="91"/>
        <v/>
      </c>
      <c r="CD49" s="154" t="str">
        <f t="shared" si="92"/>
        <v/>
      </c>
      <c r="CE49" s="153" t="str">
        <f t="shared" si="93"/>
        <v/>
      </c>
      <c r="CF49" s="580" t="str">
        <f>IF('Marks Entry'!AK49="","",'Marks Entry'!AK49)</f>
        <v/>
      </c>
      <c r="CG49" s="580" t="str">
        <f>IF('Marks Entry'!AL49="","",'Marks Entry'!AL49)</f>
        <v/>
      </c>
      <c r="CH49" s="580" t="str">
        <f>IF('Marks Entry'!AM49="","",'Marks Entry'!AM49)</f>
        <v/>
      </c>
      <c r="CI49" s="580" t="str">
        <f>IF('Marks Entry'!AN49="","",'Marks Entry'!AN49)</f>
        <v/>
      </c>
      <c r="CJ49" s="581" t="str">
        <f t="shared" si="94"/>
        <v/>
      </c>
      <c r="CK49" s="580" t="str">
        <f>IF('Marks Entry'!AO49="","",'Marks Entry'!AO49)</f>
        <v/>
      </c>
      <c r="CL49" s="580" t="str">
        <f>IF('Marks Entry'!AP49="","",'Marks Entry'!AP49)</f>
        <v/>
      </c>
      <c r="CM49" s="581" t="str">
        <f t="shared" si="95"/>
        <v/>
      </c>
      <c r="CN49" s="581" t="str">
        <f t="shared" si="96"/>
        <v/>
      </c>
      <c r="CO49" s="580" t="str">
        <f>IF('Marks Entry'!AQ49="","",'Marks Entry'!AQ49)</f>
        <v/>
      </c>
      <c r="CP49" s="580" t="str">
        <f>IF('Marks Entry'!AR49="","",'Marks Entry'!AR49)</f>
        <v/>
      </c>
      <c r="CQ49" s="581" t="str">
        <f t="shared" si="97"/>
        <v/>
      </c>
      <c r="CR49" s="157" t="str">
        <f t="shared" si="98"/>
        <v/>
      </c>
      <c r="CS49" s="157" t="str">
        <f t="shared" si="99"/>
        <v/>
      </c>
      <c r="CT49" s="192" t="str">
        <f t="shared" si="100"/>
        <v/>
      </c>
      <c r="CU49" s="153">
        <f t="shared" si="101"/>
        <v>0</v>
      </c>
      <c r="CV49" s="154">
        <f t="shared" si="102"/>
        <v>0</v>
      </c>
      <c r="CW49" s="154" t="str">
        <f t="shared" si="103"/>
        <v/>
      </c>
      <c r="CX49" s="154" t="str">
        <f t="shared" si="104"/>
        <v/>
      </c>
      <c r="CY49" s="154" t="str">
        <f t="shared" si="176"/>
        <v/>
      </c>
      <c r="CZ49" s="153" t="str">
        <f t="shared" si="105"/>
        <v/>
      </c>
      <c r="DA49" s="154" t="str">
        <f t="shared" si="106"/>
        <v/>
      </c>
      <c r="DB49" s="153" t="str">
        <f t="shared" si="107"/>
        <v/>
      </c>
      <c r="DC49" s="154">
        <f t="shared" si="108"/>
        <v>0</v>
      </c>
      <c r="DD49" s="826" t="str">
        <f>IF('Marks Entry'!AS49="","",IF(OR('Master Sheet'!$D$19="YES",'Marks Entry'!$BA$1=1),'Marks Entry'!AS49,""))</f>
        <v/>
      </c>
      <c r="DE49" s="826" t="str">
        <f>IF('Marks Entry'!AT49="","",IF(OR('Master Sheet'!$D$19="YES",'Marks Entry'!$BA$1=1),'Marks Entry'!AT49,""))</f>
        <v/>
      </c>
      <c r="DF49" s="826" t="str">
        <f>IF('Marks Entry'!AU49="","",IF(OR('Master Sheet'!$D$19="YES",'Marks Entry'!$BA$1=1),'Marks Entry'!AU49,""))</f>
        <v/>
      </c>
      <c r="DG49" s="826" t="str">
        <f>IF('Marks Entry'!AV49="","",IF(OR('Master Sheet'!$D$19="YES",'Marks Entry'!$BA$1=1),'Marks Entry'!AV49,""))</f>
        <v/>
      </c>
      <c r="DH49" s="827" t="str">
        <f t="shared" si="109"/>
        <v/>
      </c>
      <c r="DI49" s="826" t="str">
        <f>IF('Marks Entry'!AW49="","",IF(OR('Master Sheet'!$D$19="YES",'Marks Entry'!$BA$1=1),'Marks Entry'!AW49,""))</f>
        <v/>
      </c>
      <c r="DJ49" s="826" t="str">
        <f>IF('Marks Entry'!AX49="","",IF(OR('Master Sheet'!$D$19="YES",'Marks Entry'!$BA$1=1),'Marks Entry'!AX49,""))</f>
        <v/>
      </c>
      <c r="DK49" s="827" t="str">
        <f t="shared" si="110"/>
        <v/>
      </c>
      <c r="DL49" s="827" t="str">
        <f t="shared" si="111"/>
        <v/>
      </c>
      <c r="DM49" s="826" t="str">
        <f>IF('Marks Entry'!AY49="","",IF(OR('Master Sheet'!$D$19="YES",'Marks Entry'!$BA$1=1),'Marks Entry'!AY49,""))</f>
        <v/>
      </c>
      <c r="DN49" s="826" t="str">
        <f>IF('Marks Entry'!AZ49="","",IF(OR('Master Sheet'!$D$19="YES",'Marks Entry'!$BA$1=1),'Marks Entry'!AZ49,""))</f>
        <v/>
      </c>
      <c r="DO49" s="826" t="str">
        <f>IF('Marks Entry'!BA49="","",IF(OR('Master Sheet'!$D$19="YES",'Marks Entry'!$BA$1=1),'Marks Entry'!BA49,""))</f>
        <v/>
      </c>
      <c r="DP49" s="827" t="str">
        <f t="shared" si="112"/>
        <v/>
      </c>
      <c r="DQ49" s="157" t="str">
        <f t="shared" si="113"/>
        <v/>
      </c>
      <c r="DR49" s="157" t="str">
        <f t="shared" si="114"/>
        <v/>
      </c>
      <c r="DS49" s="157" t="str">
        <f t="shared" si="115"/>
        <v/>
      </c>
      <c r="DT49" s="192" t="str">
        <f t="shared" si="116"/>
        <v/>
      </c>
      <c r="DU49" s="153">
        <f t="shared" si="117"/>
        <v>0</v>
      </c>
      <c r="DV49" s="154" t="e">
        <f t="shared" si="118"/>
        <v>#VALUE!</v>
      </c>
      <c r="DW49" s="154" t="str">
        <f t="shared" si="119"/>
        <v/>
      </c>
      <c r="DX49" s="154" t="str">
        <f>IF(OR($B49="NSO",$B49=0,DS49=""),"",IF(AND(DJ49="",DO49=""),"",IF('Master Sheet'!$D$19="YES",$DO$6-COUNTIF(DO49,"ML")*DO$6,DS$6-(COUNTIF(DJ49,"ML")*DJ$6)-(COUNTIF(DO49,"ML")*DO$6))))</f>
        <v/>
      </c>
      <c r="DY49" s="154" t="str">
        <f>IF(OR($B49="NSO",$B49=0),"",IF(AND(DH49="",DI49="",DM49=""),"",IF(AND('Master Sheet'!$D$19="YES",'Marks Entry'!$BA$1=1),100,IF(AND(DJ49="",DO49=""),SUM(($DQ$7+$DR$7)-(DU49+DV49)),SUM(($DQ$6+$DR$6)-(DU49+DV49))))))</f>
        <v/>
      </c>
      <c r="DZ49" s="153" t="str">
        <f t="shared" si="120"/>
        <v/>
      </c>
      <c r="EA49" s="154" t="str">
        <f t="shared" si="121"/>
        <v/>
      </c>
      <c r="EB49" s="153" t="str">
        <f t="shared" si="122"/>
        <v/>
      </c>
      <c r="EC49" s="584" t="str">
        <f>IF('Marks Entry'!BB49="","",'Marks Entry'!BB49)</f>
        <v/>
      </c>
      <c r="ED49" s="584" t="str">
        <f>IF('Marks Entry'!BC49="","",'Marks Entry'!BC49)</f>
        <v/>
      </c>
      <c r="EE49" s="584" t="str">
        <f>IF('Marks Entry'!BD49="","",'Marks Entry'!BD49)</f>
        <v/>
      </c>
      <c r="EF49" s="590" t="str">
        <f t="shared" si="123"/>
        <v/>
      </c>
      <c r="EG49" s="595">
        <f t="shared" si="124"/>
        <v>0</v>
      </c>
      <c r="EH49" s="595">
        <f t="shared" si="125"/>
        <v>0</v>
      </c>
      <c r="EI49" s="193" t="str">
        <f t="shared" si="126"/>
        <v/>
      </c>
      <c r="EJ49" s="595" t="str">
        <f t="shared" si="127"/>
        <v/>
      </c>
      <c r="EK49" s="595" t="str">
        <f t="shared" si="128"/>
        <v/>
      </c>
      <c r="EL49" s="194" t="str">
        <f t="shared" si="129"/>
        <v/>
      </c>
      <c r="EM49" s="194" t="str">
        <f t="shared" si="130"/>
        <v/>
      </c>
      <c r="EN49" s="194" t="str">
        <f t="shared" si="131"/>
        <v/>
      </c>
      <c r="EO49" s="194" t="str">
        <f t="shared" si="132"/>
        <v/>
      </c>
      <c r="EP49" s="194" t="str">
        <f t="shared" si="133"/>
        <v/>
      </c>
      <c r="EQ49" s="194" t="str">
        <f t="shared" si="134"/>
        <v/>
      </c>
      <c r="ER49" s="195">
        <f t="shared" si="135"/>
        <v>0</v>
      </c>
      <c r="ES49" s="195">
        <f t="shared" si="136"/>
        <v>0</v>
      </c>
      <c r="ET49" s="195">
        <f t="shared" si="137"/>
        <v>0</v>
      </c>
      <c r="EU49" s="195">
        <f t="shared" si="138"/>
        <v>0</v>
      </c>
      <c r="EV49" s="195">
        <f t="shared" si="139"/>
        <v>0</v>
      </c>
      <c r="EW49" s="195" t="str">
        <f t="shared" si="140"/>
        <v/>
      </c>
      <c r="EX49" s="196" t="str">
        <f t="shared" si="141"/>
        <v/>
      </c>
      <c r="EY49" s="197" t="str">
        <f>IF('Marks Entry'!BE49="","",'Marks Entry'!BE49)</f>
        <v/>
      </c>
      <c r="EZ49" s="197" t="str">
        <f>IF('Marks Entry'!BF49="","",'Marks Entry'!BF49)</f>
        <v/>
      </c>
      <c r="FA49" s="197" t="str">
        <f>IF('Marks Entry'!BG49="","",'Marks Entry'!BG49)</f>
        <v/>
      </c>
      <c r="FB49" s="596" t="str">
        <f t="shared" si="142"/>
        <v/>
      </c>
      <c r="FC49" s="197" t="str">
        <f>IF('Marks Entry'!BH49="","",'Marks Entry'!BH49)</f>
        <v/>
      </c>
      <c r="FD49" s="197" t="str">
        <f>IF('Marks Entry'!BI49="","",'Marks Entry'!BI49)</f>
        <v/>
      </c>
      <c r="FE49" s="198" t="str">
        <f t="shared" si="143"/>
        <v/>
      </c>
      <c r="FF49" s="199" t="str">
        <f t="shared" si="144"/>
        <v/>
      </c>
      <c r="FG49" s="200" t="str">
        <f>IF(AND(E49=""),"",IF('Student DATA Entry'!L45="","",'Student DATA Entry'!L45))</f>
        <v/>
      </c>
      <c r="FH49" s="201" t="str">
        <f>IF(AND(E49=""),"",IF('Student DATA Entry'!M45="","",'Student DATA Entry'!M45))</f>
        <v/>
      </c>
      <c r="FI49" s="202" t="str">
        <f t="shared" si="145"/>
        <v/>
      </c>
      <c r="FJ49" s="189" t="str">
        <f t="shared" si="146"/>
        <v/>
      </c>
      <c r="FK49" s="189" t="str">
        <f t="shared" si="147"/>
        <v/>
      </c>
      <c r="FL49" s="203" t="str">
        <f t="shared" si="178"/>
        <v/>
      </c>
      <c r="FM49" s="189" t="str">
        <f t="shared" si="148"/>
        <v/>
      </c>
      <c r="FN49" s="204" t="str">
        <f t="shared" si="149"/>
        <v/>
      </c>
      <c r="FO49" s="203" t="str">
        <f t="shared" si="179"/>
        <v/>
      </c>
      <c r="FP49" s="205" t="str">
        <f t="shared" si="150"/>
        <v/>
      </c>
      <c r="FQ49" s="189" t="str">
        <f t="shared" si="180"/>
        <v/>
      </c>
      <c r="FR49" s="189" t="str">
        <f t="shared" si="181"/>
        <v/>
      </c>
      <c r="FS49" s="189" t="str">
        <f t="shared" si="182"/>
        <v/>
      </c>
      <c r="FT49" s="189" t="str">
        <f t="shared" si="183"/>
        <v/>
      </c>
      <c r="FU49" s="189" t="str">
        <f t="shared" si="151"/>
        <v/>
      </c>
      <c r="FV49" s="206" t="str">
        <f t="shared" si="184"/>
        <v/>
      </c>
      <c r="FW49" s="205" t="str">
        <f t="shared" si="152"/>
        <v/>
      </c>
      <c r="FX49" s="189" t="str">
        <f t="shared" si="185"/>
        <v/>
      </c>
      <c r="FY49" s="189" t="str">
        <f t="shared" si="186"/>
        <v/>
      </c>
      <c r="FZ49" s="189" t="str">
        <f t="shared" si="187"/>
        <v/>
      </c>
      <c r="GA49" s="189" t="str">
        <f t="shared" si="188"/>
        <v/>
      </c>
      <c r="GB49" s="189" t="str">
        <f t="shared" si="153"/>
        <v/>
      </c>
      <c r="GC49" s="206" t="str">
        <f t="shared" si="189"/>
        <v/>
      </c>
      <c r="GD49" s="205" t="str">
        <f t="shared" si="154"/>
        <v/>
      </c>
      <c r="GE49" s="189" t="str">
        <f t="shared" si="190"/>
        <v/>
      </c>
      <c r="GF49" s="189" t="str">
        <f t="shared" si="191"/>
        <v/>
      </c>
      <c r="GG49" s="189" t="str">
        <f t="shared" si="192"/>
        <v/>
      </c>
      <c r="GH49" s="189" t="str">
        <f t="shared" si="193"/>
        <v/>
      </c>
      <c r="GI49" s="189" t="str">
        <f t="shared" si="155"/>
        <v/>
      </c>
      <c r="GJ49" s="206" t="str">
        <f t="shared" si="194"/>
        <v/>
      </c>
      <c r="GK49" s="205" t="str">
        <f t="shared" si="156"/>
        <v/>
      </c>
      <c r="GL49" s="189" t="str">
        <f t="shared" si="195"/>
        <v/>
      </c>
      <c r="GM49" s="189" t="str">
        <f t="shared" si="196"/>
        <v/>
      </c>
      <c r="GN49" s="189" t="str">
        <f t="shared" si="197"/>
        <v/>
      </c>
      <c r="GO49" s="189" t="str">
        <f t="shared" si="198"/>
        <v/>
      </c>
      <c r="GP49" s="189" t="str">
        <f t="shared" si="157"/>
        <v/>
      </c>
      <c r="GQ49" s="206" t="str">
        <f t="shared" si="199"/>
        <v/>
      </c>
      <c r="GR49" s="189" t="str">
        <f t="shared" si="158"/>
        <v/>
      </c>
      <c r="GS49" s="189" t="str">
        <f t="shared" si="159"/>
        <v/>
      </c>
      <c r="GT49" s="207" t="str">
        <f t="shared" si="177"/>
        <v xml:space="preserve">    </v>
      </c>
      <c r="GU49" s="207" t="str">
        <f t="shared" si="160"/>
        <v xml:space="preserve">    </v>
      </c>
      <c r="GV49" s="207" t="str">
        <f t="shared" si="161"/>
        <v xml:space="preserve">    </v>
      </c>
      <c r="GW49" s="207" t="str">
        <f t="shared" si="162"/>
        <v xml:space="preserve">       </v>
      </c>
      <c r="GX49" s="598" t="str">
        <f t="shared" si="163"/>
        <v xml:space="preserve">     </v>
      </c>
      <c r="GY49" s="208" t="str">
        <f t="shared" si="200"/>
        <v/>
      </c>
      <c r="GZ49" s="606" t="str">
        <f>IF(AND(Q49="",AE49="",AZ49="",BW49="",CT49=""),"",IF(AND('Master Sheet'!$D$19="YES",'Marks Entry'!$BA$1=1),SUM(Q49,AE49,AZ49,BW49,DT49),SUM(Q49,AE49,AZ49,BW49,CT49)))</f>
        <v/>
      </c>
      <c r="HA49" s="209" t="str">
        <f>IF(GZ49="","",IF(AND('Master Sheet'!$D$19="YES",'Marks Entry'!$BA$1=1),GZ49/((900)-DC49)*100,GZ49/((1000)-DC49)*100))</f>
        <v/>
      </c>
      <c r="HB49" s="611" t="str">
        <f t="shared" si="165"/>
        <v/>
      </c>
      <c r="HC49" s="609" t="str">
        <f t="shared" si="166"/>
        <v/>
      </c>
      <c r="HD49" s="610" t="str">
        <f t="shared" si="167"/>
        <v/>
      </c>
      <c r="HE49" s="210" t="str">
        <f>IFERROR(IF(OR(GY49="SUPPLEMENTARY",GY49="RE-EXAM"),'Supp. Result Entry'!AS48,""),"")</f>
        <v/>
      </c>
      <c r="HF49" s="613" t="str">
        <f t="shared" si="168"/>
        <v/>
      </c>
      <c r="HG49" s="598" t="str">
        <f t="shared" si="169"/>
        <v/>
      </c>
      <c r="HH49" s="598" t="str">
        <f>IF(AND(HE49="",HF49="",HG49=""),"",IF(OR(GY49="SUPPLEMENTARY",GY49="RE-EXAM"),'Supp. Result Entry'!AS48,GY49))</f>
        <v/>
      </c>
      <c r="HI49" s="180"/>
      <c r="HJ49" s="214"/>
      <c r="HY49" s="212" t="str">
        <f>IF('Supp. Result Entry'!U48="","",'Supp. Result Entry'!$U$6)</f>
        <v/>
      </c>
      <c r="HZ49" s="213" t="str">
        <f>IF('Supp. Result Entry'!X48="","",'Supp. Result Entry'!$X$6)</f>
        <v/>
      </c>
      <c r="IA49" s="213" t="str">
        <f>IF('Supp. Result Entry'!AA48="","",'Supp. Result Entry'!$AA$6)</f>
        <v/>
      </c>
      <c r="IB49" s="213" t="str">
        <f>IF('Supp. Result Entry'!AD48="","",'Supp. Result Entry'!$AD$6)</f>
        <v/>
      </c>
      <c r="IC49" s="213" t="str">
        <f>IF('Supp. Result Entry'!AG48="","",'Supp. Result Entry'!$AG$6)</f>
        <v/>
      </c>
      <c r="ID49" s="213" t="str">
        <f>IF('Supp. Result Entry'!AJ48="","",'Supp. Result Entry'!$AJ$6)</f>
        <v/>
      </c>
      <c r="IE49" s="213" t="str">
        <f>IF('Supp. Result Entry'!V48="","",'Supp. Result Entry'!V48)</f>
        <v/>
      </c>
      <c r="IF49" s="213" t="str">
        <f>IF('Supp. Result Entry'!Y48="","",'Supp. Result Entry'!Y48)</f>
        <v/>
      </c>
      <c r="IG49" s="213" t="str">
        <f>IF('Supp. Result Entry'!AB48="","",'Supp. Result Entry'!AB48)</f>
        <v/>
      </c>
      <c r="IH49" s="213" t="str">
        <f>IF('Supp. Result Entry'!AE48="","",'Supp. Result Entry'!AE48)</f>
        <v/>
      </c>
      <c r="II49" s="213" t="str">
        <f>IF('Supp. Result Entry'!AH48="","",'Supp. Result Entry'!AH48)</f>
        <v/>
      </c>
      <c r="IJ49" s="213" t="str">
        <f>IF('Supp. Result Entry'!AK48="","",'Supp. Result Entry'!AK48)</f>
        <v/>
      </c>
      <c r="IK49" s="213" t="str">
        <f>IF('Supp. Result Entry'!W48="","",'Supp. Result Entry'!W48)</f>
        <v/>
      </c>
      <c r="IL49" s="213" t="str">
        <f>IF('Supp. Result Entry'!Z48="","",'Supp. Result Entry'!Z48)</f>
        <v/>
      </c>
      <c r="IM49" s="213" t="str">
        <f>IF('Supp. Result Entry'!AC48="","",'Supp. Result Entry'!AC48)</f>
        <v/>
      </c>
      <c r="IN49" s="213" t="str">
        <f>IF('Supp. Result Entry'!AF48="","",'Supp. Result Entry'!AF48)</f>
        <v/>
      </c>
      <c r="IO49" s="213" t="str">
        <f>IF('Supp. Result Entry'!AI48="","",'Supp. Result Entry'!AI48)</f>
        <v/>
      </c>
      <c r="IP49" s="213" t="str">
        <f>IF('Supp. Result Entry'!AL48="","",'Supp. Result Entry'!AL48)</f>
        <v/>
      </c>
      <c r="IQ49" s="213">
        <f>COUNTIF('Supp. Result Entry'!K48:Q48,"S")</f>
        <v>0</v>
      </c>
      <c r="IR49" s="213">
        <f t="shared" si="170"/>
        <v>0</v>
      </c>
      <c r="IS49" s="213">
        <f t="shared" si="171"/>
        <v>0</v>
      </c>
      <c r="IT49" s="213" t="str">
        <f t="shared" si="41"/>
        <v/>
      </c>
      <c r="IU49" s="213" t="str">
        <f t="shared" si="42"/>
        <v/>
      </c>
      <c r="IV49" s="213" t="str">
        <f t="shared" si="43"/>
        <v/>
      </c>
      <c r="IW49" s="213" t="str">
        <f t="shared" si="44"/>
        <v/>
      </c>
      <c r="IX49" s="213" t="str">
        <f t="shared" si="45"/>
        <v/>
      </c>
      <c r="IY49" s="213" t="str">
        <f t="shared" si="172"/>
        <v/>
      </c>
      <c r="IZ49" s="213" t="str">
        <f t="shared" si="173"/>
        <v/>
      </c>
      <c r="JA49" s="213" t="str">
        <f t="shared" si="46"/>
        <v/>
      </c>
      <c r="JB49" s="211" t="str">
        <f t="shared" si="174"/>
        <v/>
      </c>
    </row>
    <row r="50" spans="1:262" s="211" customFormat="1" ht="21" customHeight="1">
      <c r="A50" s="184">
        <v>43</v>
      </c>
      <c r="B50" s="185" t="str">
        <f>IF('Marks Entry'!B50="","",'Marks Entry'!B50)</f>
        <v/>
      </c>
      <c r="C50" s="186" t="str">
        <f>IF('Marks Entry'!D50="","",'Marks Entry'!D50)</f>
        <v/>
      </c>
      <c r="D50" s="187" t="str">
        <f>IF('Marks Entry'!E50="","",'Marks Entry'!E50)</f>
        <v/>
      </c>
      <c r="E50" s="188" t="str">
        <f>IF('Marks Entry'!F50="","",'Marks Entry'!F50)</f>
        <v/>
      </c>
      <c r="F50" s="188" t="str">
        <f>IF('Marks Entry'!G50="","",'Marks Entry'!G50)</f>
        <v/>
      </c>
      <c r="G50" s="188" t="str">
        <f>IF('Marks Entry'!H50="","",'Marks Entry'!H50)</f>
        <v/>
      </c>
      <c r="H50" s="189" t="str">
        <f>IF('Marks Entry'!I50="","",'Marks Entry'!I50)</f>
        <v/>
      </c>
      <c r="I50" s="190" t="str">
        <f>IF('Marks Entry'!J50="","",'Marks Entry'!J50)</f>
        <v/>
      </c>
      <c r="J50" s="545" t="str">
        <f>IF('Marks Entry'!K50="","",'Marks Entry'!K50)</f>
        <v/>
      </c>
      <c r="K50" s="545" t="str">
        <f>IF('Marks Entry'!L50="","",'Marks Entry'!L50)</f>
        <v/>
      </c>
      <c r="L50" s="545" t="str">
        <f>IF('Marks Entry'!M50="","",'Marks Entry'!M50)</f>
        <v/>
      </c>
      <c r="M50" s="546" t="str">
        <f t="shared" si="47"/>
        <v/>
      </c>
      <c r="N50" s="545" t="str">
        <f>IF('Marks Entry'!N50="","",'Marks Entry'!N50)</f>
        <v/>
      </c>
      <c r="O50" s="546" t="str">
        <f t="shared" si="48"/>
        <v/>
      </c>
      <c r="P50" s="545" t="str">
        <f>IF('Marks Entry'!O50="","",'Marks Entry'!O50)</f>
        <v/>
      </c>
      <c r="Q50" s="547" t="str">
        <f t="shared" si="49"/>
        <v/>
      </c>
      <c r="R50" s="153">
        <f t="shared" si="50"/>
        <v>0</v>
      </c>
      <c r="S50" s="153">
        <f t="shared" si="51"/>
        <v>0</v>
      </c>
      <c r="T50" s="154" t="str">
        <f t="shared" si="52"/>
        <v/>
      </c>
      <c r="U50" s="153" t="str">
        <f t="shared" si="53"/>
        <v/>
      </c>
      <c r="V50" s="153" t="str">
        <f t="shared" si="54"/>
        <v/>
      </c>
      <c r="W50" s="153" t="str">
        <f t="shared" si="55"/>
        <v/>
      </c>
      <c r="X50" s="545" t="str">
        <f>IF('Marks Entry'!P50="","",'Marks Entry'!P50)</f>
        <v/>
      </c>
      <c r="Y50" s="545" t="str">
        <f>IF('Marks Entry'!Q50="","",'Marks Entry'!Q50)</f>
        <v/>
      </c>
      <c r="Z50" s="545" t="str">
        <f>IF('Marks Entry'!R50="","",'Marks Entry'!R50)</f>
        <v/>
      </c>
      <c r="AA50" s="546" t="str">
        <f t="shared" si="56"/>
        <v/>
      </c>
      <c r="AB50" s="545" t="str">
        <f>IF('Marks Entry'!S50="","",'Marks Entry'!S50)</f>
        <v/>
      </c>
      <c r="AC50" s="546" t="str">
        <f t="shared" si="57"/>
        <v/>
      </c>
      <c r="AD50" s="545" t="str">
        <f>IF('Marks Entry'!T50="","",'Marks Entry'!T50)</f>
        <v/>
      </c>
      <c r="AE50" s="547" t="str">
        <f t="shared" si="58"/>
        <v/>
      </c>
      <c r="AF50" s="153">
        <f t="shared" si="59"/>
        <v>0</v>
      </c>
      <c r="AG50" s="153">
        <f t="shared" si="60"/>
        <v>0</v>
      </c>
      <c r="AH50" s="154" t="str">
        <f t="shared" si="61"/>
        <v/>
      </c>
      <c r="AI50" s="153" t="str">
        <f t="shared" si="62"/>
        <v/>
      </c>
      <c r="AJ50" s="153" t="str">
        <f t="shared" si="63"/>
        <v/>
      </c>
      <c r="AK50" s="153" t="str">
        <f t="shared" si="64"/>
        <v/>
      </c>
      <c r="AL50" s="573" t="str">
        <f>IF('Marks Entry'!U50="","",'Marks Entry'!U50)</f>
        <v/>
      </c>
      <c r="AM50" s="573" t="str">
        <f>IF('Marks Entry'!V50="","",'Marks Entry'!V50)</f>
        <v/>
      </c>
      <c r="AN50" s="573" t="str">
        <f>IF('Marks Entry'!W50="","",'Marks Entry'!W50)</f>
        <v/>
      </c>
      <c r="AO50" s="573" t="str">
        <f>IF('Marks Entry'!X50="","",'Marks Entry'!X50)</f>
        <v/>
      </c>
      <c r="AP50" s="572" t="str">
        <f t="shared" si="65"/>
        <v/>
      </c>
      <c r="AQ50" s="573" t="str">
        <f>IF('Marks Entry'!Y50="","",'Marks Entry'!Y50)</f>
        <v/>
      </c>
      <c r="AR50" s="573" t="str">
        <f>IF('Marks Entry'!Z50="","",'Marks Entry'!Z50)</f>
        <v/>
      </c>
      <c r="AS50" s="572" t="str">
        <f t="shared" si="66"/>
        <v/>
      </c>
      <c r="AT50" s="572" t="str">
        <f t="shared" si="67"/>
        <v/>
      </c>
      <c r="AU50" s="573" t="str">
        <f>IF('Marks Entry'!AA50="","",'Marks Entry'!AA50)</f>
        <v/>
      </c>
      <c r="AV50" s="573" t="str">
        <f>IF('Marks Entry'!AB50="","",'Marks Entry'!AB50)</f>
        <v/>
      </c>
      <c r="AW50" s="572" t="str">
        <f t="shared" si="68"/>
        <v/>
      </c>
      <c r="AX50" s="157" t="str">
        <f t="shared" si="69"/>
        <v/>
      </c>
      <c r="AY50" s="157" t="str">
        <f t="shared" si="70"/>
        <v/>
      </c>
      <c r="AZ50" s="192" t="str">
        <f t="shared" si="71"/>
        <v/>
      </c>
      <c r="BA50" s="153">
        <f t="shared" si="72"/>
        <v>0</v>
      </c>
      <c r="BB50" s="154">
        <f t="shared" si="73"/>
        <v>0</v>
      </c>
      <c r="BC50" s="154" t="str">
        <f t="shared" si="74"/>
        <v/>
      </c>
      <c r="BD50" s="154" t="str">
        <f t="shared" si="75"/>
        <v/>
      </c>
      <c r="BE50" s="154" t="str">
        <f t="shared" si="76"/>
        <v/>
      </c>
      <c r="BF50" s="153" t="str">
        <f t="shared" si="77"/>
        <v/>
      </c>
      <c r="BG50" s="154" t="str">
        <f t="shared" si="175"/>
        <v/>
      </c>
      <c r="BH50" s="153" t="str">
        <f t="shared" si="78"/>
        <v/>
      </c>
      <c r="BI50" s="580" t="str">
        <f>IF('Marks Entry'!AC50="","",'Marks Entry'!AC50)</f>
        <v/>
      </c>
      <c r="BJ50" s="580" t="str">
        <f>IF('Marks Entry'!AD50="","",'Marks Entry'!AD50)</f>
        <v/>
      </c>
      <c r="BK50" s="580" t="str">
        <f>IF('Marks Entry'!AE50="","",'Marks Entry'!AE50)</f>
        <v/>
      </c>
      <c r="BL50" s="580" t="str">
        <f>IF('Marks Entry'!AF50="","",'Marks Entry'!AF50)</f>
        <v/>
      </c>
      <c r="BM50" s="581" t="str">
        <f t="shared" si="79"/>
        <v/>
      </c>
      <c r="BN50" s="580" t="str">
        <f>IF('Marks Entry'!AG50="","",'Marks Entry'!AG50)</f>
        <v/>
      </c>
      <c r="BO50" s="580" t="str">
        <f>IF('Marks Entry'!AH50="","",'Marks Entry'!AH50)</f>
        <v/>
      </c>
      <c r="BP50" s="581" t="str">
        <f t="shared" si="80"/>
        <v/>
      </c>
      <c r="BQ50" s="581" t="str">
        <f t="shared" si="81"/>
        <v/>
      </c>
      <c r="BR50" s="580" t="str">
        <f>IF('Marks Entry'!AI50="","",'Marks Entry'!AI50)</f>
        <v/>
      </c>
      <c r="BS50" s="580" t="str">
        <f>IF('Marks Entry'!AJ50="","",'Marks Entry'!AJ50)</f>
        <v/>
      </c>
      <c r="BT50" s="581" t="str">
        <f t="shared" si="82"/>
        <v/>
      </c>
      <c r="BU50" s="157" t="str">
        <f t="shared" si="83"/>
        <v/>
      </c>
      <c r="BV50" s="157" t="str">
        <f t="shared" si="84"/>
        <v/>
      </c>
      <c r="BW50" s="192" t="str">
        <f t="shared" si="85"/>
        <v/>
      </c>
      <c r="BX50" s="153">
        <f t="shared" si="86"/>
        <v>0</v>
      </c>
      <c r="BY50" s="154">
        <f t="shared" si="87"/>
        <v>0</v>
      </c>
      <c r="BZ50" s="154" t="str">
        <f t="shared" si="88"/>
        <v/>
      </c>
      <c r="CA50" s="154" t="str">
        <f t="shared" si="89"/>
        <v/>
      </c>
      <c r="CB50" s="154" t="str">
        <f t="shared" si="90"/>
        <v/>
      </c>
      <c r="CC50" s="153" t="str">
        <f t="shared" si="91"/>
        <v/>
      </c>
      <c r="CD50" s="154" t="str">
        <f t="shared" si="92"/>
        <v/>
      </c>
      <c r="CE50" s="153" t="str">
        <f t="shared" si="93"/>
        <v/>
      </c>
      <c r="CF50" s="580" t="str">
        <f>IF('Marks Entry'!AK50="","",'Marks Entry'!AK50)</f>
        <v/>
      </c>
      <c r="CG50" s="580" t="str">
        <f>IF('Marks Entry'!AL50="","",'Marks Entry'!AL50)</f>
        <v/>
      </c>
      <c r="CH50" s="580" t="str">
        <f>IF('Marks Entry'!AM50="","",'Marks Entry'!AM50)</f>
        <v/>
      </c>
      <c r="CI50" s="580" t="str">
        <f>IF('Marks Entry'!AN50="","",'Marks Entry'!AN50)</f>
        <v/>
      </c>
      <c r="CJ50" s="581" t="str">
        <f t="shared" si="94"/>
        <v/>
      </c>
      <c r="CK50" s="580" t="str">
        <f>IF('Marks Entry'!AO50="","",'Marks Entry'!AO50)</f>
        <v/>
      </c>
      <c r="CL50" s="580" t="str">
        <f>IF('Marks Entry'!AP50="","",'Marks Entry'!AP50)</f>
        <v/>
      </c>
      <c r="CM50" s="581" t="str">
        <f t="shared" si="95"/>
        <v/>
      </c>
      <c r="CN50" s="581" t="str">
        <f t="shared" si="96"/>
        <v/>
      </c>
      <c r="CO50" s="580" t="str">
        <f>IF('Marks Entry'!AQ50="","",'Marks Entry'!AQ50)</f>
        <v/>
      </c>
      <c r="CP50" s="580" t="str">
        <f>IF('Marks Entry'!AR50="","",'Marks Entry'!AR50)</f>
        <v/>
      </c>
      <c r="CQ50" s="581" t="str">
        <f t="shared" si="97"/>
        <v/>
      </c>
      <c r="CR50" s="157" t="str">
        <f t="shared" si="98"/>
        <v/>
      </c>
      <c r="CS50" s="157" t="str">
        <f t="shared" si="99"/>
        <v/>
      </c>
      <c r="CT50" s="192" t="str">
        <f t="shared" si="100"/>
        <v/>
      </c>
      <c r="CU50" s="153">
        <f t="shared" si="101"/>
        <v>0</v>
      </c>
      <c r="CV50" s="154">
        <f t="shared" si="102"/>
        <v>0</v>
      </c>
      <c r="CW50" s="154" t="str">
        <f t="shared" si="103"/>
        <v/>
      </c>
      <c r="CX50" s="154" t="str">
        <f t="shared" si="104"/>
        <v/>
      </c>
      <c r="CY50" s="154" t="str">
        <f t="shared" si="176"/>
        <v/>
      </c>
      <c r="CZ50" s="153" t="str">
        <f t="shared" si="105"/>
        <v/>
      </c>
      <c r="DA50" s="154" t="str">
        <f t="shared" si="106"/>
        <v/>
      </c>
      <c r="DB50" s="153" t="str">
        <f t="shared" si="107"/>
        <v/>
      </c>
      <c r="DC50" s="154">
        <f t="shared" si="108"/>
        <v>0</v>
      </c>
      <c r="DD50" s="826" t="str">
        <f>IF('Marks Entry'!AS50="","",IF(OR('Master Sheet'!$D$19="YES",'Marks Entry'!$BA$1=1),'Marks Entry'!AS50,""))</f>
        <v/>
      </c>
      <c r="DE50" s="826" t="str">
        <f>IF('Marks Entry'!AT50="","",IF(OR('Master Sheet'!$D$19="YES",'Marks Entry'!$BA$1=1),'Marks Entry'!AT50,""))</f>
        <v/>
      </c>
      <c r="DF50" s="826" t="str">
        <f>IF('Marks Entry'!AU50="","",IF(OR('Master Sheet'!$D$19="YES",'Marks Entry'!$BA$1=1),'Marks Entry'!AU50,""))</f>
        <v/>
      </c>
      <c r="DG50" s="826" t="str">
        <f>IF('Marks Entry'!AV50="","",IF(OR('Master Sheet'!$D$19="YES",'Marks Entry'!$BA$1=1),'Marks Entry'!AV50,""))</f>
        <v/>
      </c>
      <c r="DH50" s="827" t="str">
        <f t="shared" si="109"/>
        <v/>
      </c>
      <c r="DI50" s="826" t="str">
        <f>IF('Marks Entry'!AW50="","",IF(OR('Master Sheet'!$D$19="YES",'Marks Entry'!$BA$1=1),'Marks Entry'!AW50,""))</f>
        <v/>
      </c>
      <c r="DJ50" s="826" t="str">
        <f>IF('Marks Entry'!AX50="","",IF(OR('Master Sheet'!$D$19="YES",'Marks Entry'!$BA$1=1),'Marks Entry'!AX50,""))</f>
        <v/>
      </c>
      <c r="DK50" s="827" t="str">
        <f t="shared" si="110"/>
        <v/>
      </c>
      <c r="DL50" s="827" t="str">
        <f t="shared" si="111"/>
        <v/>
      </c>
      <c r="DM50" s="826" t="str">
        <f>IF('Marks Entry'!AY50="","",IF(OR('Master Sheet'!$D$19="YES",'Marks Entry'!$BA$1=1),'Marks Entry'!AY50,""))</f>
        <v/>
      </c>
      <c r="DN50" s="826" t="str">
        <f>IF('Marks Entry'!AZ50="","",IF(OR('Master Sheet'!$D$19="YES",'Marks Entry'!$BA$1=1),'Marks Entry'!AZ50,""))</f>
        <v/>
      </c>
      <c r="DO50" s="826" t="str">
        <f>IF('Marks Entry'!BA50="","",IF(OR('Master Sheet'!$D$19="YES",'Marks Entry'!$BA$1=1),'Marks Entry'!BA50,""))</f>
        <v/>
      </c>
      <c r="DP50" s="827" t="str">
        <f t="shared" si="112"/>
        <v/>
      </c>
      <c r="DQ50" s="157" t="str">
        <f t="shared" si="113"/>
        <v/>
      </c>
      <c r="DR50" s="157" t="str">
        <f t="shared" si="114"/>
        <v/>
      </c>
      <c r="DS50" s="157" t="str">
        <f t="shared" si="115"/>
        <v/>
      </c>
      <c r="DT50" s="192" t="str">
        <f t="shared" si="116"/>
        <v/>
      </c>
      <c r="DU50" s="153">
        <f t="shared" si="117"/>
        <v>0</v>
      </c>
      <c r="DV50" s="154" t="e">
        <f t="shared" si="118"/>
        <v>#VALUE!</v>
      </c>
      <c r="DW50" s="154" t="str">
        <f t="shared" si="119"/>
        <v/>
      </c>
      <c r="DX50" s="154" t="str">
        <f>IF(OR($B50="NSO",$B50=0,DS50=""),"",IF(AND(DJ50="",DO50=""),"",IF('Master Sheet'!$D$19="YES",$DO$6-COUNTIF(DO50,"ML")*DO$6,DS$6-(COUNTIF(DJ50,"ML")*DJ$6)-(COUNTIF(DO50,"ML")*DO$6))))</f>
        <v/>
      </c>
      <c r="DY50" s="154" t="str">
        <f>IF(OR($B50="NSO",$B50=0),"",IF(AND(DH50="",DI50="",DM50=""),"",IF(AND('Master Sheet'!$D$19="YES",'Marks Entry'!$BA$1=1),100,IF(AND(DJ50="",DO50=""),SUM(($DQ$7+$DR$7)-(DU50+DV50)),SUM(($DQ$6+$DR$6)-(DU50+DV50))))))</f>
        <v/>
      </c>
      <c r="DZ50" s="153" t="str">
        <f t="shared" si="120"/>
        <v/>
      </c>
      <c r="EA50" s="154" t="str">
        <f t="shared" si="121"/>
        <v/>
      </c>
      <c r="EB50" s="153" t="str">
        <f t="shared" si="122"/>
        <v/>
      </c>
      <c r="EC50" s="584" t="str">
        <f>IF('Marks Entry'!BB50="","",'Marks Entry'!BB50)</f>
        <v/>
      </c>
      <c r="ED50" s="584" t="str">
        <f>IF('Marks Entry'!BC50="","",'Marks Entry'!BC50)</f>
        <v/>
      </c>
      <c r="EE50" s="584" t="str">
        <f>IF('Marks Entry'!BD50="","",'Marks Entry'!BD50)</f>
        <v/>
      </c>
      <c r="EF50" s="590" t="str">
        <f t="shared" si="123"/>
        <v/>
      </c>
      <c r="EG50" s="595">
        <f t="shared" si="124"/>
        <v>0</v>
      </c>
      <c r="EH50" s="595">
        <f t="shared" si="125"/>
        <v>0</v>
      </c>
      <c r="EI50" s="193" t="str">
        <f t="shared" si="126"/>
        <v/>
      </c>
      <c r="EJ50" s="595" t="str">
        <f t="shared" si="127"/>
        <v/>
      </c>
      <c r="EK50" s="595" t="str">
        <f t="shared" si="128"/>
        <v/>
      </c>
      <c r="EL50" s="194" t="str">
        <f t="shared" si="129"/>
        <v/>
      </c>
      <c r="EM50" s="194" t="str">
        <f t="shared" si="130"/>
        <v/>
      </c>
      <c r="EN50" s="194" t="str">
        <f t="shared" si="131"/>
        <v/>
      </c>
      <c r="EO50" s="194" t="str">
        <f t="shared" si="132"/>
        <v/>
      </c>
      <c r="EP50" s="194" t="str">
        <f t="shared" si="133"/>
        <v/>
      </c>
      <c r="EQ50" s="194" t="str">
        <f t="shared" si="134"/>
        <v/>
      </c>
      <c r="ER50" s="195">
        <f t="shared" si="135"/>
        <v>0</v>
      </c>
      <c r="ES50" s="195">
        <f t="shared" si="136"/>
        <v>0</v>
      </c>
      <c r="ET50" s="195">
        <f t="shared" si="137"/>
        <v>0</v>
      </c>
      <c r="EU50" s="195">
        <f t="shared" si="138"/>
        <v>0</v>
      </c>
      <c r="EV50" s="195">
        <f t="shared" si="139"/>
        <v>0</v>
      </c>
      <c r="EW50" s="195" t="str">
        <f t="shared" si="140"/>
        <v/>
      </c>
      <c r="EX50" s="196" t="str">
        <f t="shared" si="141"/>
        <v/>
      </c>
      <c r="EY50" s="197" t="str">
        <f>IF('Marks Entry'!BE50="","",'Marks Entry'!BE50)</f>
        <v/>
      </c>
      <c r="EZ50" s="197" t="str">
        <f>IF('Marks Entry'!BF50="","",'Marks Entry'!BF50)</f>
        <v/>
      </c>
      <c r="FA50" s="197" t="str">
        <f>IF('Marks Entry'!BG50="","",'Marks Entry'!BG50)</f>
        <v/>
      </c>
      <c r="FB50" s="596" t="str">
        <f t="shared" si="142"/>
        <v/>
      </c>
      <c r="FC50" s="197" t="str">
        <f>IF('Marks Entry'!BH50="","",'Marks Entry'!BH50)</f>
        <v/>
      </c>
      <c r="FD50" s="197" t="str">
        <f>IF('Marks Entry'!BI50="","",'Marks Entry'!BI50)</f>
        <v/>
      </c>
      <c r="FE50" s="198" t="str">
        <f t="shared" si="143"/>
        <v/>
      </c>
      <c r="FF50" s="199" t="str">
        <f t="shared" si="144"/>
        <v/>
      </c>
      <c r="FG50" s="200" t="str">
        <f>IF(AND(E50=""),"",IF('Student DATA Entry'!L46="","",'Student DATA Entry'!L46))</f>
        <v/>
      </c>
      <c r="FH50" s="201" t="str">
        <f>IF(AND(E50=""),"",IF('Student DATA Entry'!M46="","",'Student DATA Entry'!M46))</f>
        <v/>
      </c>
      <c r="FI50" s="202" t="str">
        <f t="shared" si="145"/>
        <v/>
      </c>
      <c r="FJ50" s="189" t="str">
        <f t="shared" si="146"/>
        <v/>
      </c>
      <c r="FK50" s="189" t="str">
        <f t="shared" si="147"/>
        <v/>
      </c>
      <c r="FL50" s="203" t="str">
        <f t="shared" si="178"/>
        <v/>
      </c>
      <c r="FM50" s="189" t="str">
        <f t="shared" si="148"/>
        <v/>
      </c>
      <c r="FN50" s="204" t="str">
        <f t="shared" si="149"/>
        <v/>
      </c>
      <c r="FO50" s="203" t="str">
        <f t="shared" si="179"/>
        <v/>
      </c>
      <c r="FP50" s="205" t="str">
        <f t="shared" si="150"/>
        <v/>
      </c>
      <c r="FQ50" s="189" t="str">
        <f t="shared" si="180"/>
        <v/>
      </c>
      <c r="FR50" s="189" t="str">
        <f t="shared" si="181"/>
        <v/>
      </c>
      <c r="FS50" s="189" t="str">
        <f t="shared" si="182"/>
        <v/>
      </c>
      <c r="FT50" s="189" t="str">
        <f t="shared" si="183"/>
        <v/>
      </c>
      <c r="FU50" s="189" t="str">
        <f t="shared" si="151"/>
        <v/>
      </c>
      <c r="FV50" s="206" t="str">
        <f t="shared" si="184"/>
        <v/>
      </c>
      <c r="FW50" s="205" t="str">
        <f t="shared" si="152"/>
        <v/>
      </c>
      <c r="FX50" s="189" t="str">
        <f t="shared" si="185"/>
        <v/>
      </c>
      <c r="FY50" s="189" t="str">
        <f t="shared" si="186"/>
        <v/>
      </c>
      <c r="FZ50" s="189" t="str">
        <f t="shared" si="187"/>
        <v/>
      </c>
      <c r="GA50" s="189" t="str">
        <f t="shared" si="188"/>
        <v/>
      </c>
      <c r="GB50" s="189" t="str">
        <f t="shared" si="153"/>
        <v/>
      </c>
      <c r="GC50" s="206" t="str">
        <f t="shared" si="189"/>
        <v/>
      </c>
      <c r="GD50" s="205" t="str">
        <f t="shared" si="154"/>
        <v/>
      </c>
      <c r="GE50" s="189" t="str">
        <f t="shared" si="190"/>
        <v/>
      </c>
      <c r="GF50" s="189" t="str">
        <f t="shared" si="191"/>
        <v/>
      </c>
      <c r="GG50" s="189" t="str">
        <f t="shared" si="192"/>
        <v/>
      </c>
      <c r="GH50" s="189" t="str">
        <f t="shared" si="193"/>
        <v/>
      </c>
      <c r="GI50" s="189" t="str">
        <f t="shared" si="155"/>
        <v/>
      </c>
      <c r="GJ50" s="206" t="str">
        <f t="shared" si="194"/>
        <v/>
      </c>
      <c r="GK50" s="205" t="str">
        <f t="shared" si="156"/>
        <v/>
      </c>
      <c r="GL50" s="189" t="str">
        <f t="shared" si="195"/>
        <v/>
      </c>
      <c r="GM50" s="189" t="str">
        <f t="shared" si="196"/>
        <v/>
      </c>
      <c r="GN50" s="189" t="str">
        <f t="shared" si="197"/>
        <v/>
      </c>
      <c r="GO50" s="189" t="str">
        <f t="shared" si="198"/>
        <v/>
      </c>
      <c r="GP50" s="189" t="str">
        <f t="shared" si="157"/>
        <v/>
      </c>
      <c r="GQ50" s="206" t="str">
        <f t="shared" si="199"/>
        <v/>
      </c>
      <c r="GR50" s="189" t="str">
        <f t="shared" si="158"/>
        <v/>
      </c>
      <c r="GS50" s="189" t="str">
        <f t="shared" si="159"/>
        <v/>
      </c>
      <c r="GT50" s="207" t="str">
        <f t="shared" si="177"/>
        <v xml:space="preserve">    </v>
      </c>
      <c r="GU50" s="207" t="str">
        <f t="shared" si="160"/>
        <v xml:space="preserve">    </v>
      </c>
      <c r="GV50" s="207" t="str">
        <f t="shared" si="161"/>
        <v xml:space="preserve">    </v>
      </c>
      <c r="GW50" s="207" t="str">
        <f t="shared" si="162"/>
        <v xml:space="preserve">       </v>
      </c>
      <c r="GX50" s="598" t="str">
        <f t="shared" si="163"/>
        <v xml:space="preserve">     </v>
      </c>
      <c r="GY50" s="208" t="str">
        <f t="shared" si="200"/>
        <v/>
      </c>
      <c r="GZ50" s="606" t="str">
        <f>IF(AND(Q50="",AE50="",AZ50="",BW50="",CT50=""),"",IF(AND('Master Sheet'!$D$19="YES",'Marks Entry'!$BA$1=1),SUM(Q50,AE50,AZ50,BW50,DT50),SUM(Q50,AE50,AZ50,BW50,CT50)))</f>
        <v/>
      </c>
      <c r="HA50" s="209" t="str">
        <f>IF(GZ50="","",IF(AND('Master Sheet'!$D$19="YES",'Marks Entry'!$BA$1=1),GZ50/((900)-DC50)*100,GZ50/((1000)-DC50)*100))</f>
        <v/>
      </c>
      <c r="HB50" s="611" t="str">
        <f t="shared" si="165"/>
        <v/>
      </c>
      <c r="HC50" s="609" t="str">
        <f t="shared" si="166"/>
        <v/>
      </c>
      <c r="HD50" s="610" t="str">
        <f t="shared" si="167"/>
        <v/>
      </c>
      <c r="HE50" s="210" t="str">
        <f>IFERROR(IF(OR(GY50="SUPPLEMENTARY",GY50="RE-EXAM"),'Supp. Result Entry'!AS49,""),"")</f>
        <v/>
      </c>
      <c r="HF50" s="613" t="str">
        <f t="shared" si="168"/>
        <v/>
      </c>
      <c r="HG50" s="598" t="str">
        <f t="shared" si="169"/>
        <v/>
      </c>
      <c r="HH50" s="598" t="str">
        <f>IF(AND(HE50="",HF50="",HG50=""),"",IF(OR(GY50="SUPPLEMENTARY",GY50="RE-EXAM"),'Supp. Result Entry'!AS49,GY50))</f>
        <v/>
      </c>
      <c r="HI50" s="180"/>
      <c r="HJ50" s="214"/>
      <c r="HY50" s="212" t="str">
        <f>IF('Supp. Result Entry'!U49="","",'Supp. Result Entry'!$U$6)</f>
        <v/>
      </c>
      <c r="HZ50" s="213" t="str">
        <f>IF('Supp. Result Entry'!X49="","",'Supp. Result Entry'!$X$6)</f>
        <v/>
      </c>
      <c r="IA50" s="213" t="str">
        <f>IF('Supp. Result Entry'!AA49="","",'Supp. Result Entry'!$AA$6)</f>
        <v/>
      </c>
      <c r="IB50" s="213" t="str">
        <f>IF('Supp. Result Entry'!AD49="","",'Supp. Result Entry'!$AD$6)</f>
        <v/>
      </c>
      <c r="IC50" s="213" t="str">
        <f>IF('Supp. Result Entry'!AG49="","",'Supp. Result Entry'!$AG$6)</f>
        <v/>
      </c>
      <c r="ID50" s="213" t="str">
        <f>IF('Supp. Result Entry'!AJ49="","",'Supp. Result Entry'!$AJ$6)</f>
        <v/>
      </c>
      <c r="IE50" s="213" t="str">
        <f>IF('Supp. Result Entry'!V49="","",'Supp. Result Entry'!V49)</f>
        <v/>
      </c>
      <c r="IF50" s="213" t="str">
        <f>IF('Supp. Result Entry'!Y49="","",'Supp. Result Entry'!Y49)</f>
        <v/>
      </c>
      <c r="IG50" s="213" t="str">
        <f>IF('Supp. Result Entry'!AB49="","",'Supp. Result Entry'!AB49)</f>
        <v/>
      </c>
      <c r="IH50" s="213" t="str">
        <f>IF('Supp. Result Entry'!AE49="","",'Supp. Result Entry'!AE49)</f>
        <v/>
      </c>
      <c r="II50" s="213" t="str">
        <f>IF('Supp. Result Entry'!AH49="","",'Supp. Result Entry'!AH49)</f>
        <v/>
      </c>
      <c r="IJ50" s="213" t="str">
        <f>IF('Supp. Result Entry'!AK49="","",'Supp. Result Entry'!AK49)</f>
        <v/>
      </c>
      <c r="IK50" s="213" t="str">
        <f>IF('Supp. Result Entry'!W49="","",'Supp. Result Entry'!W49)</f>
        <v/>
      </c>
      <c r="IL50" s="213" t="str">
        <f>IF('Supp. Result Entry'!Z49="","",'Supp. Result Entry'!Z49)</f>
        <v/>
      </c>
      <c r="IM50" s="213" t="str">
        <f>IF('Supp. Result Entry'!AC49="","",'Supp. Result Entry'!AC49)</f>
        <v/>
      </c>
      <c r="IN50" s="213" t="str">
        <f>IF('Supp. Result Entry'!AF49="","",'Supp. Result Entry'!AF49)</f>
        <v/>
      </c>
      <c r="IO50" s="213" t="str">
        <f>IF('Supp. Result Entry'!AI49="","",'Supp. Result Entry'!AI49)</f>
        <v/>
      </c>
      <c r="IP50" s="213" t="str">
        <f>IF('Supp. Result Entry'!AL49="","",'Supp. Result Entry'!AL49)</f>
        <v/>
      </c>
      <c r="IQ50" s="213">
        <f>COUNTIF('Supp. Result Entry'!K49:Q49,"S")</f>
        <v>0</v>
      </c>
      <c r="IR50" s="213">
        <f t="shared" si="170"/>
        <v>0</v>
      </c>
      <c r="IS50" s="213">
        <f t="shared" si="171"/>
        <v>0</v>
      </c>
      <c r="IT50" s="213" t="str">
        <f t="shared" si="41"/>
        <v/>
      </c>
      <c r="IU50" s="213" t="str">
        <f t="shared" si="42"/>
        <v/>
      </c>
      <c r="IV50" s="213" t="str">
        <f t="shared" si="43"/>
        <v/>
      </c>
      <c r="IW50" s="213" t="str">
        <f t="shared" si="44"/>
        <v/>
      </c>
      <c r="IX50" s="213" t="str">
        <f t="shared" si="45"/>
        <v/>
      </c>
      <c r="IY50" s="213" t="str">
        <f t="shared" si="172"/>
        <v/>
      </c>
      <c r="IZ50" s="213" t="str">
        <f t="shared" si="173"/>
        <v/>
      </c>
      <c r="JA50" s="213" t="str">
        <f t="shared" si="46"/>
        <v/>
      </c>
      <c r="JB50" s="211" t="str">
        <f t="shared" si="174"/>
        <v/>
      </c>
    </row>
    <row r="51" spans="1:262" s="211" customFormat="1" ht="21" customHeight="1">
      <c r="A51" s="184">
        <v>44</v>
      </c>
      <c r="B51" s="185" t="str">
        <f>IF('Marks Entry'!B51="","",'Marks Entry'!B51)</f>
        <v/>
      </c>
      <c r="C51" s="186" t="str">
        <f>IF('Marks Entry'!D51="","",'Marks Entry'!D51)</f>
        <v/>
      </c>
      <c r="D51" s="187" t="str">
        <f>IF('Marks Entry'!E51="","",'Marks Entry'!E51)</f>
        <v/>
      </c>
      <c r="E51" s="188" t="str">
        <f>IF('Marks Entry'!F51="","",'Marks Entry'!F51)</f>
        <v/>
      </c>
      <c r="F51" s="188" t="str">
        <f>IF('Marks Entry'!G51="","",'Marks Entry'!G51)</f>
        <v/>
      </c>
      <c r="G51" s="188" t="str">
        <f>IF('Marks Entry'!H51="","",'Marks Entry'!H51)</f>
        <v/>
      </c>
      <c r="H51" s="189" t="str">
        <f>IF('Marks Entry'!I51="","",'Marks Entry'!I51)</f>
        <v/>
      </c>
      <c r="I51" s="190" t="str">
        <f>IF('Marks Entry'!J51="","",'Marks Entry'!J51)</f>
        <v/>
      </c>
      <c r="J51" s="545" t="str">
        <f>IF('Marks Entry'!K51="","",'Marks Entry'!K51)</f>
        <v/>
      </c>
      <c r="K51" s="545" t="str">
        <f>IF('Marks Entry'!L51="","",'Marks Entry'!L51)</f>
        <v/>
      </c>
      <c r="L51" s="545" t="str">
        <f>IF('Marks Entry'!M51="","",'Marks Entry'!M51)</f>
        <v/>
      </c>
      <c r="M51" s="546" t="str">
        <f t="shared" si="47"/>
        <v/>
      </c>
      <c r="N51" s="545" t="str">
        <f>IF('Marks Entry'!N51="","",'Marks Entry'!N51)</f>
        <v/>
      </c>
      <c r="O51" s="546" t="str">
        <f t="shared" si="48"/>
        <v/>
      </c>
      <c r="P51" s="545" t="str">
        <f>IF('Marks Entry'!O51="","",'Marks Entry'!O51)</f>
        <v/>
      </c>
      <c r="Q51" s="547" t="str">
        <f t="shared" si="49"/>
        <v/>
      </c>
      <c r="R51" s="153">
        <f t="shared" si="50"/>
        <v>0</v>
      </c>
      <c r="S51" s="153">
        <f t="shared" si="51"/>
        <v>0</v>
      </c>
      <c r="T51" s="154" t="str">
        <f t="shared" si="52"/>
        <v/>
      </c>
      <c r="U51" s="153" t="str">
        <f t="shared" si="53"/>
        <v/>
      </c>
      <c r="V51" s="153" t="str">
        <f t="shared" si="54"/>
        <v/>
      </c>
      <c r="W51" s="153" t="str">
        <f t="shared" si="55"/>
        <v/>
      </c>
      <c r="X51" s="545" t="str">
        <f>IF('Marks Entry'!P51="","",'Marks Entry'!P51)</f>
        <v/>
      </c>
      <c r="Y51" s="545" t="str">
        <f>IF('Marks Entry'!Q51="","",'Marks Entry'!Q51)</f>
        <v/>
      </c>
      <c r="Z51" s="545" t="str">
        <f>IF('Marks Entry'!R51="","",'Marks Entry'!R51)</f>
        <v/>
      </c>
      <c r="AA51" s="546" t="str">
        <f t="shared" si="56"/>
        <v/>
      </c>
      <c r="AB51" s="545" t="str">
        <f>IF('Marks Entry'!S51="","",'Marks Entry'!S51)</f>
        <v/>
      </c>
      <c r="AC51" s="546" t="str">
        <f t="shared" si="57"/>
        <v/>
      </c>
      <c r="AD51" s="545" t="str">
        <f>IF('Marks Entry'!T51="","",'Marks Entry'!T51)</f>
        <v/>
      </c>
      <c r="AE51" s="547" t="str">
        <f t="shared" si="58"/>
        <v/>
      </c>
      <c r="AF51" s="153">
        <f t="shared" si="59"/>
        <v>0</v>
      </c>
      <c r="AG51" s="153">
        <f t="shared" si="60"/>
        <v>0</v>
      </c>
      <c r="AH51" s="154" t="str">
        <f t="shared" si="61"/>
        <v/>
      </c>
      <c r="AI51" s="153" t="str">
        <f t="shared" si="62"/>
        <v/>
      </c>
      <c r="AJ51" s="153" t="str">
        <f t="shared" si="63"/>
        <v/>
      </c>
      <c r="AK51" s="153" t="str">
        <f t="shared" si="64"/>
        <v/>
      </c>
      <c r="AL51" s="573" t="str">
        <f>IF('Marks Entry'!U51="","",'Marks Entry'!U51)</f>
        <v/>
      </c>
      <c r="AM51" s="573" t="str">
        <f>IF('Marks Entry'!V51="","",'Marks Entry'!V51)</f>
        <v/>
      </c>
      <c r="AN51" s="573" t="str">
        <f>IF('Marks Entry'!W51="","",'Marks Entry'!W51)</f>
        <v/>
      </c>
      <c r="AO51" s="573" t="str">
        <f>IF('Marks Entry'!X51="","",'Marks Entry'!X51)</f>
        <v/>
      </c>
      <c r="AP51" s="572" t="str">
        <f t="shared" si="65"/>
        <v/>
      </c>
      <c r="AQ51" s="573" t="str">
        <f>IF('Marks Entry'!Y51="","",'Marks Entry'!Y51)</f>
        <v/>
      </c>
      <c r="AR51" s="573" t="str">
        <f>IF('Marks Entry'!Z51="","",'Marks Entry'!Z51)</f>
        <v/>
      </c>
      <c r="AS51" s="572" t="str">
        <f t="shared" si="66"/>
        <v/>
      </c>
      <c r="AT51" s="572" t="str">
        <f t="shared" si="67"/>
        <v/>
      </c>
      <c r="AU51" s="573" t="str">
        <f>IF('Marks Entry'!AA51="","",'Marks Entry'!AA51)</f>
        <v/>
      </c>
      <c r="AV51" s="573" t="str">
        <f>IF('Marks Entry'!AB51="","",'Marks Entry'!AB51)</f>
        <v/>
      </c>
      <c r="AW51" s="572" t="str">
        <f t="shared" si="68"/>
        <v/>
      </c>
      <c r="AX51" s="157" t="str">
        <f t="shared" si="69"/>
        <v/>
      </c>
      <c r="AY51" s="157" t="str">
        <f t="shared" si="70"/>
        <v/>
      </c>
      <c r="AZ51" s="192" t="str">
        <f t="shared" si="71"/>
        <v/>
      </c>
      <c r="BA51" s="153">
        <f t="shared" si="72"/>
        <v>0</v>
      </c>
      <c r="BB51" s="154">
        <f t="shared" si="73"/>
        <v>0</v>
      </c>
      <c r="BC51" s="154" t="str">
        <f t="shared" si="74"/>
        <v/>
      </c>
      <c r="BD51" s="154" t="str">
        <f t="shared" si="75"/>
        <v/>
      </c>
      <c r="BE51" s="154" t="str">
        <f t="shared" si="76"/>
        <v/>
      </c>
      <c r="BF51" s="153" t="str">
        <f t="shared" si="77"/>
        <v/>
      </c>
      <c r="BG51" s="154" t="str">
        <f t="shared" si="175"/>
        <v/>
      </c>
      <c r="BH51" s="153" t="str">
        <f t="shared" si="78"/>
        <v/>
      </c>
      <c r="BI51" s="580" t="str">
        <f>IF('Marks Entry'!AC51="","",'Marks Entry'!AC51)</f>
        <v/>
      </c>
      <c r="BJ51" s="580" t="str">
        <f>IF('Marks Entry'!AD51="","",'Marks Entry'!AD51)</f>
        <v/>
      </c>
      <c r="BK51" s="580" t="str">
        <f>IF('Marks Entry'!AE51="","",'Marks Entry'!AE51)</f>
        <v/>
      </c>
      <c r="BL51" s="580" t="str">
        <f>IF('Marks Entry'!AF51="","",'Marks Entry'!AF51)</f>
        <v/>
      </c>
      <c r="BM51" s="581" t="str">
        <f t="shared" si="79"/>
        <v/>
      </c>
      <c r="BN51" s="580" t="str">
        <f>IF('Marks Entry'!AG51="","",'Marks Entry'!AG51)</f>
        <v/>
      </c>
      <c r="BO51" s="580" t="str">
        <f>IF('Marks Entry'!AH51="","",'Marks Entry'!AH51)</f>
        <v/>
      </c>
      <c r="BP51" s="581" t="str">
        <f t="shared" si="80"/>
        <v/>
      </c>
      <c r="BQ51" s="581" t="str">
        <f t="shared" si="81"/>
        <v/>
      </c>
      <c r="BR51" s="580" t="str">
        <f>IF('Marks Entry'!AI51="","",'Marks Entry'!AI51)</f>
        <v/>
      </c>
      <c r="BS51" s="580" t="str">
        <f>IF('Marks Entry'!AJ51="","",'Marks Entry'!AJ51)</f>
        <v/>
      </c>
      <c r="BT51" s="581" t="str">
        <f t="shared" si="82"/>
        <v/>
      </c>
      <c r="BU51" s="157" t="str">
        <f t="shared" si="83"/>
        <v/>
      </c>
      <c r="BV51" s="157" t="str">
        <f t="shared" si="84"/>
        <v/>
      </c>
      <c r="BW51" s="192" t="str">
        <f t="shared" si="85"/>
        <v/>
      </c>
      <c r="BX51" s="153">
        <f t="shared" si="86"/>
        <v>0</v>
      </c>
      <c r="BY51" s="154">
        <f t="shared" si="87"/>
        <v>0</v>
      </c>
      <c r="BZ51" s="154" t="str">
        <f t="shared" si="88"/>
        <v/>
      </c>
      <c r="CA51" s="154" t="str">
        <f t="shared" si="89"/>
        <v/>
      </c>
      <c r="CB51" s="154" t="str">
        <f t="shared" si="90"/>
        <v/>
      </c>
      <c r="CC51" s="153" t="str">
        <f t="shared" si="91"/>
        <v/>
      </c>
      <c r="CD51" s="154" t="str">
        <f t="shared" si="92"/>
        <v/>
      </c>
      <c r="CE51" s="153" t="str">
        <f t="shared" si="93"/>
        <v/>
      </c>
      <c r="CF51" s="580" t="str">
        <f>IF('Marks Entry'!AK51="","",'Marks Entry'!AK51)</f>
        <v/>
      </c>
      <c r="CG51" s="580" t="str">
        <f>IF('Marks Entry'!AL51="","",'Marks Entry'!AL51)</f>
        <v/>
      </c>
      <c r="CH51" s="580" t="str">
        <f>IF('Marks Entry'!AM51="","",'Marks Entry'!AM51)</f>
        <v/>
      </c>
      <c r="CI51" s="580" t="str">
        <f>IF('Marks Entry'!AN51="","",'Marks Entry'!AN51)</f>
        <v/>
      </c>
      <c r="CJ51" s="581" t="str">
        <f t="shared" si="94"/>
        <v/>
      </c>
      <c r="CK51" s="580" t="str">
        <f>IF('Marks Entry'!AO51="","",'Marks Entry'!AO51)</f>
        <v/>
      </c>
      <c r="CL51" s="580" t="str">
        <f>IF('Marks Entry'!AP51="","",'Marks Entry'!AP51)</f>
        <v/>
      </c>
      <c r="CM51" s="581" t="str">
        <f t="shared" si="95"/>
        <v/>
      </c>
      <c r="CN51" s="581" t="str">
        <f t="shared" si="96"/>
        <v/>
      </c>
      <c r="CO51" s="580" t="str">
        <f>IF('Marks Entry'!AQ51="","",'Marks Entry'!AQ51)</f>
        <v/>
      </c>
      <c r="CP51" s="580" t="str">
        <f>IF('Marks Entry'!AR51="","",'Marks Entry'!AR51)</f>
        <v/>
      </c>
      <c r="CQ51" s="581" t="str">
        <f t="shared" si="97"/>
        <v/>
      </c>
      <c r="CR51" s="157" t="str">
        <f t="shared" si="98"/>
        <v/>
      </c>
      <c r="CS51" s="157" t="str">
        <f t="shared" si="99"/>
        <v/>
      </c>
      <c r="CT51" s="192" t="str">
        <f t="shared" si="100"/>
        <v/>
      </c>
      <c r="CU51" s="153">
        <f t="shared" si="101"/>
        <v>0</v>
      </c>
      <c r="CV51" s="154">
        <f t="shared" si="102"/>
        <v>0</v>
      </c>
      <c r="CW51" s="154" t="str">
        <f t="shared" si="103"/>
        <v/>
      </c>
      <c r="CX51" s="154" t="str">
        <f t="shared" si="104"/>
        <v/>
      </c>
      <c r="CY51" s="154" t="str">
        <f t="shared" si="176"/>
        <v/>
      </c>
      <c r="CZ51" s="153" t="str">
        <f t="shared" si="105"/>
        <v/>
      </c>
      <c r="DA51" s="154" t="str">
        <f t="shared" si="106"/>
        <v/>
      </c>
      <c r="DB51" s="153" t="str">
        <f t="shared" si="107"/>
        <v/>
      </c>
      <c r="DC51" s="154">
        <f t="shared" si="108"/>
        <v>0</v>
      </c>
      <c r="DD51" s="826" t="str">
        <f>IF('Marks Entry'!AS51="","",IF(OR('Master Sheet'!$D$19="YES",'Marks Entry'!$BA$1=1),'Marks Entry'!AS51,""))</f>
        <v/>
      </c>
      <c r="DE51" s="826" t="str">
        <f>IF('Marks Entry'!AT51="","",IF(OR('Master Sheet'!$D$19="YES",'Marks Entry'!$BA$1=1),'Marks Entry'!AT51,""))</f>
        <v/>
      </c>
      <c r="DF51" s="826" t="str">
        <f>IF('Marks Entry'!AU51="","",IF(OR('Master Sheet'!$D$19="YES",'Marks Entry'!$BA$1=1),'Marks Entry'!AU51,""))</f>
        <v/>
      </c>
      <c r="DG51" s="826" t="str">
        <f>IF('Marks Entry'!AV51="","",IF(OR('Master Sheet'!$D$19="YES",'Marks Entry'!$BA$1=1),'Marks Entry'!AV51,""))</f>
        <v/>
      </c>
      <c r="DH51" s="827" t="str">
        <f t="shared" si="109"/>
        <v/>
      </c>
      <c r="DI51" s="826" t="str">
        <f>IF('Marks Entry'!AW51="","",IF(OR('Master Sheet'!$D$19="YES",'Marks Entry'!$BA$1=1),'Marks Entry'!AW51,""))</f>
        <v/>
      </c>
      <c r="DJ51" s="826" t="str">
        <f>IF('Marks Entry'!AX51="","",IF(OR('Master Sheet'!$D$19="YES",'Marks Entry'!$BA$1=1),'Marks Entry'!AX51,""))</f>
        <v/>
      </c>
      <c r="DK51" s="827" t="str">
        <f t="shared" si="110"/>
        <v/>
      </c>
      <c r="DL51" s="827" t="str">
        <f t="shared" si="111"/>
        <v/>
      </c>
      <c r="DM51" s="826" t="str">
        <f>IF('Marks Entry'!AY51="","",IF(OR('Master Sheet'!$D$19="YES",'Marks Entry'!$BA$1=1),'Marks Entry'!AY51,""))</f>
        <v/>
      </c>
      <c r="DN51" s="826" t="str">
        <f>IF('Marks Entry'!AZ51="","",IF(OR('Master Sheet'!$D$19="YES",'Marks Entry'!$BA$1=1),'Marks Entry'!AZ51,""))</f>
        <v/>
      </c>
      <c r="DO51" s="826" t="str">
        <f>IF('Marks Entry'!BA51="","",IF(OR('Master Sheet'!$D$19="YES",'Marks Entry'!$BA$1=1),'Marks Entry'!BA51,""))</f>
        <v/>
      </c>
      <c r="DP51" s="827" t="str">
        <f t="shared" si="112"/>
        <v/>
      </c>
      <c r="DQ51" s="157" t="str">
        <f t="shared" si="113"/>
        <v/>
      </c>
      <c r="DR51" s="157" t="str">
        <f t="shared" si="114"/>
        <v/>
      </c>
      <c r="DS51" s="157" t="str">
        <f t="shared" si="115"/>
        <v/>
      </c>
      <c r="DT51" s="192" t="str">
        <f t="shared" si="116"/>
        <v/>
      </c>
      <c r="DU51" s="153">
        <f t="shared" si="117"/>
        <v>0</v>
      </c>
      <c r="DV51" s="154" t="e">
        <f t="shared" si="118"/>
        <v>#VALUE!</v>
      </c>
      <c r="DW51" s="154" t="str">
        <f t="shared" si="119"/>
        <v/>
      </c>
      <c r="DX51" s="154" t="str">
        <f>IF(OR($B51="NSO",$B51=0,DS51=""),"",IF(AND(DJ51="",DO51=""),"",IF('Master Sheet'!$D$19="YES",$DO$6-COUNTIF(DO51,"ML")*DO$6,DS$6-(COUNTIF(DJ51,"ML")*DJ$6)-(COUNTIF(DO51,"ML")*DO$6))))</f>
        <v/>
      </c>
      <c r="DY51" s="154" t="str">
        <f>IF(OR($B51="NSO",$B51=0),"",IF(AND(DH51="",DI51="",DM51=""),"",IF(AND('Master Sheet'!$D$19="YES",'Marks Entry'!$BA$1=1),100,IF(AND(DJ51="",DO51=""),SUM(($DQ$7+$DR$7)-(DU51+DV51)),SUM(($DQ$6+$DR$6)-(DU51+DV51))))))</f>
        <v/>
      </c>
      <c r="DZ51" s="153" t="str">
        <f t="shared" si="120"/>
        <v/>
      </c>
      <c r="EA51" s="154" t="str">
        <f t="shared" si="121"/>
        <v/>
      </c>
      <c r="EB51" s="153" t="str">
        <f t="shared" si="122"/>
        <v/>
      </c>
      <c r="EC51" s="584" t="str">
        <f>IF('Marks Entry'!BB51="","",'Marks Entry'!BB51)</f>
        <v/>
      </c>
      <c r="ED51" s="584" t="str">
        <f>IF('Marks Entry'!BC51="","",'Marks Entry'!BC51)</f>
        <v/>
      </c>
      <c r="EE51" s="584" t="str">
        <f>IF('Marks Entry'!BD51="","",'Marks Entry'!BD51)</f>
        <v/>
      </c>
      <c r="EF51" s="590" t="str">
        <f t="shared" si="123"/>
        <v/>
      </c>
      <c r="EG51" s="595">
        <f t="shared" si="124"/>
        <v>0</v>
      </c>
      <c r="EH51" s="595">
        <f t="shared" si="125"/>
        <v>0</v>
      </c>
      <c r="EI51" s="193" t="str">
        <f t="shared" si="126"/>
        <v/>
      </c>
      <c r="EJ51" s="595" t="str">
        <f t="shared" si="127"/>
        <v/>
      </c>
      <c r="EK51" s="595" t="str">
        <f t="shared" si="128"/>
        <v/>
      </c>
      <c r="EL51" s="194" t="str">
        <f t="shared" si="129"/>
        <v/>
      </c>
      <c r="EM51" s="194" t="str">
        <f t="shared" si="130"/>
        <v/>
      </c>
      <c r="EN51" s="194" t="str">
        <f t="shared" si="131"/>
        <v/>
      </c>
      <c r="EO51" s="194" t="str">
        <f t="shared" si="132"/>
        <v/>
      </c>
      <c r="EP51" s="194" t="str">
        <f t="shared" si="133"/>
        <v/>
      </c>
      <c r="EQ51" s="194" t="str">
        <f t="shared" si="134"/>
        <v/>
      </c>
      <c r="ER51" s="195">
        <f t="shared" si="135"/>
        <v>0</v>
      </c>
      <c r="ES51" s="195">
        <f t="shared" si="136"/>
        <v>0</v>
      </c>
      <c r="ET51" s="195">
        <f t="shared" si="137"/>
        <v>0</v>
      </c>
      <c r="EU51" s="195">
        <f t="shared" si="138"/>
        <v>0</v>
      </c>
      <c r="EV51" s="195">
        <f t="shared" si="139"/>
        <v>0</v>
      </c>
      <c r="EW51" s="195" t="str">
        <f t="shared" si="140"/>
        <v/>
      </c>
      <c r="EX51" s="196" t="str">
        <f t="shared" si="141"/>
        <v/>
      </c>
      <c r="EY51" s="197" t="str">
        <f>IF('Marks Entry'!BE51="","",'Marks Entry'!BE51)</f>
        <v/>
      </c>
      <c r="EZ51" s="197" t="str">
        <f>IF('Marks Entry'!BF51="","",'Marks Entry'!BF51)</f>
        <v/>
      </c>
      <c r="FA51" s="197" t="str">
        <f>IF('Marks Entry'!BG51="","",'Marks Entry'!BG51)</f>
        <v/>
      </c>
      <c r="FB51" s="596" t="str">
        <f t="shared" si="142"/>
        <v/>
      </c>
      <c r="FC51" s="197" t="str">
        <f>IF('Marks Entry'!BH51="","",'Marks Entry'!BH51)</f>
        <v/>
      </c>
      <c r="FD51" s="197" t="str">
        <f>IF('Marks Entry'!BI51="","",'Marks Entry'!BI51)</f>
        <v/>
      </c>
      <c r="FE51" s="198" t="str">
        <f t="shared" si="143"/>
        <v/>
      </c>
      <c r="FF51" s="199" t="str">
        <f t="shared" si="144"/>
        <v/>
      </c>
      <c r="FG51" s="200" t="str">
        <f>IF(AND(E51=""),"",IF('Student DATA Entry'!L47="","",'Student DATA Entry'!L47))</f>
        <v/>
      </c>
      <c r="FH51" s="201" t="str">
        <f>IF(AND(E51=""),"",IF('Student DATA Entry'!M47="","",'Student DATA Entry'!M47))</f>
        <v/>
      </c>
      <c r="FI51" s="202" t="str">
        <f t="shared" si="145"/>
        <v/>
      </c>
      <c r="FJ51" s="189" t="str">
        <f t="shared" si="146"/>
        <v/>
      </c>
      <c r="FK51" s="189" t="str">
        <f t="shared" si="147"/>
        <v/>
      </c>
      <c r="FL51" s="203" t="str">
        <f t="shared" si="178"/>
        <v/>
      </c>
      <c r="FM51" s="189" t="str">
        <f t="shared" si="148"/>
        <v/>
      </c>
      <c r="FN51" s="204" t="str">
        <f t="shared" si="149"/>
        <v/>
      </c>
      <c r="FO51" s="203" t="str">
        <f t="shared" si="179"/>
        <v/>
      </c>
      <c r="FP51" s="205" t="str">
        <f t="shared" si="150"/>
        <v/>
      </c>
      <c r="FQ51" s="189" t="str">
        <f t="shared" si="180"/>
        <v/>
      </c>
      <c r="FR51" s="189" t="str">
        <f t="shared" si="181"/>
        <v/>
      </c>
      <c r="FS51" s="189" t="str">
        <f t="shared" si="182"/>
        <v/>
      </c>
      <c r="FT51" s="189" t="str">
        <f t="shared" si="183"/>
        <v/>
      </c>
      <c r="FU51" s="189" t="str">
        <f t="shared" si="151"/>
        <v/>
      </c>
      <c r="FV51" s="206" t="str">
        <f t="shared" si="184"/>
        <v/>
      </c>
      <c r="FW51" s="205" t="str">
        <f t="shared" si="152"/>
        <v/>
      </c>
      <c r="FX51" s="189" t="str">
        <f t="shared" si="185"/>
        <v/>
      </c>
      <c r="FY51" s="189" t="str">
        <f t="shared" si="186"/>
        <v/>
      </c>
      <c r="FZ51" s="189" t="str">
        <f t="shared" si="187"/>
        <v/>
      </c>
      <c r="GA51" s="189" t="str">
        <f t="shared" si="188"/>
        <v/>
      </c>
      <c r="GB51" s="189" t="str">
        <f t="shared" si="153"/>
        <v/>
      </c>
      <c r="GC51" s="206" t="str">
        <f t="shared" si="189"/>
        <v/>
      </c>
      <c r="GD51" s="205" t="str">
        <f t="shared" si="154"/>
        <v/>
      </c>
      <c r="GE51" s="189" t="str">
        <f t="shared" si="190"/>
        <v/>
      </c>
      <c r="GF51" s="189" t="str">
        <f t="shared" si="191"/>
        <v/>
      </c>
      <c r="GG51" s="189" t="str">
        <f t="shared" si="192"/>
        <v/>
      </c>
      <c r="GH51" s="189" t="str">
        <f t="shared" si="193"/>
        <v/>
      </c>
      <c r="GI51" s="189" t="str">
        <f t="shared" si="155"/>
        <v/>
      </c>
      <c r="GJ51" s="206" t="str">
        <f t="shared" si="194"/>
        <v/>
      </c>
      <c r="GK51" s="205" t="str">
        <f t="shared" si="156"/>
        <v/>
      </c>
      <c r="GL51" s="189" t="str">
        <f t="shared" si="195"/>
        <v/>
      </c>
      <c r="GM51" s="189" t="str">
        <f t="shared" si="196"/>
        <v/>
      </c>
      <c r="GN51" s="189" t="str">
        <f t="shared" si="197"/>
        <v/>
      </c>
      <c r="GO51" s="189" t="str">
        <f t="shared" si="198"/>
        <v/>
      </c>
      <c r="GP51" s="189" t="str">
        <f t="shared" si="157"/>
        <v/>
      </c>
      <c r="GQ51" s="206" t="str">
        <f t="shared" si="199"/>
        <v/>
      </c>
      <c r="GR51" s="189" t="str">
        <f t="shared" si="158"/>
        <v/>
      </c>
      <c r="GS51" s="189" t="str">
        <f t="shared" si="159"/>
        <v/>
      </c>
      <c r="GT51" s="207" t="str">
        <f t="shared" si="177"/>
        <v xml:space="preserve">    </v>
      </c>
      <c r="GU51" s="207" t="str">
        <f t="shared" si="160"/>
        <v xml:space="preserve">    </v>
      </c>
      <c r="GV51" s="207" t="str">
        <f t="shared" si="161"/>
        <v xml:space="preserve">    </v>
      </c>
      <c r="GW51" s="207" t="str">
        <f t="shared" si="162"/>
        <v xml:space="preserve">       </v>
      </c>
      <c r="GX51" s="598" t="str">
        <f t="shared" si="163"/>
        <v xml:space="preserve">     </v>
      </c>
      <c r="GY51" s="208" t="str">
        <f t="shared" si="200"/>
        <v/>
      </c>
      <c r="GZ51" s="606" t="str">
        <f>IF(AND(Q51="",AE51="",AZ51="",BW51="",CT51=""),"",IF(AND('Master Sheet'!$D$19="YES",'Marks Entry'!$BA$1=1),SUM(Q51,AE51,AZ51,BW51,DT51),SUM(Q51,AE51,AZ51,BW51,CT51)))</f>
        <v/>
      </c>
      <c r="HA51" s="209" t="str">
        <f>IF(GZ51="","",IF(AND('Master Sheet'!$D$19="YES",'Marks Entry'!$BA$1=1),GZ51/((900)-DC51)*100,GZ51/((1000)-DC51)*100))</f>
        <v/>
      </c>
      <c r="HB51" s="611" t="str">
        <f t="shared" si="165"/>
        <v/>
      </c>
      <c r="HC51" s="609" t="str">
        <f t="shared" si="166"/>
        <v/>
      </c>
      <c r="HD51" s="610" t="str">
        <f t="shared" si="167"/>
        <v/>
      </c>
      <c r="HE51" s="210" t="str">
        <f>IFERROR(IF(OR(GY51="SUPPLEMENTARY",GY51="RE-EXAM"),'Supp. Result Entry'!AS50,""),"")</f>
        <v/>
      </c>
      <c r="HF51" s="613" t="str">
        <f t="shared" si="168"/>
        <v/>
      </c>
      <c r="HG51" s="598" t="str">
        <f t="shared" si="169"/>
        <v/>
      </c>
      <c r="HH51" s="598" t="str">
        <f>IF(AND(HE51="",HF51="",HG51=""),"",IF(OR(GY51="SUPPLEMENTARY",GY51="RE-EXAM"),'Supp. Result Entry'!AS50,GY51))</f>
        <v/>
      </c>
      <c r="HI51" s="180"/>
      <c r="HJ51" s="214"/>
      <c r="HY51" s="212" t="str">
        <f>IF('Supp. Result Entry'!U50="","",'Supp. Result Entry'!$U$6)</f>
        <v/>
      </c>
      <c r="HZ51" s="213" t="str">
        <f>IF('Supp. Result Entry'!X50="","",'Supp. Result Entry'!$X$6)</f>
        <v/>
      </c>
      <c r="IA51" s="213" t="str">
        <f>IF('Supp. Result Entry'!AA50="","",'Supp. Result Entry'!$AA$6)</f>
        <v/>
      </c>
      <c r="IB51" s="213" t="str">
        <f>IF('Supp. Result Entry'!AD50="","",'Supp. Result Entry'!$AD$6)</f>
        <v/>
      </c>
      <c r="IC51" s="213" t="str">
        <f>IF('Supp. Result Entry'!AG50="","",'Supp. Result Entry'!$AG$6)</f>
        <v/>
      </c>
      <c r="ID51" s="213" t="str">
        <f>IF('Supp. Result Entry'!AJ50="","",'Supp. Result Entry'!$AJ$6)</f>
        <v/>
      </c>
      <c r="IE51" s="213" t="str">
        <f>IF('Supp. Result Entry'!V50="","",'Supp. Result Entry'!V50)</f>
        <v/>
      </c>
      <c r="IF51" s="213" t="str">
        <f>IF('Supp. Result Entry'!Y50="","",'Supp. Result Entry'!Y50)</f>
        <v/>
      </c>
      <c r="IG51" s="213" t="str">
        <f>IF('Supp. Result Entry'!AB50="","",'Supp. Result Entry'!AB50)</f>
        <v/>
      </c>
      <c r="IH51" s="213" t="str">
        <f>IF('Supp. Result Entry'!AE50="","",'Supp. Result Entry'!AE50)</f>
        <v/>
      </c>
      <c r="II51" s="213" t="str">
        <f>IF('Supp. Result Entry'!AH50="","",'Supp. Result Entry'!AH50)</f>
        <v/>
      </c>
      <c r="IJ51" s="213" t="str">
        <f>IF('Supp. Result Entry'!AK50="","",'Supp. Result Entry'!AK50)</f>
        <v/>
      </c>
      <c r="IK51" s="213" t="str">
        <f>IF('Supp. Result Entry'!W50="","",'Supp. Result Entry'!W50)</f>
        <v/>
      </c>
      <c r="IL51" s="213" t="str">
        <f>IF('Supp. Result Entry'!Z50="","",'Supp. Result Entry'!Z50)</f>
        <v/>
      </c>
      <c r="IM51" s="213" t="str">
        <f>IF('Supp. Result Entry'!AC50="","",'Supp. Result Entry'!AC50)</f>
        <v/>
      </c>
      <c r="IN51" s="213" t="str">
        <f>IF('Supp. Result Entry'!AF50="","",'Supp. Result Entry'!AF50)</f>
        <v/>
      </c>
      <c r="IO51" s="213" t="str">
        <f>IF('Supp. Result Entry'!AI50="","",'Supp. Result Entry'!AI50)</f>
        <v/>
      </c>
      <c r="IP51" s="213" t="str">
        <f>IF('Supp. Result Entry'!AL50="","",'Supp. Result Entry'!AL50)</f>
        <v/>
      </c>
      <c r="IQ51" s="213">
        <f>COUNTIF('Supp. Result Entry'!K50:Q50,"S")</f>
        <v>0</v>
      </c>
      <c r="IR51" s="213">
        <f t="shared" si="170"/>
        <v>0</v>
      </c>
      <c r="IS51" s="213">
        <f t="shared" si="171"/>
        <v>0</v>
      </c>
      <c r="IT51" s="213" t="str">
        <f t="shared" si="41"/>
        <v/>
      </c>
      <c r="IU51" s="213" t="str">
        <f t="shared" si="42"/>
        <v/>
      </c>
      <c r="IV51" s="213" t="str">
        <f t="shared" si="43"/>
        <v/>
      </c>
      <c r="IW51" s="213" t="str">
        <f t="shared" si="44"/>
        <v/>
      </c>
      <c r="IX51" s="213" t="str">
        <f t="shared" si="45"/>
        <v/>
      </c>
      <c r="IY51" s="213" t="str">
        <f t="shared" si="172"/>
        <v/>
      </c>
      <c r="IZ51" s="213" t="str">
        <f t="shared" si="173"/>
        <v/>
      </c>
      <c r="JA51" s="213" t="str">
        <f t="shared" si="46"/>
        <v/>
      </c>
      <c r="JB51" s="211" t="str">
        <f t="shared" si="174"/>
        <v/>
      </c>
    </row>
    <row r="52" spans="1:262" s="211" customFormat="1" ht="21" customHeight="1">
      <c r="A52" s="184">
        <v>45</v>
      </c>
      <c r="B52" s="185" t="str">
        <f>IF('Marks Entry'!B52="","",'Marks Entry'!B52)</f>
        <v/>
      </c>
      <c r="C52" s="186" t="str">
        <f>IF('Marks Entry'!D52="","",'Marks Entry'!D52)</f>
        <v/>
      </c>
      <c r="D52" s="187" t="str">
        <f>IF('Marks Entry'!E52="","",'Marks Entry'!E52)</f>
        <v/>
      </c>
      <c r="E52" s="188" t="str">
        <f>IF('Marks Entry'!F52="","",'Marks Entry'!F52)</f>
        <v/>
      </c>
      <c r="F52" s="188" t="str">
        <f>IF('Marks Entry'!G52="","",'Marks Entry'!G52)</f>
        <v/>
      </c>
      <c r="G52" s="188" t="str">
        <f>IF('Marks Entry'!H52="","",'Marks Entry'!H52)</f>
        <v/>
      </c>
      <c r="H52" s="189" t="str">
        <f>IF('Marks Entry'!I52="","",'Marks Entry'!I52)</f>
        <v/>
      </c>
      <c r="I52" s="190" t="str">
        <f>IF('Marks Entry'!J52="","",'Marks Entry'!J52)</f>
        <v/>
      </c>
      <c r="J52" s="545" t="str">
        <f>IF('Marks Entry'!K52="","",'Marks Entry'!K52)</f>
        <v/>
      </c>
      <c r="K52" s="545" t="str">
        <f>IF('Marks Entry'!L52="","",'Marks Entry'!L52)</f>
        <v/>
      </c>
      <c r="L52" s="545" t="str">
        <f>IF('Marks Entry'!M52="","",'Marks Entry'!M52)</f>
        <v/>
      </c>
      <c r="M52" s="546" t="str">
        <f t="shared" si="47"/>
        <v/>
      </c>
      <c r="N52" s="545" t="str">
        <f>IF('Marks Entry'!N52="","",'Marks Entry'!N52)</f>
        <v/>
      </c>
      <c r="O52" s="546" t="str">
        <f t="shared" si="48"/>
        <v/>
      </c>
      <c r="P52" s="545" t="str">
        <f>IF('Marks Entry'!O52="","",'Marks Entry'!O52)</f>
        <v/>
      </c>
      <c r="Q52" s="547" t="str">
        <f t="shared" si="49"/>
        <v/>
      </c>
      <c r="R52" s="153">
        <f t="shared" si="50"/>
        <v>0</v>
      </c>
      <c r="S52" s="153">
        <f t="shared" si="51"/>
        <v>0</v>
      </c>
      <c r="T52" s="154" t="str">
        <f t="shared" si="52"/>
        <v/>
      </c>
      <c r="U52" s="153" t="str">
        <f t="shared" si="53"/>
        <v/>
      </c>
      <c r="V52" s="153" t="str">
        <f t="shared" si="54"/>
        <v/>
      </c>
      <c r="W52" s="153" t="str">
        <f t="shared" si="55"/>
        <v/>
      </c>
      <c r="X52" s="545" t="str">
        <f>IF('Marks Entry'!P52="","",'Marks Entry'!P52)</f>
        <v/>
      </c>
      <c r="Y52" s="545" t="str">
        <f>IF('Marks Entry'!Q52="","",'Marks Entry'!Q52)</f>
        <v/>
      </c>
      <c r="Z52" s="545" t="str">
        <f>IF('Marks Entry'!R52="","",'Marks Entry'!R52)</f>
        <v/>
      </c>
      <c r="AA52" s="546" t="str">
        <f t="shared" si="56"/>
        <v/>
      </c>
      <c r="AB52" s="545" t="str">
        <f>IF('Marks Entry'!S52="","",'Marks Entry'!S52)</f>
        <v/>
      </c>
      <c r="AC52" s="546" t="str">
        <f t="shared" si="57"/>
        <v/>
      </c>
      <c r="AD52" s="545" t="str">
        <f>IF('Marks Entry'!T52="","",'Marks Entry'!T52)</f>
        <v/>
      </c>
      <c r="AE52" s="547" t="str">
        <f t="shared" si="58"/>
        <v/>
      </c>
      <c r="AF52" s="153">
        <f t="shared" si="59"/>
        <v>0</v>
      </c>
      <c r="AG52" s="153">
        <f t="shared" si="60"/>
        <v>0</v>
      </c>
      <c r="AH52" s="154" t="str">
        <f t="shared" si="61"/>
        <v/>
      </c>
      <c r="AI52" s="153" t="str">
        <f t="shared" si="62"/>
        <v/>
      </c>
      <c r="AJ52" s="153" t="str">
        <f t="shared" si="63"/>
        <v/>
      </c>
      <c r="AK52" s="153" t="str">
        <f t="shared" si="64"/>
        <v/>
      </c>
      <c r="AL52" s="573" t="str">
        <f>IF('Marks Entry'!U52="","",'Marks Entry'!U52)</f>
        <v/>
      </c>
      <c r="AM52" s="573" t="str">
        <f>IF('Marks Entry'!V52="","",'Marks Entry'!V52)</f>
        <v/>
      </c>
      <c r="AN52" s="573" t="str">
        <f>IF('Marks Entry'!W52="","",'Marks Entry'!W52)</f>
        <v/>
      </c>
      <c r="AO52" s="573" t="str">
        <f>IF('Marks Entry'!X52="","",'Marks Entry'!X52)</f>
        <v/>
      </c>
      <c r="AP52" s="572" t="str">
        <f t="shared" si="65"/>
        <v/>
      </c>
      <c r="AQ52" s="573" t="str">
        <f>IF('Marks Entry'!Y52="","",'Marks Entry'!Y52)</f>
        <v/>
      </c>
      <c r="AR52" s="573" t="str">
        <f>IF('Marks Entry'!Z52="","",'Marks Entry'!Z52)</f>
        <v/>
      </c>
      <c r="AS52" s="572" t="str">
        <f t="shared" si="66"/>
        <v/>
      </c>
      <c r="AT52" s="572" t="str">
        <f t="shared" si="67"/>
        <v/>
      </c>
      <c r="AU52" s="573" t="str">
        <f>IF('Marks Entry'!AA52="","",'Marks Entry'!AA52)</f>
        <v/>
      </c>
      <c r="AV52" s="573" t="str">
        <f>IF('Marks Entry'!AB52="","",'Marks Entry'!AB52)</f>
        <v/>
      </c>
      <c r="AW52" s="572" t="str">
        <f t="shared" si="68"/>
        <v/>
      </c>
      <c r="AX52" s="157" t="str">
        <f t="shared" si="69"/>
        <v/>
      </c>
      <c r="AY52" s="157" t="str">
        <f t="shared" si="70"/>
        <v/>
      </c>
      <c r="AZ52" s="192" t="str">
        <f t="shared" si="71"/>
        <v/>
      </c>
      <c r="BA52" s="153">
        <f t="shared" si="72"/>
        <v>0</v>
      </c>
      <c r="BB52" s="154">
        <f t="shared" si="73"/>
        <v>0</v>
      </c>
      <c r="BC52" s="154" t="str">
        <f t="shared" si="74"/>
        <v/>
      </c>
      <c r="BD52" s="154" t="str">
        <f t="shared" si="75"/>
        <v/>
      </c>
      <c r="BE52" s="154" t="str">
        <f t="shared" si="76"/>
        <v/>
      </c>
      <c r="BF52" s="153" t="str">
        <f t="shared" si="77"/>
        <v/>
      </c>
      <c r="BG52" s="154" t="str">
        <f t="shared" si="175"/>
        <v/>
      </c>
      <c r="BH52" s="153" t="str">
        <f t="shared" si="78"/>
        <v/>
      </c>
      <c r="BI52" s="580" t="str">
        <f>IF('Marks Entry'!AC52="","",'Marks Entry'!AC52)</f>
        <v/>
      </c>
      <c r="BJ52" s="580" t="str">
        <f>IF('Marks Entry'!AD52="","",'Marks Entry'!AD52)</f>
        <v/>
      </c>
      <c r="BK52" s="580" t="str">
        <f>IF('Marks Entry'!AE52="","",'Marks Entry'!AE52)</f>
        <v/>
      </c>
      <c r="BL52" s="580" t="str">
        <f>IF('Marks Entry'!AF52="","",'Marks Entry'!AF52)</f>
        <v/>
      </c>
      <c r="BM52" s="581" t="str">
        <f t="shared" si="79"/>
        <v/>
      </c>
      <c r="BN52" s="580" t="str">
        <f>IF('Marks Entry'!AG52="","",'Marks Entry'!AG52)</f>
        <v/>
      </c>
      <c r="BO52" s="580" t="str">
        <f>IF('Marks Entry'!AH52="","",'Marks Entry'!AH52)</f>
        <v/>
      </c>
      <c r="BP52" s="581" t="str">
        <f t="shared" si="80"/>
        <v/>
      </c>
      <c r="BQ52" s="581" t="str">
        <f t="shared" si="81"/>
        <v/>
      </c>
      <c r="BR52" s="580" t="str">
        <f>IF('Marks Entry'!AI52="","",'Marks Entry'!AI52)</f>
        <v/>
      </c>
      <c r="BS52" s="580" t="str">
        <f>IF('Marks Entry'!AJ52="","",'Marks Entry'!AJ52)</f>
        <v/>
      </c>
      <c r="BT52" s="581" t="str">
        <f t="shared" si="82"/>
        <v/>
      </c>
      <c r="BU52" s="157" t="str">
        <f t="shared" si="83"/>
        <v/>
      </c>
      <c r="BV52" s="157" t="str">
        <f t="shared" si="84"/>
        <v/>
      </c>
      <c r="BW52" s="192" t="str">
        <f t="shared" si="85"/>
        <v/>
      </c>
      <c r="BX52" s="153">
        <f t="shared" si="86"/>
        <v>0</v>
      </c>
      <c r="BY52" s="154">
        <f t="shared" si="87"/>
        <v>0</v>
      </c>
      <c r="BZ52" s="154" t="str">
        <f t="shared" si="88"/>
        <v/>
      </c>
      <c r="CA52" s="154" t="str">
        <f t="shared" si="89"/>
        <v/>
      </c>
      <c r="CB52" s="154" t="str">
        <f t="shared" si="90"/>
        <v/>
      </c>
      <c r="CC52" s="153" t="str">
        <f t="shared" si="91"/>
        <v/>
      </c>
      <c r="CD52" s="154" t="str">
        <f t="shared" si="92"/>
        <v/>
      </c>
      <c r="CE52" s="153" t="str">
        <f t="shared" si="93"/>
        <v/>
      </c>
      <c r="CF52" s="580" t="str">
        <f>IF('Marks Entry'!AK52="","",'Marks Entry'!AK52)</f>
        <v/>
      </c>
      <c r="CG52" s="580" t="str">
        <f>IF('Marks Entry'!AL52="","",'Marks Entry'!AL52)</f>
        <v/>
      </c>
      <c r="CH52" s="580" t="str">
        <f>IF('Marks Entry'!AM52="","",'Marks Entry'!AM52)</f>
        <v/>
      </c>
      <c r="CI52" s="580" t="str">
        <f>IF('Marks Entry'!AN52="","",'Marks Entry'!AN52)</f>
        <v/>
      </c>
      <c r="CJ52" s="581" t="str">
        <f t="shared" si="94"/>
        <v/>
      </c>
      <c r="CK52" s="580" t="str">
        <f>IF('Marks Entry'!AO52="","",'Marks Entry'!AO52)</f>
        <v/>
      </c>
      <c r="CL52" s="580" t="str">
        <f>IF('Marks Entry'!AP52="","",'Marks Entry'!AP52)</f>
        <v/>
      </c>
      <c r="CM52" s="581" t="str">
        <f t="shared" si="95"/>
        <v/>
      </c>
      <c r="CN52" s="581" t="str">
        <f t="shared" si="96"/>
        <v/>
      </c>
      <c r="CO52" s="580" t="str">
        <f>IF('Marks Entry'!AQ52="","",'Marks Entry'!AQ52)</f>
        <v/>
      </c>
      <c r="CP52" s="580" t="str">
        <f>IF('Marks Entry'!AR52="","",'Marks Entry'!AR52)</f>
        <v/>
      </c>
      <c r="CQ52" s="581" t="str">
        <f t="shared" si="97"/>
        <v/>
      </c>
      <c r="CR52" s="157" t="str">
        <f t="shared" si="98"/>
        <v/>
      </c>
      <c r="CS52" s="157" t="str">
        <f t="shared" si="99"/>
        <v/>
      </c>
      <c r="CT52" s="192" t="str">
        <f t="shared" si="100"/>
        <v/>
      </c>
      <c r="CU52" s="153">
        <f t="shared" si="101"/>
        <v>0</v>
      </c>
      <c r="CV52" s="154">
        <f t="shared" si="102"/>
        <v>0</v>
      </c>
      <c r="CW52" s="154" t="str">
        <f t="shared" si="103"/>
        <v/>
      </c>
      <c r="CX52" s="154" t="str">
        <f t="shared" si="104"/>
        <v/>
      </c>
      <c r="CY52" s="154" t="str">
        <f t="shared" si="176"/>
        <v/>
      </c>
      <c r="CZ52" s="153" t="str">
        <f t="shared" si="105"/>
        <v/>
      </c>
      <c r="DA52" s="154" t="str">
        <f t="shared" si="106"/>
        <v/>
      </c>
      <c r="DB52" s="153" t="str">
        <f t="shared" si="107"/>
        <v/>
      </c>
      <c r="DC52" s="154">
        <f t="shared" si="108"/>
        <v>0</v>
      </c>
      <c r="DD52" s="826" t="str">
        <f>IF('Marks Entry'!AS52="","",IF(OR('Master Sheet'!$D$19="YES",'Marks Entry'!$BA$1=1),'Marks Entry'!AS52,""))</f>
        <v/>
      </c>
      <c r="DE52" s="826" t="str">
        <f>IF('Marks Entry'!AT52="","",IF(OR('Master Sheet'!$D$19="YES",'Marks Entry'!$BA$1=1),'Marks Entry'!AT52,""))</f>
        <v/>
      </c>
      <c r="DF52" s="826" t="str">
        <f>IF('Marks Entry'!AU52="","",IF(OR('Master Sheet'!$D$19="YES",'Marks Entry'!$BA$1=1),'Marks Entry'!AU52,""))</f>
        <v/>
      </c>
      <c r="DG52" s="826" t="str">
        <f>IF('Marks Entry'!AV52="","",IF(OR('Master Sheet'!$D$19="YES",'Marks Entry'!$BA$1=1),'Marks Entry'!AV52,""))</f>
        <v/>
      </c>
      <c r="DH52" s="827" t="str">
        <f t="shared" si="109"/>
        <v/>
      </c>
      <c r="DI52" s="826" t="str">
        <f>IF('Marks Entry'!AW52="","",IF(OR('Master Sheet'!$D$19="YES",'Marks Entry'!$BA$1=1),'Marks Entry'!AW52,""))</f>
        <v/>
      </c>
      <c r="DJ52" s="826" t="str">
        <f>IF('Marks Entry'!AX52="","",IF(OR('Master Sheet'!$D$19="YES",'Marks Entry'!$BA$1=1),'Marks Entry'!AX52,""))</f>
        <v/>
      </c>
      <c r="DK52" s="827" t="str">
        <f t="shared" si="110"/>
        <v/>
      </c>
      <c r="DL52" s="827" t="str">
        <f t="shared" si="111"/>
        <v/>
      </c>
      <c r="DM52" s="826" t="str">
        <f>IF('Marks Entry'!AY52="","",IF(OR('Master Sheet'!$D$19="YES",'Marks Entry'!$BA$1=1),'Marks Entry'!AY52,""))</f>
        <v/>
      </c>
      <c r="DN52" s="826" t="str">
        <f>IF('Marks Entry'!AZ52="","",IF(OR('Master Sheet'!$D$19="YES",'Marks Entry'!$BA$1=1),'Marks Entry'!AZ52,""))</f>
        <v/>
      </c>
      <c r="DO52" s="826" t="str">
        <f>IF('Marks Entry'!BA52="","",IF(OR('Master Sheet'!$D$19="YES",'Marks Entry'!$BA$1=1),'Marks Entry'!BA52,""))</f>
        <v/>
      </c>
      <c r="DP52" s="827" t="str">
        <f t="shared" si="112"/>
        <v/>
      </c>
      <c r="DQ52" s="157" t="str">
        <f t="shared" si="113"/>
        <v/>
      </c>
      <c r="DR52" s="157" t="str">
        <f t="shared" si="114"/>
        <v/>
      </c>
      <c r="DS52" s="157" t="str">
        <f t="shared" si="115"/>
        <v/>
      </c>
      <c r="DT52" s="192" t="str">
        <f t="shared" si="116"/>
        <v/>
      </c>
      <c r="DU52" s="153">
        <f t="shared" si="117"/>
        <v>0</v>
      </c>
      <c r="DV52" s="154" t="e">
        <f t="shared" si="118"/>
        <v>#VALUE!</v>
      </c>
      <c r="DW52" s="154" t="str">
        <f t="shared" si="119"/>
        <v/>
      </c>
      <c r="DX52" s="154" t="str">
        <f>IF(OR($B52="NSO",$B52=0,DS52=""),"",IF(AND(DJ52="",DO52=""),"",IF('Master Sheet'!$D$19="YES",$DO$6-COUNTIF(DO52,"ML")*DO$6,DS$6-(COUNTIF(DJ52,"ML")*DJ$6)-(COUNTIF(DO52,"ML")*DO$6))))</f>
        <v/>
      </c>
      <c r="DY52" s="154" t="str">
        <f>IF(OR($B52="NSO",$B52=0),"",IF(AND(DH52="",DI52="",DM52=""),"",IF(AND('Master Sheet'!$D$19="YES",'Marks Entry'!$BA$1=1),100,IF(AND(DJ52="",DO52=""),SUM(($DQ$7+$DR$7)-(DU52+DV52)),SUM(($DQ$6+$DR$6)-(DU52+DV52))))))</f>
        <v/>
      </c>
      <c r="DZ52" s="153" t="str">
        <f t="shared" si="120"/>
        <v/>
      </c>
      <c r="EA52" s="154" t="str">
        <f t="shared" si="121"/>
        <v/>
      </c>
      <c r="EB52" s="153" t="str">
        <f t="shared" si="122"/>
        <v/>
      </c>
      <c r="EC52" s="584" t="str">
        <f>IF('Marks Entry'!BB52="","",'Marks Entry'!BB52)</f>
        <v/>
      </c>
      <c r="ED52" s="584" t="str">
        <f>IF('Marks Entry'!BC52="","",'Marks Entry'!BC52)</f>
        <v/>
      </c>
      <c r="EE52" s="584" t="str">
        <f>IF('Marks Entry'!BD52="","",'Marks Entry'!BD52)</f>
        <v/>
      </c>
      <c r="EF52" s="590" t="str">
        <f t="shared" si="123"/>
        <v/>
      </c>
      <c r="EG52" s="595">
        <f t="shared" si="124"/>
        <v>0</v>
      </c>
      <c r="EH52" s="595">
        <f t="shared" si="125"/>
        <v>0</v>
      </c>
      <c r="EI52" s="193" t="str">
        <f t="shared" si="126"/>
        <v/>
      </c>
      <c r="EJ52" s="595" t="str">
        <f t="shared" si="127"/>
        <v/>
      </c>
      <c r="EK52" s="595" t="str">
        <f t="shared" si="128"/>
        <v/>
      </c>
      <c r="EL52" s="194" t="str">
        <f t="shared" si="129"/>
        <v/>
      </c>
      <c r="EM52" s="194" t="str">
        <f t="shared" si="130"/>
        <v/>
      </c>
      <c r="EN52" s="194" t="str">
        <f t="shared" si="131"/>
        <v/>
      </c>
      <c r="EO52" s="194" t="str">
        <f t="shared" si="132"/>
        <v/>
      </c>
      <c r="EP52" s="194" t="str">
        <f t="shared" si="133"/>
        <v/>
      </c>
      <c r="EQ52" s="194" t="str">
        <f t="shared" si="134"/>
        <v/>
      </c>
      <c r="ER52" s="195">
        <f t="shared" si="135"/>
        <v>0</v>
      </c>
      <c r="ES52" s="195">
        <f t="shared" si="136"/>
        <v>0</v>
      </c>
      <c r="ET52" s="195">
        <f t="shared" si="137"/>
        <v>0</v>
      </c>
      <c r="EU52" s="195">
        <f t="shared" si="138"/>
        <v>0</v>
      </c>
      <c r="EV52" s="195">
        <f t="shared" si="139"/>
        <v>0</v>
      </c>
      <c r="EW52" s="195" t="str">
        <f t="shared" si="140"/>
        <v/>
      </c>
      <c r="EX52" s="196" t="str">
        <f t="shared" si="141"/>
        <v/>
      </c>
      <c r="EY52" s="197" t="str">
        <f>IF('Marks Entry'!BE52="","",'Marks Entry'!BE52)</f>
        <v/>
      </c>
      <c r="EZ52" s="197" t="str">
        <f>IF('Marks Entry'!BF52="","",'Marks Entry'!BF52)</f>
        <v/>
      </c>
      <c r="FA52" s="197" t="str">
        <f>IF('Marks Entry'!BG52="","",'Marks Entry'!BG52)</f>
        <v/>
      </c>
      <c r="FB52" s="596" t="str">
        <f t="shared" si="142"/>
        <v/>
      </c>
      <c r="FC52" s="197" t="str">
        <f>IF('Marks Entry'!BH52="","",'Marks Entry'!BH52)</f>
        <v/>
      </c>
      <c r="FD52" s="197" t="str">
        <f>IF('Marks Entry'!BI52="","",'Marks Entry'!BI52)</f>
        <v/>
      </c>
      <c r="FE52" s="198" t="str">
        <f t="shared" si="143"/>
        <v/>
      </c>
      <c r="FF52" s="199" t="str">
        <f t="shared" si="144"/>
        <v/>
      </c>
      <c r="FG52" s="200" t="str">
        <f>IF(AND(E52=""),"",IF('Student DATA Entry'!L48="","",'Student DATA Entry'!L48))</f>
        <v/>
      </c>
      <c r="FH52" s="201" t="str">
        <f>IF(AND(E52=""),"",IF('Student DATA Entry'!M48="","",'Student DATA Entry'!M48))</f>
        <v/>
      </c>
      <c r="FI52" s="202" t="str">
        <f t="shared" si="145"/>
        <v/>
      </c>
      <c r="FJ52" s="189" t="str">
        <f t="shared" si="146"/>
        <v/>
      </c>
      <c r="FK52" s="189" t="str">
        <f t="shared" si="147"/>
        <v/>
      </c>
      <c r="FL52" s="203" t="str">
        <f t="shared" si="178"/>
        <v/>
      </c>
      <c r="FM52" s="189" t="str">
        <f t="shared" si="148"/>
        <v/>
      </c>
      <c r="FN52" s="204" t="str">
        <f t="shared" si="149"/>
        <v/>
      </c>
      <c r="FO52" s="203" t="str">
        <f t="shared" si="179"/>
        <v/>
      </c>
      <c r="FP52" s="205" t="str">
        <f t="shared" si="150"/>
        <v/>
      </c>
      <c r="FQ52" s="189" t="str">
        <f t="shared" si="180"/>
        <v/>
      </c>
      <c r="FR52" s="189" t="str">
        <f t="shared" si="181"/>
        <v/>
      </c>
      <c r="FS52" s="189" t="str">
        <f t="shared" si="182"/>
        <v/>
      </c>
      <c r="FT52" s="189" t="str">
        <f t="shared" si="183"/>
        <v/>
      </c>
      <c r="FU52" s="189" t="str">
        <f t="shared" si="151"/>
        <v/>
      </c>
      <c r="FV52" s="206" t="str">
        <f t="shared" si="184"/>
        <v/>
      </c>
      <c r="FW52" s="205" t="str">
        <f t="shared" si="152"/>
        <v/>
      </c>
      <c r="FX52" s="189" t="str">
        <f t="shared" si="185"/>
        <v/>
      </c>
      <c r="FY52" s="189" t="str">
        <f t="shared" si="186"/>
        <v/>
      </c>
      <c r="FZ52" s="189" t="str">
        <f t="shared" si="187"/>
        <v/>
      </c>
      <c r="GA52" s="189" t="str">
        <f t="shared" si="188"/>
        <v/>
      </c>
      <c r="GB52" s="189" t="str">
        <f t="shared" si="153"/>
        <v/>
      </c>
      <c r="GC52" s="206" t="str">
        <f t="shared" si="189"/>
        <v/>
      </c>
      <c r="GD52" s="205" t="str">
        <f t="shared" si="154"/>
        <v/>
      </c>
      <c r="GE52" s="189" t="str">
        <f t="shared" si="190"/>
        <v/>
      </c>
      <c r="GF52" s="189" t="str">
        <f t="shared" si="191"/>
        <v/>
      </c>
      <c r="GG52" s="189" t="str">
        <f t="shared" si="192"/>
        <v/>
      </c>
      <c r="GH52" s="189" t="str">
        <f t="shared" si="193"/>
        <v/>
      </c>
      <c r="GI52" s="189" t="str">
        <f t="shared" si="155"/>
        <v/>
      </c>
      <c r="GJ52" s="206" t="str">
        <f t="shared" si="194"/>
        <v/>
      </c>
      <c r="GK52" s="205" t="str">
        <f t="shared" si="156"/>
        <v/>
      </c>
      <c r="GL52" s="189" t="str">
        <f t="shared" si="195"/>
        <v/>
      </c>
      <c r="GM52" s="189" t="str">
        <f t="shared" si="196"/>
        <v/>
      </c>
      <c r="GN52" s="189" t="str">
        <f t="shared" si="197"/>
        <v/>
      </c>
      <c r="GO52" s="189" t="str">
        <f t="shared" si="198"/>
        <v/>
      </c>
      <c r="GP52" s="189" t="str">
        <f t="shared" si="157"/>
        <v/>
      </c>
      <c r="GQ52" s="206" t="str">
        <f t="shared" si="199"/>
        <v/>
      </c>
      <c r="GR52" s="189" t="str">
        <f t="shared" si="158"/>
        <v/>
      </c>
      <c r="GS52" s="189" t="str">
        <f t="shared" si="159"/>
        <v/>
      </c>
      <c r="GT52" s="207" t="str">
        <f t="shared" si="177"/>
        <v xml:space="preserve">    </v>
      </c>
      <c r="GU52" s="207" t="str">
        <f t="shared" si="160"/>
        <v xml:space="preserve">    </v>
      </c>
      <c r="GV52" s="207" t="str">
        <f t="shared" si="161"/>
        <v xml:space="preserve">    </v>
      </c>
      <c r="GW52" s="207" t="str">
        <f t="shared" si="162"/>
        <v xml:space="preserve">       </v>
      </c>
      <c r="GX52" s="598" t="str">
        <f t="shared" si="163"/>
        <v xml:space="preserve">     </v>
      </c>
      <c r="GY52" s="208" t="str">
        <f t="shared" si="200"/>
        <v/>
      </c>
      <c r="GZ52" s="606" t="str">
        <f>IF(AND(Q52="",AE52="",AZ52="",BW52="",CT52=""),"",IF(AND('Master Sheet'!$D$19="YES",'Marks Entry'!$BA$1=1),SUM(Q52,AE52,AZ52,BW52,DT52),SUM(Q52,AE52,AZ52,BW52,CT52)))</f>
        <v/>
      </c>
      <c r="HA52" s="209" t="str">
        <f>IF(GZ52="","",IF(AND('Master Sheet'!$D$19="YES",'Marks Entry'!$BA$1=1),GZ52/((900)-DC52)*100,GZ52/((1000)-DC52)*100))</f>
        <v/>
      </c>
      <c r="HB52" s="611" t="str">
        <f t="shared" si="165"/>
        <v/>
      </c>
      <c r="HC52" s="609" t="str">
        <f t="shared" si="166"/>
        <v/>
      </c>
      <c r="HD52" s="610" t="str">
        <f t="shared" si="167"/>
        <v/>
      </c>
      <c r="HE52" s="210" t="str">
        <f>IFERROR(IF(OR(GY52="SUPPLEMENTARY",GY52="RE-EXAM"),'Supp. Result Entry'!AS51,""),"")</f>
        <v/>
      </c>
      <c r="HF52" s="613" t="str">
        <f t="shared" si="168"/>
        <v/>
      </c>
      <c r="HG52" s="598" t="str">
        <f t="shared" si="169"/>
        <v/>
      </c>
      <c r="HH52" s="598" t="str">
        <f>IF(AND(HE52="",HF52="",HG52=""),"",IF(OR(GY52="SUPPLEMENTARY",GY52="RE-EXAM"),'Supp. Result Entry'!AS51,GY52))</f>
        <v/>
      </c>
      <c r="HI52" s="180"/>
      <c r="HJ52" s="214"/>
      <c r="HY52" s="212" t="str">
        <f>IF('Supp. Result Entry'!U51="","",'Supp. Result Entry'!$U$6)</f>
        <v/>
      </c>
      <c r="HZ52" s="213" t="str">
        <f>IF('Supp. Result Entry'!X51="","",'Supp. Result Entry'!$X$6)</f>
        <v/>
      </c>
      <c r="IA52" s="213" t="str">
        <f>IF('Supp. Result Entry'!AA51="","",'Supp. Result Entry'!$AA$6)</f>
        <v/>
      </c>
      <c r="IB52" s="213" t="str">
        <f>IF('Supp. Result Entry'!AD51="","",'Supp. Result Entry'!$AD$6)</f>
        <v/>
      </c>
      <c r="IC52" s="213" t="str">
        <f>IF('Supp. Result Entry'!AG51="","",'Supp. Result Entry'!$AG$6)</f>
        <v/>
      </c>
      <c r="ID52" s="213" t="str">
        <f>IF('Supp. Result Entry'!AJ51="","",'Supp. Result Entry'!$AJ$6)</f>
        <v/>
      </c>
      <c r="IE52" s="213" t="str">
        <f>IF('Supp. Result Entry'!V51="","",'Supp. Result Entry'!V51)</f>
        <v/>
      </c>
      <c r="IF52" s="213" t="str">
        <f>IF('Supp. Result Entry'!Y51="","",'Supp. Result Entry'!Y51)</f>
        <v/>
      </c>
      <c r="IG52" s="213" t="str">
        <f>IF('Supp. Result Entry'!AB51="","",'Supp. Result Entry'!AB51)</f>
        <v/>
      </c>
      <c r="IH52" s="213" t="str">
        <f>IF('Supp. Result Entry'!AE51="","",'Supp. Result Entry'!AE51)</f>
        <v/>
      </c>
      <c r="II52" s="213" t="str">
        <f>IF('Supp. Result Entry'!AH51="","",'Supp. Result Entry'!AH51)</f>
        <v/>
      </c>
      <c r="IJ52" s="213" t="str">
        <f>IF('Supp. Result Entry'!AK51="","",'Supp. Result Entry'!AK51)</f>
        <v/>
      </c>
      <c r="IK52" s="213" t="str">
        <f>IF('Supp. Result Entry'!W51="","",'Supp. Result Entry'!W51)</f>
        <v/>
      </c>
      <c r="IL52" s="213" t="str">
        <f>IF('Supp. Result Entry'!Z51="","",'Supp. Result Entry'!Z51)</f>
        <v/>
      </c>
      <c r="IM52" s="213" t="str">
        <f>IF('Supp. Result Entry'!AC51="","",'Supp. Result Entry'!AC51)</f>
        <v/>
      </c>
      <c r="IN52" s="213" t="str">
        <f>IF('Supp. Result Entry'!AF51="","",'Supp. Result Entry'!AF51)</f>
        <v/>
      </c>
      <c r="IO52" s="213" t="str">
        <f>IF('Supp. Result Entry'!AI51="","",'Supp. Result Entry'!AI51)</f>
        <v/>
      </c>
      <c r="IP52" s="213" t="str">
        <f>IF('Supp. Result Entry'!AL51="","",'Supp. Result Entry'!AL51)</f>
        <v/>
      </c>
      <c r="IQ52" s="213">
        <f>COUNTIF('Supp. Result Entry'!K51:Q51,"S")</f>
        <v>0</v>
      </c>
      <c r="IR52" s="213">
        <f t="shared" si="170"/>
        <v>0</v>
      </c>
      <c r="IS52" s="213">
        <f t="shared" si="171"/>
        <v>0</v>
      </c>
      <c r="IT52" s="213" t="str">
        <f t="shared" si="41"/>
        <v/>
      </c>
      <c r="IU52" s="213" t="str">
        <f t="shared" si="42"/>
        <v/>
      </c>
      <c r="IV52" s="213" t="str">
        <f t="shared" si="43"/>
        <v/>
      </c>
      <c r="IW52" s="213" t="str">
        <f t="shared" si="44"/>
        <v/>
      </c>
      <c r="IX52" s="213" t="str">
        <f t="shared" si="45"/>
        <v/>
      </c>
      <c r="IY52" s="213" t="str">
        <f t="shared" si="172"/>
        <v/>
      </c>
      <c r="IZ52" s="213" t="str">
        <f t="shared" si="173"/>
        <v/>
      </c>
      <c r="JA52" s="213" t="str">
        <f t="shared" si="46"/>
        <v/>
      </c>
      <c r="JB52" s="211" t="str">
        <f t="shared" si="174"/>
        <v/>
      </c>
    </row>
    <row r="53" spans="1:262" s="211" customFormat="1" ht="21" customHeight="1">
      <c r="A53" s="184">
        <v>46</v>
      </c>
      <c r="B53" s="185" t="str">
        <f>IF('Marks Entry'!B53="","",'Marks Entry'!B53)</f>
        <v/>
      </c>
      <c r="C53" s="186" t="str">
        <f>IF('Marks Entry'!D53="","",'Marks Entry'!D53)</f>
        <v/>
      </c>
      <c r="D53" s="187" t="str">
        <f>IF('Marks Entry'!E53="","",'Marks Entry'!E53)</f>
        <v/>
      </c>
      <c r="E53" s="188" t="str">
        <f>IF('Marks Entry'!F53="","",'Marks Entry'!F53)</f>
        <v/>
      </c>
      <c r="F53" s="188" t="str">
        <f>IF('Marks Entry'!G53="","",'Marks Entry'!G53)</f>
        <v/>
      </c>
      <c r="G53" s="188" t="str">
        <f>IF('Marks Entry'!H53="","",'Marks Entry'!H53)</f>
        <v/>
      </c>
      <c r="H53" s="189" t="str">
        <f>IF('Marks Entry'!I53="","",'Marks Entry'!I53)</f>
        <v/>
      </c>
      <c r="I53" s="190" t="str">
        <f>IF('Marks Entry'!J53="","",'Marks Entry'!J53)</f>
        <v/>
      </c>
      <c r="J53" s="545" t="str">
        <f>IF('Marks Entry'!K53="","",'Marks Entry'!K53)</f>
        <v/>
      </c>
      <c r="K53" s="545" t="str">
        <f>IF('Marks Entry'!L53="","",'Marks Entry'!L53)</f>
        <v/>
      </c>
      <c r="L53" s="545" t="str">
        <f>IF('Marks Entry'!M53="","",'Marks Entry'!M53)</f>
        <v/>
      </c>
      <c r="M53" s="546" t="str">
        <f t="shared" si="47"/>
        <v/>
      </c>
      <c r="N53" s="545" t="str">
        <f>IF('Marks Entry'!N53="","",'Marks Entry'!N53)</f>
        <v/>
      </c>
      <c r="O53" s="546" t="str">
        <f t="shared" si="48"/>
        <v/>
      </c>
      <c r="P53" s="545" t="str">
        <f>IF('Marks Entry'!O53="","",'Marks Entry'!O53)</f>
        <v/>
      </c>
      <c r="Q53" s="547" t="str">
        <f t="shared" si="49"/>
        <v/>
      </c>
      <c r="R53" s="153">
        <f t="shared" si="50"/>
        <v>0</v>
      </c>
      <c r="S53" s="153">
        <f t="shared" si="51"/>
        <v>0</v>
      </c>
      <c r="T53" s="154" t="str">
        <f t="shared" si="52"/>
        <v/>
      </c>
      <c r="U53" s="153" t="str">
        <f t="shared" si="53"/>
        <v/>
      </c>
      <c r="V53" s="153" t="str">
        <f t="shared" si="54"/>
        <v/>
      </c>
      <c r="W53" s="153" t="str">
        <f t="shared" si="55"/>
        <v/>
      </c>
      <c r="X53" s="545" t="str">
        <f>IF('Marks Entry'!P53="","",'Marks Entry'!P53)</f>
        <v/>
      </c>
      <c r="Y53" s="545" t="str">
        <f>IF('Marks Entry'!Q53="","",'Marks Entry'!Q53)</f>
        <v/>
      </c>
      <c r="Z53" s="545" t="str">
        <f>IF('Marks Entry'!R53="","",'Marks Entry'!R53)</f>
        <v/>
      </c>
      <c r="AA53" s="546" t="str">
        <f t="shared" si="56"/>
        <v/>
      </c>
      <c r="AB53" s="545" t="str">
        <f>IF('Marks Entry'!S53="","",'Marks Entry'!S53)</f>
        <v/>
      </c>
      <c r="AC53" s="546" t="str">
        <f t="shared" si="57"/>
        <v/>
      </c>
      <c r="AD53" s="545" t="str">
        <f>IF('Marks Entry'!T53="","",'Marks Entry'!T53)</f>
        <v/>
      </c>
      <c r="AE53" s="547" t="str">
        <f t="shared" si="58"/>
        <v/>
      </c>
      <c r="AF53" s="153">
        <f t="shared" si="59"/>
        <v>0</v>
      </c>
      <c r="AG53" s="153">
        <f t="shared" si="60"/>
        <v>0</v>
      </c>
      <c r="AH53" s="154" t="str">
        <f t="shared" si="61"/>
        <v/>
      </c>
      <c r="AI53" s="153" t="str">
        <f t="shared" si="62"/>
        <v/>
      </c>
      <c r="AJ53" s="153" t="str">
        <f t="shared" si="63"/>
        <v/>
      </c>
      <c r="AK53" s="153" t="str">
        <f t="shared" si="64"/>
        <v/>
      </c>
      <c r="AL53" s="573" t="str">
        <f>IF('Marks Entry'!U53="","",'Marks Entry'!U53)</f>
        <v/>
      </c>
      <c r="AM53" s="573" t="str">
        <f>IF('Marks Entry'!V53="","",'Marks Entry'!V53)</f>
        <v/>
      </c>
      <c r="AN53" s="573" t="str">
        <f>IF('Marks Entry'!W53="","",'Marks Entry'!W53)</f>
        <v/>
      </c>
      <c r="AO53" s="573" t="str">
        <f>IF('Marks Entry'!X53="","",'Marks Entry'!X53)</f>
        <v/>
      </c>
      <c r="AP53" s="572" t="str">
        <f t="shared" si="65"/>
        <v/>
      </c>
      <c r="AQ53" s="573" t="str">
        <f>IF('Marks Entry'!Y53="","",'Marks Entry'!Y53)</f>
        <v/>
      </c>
      <c r="AR53" s="573" t="str">
        <f>IF('Marks Entry'!Z53="","",'Marks Entry'!Z53)</f>
        <v/>
      </c>
      <c r="AS53" s="572" t="str">
        <f t="shared" si="66"/>
        <v/>
      </c>
      <c r="AT53" s="572" t="str">
        <f t="shared" si="67"/>
        <v/>
      </c>
      <c r="AU53" s="573" t="str">
        <f>IF('Marks Entry'!AA53="","",'Marks Entry'!AA53)</f>
        <v/>
      </c>
      <c r="AV53" s="573" t="str">
        <f>IF('Marks Entry'!AB53="","",'Marks Entry'!AB53)</f>
        <v/>
      </c>
      <c r="AW53" s="572" t="str">
        <f t="shared" si="68"/>
        <v/>
      </c>
      <c r="AX53" s="157" t="str">
        <f t="shared" si="69"/>
        <v/>
      </c>
      <c r="AY53" s="157" t="str">
        <f t="shared" si="70"/>
        <v/>
      </c>
      <c r="AZ53" s="192" t="str">
        <f t="shared" si="71"/>
        <v/>
      </c>
      <c r="BA53" s="153">
        <f t="shared" si="72"/>
        <v>0</v>
      </c>
      <c r="BB53" s="154">
        <f t="shared" si="73"/>
        <v>0</v>
      </c>
      <c r="BC53" s="154" t="str">
        <f t="shared" si="74"/>
        <v/>
      </c>
      <c r="BD53" s="154" t="str">
        <f t="shared" si="75"/>
        <v/>
      </c>
      <c r="BE53" s="154" t="str">
        <f t="shared" si="76"/>
        <v/>
      </c>
      <c r="BF53" s="153" t="str">
        <f t="shared" si="77"/>
        <v/>
      </c>
      <c r="BG53" s="154" t="str">
        <f t="shared" si="175"/>
        <v/>
      </c>
      <c r="BH53" s="153" t="str">
        <f t="shared" si="78"/>
        <v/>
      </c>
      <c r="BI53" s="580" t="str">
        <f>IF('Marks Entry'!AC53="","",'Marks Entry'!AC53)</f>
        <v/>
      </c>
      <c r="BJ53" s="580" t="str">
        <f>IF('Marks Entry'!AD53="","",'Marks Entry'!AD53)</f>
        <v/>
      </c>
      <c r="BK53" s="580" t="str">
        <f>IF('Marks Entry'!AE53="","",'Marks Entry'!AE53)</f>
        <v/>
      </c>
      <c r="BL53" s="580" t="str">
        <f>IF('Marks Entry'!AF53="","",'Marks Entry'!AF53)</f>
        <v/>
      </c>
      <c r="BM53" s="581" t="str">
        <f t="shared" si="79"/>
        <v/>
      </c>
      <c r="BN53" s="580" t="str">
        <f>IF('Marks Entry'!AG53="","",'Marks Entry'!AG53)</f>
        <v/>
      </c>
      <c r="BO53" s="580" t="str">
        <f>IF('Marks Entry'!AH53="","",'Marks Entry'!AH53)</f>
        <v/>
      </c>
      <c r="BP53" s="581" t="str">
        <f t="shared" si="80"/>
        <v/>
      </c>
      <c r="BQ53" s="581" t="str">
        <f t="shared" si="81"/>
        <v/>
      </c>
      <c r="BR53" s="580" t="str">
        <f>IF('Marks Entry'!AI53="","",'Marks Entry'!AI53)</f>
        <v/>
      </c>
      <c r="BS53" s="580" t="str">
        <f>IF('Marks Entry'!AJ53="","",'Marks Entry'!AJ53)</f>
        <v/>
      </c>
      <c r="BT53" s="581" t="str">
        <f t="shared" si="82"/>
        <v/>
      </c>
      <c r="BU53" s="157" t="str">
        <f t="shared" si="83"/>
        <v/>
      </c>
      <c r="BV53" s="157" t="str">
        <f t="shared" si="84"/>
        <v/>
      </c>
      <c r="BW53" s="192" t="str">
        <f t="shared" si="85"/>
        <v/>
      </c>
      <c r="BX53" s="153">
        <f t="shared" si="86"/>
        <v>0</v>
      </c>
      <c r="BY53" s="154">
        <f t="shared" si="87"/>
        <v>0</v>
      </c>
      <c r="BZ53" s="154" t="str">
        <f t="shared" si="88"/>
        <v/>
      </c>
      <c r="CA53" s="154" t="str">
        <f t="shared" si="89"/>
        <v/>
      </c>
      <c r="CB53" s="154" t="str">
        <f t="shared" si="90"/>
        <v/>
      </c>
      <c r="CC53" s="153" t="str">
        <f t="shared" si="91"/>
        <v/>
      </c>
      <c r="CD53" s="154" t="str">
        <f t="shared" si="92"/>
        <v/>
      </c>
      <c r="CE53" s="153" t="str">
        <f t="shared" si="93"/>
        <v/>
      </c>
      <c r="CF53" s="580" t="str">
        <f>IF('Marks Entry'!AK53="","",'Marks Entry'!AK53)</f>
        <v/>
      </c>
      <c r="CG53" s="580" t="str">
        <f>IF('Marks Entry'!AL53="","",'Marks Entry'!AL53)</f>
        <v/>
      </c>
      <c r="CH53" s="580" t="str">
        <f>IF('Marks Entry'!AM53="","",'Marks Entry'!AM53)</f>
        <v/>
      </c>
      <c r="CI53" s="580" t="str">
        <f>IF('Marks Entry'!AN53="","",'Marks Entry'!AN53)</f>
        <v/>
      </c>
      <c r="CJ53" s="581" t="str">
        <f t="shared" si="94"/>
        <v/>
      </c>
      <c r="CK53" s="580" t="str">
        <f>IF('Marks Entry'!AO53="","",'Marks Entry'!AO53)</f>
        <v/>
      </c>
      <c r="CL53" s="580" t="str">
        <f>IF('Marks Entry'!AP53="","",'Marks Entry'!AP53)</f>
        <v/>
      </c>
      <c r="CM53" s="581" t="str">
        <f t="shared" si="95"/>
        <v/>
      </c>
      <c r="CN53" s="581" t="str">
        <f t="shared" si="96"/>
        <v/>
      </c>
      <c r="CO53" s="580" t="str">
        <f>IF('Marks Entry'!AQ53="","",'Marks Entry'!AQ53)</f>
        <v/>
      </c>
      <c r="CP53" s="580" t="str">
        <f>IF('Marks Entry'!AR53="","",'Marks Entry'!AR53)</f>
        <v/>
      </c>
      <c r="CQ53" s="581" t="str">
        <f t="shared" si="97"/>
        <v/>
      </c>
      <c r="CR53" s="157" t="str">
        <f t="shared" si="98"/>
        <v/>
      </c>
      <c r="CS53" s="157" t="str">
        <f t="shared" si="99"/>
        <v/>
      </c>
      <c r="CT53" s="192" t="str">
        <f t="shared" si="100"/>
        <v/>
      </c>
      <c r="CU53" s="153">
        <f t="shared" si="101"/>
        <v>0</v>
      </c>
      <c r="CV53" s="154">
        <f t="shared" si="102"/>
        <v>0</v>
      </c>
      <c r="CW53" s="154" t="str">
        <f t="shared" si="103"/>
        <v/>
      </c>
      <c r="CX53" s="154" t="str">
        <f t="shared" si="104"/>
        <v/>
      </c>
      <c r="CY53" s="154" t="str">
        <f t="shared" si="176"/>
        <v/>
      </c>
      <c r="CZ53" s="153" t="str">
        <f t="shared" si="105"/>
        <v/>
      </c>
      <c r="DA53" s="154" t="str">
        <f t="shared" si="106"/>
        <v/>
      </c>
      <c r="DB53" s="153" t="str">
        <f t="shared" si="107"/>
        <v/>
      </c>
      <c r="DC53" s="154">
        <f t="shared" si="108"/>
        <v>0</v>
      </c>
      <c r="DD53" s="826" t="str">
        <f>IF('Marks Entry'!AS53="","",IF(OR('Master Sheet'!$D$19="YES",'Marks Entry'!$BA$1=1),'Marks Entry'!AS53,""))</f>
        <v/>
      </c>
      <c r="DE53" s="826" t="str">
        <f>IF('Marks Entry'!AT53="","",IF(OR('Master Sheet'!$D$19="YES",'Marks Entry'!$BA$1=1),'Marks Entry'!AT53,""))</f>
        <v/>
      </c>
      <c r="DF53" s="826" t="str">
        <f>IF('Marks Entry'!AU53="","",IF(OR('Master Sheet'!$D$19="YES",'Marks Entry'!$BA$1=1),'Marks Entry'!AU53,""))</f>
        <v/>
      </c>
      <c r="DG53" s="826" t="str">
        <f>IF('Marks Entry'!AV53="","",IF(OR('Master Sheet'!$D$19="YES",'Marks Entry'!$BA$1=1),'Marks Entry'!AV53,""))</f>
        <v/>
      </c>
      <c r="DH53" s="827" t="str">
        <f t="shared" si="109"/>
        <v/>
      </c>
      <c r="DI53" s="826" t="str">
        <f>IF('Marks Entry'!AW53="","",IF(OR('Master Sheet'!$D$19="YES",'Marks Entry'!$BA$1=1),'Marks Entry'!AW53,""))</f>
        <v/>
      </c>
      <c r="DJ53" s="826" t="str">
        <f>IF('Marks Entry'!AX53="","",IF(OR('Master Sheet'!$D$19="YES",'Marks Entry'!$BA$1=1),'Marks Entry'!AX53,""))</f>
        <v/>
      </c>
      <c r="DK53" s="827" t="str">
        <f t="shared" si="110"/>
        <v/>
      </c>
      <c r="DL53" s="827" t="str">
        <f t="shared" si="111"/>
        <v/>
      </c>
      <c r="DM53" s="826" t="str">
        <f>IF('Marks Entry'!AY53="","",IF(OR('Master Sheet'!$D$19="YES",'Marks Entry'!$BA$1=1),'Marks Entry'!AY53,""))</f>
        <v/>
      </c>
      <c r="DN53" s="826" t="str">
        <f>IF('Marks Entry'!AZ53="","",IF(OR('Master Sheet'!$D$19="YES",'Marks Entry'!$BA$1=1),'Marks Entry'!AZ53,""))</f>
        <v/>
      </c>
      <c r="DO53" s="826" t="str">
        <f>IF('Marks Entry'!BA53="","",IF(OR('Master Sheet'!$D$19="YES",'Marks Entry'!$BA$1=1),'Marks Entry'!BA53,""))</f>
        <v/>
      </c>
      <c r="DP53" s="827" t="str">
        <f t="shared" si="112"/>
        <v/>
      </c>
      <c r="DQ53" s="157" t="str">
        <f t="shared" si="113"/>
        <v/>
      </c>
      <c r="DR53" s="157" t="str">
        <f t="shared" si="114"/>
        <v/>
      </c>
      <c r="DS53" s="157" t="str">
        <f t="shared" si="115"/>
        <v/>
      </c>
      <c r="DT53" s="192" t="str">
        <f t="shared" si="116"/>
        <v/>
      </c>
      <c r="DU53" s="153">
        <f t="shared" si="117"/>
        <v>0</v>
      </c>
      <c r="DV53" s="154" t="e">
        <f t="shared" si="118"/>
        <v>#VALUE!</v>
      </c>
      <c r="DW53" s="154" t="str">
        <f t="shared" si="119"/>
        <v/>
      </c>
      <c r="DX53" s="154" t="str">
        <f>IF(OR($B53="NSO",$B53=0,DS53=""),"",IF(AND(DJ53="",DO53=""),"",IF('Master Sheet'!$D$19="YES",$DO$6-COUNTIF(DO53,"ML")*DO$6,DS$6-(COUNTIF(DJ53,"ML")*DJ$6)-(COUNTIF(DO53,"ML")*DO$6))))</f>
        <v/>
      </c>
      <c r="DY53" s="154" t="str">
        <f>IF(OR($B53="NSO",$B53=0),"",IF(AND(DH53="",DI53="",DM53=""),"",IF(AND('Master Sheet'!$D$19="YES",'Marks Entry'!$BA$1=1),100,IF(AND(DJ53="",DO53=""),SUM(($DQ$7+$DR$7)-(DU53+DV53)),SUM(($DQ$6+$DR$6)-(DU53+DV53))))))</f>
        <v/>
      </c>
      <c r="DZ53" s="153" t="str">
        <f t="shared" si="120"/>
        <v/>
      </c>
      <c r="EA53" s="154" t="str">
        <f t="shared" si="121"/>
        <v/>
      </c>
      <c r="EB53" s="153" t="str">
        <f t="shared" si="122"/>
        <v/>
      </c>
      <c r="EC53" s="584" t="str">
        <f>IF('Marks Entry'!BB53="","",'Marks Entry'!BB53)</f>
        <v/>
      </c>
      <c r="ED53" s="584" t="str">
        <f>IF('Marks Entry'!BC53="","",'Marks Entry'!BC53)</f>
        <v/>
      </c>
      <c r="EE53" s="584" t="str">
        <f>IF('Marks Entry'!BD53="","",'Marks Entry'!BD53)</f>
        <v/>
      </c>
      <c r="EF53" s="590" t="str">
        <f t="shared" si="123"/>
        <v/>
      </c>
      <c r="EG53" s="595">
        <f t="shared" si="124"/>
        <v>0</v>
      </c>
      <c r="EH53" s="595">
        <f t="shared" si="125"/>
        <v>0</v>
      </c>
      <c r="EI53" s="193" t="str">
        <f t="shared" si="126"/>
        <v/>
      </c>
      <c r="EJ53" s="595" t="str">
        <f t="shared" si="127"/>
        <v/>
      </c>
      <c r="EK53" s="595" t="str">
        <f t="shared" si="128"/>
        <v/>
      </c>
      <c r="EL53" s="194" t="str">
        <f t="shared" si="129"/>
        <v/>
      </c>
      <c r="EM53" s="194" t="str">
        <f t="shared" si="130"/>
        <v/>
      </c>
      <c r="EN53" s="194" t="str">
        <f t="shared" si="131"/>
        <v/>
      </c>
      <c r="EO53" s="194" t="str">
        <f t="shared" si="132"/>
        <v/>
      </c>
      <c r="EP53" s="194" t="str">
        <f t="shared" si="133"/>
        <v/>
      </c>
      <c r="EQ53" s="194" t="str">
        <f t="shared" si="134"/>
        <v/>
      </c>
      <c r="ER53" s="195">
        <f t="shared" si="135"/>
        <v>0</v>
      </c>
      <c r="ES53" s="195">
        <f t="shared" si="136"/>
        <v>0</v>
      </c>
      <c r="ET53" s="195">
        <f t="shared" si="137"/>
        <v>0</v>
      </c>
      <c r="EU53" s="195">
        <f t="shared" si="138"/>
        <v>0</v>
      </c>
      <c r="EV53" s="195">
        <f t="shared" si="139"/>
        <v>0</v>
      </c>
      <c r="EW53" s="195" t="str">
        <f t="shared" si="140"/>
        <v/>
      </c>
      <c r="EX53" s="196" t="str">
        <f t="shared" si="141"/>
        <v/>
      </c>
      <c r="EY53" s="197" t="str">
        <f>IF('Marks Entry'!BE53="","",'Marks Entry'!BE53)</f>
        <v/>
      </c>
      <c r="EZ53" s="197" t="str">
        <f>IF('Marks Entry'!BF53="","",'Marks Entry'!BF53)</f>
        <v/>
      </c>
      <c r="FA53" s="197" t="str">
        <f>IF('Marks Entry'!BG53="","",'Marks Entry'!BG53)</f>
        <v/>
      </c>
      <c r="FB53" s="596" t="str">
        <f t="shared" si="142"/>
        <v/>
      </c>
      <c r="FC53" s="197" t="str">
        <f>IF('Marks Entry'!BH53="","",'Marks Entry'!BH53)</f>
        <v/>
      </c>
      <c r="FD53" s="197" t="str">
        <f>IF('Marks Entry'!BI53="","",'Marks Entry'!BI53)</f>
        <v/>
      </c>
      <c r="FE53" s="198" t="str">
        <f t="shared" si="143"/>
        <v/>
      </c>
      <c r="FF53" s="199" t="str">
        <f t="shared" si="144"/>
        <v/>
      </c>
      <c r="FG53" s="200" t="str">
        <f>IF(AND(E53=""),"",IF('Student DATA Entry'!L49="","",'Student DATA Entry'!L49))</f>
        <v/>
      </c>
      <c r="FH53" s="201" t="str">
        <f>IF(AND(E53=""),"",IF('Student DATA Entry'!M49="","",'Student DATA Entry'!M49))</f>
        <v/>
      </c>
      <c r="FI53" s="202" t="str">
        <f t="shared" si="145"/>
        <v/>
      </c>
      <c r="FJ53" s="189" t="str">
        <f t="shared" si="146"/>
        <v/>
      </c>
      <c r="FK53" s="189" t="str">
        <f t="shared" si="147"/>
        <v/>
      </c>
      <c r="FL53" s="203" t="str">
        <f t="shared" si="178"/>
        <v/>
      </c>
      <c r="FM53" s="189" t="str">
        <f t="shared" si="148"/>
        <v/>
      </c>
      <c r="FN53" s="204" t="str">
        <f t="shared" si="149"/>
        <v/>
      </c>
      <c r="FO53" s="203" t="str">
        <f t="shared" si="179"/>
        <v/>
      </c>
      <c r="FP53" s="205" t="str">
        <f t="shared" si="150"/>
        <v/>
      </c>
      <c r="FQ53" s="189" t="str">
        <f t="shared" si="180"/>
        <v/>
      </c>
      <c r="FR53" s="189" t="str">
        <f t="shared" si="181"/>
        <v/>
      </c>
      <c r="FS53" s="189" t="str">
        <f t="shared" si="182"/>
        <v/>
      </c>
      <c r="FT53" s="189" t="str">
        <f t="shared" si="183"/>
        <v/>
      </c>
      <c r="FU53" s="189" t="str">
        <f t="shared" si="151"/>
        <v/>
      </c>
      <c r="FV53" s="206" t="str">
        <f t="shared" si="184"/>
        <v/>
      </c>
      <c r="FW53" s="205" t="str">
        <f t="shared" si="152"/>
        <v/>
      </c>
      <c r="FX53" s="189" t="str">
        <f t="shared" si="185"/>
        <v/>
      </c>
      <c r="FY53" s="189" t="str">
        <f t="shared" si="186"/>
        <v/>
      </c>
      <c r="FZ53" s="189" t="str">
        <f t="shared" si="187"/>
        <v/>
      </c>
      <c r="GA53" s="189" t="str">
        <f t="shared" si="188"/>
        <v/>
      </c>
      <c r="GB53" s="189" t="str">
        <f t="shared" si="153"/>
        <v/>
      </c>
      <c r="GC53" s="206" t="str">
        <f t="shared" si="189"/>
        <v/>
      </c>
      <c r="GD53" s="205" t="str">
        <f t="shared" si="154"/>
        <v/>
      </c>
      <c r="GE53" s="189" t="str">
        <f t="shared" si="190"/>
        <v/>
      </c>
      <c r="GF53" s="189" t="str">
        <f t="shared" si="191"/>
        <v/>
      </c>
      <c r="GG53" s="189" t="str">
        <f t="shared" si="192"/>
        <v/>
      </c>
      <c r="GH53" s="189" t="str">
        <f t="shared" si="193"/>
        <v/>
      </c>
      <c r="GI53" s="189" t="str">
        <f t="shared" si="155"/>
        <v/>
      </c>
      <c r="GJ53" s="206" t="str">
        <f t="shared" si="194"/>
        <v/>
      </c>
      <c r="GK53" s="205" t="str">
        <f t="shared" si="156"/>
        <v/>
      </c>
      <c r="GL53" s="189" t="str">
        <f t="shared" si="195"/>
        <v/>
      </c>
      <c r="GM53" s="189" t="str">
        <f t="shared" si="196"/>
        <v/>
      </c>
      <c r="GN53" s="189" t="str">
        <f t="shared" si="197"/>
        <v/>
      </c>
      <c r="GO53" s="189" t="str">
        <f t="shared" si="198"/>
        <v/>
      </c>
      <c r="GP53" s="189" t="str">
        <f t="shared" si="157"/>
        <v/>
      </c>
      <c r="GQ53" s="206" t="str">
        <f t="shared" si="199"/>
        <v/>
      </c>
      <c r="GR53" s="189" t="str">
        <f t="shared" si="158"/>
        <v/>
      </c>
      <c r="GS53" s="189" t="str">
        <f t="shared" si="159"/>
        <v/>
      </c>
      <c r="GT53" s="207" t="str">
        <f t="shared" si="177"/>
        <v xml:space="preserve">    </v>
      </c>
      <c r="GU53" s="207" t="str">
        <f t="shared" si="160"/>
        <v xml:space="preserve">    </v>
      </c>
      <c r="GV53" s="207" t="str">
        <f t="shared" si="161"/>
        <v xml:space="preserve">    </v>
      </c>
      <c r="GW53" s="207" t="str">
        <f t="shared" si="162"/>
        <v xml:space="preserve">       </v>
      </c>
      <c r="GX53" s="598" t="str">
        <f t="shared" si="163"/>
        <v xml:space="preserve">     </v>
      </c>
      <c r="GY53" s="208" t="str">
        <f t="shared" si="200"/>
        <v/>
      </c>
      <c r="GZ53" s="606" t="str">
        <f>IF(AND(Q53="",AE53="",AZ53="",BW53="",CT53=""),"",IF(AND('Master Sheet'!$D$19="YES",'Marks Entry'!$BA$1=1),SUM(Q53,AE53,AZ53,BW53,DT53),SUM(Q53,AE53,AZ53,BW53,CT53)))</f>
        <v/>
      </c>
      <c r="HA53" s="209" t="str">
        <f>IF(GZ53="","",IF(AND('Master Sheet'!$D$19="YES",'Marks Entry'!$BA$1=1),GZ53/((900)-DC53)*100,GZ53/((1000)-DC53)*100))</f>
        <v/>
      </c>
      <c r="HB53" s="611" t="str">
        <f t="shared" si="165"/>
        <v/>
      </c>
      <c r="HC53" s="609" t="str">
        <f t="shared" si="166"/>
        <v/>
      </c>
      <c r="HD53" s="610" t="str">
        <f t="shared" si="167"/>
        <v/>
      </c>
      <c r="HE53" s="210" t="str">
        <f>IFERROR(IF(OR(GY53="SUPPLEMENTARY",GY53="RE-EXAM"),'Supp. Result Entry'!AS52,""),"")</f>
        <v/>
      </c>
      <c r="HF53" s="613" t="str">
        <f t="shared" si="168"/>
        <v/>
      </c>
      <c r="HG53" s="598" t="str">
        <f t="shared" si="169"/>
        <v/>
      </c>
      <c r="HH53" s="598" t="str">
        <f>IF(AND(HE53="",HF53="",HG53=""),"",IF(OR(GY53="SUPPLEMENTARY",GY53="RE-EXAM"),'Supp. Result Entry'!AS52,GY53))</f>
        <v/>
      </c>
      <c r="HI53" s="180"/>
      <c r="HJ53" s="214"/>
      <c r="HY53" s="212" t="str">
        <f>IF('Supp. Result Entry'!U52="","",'Supp. Result Entry'!$U$6)</f>
        <v/>
      </c>
      <c r="HZ53" s="213" t="str">
        <f>IF('Supp. Result Entry'!X52="","",'Supp. Result Entry'!$X$6)</f>
        <v/>
      </c>
      <c r="IA53" s="213" t="str">
        <f>IF('Supp. Result Entry'!AA52="","",'Supp. Result Entry'!$AA$6)</f>
        <v/>
      </c>
      <c r="IB53" s="213" t="str">
        <f>IF('Supp. Result Entry'!AD52="","",'Supp. Result Entry'!$AD$6)</f>
        <v/>
      </c>
      <c r="IC53" s="213" t="str">
        <f>IF('Supp. Result Entry'!AG52="","",'Supp. Result Entry'!$AG$6)</f>
        <v/>
      </c>
      <c r="ID53" s="213" t="str">
        <f>IF('Supp. Result Entry'!AJ52="","",'Supp. Result Entry'!$AJ$6)</f>
        <v/>
      </c>
      <c r="IE53" s="213" t="str">
        <f>IF('Supp. Result Entry'!V52="","",'Supp. Result Entry'!V52)</f>
        <v/>
      </c>
      <c r="IF53" s="213" t="str">
        <f>IF('Supp. Result Entry'!Y52="","",'Supp. Result Entry'!Y52)</f>
        <v/>
      </c>
      <c r="IG53" s="213" t="str">
        <f>IF('Supp. Result Entry'!AB52="","",'Supp. Result Entry'!AB52)</f>
        <v/>
      </c>
      <c r="IH53" s="213" t="str">
        <f>IF('Supp. Result Entry'!AE52="","",'Supp. Result Entry'!AE52)</f>
        <v/>
      </c>
      <c r="II53" s="213" t="str">
        <f>IF('Supp. Result Entry'!AH52="","",'Supp. Result Entry'!AH52)</f>
        <v/>
      </c>
      <c r="IJ53" s="213" t="str">
        <f>IF('Supp. Result Entry'!AK52="","",'Supp. Result Entry'!AK52)</f>
        <v/>
      </c>
      <c r="IK53" s="213" t="str">
        <f>IF('Supp. Result Entry'!W52="","",'Supp. Result Entry'!W52)</f>
        <v/>
      </c>
      <c r="IL53" s="213" t="str">
        <f>IF('Supp. Result Entry'!Z52="","",'Supp. Result Entry'!Z52)</f>
        <v/>
      </c>
      <c r="IM53" s="213" t="str">
        <f>IF('Supp. Result Entry'!AC52="","",'Supp. Result Entry'!AC52)</f>
        <v/>
      </c>
      <c r="IN53" s="213" t="str">
        <f>IF('Supp. Result Entry'!AF52="","",'Supp. Result Entry'!AF52)</f>
        <v/>
      </c>
      <c r="IO53" s="213" t="str">
        <f>IF('Supp. Result Entry'!AI52="","",'Supp. Result Entry'!AI52)</f>
        <v/>
      </c>
      <c r="IP53" s="213" t="str">
        <f>IF('Supp. Result Entry'!AL52="","",'Supp. Result Entry'!AL52)</f>
        <v/>
      </c>
      <c r="IQ53" s="213">
        <f>COUNTIF('Supp. Result Entry'!K52:Q52,"S")</f>
        <v>0</v>
      </c>
      <c r="IR53" s="213">
        <f t="shared" si="170"/>
        <v>0</v>
      </c>
      <c r="IS53" s="213">
        <f t="shared" si="171"/>
        <v>0</v>
      </c>
      <c r="IT53" s="213" t="str">
        <f t="shared" si="41"/>
        <v/>
      </c>
      <c r="IU53" s="213" t="str">
        <f t="shared" si="42"/>
        <v/>
      </c>
      <c r="IV53" s="213" t="str">
        <f t="shared" si="43"/>
        <v/>
      </c>
      <c r="IW53" s="213" t="str">
        <f t="shared" si="44"/>
        <v/>
      </c>
      <c r="IX53" s="213" t="str">
        <f t="shared" si="45"/>
        <v/>
      </c>
      <c r="IY53" s="213" t="str">
        <f t="shared" si="172"/>
        <v/>
      </c>
      <c r="IZ53" s="213" t="str">
        <f t="shared" si="173"/>
        <v/>
      </c>
      <c r="JA53" s="213" t="str">
        <f t="shared" si="46"/>
        <v/>
      </c>
      <c r="JB53" s="211" t="str">
        <f t="shared" si="174"/>
        <v/>
      </c>
    </row>
    <row r="54" spans="1:262" s="211" customFormat="1" ht="21" customHeight="1">
      <c r="A54" s="184">
        <v>47</v>
      </c>
      <c r="B54" s="185" t="str">
        <f>IF('Marks Entry'!B54="","",'Marks Entry'!B54)</f>
        <v/>
      </c>
      <c r="C54" s="186" t="str">
        <f>IF('Marks Entry'!D54="","",'Marks Entry'!D54)</f>
        <v/>
      </c>
      <c r="D54" s="187" t="str">
        <f>IF('Marks Entry'!E54="","",'Marks Entry'!E54)</f>
        <v/>
      </c>
      <c r="E54" s="188" t="str">
        <f>IF('Marks Entry'!F54="","",'Marks Entry'!F54)</f>
        <v/>
      </c>
      <c r="F54" s="188" t="str">
        <f>IF('Marks Entry'!G54="","",'Marks Entry'!G54)</f>
        <v/>
      </c>
      <c r="G54" s="188" t="str">
        <f>IF('Marks Entry'!H54="","",'Marks Entry'!H54)</f>
        <v/>
      </c>
      <c r="H54" s="189" t="str">
        <f>IF('Marks Entry'!I54="","",'Marks Entry'!I54)</f>
        <v/>
      </c>
      <c r="I54" s="190" t="str">
        <f>IF('Marks Entry'!J54="","",'Marks Entry'!J54)</f>
        <v/>
      </c>
      <c r="J54" s="545" t="str">
        <f>IF('Marks Entry'!K54="","",'Marks Entry'!K54)</f>
        <v/>
      </c>
      <c r="K54" s="545" t="str">
        <f>IF('Marks Entry'!L54="","",'Marks Entry'!L54)</f>
        <v/>
      </c>
      <c r="L54" s="545" t="str">
        <f>IF('Marks Entry'!M54="","",'Marks Entry'!M54)</f>
        <v/>
      </c>
      <c r="M54" s="546" t="str">
        <f t="shared" si="47"/>
        <v/>
      </c>
      <c r="N54" s="545" t="str">
        <f>IF('Marks Entry'!N54="","",'Marks Entry'!N54)</f>
        <v/>
      </c>
      <c r="O54" s="546" t="str">
        <f t="shared" si="48"/>
        <v/>
      </c>
      <c r="P54" s="545" t="str">
        <f>IF('Marks Entry'!O54="","",'Marks Entry'!O54)</f>
        <v/>
      </c>
      <c r="Q54" s="547" t="str">
        <f t="shared" si="49"/>
        <v/>
      </c>
      <c r="R54" s="153">
        <f t="shared" si="50"/>
        <v>0</v>
      </c>
      <c r="S54" s="153">
        <f t="shared" si="51"/>
        <v>0</v>
      </c>
      <c r="T54" s="154" t="str">
        <f t="shared" si="52"/>
        <v/>
      </c>
      <c r="U54" s="153" t="str">
        <f t="shared" si="53"/>
        <v/>
      </c>
      <c r="V54" s="153" t="str">
        <f t="shared" si="54"/>
        <v/>
      </c>
      <c r="W54" s="153" t="str">
        <f t="shared" si="55"/>
        <v/>
      </c>
      <c r="X54" s="545" t="str">
        <f>IF('Marks Entry'!P54="","",'Marks Entry'!P54)</f>
        <v/>
      </c>
      <c r="Y54" s="545" t="str">
        <f>IF('Marks Entry'!Q54="","",'Marks Entry'!Q54)</f>
        <v/>
      </c>
      <c r="Z54" s="545" t="str">
        <f>IF('Marks Entry'!R54="","",'Marks Entry'!R54)</f>
        <v/>
      </c>
      <c r="AA54" s="546" t="str">
        <f t="shared" si="56"/>
        <v/>
      </c>
      <c r="AB54" s="545" t="str">
        <f>IF('Marks Entry'!S54="","",'Marks Entry'!S54)</f>
        <v/>
      </c>
      <c r="AC54" s="546" t="str">
        <f t="shared" si="57"/>
        <v/>
      </c>
      <c r="AD54" s="545" t="str">
        <f>IF('Marks Entry'!T54="","",'Marks Entry'!T54)</f>
        <v/>
      </c>
      <c r="AE54" s="547" t="str">
        <f t="shared" si="58"/>
        <v/>
      </c>
      <c r="AF54" s="153">
        <f t="shared" si="59"/>
        <v>0</v>
      </c>
      <c r="AG54" s="153">
        <f t="shared" si="60"/>
        <v>0</v>
      </c>
      <c r="AH54" s="154" t="str">
        <f t="shared" si="61"/>
        <v/>
      </c>
      <c r="AI54" s="153" t="str">
        <f t="shared" si="62"/>
        <v/>
      </c>
      <c r="AJ54" s="153" t="str">
        <f t="shared" si="63"/>
        <v/>
      </c>
      <c r="AK54" s="153" t="str">
        <f t="shared" si="64"/>
        <v/>
      </c>
      <c r="AL54" s="573" t="str">
        <f>IF('Marks Entry'!U54="","",'Marks Entry'!U54)</f>
        <v/>
      </c>
      <c r="AM54" s="573" t="str">
        <f>IF('Marks Entry'!V54="","",'Marks Entry'!V54)</f>
        <v/>
      </c>
      <c r="AN54" s="573" t="str">
        <f>IF('Marks Entry'!W54="","",'Marks Entry'!W54)</f>
        <v/>
      </c>
      <c r="AO54" s="573" t="str">
        <f>IF('Marks Entry'!X54="","",'Marks Entry'!X54)</f>
        <v/>
      </c>
      <c r="AP54" s="572" t="str">
        <f t="shared" si="65"/>
        <v/>
      </c>
      <c r="AQ54" s="573" t="str">
        <f>IF('Marks Entry'!Y54="","",'Marks Entry'!Y54)</f>
        <v/>
      </c>
      <c r="AR54" s="573" t="str">
        <f>IF('Marks Entry'!Z54="","",'Marks Entry'!Z54)</f>
        <v/>
      </c>
      <c r="AS54" s="572" t="str">
        <f t="shared" si="66"/>
        <v/>
      </c>
      <c r="AT54" s="572" t="str">
        <f t="shared" si="67"/>
        <v/>
      </c>
      <c r="AU54" s="573" t="str">
        <f>IF('Marks Entry'!AA54="","",'Marks Entry'!AA54)</f>
        <v/>
      </c>
      <c r="AV54" s="573" t="str">
        <f>IF('Marks Entry'!AB54="","",'Marks Entry'!AB54)</f>
        <v/>
      </c>
      <c r="AW54" s="572" t="str">
        <f t="shared" si="68"/>
        <v/>
      </c>
      <c r="AX54" s="157" t="str">
        <f t="shared" si="69"/>
        <v/>
      </c>
      <c r="AY54" s="157" t="str">
        <f t="shared" si="70"/>
        <v/>
      </c>
      <c r="AZ54" s="192" t="str">
        <f t="shared" si="71"/>
        <v/>
      </c>
      <c r="BA54" s="153">
        <f t="shared" si="72"/>
        <v>0</v>
      </c>
      <c r="BB54" s="154">
        <f t="shared" si="73"/>
        <v>0</v>
      </c>
      <c r="BC54" s="154" t="str">
        <f t="shared" si="74"/>
        <v/>
      </c>
      <c r="BD54" s="154" t="str">
        <f t="shared" si="75"/>
        <v/>
      </c>
      <c r="BE54" s="154" t="str">
        <f t="shared" si="76"/>
        <v/>
      </c>
      <c r="BF54" s="153" t="str">
        <f t="shared" si="77"/>
        <v/>
      </c>
      <c r="BG54" s="154" t="str">
        <f t="shared" si="175"/>
        <v/>
      </c>
      <c r="BH54" s="153" t="str">
        <f t="shared" si="78"/>
        <v/>
      </c>
      <c r="BI54" s="580" t="str">
        <f>IF('Marks Entry'!AC54="","",'Marks Entry'!AC54)</f>
        <v/>
      </c>
      <c r="BJ54" s="580" t="str">
        <f>IF('Marks Entry'!AD54="","",'Marks Entry'!AD54)</f>
        <v/>
      </c>
      <c r="BK54" s="580" t="str">
        <f>IF('Marks Entry'!AE54="","",'Marks Entry'!AE54)</f>
        <v/>
      </c>
      <c r="BL54" s="580" t="str">
        <f>IF('Marks Entry'!AF54="","",'Marks Entry'!AF54)</f>
        <v/>
      </c>
      <c r="BM54" s="581" t="str">
        <f t="shared" si="79"/>
        <v/>
      </c>
      <c r="BN54" s="580" t="str">
        <f>IF('Marks Entry'!AG54="","",'Marks Entry'!AG54)</f>
        <v/>
      </c>
      <c r="BO54" s="580" t="str">
        <f>IF('Marks Entry'!AH54="","",'Marks Entry'!AH54)</f>
        <v/>
      </c>
      <c r="BP54" s="581" t="str">
        <f t="shared" si="80"/>
        <v/>
      </c>
      <c r="BQ54" s="581" t="str">
        <f t="shared" si="81"/>
        <v/>
      </c>
      <c r="BR54" s="580" t="str">
        <f>IF('Marks Entry'!AI54="","",'Marks Entry'!AI54)</f>
        <v/>
      </c>
      <c r="BS54" s="580" t="str">
        <f>IF('Marks Entry'!AJ54="","",'Marks Entry'!AJ54)</f>
        <v/>
      </c>
      <c r="BT54" s="581" t="str">
        <f t="shared" si="82"/>
        <v/>
      </c>
      <c r="BU54" s="157" t="str">
        <f t="shared" si="83"/>
        <v/>
      </c>
      <c r="BV54" s="157" t="str">
        <f t="shared" si="84"/>
        <v/>
      </c>
      <c r="BW54" s="192" t="str">
        <f t="shared" si="85"/>
        <v/>
      </c>
      <c r="BX54" s="153">
        <f t="shared" si="86"/>
        <v>0</v>
      </c>
      <c r="BY54" s="154">
        <f t="shared" si="87"/>
        <v>0</v>
      </c>
      <c r="BZ54" s="154" t="str">
        <f t="shared" si="88"/>
        <v/>
      </c>
      <c r="CA54" s="154" t="str">
        <f t="shared" si="89"/>
        <v/>
      </c>
      <c r="CB54" s="154" t="str">
        <f t="shared" si="90"/>
        <v/>
      </c>
      <c r="CC54" s="153" t="str">
        <f t="shared" si="91"/>
        <v/>
      </c>
      <c r="CD54" s="154" t="str">
        <f t="shared" si="92"/>
        <v/>
      </c>
      <c r="CE54" s="153" t="str">
        <f t="shared" si="93"/>
        <v/>
      </c>
      <c r="CF54" s="580" t="str">
        <f>IF('Marks Entry'!AK54="","",'Marks Entry'!AK54)</f>
        <v/>
      </c>
      <c r="CG54" s="580" t="str">
        <f>IF('Marks Entry'!AL54="","",'Marks Entry'!AL54)</f>
        <v/>
      </c>
      <c r="CH54" s="580" t="str">
        <f>IF('Marks Entry'!AM54="","",'Marks Entry'!AM54)</f>
        <v/>
      </c>
      <c r="CI54" s="580" t="str">
        <f>IF('Marks Entry'!AN54="","",'Marks Entry'!AN54)</f>
        <v/>
      </c>
      <c r="CJ54" s="581" t="str">
        <f t="shared" si="94"/>
        <v/>
      </c>
      <c r="CK54" s="580" t="str">
        <f>IF('Marks Entry'!AO54="","",'Marks Entry'!AO54)</f>
        <v/>
      </c>
      <c r="CL54" s="580" t="str">
        <f>IF('Marks Entry'!AP54="","",'Marks Entry'!AP54)</f>
        <v/>
      </c>
      <c r="CM54" s="581" t="str">
        <f t="shared" si="95"/>
        <v/>
      </c>
      <c r="CN54" s="581" t="str">
        <f t="shared" si="96"/>
        <v/>
      </c>
      <c r="CO54" s="580" t="str">
        <f>IF('Marks Entry'!AQ54="","",'Marks Entry'!AQ54)</f>
        <v/>
      </c>
      <c r="CP54" s="580" t="str">
        <f>IF('Marks Entry'!AR54="","",'Marks Entry'!AR54)</f>
        <v/>
      </c>
      <c r="CQ54" s="581" t="str">
        <f t="shared" si="97"/>
        <v/>
      </c>
      <c r="CR54" s="157" t="str">
        <f t="shared" si="98"/>
        <v/>
      </c>
      <c r="CS54" s="157" t="str">
        <f t="shared" si="99"/>
        <v/>
      </c>
      <c r="CT54" s="192" t="str">
        <f t="shared" si="100"/>
        <v/>
      </c>
      <c r="CU54" s="153">
        <f t="shared" si="101"/>
        <v>0</v>
      </c>
      <c r="CV54" s="154">
        <f t="shared" si="102"/>
        <v>0</v>
      </c>
      <c r="CW54" s="154" t="str">
        <f t="shared" si="103"/>
        <v/>
      </c>
      <c r="CX54" s="154" t="str">
        <f t="shared" si="104"/>
        <v/>
      </c>
      <c r="CY54" s="154" t="str">
        <f t="shared" si="176"/>
        <v/>
      </c>
      <c r="CZ54" s="153" t="str">
        <f t="shared" si="105"/>
        <v/>
      </c>
      <c r="DA54" s="154" t="str">
        <f t="shared" si="106"/>
        <v/>
      </c>
      <c r="DB54" s="153" t="str">
        <f t="shared" si="107"/>
        <v/>
      </c>
      <c r="DC54" s="154">
        <f t="shared" si="108"/>
        <v>0</v>
      </c>
      <c r="DD54" s="826" t="str">
        <f>IF('Marks Entry'!AS54="","",IF(OR('Master Sheet'!$D$19="YES",'Marks Entry'!$BA$1=1),'Marks Entry'!AS54,""))</f>
        <v/>
      </c>
      <c r="DE54" s="826" t="str">
        <f>IF('Marks Entry'!AT54="","",IF(OR('Master Sheet'!$D$19="YES",'Marks Entry'!$BA$1=1),'Marks Entry'!AT54,""))</f>
        <v/>
      </c>
      <c r="DF54" s="826" t="str">
        <f>IF('Marks Entry'!AU54="","",IF(OR('Master Sheet'!$D$19="YES",'Marks Entry'!$BA$1=1),'Marks Entry'!AU54,""))</f>
        <v/>
      </c>
      <c r="DG54" s="826" t="str">
        <f>IF('Marks Entry'!AV54="","",IF(OR('Master Sheet'!$D$19="YES",'Marks Entry'!$BA$1=1),'Marks Entry'!AV54,""))</f>
        <v/>
      </c>
      <c r="DH54" s="827" t="str">
        <f t="shared" si="109"/>
        <v/>
      </c>
      <c r="DI54" s="826" t="str">
        <f>IF('Marks Entry'!AW54="","",IF(OR('Master Sheet'!$D$19="YES",'Marks Entry'!$BA$1=1),'Marks Entry'!AW54,""))</f>
        <v/>
      </c>
      <c r="DJ54" s="826" t="str">
        <f>IF('Marks Entry'!AX54="","",IF(OR('Master Sheet'!$D$19="YES",'Marks Entry'!$BA$1=1),'Marks Entry'!AX54,""))</f>
        <v/>
      </c>
      <c r="DK54" s="827" t="str">
        <f t="shared" si="110"/>
        <v/>
      </c>
      <c r="DL54" s="827" t="str">
        <f t="shared" si="111"/>
        <v/>
      </c>
      <c r="DM54" s="826" t="str">
        <f>IF('Marks Entry'!AY54="","",IF(OR('Master Sheet'!$D$19="YES",'Marks Entry'!$BA$1=1),'Marks Entry'!AY54,""))</f>
        <v/>
      </c>
      <c r="DN54" s="826" t="str">
        <f>IF('Marks Entry'!AZ54="","",IF(OR('Master Sheet'!$D$19="YES",'Marks Entry'!$BA$1=1),'Marks Entry'!AZ54,""))</f>
        <v/>
      </c>
      <c r="DO54" s="826" t="str">
        <f>IF('Marks Entry'!BA54="","",IF(OR('Master Sheet'!$D$19="YES",'Marks Entry'!$BA$1=1),'Marks Entry'!BA54,""))</f>
        <v/>
      </c>
      <c r="DP54" s="827" t="str">
        <f t="shared" si="112"/>
        <v/>
      </c>
      <c r="DQ54" s="157" t="str">
        <f t="shared" si="113"/>
        <v/>
      </c>
      <c r="DR54" s="157" t="str">
        <f t="shared" si="114"/>
        <v/>
      </c>
      <c r="DS54" s="157" t="str">
        <f t="shared" si="115"/>
        <v/>
      </c>
      <c r="DT54" s="192" t="str">
        <f t="shared" si="116"/>
        <v/>
      </c>
      <c r="DU54" s="153">
        <f t="shared" si="117"/>
        <v>0</v>
      </c>
      <c r="DV54" s="154" t="e">
        <f t="shared" si="118"/>
        <v>#VALUE!</v>
      </c>
      <c r="DW54" s="154" t="str">
        <f t="shared" si="119"/>
        <v/>
      </c>
      <c r="DX54" s="154" t="str">
        <f>IF(OR($B54="NSO",$B54=0,DS54=""),"",IF(AND(DJ54="",DO54=""),"",IF('Master Sheet'!$D$19="YES",$DO$6-COUNTIF(DO54,"ML")*DO$6,DS$6-(COUNTIF(DJ54,"ML")*DJ$6)-(COUNTIF(DO54,"ML")*DO$6))))</f>
        <v/>
      </c>
      <c r="DY54" s="154" t="str">
        <f>IF(OR($B54="NSO",$B54=0),"",IF(AND(DH54="",DI54="",DM54=""),"",IF(AND('Master Sheet'!$D$19="YES",'Marks Entry'!$BA$1=1),100,IF(AND(DJ54="",DO54=""),SUM(($DQ$7+$DR$7)-(DU54+DV54)),SUM(($DQ$6+$DR$6)-(DU54+DV54))))))</f>
        <v/>
      </c>
      <c r="DZ54" s="153" t="str">
        <f t="shared" si="120"/>
        <v/>
      </c>
      <c r="EA54" s="154" t="str">
        <f t="shared" si="121"/>
        <v/>
      </c>
      <c r="EB54" s="153" t="str">
        <f t="shared" si="122"/>
        <v/>
      </c>
      <c r="EC54" s="584" t="str">
        <f>IF('Marks Entry'!BB54="","",'Marks Entry'!BB54)</f>
        <v/>
      </c>
      <c r="ED54" s="584" t="str">
        <f>IF('Marks Entry'!BC54="","",'Marks Entry'!BC54)</f>
        <v/>
      </c>
      <c r="EE54" s="584" t="str">
        <f>IF('Marks Entry'!BD54="","",'Marks Entry'!BD54)</f>
        <v/>
      </c>
      <c r="EF54" s="590" t="str">
        <f t="shared" si="123"/>
        <v/>
      </c>
      <c r="EG54" s="595">
        <f t="shared" si="124"/>
        <v>0</v>
      </c>
      <c r="EH54" s="595">
        <f t="shared" si="125"/>
        <v>0</v>
      </c>
      <c r="EI54" s="193" t="str">
        <f t="shared" si="126"/>
        <v/>
      </c>
      <c r="EJ54" s="595" t="str">
        <f t="shared" si="127"/>
        <v/>
      </c>
      <c r="EK54" s="595" t="str">
        <f t="shared" si="128"/>
        <v/>
      </c>
      <c r="EL54" s="194" t="str">
        <f t="shared" si="129"/>
        <v/>
      </c>
      <c r="EM54" s="194" t="str">
        <f t="shared" si="130"/>
        <v/>
      </c>
      <c r="EN54" s="194" t="str">
        <f t="shared" si="131"/>
        <v/>
      </c>
      <c r="EO54" s="194" t="str">
        <f t="shared" si="132"/>
        <v/>
      </c>
      <c r="EP54" s="194" t="str">
        <f t="shared" si="133"/>
        <v/>
      </c>
      <c r="EQ54" s="194" t="str">
        <f t="shared" si="134"/>
        <v/>
      </c>
      <c r="ER54" s="195">
        <f t="shared" si="135"/>
        <v>0</v>
      </c>
      <c r="ES54" s="195">
        <f t="shared" si="136"/>
        <v>0</v>
      </c>
      <c r="ET54" s="195">
        <f t="shared" si="137"/>
        <v>0</v>
      </c>
      <c r="EU54" s="195">
        <f t="shared" si="138"/>
        <v>0</v>
      </c>
      <c r="EV54" s="195">
        <f t="shared" si="139"/>
        <v>0</v>
      </c>
      <c r="EW54" s="195" t="str">
        <f t="shared" si="140"/>
        <v/>
      </c>
      <c r="EX54" s="196" t="str">
        <f t="shared" si="141"/>
        <v/>
      </c>
      <c r="EY54" s="197" t="str">
        <f>IF('Marks Entry'!BE54="","",'Marks Entry'!BE54)</f>
        <v/>
      </c>
      <c r="EZ54" s="197" t="str">
        <f>IF('Marks Entry'!BF54="","",'Marks Entry'!BF54)</f>
        <v/>
      </c>
      <c r="FA54" s="197" t="str">
        <f>IF('Marks Entry'!BG54="","",'Marks Entry'!BG54)</f>
        <v/>
      </c>
      <c r="FB54" s="596" t="str">
        <f t="shared" si="142"/>
        <v/>
      </c>
      <c r="FC54" s="197" t="str">
        <f>IF('Marks Entry'!BH54="","",'Marks Entry'!BH54)</f>
        <v/>
      </c>
      <c r="FD54" s="197" t="str">
        <f>IF('Marks Entry'!BI54="","",'Marks Entry'!BI54)</f>
        <v/>
      </c>
      <c r="FE54" s="198" t="str">
        <f t="shared" si="143"/>
        <v/>
      </c>
      <c r="FF54" s="199" t="str">
        <f t="shared" si="144"/>
        <v/>
      </c>
      <c r="FG54" s="200" t="str">
        <f>IF(AND(E54=""),"",IF('Student DATA Entry'!L50="","",'Student DATA Entry'!L50))</f>
        <v/>
      </c>
      <c r="FH54" s="201" t="str">
        <f>IF(AND(E54=""),"",IF('Student DATA Entry'!M50="","",'Student DATA Entry'!M50))</f>
        <v/>
      </c>
      <c r="FI54" s="202" t="str">
        <f t="shared" si="145"/>
        <v/>
      </c>
      <c r="FJ54" s="189" t="str">
        <f t="shared" si="146"/>
        <v/>
      </c>
      <c r="FK54" s="189" t="str">
        <f t="shared" si="147"/>
        <v/>
      </c>
      <c r="FL54" s="203" t="str">
        <f t="shared" si="178"/>
        <v/>
      </c>
      <c r="FM54" s="189" t="str">
        <f t="shared" si="148"/>
        <v/>
      </c>
      <c r="FN54" s="204" t="str">
        <f t="shared" si="149"/>
        <v/>
      </c>
      <c r="FO54" s="203" t="str">
        <f t="shared" si="179"/>
        <v/>
      </c>
      <c r="FP54" s="205" t="str">
        <f t="shared" si="150"/>
        <v/>
      </c>
      <c r="FQ54" s="189" t="str">
        <f t="shared" si="180"/>
        <v/>
      </c>
      <c r="FR54" s="189" t="str">
        <f t="shared" si="181"/>
        <v/>
      </c>
      <c r="FS54" s="189" t="str">
        <f t="shared" si="182"/>
        <v/>
      </c>
      <c r="FT54" s="189" t="str">
        <f t="shared" si="183"/>
        <v/>
      </c>
      <c r="FU54" s="189" t="str">
        <f t="shared" si="151"/>
        <v/>
      </c>
      <c r="FV54" s="206" t="str">
        <f t="shared" si="184"/>
        <v/>
      </c>
      <c r="FW54" s="205" t="str">
        <f t="shared" si="152"/>
        <v/>
      </c>
      <c r="FX54" s="189" t="str">
        <f t="shared" si="185"/>
        <v/>
      </c>
      <c r="FY54" s="189" t="str">
        <f t="shared" si="186"/>
        <v/>
      </c>
      <c r="FZ54" s="189" t="str">
        <f t="shared" si="187"/>
        <v/>
      </c>
      <c r="GA54" s="189" t="str">
        <f t="shared" si="188"/>
        <v/>
      </c>
      <c r="GB54" s="189" t="str">
        <f t="shared" si="153"/>
        <v/>
      </c>
      <c r="GC54" s="206" t="str">
        <f t="shared" si="189"/>
        <v/>
      </c>
      <c r="GD54" s="205" t="str">
        <f t="shared" si="154"/>
        <v/>
      </c>
      <c r="GE54" s="189" t="str">
        <f t="shared" si="190"/>
        <v/>
      </c>
      <c r="GF54" s="189" t="str">
        <f t="shared" si="191"/>
        <v/>
      </c>
      <c r="GG54" s="189" t="str">
        <f t="shared" si="192"/>
        <v/>
      </c>
      <c r="GH54" s="189" t="str">
        <f t="shared" si="193"/>
        <v/>
      </c>
      <c r="GI54" s="189" t="str">
        <f t="shared" si="155"/>
        <v/>
      </c>
      <c r="GJ54" s="206" t="str">
        <f t="shared" si="194"/>
        <v/>
      </c>
      <c r="GK54" s="205" t="str">
        <f t="shared" si="156"/>
        <v/>
      </c>
      <c r="GL54" s="189" t="str">
        <f t="shared" si="195"/>
        <v/>
      </c>
      <c r="GM54" s="189" t="str">
        <f t="shared" si="196"/>
        <v/>
      </c>
      <c r="GN54" s="189" t="str">
        <f t="shared" si="197"/>
        <v/>
      </c>
      <c r="GO54" s="189" t="str">
        <f t="shared" si="198"/>
        <v/>
      </c>
      <c r="GP54" s="189" t="str">
        <f t="shared" si="157"/>
        <v/>
      </c>
      <c r="GQ54" s="206" t="str">
        <f t="shared" si="199"/>
        <v/>
      </c>
      <c r="GR54" s="189" t="str">
        <f t="shared" si="158"/>
        <v/>
      </c>
      <c r="GS54" s="189" t="str">
        <f t="shared" si="159"/>
        <v/>
      </c>
      <c r="GT54" s="207" t="str">
        <f t="shared" si="177"/>
        <v xml:space="preserve">    </v>
      </c>
      <c r="GU54" s="207" t="str">
        <f t="shared" si="160"/>
        <v xml:space="preserve">    </v>
      </c>
      <c r="GV54" s="207" t="str">
        <f t="shared" si="161"/>
        <v xml:space="preserve">    </v>
      </c>
      <c r="GW54" s="207" t="str">
        <f t="shared" si="162"/>
        <v xml:space="preserve">       </v>
      </c>
      <c r="GX54" s="598" t="str">
        <f t="shared" si="163"/>
        <v xml:space="preserve">     </v>
      </c>
      <c r="GY54" s="208" t="str">
        <f t="shared" si="200"/>
        <v/>
      </c>
      <c r="GZ54" s="606" t="str">
        <f>IF(AND(Q54="",AE54="",AZ54="",BW54="",CT54=""),"",IF(AND('Master Sheet'!$D$19="YES",'Marks Entry'!$BA$1=1),SUM(Q54,AE54,AZ54,BW54,DT54),SUM(Q54,AE54,AZ54,BW54,CT54)))</f>
        <v/>
      </c>
      <c r="HA54" s="209" t="str">
        <f>IF(GZ54="","",IF(AND('Master Sheet'!$D$19="YES",'Marks Entry'!$BA$1=1),GZ54/((900)-DC54)*100,GZ54/((1000)-DC54)*100))</f>
        <v/>
      </c>
      <c r="HB54" s="611" t="str">
        <f t="shared" si="165"/>
        <v/>
      </c>
      <c r="HC54" s="609" t="str">
        <f t="shared" si="166"/>
        <v/>
      </c>
      <c r="HD54" s="610" t="str">
        <f t="shared" si="167"/>
        <v/>
      </c>
      <c r="HE54" s="210" t="str">
        <f>IFERROR(IF(OR(GY54="SUPPLEMENTARY",GY54="RE-EXAM"),'Supp. Result Entry'!AS53,""),"")</f>
        <v/>
      </c>
      <c r="HF54" s="613" t="str">
        <f t="shared" si="168"/>
        <v/>
      </c>
      <c r="HG54" s="598" t="str">
        <f t="shared" si="169"/>
        <v/>
      </c>
      <c r="HH54" s="598" t="str">
        <f>IF(AND(HE54="",HF54="",HG54=""),"",IF(OR(GY54="SUPPLEMENTARY",GY54="RE-EXAM"),'Supp. Result Entry'!AS53,GY54))</f>
        <v/>
      </c>
      <c r="HI54" s="180"/>
      <c r="HJ54" s="214"/>
      <c r="HY54" s="212" t="str">
        <f>IF('Supp. Result Entry'!U53="","",'Supp. Result Entry'!$U$6)</f>
        <v/>
      </c>
      <c r="HZ54" s="213" t="str">
        <f>IF('Supp. Result Entry'!X53="","",'Supp. Result Entry'!$X$6)</f>
        <v/>
      </c>
      <c r="IA54" s="213" t="str">
        <f>IF('Supp. Result Entry'!AA53="","",'Supp. Result Entry'!$AA$6)</f>
        <v/>
      </c>
      <c r="IB54" s="213" t="str">
        <f>IF('Supp. Result Entry'!AD53="","",'Supp. Result Entry'!$AD$6)</f>
        <v/>
      </c>
      <c r="IC54" s="213" t="str">
        <f>IF('Supp. Result Entry'!AG53="","",'Supp. Result Entry'!$AG$6)</f>
        <v/>
      </c>
      <c r="ID54" s="213" t="str">
        <f>IF('Supp. Result Entry'!AJ53="","",'Supp. Result Entry'!$AJ$6)</f>
        <v/>
      </c>
      <c r="IE54" s="213" t="str">
        <f>IF('Supp. Result Entry'!V53="","",'Supp. Result Entry'!V53)</f>
        <v/>
      </c>
      <c r="IF54" s="213" t="str">
        <f>IF('Supp. Result Entry'!Y53="","",'Supp. Result Entry'!Y53)</f>
        <v/>
      </c>
      <c r="IG54" s="213" t="str">
        <f>IF('Supp. Result Entry'!AB53="","",'Supp. Result Entry'!AB53)</f>
        <v/>
      </c>
      <c r="IH54" s="213" t="str">
        <f>IF('Supp. Result Entry'!AE53="","",'Supp. Result Entry'!AE53)</f>
        <v/>
      </c>
      <c r="II54" s="213" t="str">
        <f>IF('Supp. Result Entry'!AH53="","",'Supp. Result Entry'!AH53)</f>
        <v/>
      </c>
      <c r="IJ54" s="213" t="str">
        <f>IF('Supp. Result Entry'!AK53="","",'Supp. Result Entry'!AK53)</f>
        <v/>
      </c>
      <c r="IK54" s="213" t="str">
        <f>IF('Supp. Result Entry'!W53="","",'Supp. Result Entry'!W53)</f>
        <v/>
      </c>
      <c r="IL54" s="213" t="str">
        <f>IF('Supp. Result Entry'!Z53="","",'Supp. Result Entry'!Z53)</f>
        <v/>
      </c>
      <c r="IM54" s="213" t="str">
        <f>IF('Supp. Result Entry'!AC53="","",'Supp. Result Entry'!AC53)</f>
        <v/>
      </c>
      <c r="IN54" s="213" t="str">
        <f>IF('Supp. Result Entry'!AF53="","",'Supp. Result Entry'!AF53)</f>
        <v/>
      </c>
      <c r="IO54" s="213" t="str">
        <f>IF('Supp. Result Entry'!AI53="","",'Supp. Result Entry'!AI53)</f>
        <v/>
      </c>
      <c r="IP54" s="213" t="str">
        <f>IF('Supp. Result Entry'!AL53="","",'Supp. Result Entry'!AL53)</f>
        <v/>
      </c>
      <c r="IQ54" s="213">
        <f>COUNTIF('Supp. Result Entry'!K53:Q53,"S")</f>
        <v>0</v>
      </c>
      <c r="IR54" s="213">
        <f t="shared" si="170"/>
        <v>0</v>
      </c>
      <c r="IS54" s="213">
        <f t="shared" si="171"/>
        <v>0</v>
      </c>
      <c r="IT54" s="213" t="str">
        <f t="shared" si="41"/>
        <v/>
      </c>
      <c r="IU54" s="213" t="str">
        <f t="shared" si="42"/>
        <v/>
      </c>
      <c r="IV54" s="213" t="str">
        <f t="shared" si="43"/>
        <v/>
      </c>
      <c r="IW54" s="213" t="str">
        <f t="shared" si="44"/>
        <v/>
      </c>
      <c r="IX54" s="213" t="str">
        <f t="shared" si="45"/>
        <v/>
      </c>
      <c r="IY54" s="213" t="str">
        <f t="shared" si="172"/>
        <v/>
      </c>
      <c r="IZ54" s="213" t="str">
        <f t="shared" si="173"/>
        <v/>
      </c>
      <c r="JA54" s="213" t="str">
        <f t="shared" si="46"/>
        <v/>
      </c>
      <c r="JB54" s="211" t="str">
        <f t="shared" si="174"/>
        <v/>
      </c>
    </row>
    <row r="55" spans="1:262" s="211" customFormat="1" ht="21" customHeight="1">
      <c r="A55" s="184">
        <v>48</v>
      </c>
      <c r="B55" s="185" t="str">
        <f>IF('Marks Entry'!B55="","",'Marks Entry'!B55)</f>
        <v/>
      </c>
      <c r="C55" s="186" t="str">
        <f>IF('Marks Entry'!D55="","",'Marks Entry'!D55)</f>
        <v/>
      </c>
      <c r="D55" s="187" t="str">
        <f>IF('Marks Entry'!E55="","",'Marks Entry'!E55)</f>
        <v/>
      </c>
      <c r="E55" s="188" t="str">
        <f>IF('Marks Entry'!F55="","",'Marks Entry'!F55)</f>
        <v/>
      </c>
      <c r="F55" s="188" t="str">
        <f>IF('Marks Entry'!G55="","",'Marks Entry'!G55)</f>
        <v/>
      </c>
      <c r="G55" s="188" t="str">
        <f>IF('Marks Entry'!H55="","",'Marks Entry'!H55)</f>
        <v/>
      </c>
      <c r="H55" s="189" t="str">
        <f>IF('Marks Entry'!I55="","",'Marks Entry'!I55)</f>
        <v/>
      </c>
      <c r="I55" s="190" t="str">
        <f>IF('Marks Entry'!J55="","",'Marks Entry'!J55)</f>
        <v/>
      </c>
      <c r="J55" s="545" t="str">
        <f>IF('Marks Entry'!K55="","",'Marks Entry'!K55)</f>
        <v/>
      </c>
      <c r="K55" s="545" t="str">
        <f>IF('Marks Entry'!L55="","",'Marks Entry'!L55)</f>
        <v/>
      </c>
      <c r="L55" s="545" t="str">
        <f>IF('Marks Entry'!M55="","",'Marks Entry'!M55)</f>
        <v/>
      </c>
      <c r="M55" s="546" t="str">
        <f t="shared" si="47"/>
        <v/>
      </c>
      <c r="N55" s="545" t="str">
        <f>IF('Marks Entry'!N55="","",'Marks Entry'!N55)</f>
        <v/>
      </c>
      <c r="O55" s="546" t="str">
        <f t="shared" si="48"/>
        <v/>
      </c>
      <c r="P55" s="545" t="str">
        <f>IF('Marks Entry'!O55="","",'Marks Entry'!O55)</f>
        <v/>
      </c>
      <c r="Q55" s="547" t="str">
        <f t="shared" si="49"/>
        <v/>
      </c>
      <c r="R55" s="153">
        <f t="shared" si="50"/>
        <v>0</v>
      </c>
      <c r="S55" s="153">
        <f t="shared" si="51"/>
        <v>0</v>
      </c>
      <c r="T55" s="154" t="str">
        <f t="shared" si="52"/>
        <v/>
      </c>
      <c r="U55" s="153" t="str">
        <f t="shared" si="53"/>
        <v/>
      </c>
      <c r="V55" s="153" t="str">
        <f t="shared" si="54"/>
        <v/>
      </c>
      <c r="W55" s="153" t="str">
        <f t="shared" si="55"/>
        <v/>
      </c>
      <c r="X55" s="545" t="str">
        <f>IF('Marks Entry'!P55="","",'Marks Entry'!P55)</f>
        <v/>
      </c>
      <c r="Y55" s="545" t="str">
        <f>IF('Marks Entry'!Q55="","",'Marks Entry'!Q55)</f>
        <v/>
      </c>
      <c r="Z55" s="545" t="str">
        <f>IF('Marks Entry'!R55="","",'Marks Entry'!R55)</f>
        <v/>
      </c>
      <c r="AA55" s="546" t="str">
        <f t="shared" si="56"/>
        <v/>
      </c>
      <c r="AB55" s="545" t="str">
        <f>IF('Marks Entry'!S55="","",'Marks Entry'!S55)</f>
        <v/>
      </c>
      <c r="AC55" s="546" t="str">
        <f t="shared" si="57"/>
        <v/>
      </c>
      <c r="AD55" s="545" t="str">
        <f>IF('Marks Entry'!T55="","",'Marks Entry'!T55)</f>
        <v/>
      </c>
      <c r="AE55" s="547" t="str">
        <f t="shared" si="58"/>
        <v/>
      </c>
      <c r="AF55" s="153">
        <f t="shared" si="59"/>
        <v>0</v>
      </c>
      <c r="AG55" s="153">
        <f t="shared" si="60"/>
        <v>0</v>
      </c>
      <c r="AH55" s="154" t="str">
        <f t="shared" si="61"/>
        <v/>
      </c>
      <c r="AI55" s="153" t="str">
        <f t="shared" si="62"/>
        <v/>
      </c>
      <c r="AJ55" s="153" t="str">
        <f t="shared" si="63"/>
        <v/>
      </c>
      <c r="AK55" s="153" t="str">
        <f t="shared" si="64"/>
        <v/>
      </c>
      <c r="AL55" s="573" t="str">
        <f>IF('Marks Entry'!U55="","",'Marks Entry'!U55)</f>
        <v/>
      </c>
      <c r="AM55" s="573" t="str">
        <f>IF('Marks Entry'!V55="","",'Marks Entry'!V55)</f>
        <v/>
      </c>
      <c r="AN55" s="573" t="str">
        <f>IF('Marks Entry'!W55="","",'Marks Entry'!W55)</f>
        <v/>
      </c>
      <c r="AO55" s="573" t="str">
        <f>IF('Marks Entry'!X55="","",'Marks Entry'!X55)</f>
        <v/>
      </c>
      <c r="AP55" s="572" t="str">
        <f t="shared" si="65"/>
        <v/>
      </c>
      <c r="AQ55" s="573" t="str">
        <f>IF('Marks Entry'!Y55="","",'Marks Entry'!Y55)</f>
        <v/>
      </c>
      <c r="AR55" s="573" t="str">
        <f>IF('Marks Entry'!Z55="","",'Marks Entry'!Z55)</f>
        <v/>
      </c>
      <c r="AS55" s="572" t="str">
        <f t="shared" si="66"/>
        <v/>
      </c>
      <c r="AT55" s="572" t="str">
        <f t="shared" si="67"/>
        <v/>
      </c>
      <c r="AU55" s="573" t="str">
        <f>IF('Marks Entry'!AA55="","",'Marks Entry'!AA55)</f>
        <v/>
      </c>
      <c r="AV55" s="573" t="str">
        <f>IF('Marks Entry'!AB55="","",'Marks Entry'!AB55)</f>
        <v/>
      </c>
      <c r="AW55" s="572" t="str">
        <f t="shared" si="68"/>
        <v/>
      </c>
      <c r="AX55" s="157" t="str">
        <f t="shared" si="69"/>
        <v/>
      </c>
      <c r="AY55" s="157" t="str">
        <f t="shared" si="70"/>
        <v/>
      </c>
      <c r="AZ55" s="192" t="str">
        <f t="shared" si="71"/>
        <v/>
      </c>
      <c r="BA55" s="153">
        <f t="shared" si="72"/>
        <v>0</v>
      </c>
      <c r="BB55" s="154">
        <f t="shared" si="73"/>
        <v>0</v>
      </c>
      <c r="BC55" s="154" t="str">
        <f t="shared" si="74"/>
        <v/>
      </c>
      <c r="BD55" s="154" t="str">
        <f t="shared" si="75"/>
        <v/>
      </c>
      <c r="BE55" s="154" t="str">
        <f t="shared" si="76"/>
        <v/>
      </c>
      <c r="BF55" s="153" t="str">
        <f t="shared" si="77"/>
        <v/>
      </c>
      <c r="BG55" s="154" t="str">
        <f t="shared" si="175"/>
        <v/>
      </c>
      <c r="BH55" s="153" t="str">
        <f t="shared" si="78"/>
        <v/>
      </c>
      <c r="BI55" s="580" t="str">
        <f>IF('Marks Entry'!AC55="","",'Marks Entry'!AC55)</f>
        <v/>
      </c>
      <c r="BJ55" s="580" t="str">
        <f>IF('Marks Entry'!AD55="","",'Marks Entry'!AD55)</f>
        <v/>
      </c>
      <c r="BK55" s="580" t="str">
        <f>IF('Marks Entry'!AE55="","",'Marks Entry'!AE55)</f>
        <v/>
      </c>
      <c r="BL55" s="580" t="str">
        <f>IF('Marks Entry'!AF55="","",'Marks Entry'!AF55)</f>
        <v/>
      </c>
      <c r="BM55" s="581" t="str">
        <f t="shared" si="79"/>
        <v/>
      </c>
      <c r="BN55" s="580" t="str">
        <f>IF('Marks Entry'!AG55="","",'Marks Entry'!AG55)</f>
        <v/>
      </c>
      <c r="BO55" s="580" t="str">
        <f>IF('Marks Entry'!AH55="","",'Marks Entry'!AH55)</f>
        <v/>
      </c>
      <c r="BP55" s="581" t="str">
        <f t="shared" si="80"/>
        <v/>
      </c>
      <c r="BQ55" s="581" t="str">
        <f t="shared" si="81"/>
        <v/>
      </c>
      <c r="BR55" s="580" t="str">
        <f>IF('Marks Entry'!AI55="","",'Marks Entry'!AI55)</f>
        <v/>
      </c>
      <c r="BS55" s="580" t="str">
        <f>IF('Marks Entry'!AJ55="","",'Marks Entry'!AJ55)</f>
        <v/>
      </c>
      <c r="BT55" s="581" t="str">
        <f t="shared" si="82"/>
        <v/>
      </c>
      <c r="BU55" s="157" t="str">
        <f t="shared" si="83"/>
        <v/>
      </c>
      <c r="BV55" s="157" t="str">
        <f t="shared" si="84"/>
        <v/>
      </c>
      <c r="BW55" s="192" t="str">
        <f t="shared" si="85"/>
        <v/>
      </c>
      <c r="BX55" s="153">
        <f t="shared" si="86"/>
        <v>0</v>
      </c>
      <c r="BY55" s="154">
        <f t="shared" si="87"/>
        <v>0</v>
      </c>
      <c r="BZ55" s="154" t="str">
        <f t="shared" si="88"/>
        <v/>
      </c>
      <c r="CA55" s="154" t="str">
        <f t="shared" si="89"/>
        <v/>
      </c>
      <c r="CB55" s="154" t="str">
        <f t="shared" si="90"/>
        <v/>
      </c>
      <c r="CC55" s="153" t="str">
        <f t="shared" si="91"/>
        <v/>
      </c>
      <c r="CD55" s="154" t="str">
        <f t="shared" si="92"/>
        <v/>
      </c>
      <c r="CE55" s="153" t="str">
        <f t="shared" si="93"/>
        <v/>
      </c>
      <c r="CF55" s="580" t="str">
        <f>IF('Marks Entry'!AK55="","",'Marks Entry'!AK55)</f>
        <v/>
      </c>
      <c r="CG55" s="580" t="str">
        <f>IF('Marks Entry'!AL55="","",'Marks Entry'!AL55)</f>
        <v/>
      </c>
      <c r="CH55" s="580" t="str">
        <f>IF('Marks Entry'!AM55="","",'Marks Entry'!AM55)</f>
        <v/>
      </c>
      <c r="CI55" s="580" t="str">
        <f>IF('Marks Entry'!AN55="","",'Marks Entry'!AN55)</f>
        <v/>
      </c>
      <c r="CJ55" s="581" t="str">
        <f t="shared" si="94"/>
        <v/>
      </c>
      <c r="CK55" s="580" t="str">
        <f>IF('Marks Entry'!AO55="","",'Marks Entry'!AO55)</f>
        <v/>
      </c>
      <c r="CL55" s="580" t="str">
        <f>IF('Marks Entry'!AP55="","",'Marks Entry'!AP55)</f>
        <v/>
      </c>
      <c r="CM55" s="581" t="str">
        <f t="shared" si="95"/>
        <v/>
      </c>
      <c r="CN55" s="581" t="str">
        <f t="shared" si="96"/>
        <v/>
      </c>
      <c r="CO55" s="580" t="str">
        <f>IF('Marks Entry'!AQ55="","",'Marks Entry'!AQ55)</f>
        <v/>
      </c>
      <c r="CP55" s="580" t="str">
        <f>IF('Marks Entry'!AR55="","",'Marks Entry'!AR55)</f>
        <v/>
      </c>
      <c r="CQ55" s="581" t="str">
        <f t="shared" si="97"/>
        <v/>
      </c>
      <c r="CR55" s="157" t="str">
        <f t="shared" si="98"/>
        <v/>
      </c>
      <c r="CS55" s="157" t="str">
        <f t="shared" si="99"/>
        <v/>
      </c>
      <c r="CT55" s="192" t="str">
        <f t="shared" si="100"/>
        <v/>
      </c>
      <c r="CU55" s="153">
        <f t="shared" si="101"/>
        <v>0</v>
      </c>
      <c r="CV55" s="154">
        <f t="shared" si="102"/>
        <v>0</v>
      </c>
      <c r="CW55" s="154" t="str">
        <f t="shared" si="103"/>
        <v/>
      </c>
      <c r="CX55" s="154" t="str">
        <f t="shared" si="104"/>
        <v/>
      </c>
      <c r="CY55" s="154" t="str">
        <f t="shared" si="176"/>
        <v/>
      </c>
      <c r="CZ55" s="153" t="str">
        <f t="shared" si="105"/>
        <v/>
      </c>
      <c r="DA55" s="154" t="str">
        <f t="shared" si="106"/>
        <v/>
      </c>
      <c r="DB55" s="153" t="str">
        <f t="shared" si="107"/>
        <v/>
      </c>
      <c r="DC55" s="154">
        <f t="shared" si="108"/>
        <v>0</v>
      </c>
      <c r="DD55" s="826" t="str">
        <f>IF('Marks Entry'!AS55="","",IF(OR('Master Sheet'!$D$19="YES",'Marks Entry'!$BA$1=1),'Marks Entry'!AS55,""))</f>
        <v/>
      </c>
      <c r="DE55" s="826" t="str">
        <f>IF('Marks Entry'!AT55="","",IF(OR('Master Sheet'!$D$19="YES",'Marks Entry'!$BA$1=1),'Marks Entry'!AT55,""))</f>
        <v/>
      </c>
      <c r="DF55" s="826" t="str">
        <f>IF('Marks Entry'!AU55="","",IF(OR('Master Sheet'!$D$19="YES",'Marks Entry'!$BA$1=1),'Marks Entry'!AU55,""))</f>
        <v/>
      </c>
      <c r="DG55" s="826" t="str">
        <f>IF('Marks Entry'!AV55="","",IF(OR('Master Sheet'!$D$19="YES",'Marks Entry'!$BA$1=1),'Marks Entry'!AV55,""))</f>
        <v/>
      </c>
      <c r="DH55" s="827" t="str">
        <f t="shared" si="109"/>
        <v/>
      </c>
      <c r="DI55" s="826" t="str">
        <f>IF('Marks Entry'!AW55="","",IF(OR('Master Sheet'!$D$19="YES",'Marks Entry'!$BA$1=1),'Marks Entry'!AW55,""))</f>
        <v/>
      </c>
      <c r="DJ55" s="826" t="str">
        <f>IF('Marks Entry'!AX55="","",IF(OR('Master Sheet'!$D$19="YES",'Marks Entry'!$BA$1=1),'Marks Entry'!AX55,""))</f>
        <v/>
      </c>
      <c r="DK55" s="827" t="str">
        <f t="shared" si="110"/>
        <v/>
      </c>
      <c r="DL55" s="827" t="str">
        <f t="shared" si="111"/>
        <v/>
      </c>
      <c r="DM55" s="826" t="str">
        <f>IF('Marks Entry'!AY55="","",IF(OR('Master Sheet'!$D$19="YES",'Marks Entry'!$BA$1=1),'Marks Entry'!AY55,""))</f>
        <v/>
      </c>
      <c r="DN55" s="826" t="str">
        <f>IF('Marks Entry'!AZ55="","",IF(OR('Master Sheet'!$D$19="YES",'Marks Entry'!$BA$1=1),'Marks Entry'!AZ55,""))</f>
        <v/>
      </c>
      <c r="DO55" s="826" t="str">
        <f>IF('Marks Entry'!BA55="","",IF(OR('Master Sheet'!$D$19="YES",'Marks Entry'!$BA$1=1),'Marks Entry'!BA55,""))</f>
        <v/>
      </c>
      <c r="DP55" s="827" t="str">
        <f t="shared" si="112"/>
        <v/>
      </c>
      <c r="DQ55" s="157" t="str">
        <f t="shared" si="113"/>
        <v/>
      </c>
      <c r="DR55" s="157" t="str">
        <f t="shared" si="114"/>
        <v/>
      </c>
      <c r="DS55" s="157" t="str">
        <f t="shared" si="115"/>
        <v/>
      </c>
      <c r="DT55" s="192" t="str">
        <f t="shared" si="116"/>
        <v/>
      </c>
      <c r="DU55" s="153">
        <f t="shared" si="117"/>
        <v>0</v>
      </c>
      <c r="DV55" s="154" t="e">
        <f t="shared" si="118"/>
        <v>#VALUE!</v>
      </c>
      <c r="DW55" s="154" t="str">
        <f t="shared" si="119"/>
        <v/>
      </c>
      <c r="DX55" s="154" t="str">
        <f>IF(OR($B55="NSO",$B55=0,DS55=""),"",IF(AND(DJ55="",DO55=""),"",IF('Master Sheet'!$D$19="YES",$DO$6-COUNTIF(DO55,"ML")*DO$6,DS$6-(COUNTIF(DJ55,"ML")*DJ$6)-(COUNTIF(DO55,"ML")*DO$6))))</f>
        <v/>
      </c>
      <c r="DY55" s="154" t="str">
        <f>IF(OR($B55="NSO",$B55=0),"",IF(AND(DH55="",DI55="",DM55=""),"",IF(AND('Master Sheet'!$D$19="YES",'Marks Entry'!$BA$1=1),100,IF(AND(DJ55="",DO55=""),SUM(($DQ$7+$DR$7)-(DU55+DV55)),SUM(($DQ$6+$DR$6)-(DU55+DV55))))))</f>
        <v/>
      </c>
      <c r="DZ55" s="153" t="str">
        <f t="shared" si="120"/>
        <v/>
      </c>
      <c r="EA55" s="154" t="str">
        <f t="shared" si="121"/>
        <v/>
      </c>
      <c r="EB55" s="153" t="str">
        <f t="shared" si="122"/>
        <v/>
      </c>
      <c r="EC55" s="584" t="str">
        <f>IF('Marks Entry'!BB55="","",'Marks Entry'!BB55)</f>
        <v/>
      </c>
      <c r="ED55" s="584" t="str">
        <f>IF('Marks Entry'!BC55="","",'Marks Entry'!BC55)</f>
        <v/>
      </c>
      <c r="EE55" s="584" t="str">
        <f>IF('Marks Entry'!BD55="","",'Marks Entry'!BD55)</f>
        <v/>
      </c>
      <c r="EF55" s="590" t="str">
        <f t="shared" si="123"/>
        <v/>
      </c>
      <c r="EG55" s="595">
        <f t="shared" si="124"/>
        <v>0</v>
      </c>
      <c r="EH55" s="595">
        <f t="shared" si="125"/>
        <v>0</v>
      </c>
      <c r="EI55" s="193" t="str">
        <f t="shared" si="126"/>
        <v/>
      </c>
      <c r="EJ55" s="595" t="str">
        <f t="shared" si="127"/>
        <v/>
      </c>
      <c r="EK55" s="595" t="str">
        <f t="shared" si="128"/>
        <v/>
      </c>
      <c r="EL55" s="194" t="str">
        <f t="shared" si="129"/>
        <v/>
      </c>
      <c r="EM55" s="194" t="str">
        <f t="shared" si="130"/>
        <v/>
      </c>
      <c r="EN55" s="194" t="str">
        <f t="shared" si="131"/>
        <v/>
      </c>
      <c r="EO55" s="194" t="str">
        <f t="shared" si="132"/>
        <v/>
      </c>
      <c r="EP55" s="194" t="str">
        <f t="shared" si="133"/>
        <v/>
      </c>
      <c r="EQ55" s="194" t="str">
        <f t="shared" si="134"/>
        <v/>
      </c>
      <c r="ER55" s="195">
        <f t="shared" si="135"/>
        <v>0</v>
      </c>
      <c r="ES55" s="195">
        <f t="shared" si="136"/>
        <v>0</v>
      </c>
      <c r="ET55" s="195">
        <f t="shared" si="137"/>
        <v>0</v>
      </c>
      <c r="EU55" s="195">
        <f t="shared" si="138"/>
        <v>0</v>
      </c>
      <c r="EV55" s="195">
        <f t="shared" si="139"/>
        <v>0</v>
      </c>
      <c r="EW55" s="195" t="str">
        <f t="shared" si="140"/>
        <v/>
      </c>
      <c r="EX55" s="196" t="str">
        <f t="shared" si="141"/>
        <v/>
      </c>
      <c r="EY55" s="197" t="str">
        <f>IF('Marks Entry'!BE55="","",'Marks Entry'!BE55)</f>
        <v/>
      </c>
      <c r="EZ55" s="197" t="str">
        <f>IF('Marks Entry'!BF55="","",'Marks Entry'!BF55)</f>
        <v/>
      </c>
      <c r="FA55" s="197" t="str">
        <f>IF('Marks Entry'!BG55="","",'Marks Entry'!BG55)</f>
        <v/>
      </c>
      <c r="FB55" s="596" t="str">
        <f t="shared" si="142"/>
        <v/>
      </c>
      <c r="FC55" s="197" t="str">
        <f>IF('Marks Entry'!BH55="","",'Marks Entry'!BH55)</f>
        <v/>
      </c>
      <c r="FD55" s="197" t="str">
        <f>IF('Marks Entry'!BI55="","",'Marks Entry'!BI55)</f>
        <v/>
      </c>
      <c r="FE55" s="198" t="str">
        <f t="shared" si="143"/>
        <v/>
      </c>
      <c r="FF55" s="199" t="str">
        <f t="shared" si="144"/>
        <v/>
      </c>
      <c r="FG55" s="200" t="str">
        <f>IF(AND(E55=""),"",IF('Student DATA Entry'!L51="","",'Student DATA Entry'!L51))</f>
        <v/>
      </c>
      <c r="FH55" s="201" t="str">
        <f>IF(AND(E55=""),"",IF('Student DATA Entry'!M51="","",'Student DATA Entry'!M51))</f>
        <v/>
      </c>
      <c r="FI55" s="202" t="str">
        <f t="shared" si="145"/>
        <v/>
      </c>
      <c r="FJ55" s="189" t="str">
        <f t="shared" si="146"/>
        <v/>
      </c>
      <c r="FK55" s="189" t="str">
        <f t="shared" si="147"/>
        <v/>
      </c>
      <c r="FL55" s="203" t="str">
        <f t="shared" si="178"/>
        <v/>
      </c>
      <c r="FM55" s="189" t="str">
        <f t="shared" si="148"/>
        <v/>
      </c>
      <c r="FN55" s="204" t="str">
        <f t="shared" si="149"/>
        <v/>
      </c>
      <c r="FO55" s="203" t="str">
        <f t="shared" si="179"/>
        <v/>
      </c>
      <c r="FP55" s="205" t="str">
        <f t="shared" si="150"/>
        <v/>
      </c>
      <c r="FQ55" s="189" t="str">
        <f t="shared" si="180"/>
        <v/>
      </c>
      <c r="FR55" s="189" t="str">
        <f t="shared" si="181"/>
        <v/>
      </c>
      <c r="FS55" s="189" t="str">
        <f t="shared" si="182"/>
        <v/>
      </c>
      <c r="FT55" s="189" t="str">
        <f t="shared" si="183"/>
        <v/>
      </c>
      <c r="FU55" s="189" t="str">
        <f t="shared" si="151"/>
        <v/>
      </c>
      <c r="FV55" s="206" t="str">
        <f t="shared" si="184"/>
        <v/>
      </c>
      <c r="FW55" s="205" t="str">
        <f t="shared" si="152"/>
        <v/>
      </c>
      <c r="FX55" s="189" t="str">
        <f t="shared" si="185"/>
        <v/>
      </c>
      <c r="FY55" s="189" t="str">
        <f t="shared" si="186"/>
        <v/>
      </c>
      <c r="FZ55" s="189" t="str">
        <f t="shared" si="187"/>
        <v/>
      </c>
      <c r="GA55" s="189" t="str">
        <f t="shared" si="188"/>
        <v/>
      </c>
      <c r="GB55" s="189" t="str">
        <f t="shared" si="153"/>
        <v/>
      </c>
      <c r="GC55" s="206" t="str">
        <f t="shared" si="189"/>
        <v/>
      </c>
      <c r="GD55" s="205" t="str">
        <f t="shared" si="154"/>
        <v/>
      </c>
      <c r="GE55" s="189" t="str">
        <f t="shared" si="190"/>
        <v/>
      </c>
      <c r="GF55" s="189" t="str">
        <f t="shared" si="191"/>
        <v/>
      </c>
      <c r="GG55" s="189" t="str">
        <f t="shared" si="192"/>
        <v/>
      </c>
      <c r="GH55" s="189" t="str">
        <f t="shared" si="193"/>
        <v/>
      </c>
      <c r="GI55" s="189" t="str">
        <f t="shared" si="155"/>
        <v/>
      </c>
      <c r="GJ55" s="206" t="str">
        <f t="shared" si="194"/>
        <v/>
      </c>
      <c r="GK55" s="205" t="str">
        <f t="shared" si="156"/>
        <v/>
      </c>
      <c r="GL55" s="189" t="str">
        <f t="shared" si="195"/>
        <v/>
      </c>
      <c r="GM55" s="189" t="str">
        <f t="shared" si="196"/>
        <v/>
      </c>
      <c r="GN55" s="189" t="str">
        <f t="shared" si="197"/>
        <v/>
      </c>
      <c r="GO55" s="189" t="str">
        <f t="shared" si="198"/>
        <v/>
      </c>
      <c r="GP55" s="189" t="str">
        <f t="shared" si="157"/>
        <v/>
      </c>
      <c r="GQ55" s="206" t="str">
        <f t="shared" si="199"/>
        <v/>
      </c>
      <c r="GR55" s="189" t="str">
        <f t="shared" si="158"/>
        <v/>
      </c>
      <c r="GS55" s="189" t="str">
        <f t="shared" si="159"/>
        <v/>
      </c>
      <c r="GT55" s="207" t="str">
        <f t="shared" si="177"/>
        <v xml:space="preserve">    </v>
      </c>
      <c r="GU55" s="207" t="str">
        <f t="shared" si="160"/>
        <v xml:space="preserve">    </v>
      </c>
      <c r="GV55" s="207" t="str">
        <f t="shared" si="161"/>
        <v xml:space="preserve">    </v>
      </c>
      <c r="GW55" s="207" t="str">
        <f t="shared" si="162"/>
        <v xml:space="preserve">       </v>
      </c>
      <c r="GX55" s="598" t="str">
        <f t="shared" si="163"/>
        <v xml:space="preserve">     </v>
      </c>
      <c r="GY55" s="208" t="str">
        <f t="shared" si="200"/>
        <v/>
      </c>
      <c r="GZ55" s="606" t="str">
        <f>IF(AND(Q55="",AE55="",AZ55="",BW55="",CT55=""),"",IF(AND('Master Sheet'!$D$19="YES",'Marks Entry'!$BA$1=1),SUM(Q55,AE55,AZ55,BW55,DT55),SUM(Q55,AE55,AZ55,BW55,CT55)))</f>
        <v/>
      </c>
      <c r="HA55" s="209" t="str">
        <f>IF(GZ55="","",IF(AND('Master Sheet'!$D$19="YES",'Marks Entry'!$BA$1=1),GZ55/((900)-DC55)*100,GZ55/((1000)-DC55)*100))</f>
        <v/>
      </c>
      <c r="HB55" s="611" t="str">
        <f t="shared" si="165"/>
        <v/>
      </c>
      <c r="HC55" s="609" t="str">
        <f t="shared" si="166"/>
        <v/>
      </c>
      <c r="HD55" s="610" t="str">
        <f t="shared" si="167"/>
        <v/>
      </c>
      <c r="HE55" s="210" t="str">
        <f>IFERROR(IF(OR(GY55="SUPPLEMENTARY",GY55="RE-EXAM"),'Supp. Result Entry'!AS54,""),"")</f>
        <v/>
      </c>
      <c r="HF55" s="613" t="str">
        <f t="shared" si="168"/>
        <v/>
      </c>
      <c r="HG55" s="598" t="str">
        <f t="shared" si="169"/>
        <v/>
      </c>
      <c r="HH55" s="598" t="str">
        <f>IF(AND(HE55="",HF55="",HG55=""),"",IF(OR(GY55="SUPPLEMENTARY",GY55="RE-EXAM"),'Supp. Result Entry'!AS54,GY55))</f>
        <v/>
      </c>
      <c r="HI55" s="180"/>
      <c r="HJ55" s="214"/>
      <c r="HY55" s="212" t="str">
        <f>IF('Supp. Result Entry'!U54="","",'Supp. Result Entry'!$U$6)</f>
        <v/>
      </c>
      <c r="HZ55" s="213" t="str">
        <f>IF('Supp. Result Entry'!X54="","",'Supp. Result Entry'!$X$6)</f>
        <v/>
      </c>
      <c r="IA55" s="213" t="str">
        <f>IF('Supp. Result Entry'!AA54="","",'Supp. Result Entry'!$AA$6)</f>
        <v/>
      </c>
      <c r="IB55" s="213" t="str">
        <f>IF('Supp. Result Entry'!AD54="","",'Supp. Result Entry'!$AD$6)</f>
        <v/>
      </c>
      <c r="IC55" s="213" t="str">
        <f>IF('Supp. Result Entry'!AG54="","",'Supp. Result Entry'!$AG$6)</f>
        <v/>
      </c>
      <c r="ID55" s="213" t="str">
        <f>IF('Supp. Result Entry'!AJ54="","",'Supp. Result Entry'!$AJ$6)</f>
        <v/>
      </c>
      <c r="IE55" s="213" t="str">
        <f>IF('Supp. Result Entry'!V54="","",'Supp. Result Entry'!V54)</f>
        <v/>
      </c>
      <c r="IF55" s="213" t="str">
        <f>IF('Supp. Result Entry'!Y54="","",'Supp. Result Entry'!Y54)</f>
        <v/>
      </c>
      <c r="IG55" s="213" t="str">
        <f>IF('Supp. Result Entry'!AB54="","",'Supp. Result Entry'!AB54)</f>
        <v/>
      </c>
      <c r="IH55" s="213" t="str">
        <f>IF('Supp. Result Entry'!AE54="","",'Supp. Result Entry'!AE54)</f>
        <v/>
      </c>
      <c r="II55" s="213" t="str">
        <f>IF('Supp. Result Entry'!AH54="","",'Supp. Result Entry'!AH54)</f>
        <v/>
      </c>
      <c r="IJ55" s="213" t="str">
        <f>IF('Supp. Result Entry'!AK54="","",'Supp. Result Entry'!AK54)</f>
        <v/>
      </c>
      <c r="IK55" s="213" t="str">
        <f>IF('Supp. Result Entry'!W54="","",'Supp. Result Entry'!W54)</f>
        <v/>
      </c>
      <c r="IL55" s="213" t="str">
        <f>IF('Supp. Result Entry'!Z54="","",'Supp. Result Entry'!Z54)</f>
        <v/>
      </c>
      <c r="IM55" s="213" t="str">
        <f>IF('Supp. Result Entry'!AC54="","",'Supp. Result Entry'!AC54)</f>
        <v/>
      </c>
      <c r="IN55" s="213" t="str">
        <f>IF('Supp. Result Entry'!AF54="","",'Supp. Result Entry'!AF54)</f>
        <v/>
      </c>
      <c r="IO55" s="213" t="str">
        <f>IF('Supp. Result Entry'!AI54="","",'Supp. Result Entry'!AI54)</f>
        <v/>
      </c>
      <c r="IP55" s="213" t="str">
        <f>IF('Supp. Result Entry'!AL54="","",'Supp. Result Entry'!AL54)</f>
        <v/>
      </c>
      <c r="IQ55" s="213">
        <f>COUNTIF('Supp. Result Entry'!K54:Q54,"S")</f>
        <v>0</v>
      </c>
      <c r="IR55" s="213">
        <f t="shared" si="170"/>
        <v>0</v>
      </c>
      <c r="IS55" s="213">
        <f t="shared" si="171"/>
        <v>0</v>
      </c>
      <c r="IT55" s="213" t="str">
        <f t="shared" si="41"/>
        <v/>
      </c>
      <c r="IU55" s="213" t="str">
        <f t="shared" si="42"/>
        <v/>
      </c>
      <c r="IV55" s="213" t="str">
        <f t="shared" si="43"/>
        <v/>
      </c>
      <c r="IW55" s="213" t="str">
        <f t="shared" si="44"/>
        <v/>
      </c>
      <c r="IX55" s="213" t="str">
        <f t="shared" si="45"/>
        <v/>
      </c>
      <c r="IY55" s="213" t="str">
        <f t="shared" si="172"/>
        <v/>
      </c>
      <c r="IZ55" s="213" t="str">
        <f t="shared" si="173"/>
        <v/>
      </c>
      <c r="JA55" s="213" t="str">
        <f t="shared" si="46"/>
        <v/>
      </c>
      <c r="JB55" s="211" t="str">
        <f t="shared" si="174"/>
        <v/>
      </c>
    </row>
    <row r="56" spans="1:262" s="211" customFormat="1" ht="21" customHeight="1">
      <c r="A56" s="184">
        <v>49</v>
      </c>
      <c r="B56" s="185" t="str">
        <f>IF('Marks Entry'!B56="","",'Marks Entry'!B56)</f>
        <v/>
      </c>
      <c r="C56" s="186" t="str">
        <f>IF('Marks Entry'!D56="","",'Marks Entry'!D56)</f>
        <v/>
      </c>
      <c r="D56" s="187" t="str">
        <f>IF('Marks Entry'!E56="","",'Marks Entry'!E56)</f>
        <v/>
      </c>
      <c r="E56" s="188" t="str">
        <f>IF('Marks Entry'!F56="","",'Marks Entry'!F56)</f>
        <v/>
      </c>
      <c r="F56" s="188" t="str">
        <f>IF('Marks Entry'!G56="","",'Marks Entry'!G56)</f>
        <v/>
      </c>
      <c r="G56" s="188" t="str">
        <f>IF('Marks Entry'!H56="","",'Marks Entry'!H56)</f>
        <v/>
      </c>
      <c r="H56" s="189" t="str">
        <f>IF('Marks Entry'!I56="","",'Marks Entry'!I56)</f>
        <v/>
      </c>
      <c r="I56" s="190" t="str">
        <f>IF('Marks Entry'!J56="","",'Marks Entry'!J56)</f>
        <v/>
      </c>
      <c r="J56" s="545" t="str">
        <f>IF('Marks Entry'!K56="","",'Marks Entry'!K56)</f>
        <v/>
      </c>
      <c r="K56" s="545" t="str">
        <f>IF('Marks Entry'!L56="","",'Marks Entry'!L56)</f>
        <v/>
      </c>
      <c r="L56" s="545" t="str">
        <f>IF('Marks Entry'!M56="","",'Marks Entry'!M56)</f>
        <v/>
      </c>
      <c r="M56" s="546" t="str">
        <f t="shared" si="47"/>
        <v/>
      </c>
      <c r="N56" s="545" t="str">
        <f>IF('Marks Entry'!N56="","",'Marks Entry'!N56)</f>
        <v/>
      </c>
      <c r="O56" s="546" t="str">
        <f t="shared" si="48"/>
        <v/>
      </c>
      <c r="P56" s="545" t="str">
        <f>IF('Marks Entry'!O56="","",'Marks Entry'!O56)</f>
        <v/>
      </c>
      <c r="Q56" s="547" t="str">
        <f t="shared" si="49"/>
        <v/>
      </c>
      <c r="R56" s="153">
        <f t="shared" si="50"/>
        <v>0</v>
      </c>
      <c r="S56" s="153">
        <f t="shared" si="51"/>
        <v>0</v>
      </c>
      <c r="T56" s="154" t="str">
        <f t="shared" si="52"/>
        <v/>
      </c>
      <c r="U56" s="153" t="str">
        <f t="shared" si="53"/>
        <v/>
      </c>
      <c r="V56" s="153" t="str">
        <f t="shared" si="54"/>
        <v/>
      </c>
      <c r="W56" s="153" t="str">
        <f t="shared" si="55"/>
        <v/>
      </c>
      <c r="X56" s="545" t="str">
        <f>IF('Marks Entry'!P56="","",'Marks Entry'!P56)</f>
        <v/>
      </c>
      <c r="Y56" s="545" t="str">
        <f>IF('Marks Entry'!Q56="","",'Marks Entry'!Q56)</f>
        <v/>
      </c>
      <c r="Z56" s="545" t="str">
        <f>IF('Marks Entry'!R56="","",'Marks Entry'!R56)</f>
        <v/>
      </c>
      <c r="AA56" s="546" t="str">
        <f t="shared" si="56"/>
        <v/>
      </c>
      <c r="AB56" s="545" t="str">
        <f>IF('Marks Entry'!S56="","",'Marks Entry'!S56)</f>
        <v/>
      </c>
      <c r="AC56" s="546" t="str">
        <f t="shared" si="57"/>
        <v/>
      </c>
      <c r="AD56" s="545" t="str">
        <f>IF('Marks Entry'!T56="","",'Marks Entry'!T56)</f>
        <v/>
      </c>
      <c r="AE56" s="547" t="str">
        <f t="shared" si="58"/>
        <v/>
      </c>
      <c r="AF56" s="153">
        <f t="shared" si="59"/>
        <v>0</v>
      </c>
      <c r="AG56" s="153">
        <f t="shared" si="60"/>
        <v>0</v>
      </c>
      <c r="AH56" s="154" t="str">
        <f t="shared" si="61"/>
        <v/>
      </c>
      <c r="AI56" s="153" t="str">
        <f t="shared" si="62"/>
        <v/>
      </c>
      <c r="AJ56" s="153" t="str">
        <f t="shared" si="63"/>
        <v/>
      </c>
      <c r="AK56" s="153" t="str">
        <f t="shared" si="64"/>
        <v/>
      </c>
      <c r="AL56" s="573" t="str">
        <f>IF('Marks Entry'!U56="","",'Marks Entry'!U56)</f>
        <v/>
      </c>
      <c r="AM56" s="573" t="str">
        <f>IF('Marks Entry'!V56="","",'Marks Entry'!V56)</f>
        <v/>
      </c>
      <c r="AN56" s="573" t="str">
        <f>IF('Marks Entry'!W56="","",'Marks Entry'!W56)</f>
        <v/>
      </c>
      <c r="AO56" s="573" t="str">
        <f>IF('Marks Entry'!X56="","",'Marks Entry'!X56)</f>
        <v/>
      </c>
      <c r="AP56" s="572" t="str">
        <f t="shared" si="65"/>
        <v/>
      </c>
      <c r="AQ56" s="573" t="str">
        <f>IF('Marks Entry'!Y56="","",'Marks Entry'!Y56)</f>
        <v/>
      </c>
      <c r="AR56" s="573" t="str">
        <f>IF('Marks Entry'!Z56="","",'Marks Entry'!Z56)</f>
        <v/>
      </c>
      <c r="AS56" s="572" t="str">
        <f t="shared" si="66"/>
        <v/>
      </c>
      <c r="AT56" s="572" t="str">
        <f t="shared" si="67"/>
        <v/>
      </c>
      <c r="AU56" s="573" t="str">
        <f>IF('Marks Entry'!AA56="","",'Marks Entry'!AA56)</f>
        <v/>
      </c>
      <c r="AV56" s="573" t="str">
        <f>IF('Marks Entry'!AB56="","",'Marks Entry'!AB56)</f>
        <v/>
      </c>
      <c r="AW56" s="572" t="str">
        <f t="shared" si="68"/>
        <v/>
      </c>
      <c r="AX56" s="157" t="str">
        <f t="shared" si="69"/>
        <v/>
      </c>
      <c r="AY56" s="157" t="str">
        <f t="shared" si="70"/>
        <v/>
      </c>
      <c r="AZ56" s="192" t="str">
        <f t="shared" si="71"/>
        <v/>
      </c>
      <c r="BA56" s="153">
        <f t="shared" si="72"/>
        <v>0</v>
      </c>
      <c r="BB56" s="154">
        <f t="shared" si="73"/>
        <v>0</v>
      </c>
      <c r="BC56" s="154" t="str">
        <f t="shared" si="74"/>
        <v/>
      </c>
      <c r="BD56" s="154" t="str">
        <f t="shared" si="75"/>
        <v/>
      </c>
      <c r="BE56" s="154" t="str">
        <f t="shared" si="76"/>
        <v/>
      </c>
      <c r="BF56" s="153" t="str">
        <f t="shared" si="77"/>
        <v/>
      </c>
      <c r="BG56" s="154" t="str">
        <f t="shared" si="175"/>
        <v/>
      </c>
      <c r="BH56" s="153" t="str">
        <f t="shared" si="78"/>
        <v/>
      </c>
      <c r="BI56" s="580" t="str">
        <f>IF('Marks Entry'!AC56="","",'Marks Entry'!AC56)</f>
        <v/>
      </c>
      <c r="BJ56" s="580" t="str">
        <f>IF('Marks Entry'!AD56="","",'Marks Entry'!AD56)</f>
        <v/>
      </c>
      <c r="BK56" s="580" t="str">
        <f>IF('Marks Entry'!AE56="","",'Marks Entry'!AE56)</f>
        <v/>
      </c>
      <c r="BL56" s="580" t="str">
        <f>IF('Marks Entry'!AF56="","",'Marks Entry'!AF56)</f>
        <v/>
      </c>
      <c r="BM56" s="581" t="str">
        <f t="shared" si="79"/>
        <v/>
      </c>
      <c r="BN56" s="580" t="str">
        <f>IF('Marks Entry'!AG56="","",'Marks Entry'!AG56)</f>
        <v/>
      </c>
      <c r="BO56" s="580" t="str">
        <f>IF('Marks Entry'!AH56="","",'Marks Entry'!AH56)</f>
        <v/>
      </c>
      <c r="BP56" s="581" t="str">
        <f t="shared" si="80"/>
        <v/>
      </c>
      <c r="BQ56" s="581" t="str">
        <f t="shared" si="81"/>
        <v/>
      </c>
      <c r="BR56" s="580" t="str">
        <f>IF('Marks Entry'!AI56="","",'Marks Entry'!AI56)</f>
        <v/>
      </c>
      <c r="BS56" s="580" t="str">
        <f>IF('Marks Entry'!AJ56="","",'Marks Entry'!AJ56)</f>
        <v/>
      </c>
      <c r="BT56" s="581" t="str">
        <f t="shared" si="82"/>
        <v/>
      </c>
      <c r="BU56" s="157" t="str">
        <f t="shared" si="83"/>
        <v/>
      </c>
      <c r="BV56" s="157" t="str">
        <f t="shared" si="84"/>
        <v/>
      </c>
      <c r="BW56" s="192" t="str">
        <f t="shared" si="85"/>
        <v/>
      </c>
      <c r="BX56" s="153">
        <f t="shared" si="86"/>
        <v>0</v>
      </c>
      <c r="BY56" s="154">
        <f t="shared" si="87"/>
        <v>0</v>
      </c>
      <c r="BZ56" s="154" t="str">
        <f t="shared" si="88"/>
        <v/>
      </c>
      <c r="CA56" s="154" t="str">
        <f t="shared" si="89"/>
        <v/>
      </c>
      <c r="CB56" s="154" t="str">
        <f t="shared" si="90"/>
        <v/>
      </c>
      <c r="CC56" s="153" t="str">
        <f t="shared" si="91"/>
        <v/>
      </c>
      <c r="CD56" s="154" t="str">
        <f t="shared" si="92"/>
        <v/>
      </c>
      <c r="CE56" s="153" t="str">
        <f t="shared" si="93"/>
        <v/>
      </c>
      <c r="CF56" s="580" t="str">
        <f>IF('Marks Entry'!AK56="","",'Marks Entry'!AK56)</f>
        <v/>
      </c>
      <c r="CG56" s="580" t="str">
        <f>IF('Marks Entry'!AL56="","",'Marks Entry'!AL56)</f>
        <v/>
      </c>
      <c r="CH56" s="580" t="str">
        <f>IF('Marks Entry'!AM56="","",'Marks Entry'!AM56)</f>
        <v/>
      </c>
      <c r="CI56" s="580" t="str">
        <f>IF('Marks Entry'!AN56="","",'Marks Entry'!AN56)</f>
        <v/>
      </c>
      <c r="CJ56" s="581" t="str">
        <f t="shared" si="94"/>
        <v/>
      </c>
      <c r="CK56" s="580" t="str">
        <f>IF('Marks Entry'!AO56="","",'Marks Entry'!AO56)</f>
        <v/>
      </c>
      <c r="CL56" s="580" t="str">
        <f>IF('Marks Entry'!AP56="","",'Marks Entry'!AP56)</f>
        <v/>
      </c>
      <c r="CM56" s="581" t="str">
        <f t="shared" si="95"/>
        <v/>
      </c>
      <c r="CN56" s="581" t="str">
        <f t="shared" si="96"/>
        <v/>
      </c>
      <c r="CO56" s="580" t="str">
        <f>IF('Marks Entry'!AQ56="","",'Marks Entry'!AQ56)</f>
        <v/>
      </c>
      <c r="CP56" s="580" t="str">
        <f>IF('Marks Entry'!AR56="","",'Marks Entry'!AR56)</f>
        <v/>
      </c>
      <c r="CQ56" s="581" t="str">
        <f t="shared" si="97"/>
        <v/>
      </c>
      <c r="CR56" s="157" t="str">
        <f t="shared" si="98"/>
        <v/>
      </c>
      <c r="CS56" s="157" t="str">
        <f t="shared" si="99"/>
        <v/>
      </c>
      <c r="CT56" s="192" t="str">
        <f t="shared" si="100"/>
        <v/>
      </c>
      <c r="CU56" s="153">
        <f t="shared" si="101"/>
        <v>0</v>
      </c>
      <c r="CV56" s="154">
        <f t="shared" si="102"/>
        <v>0</v>
      </c>
      <c r="CW56" s="154" t="str">
        <f t="shared" si="103"/>
        <v/>
      </c>
      <c r="CX56" s="154" t="str">
        <f t="shared" si="104"/>
        <v/>
      </c>
      <c r="CY56" s="154" t="str">
        <f t="shared" si="176"/>
        <v/>
      </c>
      <c r="CZ56" s="153" t="str">
        <f t="shared" si="105"/>
        <v/>
      </c>
      <c r="DA56" s="154" t="str">
        <f t="shared" si="106"/>
        <v/>
      </c>
      <c r="DB56" s="153" t="str">
        <f t="shared" si="107"/>
        <v/>
      </c>
      <c r="DC56" s="154">
        <f t="shared" si="108"/>
        <v>0</v>
      </c>
      <c r="DD56" s="826" t="str">
        <f>IF('Marks Entry'!AS56="","",IF(OR('Master Sheet'!$D$19="YES",'Marks Entry'!$BA$1=1),'Marks Entry'!AS56,""))</f>
        <v/>
      </c>
      <c r="DE56" s="826" t="str">
        <f>IF('Marks Entry'!AT56="","",IF(OR('Master Sheet'!$D$19="YES",'Marks Entry'!$BA$1=1),'Marks Entry'!AT56,""))</f>
        <v/>
      </c>
      <c r="DF56" s="826" t="str">
        <f>IF('Marks Entry'!AU56="","",IF(OR('Master Sheet'!$D$19="YES",'Marks Entry'!$BA$1=1),'Marks Entry'!AU56,""))</f>
        <v/>
      </c>
      <c r="DG56" s="826" t="str">
        <f>IF('Marks Entry'!AV56="","",IF(OR('Master Sheet'!$D$19="YES",'Marks Entry'!$BA$1=1),'Marks Entry'!AV56,""))</f>
        <v/>
      </c>
      <c r="DH56" s="827" t="str">
        <f t="shared" si="109"/>
        <v/>
      </c>
      <c r="DI56" s="826" t="str">
        <f>IF('Marks Entry'!AW56="","",IF(OR('Master Sheet'!$D$19="YES",'Marks Entry'!$BA$1=1),'Marks Entry'!AW56,""))</f>
        <v/>
      </c>
      <c r="DJ56" s="826" t="str">
        <f>IF('Marks Entry'!AX56="","",IF(OR('Master Sheet'!$D$19="YES",'Marks Entry'!$BA$1=1),'Marks Entry'!AX56,""))</f>
        <v/>
      </c>
      <c r="DK56" s="827" t="str">
        <f t="shared" si="110"/>
        <v/>
      </c>
      <c r="DL56" s="827" t="str">
        <f t="shared" si="111"/>
        <v/>
      </c>
      <c r="DM56" s="826" t="str">
        <f>IF('Marks Entry'!AY56="","",IF(OR('Master Sheet'!$D$19="YES",'Marks Entry'!$BA$1=1),'Marks Entry'!AY56,""))</f>
        <v/>
      </c>
      <c r="DN56" s="826" t="str">
        <f>IF('Marks Entry'!AZ56="","",IF(OR('Master Sheet'!$D$19="YES",'Marks Entry'!$BA$1=1),'Marks Entry'!AZ56,""))</f>
        <v/>
      </c>
      <c r="DO56" s="826" t="str">
        <f>IF('Marks Entry'!BA56="","",IF(OR('Master Sheet'!$D$19="YES",'Marks Entry'!$BA$1=1),'Marks Entry'!BA56,""))</f>
        <v/>
      </c>
      <c r="DP56" s="827" t="str">
        <f t="shared" si="112"/>
        <v/>
      </c>
      <c r="DQ56" s="157" t="str">
        <f t="shared" si="113"/>
        <v/>
      </c>
      <c r="DR56" s="157" t="str">
        <f t="shared" si="114"/>
        <v/>
      </c>
      <c r="DS56" s="157" t="str">
        <f t="shared" si="115"/>
        <v/>
      </c>
      <c r="DT56" s="192" t="str">
        <f t="shared" si="116"/>
        <v/>
      </c>
      <c r="DU56" s="153">
        <f t="shared" si="117"/>
        <v>0</v>
      </c>
      <c r="DV56" s="154" t="e">
        <f t="shared" si="118"/>
        <v>#VALUE!</v>
      </c>
      <c r="DW56" s="154" t="str">
        <f t="shared" si="119"/>
        <v/>
      </c>
      <c r="DX56" s="154" t="str">
        <f>IF(OR($B56="NSO",$B56=0,DS56=""),"",IF(AND(DJ56="",DO56=""),"",IF('Master Sheet'!$D$19="YES",$DO$6-COUNTIF(DO56,"ML")*DO$6,DS$6-(COUNTIF(DJ56,"ML")*DJ$6)-(COUNTIF(DO56,"ML")*DO$6))))</f>
        <v/>
      </c>
      <c r="DY56" s="154" t="str">
        <f>IF(OR($B56="NSO",$B56=0),"",IF(AND(DH56="",DI56="",DM56=""),"",IF(AND('Master Sheet'!$D$19="YES",'Marks Entry'!$BA$1=1),100,IF(AND(DJ56="",DO56=""),SUM(($DQ$7+$DR$7)-(DU56+DV56)),SUM(($DQ$6+$DR$6)-(DU56+DV56))))))</f>
        <v/>
      </c>
      <c r="DZ56" s="153" t="str">
        <f t="shared" si="120"/>
        <v/>
      </c>
      <c r="EA56" s="154" t="str">
        <f t="shared" si="121"/>
        <v/>
      </c>
      <c r="EB56" s="153" t="str">
        <f t="shared" si="122"/>
        <v/>
      </c>
      <c r="EC56" s="584" t="str">
        <f>IF('Marks Entry'!BB56="","",'Marks Entry'!BB56)</f>
        <v/>
      </c>
      <c r="ED56" s="584" t="str">
        <f>IF('Marks Entry'!BC56="","",'Marks Entry'!BC56)</f>
        <v/>
      </c>
      <c r="EE56" s="584" t="str">
        <f>IF('Marks Entry'!BD56="","",'Marks Entry'!BD56)</f>
        <v/>
      </c>
      <c r="EF56" s="590" t="str">
        <f t="shared" si="123"/>
        <v/>
      </c>
      <c r="EG56" s="595">
        <f t="shared" si="124"/>
        <v>0</v>
      </c>
      <c r="EH56" s="595">
        <f t="shared" si="125"/>
        <v>0</v>
      </c>
      <c r="EI56" s="193" t="str">
        <f t="shared" si="126"/>
        <v/>
      </c>
      <c r="EJ56" s="595" t="str">
        <f t="shared" si="127"/>
        <v/>
      </c>
      <c r="EK56" s="595" t="str">
        <f t="shared" si="128"/>
        <v/>
      </c>
      <c r="EL56" s="194" t="str">
        <f t="shared" si="129"/>
        <v/>
      </c>
      <c r="EM56" s="194" t="str">
        <f t="shared" si="130"/>
        <v/>
      </c>
      <c r="EN56" s="194" t="str">
        <f t="shared" si="131"/>
        <v/>
      </c>
      <c r="EO56" s="194" t="str">
        <f t="shared" si="132"/>
        <v/>
      </c>
      <c r="EP56" s="194" t="str">
        <f t="shared" si="133"/>
        <v/>
      </c>
      <c r="EQ56" s="194" t="str">
        <f t="shared" si="134"/>
        <v/>
      </c>
      <c r="ER56" s="195">
        <f t="shared" si="135"/>
        <v>0</v>
      </c>
      <c r="ES56" s="195">
        <f t="shared" si="136"/>
        <v>0</v>
      </c>
      <c r="ET56" s="195">
        <f t="shared" si="137"/>
        <v>0</v>
      </c>
      <c r="EU56" s="195">
        <f t="shared" si="138"/>
        <v>0</v>
      </c>
      <c r="EV56" s="195">
        <f t="shared" si="139"/>
        <v>0</v>
      </c>
      <c r="EW56" s="195" t="str">
        <f t="shared" si="140"/>
        <v/>
      </c>
      <c r="EX56" s="196" t="str">
        <f t="shared" si="141"/>
        <v/>
      </c>
      <c r="EY56" s="197" t="str">
        <f>IF('Marks Entry'!BE56="","",'Marks Entry'!BE56)</f>
        <v/>
      </c>
      <c r="EZ56" s="197" t="str">
        <f>IF('Marks Entry'!BF56="","",'Marks Entry'!BF56)</f>
        <v/>
      </c>
      <c r="FA56" s="197" t="str">
        <f>IF('Marks Entry'!BG56="","",'Marks Entry'!BG56)</f>
        <v/>
      </c>
      <c r="FB56" s="596" t="str">
        <f t="shared" si="142"/>
        <v/>
      </c>
      <c r="FC56" s="197" t="str">
        <f>IF('Marks Entry'!BH56="","",'Marks Entry'!BH56)</f>
        <v/>
      </c>
      <c r="FD56" s="197" t="str">
        <f>IF('Marks Entry'!BI56="","",'Marks Entry'!BI56)</f>
        <v/>
      </c>
      <c r="FE56" s="198" t="str">
        <f t="shared" si="143"/>
        <v/>
      </c>
      <c r="FF56" s="199" t="str">
        <f t="shared" si="144"/>
        <v/>
      </c>
      <c r="FG56" s="200" t="str">
        <f>IF(AND(E56=""),"",IF('Student DATA Entry'!L52="","",'Student DATA Entry'!L52))</f>
        <v/>
      </c>
      <c r="FH56" s="201" t="str">
        <f>IF(AND(E56=""),"",IF('Student DATA Entry'!M52="","",'Student DATA Entry'!M52))</f>
        <v/>
      </c>
      <c r="FI56" s="202" t="str">
        <f t="shared" si="145"/>
        <v/>
      </c>
      <c r="FJ56" s="189" t="str">
        <f t="shared" si="146"/>
        <v/>
      </c>
      <c r="FK56" s="189" t="str">
        <f t="shared" si="147"/>
        <v/>
      </c>
      <c r="FL56" s="203" t="str">
        <f t="shared" si="178"/>
        <v/>
      </c>
      <c r="FM56" s="189" t="str">
        <f t="shared" si="148"/>
        <v/>
      </c>
      <c r="FN56" s="204" t="str">
        <f t="shared" si="149"/>
        <v/>
      </c>
      <c r="FO56" s="203" t="str">
        <f t="shared" si="179"/>
        <v/>
      </c>
      <c r="FP56" s="205" t="str">
        <f t="shared" si="150"/>
        <v/>
      </c>
      <c r="FQ56" s="189" t="str">
        <f t="shared" si="180"/>
        <v/>
      </c>
      <c r="FR56" s="189" t="str">
        <f t="shared" si="181"/>
        <v/>
      </c>
      <c r="FS56" s="189" t="str">
        <f t="shared" si="182"/>
        <v/>
      </c>
      <c r="FT56" s="189" t="str">
        <f t="shared" si="183"/>
        <v/>
      </c>
      <c r="FU56" s="189" t="str">
        <f t="shared" si="151"/>
        <v/>
      </c>
      <c r="FV56" s="206" t="str">
        <f t="shared" si="184"/>
        <v/>
      </c>
      <c r="FW56" s="205" t="str">
        <f t="shared" si="152"/>
        <v/>
      </c>
      <c r="FX56" s="189" t="str">
        <f t="shared" si="185"/>
        <v/>
      </c>
      <c r="FY56" s="189" t="str">
        <f t="shared" si="186"/>
        <v/>
      </c>
      <c r="FZ56" s="189" t="str">
        <f t="shared" si="187"/>
        <v/>
      </c>
      <c r="GA56" s="189" t="str">
        <f t="shared" si="188"/>
        <v/>
      </c>
      <c r="GB56" s="189" t="str">
        <f t="shared" si="153"/>
        <v/>
      </c>
      <c r="GC56" s="206" t="str">
        <f t="shared" si="189"/>
        <v/>
      </c>
      <c r="GD56" s="205" t="str">
        <f t="shared" si="154"/>
        <v/>
      </c>
      <c r="GE56" s="189" t="str">
        <f t="shared" si="190"/>
        <v/>
      </c>
      <c r="GF56" s="189" t="str">
        <f t="shared" si="191"/>
        <v/>
      </c>
      <c r="GG56" s="189" t="str">
        <f t="shared" si="192"/>
        <v/>
      </c>
      <c r="GH56" s="189" t="str">
        <f t="shared" si="193"/>
        <v/>
      </c>
      <c r="GI56" s="189" t="str">
        <f t="shared" si="155"/>
        <v/>
      </c>
      <c r="GJ56" s="206" t="str">
        <f t="shared" si="194"/>
        <v/>
      </c>
      <c r="GK56" s="205" t="str">
        <f t="shared" si="156"/>
        <v/>
      </c>
      <c r="GL56" s="189" t="str">
        <f t="shared" si="195"/>
        <v/>
      </c>
      <c r="GM56" s="189" t="str">
        <f t="shared" si="196"/>
        <v/>
      </c>
      <c r="GN56" s="189" t="str">
        <f t="shared" si="197"/>
        <v/>
      </c>
      <c r="GO56" s="189" t="str">
        <f t="shared" si="198"/>
        <v/>
      </c>
      <c r="GP56" s="189" t="str">
        <f t="shared" si="157"/>
        <v/>
      </c>
      <c r="GQ56" s="206" t="str">
        <f t="shared" si="199"/>
        <v/>
      </c>
      <c r="GR56" s="189" t="str">
        <f t="shared" si="158"/>
        <v/>
      </c>
      <c r="GS56" s="189" t="str">
        <f t="shared" si="159"/>
        <v/>
      </c>
      <c r="GT56" s="207" t="str">
        <f t="shared" si="177"/>
        <v xml:space="preserve">    </v>
      </c>
      <c r="GU56" s="207" t="str">
        <f t="shared" si="160"/>
        <v xml:space="preserve">    </v>
      </c>
      <c r="GV56" s="207" t="str">
        <f t="shared" si="161"/>
        <v xml:space="preserve">    </v>
      </c>
      <c r="GW56" s="207" t="str">
        <f t="shared" si="162"/>
        <v xml:space="preserve">       </v>
      </c>
      <c r="GX56" s="598" t="str">
        <f t="shared" si="163"/>
        <v xml:space="preserve">     </v>
      </c>
      <c r="GY56" s="208" t="str">
        <f t="shared" si="200"/>
        <v/>
      </c>
      <c r="GZ56" s="606" t="str">
        <f>IF(AND(Q56="",AE56="",AZ56="",BW56="",CT56=""),"",IF(AND('Master Sheet'!$D$19="YES",'Marks Entry'!$BA$1=1),SUM(Q56,AE56,AZ56,BW56,DT56),SUM(Q56,AE56,AZ56,BW56,CT56)))</f>
        <v/>
      </c>
      <c r="HA56" s="209" t="str">
        <f>IF(GZ56="","",IF(AND('Master Sheet'!$D$19="YES",'Marks Entry'!$BA$1=1),GZ56/((900)-DC56)*100,GZ56/((1000)-DC56)*100))</f>
        <v/>
      </c>
      <c r="HB56" s="611" t="str">
        <f t="shared" si="165"/>
        <v/>
      </c>
      <c r="HC56" s="609" t="str">
        <f t="shared" si="166"/>
        <v/>
      </c>
      <c r="HD56" s="610" t="str">
        <f t="shared" si="167"/>
        <v/>
      </c>
      <c r="HE56" s="210" t="str">
        <f>IFERROR(IF(OR(GY56="SUPPLEMENTARY",GY56="RE-EXAM"),'Supp. Result Entry'!AS55,""),"")</f>
        <v/>
      </c>
      <c r="HF56" s="613" t="str">
        <f t="shared" si="168"/>
        <v/>
      </c>
      <c r="HG56" s="598" t="str">
        <f t="shared" si="169"/>
        <v/>
      </c>
      <c r="HH56" s="598" t="str">
        <f>IF(AND(HE56="",HF56="",HG56=""),"",IF(OR(GY56="SUPPLEMENTARY",GY56="RE-EXAM"),'Supp. Result Entry'!AS55,GY56))</f>
        <v/>
      </c>
      <c r="HI56" s="180"/>
      <c r="HJ56" s="214"/>
      <c r="HY56" s="212" t="str">
        <f>IF('Supp. Result Entry'!U55="","",'Supp. Result Entry'!$U$6)</f>
        <v/>
      </c>
      <c r="HZ56" s="213" t="str">
        <f>IF('Supp. Result Entry'!X55="","",'Supp. Result Entry'!$X$6)</f>
        <v/>
      </c>
      <c r="IA56" s="213" t="str">
        <f>IF('Supp. Result Entry'!AA55="","",'Supp. Result Entry'!$AA$6)</f>
        <v/>
      </c>
      <c r="IB56" s="213" t="str">
        <f>IF('Supp. Result Entry'!AD55="","",'Supp. Result Entry'!$AD$6)</f>
        <v/>
      </c>
      <c r="IC56" s="213" t="str">
        <f>IF('Supp. Result Entry'!AG55="","",'Supp. Result Entry'!$AG$6)</f>
        <v/>
      </c>
      <c r="ID56" s="213" t="str">
        <f>IF('Supp. Result Entry'!AJ55="","",'Supp. Result Entry'!$AJ$6)</f>
        <v/>
      </c>
      <c r="IE56" s="213" t="str">
        <f>IF('Supp. Result Entry'!V55="","",'Supp. Result Entry'!V55)</f>
        <v/>
      </c>
      <c r="IF56" s="213" t="str">
        <f>IF('Supp. Result Entry'!Y55="","",'Supp. Result Entry'!Y55)</f>
        <v/>
      </c>
      <c r="IG56" s="213" t="str">
        <f>IF('Supp. Result Entry'!AB55="","",'Supp. Result Entry'!AB55)</f>
        <v/>
      </c>
      <c r="IH56" s="213" t="str">
        <f>IF('Supp. Result Entry'!AE55="","",'Supp. Result Entry'!AE55)</f>
        <v/>
      </c>
      <c r="II56" s="213" t="str">
        <f>IF('Supp. Result Entry'!AH55="","",'Supp. Result Entry'!AH55)</f>
        <v/>
      </c>
      <c r="IJ56" s="213" t="str">
        <f>IF('Supp. Result Entry'!AK55="","",'Supp. Result Entry'!AK55)</f>
        <v/>
      </c>
      <c r="IK56" s="213" t="str">
        <f>IF('Supp. Result Entry'!W55="","",'Supp. Result Entry'!W55)</f>
        <v/>
      </c>
      <c r="IL56" s="213" t="str">
        <f>IF('Supp. Result Entry'!Z55="","",'Supp. Result Entry'!Z55)</f>
        <v/>
      </c>
      <c r="IM56" s="213" t="str">
        <f>IF('Supp. Result Entry'!AC55="","",'Supp. Result Entry'!AC55)</f>
        <v/>
      </c>
      <c r="IN56" s="213" t="str">
        <f>IF('Supp. Result Entry'!AF55="","",'Supp. Result Entry'!AF55)</f>
        <v/>
      </c>
      <c r="IO56" s="213" t="str">
        <f>IF('Supp. Result Entry'!AI55="","",'Supp. Result Entry'!AI55)</f>
        <v/>
      </c>
      <c r="IP56" s="213" t="str">
        <f>IF('Supp. Result Entry'!AL55="","",'Supp. Result Entry'!AL55)</f>
        <v/>
      </c>
      <c r="IQ56" s="213">
        <f>COUNTIF('Supp. Result Entry'!K55:Q55,"S")</f>
        <v>0</v>
      </c>
      <c r="IR56" s="213">
        <f t="shared" si="170"/>
        <v>0</v>
      </c>
      <c r="IS56" s="213">
        <f t="shared" si="171"/>
        <v>0</v>
      </c>
      <c r="IT56" s="213" t="str">
        <f t="shared" si="41"/>
        <v/>
      </c>
      <c r="IU56" s="213" t="str">
        <f t="shared" si="42"/>
        <v/>
      </c>
      <c r="IV56" s="213" t="str">
        <f t="shared" si="43"/>
        <v/>
      </c>
      <c r="IW56" s="213" t="str">
        <f t="shared" si="44"/>
        <v/>
      </c>
      <c r="IX56" s="213" t="str">
        <f t="shared" si="45"/>
        <v/>
      </c>
      <c r="IY56" s="213" t="str">
        <f t="shared" si="172"/>
        <v/>
      </c>
      <c r="IZ56" s="213" t="str">
        <f t="shared" si="173"/>
        <v/>
      </c>
      <c r="JA56" s="213" t="str">
        <f t="shared" si="46"/>
        <v/>
      </c>
      <c r="JB56" s="211" t="str">
        <f t="shared" si="174"/>
        <v/>
      </c>
    </row>
    <row r="57" spans="1:262" s="211" customFormat="1" ht="21" customHeight="1">
      <c r="A57" s="184">
        <v>50</v>
      </c>
      <c r="B57" s="185" t="str">
        <f>IF('Marks Entry'!B57="","",'Marks Entry'!B57)</f>
        <v/>
      </c>
      <c r="C57" s="186" t="str">
        <f>IF('Marks Entry'!D57="","",'Marks Entry'!D57)</f>
        <v/>
      </c>
      <c r="D57" s="187" t="str">
        <f>IF('Marks Entry'!E57="","",'Marks Entry'!E57)</f>
        <v/>
      </c>
      <c r="E57" s="188" t="str">
        <f>IF('Marks Entry'!F57="","",'Marks Entry'!F57)</f>
        <v/>
      </c>
      <c r="F57" s="188" t="str">
        <f>IF('Marks Entry'!G57="","",'Marks Entry'!G57)</f>
        <v/>
      </c>
      <c r="G57" s="188" t="str">
        <f>IF('Marks Entry'!H57="","",'Marks Entry'!H57)</f>
        <v/>
      </c>
      <c r="H57" s="189" t="str">
        <f>IF('Marks Entry'!I57="","",'Marks Entry'!I57)</f>
        <v/>
      </c>
      <c r="I57" s="190" t="str">
        <f>IF('Marks Entry'!J57="","",'Marks Entry'!J57)</f>
        <v/>
      </c>
      <c r="J57" s="545" t="str">
        <f>IF('Marks Entry'!K57="","",'Marks Entry'!K57)</f>
        <v/>
      </c>
      <c r="K57" s="545" t="str">
        <f>IF('Marks Entry'!L57="","",'Marks Entry'!L57)</f>
        <v/>
      </c>
      <c r="L57" s="545" t="str">
        <f>IF('Marks Entry'!M57="","",'Marks Entry'!M57)</f>
        <v/>
      </c>
      <c r="M57" s="546" t="str">
        <f t="shared" si="47"/>
        <v/>
      </c>
      <c r="N57" s="545" t="str">
        <f>IF('Marks Entry'!N57="","",'Marks Entry'!N57)</f>
        <v/>
      </c>
      <c r="O57" s="546" t="str">
        <f t="shared" si="48"/>
        <v/>
      </c>
      <c r="P57" s="545" t="str">
        <f>IF('Marks Entry'!O57="","",'Marks Entry'!O57)</f>
        <v/>
      </c>
      <c r="Q57" s="547" t="str">
        <f t="shared" si="49"/>
        <v/>
      </c>
      <c r="R57" s="153">
        <f t="shared" si="50"/>
        <v>0</v>
      </c>
      <c r="S57" s="153">
        <f t="shared" si="51"/>
        <v>0</v>
      </c>
      <c r="T57" s="154" t="str">
        <f t="shared" si="52"/>
        <v/>
      </c>
      <c r="U57" s="153" t="str">
        <f t="shared" si="53"/>
        <v/>
      </c>
      <c r="V57" s="153" t="str">
        <f t="shared" si="54"/>
        <v/>
      </c>
      <c r="W57" s="153" t="str">
        <f t="shared" si="55"/>
        <v/>
      </c>
      <c r="X57" s="545" t="str">
        <f>IF('Marks Entry'!P57="","",'Marks Entry'!P57)</f>
        <v/>
      </c>
      <c r="Y57" s="545" t="str">
        <f>IF('Marks Entry'!Q57="","",'Marks Entry'!Q57)</f>
        <v/>
      </c>
      <c r="Z57" s="545" t="str">
        <f>IF('Marks Entry'!R57="","",'Marks Entry'!R57)</f>
        <v/>
      </c>
      <c r="AA57" s="546" t="str">
        <f t="shared" si="56"/>
        <v/>
      </c>
      <c r="AB57" s="545" t="str">
        <f>IF('Marks Entry'!S57="","",'Marks Entry'!S57)</f>
        <v/>
      </c>
      <c r="AC57" s="546" t="str">
        <f t="shared" si="57"/>
        <v/>
      </c>
      <c r="AD57" s="545" t="str">
        <f>IF('Marks Entry'!T57="","",'Marks Entry'!T57)</f>
        <v/>
      </c>
      <c r="AE57" s="547" t="str">
        <f t="shared" si="58"/>
        <v/>
      </c>
      <c r="AF57" s="153">
        <f t="shared" si="59"/>
        <v>0</v>
      </c>
      <c r="AG57" s="153">
        <f t="shared" si="60"/>
        <v>0</v>
      </c>
      <c r="AH57" s="154" t="str">
        <f t="shared" si="61"/>
        <v/>
      </c>
      <c r="AI57" s="153" t="str">
        <f t="shared" si="62"/>
        <v/>
      </c>
      <c r="AJ57" s="153" t="str">
        <f t="shared" si="63"/>
        <v/>
      </c>
      <c r="AK57" s="153" t="str">
        <f t="shared" si="64"/>
        <v/>
      </c>
      <c r="AL57" s="573" t="str">
        <f>IF('Marks Entry'!U57="","",'Marks Entry'!U57)</f>
        <v/>
      </c>
      <c r="AM57" s="573" t="str">
        <f>IF('Marks Entry'!V57="","",'Marks Entry'!V57)</f>
        <v/>
      </c>
      <c r="AN57" s="573" t="str">
        <f>IF('Marks Entry'!W57="","",'Marks Entry'!W57)</f>
        <v/>
      </c>
      <c r="AO57" s="573" t="str">
        <f>IF('Marks Entry'!X57="","",'Marks Entry'!X57)</f>
        <v/>
      </c>
      <c r="AP57" s="572" t="str">
        <f t="shared" si="65"/>
        <v/>
      </c>
      <c r="AQ57" s="573" t="str">
        <f>IF('Marks Entry'!Y57="","",'Marks Entry'!Y57)</f>
        <v/>
      </c>
      <c r="AR57" s="573" t="str">
        <f>IF('Marks Entry'!Z57="","",'Marks Entry'!Z57)</f>
        <v/>
      </c>
      <c r="AS57" s="572" t="str">
        <f t="shared" si="66"/>
        <v/>
      </c>
      <c r="AT57" s="572" t="str">
        <f t="shared" si="67"/>
        <v/>
      </c>
      <c r="AU57" s="573" t="str">
        <f>IF('Marks Entry'!AA57="","",'Marks Entry'!AA57)</f>
        <v/>
      </c>
      <c r="AV57" s="573" t="str">
        <f>IF('Marks Entry'!AB57="","",'Marks Entry'!AB57)</f>
        <v/>
      </c>
      <c r="AW57" s="572" t="str">
        <f t="shared" si="68"/>
        <v/>
      </c>
      <c r="AX57" s="157" t="str">
        <f t="shared" si="69"/>
        <v/>
      </c>
      <c r="AY57" s="157" t="str">
        <f t="shared" si="70"/>
        <v/>
      </c>
      <c r="AZ57" s="192" t="str">
        <f t="shared" si="71"/>
        <v/>
      </c>
      <c r="BA57" s="153">
        <f t="shared" si="72"/>
        <v>0</v>
      </c>
      <c r="BB57" s="154">
        <f t="shared" si="73"/>
        <v>0</v>
      </c>
      <c r="BC57" s="154" t="str">
        <f t="shared" si="74"/>
        <v/>
      </c>
      <c r="BD57" s="154" t="str">
        <f t="shared" si="75"/>
        <v/>
      </c>
      <c r="BE57" s="154" t="str">
        <f t="shared" si="76"/>
        <v/>
      </c>
      <c r="BF57" s="153" t="str">
        <f t="shared" si="77"/>
        <v/>
      </c>
      <c r="BG57" s="154" t="str">
        <f t="shared" si="175"/>
        <v/>
      </c>
      <c r="BH57" s="153" t="str">
        <f t="shared" si="78"/>
        <v/>
      </c>
      <c r="BI57" s="580" t="str">
        <f>IF('Marks Entry'!AC57="","",'Marks Entry'!AC57)</f>
        <v/>
      </c>
      <c r="BJ57" s="580" t="str">
        <f>IF('Marks Entry'!AD57="","",'Marks Entry'!AD57)</f>
        <v/>
      </c>
      <c r="BK57" s="580" t="str">
        <f>IF('Marks Entry'!AE57="","",'Marks Entry'!AE57)</f>
        <v/>
      </c>
      <c r="BL57" s="580" t="str">
        <f>IF('Marks Entry'!AF57="","",'Marks Entry'!AF57)</f>
        <v/>
      </c>
      <c r="BM57" s="581" t="str">
        <f t="shared" si="79"/>
        <v/>
      </c>
      <c r="BN57" s="580" t="str">
        <f>IF('Marks Entry'!AG57="","",'Marks Entry'!AG57)</f>
        <v/>
      </c>
      <c r="BO57" s="580" t="str">
        <f>IF('Marks Entry'!AH57="","",'Marks Entry'!AH57)</f>
        <v/>
      </c>
      <c r="BP57" s="581" t="str">
        <f t="shared" si="80"/>
        <v/>
      </c>
      <c r="BQ57" s="581" t="str">
        <f t="shared" si="81"/>
        <v/>
      </c>
      <c r="BR57" s="580" t="str">
        <f>IF('Marks Entry'!AI57="","",'Marks Entry'!AI57)</f>
        <v/>
      </c>
      <c r="BS57" s="580" t="str">
        <f>IF('Marks Entry'!AJ57="","",'Marks Entry'!AJ57)</f>
        <v/>
      </c>
      <c r="BT57" s="581" t="str">
        <f t="shared" si="82"/>
        <v/>
      </c>
      <c r="BU57" s="157" t="str">
        <f t="shared" si="83"/>
        <v/>
      </c>
      <c r="BV57" s="157" t="str">
        <f t="shared" si="84"/>
        <v/>
      </c>
      <c r="BW57" s="192" t="str">
        <f t="shared" si="85"/>
        <v/>
      </c>
      <c r="BX57" s="153">
        <f t="shared" si="86"/>
        <v>0</v>
      </c>
      <c r="BY57" s="154">
        <f t="shared" si="87"/>
        <v>0</v>
      </c>
      <c r="BZ57" s="154" t="str">
        <f t="shared" si="88"/>
        <v/>
      </c>
      <c r="CA57" s="154" t="str">
        <f t="shared" si="89"/>
        <v/>
      </c>
      <c r="CB57" s="154" t="str">
        <f t="shared" si="90"/>
        <v/>
      </c>
      <c r="CC57" s="153" t="str">
        <f t="shared" si="91"/>
        <v/>
      </c>
      <c r="CD57" s="154" t="str">
        <f t="shared" si="92"/>
        <v/>
      </c>
      <c r="CE57" s="153" t="str">
        <f t="shared" si="93"/>
        <v/>
      </c>
      <c r="CF57" s="580" t="str">
        <f>IF('Marks Entry'!AK57="","",'Marks Entry'!AK57)</f>
        <v/>
      </c>
      <c r="CG57" s="580" t="str">
        <f>IF('Marks Entry'!AL57="","",'Marks Entry'!AL57)</f>
        <v/>
      </c>
      <c r="CH57" s="580" t="str">
        <f>IF('Marks Entry'!AM57="","",'Marks Entry'!AM57)</f>
        <v/>
      </c>
      <c r="CI57" s="580" t="str">
        <f>IF('Marks Entry'!AN57="","",'Marks Entry'!AN57)</f>
        <v/>
      </c>
      <c r="CJ57" s="581" t="str">
        <f t="shared" si="94"/>
        <v/>
      </c>
      <c r="CK57" s="580" t="str">
        <f>IF('Marks Entry'!AO57="","",'Marks Entry'!AO57)</f>
        <v/>
      </c>
      <c r="CL57" s="580" t="str">
        <f>IF('Marks Entry'!AP57="","",'Marks Entry'!AP57)</f>
        <v/>
      </c>
      <c r="CM57" s="581" t="str">
        <f t="shared" si="95"/>
        <v/>
      </c>
      <c r="CN57" s="581" t="str">
        <f t="shared" si="96"/>
        <v/>
      </c>
      <c r="CO57" s="580" t="str">
        <f>IF('Marks Entry'!AQ57="","",'Marks Entry'!AQ57)</f>
        <v/>
      </c>
      <c r="CP57" s="580" t="str">
        <f>IF('Marks Entry'!AR57="","",'Marks Entry'!AR57)</f>
        <v/>
      </c>
      <c r="CQ57" s="581" t="str">
        <f t="shared" si="97"/>
        <v/>
      </c>
      <c r="CR57" s="157" t="str">
        <f t="shared" si="98"/>
        <v/>
      </c>
      <c r="CS57" s="157" t="str">
        <f t="shared" si="99"/>
        <v/>
      </c>
      <c r="CT57" s="192" t="str">
        <f t="shared" si="100"/>
        <v/>
      </c>
      <c r="CU57" s="153">
        <f t="shared" si="101"/>
        <v>0</v>
      </c>
      <c r="CV57" s="154">
        <f t="shared" si="102"/>
        <v>0</v>
      </c>
      <c r="CW57" s="154" t="str">
        <f t="shared" si="103"/>
        <v/>
      </c>
      <c r="CX57" s="154" t="str">
        <f t="shared" si="104"/>
        <v/>
      </c>
      <c r="CY57" s="154" t="str">
        <f t="shared" si="176"/>
        <v/>
      </c>
      <c r="CZ57" s="153" t="str">
        <f t="shared" si="105"/>
        <v/>
      </c>
      <c r="DA57" s="154" t="str">
        <f t="shared" si="106"/>
        <v/>
      </c>
      <c r="DB57" s="153" t="str">
        <f t="shared" si="107"/>
        <v/>
      </c>
      <c r="DC57" s="154">
        <f t="shared" si="108"/>
        <v>0</v>
      </c>
      <c r="DD57" s="826" t="str">
        <f>IF('Marks Entry'!AS57="","",IF(OR('Master Sheet'!$D$19="YES",'Marks Entry'!$BA$1=1),'Marks Entry'!AS57,""))</f>
        <v/>
      </c>
      <c r="DE57" s="826" t="str">
        <f>IF('Marks Entry'!AT57="","",IF(OR('Master Sheet'!$D$19="YES",'Marks Entry'!$BA$1=1),'Marks Entry'!AT57,""))</f>
        <v/>
      </c>
      <c r="DF57" s="826" t="str">
        <f>IF('Marks Entry'!AU57="","",IF(OR('Master Sheet'!$D$19="YES",'Marks Entry'!$BA$1=1),'Marks Entry'!AU57,""))</f>
        <v/>
      </c>
      <c r="DG57" s="826" t="str">
        <f>IF('Marks Entry'!AV57="","",IF(OR('Master Sheet'!$D$19="YES",'Marks Entry'!$BA$1=1),'Marks Entry'!AV57,""))</f>
        <v/>
      </c>
      <c r="DH57" s="827" t="str">
        <f t="shared" si="109"/>
        <v/>
      </c>
      <c r="DI57" s="826" t="str">
        <f>IF('Marks Entry'!AW57="","",IF(OR('Master Sheet'!$D$19="YES",'Marks Entry'!$BA$1=1),'Marks Entry'!AW57,""))</f>
        <v/>
      </c>
      <c r="DJ57" s="826" t="str">
        <f>IF('Marks Entry'!AX57="","",IF(OR('Master Sheet'!$D$19="YES",'Marks Entry'!$BA$1=1),'Marks Entry'!AX57,""))</f>
        <v/>
      </c>
      <c r="DK57" s="827" t="str">
        <f t="shared" si="110"/>
        <v/>
      </c>
      <c r="DL57" s="827" t="str">
        <f t="shared" si="111"/>
        <v/>
      </c>
      <c r="DM57" s="826" t="str">
        <f>IF('Marks Entry'!AY57="","",IF(OR('Master Sheet'!$D$19="YES",'Marks Entry'!$BA$1=1),'Marks Entry'!AY57,""))</f>
        <v/>
      </c>
      <c r="DN57" s="826" t="str">
        <f>IF('Marks Entry'!AZ57="","",IF(OR('Master Sheet'!$D$19="YES",'Marks Entry'!$BA$1=1),'Marks Entry'!AZ57,""))</f>
        <v/>
      </c>
      <c r="DO57" s="826" t="str">
        <f>IF('Marks Entry'!BA57="","",IF(OR('Master Sheet'!$D$19="YES",'Marks Entry'!$BA$1=1),'Marks Entry'!BA57,""))</f>
        <v/>
      </c>
      <c r="DP57" s="827" t="str">
        <f t="shared" si="112"/>
        <v/>
      </c>
      <c r="DQ57" s="157" t="str">
        <f t="shared" si="113"/>
        <v/>
      </c>
      <c r="DR57" s="157" t="str">
        <f t="shared" si="114"/>
        <v/>
      </c>
      <c r="DS57" s="157" t="str">
        <f t="shared" si="115"/>
        <v/>
      </c>
      <c r="DT57" s="192" t="str">
        <f t="shared" si="116"/>
        <v/>
      </c>
      <c r="DU57" s="153">
        <f t="shared" si="117"/>
        <v>0</v>
      </c>
      <c r="DV57" s="154" t="e">
        <f t="shared" si="118"/>
        <v>#VALUE!</v>
      </c>
      <c r="DW57" s="154" t="str">
        <f t="shared" si="119"/>
        <v/>
      </c>
      <c r="DX57" s="154" t="str">
        <f>IF(OR($B57="NSO",$B57=0,DS57=""),"",IF(AND(DJ57="",DO57=""),"",IF('Master Sheet'!$D$19="YES",$DO$6-COUNTIF(DO57,"ML")*DO$6,DS$6-(COUNTIF(DJ57,"ML")*DJ$6)-(COUNTIF(DO57,"ML")*DO$6))))</f>
        <v/>
      </c>
      <c r="DY57" s="154" t="str">
        <f>IF(OR($B57="NSO",$B57=0),"",IF(AND(DH57="",DI57="",DM57=""),"",IF(AND('Master Sheet'!$D$19="YES",'Marks Entry'!$BA$1=1),100,IF(AND(DJ57="",DO57=""),SUM(($DQ$7+$DR$7)-(DU57+DV57)),SUM(($DQ$6+$DR$6)-(DU57+DV57))))))</f>
        <v/>
      </c>
      <c r="DZ57" s="153" t="str">
        <f t="shared" si="120"/>
        <v/>
      </c>
      <c r="EA57" s="154" t="str">
        <f t="shared" si="121"/>
        <v/>
      </c>
      <c r="EB57" s="153" t="str">
        <f t="shared" si="122"/>
        <v/>
      </c>
      <c r="EC57" s="584" t="str">
        <f>IF('Marks Entry'!BB57="","",'Marks Entry'!BB57)</f>
        <v/>
      </c>
      <c r="ED57" s="584" t="str">
        <f>IF('Marks Entry'!BC57="","",'Marks Entry'!BC57)</f>
        <v/>
      </c>
      <c r="EE57" s="584" t="str">
        <f>IF('Marks Entry'!BD57="","",'Marks Entry'!BD57)</f>
        <v/>
      </c>
      <c r="EF57" s="590" t="str">
        <f t="shared" si="123"/>
        <v/>
      </c>
      <c r="EG57" s="595">
        <f t="shared" si="124"/>
        <v>0</v>
      </c>
      <c r="EH57" s="595">
        <f t="shared" si="125"/>
        <v>0</v>
      </c>
      <c r="EI57" s="193" t="str">
        <f t="shared" si="126"/>
        <v/>
      </c>
      <c r="EJ57" s="595" t="str">
        <f t="shared" si="127"/>
        <v/>
      </c>
      <c r="EK57" s="595" t="str">
        <f t="shared" si="128"/>
        <v/>
      </c>
      <c r="EL57" s="194" t="str">
        <f t="shared" si="129"/>
        <v/>
      </c>
      <c r="EM57" s="194" t="str">
        <f t="shared" si="130"/>
        <v/>
      </c>
      <c r="EN57" s="194" t="str">
        <f t="shared" si="131"/>
        <v/>
      </c>
      <c r="EO57" s="194" t="str">
        <f t="shared" si="132"/>
        <v/>
      </c>
      <c r="EP57" s="194" t="str">
        <f t="shared" si="133"/>
        <v/>
      </c>
      <c r="EQ57" s="194" t="str">
        <f t="shared" si="134"/>
        <v/>
      </c>
      <c r="ER57" s="195">
        <f t="shared" si="135"/>
        <v>0</v>
      </c>
      <c r="ES57" s="195">
        <f t="shared" si="136"/>
        <v>0</v>
      </c>
      <c r="ET57" s="195">
        <f t="shared" si="137"/>
        <v>0</v>
      </c>
      <c r="EU57" s="195">
        <f t="shared" si="138"/>
        <v>0</v>
      </c>
      <c r="EV57" s="195">
        <f t="shared" si="139"/>
        <v>0</v>
      </c>
      <c r="EW57" s="195" t="str">
        <f t="shared" si="140"/>
        <v/>
      </c>
      <c r="EX57" s="196" t="str">
        <f t="shared" si="141"/>
        <v/>
      </c>
      <c r="EY57" s="197" t="str">
        <f>IF('Marks Entry'!BE57="","",'Marks Entry'!BE57)</f>
        <v/>
      </c>
      <c r="EZ57" s="197" t="str">
        <f>IF('Marks Entry'!BF57="","",'Marks Entry'!BF57)</f>
        <v/>
      </c>
      <c r="FA57" s="197" t="str">
        <f>IF('Marks Entry'!BG57="","",'Marks Entry'!BG57)</f>
        <v/>
      </c>
      <c r="FB57" s="596" t="str">
        <f t="shared" si="142"/>
        <v/>
      </c>
      <c r="FC57" s="197" t="str">
        <f>IF('Marks Entry'!BH57="","",'Marks Entry'!BH57)</f>
        <v/>
      </c>
      <c r="FD57" s="197" t="str">
        <f>IF('Marks Entry'!BI57="","",'Marks Entry'!BI57)</f>
        <v/>
      </c>
      <c r="FE57" s="198" t="str">
        <f t="shared" si="143"/>
        <v/>
      </c>
      <c r="FF57" s="199" t="str">
        <f t="shared" si="144"/>
        <v/>
      </c>
      <c r="FG57" s="200" t="str">
        <f>IF(AND(E57=""),"",IF('Student DATA Entry'!L53="","",'Student DATA Entry'!L53))</f>
        <v/>
      </c>
      <c r="FH57" s="201" t="str">
        <f>IF(AND(E57=""),"",IF('Student DATA Entry'!M53="","",'Student DATA Entry'!M53))</f>
        <v/>
      </c>
      <c r="FI57" s="202" t="str">
        <f t="shared" si="145"/>
        <v/>
      </c>
      <c r="FJ57" s="189" t="str">
        <f t="shared" si="146"/>
        <v/>
      </c>
      <c r="FK57" s="189" t="str">
        <f t="shared" si="147"/>
        <v/>
      </c>
      <c r="FL57" s="203" t="str">
        <f t="shared" si="178"/>
        <v/>
      </c>
      <c r="FM57" s="189" t="str">
        <f t="shared" si="148"/>
        <v/>
      </c>
      <c r="FN57" s="204" t="str">
        <f t="shared" si="149"/>
        <v/>
      </c>
      <c r="FO57" s="203" t="str">
        <f t="shared" si="179"/>
        <v/>
      </c>
      <c r="FP57" s="205" t="str">
        <f t="shared" si="150"/>
        <v/>
      </c>
      <c r="FQ57" s="189" t="str">
        <f t="shared" si="180"/>
        <v/>
      </c>
      <c r="FR57" s="189" t="str">
        <f t="shared" si="181"/>
        <v/>
      </c>
      <c r="FS57" s="189" t="str">
        <f t="shared" si="182"/>
        <v/>
      </c>
      <c r="FT57" s="189" t="str">
        <f t="shared" si="183"/>
        <v/>
      </c>
      <c r="FU57" s="189" t="str">
        <f t="shared" si="151"/>
        <v/>
      </c>
      <c r="FV57" s="206" t="str">
        <f t="shared" si="184"/>
        <v/>
      </c>
      <c r="FW57" s="205" t="str">
        <f t="shared" si="152"/>
        <v/>
      </c>
      <c r="FX57" s="189" t="str">
        <f t="shared" si="185"/>
        <v/>
      </c>
      <c r="FY57" s="189" t="str">
        <f t="shared" si="186"/>
        <v/>
      </c>
      <c r="FZ57" s="189" t="str">
        <f t="shared" si="187"/>
        <v/>
      </c>
      <c r="GA57" s="189" t="str">
        <f t="shared" si="188"/>
        <v/>
      </c>
      <c r="GB57" s="189" t="str">
        <f t="shared" si="153"/>
        <v/>
      </c>
      <c r="GC57" s="206" t="str">
        <f t="shared" si="189"/>
        <v/>
      </c>
      <c r="GD57" s="205" t="str">
        <f t="shared" si="154"/>
        <v/>
      </c>
      <c r="GE57" s="189" t="str">
        <f t="shared" si="190"/>
        <v/>
      </c>
      <c r="GF57" s="189" t="str">
        <f t="shared" si="191"/>
        <v/>
      </c>
      <c r="GG57" s="189" t="str">
        <f t="shared" si="192"/>
        <v/>
      </c>
      <c r="GH57" s="189" t="str">
        <f t="shared" si="193"/>
        <v/>
      </c>
      <c r="GI57" s="189" t="str">
        <f t="shared" si="155"/>
        <v/>
      </c>
      <c r="GJ57" s="206" t="str">
        <f t="shared" si="194"/>
        <v/>
      </c>
      <c r="GK57" s="205" t="str">
        <f t="shared" si="156"/>
        <v/>
      </c>
      <c r="GL57" s="189" t="str">
        <f t="shared" si="195"/>
        <v/>
      </c>
      <c r="GM57" s="189" t="str">
        <f t="shared" si="196"/>
        <v/>
      </c>
      <c r="GN57" s="189" t="str">
        <f t="shared" si="197"/>
        <v/>
      </c>
      <c r="GO57" s="189" t="str">
        <f t="shared" si="198"/>
        <v/>
      </c>
      <c r="GP57" s="189" t="str">
        <f t="shared" si="157"/>
        <v/>
      </c>
      <c r="GQ57" s="206" t="str">
        <f t="shared" si="199"/>
        <v/>
      </c>
      <c r="GR57" s="189" t="str">
        <f t="shared" si="158"/>
        <v/>
      </c>
      <c r="GS57" s="189" t="str">
        <f t="shared" si="159"/>
        <v/>
      </c>
      <c r="GT57" s="207" t="str">
        <f t="shared" si="177"/>
        <v xml:space="preserve">    </v>
      </c>
      <c r="GU57" s="207" t="str">
        <f t="shared" si="160"/>
        <v xml:space="preserve">    </v>
      </c>
      <c r="GV57" s="207" t="str">
        <f t="shared" si="161"/>
        <v xml:space="preserve">    </v>
      </c>
      <c r="GW57" s="207" t="str">
        <f t="shared" si="162"/>
        <v xml:space="preserve">       </v>
      </c>
      <c r="GX57" s="598" t="str">
        <f t="shared" si="163"/>
        <v xml:space="preserve">     </v>
      </c>
      <c r="GY57" s="208" t="str">
        <f t="shared" si="200"/>
        <v/>
      </c>
      <c r="GZ57" s="606" t="str">
        <f>IF(AND(Q57="",AE57="",AZ57="",BW57="",CT57=""),"",IF(AND('Master Sheet'!$D$19="YES",'Marks Entry'!$BA$1=1),SUM(Q57,AE57,AZ57,BW57,DT57),SUM(Q57,AE57,AZ57,BW57,CT57)))</f>
        <v/>
      </c>
      <c r="HA57" s="209" t="str">
        <f>IF(GZ57="","",IF(AND('Master Sheet'!$D$19="YES",'Marks Entry'!$BA$1=1),GZ57/((900)-DC57)*100,GZ57/((1000)-DC57)*100))</f>
        <v/>
      </c>
      <c r="HB57" s="611" t="str">
        <f t="shared" si="165"/>
        <v/>
      </c>
      <c r="HC57" s="609" t="str">
        <f t="shared" si="166"/>
        <v/>
      </c>
      <c r="HD57" s="610" t="str">
        <f t="shared" si="167"/>
        <v/>
      </c>
      <c r="HE57" s="210" t="str">
        <f>IFERROR(IF(OR(GY57="SUPPLEMENTARY",GY57="RE-EXAM"),'Supp. Result Entry'!AS56,""),"")</f>
        <v/>
      </c>
      <c r="HF57" s="613" t="str">
        <f t="shared" si="168"/>
        <v/>
      </c>
      <c r="HG57" s="598" t="str">
        <f t="shared" si="169"/>
        <v/>
      </c>
      <c r="HH57" s="598" t="str">
        <f>IF(AND(HE57="",HF57="",HG57=""),"",IF(OR(GY57="SUPPLEMENTARY",GY57="RE-EXAM"),'Supp. Result Entry'!AS56,GY57))</f>
        <v/>
      </c>
      <c r="HI57" s="180"/>
      <c r="HJ57" s="214"/>
      <c r="HY57" s="212" t="str">
        <f>IF('Supp. Result Entry'!U56="","",'Supp. Result Entry'!$U$6)</f>
        <v/>
      </c>
      <c r="HZ57" s="213" t="str">
        <f>IF('Supp. Result Entry'!X56="","",'Supp. Result Entry'!$X$6)</f>
        <v/>
      </c>
      <c r="IA57" s="213" t="str">
        <f>IF('Supp. Result Entry'!AA56="","",'Supp. Result Entry'!$AA$6)</f>
        <v/>
      </c>
      <c r="IB57" s="213" t="str">
        <f>IF('Supp. Result Entry'!AD56="","",'Supp. Result Entry'!$AD$6)</f>
        <v/>
      </c>
      <c r="IC57" s="213" t="str">
        <f>IF('Supp. Result Entry'!AG56="","",'Supp. Result Entry'!$AG$6)</f>
        <v/>
      </c>
      <c r="ID57" s="213" t="str">
        <f>IF('Supp. Result Entry'!AJ56="","",'Supp. Result Entry'!$AJ$6)</f>
        <v/>
      </c>
      <c r="IE57" s="213" t="str">
        <f>IF('Supp. Result Entry'!V56="","",'Supp. Result Entry'!V56)</f>
        <v/>
      </c>
      <c r="IF57" s="213" t="str">
        <f>IF('Supp. Result Entry'!Y56="","",'Supp. Result Entry'!Y56)</f>
        <v/>
      </c>
      <c r="IG57" s="213" t="str">
        <f>IF('Supp. Result Entry'!AB56="","",'Supp. Result Entry'!AB56)</f>
        <v/>
      </c>
      <c r="IH57" s="213" t="str">
        <f>IF('Supp. Result Entry'!AE56="","",'Supp. Result Entry'!AE56)</f>
        <v/>
      </c>
      <c r="II57" s="213" t="str">
        <f>IF('Supp. Result Entry'!AH56="","",'Supp. Result Entry'!AH56)</f>
        <v/>
      </c>
      <c r="IJ57" s="213" t="str">
        <f>IF('Supp. Result Entry'!AK56="","",'Supp. Result Entry'!AK56)</f>
        <v/>
      </c>
      <c r="IK57" s="213" t="str">
        <f>IF('Supp. Result Entry'!W56="","",'Supp. Result Entry'!W56)</f>
        <v/>
      </c>
      <c r="IL57" s="213" t="str">
        <f>IF('Supp. Result Entry'!Z56="","",'Supp. Result Entry'!Z56)</f>
        <v/>
      </c>
      <c r="IM57" s="213" t="str">
        <f>IF('Supp. Result Entry'!AC56="","",'Supp. Result Entry'!AC56)</f>
        <v/>
      </c>
      <c r="IN57" s="213" t="str">
        <f>IF('Supp. Result Entry'!AF56="","",'Supp. Result Entry'!AF56)</f>
        <v/>
      </c>
      <c r="IO57" s="213" t="str">
        <f>IF('Supp. Result Entry'!AI56="","",'Supp. Result Entry'!AI56)</f>
        <v/>
      </c>
      <c r="IP57" s="213" t="str">
        <f>IF('Supp. Result Entry'!AL56="","",'Supp. Result Entry'!AL56)</f>
        <v/>
      </c>
      <c r="IQ57" s="213">
        <f>COUNTIF('Supp. Result Entry'!K56:Q56,"S")</f>
        <v>0</v>
      </c>
      <c r="IR57" s="213">
        <f t="shared" si="170"/>
        <v>0</v>
      </c>
      <c r="IS57" s="213">
        <f t="shared" si="171"/>
        <v>0</v>
      </c>
      <c r="IT57" s="213" t="str">
        <f t="shared" si="41"/>
        <v/>
      </c>
      <c r="IU57" s="213" t="str">
        <f t="shared" si="42"/>
        <v/>
      </c>
      <c r="IV57" s="213" t="str">
        <f t="shared" si="43"/>
        <v/>
      </c>
      <c r="IW57" s="213" t="str">
        <f t="shared" si="44"/>
        <v/>
      </c>
      <c r="IX57" s="213" t="str">
        <f t="shared" si="45"/>
        <v/>
      </c>
      <c r="IY57" s="213" t="str">
        <f t="shared" si="172"/>
        <v/>
      </c>
      <c r="IZ57" s="213" t="str">
        <f t="shared" si="173"/>
        <v/>
      </c>
      <c r="JA57" s="213" t="str">
        <f t="shared" si="46"/>
        <v/>
      </c>
      <c r="JB57" s="211" t="str">
        <f t="shared" si="174"/>
        <v/>
      </c>
    </row>
    <row r="58" spans="1:262" s="211" customFormat="1" ht="21" customHeight="1">
      <c r="A58" s="184">
        <v>51</v>
      </c>
      <c r="B58" s="185" t="str">
        <f>IF('Marks Entry'!B58="","",'Marks Entry'!B58)</f>
        <v/>
      </c>
      <c r="C58" s="186" t="str">
        <f>IF('Marks Entry'!D58="","",'Marks Entry'!D58)</f>
        <v/>
      </c>
      <c r="D58" s="187" t="str">
        <f>IF('Marks Entry'!E58="","",'Marks Entry'!E58)</f>
        <v/>
      </c>
      <c r="E58" s="188" t="str">
        <f>IF('Marks Entry'!F58="","",'Marks Entry'!F58)</f>
        <v/>
      </c>
      <c r="F58" s="188" t="str">
        <f>IF('Marks Entry'!G58="","",'Marks Entry'!G58)</f>
        <v/>
      </c>
      <c r="G58" s="188" t="str">
        <f>IF('Marks Entry'!H58="","",'Marks Entry'!H58)</f>
        <v/>
      </c>
      <c r="H58" s="189" t="str">
        <f>IF('Marks Entry'!I58="","",'Marks Entry'!I58)</f>
        <v/>
      </c>
      <c r="I58" s="190" t="str">
        <f>IF('Marks Entry'!J58="","",'Marks Entry'!J58)</f>
        <v/>
      </c>
      <c r="J58" s="545" t="str">
        <f>IF('Marks Entry'!K58="","",'Marks Entry'!K58)</f>
        <v/>
      </c>
      <c r="K58" s="545" t="str">
        <f>IF('Marks Entry'!L58="","",'Marks Entry'!L58)</f>
        <v/>
      </c>
      <c r="L58" s="545" t="str">
        <f>IF('Marks Entry'!M58="","",'Marks Entry'!M58)</f>
        <v/>
      </c>
      <c r="M58" s="546" t="str">
        <f t="shared" si="47"/>
        <v/>
      </c>
      <c r="N58" s="545" t="str">
        <f>IF('Marks Entry'!N58="","",'Marks Entry'!N58)</f>
        <v/>
      </c>
      <c r="O58" s="546" t="str">
        <f t="shared" si="48"/>
        <v/>
      </c>
      <c r="P58" s="545" t="str">
        <f>IF('Marks Entry'!O58="","",'Marks Entry'!O58)</f>
        <v/>
      </c>
      <c r="Q58" s="547" t="str">
        <f t="shared" si="49"/>
        <v/>
      </c>
      <c r="R58" s="153">
        <f t="shared" si="50"/>
        <v>0</v>
      </c>
      <c r="S58" s="153">
        <f t="shared" si="51"/>
        <v>0</v>
      </c>
      <c r="T58" s="154" t="str">
        <f t="shared" si="52"/>
        <v/>
      </c>
      <c r="U58" s="153" t="str">
        <f t="shared" si="53"/>
        <v/>
      </c>
      <c r="V58" s="153" t="str">
        <f t="shared" si="54"/>
        <v/>
      </c>
      <c r="W58" s="153" t="str">
        <f t="shared" si="55"/>
        <v/>
      </c>
      <c r="X58" s="545" t="str">
        <f>IF('Marks Entry'!P58="","",'Marks Entry'!P58)</f>
        <v/>
      </c>
      <c r="Y58" s="545" t="str">
        <f>IF('Marks Entry'!Q58="","",'Marks Entry'!Q58)</f>
        <v/>
      </c>
      <c r="Z58" s="545" t="str">
        <f>IF('Marks Entry'!R58="","",'Marks Entry'!R58)</f>
        <v/>
      </c>
      <c r="AA58" s="546" t="str">
        <f t="shared" si="56"/>
        <v/>
      </c>
      <c r="AB58" s="545" t="str">
        <f>IF('Marks Entry'!S58="","",'Marks Entry'!S58)</f>
        <v/>
      </c>
      <c r="AC58" s="546" t="str">
        <f t="shared" si="57"/>
        <v/>
      </c>
      <c r="AD58" s="545" t="str">
        <f>IF('Marks Entry'!T58="","",'Marks Entry'!T58)</f>
        <v/>
      </c>
      <c r="AE58" s="547" t="str">
        <f t="shared" si="58"/>
        <v/>
      </c>
      <c r="AF58" s="153">
        <f t="shared" si="59"/>
        <v>0</v>
      </c>
      <c r="AG58" s="153">
        <f t="shared" si="60"/>
        <v>0</v>
      </c>
      <c r="AH58" s="154" t="str">
        <f t="shared" si="61"/>
        <v/>
      </c>
      <c r="AI58" s="153" t="str">
        <f t="shared" si="62"/>
        <v/>
      </c>
      <c r="AJ58" s="153" t="str">
        <f t="shared" si="63"/>
        <v/>
      </c>
      <c r="AK58" s="153" t="str">
        <f t="shared" si="64"/>
        <v/>
      </c>
      <c r="AL58" s="573" t="str">
        <f>IF('Marks Entry'!U58="","",'Marks Entry'!U58)</f>
        <v/>
      </c>
      <c r="AM58" s="573" t="str">
        <f>IF('Marks Entry'!V58="","",'Marks Entry'!V58)</f>
        <v/>
      </c>
      <c r="AN58" s="573" t="str">
        <f>IF('Marks Entry'!W58="","",'Marks Entry'!W58)</f>
        <v/>
      </c>
      <c r="AO58" s="573" t="str">
        <f>IF('Marks Entry'!X58="","",'Marks Entry'!X58)</f>
        <v/>
      </c>
      <c r="AP58" s="572" t="str">
        <f t="shared" si="65"/>
        <v/>
      </c>
      <c r="AQ58" s="573" t="str">
        <f>IF('Marks Entry'!Y58="","",'Marks Entry'!Y58)</f>
        <v/>
      </c>
      <c r="AR58" s="573" t="str">
        <f>IF('Marks Entry'!Z58="","",'Marks Entry'!Z58)</f>
        <v/>
      </c>
      <c r="AS58" s="572" t="str">
        <f t="shared" si="66"/>
        <v/>
      </c>
      <c r="AT58" s="572" t="str">
        <f t="shared" si="67"/>
        <v/>
      </c>
      <c r="AU58" s="573" t="str">
        <f>IF('Marks Entry'!AA58="","",'Marks Entry'!AA58)</f>
        <v/>
      </c>
      <c r="AV58" s="573" t="str">
        <f>IF('Marks Entry'!AB58="","",'Marks Entry'!AB58)</f>
        <v/>
      </c>
      <c r="AW58" s="572" t="str">
        <f t="shared" si="68"/>
        <v/>
      </c>
      <c r="AX58" s="157" t="str">
        <f t="shared" si="69"/>
        <v/>
      </c>
      <c r="AY58" s="157" t="str">
        <f t="shared" si="70"/>
        <v/>
      </c>
      <c r="AZ58" s="192" t="str">
        <f t="shared" si="71"/>
        <v/>
      </c>
      <c r="BA58" s="153">
        <f t="shared" si="72"/>
        <v>0</v>
      </c>
      <c r="BB58" s="154">
        <f t="shared" si="73"/>
        <v>0</v>
      </c>
      <c r="BC58" s="154" t="str">
        <f t="shared" si="74"/>
        <v/>
      </c>
      <c r="BD58" s="154" t="str">
        <f t="shared" si="75"/>
        <v/>
      </c>
      <c r="BE58" s="154" t="str">
        <f t="shared" si="76"/>
        <v/>
      </c>
      <c r="BF58" s="153" t="str">
        <f t="shared" si="77"/>
        <v/>
      </c>
      <c r="BG58" s="154" t="str">
        <f t="shared" si="175"/>
        <v/>
      </c>
      <c r="BH58" s="153" t="str">
        <f t="shared" si="78"/>
        <v/>
      </c>
      <c r="BI58" s="580" t="str">
        <f>IF('Marks Entry'!AC58="","",'Marks Entry'!AC58)</f>
        <v/>
      </c>
      <c r="BJ58" s="580" t="str">
        <f>IF('Marks Entry'!AD58="","",'Marks Entry'!AD58)</f>
        <v/>
      </c>
      <c r="BK58" s="580" t="str">
        <f>IF('Marks Entry'!AE58="","",'Marks Entry'!AE58)</f>
        <v/>
      </c>
      <c r="BL58" s="580" t="str">
        <f>IF('Marks Entry'!AF58="","",'Marks Entry'!AF58)</f>
        <v/>
      </c>
      <c r="BM58" s="581" t="str">
        <f t="shared" si="79"/>
        <v/>
      </c>
      <c r="BN58" s="580" t="str">
        <f>IF('Marks Entry'!AG58="","",'Marks Entry'!AG58)</f>
        <v/>
      </c>
      <c r="BO58" s="580" t="str">
        <f>IF('Marks Entry'!AH58="","",'Marks Entry'!AH58)</f>
        <v/>
      </c>
      <c r="BP58" s="581" t="str">
        <f t="shared" si="80"/>
        <v/>
      </c>
      <c r="BQ58" s="581" t="str">
        <f t="shared" si="81"/>
        <v/>
      </c>
      <c r="BR58" s="580" t="str">
        <f>IF('Marks Entry'!AI58="","",'Marks Entry'!AI58)</f>
        <v/>
      </c>
      <c r="BS58" s="580" t="str">
        <f>IF('Marks Entry'!AJ58="","",'Marks Entry'!AJ58)</f>
        <v/>
      </c>
      <c r="BT58" s="581" t="str">
        <f t="shared" si="82"/>
        <v/>
      </c>
      <c r="BU58" s="157" t="str">
        <f t="shared" si="83"/>
        <v/>
      </c>
      <c r="BV58" s="157" t="str">
        <f t="shared" si="84"/>
        <v/>
      </c>
      <c r="BW58" s="192" t="str">
        <f t="shared" si="85"/>
        <v/>
      </c>
      <c r="BX58" s="153">
        <f t="shared" si="86"/>
        <v>0</v>
      </c>
      <c r="BY58" s="154">
        <f t="shared" si="87"/>
        <v>0</v>
      </c>
      <c r="BZ58" s="154" t="str">
        <f t="shared" si="88"/>
        <v/>
      </c>
      <c r="CA58" s="154" t="str">
        <f t="shared" si="89"/>
        <v/>
      </c>
      <c r="CB58" s="154" t="str">
        <f t="shared" si="90"/>
        <v/>
      </c>
      <c r="CC58" s="153" t="str">
        <f t="shared" si="91"/>
        <v/>
      </c>
      <c r="CD58" s="154" t="str">
        <f t="shared" si="92"/>
        <v/>
      </c>
      <c r="CE58" s="153" t="str">
        <f t="shared" si="93"/>
        <v/>
      </c>
      <c r="CF58" s="580" t="str">
        <f>IF('Marks Entry'!AK58="","",'Marks Entry'!AK58)</f>
        <v/>
      </c>
      <c r="CG58" s="580" t="str">
        <f>IF('Marks Entry'!AL58="","",'Marks Entry'!AL58)</f>
        <v/>
      </c>
      <c r="CH58" s="580" t="str">
        <f>IF('Marks Entry'!AM58="","",'Marks Entry'!AM58)</f>
        <v/>
      </c>
      <c r="CI58" s="580" t="str">
        <f>IF('Marks Entry'!AN58="","",'Marks Entry'!AN58)</f>
        <v/>
      </c>
      <c r="CJ58" s="581" t="str">
        <f t="shared" si="94"/>
        <v/>
      </c>
      <c r="CK58" s="580" t="str">
        <f>IF('Marks Entry'!AO58="","",'Marks Entry'!AO58)</f>
        <v/>
      </c>
      <c r="CL58" s="580" t="str">
        <f>IF('Marks Entry'!AP58="","",'Marks Entry'!AP58)</f>
        <v/>
      </c>
      <c r="CM58" s="581" t="str">
        <f t="shared" si="95"/>
        <v/>
      </c>
      <c r="CN58" s="581" t="str">
        <f t="shared" si="96"/>
        <v/>
      </c>
      <c r="CO58" s="580" t="str">
        <f>IF('Marks Entry'!AQ58="","",'Marks Entry'!AQ58)</f>
        <v/>
      </c>
      <c r="CP58" s="580" t="str">
        <f>IF('Marks Entry'!AR58="","",'Marks Entry'!AR58)</f>
        <v/>
      </c>
      <c r="CQ58" s="581" t="str">
        <f t="shared" si="97"/>
        <v/>
      </c>
      <c r="CR58" s="157" t="str">
        <f t="shared" si="98"/>
        <v/>
      </c>
      <c r="CS58" s="157" t="str">
        <f t="shared" si="99"/>
        <v/>
      </c>
      <c r="CT58" s="192" t="str">
        <f t="shared" si="100"/>
        <v/>
      </c>
      <c r="CU58" s="153">
        <f t="shared" si="101"/>
        <v>0</v>
      </c>
      <c r="CV58" s="154">
        <f t="shared" si="102"/>
        <v>0</v>
      </c>
      <c r="CW58" s="154" t="str">
        <f t="shared" si="103"/>
        <v/>
      </c>
      <c r="CX58" s="154" t="str">
        <f t="shared" si="104"/>
        <v/>
      </c>
      <c r="CY58" s="154" t="str">
        <f t="shared" si="176"/>
        <v/>
      </c>
      <c r="CZ58" s="153" t="str">
        <f t="shared" si="105"/>
        <v/>
      </c>
      <c r="DA58" s="154" t="str">
        <f t="shared" si="106"/>
        <v/>
      </c>
      <c r="DB58" s="153" t="str">
        <f t="shared" si="107"/>
        <v/>
      </c>
      <c r="DC58" s="154">
        <f t="shared" si="108"/>
        <v>0</v>
      </c>
      <c r="DD58" s="826" t="str">
        <f>IF('Marks Entry'!AS58="","",IF(OR('Master Sheet'!$D$19="YES",'Marks Entry'!$BA$1=1),'Marks Entry'!AS58,""))</f>
        <v/>
      </c>
      <c r="DE58" s="826" t="str">
        <f>IF('Marks Entry'!AT58="","",IF(OR('Master Sheet'!$D$19="YES",'Marks Entry'!$BA$1=1),'Marks Entry'!AT58,""))</f>
        <v/>
      </c>
      <c r="DF58" s="826" t="str">
        <f>IF('Marks Entry'!AU58="","",IF(OR('Master Sheet'!$D$19="YES",'Marks Entry'!$BA$1=1),'Marks Entry'!AU58,""))</f>
        <v/>
      </c>
      <c r="DG58" s="826" t="str">
        <f>IF('Marks Entry'!AV58="","",IF(OR('Master Sheet'!$D$19="YES",'Marks Entry'!$BA$1=1),'Marks Entry'!AV58,""))</f>
        <v/>
      </c>
      <c r="DH58" s="827" t="str">
        <f t="shared" si="109"/>
        <v/>
      </c>
      <c r="DI58" s="826" t="str">
        <f>IF('Marks Entry'!AW58="","",IF(OR('Master Sheet'!$D$19="YES",'Marks Entry'!$BA$1=1),'Marks Entry'!AW58,""))</f>
        <v/>
      </c>
      <c r="DJ58" s="826" t="str">
        <f>IF('Marks Entry'!AX58="","",IF(OR('Master Sheet'!$D$19="YES",'Marks Entry'!$BA$1=1),'Marks Entry'!AX58,""))</f>
        <v/>
      </c>
      <c r="DK58" s="827" t="str">
        <f t="shared" si="110"/>
        <v/>
      </c>
      <c r="DL58" s="827" t="str">
        <f t="shared" si="111"/>
        <v/>
      </c>
      <c r="DM58" s="826" t="str">
        <f>IF('Marks Entry'!AY58="","",IF(OR('Master Sheet'!$D$19="YES",'Marks Entry'!$BA$1=1),'Marks Entry'!AY58,""))</f>
        <v/>
      </c>
      <c r="DN58" s="826" t="str">
        <f>IF('Marks Entry'!AZ58="","",IF(OR('Master Sheet'!$D$19="YES",'Marks Entry'!$BA$1=1),'Marks Entry'!AZ58,""))</f>
        <v/>
      </c>
      <c r="DO58" s="826" t="str">
        <f>IF('Marks Entry'!BA58="","",IF(OR('Master Sheet'!$D$19="YES",'Marks Entry'!$BA$1=1),'Marks Entry'!BA58,""))</f>
        <v/>
      </c>
      <c r="DP58" s="827" t="str">
        <f t="shared" si="112"/>
        <v/>
      </c>
      <c r="DQ58" s="157" t="str">
        <f t="shared" si="113"/>
        <v/>
      </c>
      <c r="DR58" s="157" t="str">
        <f t="shared" si="114"/>
        <v/>
      </c>
      <c r="DS58" s="157" t="str">
        <f t="shared" si="115"/>
        <v/>
      </c>
      <c r="DT58" s="192" t="str">
        <f t="shared" si="116"/>
        <v/>
      </c>
      <c r="DU58" s="153">
        <f t="shared" si="117"/>
        <v>0</v>
      </c>
      <c r="DV58" s="154" t="e">
        <f t="shared" si="118"/>
        <v>#VALUE!</v>
      </c>
      <c r="DW58" s="154" t="str">
        <f t="shared" si="119"/>
        <v/>
      </c>
      <c r="DX58" s="154" t="str">
        <f>IF(OR($B58="NSO",$B58=0,DS58=""),"",IF(AND(DJ58="",DO58=""),"",IF('Master Sheet'!$D$19="YES",$DO$6-COUNTIF(DO58,"ML")*DO$6,DS$6-(COUNTIF(DJ58,"ML")*DJ$6)-(COUNTIF(DO58,"ML")*DO$6))))</f>
        <v/>
      </c>
      <c r="DY58" s="154" t="str">
        <f>IF(OR($B58="NSO",$B58=0),"",IF(AND(DH58="",DI58="",DM58=""),"",IF(AND('Master Sheet'!$D$19="YES",'Marks Entry'!$BA$1=1),100,IF(AND(DJ58="",DO58=""),SUM(($DQ$7+$DR$7)-(DU58+DV58)),SUM(($DQ$6+$DR$6)-(DU58+DV58))))))</f>
        <v/>
      </c>
      <c r="DZ58" s="153" t="str">
        <f t="shared" si="120"/>
        <v/>
      </c>
      <c r="EA58" s="154" t="str">
        <f t="shared" si="121"/>
        <v/>
      </c>
      <c r="EB58" s="153" t="str">
        <f t="shared" si="122"/>
        <v/>
      </c>
      <c r="EC58" s="584" t="str">
        <f>IF('Marks Entry'!BB58="","",'Marks Entry'!BB58)</f>
        <v/>
      </c>
      <c r="ED58" s="584" t="str">
        <f>IF('Marks Entry'!BC58="","",'Marks Entry'!BC58)</f>
        <v/>
      </c>
      <c r="EE58" s="584" t="str">
        <f>IF('Marks Entry'!BD58="","",'Marks Entry'!BD58)</f>
        <v/>
      </c>
      <c r="EF58" s="590" t="str">
        <f t="shared" si="123"/>
        <v/>
      </c>
      <c r="EG58" s="595">
        <f t="shared" si="124"/>
        <v>0</v>
      </c>
      <c r="EH58" s="595">
        <f t="shared" si="125"/>
        <v>0</v>
      </c>
      <c r="EI58" s="193" t="str">
        <f t="shared" si="126"/>
        <v/>
      </c>
      <c r="EJ58" s="595" t="str">
        <f t="shared" si="127"/>
        <v/>
      </c>
      <c r="EK58" s="595" t="str">
        <f t="shared" si="128"/>
        <v/>
      </c>
      <c r="EL58" s="194" t="str">
        <f t="shared" si="129"/>
        <v/>
      </c>
      <c r="EM58" s="194" t="str">
        <f t="shared" si="130"/>
        <v/>
      </c>
      <c r="EN58" s="194" t="str">
        <f t="shared" si="131"/>
        <v/>
      </c>
      <c r="EO58" s="194" t="str">
        <f t="shared" si="132"/>
        <v/>
      </c>
      <c r="EP58" s="194" t="str">
        <f t="shared" si="133"/>
        <v/>
      </c>
      <c r="EQ58" s="194" t="str">
        <f t="shared" si="134"/>
        <v/>
      </c>
      <c r="ER58" s="195">
        <f t="shared" si="135"/>
        <v>0</v>
      </c>
      <c r="ES58" s="195">
        <f t="shared" si="136"/>
        <v>0</v>
      </c>
      <c r="ET58" s="195">
        <f t="shared" si="137"/>
        <v>0</v>
      </c>
      <c r="EU58" s="195">
        <f t="shared" si="138"/>
        <v>0</v>
      </c>
      <c r="EV58" s="195">
        <f t="shared" si="139"/>
        <v>0</v>
      </c>
      <c r="EW58" s="195" t="str">
        <f t="shared" si="140"/>
        <v/>
      </c>
      <c r="EX58" s="196" t="str">
        <f t="shared" si="141"/>
        <v/>
      </c>
      <c r="EY58" s="197" t="str">
        <f>IF('Marks Entry'!BE58="","",'Marks Entry'!BE58)</f>
        <v/>
      </c>
      <c r="EZ58" s="197" t="str">
        <f>IF('Marks Entry'!BF58="","",'Marks Entry'!BF58)</f>
        <v/>
      </c>
      <c r="FA58" s="197" t="str">
        <f>IF('Marks Entry'!BG58="","",'Marks Entry'!BG58)</f>
        <v/>
      </c>
      <c r="FB58" s="596" t="str">
        <f t="shared" si="142"/>
        <v/>
      </c>
      <c r="FC58" s="197" t="str">
        <f>IF('Marks Entry'!BH58="","",'Marks Entry'!BH58)</f>
        <v/>
      </c>
      <c r="FD58" s="197" t="str">
        <f>IF('Marks Entry'!BI58="","",'Marks Entry'!BI58)</f>
        <v/>
      </c>
      <c r="FE58" s="198" t="str">
        <f t="shared" si="143"/>
        <v/>
      </c>
      <c r="FF58" s="199" t="str">
        <f t="shared" si="144"/>
        <v/>
      </c>
      <c r="FG58" s="200" t="str">
        <f>IF(AND(E58=""),"",IF('Student DATA Entry'!L54="","",'Student DATA Entry'!L54))</f>
        <v/>
      </c>
      <c r="FH58" s="201" t="str">
        <f>IF(AND(E58=""),"",IF('Student DATA Entry'!M54="","",'Student DATA Entry'!M54))</f>
        <v/>
      </c>
      <c r="FI58" s="202" t="str">
        <f t="shared" si="145"/>
        <v/>
      </c>
      <c r="FJ58" s="189" t="str">
        <f t="shared" si="146"/>
        <v/>
      </c>
      <c r="FK58" s="189" t="str">
        <f t="shared" si="147"/>
        <v/>
      </c>
      <c r="FL58" s="203" t="str">
        <f t="shared" si="178"/>
        <v/>
      </c>
      <c r="FM58" s="189" t="str">
        <f t="shared" si="148"/>
        <v/>
      </c>
      <c r="FN58" s="204" t="str">
        <f t="shared" si="149"/>
        <v/>
      </c>
      <c r="FO58" s="203" t="str">
        <f t="shared" si="179"/>
        <v/>
      </c>
      <c r="FP58" s="205" t="str">
        <f t="shared" si="150"/>
        <v/>
      </c>
      <c r="FQ58" s="189" t="str">
        <f t="shared" si="180"/>
        <v/>
      </c>
      <c r="FR58" s="189" t="str">
        <f t="shared" si="181"/>
        <v/>
      </c>
      <c r="FS58" s="189" t="str">
        <f t="shared" si="182"/>
        <v/>
      </c>
      <c r="FT58" s="189" t="str">
        <f t="shared" si="183"/>
        <v/>
      </c>
      <c r="FU58" s="189" t="str">
        <f t="shared" si="151"/>
        <v/>
      </c>
      <c r="FV58" s="206" t="str">
        <f t="shared" si="184"/>
        <v/>
      </c>
      <c r="FW58" s="205" t="str">
        <f t="shared" si="152"/>
        <v/>
      </c>
      <c r="FX58" s="189" t="str">
        <f t="shared" si="185"/>
        <v/>
      </c>
      <c r="FY58" s="189" t="str">
        <f t="shared" si="186"/>
        <v/>
      </c>
      <c r="FZ58" s="189" t="str">
        <f t="shared" si="187"/>
        <v/>
      </c>
      <c r="GA58" s="189" t="str">
        <f t="shared" si="188"/>
        <v/>
      </c>
      <c r="GB58" s="189" t="str">
        <f t="shared" si="153"/>
        <v/>
      </c>
      <c r="GC58" s="206" t="str">
        <f t="shared" si="189"/>
        <v/>
      </c>
      <c r="GD58" s="205" t="str">
        <f t="shared" si="154"/>
        <v/>
      </c>
      <c r="GE58" s="189" t="str">
        <f t="shared" si="190"/>
        <v/>
      </c>
      <c r="GF58" s="189" t="str">
        <f t="shared" si="191"/>
        <v/>
      </c>
      <c r="GG58" s="189" t="str">
        <f t="shared" si="192"/>
        <v/>
      </c>
      <c r="GH58" s="189" t="str">
        <f t="shared" si="193"/>
        <v/>
      </c>
      <c r="GI58" s="189" t="str">
        <f t="shared" si="155"/>
        <v/>
      </c>
      <c r="GJ58" s="206" t="str">
        <f t="shared" si="194"/>
        <v/>
      </c>
      <c r="GK58" s="205" t="str">
        <f t="shared" si="156"/>
        <v/>
      </c>
      <c r="GL58" s="189" t="str">
        <f t="shared" si="195"/>
        <v/>
      </c>
      <c r="GM58" s="189" t="str">
        <f t="shared" si="196"/>
        <v/>
      </c>
      <c r="GN58" s="189" t="str">
        <f t="shared" si="197"/>
        <v/>
      </c>
      <c r="GO58" s="189" t="str">
        <f t="shared" si="198"/>
        <v/>
      </c>
      <c r="GP58" s="189" t="str">
        <f t="shared" si="157"/>
        <v/>
      </c>
      <c r="GQ58" s="206" t="str">
        <f t="shared" si="199"/>
        <v/>
      </c>
      <c r="GR58" s="189" t="str">
        <f t="shared" si="158"/>
        <v/>
      </c>
      <c r="GS58" s="189" t="str">
        <f t="shared" si="159"/>
        <v/>
      </c>
      <c r="GT58" s="207" t="str">
        <f t="shared" si="177"/>
        <v xml:space="preserve">    </v>
      </c>
      <c r="GU58" s="207" t="str">
        <f t="shared" si="160"/>
        <v xml:space="preserve">    </v>
      </c>
      <c r="GV58" s="207" t="str">
        <f t="shared" si="161"/>
        <v xml:space="preserve">    </v>
      </c>
      <c r="GW58" s="207" t="str">
        <f t="shared" si="162"/>
        <v xml:space="preserve">       </v>
      </c>
      <c r="GX58" s="598" t="str">
        <f t="shared" si="163"/>
        <v xml:space="preserve">     </v>
      </c>
      <c r="GY58" s="208" t="str">
        <f t="shared" si="200"/>
        <v/>
      </c>
      <c r="GZ58" s="606" t="str">
        <f>IF(AND(Q58="",AE58="",AZ58="",BW58="",CT58=""),"",IF(AND('Master Sheet'!$D$19="YES",'Marks Entry'!$BA$1=1),SUM(Q58,AE58,AZ58,BW58,DT58),SUM(Q58,AE58,AZ58,BW58,CT58)))</f>
        <v/>
      </c>
      <c r="HA58" s="209" t="str">
        <f>IF(GZ58="","",IF(AND('Master Sheet'!$D$19="YES",'Marks Entry'!$BA$1=1),GZ58/((900)-DC58)*100,GZ58/((1000)-DC58)*100))</f>
        <v/>
      </c>
      <c r="HB58" s="611" t="str">
        <f t="shared" si="165"/>
        <v/>
      </c>
      <c r="HC58" s="609" t="str">
        <f t="shared" si="166"/>
        <v/>
      </c>
      <c r="HD58" s="610" t="str">
        <f t="shared" si="167"/>
        <v/>
      </c>
      <c r="HE58" s="210" t="str">
        <f>IFERROR(IF(OR(GY58="SUPPLEMENTARY",GY58="RE-EXAM"),'Supp. Result Entry'!AS57,""),"")</f>
        <v/>
      </c>
      <c r="HF58" s="613" t="str">
        <f t="shared" si="168"/>
        <v/>
      </c>
      <c r="HG58" s="598" t="str">
        <f t="shared" si="169"/>
        <v/>
      </c>
      <c r="HH58" s="598" t="str">
        <f>IF(AND(HE58="",HF58="",HG58=""),"",IF(OR(GY58="SUPPLEMENTARY",GY58="RE-EXAM"),'Supp. Result Entry'!AS57,GY58))</f>
        <v/>
      </c>
      <c r="HI58" s="180"/>
      <c r="HY58" s="212" t="str">
        <f>IF('Supp. Result Entry'!U57="","",'Supp. Result Entry'!$U$6)</f>
        <v/>
      </c>
      <c r="HZ58" s="213" t="str">
        <f>IF('Supp. Result Entry'!X57="","",'Supp. Result Entry'!$X$6)</f>
        <v/>
      </c>
      <c r="IA58" s="213" t="str">
        <f>IF('Supp. Result Entry'!AA57="","",'Supp. Result Entry'!$AA$6)</f>
        <v/>
      </c>
      <c r="IB58" s="213" t="str">
        <f>IF('Supp. Result Entry'!AD57="","",'Supp. Result Entry'!$AD$6)</f>
        <v/>
      </c>
      <c r="IC58" s="213" t="str">
        <f>IF('Supp. Result Entry'!AG57="","",'Supp. Result Entry'!$AG$6)</f>
        <v/>
      </c>
      <c r="ID58" s="213" t="str">
        <f>IF('Supp. Result Entry'!AJ57="","",'Supp. Result Entry'!$AJ$6)</f>
        <v/>
      </c>
      <c r="IE58" s="213" t="str">
        <f>IF('Supp. Result Entry'!V57="","",'Supp. Result Entry'!V57)</f>
        <v/>
      </c>
      <c r="IF58" s="213" t="str">
        <f>IF('Supp. Result Entry'!Y57="","",'Supp. Result Entry'!Y57)</f>
        <v/>
      </c>
      <c r="IG58" s="213" t="str">
        <f>IF('Supp. Result Entry'!AB57="","",'Supp. Result Entry'!AB57)</f>
        <v/>
      </c>
      <c r="IH58" s="213" t="str">
        <f>IF('Supp. Result Entry'!AE57="","",'Supp. Result Entry'!AE57)</f>
        <v/>
      </c>
      <c r="II58" s="213" t="str">
        <f>IF('Supp. Result Entry'!AH57="","",'Supp. Result Entry'!AH57)</f>
        <v/>
      </c>
      <c r="IJ58" s="213" t="str">
        <f>IF('Supp. Result Entry'!AK57="","",'Supp. Result Entry'!AK57)</f>
        <v/>
      </c>
      <c r="IK58" s="213" t="str">
        <f>IF('Supp. Result Entry'!W57="","",'Supp. Result Entry'!W57)</f>
        <v/>
      </c>
      <c r="IL58" s="213" t="str">
        <f>IF('Supp. Result Entry'!Z57="","",'Supp. Result Entry'!Z57)</f>
        <v/>
      </c>
      <c r="IM58" s="213" t="str">
        <f>IF('Supp. Result Entry'!AC57="","",'Supp. Result Entry'!AC57)</f>
        <v/>
      </c>
      <c r="IN58" s="213" t="str">
        <f>IF('Supp. Result Entry'!AF57="","",'Supp. Result Entry'!AF57)</f>
        <v/>
      </c>
      <c r="IO58" s="213" t="str">
        <f>IF('Supp. Result Entry'!AI57="","",'Supp. Result Entry'!AI57)</f>
        <v/>
      </c>
      <c r="IP58" s="213" t="str">
        <f>IF('Supp. Result Entry'!AL57="","",'Supp. Result Entry'!AL57)</f>
        <v/>
      </c>
      <c r="IQ58" s="213">
        <f>COUNTIF('Supp. Result Entry'!K57:Q57,"S")</f>
        <v>0</v>
      </c>
      <c r="IR58" s="213">
        <f t="shared" si="170"/>
        <v>0</v>
      </c>
      <c r="IS58" s="213">
        <f t="shared" si="171"/>
        <v>0</v>
      </c>
      <c r="IT58" s="213" t="str">
        <f t="shared" si="41"/>
        <v/>
      </c>
      <c r="IU58" s="213" t="str">
        <f t="shared" si="42"/>
        <v/>
      </c>
      <c r="IV58" s="213" t="str">
        <f t="shared" si="43"/>
        <v/>
      </c>
      <c r="IW58" s="213" t="str">
        <f t="shared" si="44"/>
        <v/>
      </c>
      <c r="IX58" s="213" t="str">
        <f t="shared" si="45"/>
        <v/>
      </c>
      <c r="IY58" s="213" t="str">
        <f t="shared" si="172"/>
        <v/>
      </c>
      <c r="IZ58" s="213" t="str">
        <f t="shared" si="173"/>
        <v/>
      </c>
      <c r="JA58" s="213" t="str">
        <f t="shared" si="46"/>
        <v/>
      </c>
      <c r="JB58" s="211" t="str">
        <f t="shared" si="174"/>
        <v/>
      </c>
    </row>
    <row r="59" spans="1:262" s="211" customFormat="1" ht="21" customHeight="1">
      <c r="A59" s="184">
        <v>52</v>
      </c>
      <c r="B59" s="185" t="str">
        <f>IF('Marks Entry'!B59="","",'Marks Entry'!B59)</f>
        <v/>
      </c>
      <c r="C59" s="186" t="str">
        <f>IF('Marks Entry'!D59="","",'Marks Entry'!D59)</f>
        <v/>
      </c>
      <c r="D59" s="187" t="str">
        <f>IF('Marks Entry'!E59="","",'Marks Entry'!E59)</f>
        <v/>
      </c>
      <c r="E59" s="188" t="str">
        <f>IF('Marks Entry'!F59="","",'Marks Entry'!F59)</f>
        <v/>
      </c>
      <c r="F59" s="188" t="str">
        <f>IF('Marks Entry'!G59="","",'Marks Entry'!G59)</f>
        <v/>
      </c>
      <c r="G59" s="188" t="str">
        <f>IF('Marks Entry'!H59="","",'Marks Entry'!H59)</f>
        <v/>
      </c>
      <c r="H59" s="189" t="str">
        <f>IF('Marks Entry'!I59="","",'Marks Entry'!I59)</f>
        <v/>
      </c>
      <c r="I59" s="190" t="str">
        <f>IF('Marks Entry'!J59="","",'Marks Entry'!J59)</f>
        <v/>
      </c>
      <c r="J59" s="545" t="str">
        <f>IF('Marks Entry'!K59="","",'Marks Entry'!K59)</f>
        <v/>
      </c>
      <c r="K59" s="545" t="str">
        <f>IF('Marks Entry'!L59="","",'Marks Entry'!L59)</f>
        <v/>
      </c>
      <c r="L59" s="545" t="str">
        <f>IF('Marks Entry'!M59="","",'Marks Entry'!M59)</f>
        <v/>
      </c>
      <c r="M59" s="546" t="str">
        <f t="shared" si="47"/>
        <v/>
      </c>
      <c r="N59" s="545" t="str">
        <f>IF('Marks Entry'!N59="","",'Marks Entry'!N59)</f>
        <v/>
      </c>
      <c r="O59" s="546" t="str">
        <f t="shared" si="48"/>
        <v/>
      </c>
      <c r="P59" s="545" t="str">
        <f>IF('Marks Entry'!O59="","",'Marks Entry'!O59)</f>
        <v/>
      </c>
      <c r="Q59" s="547" t="str">
        <f t="shared" si="49"/>
        <v/>
      </c>
      <c r="R59" s="153">
        <f t="shared" si="50"/>
        <v>0</v>
      </c>
      <c r="S59" s="153">
        <f t="shared" si="51"/>
        <v>0</v>
      </c>
      <c r="T59" s="154" t="str">
        <f t="shared" si="52"/>
        <v/>
      </c>
      <c r="U59" s="153" t="str">
        <f t="shared" si="53"/>
        <v/>
      </c>
      <c r="V59" s="153" t="str">
        <f t="shared" si="54"/>
        <v/>
      </c>
      <c r="W59" s="153" t="str">
        <f t="shared" si="55"/>
        <v/>
      </c>
      <c r="X59" s="545" t="str">
        <f>IF('Marks Entry'!P59="","",'Marks Entry'!P59)</f>
        <v/>
      </c>
      <c r="Y59" s="545" t="str">
        <f>IF('Marks Entry'!Q59="","",'Marks Entry'!Q59)</f>
        <v/>
      </c>
      <c r="Z59" s="545" t="str">
        <f>IF('Marks Entry'!R59="","",'Marks Entry'!R59)</f>
        <v/>
      </c>
      <c r="AA59" s="546" t="str">
        <f t="shared" si="56"/>
        <v/>
      </c>
      <c r="AB59" s="545" t="str">
        <f>IF('Marks Entry'!S59="","",'Marks Entry'!S59)</f>
        <v/>
      </c>
      <c r="AC59" s="546" t="str">
        <f t="shared" si="57"/>
        <v/>
      </c>
      <c r="AD59" s="545" t="str">
        <f>IF('Marks Entry'!T59="","",'Marks Entry'!T59)</f>
        <v/>
      </c>
      <c r="AE59" s="547" t="str">
        <f t="shared" si="58"/>
        <v/>
      </c>
      <c r="AF59" s="153">
        <f t="shared" si="59"/>
        <v>0</v>
      </c>
      <c r="AG59" s="153">
        <f t="shared" si="60"/>
        <v>0</v>
      </c>
      <c r="AH59" s="154" t="str">
        <f t="shared" si="61"/>
        <v/>
      </c>
      <c r="AI59" s="153" t="str">
        <f t="shared" si="62"/>
        <v/>
      </c>
      <c r="AJ59" s="153" t="str">
        <f t="shared" si="63"/>
        <v/>
      </c>
      <c r="AK59" s="153" t="str">
        <f t="shared" si="64"/>
        <v/>
      </c>
      <c r="AL59" s="573" t="str">
        <f>IF('Marks Entry'!U59="","",'Marks Entry'!U59)</f>
        <v/>
      </c>
      <c r="AM59" s="573" t="str">
        <f>IF('Marks Entry'!V59="","",'Marks Entry'!V59)</f>
        <v/>
      </c>
      <c r="AN59" s="573" t="str">
        <f>IF('Marks Entry'!W59="","",'Marks Entry'!W59)</f>
        <v/>
      </c>
      <c r="AO59" s="573" t="str">
        <f>IF('Marks Entry'!X59="","",'Marks Entry'!X59)</f>
        <v/>
      </c>
      <c r="AP59" s="572" t="str">
        <f t="shared" si="65"/>
        <v/>
      </c>
      <c r="AQ59" s="573" t="str">
        <f>IF('Marks Entry'!Y59="","",'Marks Entry'!Y59)</f>
        <v/>
      </c>
      <c r="AR59" s="573" t="str">
        <f>IF('Marks Entry'!Z59="","",'Marks Entry'!Z59)</f>
        <v/>
      </c>
      <c r="AS59" s="572" t="str">
        <f t="shared" si="66"/>
        <v/>
      </c>
      <c r="AT59" s="572" t="str">
        <f t="shared" si="67"/>
        <v/>
      </c>
      <c r="AU59" s="573" t="str">
        <f>IF('Marks Entry'!AA59="","",'Marks Entry'!AA59)</f>
        <v/>
      </c>
      <c r="AV59" s="573" t="str">
        <f>IF('Marks Entry'!AB59="","",'Marks Entry'!AB59)</f>
        <v/>
      </c>
      <c r="AW59" s="572" t="str">
        <f t="shared" si="68"/>
        <v/>
      </c>
      <c r="AX59" s="157" t="str">
        <f t="shared" si="69"/>
        <v/>
      </c>
      <c r="AY59" s="157" t="str">
        <f t="shared" si="70"/>
        <v/>
      </c>
      <c r="AZ59" s="192" t="str">
        <f t="shared" si="71"/>
        <v/>
      </c>
      <c r="BA59" s="153">
        <f t="shared" si="72"/>
        <v>0</v>
      </c>
      <c r="BB59" s="154">
        <f t="shared" si="73"/>
        <v>0</v>
      </c>
      <c r="BC59" s="154" t="str">
        <f t="shared" si="74"/>
        <v/>
      </c>
      <c r="BD59" s="154" t="str">
        <f t="shared" si="75"/>
        <v/>
      </c>
      <c r="BE59" s="154" t="str">
        <f t="shared" si="76"/>
        <v/>
      </c>
      <c r="BF59" s="153" t="str">
        <f t="shared" si="77"/>
        <v/>
      </c>
      <c r="BG59" s="154" t="str">
        <f t="shared" si="175"/>
        <v/>
      </c>
      <c r="BH59" s="153" t="str">
        <f t="shared" si="78"/>
        <v/>
      </c>
      <c r="BI59" s="580" t="str">
        <f>IF('Marks Entry'!AC59="","",'Marks Entry'!AC59)</f>
        <v/>
      </c>
      <c r="BJ59" s="580" t="str">
        <f>IF('Marks Entry'!AD59="","",'Marks Entry'!AD59)</f>
        <v/>
      </c>
      <c r="BK59" s="580" t="str">
        <f>IF('Marks Entry'!AE59="","",'Marks Entry'!AE59)</f>
        <v/>
      </c>
      <c r="BL59" s="580" t="str">
        <f>IF('Marks Entry'!AF59="","",'Marks Entry'!AF59)</f>
        <v/>
      </c>
      <c r="BM59" s="581" t="str">
        <f t="shared" si="79"/>
        <v/>
      </c>
      <c r="BN59" s="580" t="str">
        <f>IF('Marks Entry'!AG59="","",'Marks Entry'!AG59)</f>
        <v/>
      </c>
      <c r="BO59" s="580" t="str">
        <f>IF('Marks Entry'!AH59="","",'Marks Entry'!AH59)</f>
        <v/>
      </c>
      <c r="BP59" s="581" t="str">
        <f t="shared" si="80"/>
        <v/>
      </c>
      <c r="BQ59" s="581" t="str">
        <f t="shared" si="81"/>
        <v/>
      </c>
      <c r="BR59" s="580" t="str">
        <f>IF('Marks Entry'!AI59="","",'Marks Entry'!AI59)</f>
        <v/>
      </c>
      <c r="BS59" s="580" t="str">
        <f>IF('Marks Entry'!AJ59="","",'Marks Entry'!AJ59)</f>
        <v/>
      </c>
      <c r="BT59" s="581" t="str">
        <f t="shared" si="82"/>
        <v/>
      </c>
      <c r="BU59" s="157" t="str">
        <f t="shared" si="83"/>
        <v/>
      </c>
      <c r="BV59" s="157" t="str">
        <f t="shared" si="84"/>
        <v/>
      </c>
      <c r="BW59" s="192" t="str">
        <f t="shared" si="85"/>
        <v/>
      </c>
      <c r="BX59" s="153">
        <f t="shared" si="86"/>
        <v>0</v>
      </c>
      <c r="BY59" s="154">
        <f t="shared" si="87"/>
        <v>0</v>
      </c>
      <c r="BZ59" s="154" t="str">
        <f t="shared" si="88"/>
        <v/>
      </c>
      <c r="CA59" s="154" t="str">
        <f t="shared" si="89"/>
        <v/>
      </c>
      <c r="CB59" s="154" t="str">
        <f t="shared" si="90"/>
        <v/>
      </c>
      <c r="CC59" s="153" t="str">
        <f t="shared" si="91"/>
        <v/>
      </c>
      <c r="CD59" s="154" t="str">
        <f t="shared" si="92"/>
        <v/>
      </c>
      <c r="CE59" s="153" t="str">
        <f t="shared" si="93"/>
        <v/>
      </c>
      <c r="CF59" s="580" t="str">
        <f>IF('Marks Entry'!AK59="","",'Marks Entry'!AK59)</f>
        <v/>
      </c>
      <c r="CG59" s="580" t="str">
        <f>IF('Marks Entry'!AL59="","",'Marks Entry'!AL59)</f>
        <v/>
      </c>
      <c r="CH59" s="580" t="str">
        <f>IF('Marks Entry'!AM59="","",'Marks Entry'!AM59)</f>
        <v/>
      </c>
      <c r="CI59" s="580" t="str">
        <f>IF('Marks Entry'!AN59="","",'Marks Entry'!AN59)</f>
        <v/>
      </c>
      <c r="CJ59" s="581" t="str">
        <f t="shared" si="94"/>
        <v/>
      </c>
      <c r="CK59" s="580" t="str">
        <f>IF('Marks Entry'!AO59="","",'Marks Entry'!AO59)</f>
        <v/>
      </c>
      <c r="CL59" s="580" t="str">
        <f>IF('Marks Entry'!AP59="","",'Marks Entry'!AP59)</f>
        <v/>
      </c>
      <c r="CM59" s="581" t="str">
        <f t="shared" si="95"/>
        <v/>
      </c>
      <c r="CN59" s="581" t="str">
        <f t="shared" si="96"/>
        <v/>
      </c>
      <c r="CO59" s="580" t="str">
        <f>IF('Marks Entry'!AQ59="","",'Marks Entry'!AQ59)</f>
        <v/>
      </c>
      <c r="CP59" s="580" t="str">
        <f>IF('Marks Entry'!AR59="","",'Marks Entry'!AR59)</f>
        <v/>
      </c>
      <c r="CQ59" s="581" t="str">
        <f t="shared" si="97"/>
        <v/>
      </c>
      <c r="CR59" s="157" t="str">
        <f t="shared" si="98"/>
        <v/>
      </c>
      <c r="CS59" s="157" t="str">
        <f t="shared" si="99"/>
        <v/>
      </c>
      <c r="CT59" s="192" t="str">
        <f t="shared" si="100"/>
        <v/>
      </c>
      <c r="CU59" s="153">
        <f t="shared" si="101"/>
        <v>0</v>
      </c>
      <c r="CV59" s="154">
        <f t="shared" si="102"/>
        <v>0</v>
      </c>
      <c r="CW59" s="154" t="str">
        <f t="shared" si="103"/>
        <v/>
      </c>
      <c r="CX59" s="154" t="str">
        <f t="shared" si="104"/>
        <v/>
      </c>
      <c r="CY59" s="154" t="str">
        <f t="shared" si="176"/>
        <v/>
      </c>
      <c r="CZ59" s="153" t="str">
        <f t="shared" si="105"/>
        <v/>
      </c>
      <c r="DA59" s="154" t="str">
        <f t="shared" si="106"/>
        <v/>
      </c>
      <c r="DB59" s="153" t="str">
        <f t="shared" si="107"/>
        <v/>
      </c>
      <c r="DC59" s="154">
        <f t="shared" si="108"/>
        <v>0</v>
      </c>
      <c r="DD59" s="826" t="str">
        <f>IF('Marks Entry'!AS59="","",IF(OR('Master Sheet'!$D$19="YES",'Marks Entry'!$BA$1=1),'Marks Entry'!AS59,""))</f>
        <v/>
      </c>
      <c r="DE59" s="826" t="str">
        <f>IF('Marks Entry'!AT59="","",IF(OR('Master Sheet'!$D$19="YES",'Marks Entry'!$BA$1=1),'Marks Entry'!AT59,""))</f>
        <v/>
      </c>
      <c r="DF59" s="826" t="str">
        <f>IF('Marks Entry'!AU59="","",IF(OR('Master Sheet'!$D$19="YES",'Marks Entry'!$BA$1=1),'Marks Entry'!AU59,""))</f>
        <v/>
      </c>
      <c r="DG59" s="826" t="str">
        <f>IF('Marks Entry'!AV59="","",IF(OR('Master Sheet'!$D$19="YES",'Marks Entry'!$BA$1=1),'Marks Entry'!AV59,""))</f>
        <v/>
      </c>
      <c r="DH59" s="827" t="str">
        <f t="shared" si="109"/>
        <v/>
      </c>
      <c r="DI59" s="826" t="str">
        <f>IF('Marks Entry'!AW59="","",IF(OR('Master Sheet'!$D$19="YES",'Marks Entry'!$BA$1=1),'Marks Entry'!AW59,""))</f>
        <v/>
      </c>
      <c r="DJ59" s="826" t="str">
        <f>IF('Marks Entry'!AX59="","",IF(OR('Master Sheet'!$D$19="YES",'Marks Entry'!$BA$1=1),'Marks Entry'!AX59,""))</f>
        <v/>
      </c>
      <c r="DK59" s="827" t="str">
        <f t="shared" si="110"/>
        <v/>
      </c>
      <c r="DL59" s="827" t="str">
        <f t="shared" si="111"/>
        <v/>
      </c>
      <c r="DM59" s="826" t="str">
        <f>IF('Marks Entry'!AY59="","",IF(OR('Master Sheet'!$D$19="YES",'Marks Entry'!$BA$1=1),'Marks Entry'!AY59,""))</f>
        <v/>
      </c>
      <c r="DN59" s="826" t="str">
        <f>IF('Marks Entry'!AZ59="","",IF(OR('Master Sheet'!$D$19="YES",'Marks Entry'!$BA$1=1),'Marks Entry'!AZ59,""))</f>
        <v/>
      </c>
      <c r="DO59" s="826" t="str">
        <f>IF('Marks Entry'!BA59="","",IF(OR('Master Sheet'!$D$19="YES",'Marks Entry'!$BA$1=1),'Marks Entry'!BA59,""))</f>
        <v/>
      </c>
      <c r="DP59" s="827" t="str">
        <f t="shared" si="112"/>
        <v/>
      </c>
      <c r="DQ59" s="157" t="str">
        <f t="shared" si="113"/>
        <v/>
      </c>
      <c r="DR59" s="157" t="str">
        <f t="shared" si="114"/>
        <v/>
      </c>
      <c r="DS59" s="157" t="str">
        <f t="shared" si="115"/>
        <v/>
      </c>
      <c r="DT59" s="192" t="str">
        <f t="shared" si="116"/>
        <v/>
      </c>
      <c r="DU59" s="153">
        <f t="shared" si="117"/>
        <v>0</v>
      </c>
      <c r="DV59" s="154" t="e">
        <f t="shared" si="118"/>
        <v>#VALUE!</v>
      </c>
      <c r="DW59" s="154" t="str">
        <f t="shared" si="119"/>
        <v/>
      </c>
      <c r="DX59" s="154" t="str">
        <f>IF(OR($B59="NSO",$B59=0,DS59=""),"",IF(AND(DJ59="",DO59=""),"",IF('Master Sheet'!$D$19="YES",$DO$6-COUNTIF(DO59,"ML")*DO$6,DS$6-(COUNTIF(DJ59,"ML")*DJ$6)-(COUNTIF(DO59,"ML")*DO$6))))</f>
        <v/>
      </c>
      <c r="DY59" s="154" t="str">
        <f>IF(OR($B59="NSO",$B59=0),"",IF(AND(DH59="",DI59="",DM59=""),"",IF(AND('Master Sheet'!$D$19="YES",'Marks Entry'!$BA$1=1),100,IF(AND(DJ59="",DO59=""),SUM(($DQ$7+$DR$7)-(DU59+DV59)),SUM(($DQ$6+$DR$6)-(DU59+DV59))))))</f>
        <v/>
      </c>
      <c r="DZ59" s="153" t="str">
        <f t="shared" si="120"/>
        <v/>
      </c>
      <c r="EA59" s="154" t="str">
        <f t="shared" si="121"/>
        <v/>
      </c>
      <c r="EB59" s="153" t="str">
        <f t="shared" si="122"/>
        <v/>
      </c>
      <c r="EC59" s="584" t="str">
        <f>IF('Marks Entry'!BB59="","",'Marks Entry'!BB59)</f>
        <v/>
      </c>
      <c r="ED59" s="584" t="str">
        <f>IF('Marks Entry'!BC59="","",'Marks Entry'!BC59)</f>
        <v/>
      </c>
      <c r="EE59" s="584" t="str">
        <f>IF('Marks Entry'!BD59="","",'Marks Entry'!BD59)</f>
        <v/>
      </c>
      <c r="EF59" s="590" t="str">
        <f t="shared" si="123"/>
        <v/>
      </c>
      <c r="EG59" s="595">
        <f t="shared" si="124"/>
        <v>0</v>
      </c>
      <c r="EH59" s="595">
        <f t="shared" si="125"/>
        <v>0</v>
      </c>
      <c r="EI59" s="193" t="str">
        <f t="shared" si="126"/>
        <v/>
      </c>
      <c r="EJ59" s="595" t="str">
        <f t="shared" si="127"/>
        <v/>
      </c>
      <c r="EK59" s="595" t="str">
        <f t="shared" si="128"/>
        <v/>
      </c>
      <c r="EL59" s="194" t="str">
        <f t="shared" si="129"/>
        <v/>
      </c>
      <c r="EM59" s="194" t="str">
        <f t="shared" si="130"/>
        <v/>
      </c>
      <c r="EN59" s="194" t="str">
        <f t="shared" si="131"/>
        <v/>
      </c>
      <c r="EO59" s="194" t="str">
        <f t="shared" si="132"/>
        <v/>
      </c>
      <c r="EP59" s="194" t="str">
        <f t="shared" si="133"/>
        <v/>
      </c>
      <c r="EQ59" s="194" t="str">
        <f t="shared" si="134"/>
        <v/>
      </c>
      <c r="ER59" s="195">
        <f t="shared" si="135"/>
        <v>0</v>
      </c>
      <c r="ES59" s="195">
        <f t="shared" si="136"/>
        <v>0</v>
      </c>
      <c r="ET59" s="195">
        <f t="shared" si="137"/>
        <v>0</v>
      </c>
      <c r="EU59" s="195">
        <f t="shared" si="138"/>
        <v>0</v>
      </c>
      <c r="EV59" s="195">
        <f t="shared" si="139"/>
        <v>0</v>
      </c>
      <c r="EW59" s="195" t="str">
        <f t="shared" si="140"/>
        <v/>
      </c>
      <c r="EX59" s="196" t="str">
        <f t="shared" si="141"/>
        <v/>
      </c>
      <c r="EY59" s="197" t="str">
        <f>IF('Marks Entry'!BE59="","",'Marks Entry'!BE59)</f>
        <v/>
      </c>
      <c r="EZ59" s="197" t="str">
        <f>IF('Marks Entry'!BF59="","",'Marks Entry'!BF59)</f>
        <v/>
      </c>
      <c r="FA59" s="197" t="str">
        <f>IF('Marks Entry'!BG59="","",'Marks Entry'!BG59)</f>
        <v/>
      </c>
      <c r="FB59" s="596" t="str">
        <f t="shared" si="142"/>
        <v/>
      </c>
      <c r="FC59" s="197" t="str">
        <f>IF('Marks Entry'!BH59="","",'Marks Entry'!BH59)</f>
        <v/>
      </c>
      <c r="FD59" s="197" t="str">
        <f>IF('Marks Entry'!BI59="","",'Marks Entry'!BI59)</f>
        <v/>
      </c>
      <c r="FE59" s="198" t="str">
        <f t="shared" si="143"/>
        <v/>
      </c>
      <c r="FF59" s="199" t="str">
        <f t="shared" si="144"/>
        <v/>
      </c>
      <c r="FG59" s="200" t="str">
        <f>IF(AND(E59=""),"",IF('Student DATA Entry'!L55="","",'Student DATA Entry'!L55))</f>
        <v/>
      </c>
      <c r="FH59" s="201" t="str">
        <f>IF(AND(E59=""),"",IF('Student DATA Entry'!M55="","",'Student DATA Entry'!M55))</f>
        <v/>
      </c>
      <c r="FI59" s="202" t="str">
        <f t="shared" si="145"/>
        <v/>
      </c>
      <c r="FJ59" s="189" t="str">
        <f t="shared" si="146"/>
        <v/>
      </c>
      <c r="FK59" s="189" t="str">
        <f t="shared" si="147"/>
        <v/>
      </c>
      <c r="FL59" s="203" t="str">
        <f t="shared" si="178"/>
        <v/>
      </c>
      <c r="FM59" s="189" t="str">
        <f t="shared" si="148"/>
        <v/>
      </c>
      <c r="FN59" s="204" t="str">
        <f t="shared" si="149"/>
        <v/>
      </c>
      <c r="FO59" s="203" t="str">
        <f t="shared" si="179"/>
        <v/>
      </c>
      <c r="FP59" s="205" t="str">
        <f t="shared" si="150"/>
        <v/>
      </c>
      <c r="FQ59" s="189" t="str">
        <f t="shared" si="180"/>
        <v/>
      </c>
      <c r="FR59" s="189" t="str">
        <f t="shared" si="181"/>
        <v/>
      </c>
      <c r="FS59" s="189" t="str">
        <f t="shared" si="182"/>
        <v/>
      </c>
      <c r="FT59" s="189" t="str">
        <f t="shared" si="183"/>
        <v/>
      </c>
      <c r="FU59" s="189" t="str">
        <f t="shared" si="151"/>
        <v/>
      </c>
      <c r="FV59" s="206" t="str">
        <f t="shared" si="184"/>
        <v/>
      </c>
      <c r="FW59" s="205" t="str">
        <f t="shared" si="152"/>
        <v/>
      </c>
      <c r="FX59" s="189" t="str">
        <f t="shared" si="185"/>
        <v/>
      </c>
      <c r="FY59" s="189" t="str">
        <f t="shared" si="186"/>
        <v/>
      </c>
      <c r="FZ59" s="189" t="str">
        <f t="shared" si="187"/>
        <v/>
      </c>
      <c r="GA59" s="189" t="str">
        <f t="shared" si="188"/>
        <v/>
      </c>
      <c r="GB59" s="189" t="str">
        <f t="shared" si="153"/>
        <v/>
      </c>
      <c r="GC59" s="206" t="str">
        <f t="shared" si="189"/>
        <v/>
      </c>
      <c r="GD59" s="205" t="str">
        <f t="shared" si="154"/>
        <v/>
      </c>
      <c r="GE59" s="189" t="str">
        <f t="shared" si="190"/>
        <v/>
      </c>
      <c r="GF59" s="189" t="str">
        <f t="shared" si="191"/>
        <v/>
      </c>
      <c r="GG59" s="189" t="str">
        <f t="shared" si="192"/>
        <v/>
      </c>
      <c r="GH59" s="189" t="str">
        <f t="shared" si="193"/>
        <v/>
      </c>
      <c r="GI59" s="189" t="str">
        <f t="shared" si="155"/>
        <v/>
      </c>
      <c r="GJ59" s="206" t="str">
        <f t="shared" si="194"/>
        <v/>
      </c>
      <c r="GK59" s="205" t="str">
        <f t="shared" si="156"/>
        <v/>
      </c>
      <c r="GL59" s="189" t="str">
        <f t="shared" si="195"/>
        <v/>
      </c>
      <c r="GM59" s="189" t="str">
        <f t="shared" si="196"/>
        <v/>
      </c>
      <c r="GN59" s="189" t="str">
        <f t="shared" si="197"/>
        <v/>
      </c>
      <c r="GO59" s="189" t="str">
        <f t="shared" si="198"/>
        <v/>
      </c>
      <c r="GP59" s="189" t="str">
        <f t="shared" si="157"/>
        <v/>
      </c>
      <c r="GQ59" s="206" t="str">
        <f t="shared" si="199"/>
        <v/>
      </c>
      <c r="GR59" s="189" t="str">
        <f t="shared" si="158"/>
        <v/>
      </c>
      <c r="GS59" s="189" t="str">
        <f t="shared" si="159"/>
        <v/>
      </c>
      <c r="GT59" s="207" t="str">
        <f t="shared" si="177"/>
        <v xml:space="preserve">    </v>
      </c>
      <c r="GU59" s="207" t="str">
        <f t="shared" si="160"/>
        <v xml:space="preserve">    </v>
      </c>
      <c r="GV59" s="207" t="str">
        <f t="shared" si="161"/>
        <v xml:space="preserve">    </v>
      </c>
      <c r="GW59" s="207" t="str">
        <f t="shared" si="162"/>
        <v xml:space="preserve">       </v>
      </c>
      <c r="GX59" s="598" t="str">
        <f t="shared" si="163"/>
        <v xml:space="preserve">     </v>
      </c>
      <c r="GY59" s="208" t="str">
        <f t="shared" si="200"/>
        <v/>
      </c>
      <c r="GZ59" s="606" t="str">
        <f>IF(AND(Q59="",AE59="",AZ59="",BW59="",CT59=""),"",IF(AND('Master Sheet'!$D$19="YES",'Marks Entry'!$BA$1=1),SUM(Q59,AE59,AZ59,BW59,DT59),SUM(Q59,AE59,AZ59,BW59,CT59)))</f>
        <v/>
      </c>
      <c r="HA59" s="209" t="str">
        <f>IF(GZ59="","",IF(AND('Master Sheet'!$D$19="YES",'Marks Entry'!$BA$1=1),GZ59/((900)-DC59)*100,GZ59/((1000)-DC59)*100))</f>
        <v/>
      </c>
      <c r="HB59" s="611" t="str">
        <f t="shared" si="165"/>
        <v/>
      </c>
      <c r="HC59" s="609" t="str">
        <f t="shared" si="166"/>
        <v/>
      </c>
      <c r="HD59" s="610" t="str">
        <f t="shared" si="167"/>
        <v/>
      </c>
      <c r="HE59" s="210" t="str">
        <f>IFERROR(IF(OR(GY59="SUPPLEMENTARY",GY59="RE-EXAM"),'Supp. Result Entry'!AS58,""),"")</f>
        <v/>
      </c>
      <c r="HF59" s="613" t="str">
        <f t="shared" si="168"/>
        <v/>
      </c>
      <c r="HG59" s="598" t="str">
        <f t="shared" si="169"/>
        <v/>
      </c>
      <c r="HH59" s="598" t="str">
        <f>IF(AND(HE59="",HF59="",HG59=""),"",IF(OR(GY59="SUPPLEMENTARY",GY59="RE-EXAM"),'Supp. Result Entry'!AS58,GY59))</f>
        <v/>
      </c>
      <c r="HI59" s="180"/>
      <c r="HY59" s="212" t="str">
        <f>IF('Supp. Result Entry'!U58="","",'Supp. Result Entry'!$U$6)</f>
        <v/>
      </c>
      <c r="HZ59" s="213" t="str">
        <f>IF('Supp. Result Entry'!X58="","",'Supp. Result Entry'!$X$6)</f>
        <v/>
      </c>
      <c r="IA59" s="213" t="str">
        <f>IF('Supp. Result Entry'!AA58="","",'Supp. Result Entry'!$AA$6)</f>
        <v/>
      </c>
      <c r="IB59" s="213" t="str">
        <f>IF('Supp. Result Entry'!AD58="","",'Supp. Result Entry'!$AD$6)</f>
        <v/>
      </c>
      <c r="IC59" s="213" t="str">
        <f>IF('Supp. Result Entry'!AG58="","",'Supp. Result Entry'!$AG$6)</f>
        <v/>
      </c>
      <c r="ID59" s="213" t="str">
        <f>IF('Supp. Result Entry'!AJ58="","",'Supp. Result Entry'!$AJ$6)</f>
        <v/>
      </c>
      <c r="IE59" s="213" t="str">
        <f>IF('Supp. Result Entry'!V58="","",'Supp. Result Entry'!V58)</f>
        <v/>
      </c>
      <c r="IF59" s="213" t="str">
        <f>IF('Supp. Result Entry'!Y58="","",'Supp. Result Entry'!Y58)</f>
        <v/>
      </c>
      <c r="IG59" s="213" t="str">
        <f>IF('Supp. Result Entry'!AB58="","",'Supp. Result Entry'!AB58)</f>
        <v/>
      </c>
      <c r="IH59" s="213" t="str">
        <f>IF('Supp. Result Entry'!AE58="","",'Supp. Result Entry'!AE58)</f>
        <v/>
      </c>
      <c r="II59" s="213" t="str">
        <f>IF('Supp. Result Entry'!AH58="","",'Supp. Result Entry'!AH58)</f>
        <v/>
      </c>
      <c r="IJ59" s="213" t="str">
        <f>IF('Supp. Result Entry'!AK58="","",'Supp. Result Entry'!AK58)</f>
        <v/>
      </c>
      <c r="IK59" s="213" t="str">
        <f>IF('Supp. Result Entry'!W58="","",'Supp. Result Entry'!W58)</f>
        <v/>
      </c>
      <c r="IL59" s="213" t="str">
        <f>IF('Supp. Result Entry'!Z58="","",'Supp. Result Entry'!Z58)</f>
        <v/>
      </c>
      <c r="IM59" s="213" t="str">
        <f>IF('Supp. Result Entry'!AC58="","",'Supp. Result Entry'!AC58)</f>
        <v/>
      </c>
      <c r="IN59" s="213" t="str">
        <f>IF('Supp. Result Entry'!AF58="","",'Supp. Result Entry'!AF58)</f>
        <v/>
      </c>
      <c r="IO59" s="213" t="str">
        <f>IF('Supp. Result Entry'!AI58="","",'Supp. Result Entry'!AI58)</f>
        <v/>
      </c>
      <c r="IP59" s="213" t="str">
        <f>IF('Supp. Result Entry'!AL58="","",'Supp. Result Entry'!AL58)</f>
        <v/>
      </c>
      <c r="IQ59" s="213">
        <f>COUNTIF('Supp. Result Entry'!K58:Q58,"S")</f>
        <v>0</v>
      </c>
      <c r="IR59" s="213">
        <f t="shared" si="170"/>
        <v>0</v>
      </c>
      <c r="IS59" s="213">
        <f t="shared" si="171"/>
        <v>0</v>
      </c>
      <c r="IT59" s="213" t="str">
        <f t="shared" si="41"/>
        <v/>
      </c>
      <c r="IU59" s="213" t="str">
        <f t="shared" si="42"/>
        <v/>
      </c>
      <c r="IV59" s="213" t="str">
        <f t="shared" si="43"/>
        <v/>
      </c>
      <c r="IW59" s="213" t="str">
        <f t="shared" si="44"/>
        <v/>
      </c>
      <c r="IX59" s="213" t="str">
        <f t="shared" si="45"/>
        <v/>
      </c>
      <c r="IY59" s="213" t="str">
        <f t="shared" si="172"/>
        <v/>
      </c>
      <c r="IZ59" s="213" t="str">
        <f t="shared" si="173"/>
        <v/>
      </c>
      <c r="JA59" s="213" t="str">
        <f t="shared" si="46"/>
        <v/>
      </c>
      <c r="JB59" s="211" t="str">
        <f t="shared" si="174"/>
        <v/>
      </c>
    </row>
    <row r="60" spans="1:262" s="211" customFormat="1" ht="21" customHeight="1">
      <c r="A60" s="184">
        <v>53</v>
      </c>
      <c r="B60" s="185" t="str">
        <f>IF('Marks Entry'!B60="","",'Marks Entry'!B60)</f>
        <v/>
      </c>
      <c r="C60" s="186" t="str">
        <f>IF('Marks Entry'!D60="","",'Marks Entry'!D60)</f>
        <v/>
      </c>
      <c r="D60" s="187" t="str">
        <f>IF('Marks Entry'!E60="","",'Marks Entry'!E60)</f>
        <v/>
      </c>
      <c r="E60" s="188" t="str">
        <f>IF('Marks Entry'!F60="","",'Marks Entry'!F60)</f>
        <v/>
      </c>
      <c r="F60" s="188" t="str">
        <f>IF('Marks Entry'!G60="","",'Marks Entry'!G60)</f>
        <v/>
      </c>
      <c r="G60" s="188" t="str">
        <f>IF('Marks Entry'!H60="","",'Marks Entry'!H60)</f>
        <v/>
      </c>
      <c r="H60" s="189" t="str">
        <f>IF('Marks Entry'!I60="","",'Marks Entry'!I60)</f>
        <v/>
      </c>
      <c r="I60" s="190" t="str">
        <f>IF('Marks Entry'!J60="","",'Marks Entry'!J60)</f>
        <v/>
      </c>
      <c r="J60" s="545" t="str">
        <f>IF('Marks Entry'!K60="","",'Marks Entry'!K60)</f>
        <v/>
      </c>
      <c r="K60" s="545" t="str">
        <f>IF('Marks Entry'!L60="","",'Marks Entry'!L60)</f>
        <v/>
      </c>
      <c r="L60" s="545" t="str">
        <f>IF('Marks Entry'!M60="","",'Marks Entry'!M60)</f>
        <v/>
      </c>
      <c r="M60" s="546" t="str">
        <f t="shared" si="47"/>
        <v/>
      </c>
      <c r="N60" s="545" t="str">
        <f>IF('Marks Entry'!N60="","",'Marks Entry'!N60)</f>
        <v/>
      </c>
      <c r="O60" s="546" t="str">
        <f t="shared" si="48"/>
        <v/>
      </c>
      <c r="P60" s="545" t="str">
        <f>IF('Marks Entry'!O60="","",'Marks Entry'!O60)</f>
        <v/>
      </c>
      <c r="Q60" s="547" t="str">
        <f t="shared" si="49"/>
        <v/>
      </c>
      <c r="R60" s="153">
        <f t="shared" si="50"/>
        <v>0</v>
      </c>
      <c r="S60" s="153">
        <f t="shared" si="51"/>
        <v>0</v>
      </c>
      <c r="T60" s="154" t="str">
        <f t="shared" si="52"/>
        <v/>
      </c>
      <c r="U60" s="153" t="str">
        <f t="shared" si="53"/>
        <v/>
      </c>
      <c r="V60" s="153" t="str">
        <f t="shared" si="54"/>
        <v/>
      </c>
      <c r="W60" s="153" t="str">
        <f t="shared" si="55"/>
        <v/>
      </c>
      <c r="X60" s="545" t="str">
        <f>IF('Marks Entry'!P60="","",'Marks Entry'!P60)</f>
        <v/>
      </c>
      <c r="Y60" s="545" t="str">
        <f>IF('Marks Entry'!Q60="","",'Marks Entry'!Q60)</f>
        <v/>
      </c>
      <c r="Z60" s="545" t="str">
        <f>IF('Marks Entry'!R60="","",'Marks Entry'!R60)</f>
        <v/>
      </c>
      <c r="AA60" s="546" t="str">
        <f t="shared" si="56"/>
        <v/>
      </c>
      <c r="AB60" s="545" t="str">
        <f>IF('Marks Entry'!S60="","",'Marks Entry'!S60)</f>
        <v/>
      </c>
      <c r="AC60" s="546" t="str">
        <f t="shared" si="57"/>
        <v/>
      </c>
      <c r="AD60" s="545" t="str">
        <f>IF('Marks Entry'!T60="","",'Marks Entry'!T60)</f>
        <v/>
      </c>
      <c r="AE60" s="547" t="str">
        <f t="shared" si="58"/>
        <v/>
      </c>
      <c r="AF60" s="153">
        <f t="shared" si="59"/>
        <v>0</v>
      </c>
      <c r="AG60" s="153">
        <f t="shared" si="60"/>
        <v>0</v>
      </c>
      <c r="AH60" s="154" t="str">
        <f t="shared" si="61"/>
        <v/>
      </c>
      <c r="AI60" s="153" t="str">
        <f t="shared" si="62"/>
        <v/>
      </c>
      <c r="AJ60" s="153" t="str">
        <f t="shared" si="63"/>
        <v/>
      </c>
      <c r="AK60" s="153" t="str">
        <f t="shared" si="64"/>
        <v/>
      </c>
      <c r="AL60" s="573" t="str">
        <f>IF('Marks Entry'!U60="","",'Marks Entry'!U60)</f>
        <v/>
      </c>
      <c r="AM60" s="573" t="str">
        <f>IF('Marks Entry'!V60="","",'Marks Entry'!V60)</f>
        <v/>
      </c>
      <c r="AN60" s="573" t="str">
        <f>IF('Marks Entry'!W60="","",'Marks Entry'!W60)</f>
        <v/>
      </c>
      <c r="AO60" s="573" t="str">
        <f>IF('Marks Entry'!X60="","",'Marks Entry'!X60)</f>
        <v/>
      </c>
      <c r="AP60" s="572" t="str">
        <f t="shared" si="65"/>
        <v/>
      </c>
      <c r="AQ60" s="573" t="str">
        <f>IF('Marks Entry'!Y60="","",'Marks Entry'!Y60)</f>
        <v/>
      </c>
      <c r="AR60" s="573" t="str">
        <f>IF('Marks Entry'!Z60="","",'Marks Entry'!Z60)</f>
        <v/>
      </c>
      <c r="AS60" s="572" t="str">
        <f t="shared" si="66"/>
        <v/>
      </c>
      <c r="AT60" s="572" t="str">
        <f t="shared" si="67"/>
        <v/>
      </c>
      <c r="AU60" s="573" t="str">
        <f>IF('Marks Entry'!AA60="","",'Marks Entry'!AA60)</f>
        <v/>
      </c>
      <c r="AV60" s="573" t="str">
        <f>IF('Marks Entry'!AB60="","",'Marks Entry'!AB60)</f>
        <v/>
      </c>
      <c r="AW60" s="572" t="str">
        <f t="shared" si="68"/>
        <v/>
      </c>
      <c r="AX60" s="157" t="str">
        <f t="shared" si="69"/>
        <v/>
      </c>
      <c r="AY60" s="157" t="str">
        <f t="shared" si="70"/>
        <v/>
      </c>
      <c r="AZ60" s="192" t="str">
        <f t="shared" si="71"/>
        <v/>
      </c>
      <c r="BA60" s="153">
        <f t="shared" si="72"/>
        <v>0</v>
      </c>
      <c r="BB60" s="154">
        <f t="shared" si="73"/>
        <v>0</v>
      </c>
      <c r="BC60" s="154" t="str">
        <f t="shared" si="74"/>
        <v/>
      </c>
      <c r="BD60" s="154" t="str">
        <f t="shared" si="75"/>
        <v/>
      </c>
      <c r="BE60" s="154" t="str">
        <f t="shared" si="76"/>
        <v/>
      </c>
      <c r="BF60" s="153" t="str">
        <f t="shared" si="77"/>
        <v/>
      </c>
      <c r="BG60" s="154" t="str">
        <f t="shared" si="175"/>
        <v/>
      </c>
      <c r="BH60" s="153" t="str">
        <f t="shared" si="78"/>
        <v/>
      </c>
      <c r="BI60" s="580" t="str">
        <f>IF('Marks Entry'!AC60="","",'Marks Entry'!AC60)</f>
        <v/>
      </c>
      <c r="BJ60" s="580" t="str">
        <f>IF('Marks Entry'!AD60="","",'Marks Entry'!AD60)</f>
        <v/>
      </c>
      <c r="BK60" s="580" t="str">
        <f>IF('Marks Entry'!AE60="","",'Marks Entry'!AE60)</f>
        <v/>
      </c>
      <c r="BL60" s="580" t="str">
        <f>IF('Marks Entry'!AF60="","",'Marks Entry'!AF60)</f>
        <v/>
      </c>
      <c r="BM60" s="581" t="str">
        <f t="shared" si="79"/>
        <v/>
      </c>
      <c r="BN60" s="580" t="str">
        <f>IF('Marks Entry'!AG60="","",'Marks Entry'!AG60)</f>
        <v/>
      </c>
      <c r="BO60" s="580" t="str">
        <f>IF('Marks Entry'!AH60="","",'Marks Entry'!AH60)</f>
        <v/>
      </c>
      <c r="BP60" s="581" t="str">
        <f t="shared" si="80"/>
        <v/>
      </c>
      <c r="BQ60" s="581" t="str">
        <f t="shared" si="81"/>
        <v/>
      </c>
      <c r="BR60" s="580" t="str">
        <f>IF('Marks Entry'!AI60="","",'Marks Entry'!AI60)</f>
        <v/>
      </c>
      <c r="BS60" s="580" t="str">
        <f>IF('Marks Entry'!AJ60="","",'Marks Entry'!AJ60)</f>
        <v/>
      </c>
      <c r="BT60" s="581" t="str">
        <f t="shared" si="82"/>
        <v/>
      </c>
      <c r="BU60" s="157" t="str">
        <f t="shared" si="83"/>
        <v/>
      </c>
      <c r="BV60" s="157" t="str">
        <f t="shared" si="84"/>
        <v/>
      </c>
      <c r="BW60" s="192" t="str">
        <f t="shared" si="85"/>
        <v/>
      </c>
      <c r="BX60" s="153">
        <f t="shared" si="86"/>
        <v>0</v>
      </c>
      <c r="BY60" s="154">
        <f t="shared" si="87"/>
        <v>0</v>
      </c>
      <c r="BZ60" s="154" t="str">
        <f t="shared" si="88"/>
        <v/>
      </c>
      <c r="CA60" s="154" t="str">
        <f t="shared" si="89"/>
        <v/>
      </c>
      <c r="CB60" s="154" t="str">
        <f t="shared" si="90"/>
        <v/>
      </c>
      <c r="CC60" s="153" t="str">
        <f t="shared" si="91"/>
        <v/>
      </c>
      <c r="CD60" s="154" t="str">
        <f t="shared" si="92"/>
        <v/>
      </c>
      <c r="CE60" s="153" t="str">
        <f t="shared" si="93"/>
        <v/>
      </c>
      <c r="CF60" s="580" t="str">
        <f>IF('Marks Entry'!AK60="","",'Marks Entry'!AK60)</f>
        <v/>
      </c>
      <c r="CG60" s="580" t="str">
        <f>IF('Marks Entry'!AL60="","",'Marks Entry'!AL60)</f>
        <v/>
      </c>
      <c r="CH60" s="580" t="str">
        <f>IF('Marks Entry'!AM60="","",'Marks Entry'!AM60)</f>
        <v/>
      </c>
      <c r="CI60" s="580" t="str">
        <f>IF('Marks Entry'!AN60="","",'Marks Entry'!AN60)</f>
        <v/>
      </c>
      <c r="CJ60" s="581" t="str">
        <f t="shared" si="94"/>
        <v/>
      </c>
      <c r="CK60" s="580" t="str">
        <f>IF('Marks Entry'!AO60="","",'Marks Entry'!AO60)</f>
        <v/>
      </c>
      <c r="CL60" s="580" t="str">
        <f>IF('Marks Entry'!AP60="","",'Marks Entry'!AP60)</f>
        <v/>
      </c>
      <c r="CM60" s="581" t="str">
        <f t="shared" si="95"/>
        <v/>
      </c>
      <c r="CN60" s="581" t="str">
        <f t="shared" si="96"/>
        <v/>
      </c>
      <c r="CO60" s="580" t="str">
        <f>IF('Marks Entry'!AQ60="","",'Marks Entry'!AQ60)</f>
        <v/>
      </c>
      <c r="CP60" s="580" t="str">
        <f>IF('Marks Entry'!AR60="","",'Marks Entry'!AR60)</f>
        <v/>
      </c>
      <c r="CQ60" s="581" t="str">
        <f t="shared" si="97"/>
        <v/>
      </c>
      <c r="CR60" s="157" t="str">
        <f t="shared" si="98"/>
        <v/>
      </c>
      <c r="CS60" s="157" t="str">
        <f t="shared" si="99"/>
        <v/>
      </c>
      <c r="CT60" s="192" t="str">
        <f t="shared" si="100"/>
        <v/>
      </c>
      <c r="CU60" s="153">
        <f t="shared" si="101"/>
        <v>0</v>
      </c>
      <c r="CV60" s="154">
        <f t="shared" si="102"/>
        <v>0</v>
      </c>
      <c r="CW60" s="154" t="str">
        <f t="shared" si="103"/>
        <v/>
      </c>
      <c r="CX60" s="154" t="str">
        <f t="shared" si="104"/>
        <v/>
      </c>
      <c r="CY60" s="154" t="str">
        <f t="shared" si="176"/>
        <v/>
      </c>
      <c r="CZ60" s="153" t="str">
        <f t="shared" si="105"/>
        <v/>
      </c>
      <c r="DA60" s="154" t="str">
        <f t="shared" si="106"/>
        <v/>
      </c>
      <c r="DB60" s="153" t="str">
        <f t="shared" si="107"/>
        <v/>
      </c>
      <c r="DC60" s="154">
        <f t="shared" si="108"/>
        <v>0</v>
      </c>
      <c r="DD60" s="826" t="str">
        <f>IF('Marks Entry'!AS60="","",IF(OR('Master Sheet'!$D$19="YES",'Marks Entry'!$BA$1=1),'Marks Entry'!AS60,""))</f>
        <v/>
      </c>
      <c r="DE60" s="826" t="str">
        <f>IF('Marks Entry'!AT60="","",IF(OR('Master Sheet'!$D$19="YES",'Marks Entry'!$BA$1=1),'Marks Entry'!AT60,""))</f>
        <v/>
      </c>
      <c r="DF60" s="826" t="str">
        <f>IF('Marks Entry'!AU60="","",IF(OR('Master Sheet'!$D$19="YES",'Marks Entry'!$BA$1=1),'Marks Entry'!AU60,""))</f>
        <v/>
      </c>
      <c r="DG60" s="826" t="str">
        <f>IF('Marks Entry'!AV60="","",IF(OR('Master Sheet'!$D$19="YES",'Marks Entry'!$BA$1=1),'Marks Entry'!AV60,""))</f>
        <v/>
      </c>
      <c r="DH60" s="827" t="str">
        <f t="shared" si="109"/>
        <v/>
      </c>
      <c r="DI60" s="826" t="str">
        <f>IF('Marks Entry'!AW60="","",IF(OR('Master Sheet'!$D$19="YES",'Marks Entry'!$BA$1=1),'Marks Entry'!AW60,""))</f>
        <v/>
      </c>
      <c r="DJ60" s="826" t="str">
        <f>IF('Marks Entry'!AX60="","",IF(OR('Master Sheet'!$D$19="YES",'Marks Entry'!$BA$1=1),'Marks Entry'!AX60,""))</f>
        <v/>
      </c>
      <c r="DK60" s="827" t="str">
        <f t="shared" si="110"/>
        <v/>
      </c>
      <c r="DL60" s="827" t="str">
        <f t="shared" si="111"/>
        <v/>
      </c>
      <c r="DM60" s="826" t="str">
        <f>IF('Marks Entry'!AY60="","",IF(OR('Master Sheet'!$D$19="YES",'Marks Entry'!$BA$1=1),'Marks Entry'!AY60,""))</f>
        <v/>
      </c>
      <c r="DN60" s="826" t="str">
        <f>IF('Marks Entry'!AZ60="","",IF(OR('Master Sheet'!$D$19="YES",'Marks Entry'!$BA$1=1),'Marks Entry'!AZ60,""))</f>
        <v/>
      </c>
      <c r="DO60" s="826" t="str">
        <f>IF('Marks Entry'!BA60="","",IF(OR('Master Sheet'!$D$19="YES",'Marks Entry'!$BA$1=1),'Marks Entry'!BA60,""))</f>
        <v/>
      </c>
      <c r="DP60" s="827" t="str">
        <f t="shared" si="112"/>
        <v/>
      </c>
      <c r="DQ60" s="157" t="str">
        <f t="shared" si="113"/>
        <v/>
      </c>
      <c r="DR60" s="157" t="str">
        <f t="shared" si="114"/>
        <v/>
      </c>
      <c r="DS60" s="157" t="str">
        <f t="shared" si="115"/>
        <v/>
      </c>
      <c r="DT60" s="192" t="str">
        <f t="shared" si="116"/>
        <v/>
      </c>
      <c r="DU60" s="153">
        <f t="shared" si="117"/>
        <v>0</v>
      </c>
      <c r="DV60" s="154" t="e">
        <f t="shared" si="118"/>
        <v>#VALUE!</v>
      </c>
      <c r="DW60" s="154" t="str">
        <f t="shared" si="119"/>
        <v/>
      </c>
      <c r="DX60" s="154" t="str">
        <f>IF(OR($B60="NSO",$B60=0,DS60=""),"",IF(AND(DJ60="",DO60=""),"",IF('Master Sheet'!$D$19="YES",$DO$6-COUNTIF(DO60,"ML")*DO$6,DS$6-(COUNTIF(DJ60,"ML")*DJ$6)-(COUNTIF(DO60,"ML")*DO$6))))</f>
        <v/>
      </c>
      <c r="DY60" s="154" t="str">
        <f>IF(OR($B60="NSO",$B60=0),"",IF(AND(DH60="",DI60="",DM60=""),"",IF(AND('Master Sheet'!$D$19="YES",'Marks Entry'!$BA$1=1),100,IF(AND(DJ60="",DO60=""),SUM(($DQ$7+$DR$7)-(DU60+DV60)),SUM(($DQ$6+$DR$6)-(DU60+DV60))))))</f>
        <v/>
      </c>
      <c r="DZ60" s="153" t="str">
        <f t="shared" si="120"/>
        <v/>
      </c>
      <c r="EA60" s="154" t="str">
        <f t="shared" si="121"/>
        <v/>
      </c>
      <c r="EB60" s="153" t="str">
        <f t="shared" si="122"/>
        <v/>
      </c>
      <c r="EC60" s="584" t="str">
        <f>IF('Marks Entry'!BB60="","",'Marks Entry'!BB60)</f>
        <v/>
      </c>
      <c r="ED60" s="584" t="str">
        <f>IF('Marks Entry'!BC60="","",'Marks Entry'!BC60)</f>
        <v/>
      </c>
      <c r="EE60" s="584" t="str">
        <f>IF('Marks Entry'!BD60="","",'Marks Entry'!BD60)</f>
        <v/>
      </c>
      <c r="EF60" s="590" t="str">
        <f t="shared" si="123"/>
        <v/>
      </c>
      <c r="EG60" s="595">
        <f t="shared" si="124"/>
        <v>0</v>
      </c>
      <c r="EH60" s="595">
        <f t="shared" si="125"/>
        <v>0</v>
      </c>
      <c r="EI60" s="193" t="str">
        <f t="shared" si="126"/>
        <v/>
      </c>
      <c r="EJ60" s="595" t="str">
        <f t="shared" si="127"/>
        <v/>
      </c>
      <c r="EK60" s="595" t="str">
        <f t="shared" si="128"/>
        <v/>
      </c>
      <c r="EL60" s="194" t="str">
        <f t="shared" si="129"/>
        <v/>
      </c>
      <c r="EM60" s="194" t="str">
        <f t="shared" si="130"/>
        <v/>
      </c>
      <c r="EN60" s="194" t="str">
        <f t="shared" si="131"/>
        <v/>
      </c>
      <c r="EO60" s="194" t="str">
        <f t="shared" si="132"/>
        <v/>
      </c>
      <c r="EP60" s="194" t="str">
        <f t="shared" si="133"/>
        <v/>
      </c>
      <c r="EQ60" s="194" t="str">
        <f t="shared" si="134"/>
        <v/>
      </c>
      <c r="ER60" s="195">
        <f t="shared" si="135"/>
        <v>0</v>
      </c>
      <c r="ES60" s="195">
        <f t="shared" si="136"/>
        <v>0</v>
      </c>
      <c r="ET60" s="195">
        <f t="shared" si="137"/>
        <v>0</v>
      </c>
      <c r="EU60" s="195">
        <f t="shared" si="138"/>
        <v>0</v>
      </c>
      <c r="EV60" s="195">
        <f t="shared" si="139"/>
        <v>0</v>
      </c>
      <c r="EW60" s="195" t="str">
        <f t="shared" si="140"/>
        <v/>
      </c>
      <c r="EX60" s="196" t="str">
        <f t="shared" si="141"/>
        <v/>
      </c>
      <c r="EY60" s="197" t="str">
        <f>IF('Marks Entry'!BE60="","",'Marks Entry'!BE60)</f>
        <v/>
      </c>
      <c r="EZ60" s="197" t="str">
        <f>IF('Marks Entry'!BF60="","",'Marks Entry'!BF60)</f>
        <v/>
      </c>
      <c r="FA60" s="197" t="str">
        <f>IF('Marks Entry'!BG60="","",'Marks Entry'!BG60)</f>
        <v/>
      </c>
      <c r="FB60" s="596" t="str">
        <f t="shared" si="142"/>
        <v/>
      </c>
      <c r="FC60" s="197" t="str">
        <f>IF('Marks Entry'!BH60="","",'Marks Entry'!BH60)</f>
        <v/>
      </c>
      <c r="FD60" s="197" t="str">
        <f>IF('Marks Entry'!BI60="","",'Marks Entry'!BI60)</f>
        <v/>
      </c>
      <c r="FE60" s="198" t="str">
        <f t="shared" si="143"/>
        <v/>
      </c>
      <c r="FF60" s="199" t="str">
        <f t="shared" si="144"/>
        <v/>
      </c>
      <c r="FG60" s="200" t="str">
        <f>IF(AND(E60=""),"",IF('Student DATA Entry'!L56="","",'Student DATA Entry'!L56))</f>
        <v/>
      </c>
      <c r="FH60" s="201" t="str">
        <f>IF(AND(E60=""),"",IF('Student DATA Entry'!M56="","",'Student DATA Entry'!M56))</f>
        <v/>
      </c>
      <c r="FI60" s="202" t="str">
        <f t="shared" si="145"/>
        <v/>
      </c>
      <c r="FJ60" s="189" t="str">
        <f t="shared" si="146"/>
        <v/>
      </c>
      <c r="FK60" s="189" t="str">
        <f t="shared" si="147"/>
        <v/>
      </c>
      <c r="FL60" s="203" t="str">
        <f t="shared" si="178"/>
        <v/>
      </c>
      <c r="FM60" s="189" t="str">
        <f t="shared" si="148"/>
        <v/>
      </c>
      <c r="FN60" s="204" t="str">
        <f t="shared" si="149"/>
        <v/>
      </c>
      <c r="FO60" s="203" t="str">
        <f t="shared" si="179"/>
        <v/>
      </c>
      <c r="FP60" s="205" t="str">
        <f t="shared" si="150"/>
        <v/>
      </c>
      <c r="FQ60" s="189" t="str">
        <f t="shared" si="180"/>
        <v/>
      </c>
      <c r="FR60" s="189" t="str">
        <f t="shared" si="181"/>
        <v/>
      </c>
      <c r="FS60" s="189" t="str">
        <f t="shared" si="182"/>
        <v/>
      </c>
      <c r="FT60" s="189" t="str">
        <f t="shared" si="183"/>
        <v/>
      </c>
      <c r="FU60" s="189" t="str">
        <f t="shared" si="151"/>
        <v/>
      </c>
      <c r="FV60" s="206" t="str">
        <f t="shared" si="184"/>
        <v/>
      </c>
      <c r="FW60" s="205" t="str">
        <f t="shared" si="152"/>
        <v/>
      </c>
      <c r="FX60" s="189" t="str">
        <f t="shared" si="185"/>
        <v/>
      </c>
      <c r="FY60" s="189" t="str">
        <f t="shared" si="186"/>
        <v/>
      </c>
      <c r="FZ60" s="189" t="str">
        <f t="shared" si="187"/>
        <v/>
      </c>
      <c r="GA60" s="189" t="str">
        <f t="shared" si="188"/>
        <v/>
      </c>
      <c r="GB60" s="189" t="str">
        <f t="shared" si="153"/>
        <v/>
      </c>
      <c r="GC60" s="206" t="str">
        <f t="shared" si="189"/>
        <v/>
      </c>
      <c r="GD60" s="205" t="str">
        <f t="shared" si="154"/>
        <v/>
      </c>
      <c r="GE60" s="189" t="str">
        <f t="shared" si="190"/>
        <v/>
      </c>
      <c r="GF60" s="189" t="str">
        <f t="shared" si="191"/>
        <v/>
      </c>
      <c r="GG60" s="189" t="str">
        <f t="shared" si="192"/>
        <v/>
      </c>
      <c r="GH60" s="189" t="str">
        <f t="shared" si="193"/>
        <v/>
      </c>
      <c r="GI60" s="189" t="str">
        <f t="shared" si="155"/>
        <v/>
      </c>
      <c r="GJ60" s="206" t="str">
        <f t="shared" si="194"/>
        <v/>
      </c>
      <c r="GK60" s="205" t="str">
        <f t="shared" si="156"/>
        <v/>
      </c>
      <c r="GL60" s="189" t="str">
        <f t="shared" si="195"/>
        <v/>
      </c>
      <c r="GM60" s="189" t="str">
        <f t="shared" si="196"/>
        <v/>
      </c>
      <c r="GN60" s="189" t="str">
        <f t="shared" si="197"/>
        <v/>
      </c>
      <c r="GO60" s="189" t="str">
        <f t="shared" si="198"/>
        <v/>
      </c>
      <c r="GP60" s="189" t="str">
        <f t="shared" si="157"/>
        <v/>
      </c>
      <c r="GQ60" s="206" t="str">
        <f t="shared" si="199"/>
        <v/>
      </c>
      <c r="GR60" s="189" t="str">
        <f t="shared" si="158"/>
        <v/>
      </c>
      <c r="GS60" s="189" t="str">
        <f t="shared" si="159"/>
        <v/>
      </c>
      <c r="GT60" s="207" t="str">
        <f t="shared" si="177"/>
        <v xml:space="preserve">    </v>
      </c>
      <c r="GU60" s="207" t="str">
        <f t="shared" si="160"/>
        <v xml:space="preserve">    </v>
      </c>
      <c r="GV60" s="207" t="str">
        <f t="shared" si="161"/>
        <v xml:space="preserve">    </v>
      </c>
      <c r="GW60" s="207" t="str">
        <f t="shared" si="162"/>
        <v xml:space="preserve">       </v>
      </c>
      <c r="GX60" s="598" t="str">
        <f t="shared" si="163"/>
        <v xml:space="preserve">     </v>
      </c>
      <c r="GY60" s="208" t="str">
        <f t="shared" si="200"/>
        <v/>
      </c>
      <c r="GZ60" s="606" t="str">
        <f>IF(AND(Q60="",AE60="",AZ60="",BW60="",CT60=""),"",IF(AND('Master Sheet'!$D$19="YES",'Marks Entry'!$BA$1=1),SUM(Q60,AE60,AZ60,BW60,DT60),SUM(Q60,AE60,AZ60,BW60,CT60)))</f>
        <v/>
      </c>
      <c r="HA60" s="209" t="str">
        <f>IF(GZ60="","",IF(AND('Master Sheet'!$D$19="YES",'Marks Entry'!$BA$1=1),GZ60/((900)-DC60)*100,GZ60/((1000)-DC60)*100))</f>
        <v/>
      </c>
      <c r="HB60" s="611" t="str">
        <f t="shared" si="165"/>
        <v/>
      </c>
      <c r="HC60" s="609" t="str">
        <f t="shared" si="166"/>
        <v/>
      </c>
      <c r="HD60" s="610" t="str">
        <f t="shared" si="167"/>
        <v/>
      </c>
      <c r="HE60" s="210" t="str">
        <f>IFERROR(IF(OR(GY60="SUPPLEMENTARY",GY60="RE-EXAM"),'Supp. Result Entry'!AS59,""),"")</f>
        <v/>
      </c>
      <c r="HF60" s="613" t="str">
        <f t="shared" si="168"/>
        <v/>
      </c>
      <c r="HG60" s="598" t="str">
        <f t="shared" si="169"/>
        <v/>
      </c>
      <c r="HH60" s="598" t="str">
        <f>IF(AND(HE60="",HF60="",HG60=""),"",IF(OR(GY60="SUPPLEMENTARY",GY60="RE-EXAM"),'Supp. Result Entry'!AS59,GY60))</f>
        <v/>
      </c>
      <c r="HI60" s="180"/>
      <c r="HY60" s="212" t="str">
        <f>IF('Supp. Result Entry'!U59="","",'Supp. Result Entry'!$U$6)</f>
        <v/>
      </c>
      <c r="HZ60" s="213" t="str">
        <f>IF('Supp. Result Entry'!X59="","",'Supp. Result Entry'!$X$6)</f>
        <v/>
      </c>
      <c r="IA60" s="213" t="str">
        <f>IF('Supp. Result Entry'!AA59="","",'Supp. Result Entry'!$AA$6)</f>
        <v/>
      </c>
      <c r="IB60" s="213" t="str">
        <f>IF('Supp. Result Entry'!AD59="","",'Supp. Result Entry'!$AD$6)</f>
        <v/>
      </c>
      <c r="IC60" s="213" t="str">
        <f>IF('Supp. Result Entry'!AG59="","",'Supp. Result Entry'!$AG$6)</f>
        <v/>
      </c>
      <c r="ID60" s="213" t="str">
        <f>IF('Supp. Result Entry'!AJ59="","",'Supp. Result Entry'!$AJ$6)</f>
        <v/>
      </c>
      <c r="IE60" s="213" t="str">
        <f>IF('Supp. Result Entry'!V59="","",'Supp. Result Entry'!V59)</f>
        <v/>
      </c>
      <c r="IF60" s="213" t="str">
        <f>IF('Supp. Result Entry'!Y59="","",'Supp. Result Entry'!Y59)</f>
        <v/>
      </c>
      <c r="IG60" s="213" t="str">
        <f>IF('Supp. Result Entry'!AB59="","",'Supp. Result Entry'!AB59)</f>
        <v/>
      </c>
      <c r="IH60" s="213" t="str">
        <f>IF('Supp. Result Entry'!AE59="","",'Supp. Result Entry'!AE59)</f>
        <v/>
      </c>
      <c r="II60" s="213" t="str">
        <f>IF('Supp. Result Entry'!AH59="","",'Supp. Result Entry'!AH59)</f>
        <v/>
      </c>
      <c r="IJ60" s="213" t="str">
        <f>IF('Supp. Result Entry'!AK59="","",'Supp. Result Entry'!AK59)</f>
        <v/>
      </c>
      <c r="IK60" s="213" t="str">
        <f>IF('Supp. Result Entry'!W59="","",'Supp. Result Entry'!W59)</f>
        <v/>
      </c>
      <c r="IL60" s="213" t="str">
        <f>IF('Supp. Result Entry'!Z59="","",'Supp. Result Entry'!Z59)</f>
        <v/>
      </c>
      <c r="IM60" s="213" t="str">
        <f>IF('Supp. Result Entry'!AC59="","",'Supp. Result Entry'!AC59)</f>
        <v/>
      </c>
      <c r="IN60" s="213" t="str">
        <f>IF('Supp. Result Entry'!AF59="","",'Supp. Result Entry'!AF59)</f>
        <v/>
      </c>
      <c r="IO60" s="213" t="str">
        <f>IF('Supp. Result Entry'!AI59="","",'Supp. Result Entry'!AI59)</f>
        <v/>
      </c>
      <c r="IP60" s="213" t="str">
        <f>IF('Supp. Result Entry'!AL59="","",'Supp. Result Entry'!AL59)</f>
        <v/>
      </c>
      <c r="IQ60" s="213">
        <f>COUNTIF('Supp. Result Entry'!K59:Q59,"S")</f>
        <v>0</v>
      </c>
      <c r="IR60" s="213">
        <f t="shared" si="170"/>
        <v>0</v>
      </c>
      <c r="IS60" s="213">
        <f t="shared" si="171"/>
        <v>0</v>
      </c>
      <c r="IT60" s="213" t="str">
        <f t="shared" si="41"/>
        <v/>
      </c>
      <c r="IU60" s="213" t="str">
        <f t="shared" si="42"/>
        <v/>
      </c>
      <c r="IV60" s="213" t="str">
        <f t="shared" si="43"/>
        <v/>
      </c>
      <c r="IW60" s="213" t="str">
        <f t="shared" si="44"/>
        <v/>
      </c>
      <c r="IX60" s="213" t="str">
        <f t="shared" si="45"/>
        <v/>
      </c>
      <c r="IY60" s="213" t="str">
        <f t="shared" si="172"/>
        <v/>
      </c>
      <c r="IZ60" s="213" t="str">
        <f t="shared" si="173"/>
        <v/>
      </c>
      <c r="JA60" s="213" t="str">
        <f t="shared" si="46"/>
        <v/>
      </c>
      <c r="JB60" s="211" t="str">
        <f t="shared" si="174"/>
        <v/>
      </c>
    </row>
    <row r="61" spans="1:262" s="211" customFormat="1" ht="21" customHeight="1">
      <c r="A61" s="184">
        <v>54</v>
      </c>
      <c r="B61" s="185" t="str">
        <f>IF('Marks Entry'!B61="","",'Marks Entry'!B61)</f>
        <v/>
      </c>
      <c r="C61" s="186" t="str">
        <f>IF('Marks Entry'!D61="","",'Marks Entry'!D61)</f>
        <v/>
      </c>
      <c r="D61" s="187" t="str">
        <f>IF('Marks Entry'!E61="","",'Marks Entry'!E61)</f>
        <v/>
      </c>
      <c r="E61" s="188" t="str">
        <f>IF('Marks Entry'!F61="","",'Marks Entry'!F61)</f>
        <v/>
      </c>
      <c r="F61" s="188" t="str">
        <f>IF('Marks Entry'!G61="","",'Marks Entry'!G61)</f>
        <v/>
      </c>
      <c r="G61" s="188" t="str">
        <f>IF('Marks Entry'!H61="","",'Marks Entry'!H61)</f>
        <v/>
      </c>
      <c r="H61" s="189" t="str">
        <f>IF('Marks Entry'!I61="","",'Marks Entry'!I61)</f>
        <v/>
      </c>
      <c r="I61" s="190" t="str">
        <f>IF('Marks Entry'!J61="","",'Marks Entry'!J61)</f>
        <v/>
      </c>
      <c r="J61" s="545" t="str">
        <f>IF('Marks Entry'!K61="","",'Marks Entry'!K61)</f>
        <v/>
      </c>
      <c r="K61" s="545" t="str">
        <f>IF('Marks Entry'!L61="","",'Marks Entry'!L61)</f>
        <v/>
      </c>
      <c r="L61" s="545" t="str">
        <f>IF('Marks Entry'!M61="","",'Marks Entry'!M61)</f>
        <v/>
      </c>
      <c r="M61" s="546" t="str">
        <f t="shared" si="47"/>
        <v/>
      </c>
      <c r="N61" s="545" t="str">
        <f>IF('Marks Entry'!N61="","",'Marks Entry'!N61)</f>
        <v/>
      </c>
      <c r="O61" s="546" t="str">
        <f t="shared" si="48"/>
        <v/>
      </c>
      <c r="P61" s="545" t="str">
        <f>IF('Marks Entry'!O61="","",'Marks Entry'!O61)</f>
        <v/>
      </c>
      <c r="Q61" s="547" t="str">
        <f t="shared" si="49"/>
        <v/>
      </c>
      <c r="R61" s="153">
        <f t="shared" si="50"/>
        <v>0</v>
      </c>
      <c r="S61" s="153">
        <f t="shared" si="51"/>
        <v>0</v>
      </c>
      <c r="T61" s="154" t="str">
        <f t="shared" si="52"/>
        <v/>
      </c>
      <c r="U61" s="153" t="str">
        <f t="shared" si="53"/>
        <v/>
      </c>
      <c r="V61" s="153" t="str">
        <f t="shared" si="54"/>
        <v/>
      </c>
      <c r="W61" s="153" t="str">
        <f t="shared" si="55"/>
        <v/>
      </c>
      <c r="X61" s="545" t="str">
        <f>IF('Marks Entry'!P61="","",'Marks Entry'!P61)</f>
        <v/>
      </c>
      <c r="Y61" s="545" t="str">
        <f>IF('Marks Entry'!Q61="","",'Marks Entry'!Q61)</f>
        <v/>
      </c>
      <c r="Z61" s="545" t="str">
        <f>IF('Marks Entry'!R61="","",'Marks Entry'!R61)</f>
        <v/>
      </c>
      <c r="AA61" s="546" t="str">
        <f t="shared" si="56"/>
        <v/>
      </c>
      <c r="AB61" s="545" t="str">
        <f>IF('Marks Entry'!S61="","",'Marks Entry'!S61)</f>
        <v/>
      </c>
      <c r="AC61" s="546" t="str">
        <f t="shared" si="57"/>
        <v/>
      </c>
      <c r="AD61" s="545" t="str">
        <f>IF('Marks Entry'!T61="","",'Marks Entry'!T61)</f>
        <v/>
      </c>
      <c r="AE61" s="547" t="str">
        <f t="shared" si="58"/>
        <v/>
      </c>
      <c r="AF61" s="153">
        <f t="shared" si="59"/>
        <v>0</v>
      </c>
      <c r="AG61" s="153">
        <f t="shared" si="60"/>
        <v>0</v>
      </c>
      <c r="AH61" s="154" t="str">
        <f t="shared" si="61"/>
        <v/>
      </c>
      <c r="AI61" s="153" t="str">
        <f t="shared" si="62"/>
        <v/>
      </c>
      <c r="AJ61" s="153" t="str">
        <f t="shared" si="63"/>
        <v/>
      </c>
      <c r="AK61" s="153" t="str">
        <f t="shared" si="64"/>
        <v/>
      </c>
      <c r="AL61" s="573" t="str">
        <f>IF('Marks Entry'!U61="","",'Marks Entry'!U61)</f>
        <v/>
      </c>
      <c r="AM61" s="573" t="str">
        <f>IF('Marks Entry'!V61="","",'Marks Entry'!V61)</f>
        <v/>
      </c>
      <c r="AN61" s="573" t="str">
        <f>IF('Marks Entry'!W61="","",'Marks Entry'!W61)</f>
        <v/>
      </c>
      <c r="AO61" s="573" t="str">
        <f>IF('Marks Entry'!X61="","",'Marks Entry'!X61)</f>
        <v/>
      </c>
      <c r="AP61" s="572" t="str">
        <f t="shared" si="65"/>
        <v/>
      </c>
      <c r="AQ61" s="573" t="str">
        <f>IF('Marks Entry'!Y61="","",'Marks Entry'!Y61)</f>
        <v/>
      </c>
      <c r="AR61" s="573" t="str">
        <f>IF('Marks Entry'!Z61="","",'Marks Entry'!Z61)</f>
        <v/>
      </c>
      <c r="AS61" s="572" t="str">
        <f t="shared" si="66"/>
        <v/>
      </c>
      <c r="AT61" s="572" t="str">
        <f t="shared" si="67"/>
        <v/>
      </c>
      <c r="AU61" s="573" t="str">
        <f>IF('Marks Entry'!AA61="","",'Marks Entry'!AA61)</f>
        <v/>
      </c>
      <c r="AV61" s="573" t="str">
        <f>IF('Marks Entry'!AB61="","",'Marks Entry'!AB61)</f>
        <v/>
      </c>
      <c r="AW61" s="572" t="str">
        <f t="shared" si="68"/>
        <v/>
      </c>
      <c r="AX61" s="157" t="str">
        <f t="shared" si="69"/>
        <v/>
      </c>
      <c r="AY61" s="157" t="str">
        <f t="shared" si="70"/>
        <v/>
      </c>
      <c r="AZ61" s="192" t="str">
        <f t="shared" si="71"/>
        <v/>
      </c>
      <c r="BA61" s="153">
        <f t="shared" si="72"/>
        <v>0</v>
      </c>
      <c r="BB61" s="154">
        <f t="shared" si="73"/>
        <v>0</v>
      </c>
      <c r="BC61" s="154" t="str">
        <f t="shared" si="74"/>
        <v/>
      </c>
      <c r="BD61" s="154" t="str">
        <f t="shared" si="75"/>
        <v/>
      </c>
      <c r="BE61" s="154" t="str">
        <f t="shared" si="76"/>
        <v/>
      </c>
      <c r="BF61" s="153" t="str">
        <f t="shared" si="77"/>
        <v/>
      </c>
      <c r="BG61" s="154" t="str">
        <f t="shared" si="175"/>
        <v/>
      </c>
      <c r="BH61" s="153" t="str">
        <f t="shared" si="78"/>
        <v/>
      </c>
      <c r="BI61" s="580" t="str">
        <f>IF('Marks Entry'!AC61="","",'Marks Entry'!AC61)</f>
        <v/>
      </c>
      <c r="BJ61" s="580" t="str">
        <f>IF('Marks Entry'!AD61="","",'Marks Entry'!AD61)</f>
        <v/>
      </c>
      <c r="BK61" s="580" t="str">
        <f>IF('Marks Entry'!AE61="","",'Marks Entry'!AE61)</f>
        <v/>
      </c>
      <c r="BL61" s="580" t="str">
        <f>IF('Marks Entry'!AF61="","",'Marks Entry'!AF61)</f>
        <v/>
      </c>
      <c r="BM61" s="581" t="str">
        <f t="shared" si="79"/>
        <v/>
      </c>
      <c r="BN61" s="580" t="str">
        <f>IF('Marks Entry'!AG61="","",'Marks Entry'!AG61)</f>
        <v/>
      </c>
      <c r="BO61" s="580" t="str">
        <f>IF('Marks Entry'!AH61="","",'Marks Entry'!AH61)</f>
        <v/>
      </c>
      <c r="BP61" s="581" t="str">
        <f t="shared" si="80"/>
        <v/>
      </c>
      <c r="BQ61" s="581" t="str">
        <f t="shared" si="81"/>
        <v/>
      </c>
      <c r="BR61" s="580" t="str">
        <f>IF('Marks Entry'!AI61="","",'Marks Entry'!AI61)</f>
        <v/>
      </c>
      <c r="BS61" s="580" t="str">
        <f>IF('Marks Entry'!AJ61="","",'Marks Entry'!AJ61)</f>
        <v/>
      </c>
      <c r="BT61" s="581" t="str">
        <f t="shared" si="82"/>
        <v/>
      </c>
      <c r="BU61" s="157" t="str">
        <f t="shared" si="83"/>
        <v/>
      </c>
      <c r="BV61" s="157" t="str">
        <f t="shared" si="84"/>
        <v/>
      </c>
      <c r="BW61" s="192" t="str">
        <f t="shared" si="85"/>
        <v/>
      </c>
      <c r="BX61" s="153">
        <f t="shared" si="86"/>
        <v>0</v>
      </c>
      <c r="BY61" s="154">
        <f t="shared" si="87"/>
        <v>0</v>
      </c>
      <c r="BZ61" s="154" t="str">
        <f t="shared" si="88"/>
        <v/>
      </c>
      <c r="CA61" s="154" t="str">
        <f t="shared" si="89"/>
        <v/>
      </c>
      <c r="CB61" s="154" t="str">
        <f t="shared" si="90"/>
        <v/>
      </c>
      <c r="CC61" s="153" t="str">
        <f t="shared" si="91"/>
        <v/>
      </c>
      <c r="CD61" s="154" t="str">
        <f t="shared" si="92"/>
        <v/>
      </c>
      <c r="CE61" s="153" t="str">
        <f t="shared" si="93"/>
        <v/>
      </c>
      <c r="CF61" s="580" t="str">
        <f>IF('Marks Entry'!AK61="","",'Marks Entry'!AK61)</f>
        <v/>
      </c>
      <c r="CG61" s="580" t="str">
        <f>IF('Marks Entry'!AL61="","",'Marks Entry'!AL61)</f>
        <v/>
      </c>
      <c r="CH61" s="580" t="str">
        <f>IF('Marks Entry'!AM61="","",'Marks Entry'!AM61)</f>
        <v/>
      </c>
      <c r="CI61" s="580" t="str">
        <f>IF('Marks Entry'!AN61="","",'Marks Entry'!AN61)</f>
        <v/>
      </c>
      <c r="CJ61" s="581" t="str">
        <f t="shared" si="94"/>
        <v/>
      </c>
      <c r="CK61" s="580" t="str">
        <f>IF('Marks Entry'!AO61="","",'Marks Entry'!AO61)</f>
        <v/>
      </c>
      <c r="CL61" s="580" t="str">
        <f>IF('Marks Entry'!AP61="","",'Marks Entry'!AP61)</f>
        <v/>
      </c>
      <c r="CM61" s="581" t="str">
        <f t="shared" si="95"/>
        <v/>
      </c>
      <c r="CN61" s="581" t="str">
        <f t="shared" si="96"/>
        <v/>
      </c>
      <c r="CO61" s="580" t="str">
        <f>IF('Marks Entry'!AQ61="","",'Marks Entry'!AQ61)</f>
        <v/>
      </c>
      <c r="CP61" s="580" t="str">
        <f>IF('Marks Entry'!AR61="","",'Marks Entry'!AR61)</f>
        <v/>
      </c>
      <c r="CQ61" s="581" t="str">
        <f t="shared" si="97"/>
        <v/>
      </c>
      <c r="CR61" s="157" t="str">
        <f t="shared" si="98"/>
        <v/>
      </c>
      <c r="CS61" s="157" t="str">
        <f t="shared" si="99"/>
        <v/>
      </c>
      <c r="CT61" s="192" t="str">
        <f t="shared" si="100"/>
        <v/>
      </c>
      <c r="CU61" s="153">
        <f t="shared" si="101"/>
        <v>0</v>
      </c>
      <c r="CV61" s="154">
        <f t="shared" si="102"/>
        <v>0</v>
      </c>
      <c r="CW61" s="154" t="str">
        <f t="shared" si="103"/>
        <v/>
      </c>
      <c r="CX61" s="154" t="str">
        <f t="shared" si="104"/>
        <v/>
      </c>
      <c r="CY61" s="154" t="str">
        <f t="shared" si="176"/>
        <v/>
      </c>
      <c r="CZ61" s="153" t="str">
        <f t="shared" si="105"/>
        <v/>
      </c>
      <c r="DA61" s="154" t="str">
        <f t="shared" si="106"/>
        <v/>
      </c>
      <c r="DB61" s="153" t="str">
        <f t="shared" si="107"/>
        <v/>
      </c>
      <c r="DC61" s="154">
        <f t="shared" si="108"/>
        <v>0</v>
      </c>
      <c r="DD61" s="826" t="str">
        <f>IF('Marks Entry'!AS61="","",IF(OR('Master Sheet'!$D$19="YES",'Marks Entry'!$BA$1=1),'Marks Entry'!AS61,""))</f>
        <v/>
      </c>
      <c r="DE61" s="826" t="str">
        <f>IF('Marks Entry'!AT61="","",IF(OR('Master Sheet'!$D$19="YES",'Marks Entry'!$BA$1=1),'Marks Entry'!AT61,""))</f>
        <v/>
      </c>
      <c r="DF61" s="826" t="str">
        <f>IF('Marks Entry'!AU61="","",IF(OR('Master Sheet'!$D$19="YES",'Marks Entry'!$BA$1=1),'Marks Entry'!AU61,""))</f>
        <v/>
      </c>
      <c r="DG61" s="826" t="str">
        <f>IF('Marks Entry'!AV61="","",IF(OR('Master Sheet'!$D$19="YES",'Marks Entry'!$BA$1=1),'Marks Entry'!AV61,""))</f>
        <v/>
      </c>
      <c r="DH61" s="827" t="str">
        <f t="shared" si="109"/>
        <v/>
      </c>
      <c r="DI61" s="826" t="str">
        <f>IF('Marks Entry'!AW61="","",IF(OR('Master Sheet'!$D$19="YES",'Marks Entry'!$BA$1=1),'Marks Entry'!AW61,""))</f>
        <v/>
      </c>
      <c r="DJ61" s="826" t="str">
        <f>IF('Marks Entry'!AX61="","",IF(OR('Master Sheet'!$D$19="YES",'Marks Entry'!$BA$1=1),'Marks Entry'!AX61,""))</f>
        <v/>
      </c>
      <c r="DK61" s="827" t="str">
        <f t="shared" si="110"/>
        <v/>
      </c>
      <c r="DL61" s="827" t="str">
        <f t="shared" si="111"/>
        <v/>
      </c>
      <c r="DM61" s="826" t="str">
        <f>IF('Marks Entry'!AY61="","",IF(OR('Master Sheet'!$D$19="YES",'Marks Entry'!$BA$1=1),'Marks Entry'!AY61,""))</f>
        <v/>
      </c>
      <c r="DN61" s="826" t="str">
        <f>IF('Marks Entry'!AZ61="","",IF(OR('Master Sheet'!$D$19="YES",'Marks Entry'!$BA$1=1),'Marks Entry'!AZ61,""))</f>
        <v/>
      </c>
      <c r="DO61" s="826" t="str">
        <f>IF('Marks Entry'!BA61="","",IF(OR('Master Sheet'!$D$19="YES",'Marks Entry'!$BA$1=1),'Marks Entry'!BA61,""))</f>
        <v/>
      </c>
      <c r="DP61" s="827" t="str">
        <f t="shared" si="112"/>
        <v/>
      </c>
      <c r="DQ61" s="157" t="str">
        <f t="shared" si="113"/>
        <v/>
      </c>
      <c r="DR61" s="157" t="str">
        <f t="shared" si="114"/>
        <v/>
      </c>
      <c r="DS61" s="157" t="str">
        <f t="shared" si="115"/>
        <v/>
      </c>
      <c r="DT61" s="192" t="str">
        <f t="shared" si="116"/>
        <v/>
      </c>
      <c r="DU61" s="153">
        <f t="shared" si="117"/>
        <v>0</v>
      </c>
      <c r="DV61" s="154" t="e">
        <f t="shared" si="118"/>
        <v>#VALUE!</v>
      </c>
      <c r="DW61" s="154" t="str">
        <f t="shared" si="119"/>
        <v/>
      </c>
      <c r="DX61" s="154" t="str">
        <f>IF(OR($B61="NSO",$B61=0,DS61=""),"",IF(AND(DJ61="",DO61=""),"",IF('Master Sheet'!$D$19="YES",$DO$6-COUNTIF(DO61,"ML")*DO$6,DS$6-(COUNTIF(DJ61,"ML")*DJ$6)-(COUNTIF(DO61,"ML")*DO$6))))</f>
        <v/>
      </c>
      <c r="DY61" s="154" t="str">
        <f>IF(OR($B61="NSO",$B61=0),"",IF(AND(DH61="",DI61="",DM61=""),"",IF(AND('Master Sheet'!$D$19="YES",'Marks Entry'!$BA$1=1),100,IF(AND(DJ61="",DO61=""),SUM(($DQ$7+$DR$7)-(DU61+DV61)),SUM(($DQ$6+$DR$6)-(DU61+DV61))))))</f>
        <v/>
      </c>
      <c r="DZ61" s="153" t="str">
        <f t="shared" si="120"/>
        <v/>
      </c>
      <c r="EA61" s="154" t="str">
        <f t="shared" si="121"/>
        <v/>
      </c>
      <c r="EB61" s="153" t="str">
        <f t="shared" si="122"/>
        <v/>
      </c>
      <c r="EC61" s="584" t="str">
        <f>IF('Marks Entry'!BB61="","",'Marks Entry'!BB61)</f>
        <v/>
      </c>
      <c r="ED61" s="584" t="str">
        <f>IF('Marks Entry'!BC61="","",'Marks Entry'!BC61)</f>
        <v/>
      </c>
      <c r="EE61" s="584" t="str">
        <f>IF('Marks Entry'!BD61="","",'Marks Entry'!BD61)</f>
        <v/>
      </c>
      <c r="EF61" s="590" t="str">
        <f t="shared" si="123"/>
        <v/>
      </c>
      <c r="EG61" s="595">
        <f t="shared" si="124"/>
        <v>0</v>
      </c>
      <c r="EH61" s="595">
        <f t="shared" si="125"/>
        <v>0</v>
      </c>
      <c r="EI61" s="193" t="str">
        <f t="shared" si="126"/>
        <v/>
      </c>
      <c r="EJ61" s="595" t="str">
        <f t="shared" si="127"/>
        <v/>
      </c>
      <c r="EK61" s="595" t="str">
        <f t="shared" si="128"/>
        <v/>
      </c>
      <c r="EL61" s="194" t="str">
        <f t="shared" si="129"/>
        <v/>
      </c>
      <c r="EM61" s="194" t="str">
        <f t="shared" si="130"/>
        <v/>
      </c>
      <c r="EN61" s="194" t="str">
        <f t="shared" si="131"/>
        <v/>
      </c>
      <c r="EO61" s="194" t="str">
        <f t="shared" si="132"/>
        <v/>
      </c>
      <c r="EP61" s="194" t="str">
        <f t="shared" si="133"/>
        <v/>
      </c>
      <c r="EQ61" s="194" t="str">
        <f t="shared" si="134"/>
        <v/>
      </c>
      <c r="ER61" s="195">
        <f t="shared" si="135"/>
        <v>0</v>
      </c>
      <c r="ES61" s="195">
        <f t="shared" si="136"/>
        <v>0</v>
      </c>
      <c r="ET61" s="195">
        <f t="shared" si="137"/>
        <v>0</v>
      </c>
      <c r="EU61" s="195">
        <f t="shared" si="138"/>
        <v>0</v>
      </c>
      <c r="EV61" s="195">
        <f t="shared" si="139"/>
        <v>0</v>
      </c>
      <c r="EW61" s="195" t="str">
        <f t="shared" si="140"/>
        <v/>
      </c>
      <c r="EX61" s="196" t="str">
        <f t="shared" si="141"/>
        <v/>
      </c>
      <c r="EY61" s="197" t="str">
        <f>IF('Marks Entry'!BE61="","",'Marks Entry'!BE61)</f>
        <v/>
      </c>
      <c r="EZ61" s="197" t="str">
        <f>IF('Marks Entry'!BF61="","",'Marks Entry'!BF61)</f>
        <v/>
      </c>
      <c r="FA61" s="197" t="str">
        <f>IF('Marks Entry'!BG61="","",'Marks Entry'!BG61)</f>
        <v/>
      </c>
      <c r="FB61" s="596" t="str">
        <f t="shared" si="142"/>
        <v/>
      </c>
      <c r="FC61" s="197" t="str">
        <f>IF('Marks Entry'!BH61="","",'Marks Entry'!BH61)</f>
        <v/>
      </c>
      <c r="FD61" s="197" t="str">
        <f>IF('Marks Entry'!BI61="","",'Marks Entry'!BI61)</f>
        <v/>
      </c>
      <c r="FE61" s="198" t="str">
        <f t="shared" si="143"/>
        <v/>
      </c>
      <c r="FF61" s="199" t="str">
        <f t="shared" si="144"/>
        <v/>
      </c>
      <c r="FG61" s="200" t="str">
        <f>IF(AND(E61=""),"",IF('Student DATA Entry'!L57="","",'Student DATA Entry'!L57))</f>
        <v/>
      </c>
      <c r="FH61" s="201" t="str">
        <f>IF(AND(E61=""),"",IF('Student DATA Entry'!M57="","",'Student DATA Entry'!M57))</f>
        <v/>
      </c>
      <c r="FI61" s="202" t="str">
        <f t="shared" si="145"/>
        <v/>
      </c>
      <c r="FJ61" s="189" t="str">
        <f t="shared" si="146"/>
        <v/>
      </c>
      <c r="FK61" s="189" t="str">
        <f t="shared" si="147"/>
        <v/>
      </c>
      <c r="FL61" s="203" t="str">
        <f t="shared" si="178"/>
        <v/>
      </c>
      <c r="FM61" s="189" t="str">
        <f t="shared" si="148"/>
        <v/>
      </c>
      <c r="FN61" s="204" t="str">
        <f t="shared" si="149"/>
        <v/>
      </c>
      <c r="FO61" s="203" t="str">
        <f t="shared" si="179"/>
        <v/>
      </c>
      <c r="FP61" s="205" t="str">
        <f t="shared" si="150"/>
        <v/>
      </c>
      <c r="FQ61" s="189" t="str">
        <f t="shared" si="180"/>
        <v/>
      </c>
      <c r="FR61" s="189" t="str">
        <f t="shared" si="181"/>
        <v/>
      </c>
      <c r="FS61" s="189" t="str">
        <f t="shared" si="182"/>
        <v/>
      </c>
      <c r="FT61" s="189" t="str">
        <f t="shared" si="183"/>
        <v/>
      </c>
      <c r="FU61" s="189" t="str">
        <f t="shared" si="151"/>
        <v/>
      </c>
      <c r="FV61" s="206" t="str">
        <f t="shared" si="184"/>
        <v/>
      </c>
      <c r="FW61" s="205" t="str">
        <f t="shared" si="152"/>
        <v/>
      </c>
      <c r="FX61" s="189" t="str">
        <f t="shared" si="185"/>
        <v/>
      </c>
      <c r="FY61" s="189" t="str">
        <f t="shared" si="186"/>
        <v/>
      </c>
      <c r="FZ61" s="189" t="str">
        <f t="shared" si="187"/>
        <v/>
      </c>
      <c r="GA61" s="189" t="str">
        <f t="shared" si="188"/>
        <v/>
      </c>
      <c r="GB61" s="189" t="str">
        <f t="shared" si="153"/>
        <v/>
      </c>
      <c r="GC61" s="206" t="str">
        <f t="shared" si="189"/>
        <v/>
      </c>
      <c r="GD61" s="205" t="str">
        <f t="shared" si="154"/>
        <v/>
      </c>
      <c r="GE61" s="189" t="str">
        <f t="shared" si="190"/>
        <v/>
      </c>
      <c r="GF61" s="189" t="str">
        <f t="shared" si="191"/>
        <v/>
      </c>
      <c r="GG61" s="189" t="str">
        <f t="shared" si="192"/>
        <v/>
      </c>
      <c r="GH61" s="189" t="str">
        <f t="shared" si="193"/>
        <v/>
      </c>
      <c r="GI61" s="189" t="str">
        <f t="shared" si="155"/>
        <v/>
      </c>
      <c r="GJ61" s="206" t="str">
        <f t="shared" si="194"/>
        <v/>
      </c>
      <c r="GK61" s="205" t="str">
        <f t="shared" si="156"/>
        <v/>
      </c>
      <c r="GL61" s="189" t="str">
        <f t="shared" si="195"/>
        <v/>
      </c>
      <c r="GM61" s="189" t="str">
        <f t="shared" si="196"/>
        <v/>
      </c>
      <c r="GN61" s="189" t="str">
        <f t="shared" si="197"/>
        <v/>
      </c>
      <c r="GO61" s="189" t="str">
        <f t="shared" si="198"/>
        <v/>
      </c>
      <c r="GP61" s="189" t="str">
        <f t="shared" si="157"/>
        <v/>
      </c>
      <c r="GQ61" s="206" t="str">
        <f t="shared" si="199"/>
        <v/>
      </c>
      <c r="GR61" s="189" t="str">
        <f t="shared" si="158"/>
        <v/>
      </c>
      <c r="GS61" s="189" t="str">
        <f t="shared" si="159"/>
        <v/>
      </c>
      <c r="GT61" s="207" t="str">
        <f t="shared" si="177"/>
        <v xml:space="preserve">    </v>
      </c>
      <c r="GU61" s="207" t="str">
        <f t="shared" si="160"/>
        <v xml:space="preserve">    </v>
      </c>
      <c r="GV61" s="207" t="str">
        <f t="shared" si="161"/>
        <v xml:space="preserve">    </v>
      </c>
      <c r="GW61" s="207" t="str">
        <f t="shared" si="162"/>
        <v xml:space="preserve">       </v>
      </c>
      <c r="GX61" s="598" t="str">
        <f t="shared" si="163"/>
        <v xml:space="preserve">     </v>
      </c>
      <c r="GY61" s="208" t="str">
        <f t="shared" si="200"/>
        <v/>
      </c>
      <c r="GZ61" s="606" t="str">
        <f>IF(AND(Q61="",AE61="",AZ61="",BW61="",CT61=""),"",IF(AND('Master Sheet'!$D$19="YES",'Marks Entry'!$BA$1=1),SUM(Q61,AE61,AZ61,BW61,DT61),SUM(Q61,AE61,AZ61,BW61,CT61)))</f>
        <v/>
      </c>
      <c r="HA61" s="209" t="str">
        <f>IF(GZ61="","",IF(AND('Master Sheet'!$D$19="YES",'Marks Entry'!$BA$1=1),GZ61/((900)-DC61)*100,GZ61/((1000)-DC61)*100))</f>
        <v/>
      </c>
      <c r="HB61" s="611" t="str">
        <f t="shared" si="165"/>
        <v/>
      </c>
      <c r="HC61" s="609" t="str">
        <f t="shared" si="166"/>
        <v/>
      </c>
      <c r="HD61" s="610" t="str">
        <f t="shared" si="167"/>
        <v/>
      </c>
      <c r="HE61" s="210" t="str">
        <f>IFERROR(IF(OR(GY61="SUPPLEMENTARY",GY61="RE-EXAM"),'Supp. Result Entry'!AS60,""),"")</f>
        <v/>
      </c>
      <c r="HF61" s="613" t="str">
        <f t="shared" si="168"/>
        <v/>
      </c>
      <c r="HG61" s="598" t="str">
        <f t="shared" si="169"/>
        <v/>
      </c>
      <c r="HH61" s="598" t="str">
        <f>IF(AND(HE61="",HF61="",HG61=""),"",IF(OR(GY61="SUPPLEMENTARY",GY61="RE-EXAM"),'Supp. Result Entry'!AS60,GY61))</f>
        <v/>
      </c>
      <c r="HI61" s="180"/>
      <c r="HY61" s="212" t="str">
        <f>IF('Supp. Result Entry'!U60="","",'Supp. Result Entry'!$U$6)</f>
        <v/>
      </c>
      <c r="HZ61" s="213" t="str">
        <f>IF('Supp. Result Entry'!X60="","",'Supp. Result Entry'!$X$6)</f>
        <v/>
      </c>
      <c r="IA61" s="213" t="str">
        <f>IF('Supp. Result Entry'!AA60="","",'Supp. Result Entry'!$AA$6)</f>
        <v/>
      </c>
      <c r="IB61" s="213" t="str">
        <f>IF('Supp. Result Entry'!AD60="","",'Supp. Result Entry'!$AD$6)</f>
        <v/>
      </c>
      <c r="IC61" s="213" t="str">
        <f>IF('Supp. Result Entry'!AG60="","",'Supp. Result Entry'!$AG$6)</f>
        <v/>
      </c>
      <c r="ID61" s="213" t="str">
        <f>IF('Supp. Result Entry'!AJ60="","",'Supp. Result Entry'!$AJ$6)</f>
        <v/>
      </c>
      <c r="IE61" s="213" t="str">
        <f>IF('Supp. Result Entry'!V60="","",'Supp. Result Entry'!V60)</f>
        <v/>
      </c>
      <c r="IF61" s="213" t="str">
        <f>IF('Supp. Result Entry'!Y60="","",'Supp. Result Entry'!Y60)</f>
        <v/>
      </c>
      <c r="IG61" s="213" t="str">
        <f>IF('Supp. Result Entry'!AB60="","",'Supp. Result Entry'!AB60)</f>
        <v/>
      </c>
      <c r="IH61" s="213" t="str">
        <f>IF('Supp. Result Entry'!AE60="","",'Supp. Result Entry'!AE60)</f>
        <v/>
      </c>
      <c r="II61" s="213" t="str">
        <f>IF('Supp. Result Entry'!AH60="","",'Supp. Result Entry'!AH60)</f>
        <v/>
      </c>
      <c r="IJ61" s="213" t="str">
        <f>IF('Supp. Result Entry'!AK60="","",'Supp. Result Entry'!AK60)</f>
        <v/>
      </c>
      <c r="IK61" s="213" t="str">
        <f>IF('Supp. Result Entry'!W60="","",'Supp. Result Entry'!W60)</f>
        <v/>
      </c>
      <c r="IL61" s="213" t="str">
        <f>IF('Supp. Result Entry'!Z60="","",'Supp. Result Entry'!Z60)</f>
        <v/>
      </c>
      <c r="IM61" s="213" t="str">
        <f>IF('Supp. Result Entry'!AC60="","",'Supp. Result Entry'!AC60)</f>
        <v/>
      </c>
      <c r="IN61" s="213" t="str">
        <f>IF('Supp. Result Entry'!AF60="","",'Supp. Result Entry'!AF60)</f>
        <v/>
      </c>
      <c r="IO61" s="213" t="str">
        <f>IF('Supp. Result Entry'!AI60="","",'Supp. Result Entry'!AI60)</f>
        <v/>
      </c>
      <c r="IP61" s="213" t="str">
        <f>IF('Supp. Result Entry'!AL60="","",'Supp. Result Entry'!AL60)</f>
        <v/>
      </c>
      <c r="IQ61" s="213">
        <f>COUNTIF('Supp. Result Entry'!K60:Q60,"S")</f>
        <v>0</v>
      </c>
      <c r="IR61" s="213">
        <f t="shared" si="170"/>
        <v>0</v>
      </c>
      <c r="IS61" s="213">
        <f t="shared" si="171"/>
        <v>0</v>
      </c>
      <c r="IT61" s="213" t="str">
        <f t="shared" si="41"/>
        <v/>
      </c>
      <c r="IU61" s="213" t="str">
        <f t="shared" si="42"/>
        <v/>
      </c>
      <c r="IV61" s="213" t="str">
        <f t="shared" si="43"/>
        <v/>
      </c>
      <c r="IW61" s="213" t="str">
        <f t="shared" si="44"/>
        <v/>
      </c>
      <c r="IX61" s="213" t="str">
        <f t="shared" si="45"/>
        <v/>
      </c>
      <c r="IY61" s="213" t="str">
        <f t="shared" si="172"/>
        <v/>
      </c>
      <c r="IZ61" s="213" t="str">
        <f t="shared" si="173"/>
        <v/>
      </c>
      <c r="JA61" s="213" t="str">
        <f t="shared" si="46"/>
        <v/>
      </c>
      <c r="JB61" s="211" t="str">
        <f t="shared" si="174"/>
        <v/>
      </c>
    </row>
    <row r="62" spans="1:262" s="211" customFormat="1" ht="21" customHeight="1">
      <c r="A62" s="184">
        <v>55</v>
      </c>
      <c r="B62" s="185" t="str">
        <f>IF('Marks Entry'!B62="","",'Marks Entry'!B62)</f>
        <v/>
      </c>
      <c r="C62" s="186" t="str">
        <f>IF('Marks Entry'!D62="","",'Marks Entry'!D62)</f>
        <v/>
      </c>
      <c r="D62" s="187" t="str">
        <f>IF('Marks Entry'!E62="","",'Marks Entry'!E62)</f>
        <v/>
      </c>
      <c r="E62" s="188" t="str">
        <f>IF('Marks Entry'!F62="","",'Marks Entry'!F62)</f>
        <v/>
      </c>
      <c r="F62" s="188" t="str">
        <f>IF('Marks Entry'!G62="","",'Marks Entry'!G62)</f>
        <v/>
      </c>
      <c r="G62" s="188" t="str">
        <f>IF('Marks Entry'!H62="","",'Marks Entry'!H62)</f>
        <v/>
      </c>
      <c r="H62" s="189" t="str">
        <f>IF('Marks Entry'!I62="","",'Marks Entry'!I62)</f>
        <v/>
      </c>
      <c r="I62" s="190" t="str">
        <f>IF('Marks Entry'!J62="","",'Marks Entry'!J62)</f>
        <v/>
      </c>
      <c r="J62" s="545" t="str">
        <f>IF('Marks Entry'!K62="","",'Marks Entry'!K62)</f>
        <v/>
      </c>
      <c r="K62" s="545" t="str">
        <f>IF('Marks Entry'!L62="","",'Marks Entry'!L62)</f>
        <v/>
      </c>
      <c r="L62" s="545" t="str">
        <f>IF('Marks Entry'!M62="","",'Marks Entry'!M62)</f>
        <v/>
      </c>
      <c r="M62" s="546" t="str">
        <f t="shared" si="47"/>
        <v/>
      </c>
      <c r="N62" s="545" t="str">
        <f>IF('Marks Entry'!N62="","",'Marks Entry'!N62)</f>
        <v/>
      </c>
      <c r="O62" s="546" t="str">
        <f t="shared" si="48"/>
        <v/>
      </c>
      <c r="P62" s="545" t="str">
        <f>IF('Marks Entry'!O62="","",'Marks Entry'!O62)</f>
        <v/>
      </c>
      <c r="Q62" s="547" t="str">
        <f t="shared" si="49"/>
        <v/>
      </c>
      <c r="R62" s="153">
        <f t="shared" si="50"/>
        <v>0</v>
      </c>
      <c r="S62" s="153">
        <f t="shared" si="51"/>
        <v>0</v>
      </c>
      <c r="T62" s="154" t="str">
        <f t="shared" si="52"/>
        <v/>
      </c>
      <c r="U62" s="153" t="str">
        <f t="shared" si="53"/>
        <v/>
      </c>
      <c r="V62" s="153" t="str">
        <f t="shared" si="54"/>
        <v/>
      </c>
      <c r="W62" s="153" t="str">
        <f t="shared" si="55"/>
        <v/>
      </c>
      <c r="X62" s="545" t="str">
        <f>IF('Marks Entry'!P62="","",'Marks Entry'!P62)</f>
        <v/>
      </c>
      <c r="Y62" s="545" t="str">
        <f>IF('Marks Entry'!Q62="","",'Marks Entry'!Q62)</f>
        <v/>
      </c>
      <c r="Z62" s="545" t="str">
        <f>IF('Marks Entry'!R62="","",'Marks Entry'!R62)</f>
        <v/>
      </c>
      <c r="AA62" s="546" t="str">
        <f t="shared" si="56"/>
        <v/>
      </c>
      <c r="AB62" s="545" t="str">
        <f>IF('Marks Entry'!S62="","",'Marks Entry'!S62)</f>
        <v/>
      </c>
      <c r="AC62" s="546" t="str">
        <f t="shared" si="57"/>
        <v/>
      </c>
      <c r="AD62" s="545" t="str">
        <f>IF('Marks Entry'!T62="","",'Marks Entry'!T62)</f>
        <v/>
      </c>
      <c r="AE62" s="547" t="str">
        <f t="shared" si="58"/>
        <v/>
      </c>
      <c r="AF62" s="153">
        <f t="shared" si="59"/>
        <v>0</v>
      </c>
      <c r="AG62" s="153">
        <f t="shared" si="60"/>
        <v>0</v>
      </c>
      <c r="AH62" s="154" t="str">
        <f t="shared" si="61"/>
        <v/>
      </c>
      <c r="AI62" s="153" t="str">
        <f t="shared" si="62"/>
        <v/>
      </c>
      <c r="AJ62" s="153" t="str">
        <f t="shared" si="63"/>
        <v/>
      </c>
      <c r="AK62" s="153" t="str">
        <f t="shared" si="64"/>
        <v/>
      </c>
      <c r="AL62" s="573" t="str">
        <f>IF('Marks Entry'!U62="","",'Marks Entry'!U62)</f>
        <v/>
      </c>
      <c r="AM62" s="573" t="str">
        <f>IF('Marks Entry'!V62="","",'Marks Entry'!V62)</f>
        <v/>
      </c>
      <c r="AN62" s="573" t="str">
        <f>IF('Marks Entry'!W62="","",'Marks Entry'!W62)</f>
        <v/>
      </c>
      <c r="AO62" s="573" t="str">
        <f>IF('Marks Entry'!X62="","",'Marks Entry'!X62)</f>
        <v/>
      </c>
      <c r="AP62" s="572" t="str">
        <f t="shared" si="65"/>
        <v/>
      </c>
      <c r="AQ62" s="573" t="str">
        <f>IF('Marks Entry'!Y62="","",'Marks Entry'!Y62)</f>
        <v/>
      </c>
      <c r="AR62" s="573" t="str">
        <f>IF('Marks Entry'!Z62="","",'Marks Entry'!Z62)</f>
        <v/>
      </c>
      <c r="AS62" s="572" t="str">
        <f t="shared" si="66"/>
        <v/>
      </c>
      <c r="AT62" s="572" t="str">
        <f t="shared" si="67"/>
        <v/>
      </c>
      <c r="AU62" s="573" t="str">
        <f>IF('Marks Entry'!AA62="","",'Marks Entry'!AA62)</f>
        <v/>
      </c>
      <c r="AV62" s="573" t="str">
        <f>IF('Marks Entry'!AB62="","",'Marks Entry'!AB62)</f>
        <v/>
      </c>
      <c r="AW62" s="572" t="str">
        <f t="shared" si="68"/>
        <v/>
      </c>
      <c r="AX62" s="157" t="str">
        <f t="shared" si="69"/>
        <v/>
      </c>
      <c r="AY62" s="157" t="str">
        <f t="shared" si="70"/>
        <v/>
      </c>
      <c r="AZ62" s="192" t="str">
        <f t="shared" si="71"/>
        <v/>
      </c>
      <c r="BA62" s="153">
        <f t="shared" si="72"/>
        <v>0</v>
      </c>
      <c r="BB62" s="154">
        <f t="shared" si="73"/>
        <v>0</v>
      </c>
      <c r="BC62" s="154" t="str">
        <f t="shared" si="74"/>
        <v/>
      </c>
      <c r="BD62" s="154" t="str">
        <f t="shared" si="75"/>
        <v/>
      </c>
      <c r="BE62" s="154" t="str">
        <f t="shared" si="76"/>
        <v/>
      </c>
      <c r="BF62" s="153" t="str">
        <f t="shared" si="77"/>
        <v/>
      </c>
      <c r="BG62" s="154" t="str">
        <f t="shared" si="175"/>
        <v/>
      </c>
      <c r="BH62" s="153" t="str">
        <f t="shared" si="78"/>
        <v/>
      </c>
      <c r="BI62" s="580" t="str">
        <f>IF('Marks Entry'!AC62="","",'Marks Entry'!AC62)</f>
        <v/>
      </c>
      <c r="BJ62" s="580" t="str">
        <f>IF('Marks Entry'!AD62="","",'Marks Entry'!AD62)</f>
        <v/>
      </c>
      <c r="BK62" s="580" t="str">
        <f>IF('Marks Entry'!AE62="","",'Marks Entry'!AE62)</f>
        <v/>
      </c>
      <c r="BL62" s="580" t="str">
        <f>IF('Marks Entry'!AF62="","",'Marks Entry'!AF62)</f>
        <v/>
      </c>
      <c r="BM62" s="581" t="str">
        <f t="shared" si="79"/>
        <v/>
      </c>
      <c r="BN62" s="580" t="str">
        <f>IF('Marks Entry'!AG62="","",'Marks Entry'!AG62)</f>
        <v/>
      </c>
      <c r="BO62" s="580" t="str">
        <f>IF('Marks Entry'!AH62="","",'Marks Entry'!AH62)</f>
        <v/>
      </c>
      <c r="BP62" s="581" t="str">
        <f t="shared" si="80"/>
        <v/>
      </c>
      <c r="BQ62" s="581" t="str">
        <f t="shared" si="81"/>
        <v/>
      </c>
      <c r="BR62" s="580" t="str">
        <f>IF('Marks Entry'!AI62="","",'Marks Entry'!AI62)</f>
        <v/>
      </c>
      <c r="BS62" s="580" t="str">
        <f>IF('Marks Entry'!AJ62="","",'Marks Entry'!AJ62)</f>
        <v/>
      </c>
      <c r="BT62" s="581" t="str">
        <f t="shared" si="82"/>
        <v/>
      </c>
      <c r="BU62" s="157" t="str">
        <f t="shared" si="83"/>
        <v/>
      </c>
      <c r="BV62" s="157" t="str">
        <f t="shared" si="84"/>
        <v/>
      </c>
      <c r="BW62" s="192" t="str">
        <f t="shared" si="85"/>
        <v/>
      </c>
      <c r="BX62" s="153">
        <f t="shared" si="86"/>
        <v>0</v>
      </c>
      <c r="BY62" s="154">
        <f t="shared" si="87"/>
        <v>0</v>
      </c>
      <c r="BZ62" s="154" t="str">
        <f t="shared" si="88"/>
        <v/>
      </c>
      <c r="CA62" s="154" t="str">
        <f t="shared" si="89"/>
        <v/>
      </c>
      <c r="CB62" s="154" t="str">
        <f t="shared" si="90"/>
        <v/>
      </c>
      <c r="CC62" s="153" t="str">
        <f t="shared" si="91"/>
        <v/>
      </c>
      <c r="CD62" s="154" t="str">
        <f t="shared" si="92"/>
        <v/>
      </c>
      <c r="CE62" s="153" t="str">
        <f t="shared" si="93"/>
        <v/>
      </c>
      <c r="CF62" s="580" t="str">
        <f>IF('Marks Entry'!AK62="","",'Marks Entry'!AK62)</f>
        <v/>
      </c>
      <c r="CG62" s="580" t="str">
        <f>IF('Marks Entry'!AL62="","",'Marks Entry'!AL62)</f>
        <v/>
      </c>
      <c r="CH62" s="580" t="str">
        <f>IF('Marks Entry'!AM62="","",'Marks Entry'!AM62)</f>
        <v/>
      </c>
      <c r="CI62" s="580" t="str">
        <f>IF('Marks Entry'!AN62="","",'Marks Entry'!AN62)</f>
        <v/>
      </c>
      <c r="CJ62" s="581" t="str">
        <f t="shared" si="94"/>
        <v/>
      </c>
      <c r="CK62" s="580" t="str">
        <f>IF('Marks Entry'!AO62="","",'Marks Entry'!AO62)</f>
        <v/>
      </c>
      <c r="CL62" s="580" t="str">
        <f>IF('Marks Entry'!AP62="","",'Marks Entry'!AP62)</f>
        <v/>
      </c>
      <c r="CM62" s="581" t="str">
        <f t="shared" si="95"/>
        <v/>
      </c>
      <c r="CN62" s="581" t="str">
        <f t="shared" si="96"/>
        <v/>
      </c>
      <c r="CO62" s="580" t="str">
        <f>IF('Marks Entry'!AQ62="","",'Marks Entry'!AQ62)</f>
        <v/>
      </c>
      <c r="CP62" s="580" t="str">
        <f>IF('Marks Entry'!AR62="","",'Marks Entry'!AR62)</f>
        <v/>
      </c>
      <c r="CQ62" s="581" t="str">
        <f t="shared" si="97"/>
        <v/>
      </c>
      <c r="CR62" s="157" t="str">
        <f t="shared" si="98"/>
        <v/>
      </c>
      <c r="CS62" s="157" t="str">
        <f t="shared" si="99"/>
        <v/>
      </c>
      <c r="CT62" s="192" t="str">
        <f t="shared" si="100"/>
        <v/>
      </c>
      <c r="CU62" s="153">
        <f t="shared" si="101"/>
        <v>0</v>
      </c>
      <c r="CV62" s="154">
        <f t="shared" si="102"/>
        <v>0</v>
      </c>
      <c r="CW62" s="154" t="str">
        <f t="shared" si="103"/>
        <v/>
      </c>
      <c r="CX62" s="154" t="str">
        <f t="shared" si="104"/>
        <v/>
      </c>
      <c r="CY62" s="154" t="str">
        <f t="shared" si="176"/>
        <v/>
      </c>
      <c r="CZ62" s="153" t="str">
        <f t="shared" si="105"/>
        <v/>
      </c>
      <c r="DA62" s="154" t="str">
        <f t="shared" si="106"/>
        <v/>
      </c>
      <c r="DB62" s="153" t="str">
        <f t="shared" si="107"/>
        <v/>
      </c>
      <c r="DC62" s="154">
        <f t="shared" si="108"/>
        <v>0</v>
      </c>
      <c r="DD62" s="826" t="str">
        <f>IF('Marks Entry'!AS62="","",IF(OR('Master Sheet'!$D$19="YES",'Marks Entry'!$BA$1=1),'Marks Entry'!AS62,""))</f>
        <v/>
      </c>
      <c r="DE62" s="826" t="str">
        <f>IF('Marks Entry'!AT62="","",IF(OR('Master Sheet'!$D$19="YES",'Marks Entry'!$BA$1=1),'Marks Entry'!AT62,""))</f>
        <v/>
      </c>
      <c r="DF62" s="826" t="str">
        <f>IF('Marks Entry'!AU62="","",IF(OR('Master Sheet'!$D$19="YES",'Marks Entry'!$BA$1=1),'Marks Entry'!AU62,""))</f>
        <v/>
      </c>
      <c r="DG62" s="826" t="str">
        <f>IF('Marks Entry'!AV62="","",IF(OR('Master Sheet'!$D$19="YES",'Marks Entry'!$BA$1=1),'Marks Entry'!AV62,""))</f>
        <v/>
      </c>
      <c r="DH62" s="827" t="str">
        <f t="shared" si="109"/>
        <v/>
      </c>
      <c r="DI62" s="826" t="str">
        <f>IF('Marks Entry'!AW62="","",IF(OR('Master Sheet'!$D$19="YES",'Marks Entry'!$BA$1=1),'Marks Entry'!AW62,""))</f>
        <v/>
      </c>
      <c r="DJ62" s="826" t="str">
        <f>IF('Marks Entry'!AX62="","",IF(OR('Master Sheet'!$D$19="YES",'Marks Entry'!$BA$1=1),'Marks Entry'!AX62,""))</f>
        <v/>
      </c>
      <c r="DK62" s="827" t="str">
        <f t="shared" si="110"/>
        <v/>
      </c>
      <c r="DL62" s="827" t="str">
        <f t="shared" si="111"/>
        <v/>
      </c>
      <c r="DM62" s="826" t="str">
        <f>IF('Marks Entry'!AY62="","",IF(OR('Master Sheet'!$D$19="YES",'Marks Entry'!$BA$1=1),'Marks Entry'!AY62,""))</f>
        <v/>
      </c>
      <c r="DN62" s="826" t="str">
        <f>IF('Marks Entry'!AZ62="","",IF(OR('Master Sheet'!$D$19="YES",'Marks Entry'!$BA$1=1),'Marks Entry'!AZ62,""))</f>
        <v/>
      </c>
      <c r="DO62" s="826" t="str">
        <f>IF('Marks Entry'!BA62="","",IF(OR('Master Sheet'!$D$19="YES",'Marks Entry'!$BA$1=1),'Marks Entry'!BA62,""))</f>
        <v/>
      </c>
      <c r="DP62" s="827" t="str">
        <f t="shared" si="112"/>
        <v/>
      </c>
      <c r="DQ62" s="157" t="str">
        <f t="shared" si="113"/>
        <v/>
      </c>
      <c r="DR62" s="157" t="str">
        <f t="shared" si="114"/>
        <v/>
      </c>
      <c r="DS62" s="157" t="str">
        <f t="shared" si="115"/>
        <v/>
      </c>
      <c r="DT62" s="192" t="str">
        <f t="shared" si="116"/>
        <v/>
      </c>
      <c r="DU62" s="153">
        <f t="shared" si="117"/>
        <v>0</v>
      </c>
      <c r="DV62" s="154" t="e">
        <f t="shared" si="118"/>
        <v>#VALUE!</v>
      </c>
      <c r="DW62" s="154" t="str">
        <f t="shared" si="119"/>
        <v/>
      </c>
      <c r="DX62" s="154" t="str">
        <f>IF(OR($B62="NSO",$B62=0,DS62=""),"",IF(AND(DJ62="",DO62=""),"",IF('Master Sheet'!$D$19="YES",$DO$6-COUNTIF(DO62,"ML")*DO$6,DS$6-(COUNTIF(DJ62,"ML")*DJ$6)-(COUNTIF(DO62,"ML")*DO$6))))</f>
        <v/>
      </c>
      <c r="DY62" s="154" t="str">
        <f>IF(OR($B62="NSO",$B62=0),"",IF(AND(DH62="",DI62="",DM62=""),"",IF(AND('Master Sheet'!$D$19="YES",'Marks Entry'!$BA$1=1),100,IF(AND(DJ62="",DO62=""),SUM(($DQ$7+$DR$7)-(DU62+DV62)),SUM(($DQ$6+$DR$6)-(DU62+DV62))))))</f>
        <v/>
      </c>
      <c r="DZ62" s="153" t="str">
        <f t="shared" si="120"/>
        <v/>
      </c>
      <c r="EA62" s="154" t="str">
        <f t="shared" si="121"/>
        <v/>
      </c>
      <c r="EB62" s="153" t="str">
        <f t="shared" si="122"/>
        <v/>
      </c>
      <c r="EC62" s="584" t="str">
        <f>IF('Marks Entry'!BB62="","",'Marks Entry'!BB62)</f>
        <v/>
      </c>
      <c r="ED62" s="584" t="str">
        <f>IF('Marks Entry'!BC62="","",'Marks Entry'!BC62)</f>
        <v/>
      </c>
      <c r="EE62" s="584" t="str">
        <f>IF('Marks Entry'!BD62="","",'Marks Entry'!BD62)</f>
        <v/>
      </c>
      <c r="EF62" s="590" t="str">
        <f t="shared" si="123"/>
        <v/>
      </c>
      <c r="EG62" s="595">
        <f t="shared" si="124"/>
        <v>0</v>
      </c>
      <c r="EH62" s="595">
        <f t="shared" si="125"/>
        <v>0</v>
      </c>
      <c r="EI62" s="193" t="str">
        <f t="shared" si="126"/>
        <v/>
      </c>
      <c r="EJ62" s="595" t="str">
        <f t="shared" si="127"/>
        <v/>
      </c>
      <c r="EK62" s="595" t="str">
        <f t="shared" si="128"/>
        <v/>
      </c>
      <c r="EL62" s="194" t="str">
        <f t="shared" si="129"/>
        <v/>
      </c>
      <c r="EM62" s="194" t="str">
        <f t="shared" si="130"/>
        <v/>
      </c>
      <c r="EN62" s="194" t="str">
        <f t="shared" si="131"/>
        <v/>
      </c>
      <c r="EO62" s="194" t="str">
        <f t="shared" si="132"/>
        <v/>
      </c>
      <c r="EP62" s="194" t="str">
        <f t="shared" si="133"/>
        <v/>
      </c>
      <c r="EQ62" s="194" t="str">
        <f t="shared" si="134"/>
        <v/>
      </c>
      <c r="ER62" s="195">
        <f t="shared" si="135"/>
        <v>0</v>
      </c>
      <c r="ES62" s="195">
        <f t="shared" si="136"/>
        <v>0</v>
      </c>
      <c r="ET62" s="195">
        <f t="shared" si="137"/>
        <v>0</v>
      </c>
      <c r="EU62" s="195">
        <f t="shared" si="138"/>
        <v>0</v>
      </c>
      <c r="EV62" s="195">
        <f t="shared" si="139"/>
        <v>0</v>
      </c>
      <c r="EW62" s="195" t="str">
        <f t="shared" si="140"/>
        <v/>
      </c>
      <c r="EX62" s="196" t="str">
        <f t="shared" si="141"/>
        <v/>
      </c>
      <c r="EY62" s="197" t="str">
        <f>IF('Marks Entry'!BE62="","",'Marks Entry'!BE62)</f>
        <v/>
      </c>
      <c r="EZ62" s="197" t="str">
        <f>IF('Marks Entry'!BF62="","",'Marks Entry'!BF62)</f>
        <v/>
      </c>
      <c r="FA62" s="197" t="str">
        <f>IF('Marks Entry'!BG62="","",'Marks Entry'!BG62)</f>
        <v/>
      </c>
      <c r="FB62" s="596" t="str">
        <f t="shared" si="142"/>
        <v/>
      </c>
      <c r="FC62" s="197" t="str">
        <f>IF('Marks Entry'!BH62="","",'Marks Entry'!BH62)</f>
        <v/>
      </c>
      <c r="FD62" s="197" t="str">
        <f>IF('Marks Entry'!BI62="","",'Marks Entry'!BI62)</f>
        <v/>
      </c>
      <c r="FE62" s="198" t="str">
        <f t="shared" si="143"/>
        <v/>
      </c>
      <c r="FF62" s="199" t="str">
        <f t="shared" si="144"/>
        <v/>
      </c>
      <c r="FG62" s="200" t="str">
        <f>IF(AND(E62=""),"",IF('Student DATA Entry'!L58="","",'Student DATA Entry'!L58))</f>
        <v/>
      </c>
      <c r="FH62" s="201" t="str">
        <f>IF(AND(E62=""),"",IF('Student DATA Entry'!M58="","",'Student DATA Entry'!M58))</f>
        <v/>
      </c>
      <c r="FI62" s="202" t="str">
        <f t="shared" si="145"/>
        <v/>
      </c>
      <c r="FJ62" s="189" t="str">
        <f t="shared" si="146"/>
        <v/>
      </c>
      <c r="FK62" s="189" t="str">
        <f t="shared" si="147"/>
        <v/>
      </c>
      <c r="FL62" s="203" t="str">
        <f t="shared" si="178"/>
        <v/>
      </c>
      <c r="FM62" s="189" t="str">
        <f t="shared" si="148"/>
        <v/>
      </c>
      <c r="FN62" s="204" t="str">
        <f t="shared" si="149"/>
        <v/>
      </c>
      <c r="FO62" s="203" t="str">
        <f t="shared" si="179"/>
        <v/>
      </c>
      <c r="FP62" s="205" t="str">
        <f t="shared" si="150"/>
        <v/>
      </c>
      <c r="FQ62" s="189" t="str">
        <f t="shared" si="180"/>
        <v/>
      </c>
      <c r="FR62" s="189" t="str">
        <f t="shared" si="181"/>
        <v/>
      </c>
      <c r="FS62" s="189" t="str">
        <f t="shared" si="182"/>
        <v/>
      </c>
      <c r="FT62" s="189" t="str">
        <f t="shared" si="183"/>
        <v/>
      </c>
      <c r="FU62" s="189" t="str">
        <f t="shared" si="151"/>
        <v/>
      </c>
      <c r="FV62" s="206" t="str">
        <f t="shared" si="184"/>
        <v/>
      </c>
      <c r="FW62" s="205" t="str">
        <f t="shared" si="152"/>
        <v/>
      </c>
      <c r="FX62" s="189" t="str">
        <f t="shared" si="185"/>
        <v/>
      </c>
      <c r="FY62" s="189" t="str">
        <f t="shared" si="186"/>
        <v/>
      </c>
      <c r="FZ62" s="189" t="str">
        <f t="shared" si="187"/>
        <v/>
      </c>
      <c r="GA62" s="189" t="str">
        <f t="shared" si="188"/>
        <v/>
      </c>
      <c r="GB62" s="189" t="str">
        <f t="shared" si="153"/>
        <v/>
      </c>
      <c r="GC62" s="206" t="str">
        <f t="shared" si="189"/>
        <v/>
      </c>
      <c r="GD62" s="205" t="str">
        <f t="shared" si="154"/>
        <v/>
      </c>
      <c r="GE62" s="189" t="str">
        <f t="shared" si="190"/>
        <v/>
      </c>
      <c r="GF62" s="189" t="str">
        <f t="shared" si="191"/>
        <v/>
      </c>
      <c r="GG62" s="189" t="str">
        <f t="shared" si="192"/>
        <v/>
      </c>
      <c r="GH62" s="189" t="str">
        <f t="shared" si="193"/>
        <v/>
      </c>
      <c r="GI62" s="189" t="str">
        <f t="shared" si="155"/>
        <v/>
      </c>
      <c r="GJ62" s="206" t="str">
        <f t="shared" si="194"/>
        <v/>
      </c>
      <c r="GK62" s="205" t="str">
        <f t="shared" si="156"/>
        <v/>
      </c>
      <c r="GL62" s="189" t="str">
        <f t="shared" si="195"/>
        <v/>
      </c>
      <c r="GM62" s="189" t="str">
        <f t="shared" si="196"/>
        <v/>
      </c>
      <c r="GN62" s="189" t="str">
        <f t="shared" si="197"/>
        <v/>
      </c>
      <c r="GO62" s="189" t="str">
        <f t="shared" si="198"/>
        <v/>
      </c>
      <c r="GP62" s="189" t="str">
        <f t="shared" si="157"/>
        <v/>
      </c>
      <c r="GQ62" s="206" t="str">
        <f t="shared" si="199"/>
        <v/>
      </c>
      <c r="GR62" s="189" t="str">
        <f t="shared" si="158"/>
        <v/>
      </c>
      <c r="GS62" s="189" t="str">
        <f t="shared" si="159"/>
        <v/>
      </c>
      <c r="GT62" s="207" t="str">
        <f t="shared" si="177"/>
        <v xml:space="preserve">    </v>
      </c>
      <c r="GU62" s="207" t="str">
        <f t="shared" si="160"/>
        <v xml:space="preserve">    </v>
      </c>
      <c r="GV62" s="207" t="str">
        <f t="shared" si="161"/>
        <v xml:space="preserve">    </v>
      </c>
      <c r="GW62" s="207" t="str">
        <f t="shared" si="162"/>
        <v xml:space="preserve">       </v>
      </c>
      <c r="GX62" s="598" t="str">
        <f t="shared" si="163"/>
        <v xml:space="preserve">     </v>
      </c>
      <c r="GY62" s="208" t="str">
        <f t="shared" si="200"/>
        <v/>
      </c>
      <c r="GZ62" s="606" t="str">
        <f>IF(AND(Q62="",AE62="",AZ62="",BW62="",CT62=""),"",IF(AND('Master Sheet'!$D$19="YES",'Marks Entry'!$BA$1=1),SUM(Q62,AE62,AZ62,BW62,DT62),SUM(Q62,AE62,AZ62,BW62,CT62)))</f>
        <v/>
      </c>
      <c r="HA62" s="209" t="str">
        <f>IF(GZ62="","",IF(AND('Master Sheet'!$D$19="YES",'Marks Entry'!$BA$1=1),GZ62/((900)-DC62)*100,GZ62/((1000)-DC62)*100))</f>
        <v/>
      </c>
      <c r="HB62" s="611" t="str">
        <f t="shared" si="165"/>
        <v/>
      </c>
      <c r="HC62" s="609" t="str">
        <f t="shared" si="166"/>
        <v/>
      </c>
      <c r="HD62" s="610" t="str">
        <f t="shared" si="167"/>
        <v/>
      </c>
      <c r="HE62" s="210" t="str">
        <f>IFERROR(IF(OR(GY62="SUPPLEMENTARY",GY62="RE-EXAM"),'Supp. Result Entry'!AS61,""),"")</f>
        <v/>
      </c>
      <c r="HF62" s="613" t="str">
        <f t="shared" si="168"/>
        <v/>
      </c>
      <c r="HG62" s="598" t="str">
        <f t="shared" si="169"/>
        <v/>
      </c>
      <c r="HH62" s="598" t="str">
        <f>IF(AND(HE62="",HF62="",HG62=""),"",IF(OR(GY62="SUPPLEMENTARY",GY62="RE-EXAM"),'Supp. Result Entry'!AS61,GY62))</f>
        <v/>
      </c>
      <c r="HI62" s="180"/>
      <c r="HY62" s="212" t="str">
        <f>IF('Supp. Result Entry'!U61="","",'Supp. Result Entry'!$U$6)</f>
        <v/>
      </c>
      <c r="HZ62" s="213" t="str">
        <f>IF('Supp. Result Entry'!X61="","",'Supp. Result Entry'!$X$6)</f>
        <v/>
      </c>
      <c r="IA62" s="213" t="str">
        <f>IF('Supp. Result Entry'!AA61="","",'Supp. Result Entry'!$AA$6)</f>
        <v/>
      </c>
      <c r="IB62" s="213" t="str">
        <f>IF('Supp. Result Entry'!AD61="","",'Supp. Result Entry'!$AD$6)</f>
        <v/>
      </c>
      <c r="IC62" s="213" t="str">
        <f>IF('Supp. Result Entry'!AG61="","",'Supp. Result Entry'!$AG$6)</f>
        <v/>
      </c>
      <c r="ID62" s="213" t="str">
        <f>IF('Supp. Result Entry'!AJ61="","",'Supp. Result Entry'!$AJ$6)</f>
        <v/>
      </c>
      <c r="IE62" s="213" t="str">
        <f>IF('Supp. Result Entry'!V61="","",'Supp. Result Entry'!V61)</f>
        <v/>
      </c>
      <c r="IF62" s="213" t="str">
        <f>IF('Supp. Result Entry'!Y61="","",'Supp. Result Entry'!Y61)</f>
        <v/>
      </c>
      <c r="IG62" s="213" t="str">
        <f>IF('Supp. Result Entry'!AB61="","",'Supp. Result Entry'!AB61)</f>
        <v/>
      </c>
      <c r="IH62" s="213" t="str">
        <f>IF('Supp. Result Entry'!AE61="","",'Supp. Result Entry'!AE61)</f>
        <v/>
      </c>
      <c r="II62" s="213" t="str">
        <f>IF('Supp. Result Entry'!AH61="","",'Supp. Result Entry'!AH61)</f>
        <v/>
      </c>
      <c r="IJ62" s="213" t="str">
        <f>IF('Supp. Result Entry'!AK61="","",'Supp. Result Entry'!AK61)</f>
        <v/>
      </c>
      <c r="IK62" s="213" t="str">
        <f>IF('Supp. Result Entry'!W61="","",'Supp. Result Entry'!W61)</f>
        <v/>
      </c>
      <c r="IL62" s="213" t="str">
        <f>IF('Supp. Result Entry'!Z61="","",'Supp. Result Entry'!Z61)</f>
        <v/>
      </c>
      <c r="IM62" s="213" t="str">
        <f>IF('Supp. Result Entry'!AC61="","",'Supp. Result Entry'!AC61)</f>
        <v/>
      </c>
      <c r="IN62" s="213" t="str">
        <f>IF('Supp. Result Entry'!AF61="","",'Supp. Result Entry'!AF61)</f>
        <v/>
      </c>
      <c r="IO62" s="213" t="str">
        <f>IF('Supp. Result Entry'!AI61="","",'Supp. Result Entry'!AI61)</f>
        <v/>
      </c>
      <c r="IP62" s="213" t="str">
        <f>IF('Supp. Result Entry'!AL61="","",'Supp. Result Entry'!AL61)</f>
        <v/>
      </c>
      <c r="IQ62" s="213">
        <f>COUNTIF('Supp. Result Entry'!K61:Q61,"S")</f>
        <v>0</v>
      </c>
      <c r="IR62" s="213">
        <f t="shared" si="170"/>
        <v>0</v>
      </c>
      <c r="IS62" s="213">
        <f t="shared" si="171"/>
        <v>0</v>
      </c>
      <c r="IT62" s="213" t="str">
        <f t="shared" si="41"/>
        <v/>
      </c>
      <c r="IU62" s="213" t="str">
        <f t="shared" si="42"/>
        <v/>
      </c>
      <c r="IV62" s="213" t="str">
        <f t="shared" si="43"/>
        <v/>
      </c>
      <c r="IW62" s="213" t="str">
        <f t="shared" si="44"/>
        <v/>
      </c>
      <c r="IX62" s="213" t="str">
        <f t="shared" si="45"/>
        <v/>
      </c>
      <c r="IY62" s="213" t="str">
        <f t="shared" si="172"/>
        <v/>
      </c>
      <c r="IZ62" s="213" t="str">
        <f t="shared" si="173"/>
        <v/>
      </c>
      <c r="JA62" s="213" t="str">
        <f t="shared" si="46"/>
        <v/>
      </c>
      <c r="JB62" s="211" t="str">
        <f t="shared" si="174"/>
        <v/>
      </c>
    </row>
    <row r="63" spans="1:262" s="211" customFormat="1" ht="21" customHeight="1">
      <c r="A63" s="184">
        <v>56</v>
      </c>
      <c r="B63" s="185" t="str">
        <f>IF('Marks Entry'!B63="","",'Marks Entry'!B63)</f>
        <v/>
      </c>
      <c r="C63" s="186" t="str">
        <f>IF('Marks Entry'!D63="","",'Marks Entry'!D63)</f>
        <v/>
      </c>
      <c r="D63" s="187" t="str">
        <f>IF('Marks Entry'!E63="","",'Marks Entry'!E63)</f>
        <v/>
      </c>
      <c r="E63" s="188" t="str">
        <f>IF('Marks Entry'!F63="","",'Marks Entry'!F63)</f>
        <v/>
      </c>
      <c r="F63" s="188" t="str">
        <f>IF('Marks Entry'!G63="","",'Marks Entry'!G63)</f>
        <v/>
      </c>
      <c r="G63" s="188" t="str">
        <f>IF('Marks Entry'!H63="","",'Marks Entry'!H63)</f>
        <v/>
      </c>
      <c r="H63" s="189" t="str">
        <f>IF('Marks Entry'!I63="","",'Marks Entry'!I63)</f>
        <v/>
      </c>
      <c r="I63" s="190" t="str">
        <f>IF('Marks Entry'!J63="","",'Marks Entry'!J63)</f>
        <v/>
      </c>
      <c r="J63" s="545" t="str">
        <f>IF('Marks Entry'!K63="","",'Marks Entry'!K63)</f>
        <v/>
      </c>
      <c r="K63" s="545" t="str">
        <f>IF('Marks Entry'!L63="","",'Marks Entry'!L63)</f>
        <v/>
      </c>
      <c r="L63" s="545" t="str">
        <f>IF('Marks Entry'!M63="","",'Marks Entry'!M63)</f>
        <v/>
      </c>
      <c r="M63" s="546" t="str">
        <f t="shared" si="47"/>
        <v/>
      </c>
      <c r="N63" s="545" t="str">
        <f>IF('Marks Entry'!N63="","",'Marks Entry'!N63)</f>
        <v/>
      </c>
      <c r="O63" s="546" t="str">
        <f t="shared" si="48"/>
        <v/>
      </c>
      <c r="P63" s="545" t="str">
        <f>IF('Marks Entry'!O63="","",'Marks Entry'!O63)</f>
        <v/>
      </c>
      <c r="Q63" s="547" t="str">
        <f t="shared" si="49"/>
        <v/>
      </c>
      <c r="R63" s="153">
        <f t="shared" si="50"/>
        <v>0</v>
      </c>
      <c r="S63" s="153">
        <f t="shared" si="51"/>
        <v>0</v>
      </c>
      <c r="T63" s="154" t="str">
        <f t="shared" si="52"/>
        <v/>
      </c>
      <c r="U63" s="153" t="str">
        <f t="shared" si="53"/>
        <v/>
      </c>
      <c r="V63" s="153" t="str">
        <f t="shared" si="54"/>
        <v/>
      </c>
      <c r="W63" s="153" t="str">
        <f t="shared" si="55"/>
        <v/>
      </c>
      <c r="X63" s="545" t="str">
        <f>IF('Marks Entry'!P63="","",'Marks Entry'!P63)</f>
        <v/>
      </c>
      <c r="Y63" s="545" t="str">
        <f>IF('Marks Entry'!Q63="","",'Marks Entry'!Q63)</f>
        <v/>
      </c>
      <c r="Z63" s="545" t="str">
        <f>IF('Marks Entry'!R63="","",'Marks Entry'!R63)</f>
        <v/>
      </c>
      <c r="AA63" s="546" t="str">
        <f t="shared" si="56"/>
        <v/>
      </c>
      <c r="AB63" s="545" t="str">
        <f>IF('Marks Entry'!S63="","",'Marks Entry'!S63)</f>
        <v/>
      </c>
      <c r="AC63" s="546" t="str">
        <f t="shared" si="57"/>
        <v/>
      </c>
      <c r="AD63" s="545" t="str">
        <f>IF('Marks Entry'!T63="","",'Marks Entry'!T63)</f>
        <v/>
      </c>
      <c r="AE63" s="547" t="str">
        <f t="shared" si="58"/>
        <v/>
      </c>
      <c r="AF63" s="153">
        <f t="shared" si="59"/>
        <v>0</v>
      </c>
      <c r="AG63" s="153">
        <f t="shared" si="60"/>
        <v>0</v>
      </c>
      <c r="AH63" s="154" t="str">
        <f t="shared" si="61"/>
        <v/>
      </c>
      <c r="AI63" s="153" t="str">
        <f t="shared" si="62"/>
        <v/>
      </c>
      <c r="AJ63" s="153" t="str">
        <f t="shared" si="63"/>
        <v/>
      </c>
      <c r="AK63" s="153" t="str">
        <f t="shared" si="64"/>
        <v/>
      </c>
      <c r="AL63" s="573" t="str">
        <f>IF('Marks Entry'!U63="","",'Marks Entry'!U63)</f>
        <v/>
      </c>
      <c r="AM63" s="573" t="str">
        <f>IF('Marks Entry'!V63="","",'Marks Entry'!V63)</f>
        <v/>
      </c>
      <c r="AN63" s="573" t="str">
        <f>IF('Marks Entry'!W63="","",'Marks Entry'!W63)</f>
        <v/>
      </c>
      <c r="AO63" s="573" t="str">
        <f>IF('Marks Entry'!X63="","",'Marks Entry'!X63)</f>
        <v/>
      </c>
      <c r="AP63" s="572" t="str">
        <f t="shared" si="65"/>
        <v/>
      </c>
      <c r="AQ63" s="573" t="str">
        <f>IF('Marks Entry'!Y63="","",'Marks Entry'!Y63)</f>
        <v/>
      </c>
      <c r="AR63" s="573" t="str">
        <f>IF('Marks Entry'!Z63="","",'Marks Entry'!Z63)</f>
        <v/>
      </c>
      <c r="AS63" s="572" t="str">
        <f t="shared" si="66"/>
        <v/>
      </c>
      <c r="AT63" s="572" t="str">
        <f t="shared" si="67"/>
        <v/>
      </c>
      <c r="AU63" s="573" t="str">
        <f>IF('Marks Entry'!AA63="","",'Marks Entry'!AA63)</f>
        <v/>
      </c>
      <c r="AV63" s="573" t="str">
        <f>IF('Marks Entry'!AB63="","",'Marks Entry'!AB63)</f>
        <v/>
      </c>
      <c r="AW63" s="572" t="str">
        <f t="shared" si="68"/>
        <v/>
      </c>
      <c r="AX63" s="157" t="str">
        <f t="shared" si="69"/>
        <v/>
      </c>
      <c r="AY63" s="157" t="str">
        <f t="shared" si="70"/>
        <v/>
      </c>
      <c r="AZ63" s="192" t="str">
        <f t="shared" si="71"/>
        <v/>
      </c>
      <c r="BA63" s="153">
        <f t="shared" si="72"/>
        <v>0</v>
      </c>
      <c r="BB63" s="154">
        <f t="shared" si="73"/>
        <v>0</v>
      </c>
      <c r="BC63" s="154" t="str">
        <f t="shared" si="74"/>
        <v/>
      </c>
      <c r="BD63" s="154" t="str">
        <f t="shared" si="75"/>
        <v/>
      </c>
      <c r="BE63" s="154" t="str">
        <f t="shared" si="76"/>
        <v/>
      </c>
      <c r="BF63" s="153" t="str">
        <f t="shared" si="77"/>
        <v/>
      </c>
      <c r="BG63" s="154" t="str">
        <f t="shared" si="175"/>
        <v/>
      </c>
      <c r="BH63" s="153" t="str">
        <f t="shared" si="78"/>
        <v/>
      </c>
      <c r="BI63" s="580" t="str">
        <f>IF('Marks Entry'!AC63="","",'Marks Entry'!AC63)</f>
        <v/>
      </c>
      <c r="BJ63" s="580" t="str">
        <f>IF('Marks Entry'!AD63="","",'Marks Entry'!AD63)</f>
        <v/>
      </c>
      <c r="BK63" s="580" t="str">
        <f>IF('Marks Entry'!AE63="","",'Marks Entry'!AE63)</f>
        <v/>
      </c>
      <c r="BL63" s="580" t="str">
        <f>IF('Marks Entry'!AF63="","",'Marks Entry'!AF63)</f>
        <v/>
      </c>
      <c r="BM63" s="581" t="str">
        <f t="shared" si="79"/>
        <v/>
      </c>
      <c r="BN63" s="580" t="str">
        <f>IF('Marks Entry'!AG63="","",'Marks Entry'!AG63)</f>
        <v/>
      </c>
      <c r="BO63" s="580" t="str">
        <f>IF('Marks Entry'!AH63="","",'Marks Entry'!AH63)</f>
        <v/>
      </c>
      <c r="BP63" s="581" t="str">
        <f t="shared" si="80"/>
        <v/>
      </c>
      <c r="BQ63" s="581" t="str">
        <f t="shared" si="81"/>
        <v/>
      </c>
      <c r="BR63" s="580" t="str">
        <f>IF('Marks Entry'!AI63="","",'Marks Entry'!AI63)</f>
        <v/>
      </c>
      <c r="BS63" s="580" t="str">
        <f>IF('Marks Entry'!AJ63="","",'Marks Entry'!AJ63)</f>
        <v/>
      </c>
      <c r="BT63" s="581" t="str">
        <f t="shared" si="82"/>
        <v/>
      </c>
      <c r="BU63" s="157" t="str">
        <f t="shared" si="83"/>
        <v/>
      </c>
      <c r="BV63" s="157" t="str">
        <f t="shared" si="84"/>
        <v/>
      </c>
      <c r="BW63" s="192" t="str">
        <f t="shared" si="85"/>
        <v/>
      </c>
      <c r="BX63" s="153">
        <f t="shared" si="86"/>
        <v>0</v>
      </c>
      <c r="BY63" s="154">
        <f t="shared" si="87"/>
        <v>0</v>
      </c>
      <c r="BZ63" s="154" t="str">
        <f t="shared" si="88"/>
        <v/>
      </c>
      <c r="CA63" s="154" t="str">
        <f t="shared" si="89"/>
        <v/>
      </c>
      <c r="CB63" s="154" t="str">
        <f t="shared" si="90"/>
        <v/>
      </c>
      <c r="CC63" s="153" t="str">
        <f t="shared" si="91"/>
        <v/>
      </c>
      <c r="CD63" s="154" t="str">
        <f t="shared" si="92"/>
        <v/>
      </c>
      <c r="CE63" s="153" t="str">
        <f t="shared" si="93"/>
        <v/>
      </c>
      <c r="CF63" s="580" t="str">
        <f>IF('Marks Entry'!AK63="","",'Marks Entry'!AK63)</f>
        <v/>
      </c>
      <c r="CG63" s="580" t="str">
        <f>IF('Marks Entry'!AL63="","",'Marks Entry'!AL63)</f>
        <v/>
      </c>
      <c r="CH63" s="580" t="str">
        <f>IF('Marks Entry'!AM63="","",'Marks Entry'!AM63)</f>
        <v/>
      </c>
      <c r="CI63" s="580" t="str">
        <f>IF('Marks Entry'!AN63="","",'Marks Entry'!AN63)</f>
        <v/>
      </c>
      <c r="CJ63" s="581" t="str">
        <f t="shared" si="94"/>
        <v/>
      </c>
      <c r="CK63" s="580" t="str">
        <f>IF('Marks Entry'!AO63="","",'Marks Entry'!AO63)</f>
        <v/>
      </c>
      <c r="CL63" s="580" t="str">
        <f>IF('Marks Entry'!AP63="","",'Marks Entry'!AP63)</f>
        <v/>
      </c>
      <c r="CM63" s="581" t="str">
        <f t="shared" si="95"/>
        <v/>
      </c>
      <c r="CN63" s="581" t="str">
        <f t="shared" si="96"/>
        <v/>
      </c>
      <c r="CO63" s="580" t="str">
        <f>IF('Marks Entry'!AQ63="","",'Marks Entry'!AQ63)</f>
        <v/>
      </c>
      <c r="CP63" s="580" t="str">
        <f>IF('Marks Entry'!AR63="","",'Marks Entry'!AR63)</f>
        <v/>
      </c>
      <c r="CQ63" s="581" t="str">
        <f t="shared" si="97"/>
        <v/>
      </c>
      <c r="CR63" s="157" t="str">
        <f t="shared" si="98"/>
        <v/>
      </c>
      <c r="CS63" s="157" t="str">
        <f t="shared" si="99"/>
        <v/>
      </c>
      <c r="CT63" s="192" t="str">
        <f t="shared" si="100"/>
        <v/>
      </c>
      <c r="CU63" s="153">
        <f t="shared" si="101"/>
        <v>0</v>
      </c>
      <c r="CV63" s="154">
        <f t="shared" si="102"/>
        <v>0</v>
      </c>
      <c r="CW63" s="154" t="str">
        <f t="shared" si="103"/>
        <v/>
      </c>
      <c r="CX63" s="154" t="str">
        <f t="shared" si="104"/>
        <v/>
      </c>
      <c r="CY63" s="154" t="str">
        <f t="shared" si="176"/>
        <v/>
      </c>
      <c r="CZ63" s="153" t="str">
        <f t="shared" si="105"/>
        <v/>
      </c>
      <c r="DA63" s="154" t="str">
        <f t="shared" si="106"/>
        <v/>
      </c>
      <c r="DB63" s="153" t="str">
        <f t="shared" si="107"/>
        <v/>
      </c>
      <c r="DC63" s="154">
        <f t="shared" si="108"/>
        <v>0</v>
      </c>
      <c r="DD63" s="826" t="str">
        <f>IF('Marks Entry'!AS63="","",IF(OR('Master Sheet'!$D$19="YES",'Marks Entry'!$BA$1=1),'Marks Entry'!AS63,""))</f>
        <v/>
      </c>
      <c r="DE63" s="826" t="str">
        <f>IF('Marks Entry'!AT63="","",IF(OR('Master Sheet'!$D$19="YES",'Marks Entry'!$BA$1=1),'Marks Entry'!AT63,""))</f>
        <v/>
      </c>
      <c r="DF63" s="826" t="str">
        <f>IF('Marks Entry'!AU63="","",IF(OR('Master Sheet'!$D$19="YES",'Marks Entry'!$BA$1=1),'Marks Entry'!AU63,""))</f>
        <v/>
      </c>
      <c r="DG63" s="826" t="str">
        <f>IF('Marks Entry'!AV63="","",IF(OR('Master Sheet'!$D$19="YES",'Marks Entry'!$BA$1=1),'Marks Entry'!AV63,""))</f>
        <v/>
      </c>
      <c r="DH63" s="827" t="str">
        <f t="shared" si="109"/>
        <v/>
      </c>
      <c r="DI63" s="826" t="str">
        <f>IF('Marks Entry'!AW63="","",IF(OR('Master Sheet'!$D$19="YES",'Marks Entry'!$BA$1=1),'Marks Entry'!AW63,""))</f>
        <v/>
      </c>
      <c r="DJ63" s="826" t="str">
        <f>IF('Marks Entry'!AX63="","",IF(OR('Master Sheet'!$D$19="YES",'Marks Entry'!$BA$1=1),'Marks Entry'!AX63,""))</f>
        <v/>
      </c>
      <c r="DK63" s="827" t="str">
        <f t="shared" si="110"/>
        <v/>
      </c>
      <c r="DL63" s="827" t="str">
        <f t="shared" si="111"/>
        <v/>
      </c>
      <c r="DM63" s="826" t="str">
        <f>IF('Marks Entry'!AY63="","",IF(OR('Master Sheet'!$D$19="YES",'Marks Entry'!$BA$1=1),'Marks Entry'!AY63,""))</f>
        <v/>
      </c>
      <c r="DN63" s="826" t="str">
        <f>IF('Marks Entry'!AZ63="","",IF(OR('Master Sheet'!$D$19="YES",'Marks Entry'!$BA$1=1),'Marks Entry'!AZ63,""))</f>
        <v/>
      </c>
      <c r="DO63" s="826" t="str">
        <f>IF('Marks Entry'!BA63="","",IF(OR('Master Sheet'!$D$19="YES",'Marks Entry'!$BA$1=1),'Marks Entry'!BA63,""))</f>
        <v/>
      </c>
      <c r="DP63" s="827" t="str">
        <f t="shared" si="112"/>
        <v/>
      </c>
      <c r="DQ63" s="157" t="str">
        <f t="shared" si="113"/>
        <v/>
      </c>
      <c r="DR63" s="157" t="str">
        <f t="shared" si="114"/>
        <v/>
      </c>
      <c r="DS63" s="157" t="str">
        <f t="shared" si="115"/>
        <v/>
      </c>
      <c r="DT63" s="192" t="str">
        <f t="shared" si="116"/>
        <v/>
      </c>
      <c r="DU63" s="153">
        <f t="shared" si="117"/>
        <v>0</v>
      </c>
      <c r="DV63" s="154" t="e">
        <f t="shared" si="118"/>
        <v>#VALUE!</v>
      </c>
      <c r="DW63" s="154" t="str">
        <f t="shared" si="119"/>
        <v/>
      </c>
      <c r="DX63" s="154" t="str">
        <f>IF(OR($B63="NSO",$B63=0,DS63=""),"",IF(AND(DJ63="",DO63=""),"",IF('Master Sheet'!$D$19="YES",$DO$6-COUNTIF(DO63,"ML")*DO$6,DS$6-(COUNTIF(DJ63,"ML")*DJ$6)-(COUNTIF(DO63,"ML")*DO$6))))</f>
        <v/>
      </c>
      <c r="DY63" s="154" t="str">
        <f>IF(OR($B63="NSO",$B63=0),"",IF(AND(DH63="",DI63="",DM63=""),"",IF(AND('Master Sheet'!$D$19="YES",'Marks Entry'!$BA$1=1),100,IF(AND(DJ63="",DO63=""),SUM(($DQ$7+$DR$7)-(DU63+DV63)),SUM(($DQ$6+$DR$6)-(DU63+DV63))))))</f>
        <v/>
      </c>
      <c r="DZ63" s="153" t="str">
        <f t="shared" si="120"/>
        <v/>
      </c>
      <c r="EA63" s="154" t="str">
        <f t="shared" si="121"/>
        <v/>
      </c>
      <c r="EB63" s="153" t="str">
        <f t="shared" si="122"/>
        <v/>
      </c>
      <c r="EC63" s="584" t="str">
        <f>IF('Marks Entry'!BB63="","",'Marks Entry'!BB63)</f>
        <v/>
      </c>
      <c r="ED63" s="584" t="str">
        <f>IF('Marks Entry'!BC63="","",'Marks Entry'!BC63)</f>
        <v/>
      </c>
      <c r="EE63" s="584" t="str">
        <f>IF('Marks Entry'!BD63="","",'Marks Entry'!BD63)</f>
        <v/>
      </c>
      <c r="EF63" s="590" t="str">
        <f t="shared" si="123"/>
        <v/>
      </c>
      <c r="EG63" s="595">
        <f t="shared" si="124"/>
        <v>0</v>
      </c>
      <c r="EH63" s="595">
        <f t="shared" si="125"/>
        <v>0</v>
      </c>
      <c r="EI63" s="193" t="str">
        <f t="shared" si="126"/>
        <v/>
      </c>
      <c r="EJ63" s="595" t="str">
        <f t="shared" si="127"/>
        <v/>
      </c>
      <c r="EK63" s="595" t="str">
        <f t="shared" si="128"/>
        <v/>
      </c>
      <c r="EL63" s="194" t="str">
        <f t="shared" si="129"/>
        <v/>
      </c>
      <c r="EM63" s="194" t="str">
        <f t="shared" si="130"/>
        <v/>
      </c>
      <c r="EN63" s="194" t="str">
        <f t="shared" si="131"/>
        <v/>
      </c>
      <c r="EO63" s="194" t="str">
        <f t="shared" si="132"/>
        <v/>
      </c>
      <c r="EP63" s="194" t="str">
        <f t="shared" si="133"/>
        <v/>
      </c>
      <c r="EQ63" s="194" t="str">
        <f t="shared" si="134"/>
        <v/>
      </c>
      <c r="ER63" s="195">
        <f t="shared" si="135"/>
        <v>0</v>
      </c>
      <c r="ES63" s="195">
        <f t="shared" si="136"/>
        <v>0</v>
      </c>
      <c r="ET63" s="195">
        <f t="shared" si="137"/>
        <v>0</v>
      </c>
      <c r="EU63" s="195">
        <f t="shared" si="138"/>
        <v>0</v>
      </c>
      <c r="EV63" s="195">
        <f t="shared" si="139"/>
        <v>0</v>
      </c>
      <c r="EW63" s="195" t="str">
        <f t="shared" si="140"/>
        <v/>
      </c>
      <c r="EX63" s="196" t="str">
        <f t="shared" si="141"/>
        <v/>
      </c>
      <c r="EY63" s="197" t="str">
        <f>IF('Marks Entry'!BE63="","",'Marks Entry'!BE63)</f>
        <v/>
      </c>
      <c r="EZ63" s="197" t="str">
        <f>IF('Marks Entry'!BF63="","",'Marks Entry'!BF63)</f>
        <v/>
      </c>
      <c r="FA63" s="197" t="str">
        <f>IF('Marks Entry'!BG63="","",'Marks Entry'!BG63)</f>
        <v/>
      </c>
      <c r="FB63" s="596" t="str">
        <f t="shared" si="142"/>
        <v/>
      </c>
      <c r="FC63" s="197" t="str">
        <f>IF('Marks Entry'!BH63="","",'Marks Entry'!BH63)</f>
        <v/>
      </c>
      <c r="FD63" s="197" t="str">
        <f>IF('Marks Entry'!BI63="","",'Marks Entry'!BI63)</f>
        <v/>
      </c>
      <c r="FE63" s="198" t="str">
        <f t="shared" si="143"/>
        <v/>
      </c>
      <c r="FF63" s="199" t="str">
        <f t="shared" si="144"/>
        <v/>
      </c>
      <c r="FG63" s="200" t="str">
        <f>IF(AND(E63=""),"",IF('Student DATA Entry'!L59="","",'Student DATA Entry'!L59))</f>
        <v/>
      </c>
      <c r="FH63" s="201" t="str">
        <f>IF(AND(E63=""),"",IF('Student DATA Entry'!M59="","",'Student DATA Entry'!M59))</f>
        <v/>
      </c>
      <c r="FI63" s="202" t="str">
        <f t="shared" si="145"/>
        <v/>
      </c>
      <c r="FJ63" s="189" t="str">
        <f t="shared" si="146"/>
        <v/>
      </c>
      <c r="FK63" s="189" t="str">
        <f t="shared" si="147"/>
        <v/>
      </c>
      <c r="FL63" s="203" t="str">
        <f t="shared" si="178"/>
        <v/>
      </c>
      <c r="FM63" s="189" t="str">
        <f t="shared" si="148"/>
        <v/>
      </c>
      <c r="FN63" s="204" t="str">
        <f t="shared" si="149"/>
        <v/>
      </c>
      <c r="FO63" s="203" t="str">
        <f t="shared" si="179"/>
        <v/>
      </c>
      <c r="FP63" s="205" t="str">
        <f t="shared" si="150"/>
        <v/>
      </c>
      <c r="FQ63" s="189" t="str">
        <f t="shared" si="180"/>
        <v/>
      </c>
      <c r="FR63" s="189" t="str">
        <f t="shared" si="181"/>
        <v/>
      </c>
      <c r="FS63" s="189" t="str">
        <f t="shared" si="182"/>
        <v/>
      </c>
      <c r="FT63" s="189" t="str">
        <f t="shared" si="183"/>
        <v/>
      </c>
      <c r="FU63" s="189" t="str">
        <f t="shared" si="151"/>
        <v/>
      </c>
      <c r="FV63" s="206" t="str">
        <f t="shared" si="184"/>
        <v/>
      </c>
      <c r="FW63" s="205" t="str">
        <f t="shared" si="152"/>
        <v/>
      </c>
      <c r="FX63" s="189" t="str">
        <f t="shared" si="185"/>
        <v/>
      </c>
      <c r="FY63" s="189" t="str">
        <f t="shared" si="186"/>
        <v/>
      </c>
      <c r="FZ63" s="189" t="str">
        <f t="shared" si="187"/>
        <v/>
      </c>
      <c r="GA63" s="189" t="str">
        <f t="shared" si="188"/>
        <v/>
      </c>
      <c r="GB63" s="189" t="str">
        <f t="shared" si="153"/>
        <v/>
      </c>
      <c r="GC63" s="206" t="str">
        <f t="shared" si="189"/>
        <v/>
      </c>
      <c r="GD63" s="205" t="str">
        <f t="shared" si="154"/>
        <v/>
      </c>
      <c r="GE63" s="189" t="str">
        <f t="shared" si="190"/>
        <v/>
      </c>
      <c r="GF63" s="189" t="str">
        <f t="shared" si="191"/>
        <v/>
      </c>
      <c r="GG63" s="189" t="str">
        <f t="shared" si="192"/>
        <v/>
      </c>
      <c r="GH63" s="189" t="str">
        <f t="shared" si="193"/>
        <v/>
      </c>
      <c r="GI63" s="189" t="str">
        <f t="shared" si="155"/>
        <v/>
      </c>
      <c r="GJ63" s="206" t="str">
        <f t="shared" si="194"/>
        <v/>
      </c>
      <c r="GK63" s="205" t="str">
        <f t="shared" si="156"/>
        <v/>
      </c>
      <c r="GL63" s="189" t="str">
        <f t="shared" si="195"/>
        <v/>
      </c>
      <c r="GM63" s="189" t="str">
        <f t="shared" si="196"/>
        <v/>
      </c>
      <c r="GN63" s="189" t="str">
        <f t="shared" si="197"/>
        <v/>
      </c>
      <c r="GO63" s="189" t="str">
        <f t="shared" si="198"/>
        <v/>
      </c>
      <c r="GP63" s="189" t="str">
        <f t="shared" si="157"/>
        <v/>
      </c>
      <c r="GQ63" s="206" t="str">
        <f t="shared" si="199"/>
        <v/>
      </c>
      <c r="GR63" s="189" t="str">
        <f t="shared" si="158"/>
        <v/>
      </c>
      <c r="GS63" s="189" t="str">
        <f t="shared" si="159"/>
        <v/>
      </c>
      <c r="GT63" s="207" t="str">
        <f t="shared" si="177"/>
        <v xml:space="preserve">    </v>
      </c>
      <c r="GU63" s="207" t="str">
        <f t="shared" si="160"/>
        <v xml:space="preserve">    </v>
      </c>
      <c r="GV63" s="207" t="str">
        <f t="shared" si="161"/>
        <v xml:space="preserve">    </v>
      </c>
      <c r="GW63" s="207" t="str">
        <f t="shared" si="162"/>
        <v xml:space="preserve">       </v>
      </c>
      <c r="GX63" s="598" t="str">
        <f t="shared" si="163"/>
        <v xml:space="preserve">     </v>
      </c>
      <c r="GY63" s="208" t="str">
        <f t="shared" si="200"/>
        <v/>
      </c>
      <c r="GZ63" s="606" t="str">
        <f>IF(AND(Q63="",AE63="",AZ63="",BW63="",CT63=""),"",IF(AND('Master Sheet'!$D$19="YES",'Marks Entry'!$BA$1=1),SUM(Q63,AE63,AZ63,BW63,DT63),SUM(Q63,AE63,AZ63,BW63,CT63)))</f>
        <v/>
      </c>
      <c r="HA63" s="209" t="str">
        <f>IF(GZ63="","",IF(AND('Master Sheet'!$D$19="YES",'Marks Entry'!$BA$1=1),GZ63/((900)-DC63)*100,GZ63/((1000)-DC63)*100))</f>
        <v/>
      </c>
      <c r="HB63" s="611" t="str">
        <f t="shared" si="165"/>
        <v/>
      </c>
      <c r="HC63" s="609" t="str">
        <f t="shared" si="166"/>
        <v/>
      </c>
      <c r="HD63" s="610" t="str">
        <f t="shared" si="167"/>
        <v/>
      </c>
      <c r="HE63" s="210" t="str">
        <f>IFERROR(IF(OR(GY63="SUPPLEMENTARY",GY63="RE-EXAM"),'Supp. Result Entry'!AS62,""),"")</f>
        <v/>
      </c>
      <c r="HF63" s="613" t="str">
        <f t="shared" si="168"/>
        <v/>
      </c>
      <c r="HG63" s="598" t="str">
        <f t="shared" si="169"/>
        <v/>
      </c>
      <c r="HH63" s="598" t="str">
        <f>IF(AND(HE63="",HF63="",HG63=""),"",IF(OR(GY63="SUPPLEMENTARY",GY63="RE-EXAM"),'Supp. Result Entry'!AS62,GY63))</f>
        <v/>
      </c>
      <c r="HI63" s="180"/>
      <c r="HY63" s="212" t="str">
        <f>IF('Supp. Result Entry'!U62="","",'Supp. Result Entry'!$U$6)</f>
        <v/>
      </c>
      <c r="HZ63" s="213" t="str">
        <f>IF('Supp. Result Entry'!X62="","",'Supp. Result Entry'!$X$6)</f>
        <v/>
      </c>
      <c r="IA63" s="213" t="str">
        <f>IF('Supp. Result Entry'!AA62="","",'Supp. Result Entry'!$AA$6)</f>
        <v/>
      </c>
      <c r="IB63" s="213" t="str">
        <f>IF('Supp. Result Entry'!AD62="","",'Supp. Result Entry'!$AD$6)</f>
        <v/>
      </c>
      <c r="IC63" s="213" t="str">
        <f>IF('Supp. Result Entry'!AG62="","",'Supp. Result Entry'!$AG$6)</f>
        <v/>
      </c>
      <c r="ID63" s="213" t="str">
        <f>IF('Supp. Result Entry'!AJ62="","",'Supp. Result Entry'!$AJ$6)</f>
        <v/>
      </c>
      <c r="IE63" s="213" t="str">
        <f>IF('Supp. Result Entry'!V62="","",'Supp. Result Entry'!V62)</f>
        <v/>
      </c>
      <c r="IF63" s="213" t="str">
        <f>IF('Supp. Result Entry'!Y62="","",'Supp. Result Entry'!Y62)</f>
        <v/>
      </c>
      <c r="IG63" s="213" t="str">
        <f>IF('Supp. Result Entry'!AB62="","",'Supp. Result Entry'!AB62)</f>
        <v/>
      </c>
      <c r="IH63" s="213" t="str">
        <f>IF('Supp. Result Entry'!AE62="","",'Supp. Result Entry'!AE62)</f>
        <v/>
      </c>
      <c r="II63" s="213" t="str">
        <f>IF('Supp. Result Entry'!AH62="","",'Supp. Result Entry'!AH62)</f>
        <v/>
      </c>
      <c r="IJ63" s="213" t="str">
        <f>IF('Supp. Result Entry'!AK62="","",'Supp. Result Entry'!AK62)</f>
        <v/>
      </c>
      <c r="IK63" s="213" t="str">
        <f>IF('Supp. Result Entry'!W62="","",'Supp. Result Entry'!W62)</f>
        <v/>
      </c>
      <c r="IL63" s="213" t="str">
        <f>IF('Supp. Result Entry'!Z62="","",'Supp. Result Entry'!Z62)</f>
        <v/>
      </c>
      <c r="IM63" s="213" t="str">
        <f>IF('Supp. Result Entry'!AC62="","",'Supp. Result Entry'!AC62)</f>
        <v/>
      </c>
      <c r="IN63" s="213" t="str">
        <f>IF('Supp. Result Entry'!AF62="","",'Supp. Result Entry'!AF62)</f>
        <v/>
      </c>
      <c r="IO63" s="213" t="str">
        <f>IF('Supp. Result Entry'!AI62="","",'Supp. Result Entry'!AI62)</f>
        <v/>
      </c>
      <c r="IP63" s="213" t="str">
        <f>IF('Supp. Result Entry'!AL62="","",'Supp. Result Entry'!AL62)</f>
        <v/>
      </c>
      <c r="IQ63" s="213">
        <f>COUNTIF('Supp. Result Entry'!K62:Q62,"S")</f>
        <v>0</v>
      </c>
      <c r="IR63" s="213">
        <f t="shared" si="170"/>
        <v>0</v>
      </c>
      <c r="IS63" s="213">
        <f t="shared" si="171"/>
        <v>0</v>
      </c>
      <c r="IT63" s="213" t="str">
        <f t="shared" si="41"/>
        <v/>
      </c>
      <c r="IU63" s="213" t="str">
        <f t="shared" si="42"/>
        <v/>
      </c>
      <c r="IV63" s="213" t="str">
        <f t="shared" si="43"/>
        <v/>
      </c>
      <c r="IW63" s="213" t="str">
        <f t="shared" si="44"/>
        <v/>
      </c>
      <c r="IX63" s="213" t="str">
        <f t="shared" si="45"/>
        <v/>
      </c>
      <c r="IY63" s="213" t="str">
        <f t="shared" si="172"/>
        <v/>
      </c>
      <c r="IZ63" s="213" t="str">
        <f t="shared" si="173"/>
        <v/>
      </c>
      <c r="JA63" s="213" t="str">
        <f t="shared" si="46"/>
        <v/>
      </c>
      <c r="JB63" s="211" t="str">
        <f t="shared" si="174"/>
        <v/>
      </c>
    </row>
    <row r="64" spans="1:262" s="211" customFormat="1" ht="21" customHeight="1">
      <c r="A64" s="184">
        <v>57</v>
      </c>
      <c r="B64" s="185" t="str">
        <f>IF('Marks Entry'!B64="","",'Marks Entry'!B64)</f>
        <v/>
      </c>
      <c r="C64" s="186" t="str">
        <f>IF('Marks Entry'!D64="","",'Marks Entry'!D64)</f>
        <v/>
      </c>
      <c r="D64" s="187" t="str">
        <f>IF('Marks Entry'!E64="","",'Marks Entry'!E64)</f>
        <v/>
      </c>
      <c r="E64" s="188" t="str">
        <f>IF('Marks Entry'!F64="","",'Marks Entry'!F64)</f>
        <v/>
      </c>
      <c r="F64" s="188" t="str">
        <f>IF('Marks Entry'!G64="","",'Marks Entry'!G64)</f>
        <v/>
      </c>
      <c r="G64" s="188" t="str">
        <f>IF('Marks Entry'!H64="","",'Marks Entry'!H64)</f>
        <v/>
      </c>
      <c r="H64" s="189" t="str">
        <f>IF('Marks Entry'!I64="","",'Marks Entry'!I64)</f>
        <v/>
      </c>
      <c r="I64" s="190" t="str">
        <f>IF('Marks Entry'!J64="","",'Marks Entry'!J64)</f>
        <v/>
      </c>
      <c r="J64" s="545" t="str">
        <f>IF('Marks Entry'!K64="","",'Marks Entry'!K64)</f>
        <v/>
      </c>
      <c r="K64" s="545" t="str">
        <f>IF('Marks Entry'!L64="","",'Marks Entry'!L64)</f>
        <v/>
      </c>
      <c r="L64" s="545" t="str">
        <f>IF('Marks Entry'!M64="","",'Marks Entry'!M64)</f>
        <v/>
      </c>
      <c r="M64" s="546" t="str">
        <f t="shared" si="47"/>
        <v/>
      </c>
      <c r="N64" s="545" t="str">
        <f>IF('Marks Entry'!N64="","",'Marks Entry'!N64)</f>
        <v/>
      </c>
      <c r="O64" s="546" t="str">
        <f t="shared" si="48"/>
        <v/>
      </c>
      <c r="P64" s="545" t="str">
        <f>IF('Marks Entry'!O64="","",'Marks Entry'!O64)</f>
        <v/>
      </c>
      <c r="Q64" s="547" t="str">
        <f t="shared" si="49"/>
        <v/>
      </c>
      <c r="R64" s="153">
        <f t="shared" si="50"/>
        <v>0</v>
      </c>
      <c r="S64" s="153">
        <f t="shared" si="51"/>
        <v>0</v>
      </c>
      <c r="T64" s="154" t="str">
        <f t="shared" si="52"/>
        <v/>
      </c>
      <c r="U64" s="153" t="str">
        <f t="shared" si="53"/>
        <v/>
      </c>
      <c r="V64" s="153" t="str">
        <f t="shared" si="54"/>
        <v/>
      </c>
      <c r="W64" s="153" t="str">
        <f t="shared" si="55"/>
        <v/>
      </c>
      <c r="X64" s="545" t="str">
        <f>IF('Marks Entry'!P64="","",'Marks Entry'!P64)</f>
        <v/>
      </c>
      <c r="Y64" s="545" t="str">
        <f>IF('Marks Entry'!Q64="","",'Marks Entry'!Q64)</f>
        <v/>
      </c>
      <c r="Z64" s="545" t="str">
        <f>IF('Marks Entry'!R64="","",'Marks Entry'!R64)</f>
        <v/>
      </c>
      <c r="AA64" s="546" t="str">
        <f t="shared" si="56"/>
        <v/>
      </c>
      <c r="AB64" s="545" t="str">
        <f>IF('Marks Entry'!S64="","",'Marks Entry'!S64)</f>
        <v/>
      </c>
      <c r="AC64" s="546" t="str">
        <f t="shared" si="57"/>
        <v/>
      </c>
      <c r="AD64" s="545" t="str">
        <f>IF('Marks Entry'!T64="","",'Marks Entry'!T64)</f>
        <v/>
      </c>
      <c r="AE64" s="547" t="str">
        <f t="shared" si="58"/>
        <v/>
      </c>
      <c r="AF64" s="153">
        <f t="shared" si="59"/>
        <v>0</v>
      </c>
      <c r="AG64" s="153">
        <f t="shared" si="60"/>
        <v>0</v>
      </c>
      <c r="AH64" s="154" t="str">
        <f t="shared" si="61"/>
        <v/>
      </c>
      <c r="AI64" s="153" t="str">
        <f t="shared" si="62"/>
        <v/>
      </c>
      <c r="AJ64" s="153" t="str">
        <f t="shared" si="63"/>
        <v/>
      </c>
      <c r="AK64" s="153" t="str">
        <f t="shared" si="64"/>
        <v/>
      </c>
      <c r="AL64" s="573" t="str">
        <f>IF('Marks Entry'!U64="","",'Marks Entry'!U64)</f>
        <v/>
      </c>
      <c r="AM64" s="573" t="str">
        <f>IF('Marks Entry'!V64="","",'Marks Entry'!V64)</f>
        <v/>
      </c>
      <c r="AN64" s="573" t="str">
        <f>IF('Marks Entry'!W64="","",'Marks Entry'!W64)</f>
        <v/>
      </c>
      <c r="AO64" s="573" t="str">
        <f>IF('Marks Entry'!X64="","",'Marks Entry'!X64)</f>
        <v/>
      </c>
      <c r="AP64" s="572" t="str">
        <f t="shared" si="65"/>
        <v/>
      </c>
      <c r="AQ64" s="573" t="str">
        <f>IF('Marks Entry'!Y64="","",'Marks Entry'!Y64)</f>
        <v/>
      </c>
      <c r="AR64" s="573" t="str">
        <f>IF('Marks Entry'!Z64="","",'Marks Entry'!Z64)</f>
        <v/>
      </c>
      <c r="AS64" s="572" t="str">
        <f t="shared" si="66"/>
        <v/>
      </c>
      <c r="AT64" s="572" t="str">
        <f t="shared" si="67"/>
        <v/>
      </c>
      <c r="AU64" s="573" t="str">
        <f>IF('Marks Entry'!AA64="","",'Marks Entry'!AA64)</f>
        <v/>
      </c>
      <c r="AV64" s="573" t="str">
        <f>IF('Marks Entry'!AB64="","",'Marks Entry'!AB64)</f>
        <v/>
      </c>
      <c r="AW64" s="572" t="str">
        <f t="shared" si="68"/>
        <v/>
      </c>
      <c r="AX64" s="157" t="str">
        <f t="shared" si="69"/>
        <v/>
      </c>
      <c r="AY64" s="157" t="str">
        <f t="shared" si="70"/>
        <v/>
      </c>
      <c r="AZ64" s="192" t="str">
        <f t="shared" si="71"/>
        <v/>
      </c>
      <c r="BA64" s="153">
        <f t="shared" si="72"/>
        <v>0</v>
      </c>
      <c r="BB64" s="154">
        <f t="shared" si="73"/>
        <v>0</v>
      </c>
      <c r="BC64" s="154" t="str">
        <f t="shared" si="74"/>
        <v/>
      </c>
      <c r="BD64" s="154" t="str">
        <f t="shared" si="75"/>
        <v/>
      </c>
      <c r="BE64" s="154" t="str">
        <f t="shared" si="76"/>
        <v/>
      </c>
      <c r="BF64" s="153" t="str">
        <f t="shared" si="77"/>
        <v/>
      </c>
      <c r="BG64" s="154" t="str">
        <f t="shared" si="175"/>
        <v/>
      </c>
      <c r="BH64" s="153" t="str">
        <f t="shared" si="78"/>
        <v/>
      </c>
      <c r="BI64" s="580" t="str">
        <f>IF('Marks Entry'!AC64="","",'Marks Entry'!AC64)</f>
        <v/>
      </c>
      <c r="BJ64" s="580" t="str">
        <f>IF('Marks Entry'!AD64="","",'Marks Entry'!AD64)</f>
        <v/>
      </c>
      <c r="BK64" s="580" t="str">
        <f>IF('Marks Entry'!AE64="","",'Marks Entry'!AE64)</f>
        <v/>
      </c>
      <c r="BL64" s="580" t="str">
        <f>IF('Marks Entry'!AF64="","",'Marks Entry'!AF64)</f>
        <v/>
      </c>
      <c r="BM64" s="581" t="str">
        <f t="shared" si="79"/>
        <v/>
      </c>
      <c r="BN64" s="580" t="str">
        <f>IF('Marks Entry'!AG64="","",'Marks Entry'!AG64)</f>
        <v/>
      </c>
      <c r="BO64" s="580" t="str">
        <f>IF('Marks Entry'!AH64="","",'Marks Entry'!AH64)</f>
        <v/>
      </c>
      <c r="BP64" s="581" t="str">
        <f t="shared" si="80"/>
        <v/>
      </c>
      <c r="BQ64" s="581" t="str">
        <f t="shared" si="81"/>
        <v/>
      </c>
      <c r="BR64" s="580" t="str">
        <f>IF('Marks Entry'!AI64="","",'Marks Entry'!AI64)</f>
        <v/>
      </c>
      <c r="BS64" s="580" t="str">
        <f>IF('Marks Entry'!AJ64="","",'Marks Entry'!AJ64)</f>
        <v/>
      </c>
      <c r="BT64" s="581" t="str">
        <f t="shared" si="82"/>
        <v/>
      </c>
      <c r="BU64" s="157" t="str">
        <f t="shared" si="83"/>
        <v/>
      </c>
      <c r="BV64" s="157" t="str">
        <f t="shared" si="84"/>
        <v/>
      </c>
      <c r="BW64" s="192" t="str">
        <f t="shared" si="85"/>
        <v/>
      </c>
      <c r="BX64" s="153">
        <f t="shared" si="86"/>
        <v>0</v>
      </c>
      <c r="BY64" s="154">
        <f t="shared" si="87"/>
        <v>0</v>
      </c>
      <c r="BZ64" s="154" t="str">
        <f t="shared" si="88"/>
        <v/>
      </c>
      <c r="CA64" s="154" t="str">
        <f t="shared" si="89"/>
        <v/>
      </c>
      <c r="CB64" s="154" t="str">
        <f t="shared" si="90"/>
        <v/>
      </c>
      <c r="CC64" s="153" t="str">
        <f t="shared" si="91"/>
        <v/>
      </c>
      <c r="CD64" s="154" t="str">
        <f t="shared" si="92"/>
        <v/>
      </c>
      <c r="CE64" s="153" t="str">
        <f t="shared" si="93"/>
        <v/>
      </c>
      <c r="CF64" s="580" t="str">
        <f>IF('Marks Entry'!AK64="","",'Marks Entry'!AK64)</f>
        <v/>
      </c>
      <c r="CG64" s="580" t="str">
        <f>IF('Marks Entry'!AL64="","",'Marks Entry'!AL64)</f>
        <v/>
      </c>
      <c r="CH64" s="580" t="str">
        <f>IF('Marks Entry'!AM64="","",'Marks Entry'!AM64)</f>
        <v/>
      </c>
      <c r="CI64" s="580" t="str">
        <f>IF('Marks Entry'!AN64="","",'Marks Entry'!AN64)</f>
        <v/>
      </c>
      <c r="CJ64" s="581" t="str">
        <f t="shared" si="94"/>
        <v/>
      </c>
      <c r="CK64" s="580" t="str">
        <f>IF('Marks Entry'!AO64="","",'Marks Entry'!AO64)</f>
        <v/>
      </c>
      <c r="CL64" s="580" t="str">
        <f>IF('Marks Entry'!AP64="","",'Marks Entry'!AP64)</f>
        <v/>
      </c>
      <c r="CM64" s="581" t="str">
        <f t="shared" si="95"/>
        <v/>
      </c>
      <c r="CN64" s="581" t="str">
        <f t="shared" si="96"/>
        <v/>
      </c>
      <c r="CO64" s="580" t="str">
        <f>IF('Marks Entry'!AQ64="","",'Marks Entry'!AQ64)</f>
        <v/>
      </c>
      <c r="CP64" s="580" t="str">
        <f>IF('Marks Entry'!AR64="","",'Marks Entry'!AR64)</f>
        <v/>
      </c>
      <c r="CQ64" s="581" t="str">
        <f t="shared" si="97"/>
        <v/>
      </c>
      <c r="CR64" s="157" t="str">
        <f t="shared" si="98"/>
        <v/>
      </c>
      <c r="CS64" s="157" t="str">
        <f t="shared" si="99"/>
        <v/>
      </c>
      <c r="CT64" s="192" t="str">
        <f t="shared" si="100"/>
        <v/>
      </c>
      <c r="CU64" s="153">
        <f t="shared" si="101"/>
        <v>0</v>
      </c>
      <c r="CV64" s="154">
        <f t="shared" si="102"/>
        <v>0</v>
      </c>
      <c r="CW64" s="154" t="str">
        <f t="shared" si="103"/>
        <v/>
      </c>
      <c r="CX64" s="154" t="str">
        <f t="shared" si="104"/>
        <v/>
      </c>
      <c r="CY64" s="154" t="str">
        <f t="shared" si="176"/>
        <v/>
      </c>
      <c r="CZ64" s="153" t="str">
        <f t="shared" si="105"/>
        <v/>
      </c>
      <c r="DA64" s="154" t="str">
        <f t="shared" si="106"/>
        <v/>
      </c>
      <c r="DB64" s="153" t="str">
        <f t="shared" si="107"/>
        <v/>
      </c>
      <c r="DC64" s="154">
        <f t="shared" si="108"/>
        <v>0</v>
      </c>
      <c r="DD64" s="826" t="str">
        <f>IF('Marks Entry'!AS64="","",IF(OR('Master Sheet'!$D$19="YES",'Marks Entry'!$BA$1=1),'Marks Entry'!AS64,""))</f>
        <v/>
      </c>
      <c r="DE64" s="826" t="str">
        <f>IF('Marks Entry'!AT64="","",IF(OR('Master Sheet'!$D$19="YES",'Marks Entry'!$BA$1=1),'Marks Entry'!AT64,""))</f>
        <v/>
      </c>
      <c r="DF64" s="826" t="str">
        <f>IF('Marks Entry'!AU64="","",IF(OR('Master Sheet'!$D$19="YES",'Marks Entry'!$BA$1=1),'Marks Entry'!AU64,""))</f>
        <v/>
      </c>
      <c r="DG64" s="826" t="str">
        <f>IF('Marks Entry'!AV64="","",IF(OR('Master Sheet'!$D$19="YES",'Marks Entry'!$BA$1=1),'Marks Entry'!AV64,""))</f>
        <v/>
      </c>
      <c r="DH64" s="827" t="str">
        <f t="shared" si="109"/>
        <v/>
      </c>
      <c r="DI64" s="826" t="str">
        <f>IF('Marks Entry'!AW64="","",IF(OR('Master Sheet'!$D$19="YES",'Marks Entry'!$BA$1=1),'Marks Entry'!AW64,""))</f>
        <v/>
      </c>
      <c r="DJ64" s="826" t="str">
        <f>IF('Marks Entry'!AX64="","",IF(OR('Master Sheet'!$D$19="YES",'Marks Entry'!$BA$1=1),'Marks Entry'!AX64,""))</f>
        <v/>
      </c>
      <c r="DK64" s="827" t="str">
        <f t="shared" si="110"/>
        <v/>
      </c>
      <c r="DL64" s="827" t="str">
        <f t="shared" si="111"/>
        <v/>
      </c>
      <c r="DM64" s="826" t="str">
        <f>IF('Marks Entry'!AY64="","",IF(OR('Master Sheet'!$D$19="YES",'Marks Entry'!$BA$1=1),'Marks Entry'!AY64,""))</f>
        <v/>
      </c>
      <c r="DN64" s="826" t="str">
        <f>IF('Marks Entry'!AZ64="","",IF(OR('Master Sheet'!$D$19="YES",'Marks Entry'!$BA$1=1),'Marks Entry'!AZ64,""))</f>
        <v/>
      </c>
      <c r="DO64" s="826" t="str">
        <f>IF('Marks Entry'!BA64="","",IF(OR('Master Sheet'!$D$19="YES",'Marks Entry'!$BA$1=1),'Marks Entry'!BA64,""))</f>
        <v/>
      </c>
      <c r="DP64" s="827" t="str">
        <f t="shared" si="112"/>
        <v/>
      </c>
      <c r="DQ64" s="157" t="str">
        <f t="shared" si="113"/>
        <v/>
      </c>
      <c r="DR64" s="157" t="str">
        <f t="shared" si="114"/>
        <v/>
      </c>
      <c r="DS64" s="157" t="str">
        <f t="shared" si="115"/>
        <v/>
      </c>
      <c r="DT64" s="192" t="str">
        <f t="shared" si="116"/>
        <v/>
      </c>
      <c r="DU64" s="153">
        <f t="shared" si="117"/>
        <v>0</v>
      </c>
      <c r="DV64" s="154" t="e">
        <f t="shared" si="118"/>
        <v>#VALUE!</v>
      </c>
      <c r="DW64" s="154" t="str">
        <f t="shared" si="119"/>
        <v/>
      </c>
      <c r="DX64" s="154" t="str">
        <f>IF(OR($B64="NSO",$B64=0,DS64=""),"",IF(AND(DJ64="",DO64=""),"",IF('Master Sheet'!$D$19="YES",$DO$6-COUNTIF(DO64,"ML")*DO$6,DS$6-(COUNTIF(DJ64,"ML")*DJ$6)-(COUNTIF(DO64,"ML")*DO$6))))</f>
        <v/>
      </c>
      <c r="DY64" s="154" t="str">
        <f>IF(OR($B64="NSO",$B64=0),"",IF(AND(DH64="",DI64="",DM64=""),"",IF(AND('Master Sheet'!$D$19="YES",'Marks Entry'!$BA$1=1),100,IF(AND(DJ64="",DO64=""),SUM(($DQ$7+$DR$7)-(DU64+DV64)),SUM(($DQ$6+$DR$6)-(DU64+DV64))))))</f>
        <v/>
      </c>
      <c r="DZ64" s="153" t="str">
        <f t="shared" si="120"/>
        <v/>
      </c>
      <c r="EA64" s="154" t="str">
        <f t="shared" si="121"/>
        <v/>
      </c>
      <c r="EB64" s="153" t="str">
        <f t="shared" si="122"/>
        <v/>
      </c>
      <c r="EC64" s="584" t="str">
        <f>IF('Marks Entry'!BB64="","",'Marks Entry'!BB64)</f>
        <v/>
      </c>
      <c r="ED64" s="584" t="str">
        <f>IF('Marks Entry'!BC64="","",'Marks Entry'!BC64)</f>
        <v/>
      </c>
      <c r="EE64" s="584" t="str">
        <f>IF('Marks Entry'!BD64="","",'Marks Entry'!BD64)</f>
        <v/>
      </c>
      <c r="EF64" s="590" t="str">
        <f t="shared" si="123"/>
        <v/>
      </c>
      <c r="EG64" s="595">
        <f t="shared" si="124"/>
        <v>0</v>
      </c>
      <c r="EH64" s="595">
        <f t="shared" si="125"/>
        <v>0</v>
      </c>
      <c r="EI64" s="193" t="str">
        <f t="shared" si="126"/>
        <v/>
      </c>
      <c r="EJ64" s="595" t="str">
        <f t="shared" si="127"/>
        <v/>
      </c>
      <c r="EK64" s="595" t="str">
        <f t="shared" si="128"/>
        <v/>
      </c>
      <c r="EL64" s="194" t="str">
        <f t="shared" si="129"/>
        <v/>
      </c>
      <c r="EM64" s="194" t="str">
        <f t="shared" si="130"/>
        <v/>
      </c>
      <c r="EN64" s="194" t="str">
        <f t="shared" si="131"/>
        <v/>
      </c>
      <c r="EO64" s="194" t="str">
        <f t="shared" si="132"/>
        <v/>
      </c>
      <c r="EP64" s="194" t="str">
        <f t="shared" si="133"/>
        <v/>
      </c>
      <c r="EQ64" s="194" t="str">
        <f t="shared" si="134"/>
        <v/>
      </c>
      <c r="ER64" s="195">
        <f t="shared" si="135"/>
        <v>0</v>
      </c>
      <c r="ES64" s="195">
        <f t="shared" si="136"/>
        <v>0</v>
      </c>
      <c r="ET64" s="195">
        <f t="shared" si="137"/>
        <v>0</v>
      </c>
      <c r="EU64" s="195">
        <f t="shared" si="138"/>
        <v>0</v>
      </c>
      <c r="EV64" s="195">
        <f t="shared" si="139"/>
        <v>0</v>
      </c>
      <c r="EW64" s="195" t="str">
        <f t="shared" si="140"/>
        <v/>
      </c>
      <c r="EX64" s="196" t="str">
        <f t="shared" si="141"/>
        <v/>
      </c>
      <c r="EY64" s="197" t="str">
        <f>IF('Marks Entry'!BE64="","",'Marks Entry'!BE64)</f>
        <v/>
      </c>
      <c r="EZ64" s="197" t="str">
        <f>IF('Marks Entry'!BF64="","",'Marks Entry'!BF64)</f>
        <v/>
      </c>
      <c r="FA64" s="197" t="str">
        <f>IF('Marks Entry'!BG64="","",'Marks Entry'!BG64)</f>
        <v/>
      </c>
      <c r="FB64" s="596" t="str">
        <f t="shared" si="142"/>
        <v/>
      </c>
      <c r="FC64" s="197" t="str">
        <f>IF('Marks Entry'!BH64="","",'Marks Entry'!BH64)</f>
        <v/>
      </c>
      <c r="FD64" s="197" t="str">
        <f>IF('Marks Entry'!BI64="","",'Marks Entry'!BI64)</f>
        <v/>
      </c>
      <c r="FE64" s="198" t="str">
        <f t="shared" si="143"/>
        <v/>
      </c>
      <c r="FF64" s="199" t="str">
        <f t="shared" si="144"/>
        <v/>
      </c>
      <c r="FG64" s="200" t="str">
        <f>IF(AND(E64=""),"",IF('Student DATA Entry'!L60="","",'Student DATA Entry'!L60))</f>
        <v/>
      </c>
      <c r="FH64" s="201" t="str">
        <f>IF(AND(E64=""),"",IF('Student DATA Entry'!M60="","",'Student DATA Entry'!M60))</f>
        <v/>
      </c>
      <c r="FI64" s="202" t="str">
        <f t="shared" si="145"/>
        <v/>
      </c>
      <c r="FJ64" s="189" t="str">
        <f t="shared" si="146"/>
        <v/>
      </c>
      <c r="FK64" s="189" t="str">
        <f t="shared" si="147"/>
        <v/>
      </c>
      <c r="FL64" s="203" t="str">
        <f t="shared" si="178"/>
        <v/>
      </c>
      <c r="FM64" s="189" t="str">
        <f t="shared" si="148"/>
        <v/>
      </c>
      <c r="FN64" s="204" t="str">
        <f t="shared" si="149"/>
        <v/>
      </c>
      <c r="FO64" s="203" t="str">
        <f t="shared" si="179"/>
        <v/>
      </c>
      <c r="FP64" s="205" t="str">
        <f t="shared" si="150"/>
        <v/>
      </c>
      <c r="FQ64" s="189" t="str">
        <f t="shared" si="180"/>
        <v/>
      </c>
      <c r="FR64" s="189" t="str">
        <f t="shared" si="181"/>
        <v/>
      </c>
      <c r="FS64" s="189" t="str">
        <f t="shared" si="182"/>
        <v/>
      </c>
      <c r="FT64" s="189" t="str">
        <f t="shared" si="183"/>
        <v/>
      </c>
      <c r="FU64" s="189" t="str">
        <f t="shared" si="151"/>
        <v/>
      </c>
      <c r="FV64" s="206" t="str">
        <f t="shared" si="184"/>
        <v/>
      </c>
      <c r="FW64" s="205" t="str">
        <f t="shared" si="152"/>
        <v/>
      </c>
      <c r="FX64" s="189" t="str">
        <f t="shared" si="185"/>
        <v/>
      </c>
      <c r="FY64" s="189" t="str">
        <f t="shared" si="186"/>
        <v/>
      </c>
      <c r="FZ64" s="189" t="str">
        <f t="shared" si="187"/>
        <v/>
      </c>
      <c r="GA64" s="189" t="str">
        <f t="shared" si="188"/>
        <v/>
      </c>
      <c r="GB64" s="189" t="str">
        <f t="shared" si="153"/>
        <v/>
      </c>
      <c r="GC64" s="206" t="str">
        <f t="shared" si="189"/>
        <v/>
      </c>
      <c r="GD64" s="205" t="str">
        <f t="shared" si="154"/>
        <v/>
      </c>
      <c r="GE64" s="189" t="str">
        <f t="shared" si="190"/>
        <v/>
      </c>
      <c r="GF64" s="189" t="str">
        <f t="shared" si="191"/>
        <v/>
      </c>
      <c r="GG64" s="189" t="str">
        <f t="shared" si="192"/>
        <v/>
      </c>
      <c r="GH64" s="189" t="str">
        <f t="shared" si="193"/>
        <v/>
      </c>
      <c r="GI64" s="189" t="str">
        <f t="shared" si="155"/>
        <v/>
      </c>
      <c r="GJ64" s="206" t="str">
        <f t="shared" si="194"/>
        <v/>
      </c>
      <c r="GK64" s="205" t="str">
        <f t="shared" si="156"/>
        <v/>
      </c>
      <c r="GL64" s="189" t="str">
        <f t="shared" si="195"/>
        <v/>
      </c>
      <c r="GM64" s="189" t="str">
        <f t="shared" si="196"/>
        <v/>
      </c>
      <c r="GN64" s="189" t="str">
        <f t="shared" si="197"/>
        <v/>
      </c>
      <c r="GO64" s="189" t="str">
        <f t="shared" si="198"/>
        <v/>
      </c>
      <c r="GP64" s="189" t="str">
        <f t="shared" si="157"/>
        <v/>
      </c>
      <c r="GQ64" s="206" t="str">
        <f t="shared" si="199"/>
        <v/>
      </c>
      <c r="GR64" s="189" t="str">
        <f t="shared" si="158"/>
        <v/>
      </c>
      <c r="GS64" s="189" t="str">
        <f t="shared" si="159"/>
        <v/>
      </c>
      <c r="GT64" s="207" t="str">
        <f t="shared" si="177"/>
        <v xml:space="preserve">    </v>
      </c>
      <c r="GU64" s="207" t="str">
        <f t="shared" si="160"/>
        <v xml:space="preserve">    </v>
      </c>
      <c r="GV64" s="207" t="str">
        <f t="shared" si="161"/>
        <v xml:space="preserve">    </v>
      </c>
      <c r="GW64" s="207" t="str">
        <f t="shared" si="162"/>
        <v xml:space="preserve">       </v>
      </c>
      <c r="GX64" s="598" t="str">
        <f t="shared" si="163"/>
        <v xml:space="preserve">     </v>
      </c>
      <c r="GY64" s="208" t="str">
        <f t="shared" si="200"/>
        <v/>
      </c>
      <c r="GZ64" s="606" t="str">
        <f>IF(AND(Q64="",AE64="",AZ64="",BW64="",CT64=""),"",IF(AND('Master Sheet'!$D$19="YES",'Marks Entry'!$BA$1=1),SUM(Q64,AE64,AZ64,BW64,DT64),SUM(Q64,AE64,AZ64,BW64,CT64)))</f>
        <v/>
      </c>
      <c r="HA64" s="209" t="str">
        <f>IF(GZ64="","",IF(AND('Master Sheet'!$D$19="YES",'Marks Entry'!$BA$1=1),GZ64/((900)-DC64)*100,GZ64/((1000)-DC64)*100))</f>
        <v/>
      </c>
      <c r="HB64" s="611" t="str">
        <f t="shared" si="165"/>
        <v/>
      </c>
      <c r="HC64" s="609" t="str">
        <f t="shared" si="166"/>
        <v/>
      </c>
      <c r="HD64" s="610" t="str">
        <f t="shared" si="167"/>
        <v/>
      </c>
      <c r="HE64" s="210" t="str">
        <f>IFERROR(IF(OR(GY64="SUPPLEMENTARY",GY64="RE-EXAM"),'Supp. Result Entry'!AS63,""),"")</f>
        <v/>
      </c>
      <c r="HF64" s="613" t="str">
        <f t="shared" si="168"/>
        <v/>
      </c>
      <c r="HG64" s="598" t="str">
        <f t="shared" si="169"/>
        <v/>
      </c>
      <c r="HH64" s="598" t="str">
        <f>IF(AND(HE64="",HF64="",HG64=""),"",IF(OR(GY64="SUPPLEMENTARY",GY64="RE-EXAM"),'Supp. Result Entry'!AS63,GY64))</f>
        <v/>
      </c>
      <c r="HI64" s="180"/>
      <c r="HY64" s="212" t="str">
        <f>IF('Supp. Result Entry'!U63="","",'Supp. Result Entry'!$U$6)</f>
        <v/>
      </c>
      <c r="HZ64" s="213" t="str">
        <f>IF('Supp. Result Entry'!X63="","",'Supp. Result Entry'!$X$6)</f>
        <v/>
      </c>
      <c r="IA64" s="213" t="str">
        <f>IF('Supp. Result Entry'!AA63="","",'Supp. Result Entry'!$AA$6)</f>
        <v/>
      </c>
      <c r="IB64" s="213" t="str">
        <f>IF('Supp. Result Entry'!AD63="","",'Supp. Result Entry'!$AD$6)</f>
        <v/>
      </c>
      <c r="IC64" s="213" t="str">
        <f>IF('Supp. Result Entry'!AG63="","",'Supp. Result Entry'!$AG$6)</f>
        <v/>
      </c>
      <c r="ID64" s="213" t="str">
        <f>IF('Supp. Result Entry'!AJ63="","",'Supp. Result Entry'!$AJ$6)</f>
        <v/>
      </c>
      <c r="IE64" s="213" t="str">
        <f>IF('Supp. Result Entry'!V63="","",'Supp. Result Entry'!V63)</f>
        <v/>
      </c>
      <c r="IF64" s="213" t="str">
        <f>IF('Supp. Result Entry'!Y63="","",'Supp. Result Entry'!Y63)</f>
        <v/>
      </c>
      <c r="IG64" s="213" t="str">
        <f>IF('Supp. Result Entry'!AB63="","",'Supp. Result Entry'!AB63)</f>
        <v/>
      </c>
      <c r="IH64" s="213" t="str">
        <f>IF('Supp. Result Entry'!AE63="","",'Supp. Result Entry'!AE63)</f>
        <v/>
      </c>
      <c r="II64" s="213" t="str">
        <f>IF('Supp. Result Entry'!AH63="","",'Supp. Result Entry'!AH63)</f>
        <v/>
      </c>
      <c r="IJ64" s="213" t="str">
        <f>IF('Supp. Result Entry'!AK63="","",'Supp. Result Entry'!AK63)</f>
        <v/>
      </c>
      <c r="IK64" s="213" t="str">
        <f>IF('Supp. Result Entry'!W63="","",'Supp. Result Entry'!W63)</f>
        <v/>
      </c>
      <c r="IL64" s="213" t="str">
        <f>IF('Supp. Result Entry'!Z63="","",'Supp. Result Entry'!Z63)</f>
        <v/>
      </c>
      <c r="IM64" s="213" t="str">
        <f>IF('Supp. Result Entry'!AC63="","",'Supp. Result Entry'!AC63)</f>
        <v/>
      </c>
      <c r="IN64" s="213" t="str">
        <f>IF('Supp. Result Entry'!AF63="","",'Supp. Result Entry'!AF63)</f>
        <v/>
      </c>
      <c r="IO64" s="213" t="str">
        <f>IF('Supp. Result Entry'!AI63="","",'Supp. Result Entry'!AI63)</f>
        <v/>
      </c>
      <c r="IP64" s="213" t="str">
        <f>IF('Supp. Result Entry'!AL63="","",'Supp. Result Entry'!AL63)</f>
        <v/>
      </c>
      <c r="IQ64" s="213">
        <f>COUNTIF('Supp. Result Entry'!K63:Q63,"S")</f>
        <v>0</v>
      </c>
      <c r="IR64" s="213">
        <f t="shared" si="170"/>
        <v>0</v>
      </c>
      <c r="IS64" s="213">
        <f t="shared" si="171"/>
        <v>0</v>
      </c>
      <c r="IT64" s="213" t="str">
        <f t="shared" si="41"/>
        <v/>
      </c>
      <c r="IU64" s="213" t="str">
        <f t="shared" si="42"/>
        <v/>
      </c>
      <c r="IV64" s="213" t="str">
        <f t="shared" si="43"/>
        <v/>
      </c>
      <c r="IW64" s="213" t="str">
        <f t="shared" si="44"/>
        <v/>
      </c>
      <c r="IX64" s="213" t="str">
        <f t="shared" si="45"/>
        <v/>
      </c>
      <c r="IY64" s="213" t="str">
        <f t="shared" si="172"/>
        <v/>
      </c>
      <c r="IZ64" s="213" t="str">
        <f t="shared" si="173"/>
        <v/>
      </c>
      <c r="JA64" s="213" t="str">
        <f t="shared" si="46"/>
        <v/>
      </c>
      <c r="JB64" s="211" t="str">
        <f t="shared" si="174"/>
        <v/>
      </c>
    </row>
    <row r="65" spans="1:262" s="211" customFormat="1" ht="21" customHeight="1">
      <c r="A65" s="184">
        <v>58</v>
      </c>
      <c r="B65" s="185" t="str">
        <f>IF('Marks Entry'!B65="","",'Marks Entry'!B65)</f>
        <v/>
      </c>
      <c r="C65" s="186" t="str">
        <f>IF('Marks Entry'!D65="","",'Marks Entry'!D65)</f>
        <v/>
      </c>
      <c r="D65" s="187" t="str">
        <f>IF('Marks Entry'!E65="","",'Marks Entry'!E65)</f>
        <v/>
      </c>
      <c r="E65" s="188" t="str">
        <f>IF('Marks Entry'!F65="","",'Marks Entry'!F65)</f>
        <v/>
      </c>
      <c r="F65" s="188" t="str">
        <f>IF('Marks Entry'!G65="","",'Marks Entry'!G65)</f>
        <v/>
      </c>
      <c r="G65" s="188" t="str">
        <f>IF('Marks Entry'!H65="","",'Marks Entry'!H65)</f>
        <v/>
      </c>
      <c r="H65" s="189" t="str">
        <f>IF('Marks Entry'!I65="","",'Marks Entry'!I65)</f>
        <v/>
      </c>
      <c r="I65" s="190" t="str">
        <f>IF('Marks Entry'!J65="","",'Marks Entry'!J65)</f>
        <v/>
      </c>
      <c r="J65" s="545" t="str">
        <f>IF('Marks Entry'!K65="","",'Marks Entry'!K65)</f>
        <v/>
      </c>
      <c r="K65" s="545" t="str">
        <f>IF('Marks Entry'!L65="","",'Marks Entry'!L65)</f>
        <v/>
      </c>
      <c r="L65" s="545" t="str">
        <f>IF('Marks Entry'!M65="","",'Marks Entry'!M65)</f>
        <v/>
      </c>
      <c r="M65" s="546" t="str">
        <f t="shared" si="47"/>
        <v/>
      </c>
      <c r="N65" s="545" t="str">
        <f>IF('Marks Entry'!N65="","",'Marks Entry'!N65)</f>
        <v/>
      </c>
      <c r="O65" s="546" t="str">
        <f t="shared" si="48"/>
        <v/>
      </c>
      <c r="P65" s="545" t="str">
        <f>IF('Marks Entry'!O65="","",'Marks Entry'!O65)</f>
        <v/>
      </c>
      <c r="Q65" s="547" t="str">
        <f t="shared" si="49"/>
        <v/>
      </c>
      <c r="R65" s="153">
        <f t="shared" si="50"/>
        <v>0</v>
      </c>
      <c r="S65" s="153">
        <f t="shared" si="51"/>
        <v>0</v>
      </c>
      <c r="T65" s="154" t="str">
        <f t="shared" si="52"/>
        <v/>
      </c>
      <c r="U65" s="153" t="str">
        <f t="shared" si="53"/>
        <v/>
      </c>
      <c r="V65" s="153" t="str">
        <f t="shared" si="54"/>
        <v/>
      </c>
      <c r="W65" s="153" t="str">
        <f t="shared" si="55"/>
        <v/>
      </c>
      <c r="X65" s="545" t="str">
        <f>IF('Marks Entry'!P65="","",'Marks Entry'!P65)</f>
        <v/>
      </c>
      <c r="Y65" s="545" t="str">
        <f>IF('Marks Entry'!Q65="","",'Marks Entry'!Q65)</f>
        <v/>
      </c>
      <c r="Z65" s="545" t="str">
        <f>IF('Marks Entry'!R65="","",'Marks Entry'!R65)</f>
        <v/>
      </c>
      <c r="AA65" s="546" t="str">
        <f t="shared" si="56"/>
        <v/>
      </c>
      <c r="AB65" s="545" t="str">
        <f>IF('Marks Entry'!S65="","",'Marks Entry'!S65)</f>
        <v/>
      </c>
      <c r="AC65" s="546" t="str">
        <f t="shared" si="57"/>
        <v/>
      </c>
      <c r="AD65" s="545" t="str">
        <f>IF('Marks Entry'!T65="","",'Marks Entry'!T65)</f>
        <v/>
      </c>
      <c r="AE65" s="547" t="str">
        <f t="shared" si="58"/>
        <v/>
      </c>
      <c r="AF65" s="153">
        <f t="shared" si="59"/>
        <v>0</v>
      </c>
      <c r="AG65" s="153">
        <f t="shared" si="60"/>
        <v>0</v>
      </c>
      <c r="AH65" s="154" t="str">
        <f t="shared" si="61"/>
        <v/>
      </c>
      <c r="AI65" s="153" t="str">
        <f t="shared" si="62"/>
        <v/>
      </c>
      <c r="AJ65" s="153" t="str">
        <f t="shared" si="63"/>
        <v/>
      </c>
      <c r="AK65" s="153" t="str">
        <f t="shared" si="64"/>
        <v/>
      </c>
      <c r="AL65" s="573" t="str">
        <f>IF('Marks Entry'!U65="","",'Marks Entry'!U65)</f>
        <v/>
      </c>
      <c r="AM65" s="573" t="str">
        <f>IF('Marks Entry'!V65="","",'Marks Entry'!V65)</f>
        <v/>
      </c>
      <c r="AN65" s="573" t="str">
        <f>IF('Marks Entry'!W65="","",'Marks Entry'!W65)</f>
        <v/>
      </c>
      <c r="AO65" s="573" t="str">
        <f>IF('Marks Entry'!X65="","",'Marks Entry'!X65)</f>
        <v/>
      </c>
      <c r="AP65" s="572" t="str">
        <f t="shared" si="65"/>
        <v/>
      </c>
      <c r="AQ65" s="573" t="str">
        <f>IF('Marks Entry'!Y65="","",'Marks Entry'!Y65)</f>
        <v/>
      </c>
      <c r="AR65" s="573" t="str">
        <f>IF('Marks Entry'!Z65="","",'Marks Entry'!Z65)</f>
        <v/>
      </c>
      <c r="AS65" s="572" t="str">
        <f t="shared" si="66"/>
        <v/>
      </c>
      <c r="AT65" s="572" t="str">
        <f t="shared" si="67"/>
        <v/>
      </c>
      <c r="AU65" s="573" t="str">
        <f>IF('Marks Entry'!AA65="","",'Marks Entry'!AA65)</f>
        <v/>
      </c>
      <c r="AV65" s="573" t="str">
        <f>IF('Marks Entry'!AB65="","",'Marks Entry'!AB65)</f>
        <v/>
      </c>
      <c r="AW65" s="572" t="str">
        <f t="shared" si="68"/>
        <v/>
      </c>
      <c r="AX65" s="157" t="str">
        <f t="shared" si="69"/>
        <v/>
      </c>
      <c r="AY65" s="157" t="str">
        <f t="shared" si="70"/>
        <v/>
      </c>
      <c r="AZ65" s="192" t="str">
        <f t="shared" si="71"/>
        <v/>
      </c>
      <c r="BA65" s="153">
        <f t="shared" si="72"/>
        <v>0</v>
      </c>
      <c r="BB65" s="154">
        <f t="shared" si="73"/>
        <v>0</v>
      </c>
      <c r="BC65" s="154" t="str">
        <f t="shared" si="74"/>
        <v/>
      </c>
      <c r="BD65" s="154" t="str">
        <f t="shared" si="75"/>
        <v/>
      </c>
      <c r="BE65" s="154" t="str">
        <f t="shared" si="76"/>
        <v/>
      </c>
      <c r="BF65" s="153" t="str">
        <f t="shared" si="77"/>
        <v/>
      </c>
      <c r="BG65" s="154" t="str">
        <f t="shared" si="175"/>
        <v/>
      </c>
      <c r="BH65" s="153" t="str">
        <f t="shared" si="78"/>
        <v/>
      </c>
      <c r="BI65" s="580" t="str">
        <f>IF('Marks Entry'!AC65="","",'Marks Entry'!AC65)</f>
        <v/>
      </c>
      <c r="BJ65" s="580" t="str">
        <f>IF('Marks Entry'!AD65="","",'Marks Entry'!AD65)</f>
        <v/>
      </c>
      <c r="BK65" s="580" t="str">
        <f>IF('Marks Entry'!AE65="","",'Marks Entry'!AE65)</f>
        <v/>
      </c>
      <c r="BL65" s="580" t="str">
        <f>IF('Marks Entry'!AF65="","",'Marks Entry'!AF65)</f>
        <v/>
      </c>
      <c r="BM65" s="581" t="str">
        <f t="shared" si="79"/>
        <v/>
      </c>
      <c r="BN65" s="580" t="str">
        <f>IF('Marks Entry'!AG65="","",'Marks Entry'!AG65)</f>
        <v/>
      </c>
      <c r="BO65" s="580" t="str">
        <f>IF('Marks Entry'!AH65="","",'Marks Entry'!AH65)</f>
        <v/>
      </c>
      <c r="BP65" s="581" t="str">
        <f t="shared" si="80"/>
        <v/>
      </c>
      <c r="BQ65" s="581" t="str">
        <f t="shared" si="81"/>
        <v/>
      </c>
      <c r="BR65" s="580" t="str">
        <f>IF('Marks Entry'!AI65="","",'Marks Entry'!AI65)</f>
        <v/>
      </c>
      <c r="BS65" s="580" t="str">
        <f>IF('Marks Entry'!AJ65="","",'Marks Entry'!AJ65)</f>
        <v/>
      </c>
      <c r="BT65" s="581" t="str">
        <f t="shared" si="82"/>
        <v/>
      </c>
      <c r="BU65" s="157" t="str">
        <f t="shared" si="83"/>
        <v/>
      </c>
      <c r="BV65" s="157" t="str">
        <f t="shared" si="84"/>
        <v/>
      </c>
      <c r="BW65" s="192" t="str">
        <f t="shared" si="85"/>
        <v/>
      </c>
      <c r="BX65" s="153">
        <f t="shared" si="86"/>
        <v>0</v>
      </c>
      <c r="BY65" s="154">
        <f t="shared" si="87"/>
        <v>0</v>
      </c>
      <c r="BZ65" s="154" t="str">
        <f t="shared" si="88"/>
        <v/>
      </c>
      <c r="CA65" s="154" t="str">
        <f t="shared" si="89"/>
        <v/>
      </c>
      <c r="CB65" s="154" t="str">
        <f t="shared" si="90"/>
        <v/>
      </c>
      <c r="CC65" s="153" t="str">
        <f t="shared" si="91"/>
        <v/>
      </c>
      <c r="CD65" s="154" t="str">
        <f t="shared" si="92"/>
        <v/>
      </c>
      <c r="CE65" s="153" t="str">
        <f t="shared" si="93"/>
        <v/>
      </c>
      <c r="CF65" s="580" t="str">
        <f>IF('Marks Entry'!AK65="","",'Marks Entry'!AK65)</f>
        <v/>
      </c>
      <c r="CG65" s="580" t="str">
        <f>IF('Marks Entry'!AL65="","",'Marks Entry'!AL65)</f>
        <v/>
      </c>
      <c r="CH65" s="580" t="str">
        <f>IF('Marks Entry'!AM65="","",'Marks Entry'!AM65)</f>
        <v/>
      </c>
      <c r="CI65" s="580" t="str">
        <f>IF('Marks Entry'!AN65="","",'Marks Entry'!AN65)</f>
        <v/>
      </c>
      <c r="CJ65" s="581" t="str">
        <f t="shared" si="94"/>
        <v/>
      </c>
      <c r="CK65" s="580" t="str">
        <f>IF('Marks Entry'!AO65="","",'Marks Entry'!AO65)</f>
        <v/>
      </c>
      <c r="CL65" s="580" t="str">
        <f>IF('Marks Entry'!AP65="","",'Marks Entry'!AP65)</f>
        <v/>
      </c>
      <c r="CM65" s="581" t="str">
        <f t="shared" si="95"/>
        <v/>
      </c>
      <c r="CN65" s="581" t="str">
        <f t="shared" si="96"/>
        <v/>
      </c>
      <c r="CO65" s="580" t="str">
        <f>IF('Marks Entry'!AQ65="","",'Marks Entry'!AQ65)</f>
        <v/>
      </c>
      <c r="CP65" s="580" t="str">
        <f>IF('Marks Entry'!AR65="","",'Marks Entry'!AR65)</f>
        <v/>
      </c>
      <c r="CQ65" s="581" t="str">
        <f t="shared" si="97"/>
        <v/>
      </c>
      <c r="CR65" s="157" t="str">
        <f t="shared" si="98"/>
        <v/>
      </c>
      <c r="CS65" s="157" t="str">
        <f t="shared" si="99"/>
        <v/>
      </c>
      <c r="CT65" s="192" t="str">
        <f t="shared" si="100"/>
        <v/>
      </c>
      <c r="CU65" s="153">
        <f t="shared" si="101"/>
        <v>0</v>
      </c>
      <c r="CV65" s="154">
        <f t="shared" si="102"/>
        <v>0</v>
      </c>
      <c r="CW65" s="154" t="str">
        <f t="shared" si="103"/>
        <v/>
      </c>
      <c r="CX65" s="154" t="str">
        <f t="shared" si="104"/>
        <v/>
      </c>
      <c r="CY65" s="154" t="str">
        <f t="shared" si="176"/>
        <v/>
      </c>
      <c r="CZ65" s="153" t="str">
        <f t="shared" si="105"/>
        <v/>
      </c>
      <c r="DA65" s="154" t="str">
        <f t="shared" si="106"/>
        <v/>
      </c>
      <c r="DB65" s="153" t="str">
        <f t="shared" si="107"/>
        <v/>
      </c>
      <c r="DC65" s="154">
        <f t="shared" si="108"/>
        <v>0</v>
      </c>
      <c r="DD65" s="826" t="str">
        <f>IF('Marks Entry'!AS65="","",IF(OR('Master Sheet'!$D$19="YES",'Marks Entry'!$BA$1=1),'Marks Entry'!AS65,""))</f>
        <v/>
      </c>
      <c r="DE65" s="826" t="str">
        <f>IF('Marks Entry'!AT65="","",IF(OR('Master Sheet'!$D$19="YES",'Marks Entry'!$BA$1=1),'Marks Entry'!AT65,""))</f>
        <v/>
      </c>
      <c r="DF65" s="826" t="str">
        <f>IF('Marks Entry'!AU65="","",IF(OR('Master Sheet'!$D$19="YES",'Marks Entry'!$BA$1=1),'Marks Entry'!AU65,""))</f>
        <v/>
      </c>
      <c r="DG65" s="826" t="str">
        <f>IF('Marks Entry'!AV65="","",IF(OR('Master Sheet'!$D$19="YES",'Marks Entry'!$BA$1=1),'Marks Entry'!AV65,""))</f>
        <v/>
      </c>
      <c r="DH65" s="827" t="str">
        <f t="shared" si="109"/>
        <v/>
      </c>
      <c r="DI65" s="826" t="str">
        <f>IF('Marks Entry'!AW65="","",IF(OR('Master Sheet'!$D$19="YES",'Marks Entry'!$BA$1=1),'Marks Entry'!AW65,""))</f>
        <v/>
      </c>
      <c r="DJ65" s="826" t="str">
        <f>IF('Marks Entry'!AX65="","",IF(OR('Master Sheet'!$D$19="YES",'Marks Entry'!$BA$1=1),'Marks Entry'!AX65,""))</f>
        <v/>
      </c>
      <c r="DK65" s="827" t="str">
        <f t="shared" si="110"/>
        <v/>
      </c>
      <c r="DL65" s="827" t="str">
        <f t="shared" si="111"/>
        <v/>
      </c>
      <c r="DM65" s="826" t="str">
        <f>IF('Marks Entry'!AY65="","",IF(OR('Master Sheet'!$D$19="YES",'Marks Entry'!$BA$1=1),'Marks Entry'!AY65,""))</f>
        <v/>
      </c>
      <c r="DN65" s="826" t="str">
        <f>IF('Marks Entry'!AZ65="","",IF(OR('Master Sheet'!$D$19="YES",'Marks Entry'!$BA$1=1),'Marks Entry'!AZ65,""))</f>
        <v/>
      </c>
      <c r="DO65" s="826" t="str">
        <f>IF('Marks Entry'!BA65="","",IF(OR('Master Sheet'!$D$19="YES",'Marks Entry'!$BA$1=1),'Marks Entry'!BA65,""))</f>
        <v/>
      </c>
      <c r="DP65" s="827" t="str">
        <f t="shared" si="112"/>
        <v/>
      </c>
      <c r="DQ65" s="157" t="str">
        <f t="shared" si="113"/>
        <v/>
      </c>
      <c r="DR65" s="157" t="str">
        <f t="shared" si="114"/>
        <v/>
      </c>
      <c r="DS65" s="157" t="str">
        <f t="shared" si="115"/>
        <v/>
      </c>
      <c r="DT65" s="192" t="str">
        <f t="shared" si="116"/>
        <v/>
      </c>
      <c r="DU65" s="153">
        <f t="shared" si="117"/>
        <v>0</v>
      </c>
      <c r="DV65" s="154" t="e">
        <f t="shared" si="118"/>
        <v>#VALUE!</v>
      </c>
      <c r="DW65" s="154" t="str">
        <f t="shared" si="119"/>
        <v/>
      </c>
      <c r="DX65" s="154" t="str">
        <f>IF(OR($B65="NSO",$B65=0,DS65=""),"",IF(AND(DJ65="",DO65=""),"",IF('Master Sheet'!$D$19="YES",$DO$6-COUNTIF(DO65,"ML")*DO$6,DS$6-(COUNTIF(DJ65,"ML")*DJ$6)-(COUNTIF(DO65,"ML")*DO$6))))</f>
        <v/>
      </c>
      <c r="DY65" s="154" t="str">
        <f>IF(OR($B65="NSO",$B65=0),"",IF(AND(DH65="",DI65="",DM65=""),"",IF(AND('Master Sheet'!$D$19="YES",'Marks Entry'!$BA$1=1),100,IF(AND(DJ65="",DO65=""),SUM(($DQ$7+$DR$7)-(DU65+DV65)),SUM(($DQ$6+$DR$6)-(DU65+DV65))))))</f>
        <v/>
      </c>
      <c r="DZ65" s="153" t="str">
        <f t="shared" si="120"/>
        <v/>
      </c>
      <c r="EA65" s="154" t="str">
        <f t="shared" si="121"/>
        <v/>
      </c>
      <c r="EB65" s="153" t="str">
        <f t="shared" si="122"/>
        <v/>
      </c>
      <c r="EC65" s="584" t="str">
        <f>IF('Marks Entry'!BB65="","",'Marks Entry'!BB65)</f>
        <v/>
      </c>
      <c r="ED65" s="584" t="str">
        <f>IF('Marks Entry'!BC65="","",'Marks Entry'!BC65)</f>
        <v/>
      </c>
      <c r="EE65" s="584" t="str">
        <f>IF('Marks Entry'!BD65="","",'Marks Entry'!BD65)</f>
        <v/>
      </c>
      <c r="EF65" s="590" t="str">
        <f t="shared" si="123"/>
        <v/>
      </c>
      <c r="EG65" s="595">
        <f t="shared" si="124"/>
        <v>0</v>
      </c>
      <c r="EH65" s="595">
        <f t="shared" si="125"/>
        <v>0</v>
      </c>
      <c r="EI65" s="193" t="str">
        <f t="shared" si="126"/>
        <v/>
      </c>
      <c r="EJ65" s="595" t="str">
        <f t="shared" si="127"/>
        <v/>
      </c>
      <c r="EK65" s="595" t="str">
        <f t="shared" si="128"/>
        <v/>
      </c>
      <c r="EL65" s="194" t="str">
        <f t="shared" si="129"/>
        <v/>
      </c>
      <c r="EM65" s="194" t="str">
        <f t="shared" si="130"/>
        <v/>
      </c>
      <c r="EN65" s="194" t="str">
        <f t="shared" si="131"/>
        <v/>
      </c>
      <c r="EO65" s="194" t="str">
        <f t="shared" si="132"/>
        <v/>
      </c>
      <c r="EP65" s="194" t="str">
        <f t="shared" si="133"/>
        <v/>
      </c>
      <c r="EQ65" s="194" t="str">
        <f t="shared" si="134"/>
        <v/>
      </c>
      <c r="ER65" s="195">
        <f t="shared" si="135"/>
        <v>0</v>
      </c>
      <c r="ES65" s="195">
        <f t="shared" si="136"/>
        <v>0</v>
      </c>
      <c r="ET65" s="195">
        <f t="shared" si="137"/>
        <v>0</v>
      </c>
      <c r="EU65" s="195">
        <f t="shared" si="138"/>
        <v>0</v>
      </c>
      <c r="EV65" s="195">
        <f t="shared" si="139"/>
        <v>0</v>
      </c>
      <c r="EW65" s="195" t="str">
        <f t="shared" si="140"/>
        <v/>
      </c>
      <c r="EX65" s="196" t="str">
        <f t="shared" si="141"/>
        <v/>
      </c>
      <c r="EY65" s="197" t="str">
        <f>IF('Marks Entry'!BE65="","",'Marks Entry'!BE65)</f>
        <v/>
      </c>
      <c r="EZ65" s="197" t="str">
        <f>IF('Marks Entry'!BF65="","",'Marks Entry'!BF65)</f>
        <v/>
      </c>
      <c r="FA65" s="197" t="str">
        <f>IF('Marks Entry'!BG65="","",'Marks Entry'!BG65)</f>
        <v/>
      </c>
      <c r="FB65" s="596" t="str">
        <f t="shared" si="142"/>
        <v/>
      </c>
      <c r="FC65" s="197" t="str">
        <f>IF('Marks Entry'!BH65="","",'Marks Entry'!BH65)</f>
        <v/>
      </c>
      <c r="FD65" s="197" t="str">
        <f>IF('Marks Entry'!BI65="","",'Marks Entry'!BI65)</f>
        <v/>
      </c>
      <c r="FE65" s="198" t="str">
        <f t="shared" si="143"/>
        <v/>
      </c>
      <c r="FF65" s="199" t="str">
        <f t="shared" si="144"/>
        <v/>
      </c>
      <c r="FG65" s="200" t="str">
        <f>IF(AND(E65=""),"",IF('Student DATA Entry'!L61="","",'Student DATA Entry'!L61))</f>
        <v/>
      </c>
      <c r="FH65" s="201" t="str">
        <f>IF(AND(E65=""),"",IF('Student DATA Entry'!M61="","",'Student DATA Entry'!M61))</f>
        <v/>
      </c>
      <c r="FI65" s="202" t="str">
        <f t="shared" si="145"/>
        <v/>
      </c>
      <c r="FJ65" s="189" t="str">
        <f t="shared" si="146"/>
        <v/>
      </c>
      <c r="FK65" s="189" t="str">
        <f t="shared" si="147"/>
        <v/>
      </c>
      <c r="FL65" s="203" t="str">
        <f t="shared" si="178"/>
        <v/>
      </c>
      <c r="FM65" s="189" t="str">
        <f t="shared" si="148"/>
        <v/>
      </c>
      <c r="FN65" s="204" t="str">
        <f t="shared" si="149"/>
        <v/>
      </c>
      <c r="FO65" s="203" t="str">
        <f t="shared" si="179"/>
        <v/>
      </c>
      <c r="FP65" s="205" t="str">
        <f t="shared" si="150"/>
        <v/>
      </c>
      <c r="FQ65" s="189" t="str">
        <f t="shared" si="180"/>
        <v/>
      </c>
      <c r="FR65" s="189" t="str">
        <f t="shared" si="181"/>
        <v/>
      </c>
      <c r="FS65" s="189" t="str">
        <f t="shared" si="182"/>
        <v/>
      </c>
      <c r="FT65" s="189" t="str">
        <f t="shared" si="183"/>
        <v/>
      </c>
      <c r="FU65" s="189" t="str">
        <f t="shared" si="151"/>
        <v/>
      </c>
      <c r="FV65" s="206" t="str">
        <f t="shared" si="184"/>
        <v/>
      </c>
      <c r="FW65" s="205" t="str">
        <f t="shared" si="152"/>
        <v/>
      </c>
      <c r="FX65" s="189" t="str">
        <f t="shared" si="185"/>
        <v/>
      </c>
      <c r="FY65" s="189" t="str">
        <f t="shared" si="186"/>
        <v/>
      </c>
      <c r="FZ65" s="189" t="str">
        <f t="shared" si="187"/>
        <v/>
      </c>
      <c r="GA65" s="189" t="str">
        <f t="shared" si="188"/>
        <v/>
      </c>
      <c r="GB65" s="189" t="str">
        <f t="shared" si="153"/>
        <v/>
      </c>
      <c r="GC65" s="206" t="str">
        <f t="shared" si="189"/>
        <v/>
      </c>
      <c r="GD65" s="205" t="str">
        <f t="shared" si="154"/>
        <v/>
      </c>
      <c r="GE65" s="189" t="str">
        <f t="shared" si="190"/>
        <v/>
      </c>
      <c r="GF65" s="189" t="str">
        <f t="shared" si="191"/>
        <v/>
      </c>
      <c r="GG65" s="189" t="str">
        <f t="shared" si="192"/>
        <v/>
      </c>
      <c r="GH65" s="189" t="str">
        <f t="shared" si="193"/>
        <v/>
      </c>
      <c r="GI65" s="189" t="str">
        <f t="shared" si="155"/>
        <v/>
      </c>
      <c r="GJ65" s="206" t="str">
        <f t="shared" si="194"/>
        <v/>
      </c>
      <c r="GK65" s="205" t="str">
        <f t="shared" si="156"/>
        <v/>
      </c>
      <c r="GL65" s="189" t="str">
        <f t="shared" si="195"/>
        <v/>
      </c>
      <c r="GM65" s="189" t="str">
        <f t="shared" si="196"/>
        <v/>
      </c>
      <c r="GN65" s="189" t="str">
        <f t="shared" si="197"/>
        <v/>
      </c>
      <c r="GO65" s="189" t="str">
        <f t="shared" si="198"/>
        <v/>
      </c>
      <c r="GP65" s="189" t="str">
        <f t="shared" si="157"/>
        <v/>
      </c>
      <c r="GQ65" s="206" t="str">
        <f t="shared" si="199"/>
        <v/>
      </c>
      <c r="GR65" s="189" t="str">
        <f t="shared" si="158"/>
        <v/>
      </c>
      <c r="GS65" s="189" t="str">
        <f t="shared" si="159"/>
        <v/>
      </c>
      <c r="GT65" s="207" t="str">
        <f t="shared" si="177"/>
        <v xml:space="preserve">    </v>
      </c>
      <c r="GU65" s="207" t="str">
        <f t="shared" si="160"/>
        <v xml:space="preserve">    </v>
      </c>
      <c r="GV65" s="207" t="str">
        <f t="shared" si="161"/>
        <v xml:space="preserve">    </v>
      </c>
      <c r="GW65" s="207" t="str">
        <f t="shared" si="162"/>
        <v xml:space="preserve">       </v>
      </c>
      <c r="GX65" s="598" t="str">
        <f t="shared" si="163"/>
        <v xml:space="preserve">     </v>
      </c>
      <c r="GY65" s="208" t="str">
        <f t="shared" si="200"/>
        <v/>
      </c>
      <c r="GZ65" s="606" t="str">
        <f>IF(AND(Q65="",AE65="",AZ65="",BW65="",CT65=""),"",IF(AND('Master Sheet'!$D$19="YES",'Marks Entry'!$BA$1=1),SUM(Q65,AE65,AZ65,BW65,DT65),SUM(Q65,AE65,AZ65,BW65,CT65)))</f>
        <v/>
      </c>
      <c r="HA65" s="209" t="str">
        <f>IF(GZ65="","",IF(AND('Master Sheet'!$D$19="YES",'Marks Entry'!$BA$1=1),GZ65/((900)-DC65)*100,GZ65/((1000)-DC65)*100))</f>
        <v/>
      </c>
      <c r="HB65" s="611" t="str">
        <f t="shared" si="165"/>
        <v/>
      </c>
      <c r="HC65" s="609" t="str">
        <f t="shared" si="166"/>
        <v/>
      </c>
      <c r="HD65" s="610" t="str">
        <f t="shared" si="167"/>
        <v/>
      </c>
      <c r="HE65" s="210" t="str">
        <f>IFERROR(IF(OR(GY65="SUPPLEMENTARY",GY65="RE-EXAM"),'Supp. Result Entry'!AS64,""),"")</f>
        <v/>
      </c>
      <c r="HF65" s="613" t="str">
        <f t="shared" si="168"/>
        <v/>
      </c>
      <c r="HG65" s="598" t="str">
        <f t="shared" si="169"/>
        <v/>
      </c>
      <c r="HH65" s="598" t="str">
        <f>IF(AND(HE65="",HF65="",HG65=""),"",IF(OR(GY65="SUPPLEMENTARY",GY65="RE-EXAM"),'Supp. Result Entry'!AS64,GY65))</f>
        <v/>
      </c>
      <c r="HI65" s="180"/>
      <c r="HY65" s="212" t="str">
        <f>IF('Supp. Result Entry'!U64="","",'Supp. Result Entry'!$U$6)</f>
        <v/>
      </c>
      <c r="HZ65" s="213" t="str">
        <f>IF('Supp. Result Entry'!X64="","",'Supp. Result Entry'!$X$6)</f>
        <v/>
      </c>
      <c r="IA65" s="213" t="str">
        <f>IF('Supp. Result Entry'!AA64="","",'Supp. Result Entry'!$AA$6)</f>
        <v/>
      </c>
      <c r="IB65" s="213" t="str">
        <f>IF('Supp. Result Entry'!AD64="","",'Supp. Result Entry'!$AD$6)</f>
        <v/>
      </c>
      <c r="IC65" s="213" t="str">
        <f>IF('Supp. Result Entry'!AG64="","",'Supp. Result Entry'!$AG$6)</f>
        <v/>
      </c>
      <c r="ID65" s="213" t="str">
        <f>IF('Supp. Result Entry'!AJ64="","",'Supp. Result Entry'!$AJ$6)</f>
        <v/>
      </c>
      <c r="IE65" s="213" t="str">
        <f>IF('Supp. Result Entry'!V64="","",'Supp. Result Entry'!V64)</f>
        <v/>
      </c>
      <c r="IF65" s="213" t="str">
        <f>IF('Supp. Result Entry'!Y64="","",'Supp. Result Entry'!Y64)</f>
        <v/>
      </c>
      <c r="IG65" s="213" t="str">
        <f>IF('Supp. Result Entry'!AB64="","",'Supp. Result Entry'!AB64)</f>
        <v/>
      </c>
      <c r="IH65" s="213" t="str">
        <f>IF('Supp. Result Entry'!AE64="","",'Supp. Result Entry'!AE64)</f>
        <v/>
      </c>
      <c r="II65" s="213" t="str">
        <f>IF('Supp. Result Entry'!AH64="","",'Supp. Result Entry'!AH64)</f>
        <v/>
      </c>
      <c r="IJ65" s="213" t="str">
        <f>IF('Supp. Result Entry'!AK64="","",'Supp. Result Entry'!AK64)</f>
        <v/>
      </c>
      <c r="IK65" s="213" t="str">
        <f>IF('Supp. Result Entry'!W64="","",'Supp. Result Entry'!W64)</f>
        <v/>
      </c>
      <c r="IL65" s="213" t="str">
        <f>IF('Supp. Result Entry'!Z64="","",'Supp. Result Entry'!Z64)</f>
        <v/>
      </c>
      <c r="IM65" s="213" t="str">
        <f>IF('Supp. Result Entry'!AC64="","",'Supp. Result Entry'!AC64)</f>
        <v/>
      </c>
      <c r="IN65" s="213" t="str">
        <f>IF('Supp. Result Entry'!AF64="","",'Supp. Result Entry'!AF64)</f>
        <v/>
      </c>
      <c r="IO65" s="213" t="str">
        <f>IF('Supp. Result Entry'!AI64="","",'Supp. Result Entry'!AI64)</f>
        <v/>
      </c>
      <c r="IP65" s="213" t="str">
        <f>IF('Supp. Result Entry'!AL64="","",'Supp. Result Entry'!AL64)</f>
        <v/>
      </c>
      <c r="IQ65" s="213">
        <f>COUNTIF('Supp. Result Entry'!K64:Q64,"S")</f>
        <v>0</v>
      </c>
      <c r="IR65" s="213">
        <f t="shared" si="170"/>
        <v>0</v>
      </c>
      <c r="IS65" s="213">
        <f t="shared" si="171"/>
        <v>0</v>
      </c>
      <c r="IT65" s="213" t="str">
        <f t="shared" si="41"/>
        <v/>
      </c>
      <c r="IU65" s="213" t="str">
        <f t="shared" si="42"/>
        <v/>
      </c>
      <c r="IV65" s="213" t="str">
        <f t="shared" si="43"/>
        <v/>
      </c>
      <c r="IW65" s="213" t="str">
        <f t="shared" si="44"/>
        <v/>
      </c>
      <c r="IX65" s="213" t="str">
        <f t="shared" si="45"/>
        <v/>
      </c>
      <c r="IY65" s="213" t="str">
        <f t="shared" si="172"/>
        <v/>
      </c>
      <c r="IZ65" s="213" t="str">
        <f t="shared" si="173"/>
        <v/>
      </c>
      <c r="JA65" s="213" t="str">
        <f t="shared" si="46"/>
        <v/>
      </c>
      <c r="JB65" s="211" t="str">
        <f t="shared" si="174"/>
        <v/>
      </c>
    </row>
    <row r="66" spans="1:262" s="211" customFormat="1" ht="21" customHeight="1">
      <c r="A66" s="184">
        <v>59</v>
      </c>
      <c r="B66" s="185" t="str">
        <f>IF('Marks Entry'!B66="","",'Marks Entry'!B66)</f>
        <v/>
      </c>
      <c r="C66" s="186" t="str">
        <f>IF('Marks Entry'!D66="","",'Marks Entry'!D66)</f>
        <v/>
      </c>
      <c r="D66" s="187" t="str">
        <f>IF('Marks Entry'!E66="","",'Marks Entry'!E66)</f>
        <v/>
      </c>
      <c r="E66" s="188" t="str">
        <f>IF('Marks Entry'!F66="","",'Marks Entry'!F66)</f>
        <v/>
      </c>
      <c r="F66" s="188" t="str">
        <f>IF('Marks Entry'!G66="","",'Marks Entry'!G66)</f>
        <v/>
      </c>
      <c r="G66" s="188" t="str">
        <f>IF('Marks Entry'!H66="","",'Marks Entry'!H66)</f>
        <v/>
      </c>
      <c r="H66" s="189" t="str">
        <f>IF('Marks Entry'!I66="","",'Marks Entry'!I66)</f>
        <v/>
      </c>
      <c r="I66" s="190" t="str">
        <f>IF('Marks Entry'!J66="","",'Marks Entry'!J66)</f>
        <v/>
      </c>
      <c r="J66" s="545" t="str">
        <f>IF('Marks Entry'!K66="","",'Marks Entry'!K66)</f>
        <v/>
      </c>
      <c r="K66" s="545" t="str">
        <f>IF('Marks Entry'!L66="","",'Marks Entry'!L66)</f>
        <v/>
      </c>
      <c r="L66" s="545" t="str">
        <f>IF('Marks Entry'!M66="","",'Marks Entry'!M66)</f>
        <v/>
      </c>
      <c r="M66" s="546" t="str">
        <f t="shared" si="47"/>
        <v/>
      </c>
      <c r="N66" s="545" t="str">
        <f>IF('Marks Entry'!N66="","",'Marks Entry'!N66)</f>
        <v/>
      </c>
      <c r="O66" s="546" t="str">
        <f t="shared" si="48"/>
        <v/>
      </c>
      <c r="P66" s="545" t="str">
        <f>IF('Marks Entry'!O66="","",'Marks Entry'!O66)</f>
        <v/>
      </c>
      <c r="Q66" s="547" t="str">
        <f t="shared" si="49"/>
        <v/>
      </c>
      <c r="R66" s="153">
        <f t="shared" si="50"/>
        <v>0</v>
      </c>
      <c r="S66" s="153">
        <f t="shared" si="51"/>
        <v>0</v>
      </c>
      <c r="T66" s="154" t="str">
        <f t="shared" si="52"/>
        <v/>
      </c>
      <c r="U66" s="153" t="str">
        <f t="shared" si="53"/>
        <v/>
      </c>
      <c r="V66" s="153" t="str">
        <f t="shared" si="54"/>
        <v/>
      </c>
      <c r="W66" s="153" t="str">
        <f t="shared" si="55"/>
        <v/>
      </c>
      <c r="X66" s="545" t="str">
        <f>IF('Marks Entry'!P66="","",'Marks Entry'!P66)</f>
        <v/>
      </c>
      <c r="Y66" s="545" t="str">
        <f>IF('Marks Entry'!Q66="","",'Marks Entry'!Q66)</f>
        <v/>
      </c>
      <c r="Z66" s="545" t="str">
        <f>IF('Marks Entry'!R66="","",'Marks Entry'!R66)</f>
        <v/>
      </c>
      <c r="AA66" s="546" t="str">
        <f t="shared" si="56"/>
        <v/>
      </c>
      <c r="AB66" s="545" t="str">
        <f>IF('Marks Entry'!S66="","",'Marks Entry'!S66)</f>
        <v/>
      </c>
      <c r="AC66" s="546" t="str">
        <f t="shared" si="57"/>
        <v/>
      </c>
      <c r="AD66" s="545" t="str">
        <f>IF('Marks Entry'!T66="","",'Marks Entry'!T66)</f>
        <v/>
      </c>
      <c r="AE66" s="547" t="str">
        <f t="shared" si="58"/>
        <v/>
      </c>
      <c r="AF66" s="153">
        <f t="shared" si="59"/>
        <v>0</v>
      </c>
      <c r="AG66" s="153">
        <f t="shared" si="60"/>
        <v>0</v>
      </c>
      <c r="AH66" s="154" t="str">
        <f t="shared" si="61"/>
        <v/>
      </c>
      <c r="AI66" s="153" t="str">
        <f t="shared" si="62"/>
        <v/>
      </c>
      <c r="AJ66" s="153" t="str">
        <f t="shared" si="63"/>
        <v/>
      </c>
      <c r="AK66" s="153" t="str">
        <f t="shared" si="64"/>
        <v/>
      </c>
      <c r="AL66" s="573" t="str">
        <f>IF('Marks Entry'!U66="","",'Marks Entry'!U66)</f>
        <v/>
      </c>
      <c r="AM66" s="573" t="str">
        <f>IF('Marks Entry'!V66="","",'Marks Entry'!V66)</f>
        <v/>
      </c>
      <c r="AN66" s="573" t="str">
        <f>IF('Marks Entry'!W66="","",'Marks Entry'!W66)</f>
        <v/>
      </c>
      <c r="AO66" s="573" t="str">
        <f>IF('Marks Entry'!X66="","",'Marks Entry'!X66)</f>
        <v/>
      </c>
      <c r="AP66" s="572" t="str">
        <f t="shared" si="65"/>
        <v/>
      </c>
      <c r="AQ66" s="573" t="str">
        <f>IF('Marks Entry'!Y66="","",'Marks Entry'!Y66)</f>
        <v/>
      </c>
      <c r="AR66" s="573" t="str">
        <f>IF('Marks Entry'!Z66="","",'Marks Entry'!Z66)</f>
        <v/>
      </c>
      <c r="AS66" s="572" t="str">
        <f t="shared" si="66"/>
        <v/>
      </c>
      <c r="AT66" s="572" t="str">
        <f t="shared" si="67"/>
        <v/>
      </c>
      <c r="AU66" s="573" t="str">
        <f>IF('Marks Entry'!AA66="","",'Marks Entry'!AA66)</f>
        <v/>
      </c>
      <c r="AV66" s="573" t="str">
        <f>IF('Marks Entry'!AB66="","",'Marks Entry'!AB66)</f>
        <v/>
      </c>
      <c r="AW66" s="572" t="str">
        <f t="shared" si="68"/>
        <v/>
      </c>
      <c r="AX66" s="157" t="str">
        <f t="shared" si="69"/>
        <v/>
      </c>
      <c r="AY66" s="157" t="str">
        <f t="shared" si="70"/>
        <v/>
      </c>
      <c r="AZ66" s="192" t="str">
        <f t="shared" si="71"/>
        <v/>
      </c>
      <c r="BA66" s="153">
        <f t="shared" si="72"/>
        <v>0</v>
      </c>
      <c r="BB66" s="154">
        <f t="shared" si="73"/>
        <v>0</v>
      </c>
      <c r="BC66" s="154" t="str">
        <f t="shared" si="74"/>
        <v/>
      </c>
      <c r="BD66" s="154" t="str">
        <f t="shared" si="75"/>
        <v/>
      </c>
      <c r="BE66" s="154" t="str">
        <f t="shared" si="76"/>
        <v/>
      </c>
      <c r="BF66" s="153" t="str">
        <f t="shared" si="77"/>
        <v/>
      </c>
      <c r="BG66" s="154" t="str">
        <f t="shared" si="175"/>
        <v/>
      </c>
      <c r="BH66" s="153" t="str">
        <f t="shared" si="78"/>
        <v/>
      </c>
      <c r="BI66" s="580" t="str">
        <f>IF('Marks Entry'!AC66="","",'Marks Entry'!AC66)</f>
        <v/>
      </c>
      <c r="BJ66" s="580" t="str">
        <f>IF('Marks Entry'!AD66="","",'Marks Entry'!AD66)</f>
        <v/>
      </c>
      <c r="BK66" s="580" t="str">
        <f>IF('Marks Entry'!AE66="","",'Marks Entry'!AE66)</f>
        <v/>
      </c>
      <c r="BL66" s="580" t="str">
        <f>IF('Marks Entry'!AF66="","",'Marks Entry'!AF66)</f>
        <v/>
      </c>
      <c r="BM66" s="581" t="str">
        <f t="shared" si="79"/>
        <v/>
      </c>
      <c r="BN66" s="580" t="str">
        <f>IF('Marks Entry'!AG66="","",'Marks Entry'!AG66)</f>
        <v/>
      </c>
      <c r="BO66" s="580" t="str">
        <f>IF('Marks Entry'!AH66="","",'Marks Entry'!AH66)</f>
        <v/>
      </c>
      <c r="BP66" s="581" t="str">
        <f t="shared" si="80"/>
        <v/>
      </c>
      <c r="BQ66" s="581" t="str">
        <f t="shared" si="81"/>
        <v/>
      </c>
      <c r="BR66" s="580" t="str">
        <f>IF('Marks Entry'!AI66="","",'Marks Entry'!AI66)</f>
        <v/>
      </c>
      <c r="BS66" s="580" t="str">
        <f>IF('Marks Entry'!AJ66="","",'Marks Entry'!AJ66)</f>
        <v/>
      </c>
      <c r="BT66" s="581" t="str">
        <f t="shared" si="82"/>
        <v/>
      </c>
      <c r="BU66" s="157" t="str">
        <f t="shared" si="83"/>
        <v/>
      </c>
      <c r="BV66" s="157" t="str">
        <f t="shared" si="84"/>
        <v/>
      </c>
      <c r="BW66" s="192" t="str">
        <f t="shared" si="85"/>
        <v/>
      </c>
      <c r="BX66" s="153">
        <f t="shared" si="86"/>
        <v>0</v>
      </c>
      <c r="BY66" s="154">
        <f t="shared" si="87"/>
        <v>0</v>
      </c>
      <c r="BZ66" s="154" t="str">
        <f t="shared" si="88"/>
        <v/>
      </c>
      <c r="CA66" s="154" t="str">
        <f t="shared" si="89"/>
        <v/>
      </c>
      <c r="CB66" s="154" t="str">
        <f t="shared" si="90"/>
        <v/>
      </c>
      <c r="CC66" s="153" t="str">
        <f t="shared" si="91"/>
        <v/>
      </c>
      <c r="CD66" s="154" t="str">
        <f t="shared" si="92"/>
        <v/>
      </c>
      <c r="CE66" s="153" t="str">
        <f t="shared" si="93"/>
        <v/>
      </c>
      <c r="CF66" s="580" t="str">
        <f>IF('Marks Entry'!AK66="","",'Marks Entry'!AK66)</f>
        <v/>
      </c>
      <c r="CG66" s="580" t="str">
        <f>IF('Marks Entry'!AL66="","",'Marks Entry'!AL66)</f>
        <v/>
      </c>
      <c r="CH66" s="580" t="str">
        <f>IF('Marks Entry'!AM66="","",'Marks Entry'!AM66)</f>
        <v/>
      </c>
      <c r="CI66" s="580" t="str">
        <f>IF('Marks Entry'!AN66="","",'Marks Entry'!AN66)</f>
        <v/>
      </c>
      <c r="CJ66" s="581" t="str">
        <f t="shared" si="94"/>
        <v/>
      </c>
      <c r="CK66" s="580" t="str">
        <f>IF('Marks Entry'!AO66="","",'Marks Entry'!AO66)</f>
        <v/>
      </c>
      <c r="CL66" s="580" t="str">
        <f>IF('Marks Entry'!AP66="","",'Marks Entry'!AP66)</f>
        <v/>
      </c>
      <c r="CM66" s="581" t="str">
        <f t="shared" si="95"/>
        <v/>
      </c>
      <c r="CN66" s="581" t="str">
        <f t="shared" si="96"/>
        <v/>
      </c>
      <c r="CO66" s="580" t="str">
        <f>IF('Marks Entry'!AQ66="","",'Marks Entry'!AQ66)</f>
        <v/>
      </c>
      <c r="CP66" s="580" t="str">
        <f>IF('Marks Entry'!AR66="","",'Marks Entry'!AR66)</f>
        <v/>
      </c>
      <c r="CQ66" s="581" t="str">
        <f t="shared" si="97"/>
        <v/>
      </c>
      <c r="CR66" s="157" t="str">
        <f t="shared" si="98"/>
        <v/>
      </c>
      <c r="CS66" s="157" t="str">
        <f t="shared" si="99"/>
        <v/>
      </c>
      <c r="CT66" s="192" t="str">
        <f t="shared" si="100"/>
        <v/>
      </c>
      <c r="CU66" s="153">
        <f t="shared" si="101"/>
        <v>0</v>
      </c>
      <c r="CV66" s="154">
        <f t="shared" si="102"/>
        <v>0</v>
      </c>
      <c r="CW66" s="154" t="str">
        <f t="shared" si="103"/>
        <v/>
      </c>
      <c r="CX66" s="154" t="str">
        <f t="shared" si="104"/>
        <v/>
      </c>
      <c r="CY66" s="154" t="str">
        <f t="shared" si="176"/>
        <v/>
      </c>
      <c r="CZ66" s="153" t="str">
        <f t="shared" si="105"/>
        <v/>
      </c>
      <c r="DA66" s="154" t="str">
        <f t="shared" si="106"/>
        <v/>
      </c>
      <c r="DB66" s="153" t="str">
        <f t="shared" si="107"/>
        <v/>
      </c>
      <c r="DC66" s="154">
        <f t="shared" si="108"/>
        <v>0</v>
      </c>
      <c r="DD66" s="826" t="str">
        <f>IF('Marks Entry'!AS66="","",IF(OR('Master Sheet'!$D$19="YES",'Marks Entry'!$BA$1=1),'Marks Entry'!AS66,""))</f>
        <v/>
      </c>
      <c r="DE66" s="826" t="str">
        <f>IF('Marks Entry'!AT66="","",IF(OR('Master Sheet'!$D$19="YES",'Marks Entry'!$BA$1=1),'Marks Entry'!AT66,""))</f>
        <v/>
      </c>
      <c r="DF66" s="826" t="str">
        <f>IF('Marks Entry'!AU66="","",IF(OR('Master Sheet'!$D$19="YES",'Marks Entry'!$BA$1=1),'Marks Entry'!AU66,""))</f>
        <v/>
      </c>
      <c r="DG66" s="826" t="str">
        <f>IF('Marks Entry'!AV66="","",IF(OR('Master Sheet'!$D$19="YES",'Marks Entry'!$BA$1=1),'Marks Entry'!AV66,""))</f>
        <v/>
      </c>
      <c r="DH66" s="827" t="str">
        <f t="shared" si="109"/>
        <v/>
      </c>
      <c r="DI66" s="826" t="str">
        <f>IF('Marks Entry'!AW66="","",IF(OR('Master Sheet'!$D$19="YES",'Marks Entry'!$BA$1=1),'Marks Entry'!AW66,""))</f>
        <v/>
      </c>
      <c r="DJ66" s="826" t="str">
        <f>IF('Marks Entry'!AX66="","",IF(OR('Master Sheet'!$D$19="YES",'Marks Entry'!$BA$1=1),'Marks Entry'!AX66,""))</f>
        <v/>
      </c>
      <c r="DK66" s="827" t="str">
        <f t="shared" si="110"/>
        <v/>
      </c>
      <c r="DL66" s="827" t="str">
        <f t="shared" si="111"/>
        <v/>
      </c>
      <c r="DM66" s="826" t="str">
        <f>IF('Marks Entry'!AY66="","",IF(OR('Master Sheet'!$D$19="YES",'Marks Entry'!$BA$1=1),'Marks Entry'!AY66,""))</f>
        <v/>
      </c>
      <c r="DN66" s="826" t="str">
        <f>IF('Marks Entry'!AZ66="","",IF(OR('Master Sheet'!$D$19="YES",'Marks Entry'!$BA$1=1),'Marks Entry'!AZ66,""))</f>
        <v/>
      </c>
      <c r="DO66" s="826" t="str">
        <f>IF('Marks Entry'!BA66="","",IF(OR('Master Sheet'!$D$19="YES",'Marks Entry'!$BA$1=1),'Marks Entry'!BA66,""))</f>
        <v/>
      </c>
      <c r="DP66" s="827" t="str">
        <f t="shared" si="112"/>
        <v/>
      </c>
      <c r="DQ66" s="157" t="str">
        <f t="shared" si="113"/>
        <v/>
      </c>
      <c r="DR66" s="157" t="str">
        <f t="shared" si="114"/>
        <v/>
      </c>
      <c r="DS66" s="157" t="str">
        <f t="shared" si="115"/>
        <v/>
      </c>
      <c r="DT66" s="192" t="str">
        <f t="shared" si="116"/>
        <v/>
      </c>
      <c r="DU66" s="153">
        <f t="shared" si="117"/>
        <v>0</v>
      </c>
      <c r="DV66" s="154" t="e">
        <f t="shared" si="118"/>
        <v>#VALUE!</v>
      </c>
      <c r="DW66" s="154" t="str">
        <f t="shared" si="119"/>
        <v/>
      </c>
      <c r="DX66" s="154" t="str">
        <f>IF(OR($B66="NSO",$B66=0,DS66=""),"",IF(AND(DJ66="",DO66=""),"",IF('Master Sheet'!$D$19="YES",$DO$6-COUNTIF(DO66,"ML")*DO$6,DS$6-(COUNTIF(DJ66,"ML")*DJ$6)-(COUNTIF(DO66,"ML")*DO$6))))</f>
        <v/>
      </c>
      <c r="DY66" s="154" t="str">
        <f>IF(OR($B66="NSO",$B66=0),"",IF(AND(DH66="",DI66="",DM66=""),"",IF(AND('Master Sheet'!$D$19="YES",'Marks Entry'!$BA$1=1),100,IF(AND(DJ66="",DO66=""),SUM(($DQ$7+$DR$7)-(DU66+DV66)),SUM(($DQ$6+$DR$6)-(DU66+DV66))))))</f>
        <v/>
      </c>
      <c r="DZ66" s="153" t="str">
        <f t="shared" si="120"/>
        <v/>
      </c>
      <c r="EA66" s="154" t="str">
        <f t="shared" si="121"/>
        <v/>
      </c>
      <c r="EB66" s="153" t="str">
        <f t="shared" si="122"/>
        <v/>
      </c>
      <c r="EC66" s="584" t="str">
        <f>IF('Marks Entry'!BB66="","",'Marks Entry'!BB66)</f>
        <v/>
      </c>
      <c r="ED66" s="584" t="str">
        <f>IF('Marks Entry'!BC66="","",'Marks Entry'!BC66)</f>
        <v/>
      </c>
      <c r="EE66" s="584" t="str">
        <f>IF('Marks Entry'!BD66="","",'Marks Entry'!BD66)</f>
        <v/>
      </c>
      <c r="EF66" s="590" t="str">
        <f t="shared" si="123"/>
        <v/>
      </c>
      <c r="EG66" s="595">
        <f t="shared" si="124"/>
        <v>0</v>
      </c>
      <c r="EH66" s="595">
        <f t="shared" si="125"/>
        <v>0</v>
      </c>
      <c r="EI66" s="193" t="str">
        <f t="shared" si="126"/>
        <v/>
      </c>
      <c r="EJ66" s="595" t="str">
        <f t="shared" si="127"/>
        <v/>
      </c>
      <c r="EK66" s="595" t="str">
        <f t="shared" si="128"/>
        <v/>
      </c>
      <c r="EL66" s="194" t="str">
        <f t="shared" si="129"/>
        <v/>
      </c>
      <c r="EM66" s="194" t="str">
        <f t="shared" si="130"/>
        <v/>
      </c>
      <c r="EN66" s="194" t="str">
        <f t="shared" si="131"/>
        <v/>
      </c>
      <c r="EO66" s="194" t="str">
        <f t="shared" si="132"/>
        <v/>
      </c>
      <c r="EP66" s="194" t="str">
        <f t="shared" si="133"/>
        <v/>
      </c>
      <c r="EQ66" s="194" t="str">
        <f t="shared" si="134"/>
        <v/>
      </c>
      <c r="ER66" s="195">
        <f t="shared" si="135"/>
        <v>0</v>
      </c>
      <c r="ES66" s="195">
        <f t="shared" si="136"/>
        <v>0</v>
      </c>
      <c r="ET66" s="195">
        <f t="shared" si="137"/>
        <v>0</v>
      </c>
      <c r="EU66" s="195">
        <f t="shared" si="138"/>
        <v>0</v>
      </c>
      <c r="EV66" s="195">
        <f t="shared" si="139"/>
        <v>0</v>
      </c>
      <c r="EW66" s="195" t="str">
        <f t="shared" si="140"/>
        <v/>
      </c>
      <c r="EX66" s="196" t="str">
        <f t="shared" si="141"/>
        <v/>
      </c>
      <c r="EY66" s="197" t="str">
        <f>IF('Marks Entry'!BE66="","",'Marks Entry'!BE66)</f>
        <v/>
      </c>
      <c r="EZ66" s="197" t="str">
        <f>IF('Marks Entry'!BF66="","",'Marks Entry'!BF66)</f>
        <v/>
      </c>
      <c r="FA66" s="197" t="str">
        <f>IF('Marks Entry'!BG66="","",'Marks Entry'!BG66)</f>
        <v/>
      </c>
      <c r="FB66" s="596" t="str">
        <f t="shared" si="142"/>
        <v/>
      </c>
      <c r="FC66" s="197" t="str">
        <f>IF('Marks Entry'!BH66="","",'Marks Entry'!BH66)</f>
        <v/>
      </c>
      <c r="FD66" s="197" t="str">
        <f>IF('Marks Entry'!BI66="","",'Marks Entry'!BI66)</f>
        <v/>
      </c>
      <c r="FE66" s="198" t="str">
        <f t="shared" si="143"/>
        <v/>
      </c>
      <c r="FF66" s="199" t="str">
        <f t="shared" si="144"/>
        <v/>
      </c>
      <c r="FG66" s="200" t="str">
        <f>IF(AND(E66=""),"",IF('Student DATA Entry'!L62="","",'Student DATA Entry'!L62))</f>
        <v/>
      </c>
      <c r="FH66" s="201" t="str">
        <f>IF(AND(E66=""),"",IF('Student DATA Entry'!M62="","",'Student DATA Entry'!M62))</f>
        <v/>
      </c>
      <c r="FI66" s="202" t="str">
        <f t="shared" si="145"/>
        <v/>
      </c>
      <c r="FJ66" s="189" t="str">
        <f t="shared" si="146"/>
        <v/>
      </c>
      <c r="FK66" s="189" t="str">
        <f t="shared" si="147"/>
        <v/>
      </c>
      <c r="FL66" s="203" t="str">
        <f t="shared" si="178"/>
        <v/>
      </c>
      <c r="FM66" s="189" t="str">
        <f t="shared" si="148"/>
        <v/>
      </c>
      <c r="FN66" s="204" t="str">
        <f t="shared" si="149"/>
        <v/>
      </c>
      <c r="FO66" s="203" t="str">
        <f t="shared" si="179"/>
        <v/>
      </c>
      <c r="FP66" s="205" t="str">
        <f t="shared" si="150"/>
        <v/>
      </c>
      <c r="FQ66" s="189" t="str">
        <f t="shared" si="180"/>
        <v/>
      </c>
      <c r="FR66" s="189" t="str">
        <f t="shared" si="181"/>
        <v/>
      </c>
      <c r="FS66" s="189" t="str">
        <f t="shared" si="182"/>
        <v/>
      </c>
      <c r="FT66" s="189" t="str">
        <f t="shared" si="183"/>
        <v/>
      </c>
      <c r="FU66" s="189" t="str">
        <f t="shared" si="151"/>
        <v/>
      </c>
      <c r="FV66" s="206" t="str">
        <f t="shared" si="184"/>
        <v/>
      </c>
      <c r="FW66" s="205" t="str">
        <f t="shared" si="152"/>
        <v/>
      </c>
      <c r="FX66" s="189" t="str">
        <f t="shared" si="185"/>
        <v/>
      </c>
      <c r="FY66" s="189" t="str">
        <f t="shared" si="186"/>
        <v/>
      </c>
      <c r="FZ66" s="189" t="str">
        <f t="shared" si="187"/>
        <v/>
      </c>
      <c r="GA66" s="189" t="str">
        <f t="shared" si="188"/>
        <v/>
      </c>
      <c r="GB66" s="189" t="str">
        <f t="shared" si="153"/>
        <v/>
      </c>
      <c r="GC66" s="206" t="str">
        <f t="shared" si="189"/>
        <v/>
      </c>
      <c r="GD66" s="205" t="str">
        <f t="shared" si="154"/>
        <v/>
      </c>
      <c r="GE66" s="189" t="str">
        <f t="shared" si="190"/>
        <v/>
      </c>
      <c r="GF66" s="189" t="str">
        <f t="shared" si="191"/>
        <v/>
      </c>
      <c r="GG66" s="189" t="str">
        <f t="shared" si="192"/>
        <v/>
      </c>
      <c r="GH66" s="189" t="str">
        <f t="shared" si="193"/>
        <v/>
      </c>
      <c r="GI66" s="189" t="str">
        <f t="shared" si="155"/>
        <v/>
      </c>
      <c r="GJ66" s="206" t="str">
        <f t="shared" si="194"/>
        <v/>
      </c>
      <c r="GK66" s="205" t="str">
        <f t="shared" si="156"/>
        <v/>
      </c>
      <c r="GL66" s="189" t="str">
        <f t="shared" si="195"/>
        <v/>
      </c>
      <c r="GM66" s="189" t="str">
        <f t="shared" si="196"/>
        <v/>
      </c>
      <c r="GN66" s="189" t="str">
        <f t="shared" si="197"/>
        <v/>
      </c>
      <c r="GO66" s="189" t="str">
        <f t="shared" si="198"/>
        <v/>
      </c>
      <c r="GP66" s="189" t="str">
        <f t="shared" si="157"/>
        <v/>
      </c>
      <c r="GQ66" s="206" t="str">
        <f t="shared" si="199"/>
        <v/>
      </c>
      <c r="GR66" s="189" t="str">
        <f t="shared" si="158"/>
        <v/>
      </c>
      <c r="GS66" s="189" t="str">
        <f t="shared" si="159"/>
        <v/>
      </c>
      <c r="GT66" s="207" t="str">
        <f t="shared" si="177"/>
        <v xml:space="preserve">    </v>
      </c>
      <c r="GU66" s="207" t="str">
        <f t="shared" si="160"/>
        <v xml:space="preserve">    </v>
      </c>
      <c r="GV66" s="207" t="str">
        <f t="shared" si="161"/>
        <v xml:space="preserve">    </v>
      </c>
      <c r="GW66" s="207" t="str">
        <f t="shared" si="162"/>
        <v xml:space="preserve">       </v>
      </c>
      <c r="GX66" s="598" t="str">
        <f t="shared" si="163"/>
        <v xml:space="preserve">     </v>
      </c>
      <c r="GY66" s="208" t="str">
        <f t="shared" si="200"/>
        <v/>
      </c>
      <c r="GZ66" s="606" t="str">
        <f>IF(AND(Q66="",AE66="",AZ66="",BW66="",CT66=""),"",IF(AND('Master Sheet'!$D$19="YES",'Marks Entry'!$BA$1=1),SUM(Q66,AE66,AZ66,BW66,DT66),SUM(Q66,AE66,AZ66,BW66,CT66)))</f>
        <v/>
      </c>
      <c r="HA66" s="209" t="str">
        <f>IF(GZ66="","",IF(AND('Master Sheet'!$D$19="YES",'Marks Entry'!$BA$1=1),GZ66/((900)-DC66)*100,GZ66/((1000)-DC66)*100))</f>
        <v/>
      </c>
      <c r="HB66" s="611" t="str">
        <f t="shared" si="165"/>
        <v/>
      </c>
      <c r="HC66" s="609" t="str">
        <f t="shared" si="166"/>
        <v/>
      </c>
      <c r="HD66" s="610" t="str">
        <f t="shared" si="167"/>
        <v/>
      </c>
      <c r="HE66" s="210" t="str">
        <f>IFERROR(IF(OR(GY66="SUPPLEMENTARY",GY66="RE-EXAM"),'Supp. Result Entry'!AS65,""),"")</f>
        <v/>
      </c>
      <c r="HF66" s="613" t="str">
        <f t="shared" si="168"/>
        <v/>
      </c>
      <c r="HG66" s="598" t="str">
        <f t="shared" si="169"/>
        <v/>
      </c>
      <c r="HH66" s="598" t="str">
        <f>IF(AND(HE66="",HF66="",HG66=""),"",IF(OR(GY66="SUPPLEMENTARY",GY66="RE-EXAM"),'Supp. Result Entry'!AS65,GY66))</f>
        <v/>
      </c>
      <c r="HI66" s="180"/>
      <c r="HY66" s="212" t="str">
        <f>IF('Supp. Result Entry'!U65="","",'Supp. Result Entry'!$U$6)</f>
        <v/>
      </c>
      <c r="HZ66" s="213" t="str">
        <f>IF('Supp. Result Entry'!X65="","",'Supp. Result Entry'!$X$6)</f>
        <v/>
      </c>
      <c r="IA66" s="213" t="str">
        <f>IF('Supp. Result Entry'!AA65="","",'Supp. Result Entry'!$AA$6)</f>
        <v/>
      </c>
      <c r="IB66" s="213" t="str">
        <f>IF('Supp. Result Entry'!AD65="","",'Supp. Result Entry'!$AD$6)</f>
        <v/>
      </c>
      <c r="IC66" s="213" t="str">
        <f>IF('Supp. Result Entry'!AG65="","",'Supp. Result Entry'!$AG$6)</f>
        <v/>
      </c>
      <c r="ID66" s="213" t="str">
        <f>IF('Supp. Result Entry'!AJ65="","",'Supp. Result Entry'!$AJ$6)</f>
        <v/>
      </c>
      <c r="IE66" s="213" t="str">
        <f>IF('Supp. Result Entry'!V65="","",'Supp. Result Entry'!V65)</f>
        <v/>
      </c>
      <c r="IF66" s="213" t="str">
        <f>IF('Supp. Result Entry'!Y65="","",'Supp. Result Entry'!Y65)</f>
        <v/>
      </c>
      <c r="IG66" s="213" t="str">
        <f>IF('Supp. Result Entry'!AB65="","",'Supp. Result Entry'!AB65)</f>
        <v/>
      </c>
      <c r="IH66" s="213" t="str">
        <f>IF('Supp. Result Entry'!AE65="","",'Supp. Result Entry'!AE65)</f>
        <v/>
      </c>
      <c r="II66" s="213" t="str">
        <f>IF('Supp. Result Entry'!AH65="","",'Supp. Result Entry'!AH65)</f>
        <v/>
      </c>
      <c r="IJ66" s="213" t="str">
        <f>IF('Supp. Result Entry'!AK65="","",'Supp. Result Entry'!AK65)</f>
        <v/>
      </c>
      <c r="IK66" s="213" t="str">
        <f>IF('Supp. Result Entry'!W65="","",'Supp. Result Entry'!W65)</f>
        <v/>
      </c>
      <c r="IL66" s="213" t="str">
        <f>IF('Supp. Result Entry'!Z65="","",'Supp. Result Entry'!Z65)</f>
        <v/>
      </c>
      <c r="IM66" s="213" t="str">
        <f>IF('Supp. Result Entry'!AC65="","",'Supp. Result Entry'!AC65)</f>
        <v/>
      </c>
      <c r="IN66" s="213" t="str">
        <f>IF('Supp. Result Entry'!AF65="","",'Supp. Result Entry'!AF65)</f>
        <v/>
      </c>
      <c r="IO66" s="213" t="str">
        <f>IF('Supp. Result Entry'!AI65="","",'Supp. Result Entry'!AI65)</f>
        <v/>
      </c>
      <c r="IP66" s="213" t="str">
        <f>IF('Supp. Result Entry'!AL65="","",'Supp. Result Entry'!AL65)</f>
        <v/>
      </c>
      <c r="IQ66" s="213">
        <f>COUNTIF('Supp. Result Entry'!K65:Q65,"S")</f>
        <v>0</v>
      </c>
      <c r="IR66" s="213">
        <f t="shared" si="170"/>
        <v>0</v>
      </c>
      <c r="IS66" s="213">
        <f t="shared" si="171"/>
        <v>0</v>
      </c>
      <c r="IT66" s="213" t="str">
        <f t="shared" si="41"/>
        <v/>
      </c>
      <c r="IU66" s="213" t="str">
        <f t="shared" si="42"/>
        <v/>
      </c>
      <c r="IV66" s="213" t="str">
        <f t="shared" si="43"/>
        <v/>
      </c>
      <c r="IW66" s="213" t="str">
        <f t="shared" si="44"/>
        <v/>
      </c>
      <c r="IX66" s="213" t="str">
        <f t="shared" si="45"/>
        <v/>
      </c>
      <c r="IY66" s="213" t="str">
        <f t="shared" si="172"/>
        <v/>
      </c>
      <c r="IZ66" s="213" t="str">
        <f t="shared" si="173"/>
        <v/>
      </c>
      <c r="JA66" s="213" t="str">
        <f t="shared" si="46"/>
        <v/>
      </c>
      <c r="JB66" s="211" t="str">
        <f t="shared" si="174"/>
        <v/>
      </c>
    </row>
    <row r="67" spans="1:262" s="211" customFormat="1" ht="21" customHeight="1">
      <c r="A67" s="184">
        <v>60</v>
      </c>
      <c r="B67" s="185" t="str">
        <f>IF('Marks Entry'!B67="","",'Marks Entry'!B67)</f>
        <v/>
      </c>
      <c r="C67" s="186" t="str">
        <f>IF('Marks Entry'!D67="","",'Marks Entry'!D67)</f>
        <v/>
      </c>
      <c r="D67" s="187" t="str">
        <f>IF('Marks Entry'!E67="","",'Marks Entry'!E67)</f>
        <v/>
      </c>
      <c r="E67" s="188" t="str">
        <f>IF('Marks Entry'!F67="","",'Marks Entry'!F67)</f>
        <v/>
      </c>
      <c r="F67" s="188" t="str">
        <f>IF('Marks Entry'!G67="","",'Marks Entry'!G67)</f>
        <v/>
      </c>
      <c r="G67" s="188" t="str">
        <f>IF('Marks Entry'!H67="","",'Marks Entry'!H67)</f>
        <v/>
      </c>
      <c r="H67" s="189" t="str">
        <f>IF('Marks Entry'!I67="","",'Marks Entry'!I67)</f>
        <v/>
      </c>
      <c r="I67" s="190" t="str">
        <f>IF('Marks Entry'!J67="","",'Marks Entry'!J67)</f>
        <v/>
      </c>
      <c r="J67" s="545" t="str">
        <f>IF('Marks Entry'!K67="","",'Marks Entry'!K67)</f>
        <v/>
      </c>
      <c r="K67" s="545" t="str">
        <f>IF('Marks Entry'!L67="","",'Marks Entry'!L67)</f>
        <v/>
      </c>
      <c r="L67" s="545" t="str">
        <f>IF('Marks Entry'!M67="","",'Marks Entry'!M67)</f>
        <v/>
      </c>
      <c r="M67" s="546" t="str">
        <f t="shared" si="47"/>
        <v/>
      </c>
      <c r="N67" s="545" t="str">
        <f>IF('Marks Entry'!N67="","",'Marks Entry'!N67)</f>
        <v/>
      </c>
      <c r="O67" s="546" t="str">
        <f t="shared" si="48"/>
        <v/>
      </c>
      <c r="P67" s="545" t="str">
        <f>IF('Marks Entry'!O67="","",'Marks Entry'!O67)</f>
        <v/>
      </c>
      <c r="Q67" s="547" t="str">
        <f t="shared" si="49"/>
        <v/>
      </c>
      <c r="R67" s="153">
        <f t="shared" si="50"/>
        <v>0</v>
      </c>
      <c r="S67" s="153">
        <f t="shared" si="51"/>
        <v>0</v>
      </c>
      <c r="T67" s="154" t="str">
        <f t="shared" si="52"/>
        <v/>
      </c>
      <c r="U67" s="153" t="str">
        <f t="shared" si="53"/>
        <v/>
      </c>
      <c r="V67" s="153" t="str">
        <f t="shared" si="54"/>
        <v/>
      </c>
      <c r="W67" s="153" t="str">
        <f t="shared" si="55"/>
        <v/>
      </c>
      <c r="X67" s="545" t="str">
        <f>IF('Marks Entry'!P67="","",'Marks Entry'!P67)</f>
        <v/>
      </c>
      <c r="Y67" s="545" t="str">
        <f>IF('Marks Entry'!Q67="","",'Marks Entry'!Q67)</f>
        <v/>
      </c>
      <c r="Z67" s="545" t="str">
        <f>IF('Marks Entry'!R67="","",'Marks Entry'!R67)</f>
        <v/>
      </c>
      <c r="AA67" s="546" t="str">
        <f t="shared" si="56"/>
        <v/>
      </c>
      <c r="AB67" s="545" t="str">
        <f>IF('Marks Entry'!S67="","",'Marks Entry'!S67)</f>
        <v/>
      </c>
      <c r="AC67" s="546" t="str">
        <f t="shared" si="57"/>
        <v/>
      </c>
      <c r="AD67" s="545" t="str">
        <f>IF('Marks Entry'!T67="","",'Marks Entry'!T67)</f>
        <v/>
      </c>
      <c r="AE67" s="547" t="str">
        <f t="shared" si="58"/>
        <v/>
      </c>
      <c r="AF67" s="153">
        <f t="shared" si="59"/>
        <v>0</v>
      </c>
      <c r="AG67" s="153">
        <f t="shared" si="60"/>
        <v>0</v>
      </c>
      <c r="AH67" s="154" t="str">
        <f t="shared" si="61"/>
        <v/>
      </c>
      <c r="AI67" s="153" t="str">
        <f t="shared" si="62"/>
        <v/>
      </c>
      <c r="AJ67" s="153" t="str">
        <f t="shared" si="63"/>
        <v/>
      </c>
      <c r="AK67" s="153" t="str">
        <f t="shared" si="64"/>
        <v/>
      </c>
      <c r="AL67" s="573" t="str">
        <f>IF('Marks Entry'!U67="","",'Marks Entry'!U67)</f>
        <v/>
      </c>
      <c r="AM67" s="573" t="str">
        <f>IF('Marks Entry'!V67="","",'Marks Entry'!V67)</f>
        <v/>
      </c>
      <c r="AN67" s="573" t="str">
        <f>IF('Marks Entry'!W67="","",'Marks Entry'!W67)</f>
        <v/>
      </c>
      <c r="AO67" s="573" t="str">
        <f>IF('Marks Entry'!X67="","",'Marks Entry'!X67)</f>
        <v/>
      </c>
      <c r="AP67" s="572" t="str">
        <f t="shared" si="65"/>
        <v/>
      </c>
      <c r="AQ67" s="573" t="str">
        <f>IF('Marks Entry'!Y67="","",'Marks Entry'!Y67)</f>
        <v/>
      </c>
      <c r="AR67" s="573" t="str">
        <f>IF('Marks Entry'!Z67="","",'Marks Entry'!Z67)</f>
        <v/>
      </c>
      <c r="AS67" s="572" t="str">
        <f t="shared" si="66"/>
        <v/>
      </c>
      <c r="AT67" s="572" t="str">
        <f t="shared" si="67"/>
        <v/>
      </c>
      <c r="AU67" s="573" t="str">
        <f>IF('Marks Entry'!AA67="","",'Marks Entry'!AA67)</f>
        <v/>
      </c>
      <c r="AV67" s="573" t="str">
        <f>IF('Marks Entry'!AB67="","",'Marks Entry'!AB67)</f>
        <v/>
      </c>
      <c r="AW67" s="572" t="str">
        <f t="shared" si="68"/>
        <v/>
      </c>
      <c r="AX67" s="157" t="str">
        <f t="shared" si="69"/>
        <v/>
      </c>
      <c r="AY67" s="157" t="str">
        <f t="shared" si="70"/>
        <v/>
      </c>
      <c r="AZ67" s="192" t="str">
        <f t="shared" si="71"/>
        <v/>
      </c>
      <c r="BA67" s="153">
        <f t="shared" si="72"/>
        <v>0</v>
      </c>
      <c r="BB67" s="154">
        <f t="shared" si="73"/>
        <v>0</v>
      </c>
      <c r="BC67" s="154" t="str">
        <f t="shared" si="74"/>
        <v/>
      </c>
      <c r="BD67" s="154" t="str">
        <f t="shared" si="75"/>
        <v/>
      </c>
      <c r="BE67" s="154" t="str">
        <f t="shared" si="76"/>
        <v/>
      </c>
      <c r="BF67" s="153" t="str">
        <f t="shared" si="77"/>
        <v/>
      </c>
      <c r="BG67" s="154" t="str">
        <f t="shared" si="175"/>
        <v/>
      </c>
      <c r="BH67" s="153" t="str">
        <f t="shared" si="78"/>
        <v/>
      </c>
      <c r="BI67" s="580" t="str">
        <f>IF('Marks Entry'!AC67="","",'Marks Entry'!AC67)</f>
        <v/>
      </c>
      <c r="BJ67" s="580" t="str">
        <f>IF('Marks Entry'!AD67="","",'Marks Entry'!AD67)</f>
        <v/>
      </c>
      <c r="BK67" s="580" t="str">
        <f>IF('Marks Entry'!AE67="","",'Marks Entry'!AE67)</f>
        <v/>
      </c>
      <c r="BL67" s="580" t="str">
        <f>IF('Marks Entry'!AF67="","",'Marks Entry'!AF67)</f>
        <v/>
      </c>
      <c r="BM67" s="581" t="str">
        <f t="shared" si="79"/>
        <v/>
      </c>
      <c r="BN67" s="580" t="str">
        <f>IF('Marks Entry'!AG67="","",'Marks Entry'!AG67)</f>
        <v/>
      </c>
      <c r="BO67" s="580" t="str">
        <f>IF('Marks Entry'!AH67="","",'Marks Entry'!AH67)</f>
        <v/>
      </c>
      <c r="BP67" s="581" t="str">
        <f t="shared" si="80"/>
        <v/>
      </c>
      <c r="BQ67" s="581" t="str">
        <f t="shared" si="81"/>
        <v/>
      </c>
      <c r="BR67" s="580" t="str">
        <f>IF('Marks Entry'!AI67="","",'Marks Entry'!AI67)</f>
        <v/>
      </c>
      <c r="BS67" s="580" t="str">
        <f>IF('Marks Entry'!AJ67="","",'Marks Entry'!AJ67)</f>
        <v/>
      </c>
      <c r="BT67" s="581" t="str">
        <f t="shared" si="82"/>
        <v/>
      </c>
      <c r="BU67" s="157" t="str">
        <f t="shared" si="83"/>
        <v/>
      </c>
      <c r="BV67" s="157" t="str">
        <f t="shared" si="84"/>
        <v/>
      </c>
      <c r="BW67" s="192" t="str">
        <f t="shared" si="85"/>
        <v/>
      </c>
      <c r="BX67" s="153">
        <f t="shared" si="86"/>
        <v>0</v>
      </c>
      <c r="BY67" s="154">
        <f t="shared" si="87"/>
        <v>0</v>
      </c>
      <c r="BZ67" s="154" t="str">
        <f t="shared" si="88"/>
        <v/>
      </c>
      <c r="CA67" s="154" t="str">
        <f t="shared" si="89"/>
        <v/>
      </c>
      <c r="CB67" s="154" t="str">
        <f t="shared" si="90"/>
        <v/>
      </c>
      <c r="CC67" s="153" t="str">
        <f t="shared" si="91"/>
        <v/>
      </c>
      <c r="CD67" s="154" t="str">
        <f t="shared" si="92"/>
        <v/>
      </c>
      <c r="CE67" s="153" t="str">
        <f t="shared" si="93"/>
        <v/>
      </c>
      <c r="CF67" s="580" t="str">
        <f>IF('Marks Entry'!AK67="","",'Marks Entry'!AK67)</f>
        <v/>
      </c>
      <c r="CG67" s="580" t="str">
        <f>IF('Marks Entry'!AL67="","",'Marks Entry'!AL67)</f>
        <v/>
      </c>
      <c r="CH67" s="580" t="str">
        <f>IF('Marks Entry'!AM67="","",'Marks Entry'!AM67)</f>
        <v/>
      </c>
      <c r="CI67" s="580" t="str">
        <f>IF('Marks Entry'!AN67="","",'Marks Entry'!AN67)</f>
        <v/>
      </c>
      <c r="CJ67" s="581" t="str">
        <f t="shared" si="94"/>
        <v/>
      </c>
      <c r="CK67" s="580" t="str">
        <f>IF('Marks Entry'!AO67="","",'Marks Entry'!AO67)</f>
        <v/>
      </c>
      <c r="CL67" s="580" t="str">
        <f>IF('Marks Entry'!AP67="","",'Marks Entry'!AP67)</f>
        <v/>
      </c>
      <c r="CM67" s="581" t="str">
        <f t="shared" si="95"/>
        <v/>
      </c>
      <c r="CN67" s="581" t="str">
        <f t="shared" si="96"/>
        <v/>
      </c>
      <c r="CO67" s="580" t="str">
        <f>IF('Marks Entry'!AQ67="","",'Marks Entry'!AQ67)</f>
        <v/>
      </c>
      <c r="CP67" s="580" t="str">
        <f>IF('Marks Entry'!AR67="","",'Marks Entry'!AR67)</f>
        <v/>
      </c>
      <c r="CQ67" s="581" t="str">
        <f t="shared" si="97"/>
        <v/>
      </c>
      <c r="CR67" s="157" t="str">
        <f t="shared" si="98"/>
        <v/>
      </c>
      <c r="CS67" s="157" t="str">
        <f t="shared" si="99"/>
        <v/>
      </c>
      <c r="CT67" s="192" t="str">
        <f t="shared" si="100"/>
        <v/>
      </c>
      <c r="CU67" s="153">
        <f t="shared" si="101"/>
        <v>0</v>
      </c>
      <c r="CV67" s="154">
        <f t="shared" si="102"/>
        <v>0</v>
      </c>
      <c r="CW67" s="154" t="str">
        <f t="shared" si="103"/>
        <v/>
      </c>
      <c r="CX67" s="154" t="str">
        <f t="shared" si="104"/>
        <v/>
      </c>
      <c r="CY67" s="154" t="str">
        <f t="shared" si="176"/>
        <v/>
      </c>
      <c r="CZ67" s="153" t="str">
        <f t="shared" si="105"/>
        <v/>
      </c>
      <c r="DA67" s="154" t="str">
        <f t="shared" si="106"/>
        <v/>
      </c>
      <c r="DB67" s="153" t="str">
        <f t="shared" si="107"/>
        <v/>
      </c>
      <c r="DC67" s="154">
        <f t="shared" si="108"/>
        <v>0</v>
      </c>
      <c r="DD67" s="826" t="str">
        <f>IF('Marks Entry'!AS67="","",IF(OR('Master Sheet'!$D$19="YES",'Marks Entry'!$BA$1=1),'Marks Entry'!AS67,""))</f>
        <v/>
      </c>
      <c r="DE67" s="826" t="str">
        <f>IF('Marks Entry'!AT67="","",IF(OR('Master Sheet'!$D$19="YES",'Marks Entry'!$BA$1=1),'Marks Entry'!AT67,""))</f>
        <v/>
      </c>
      <c r="DF67" s="826" t="str">
        <f>IF('Marks Entry'!AU67="","",IF(OR('Master Sheet'!$D$19="YES",'Marks Entry'!$BA$1=1),'Marks Entry'!AU67,""))</f>
        <v/>
      </c>
      <c r="DG67" s="826" t="str">
        <f>IF('Marks Entry'!AV67="","",IF(OR('Master Sheet'!$D$19="YES",'Marks Entry'!$BA$1=1),'Marks Entry'!AV67,""))</f>
        <v/>
      </c>
      <c r="DH67" s="827" t="str">
        <f t="shared" si="109"/>
        <v/>
      </c>
      <c r="DI67" s="826" t="str">
        <f>IF('Marks Entry'!AW67="","",IF(OR('Master Sheet'!$D$19="YES",'Marks Entry'!$BA$1=1),'Marks Entry'!AW67,""))</f>
        <v/>
      </c>
      <c r="DJ67" s="826" t="str">
        <f>IF('Marks Entry'!AX67="","",IF(OR('Master Sheet'!$D$19="YES",'Marks Entry'!$BA$1=1),'Marks Entry'!AX67,""))</f>
        <v/>
      </c>
      <c r="DK67" s="827" t="str">
        <f t="shared" si="110"/>
        <v/>
      </c>
      <c r="DL67" s="827" t="str">
        <f t="shared" si="111"/>
        <v/>
      </c>
      <c r="DM67" s="826" t="str">
        <f>IF('Marks Entry'!AY67="","",IF(OR('Master Sheet'!$D$19="YES",'Marks Entry'!$BA$1=1),'Marks Entry'!AY67,""))</f>
        <v/>
      </c>
      <c r="DN67" s="826" t="str">
        <f>IF('Marks Entry'!AZ67="","",IF(OR('Master Sheet'!$D$19="YES",'Marks Entry'!$BA$1=1),'Marks Entry'!AZ67,""))</f>
        <v/>
      </c>
      <c r="DO67" s="826" t="str">
        <f>IF('Marks Entry'!BA67="","",IF(OR('Master Sheet'!$D$19="YES",'Marks Entry'!$BA$1=1),'Marks Entry'!BA67,""))</f>
        <v/>
      </c>
      <c r="DP67" s="827" t="str">
        <f t="shared" si="112"/>
        <v/>
      </c>
      <c r="DQ67" s="157" t="str">
        <f t="shared" si="113"/>
        <v/>
      </c>
      <c r="DR67" s="157" t="str">
        <f t="shared" si="114"/>
        <v/>
      </c>
      <c r="DS67" s="157" t="str">
        <f t="shared" si="115"/>
        <v/>
      </c>
      <c r="DT67" s="192" t="str">
        <f t="shared" si="116"/>
        <v/>
      </c>
      <c r="DU67" s="153">
        <f t="shared" si="117"/>
        <v>0</v>
      </c>
      <c r="DV67" s="154" t="e">
        <f t="shared" si="118"/>
        <v>#VALUE!</v>
      </c>
      <c r="DW67" s="154" t="str">
        <f t="shared" si="119"/>
        <v/>
      </c>
      <c r="DX67" s="154" t="str">
        <f>IF(OR($B67="NSO",$B67=0,DS67=""),"",IF(AND(DJ67="",DO67=""),"",IF('Master Sheet'!$D$19="YES",$DO$6-COUNTIF(DO67,"ML")*DO$6,DS$6-(COUNTIF(DJ67,"ML")*DJ$6)-(COUNTIF(DO67,"ML")*DO$6))))</f>
        <v/>
      </c>
      <c r="DY67" s="154" t="str">
        <f>IF(OR($B67="NSO",$B67=0),"",IF(AND(DH67="",DI67="",DM67=""),"",IF(AND('Master Sheet'!$D$19="YES",'Marks Entry'!$BA$1=1),100,IF(AND(DJ67="",DO67=""),SUM(($DQ$7+$DR$7)-(DU67+DV67)),SUM(($DQ$6+$DR$6)-(DU67+DV67))))))</f>
        <v/>
      </c>
      <c r="DZ67" s="153" t="str">
        <f t="shared" si="120"/>
        <v/>
      </c>
      <c r="EA67" s="154" t="str">
        <f t="shared" si="121"/>
        <v/>
      </c>
      <c r="EB67" s="153" t="str">
        <f t="shared" si="122"/>
        <v/>
      </c>
      <c r="EC67" s="584" t="str">
        <f>IF('Marks Entry'!BB67="","",'Marks Entry'!BB67)</f>
        <v/>
      </c>
      <c r="ED67" s="584" t="str">
        <f>IF('Marks Entry'!BC67="","",'Marks Entry'!BC67)</f>
        <v/>
      </c>
      <c r="EE67" s="584" t="str">
        <f>IF('Marks Entry'!BD67="","",'Marks Entry'!BD67)</f>
        <v/>
      </c>
      <c r="EF67" s="590" t="str">
        <f t="shared" si="123"/>
        <v/>
      </c>
      <c r="EG67" s="595">
        <f t="shared" si="124"/>
        <v>0</v>
      </c>
      <c r="EH67" s="595">
        <f t="shared" si="125"/>
        <v>0</v>
      </c>
      <c r="EI67" s="193" t="str">
        <f t="shared" si="126"/>
        <v/>
      </c>
      <c r="EJ67" s="595" t="str">
        <f t="shared" si="127"/>
        <v/>
      </c>
      <c r="EK67" s="595" t="str">
        <f t="shared" si="128"/>
        <v/>
      </c>
      <c r="EL67" s="194" t="str">
        <f t="shared" si="129"/>
        <v/>
      </c>
      <c r="EM67" s="194" t="str">
        <f t="shared" si="130"/>
        <v/>
      </c>
      <c r="EN67" s="194" t="str">
        <f t="shared" si="131"/>
        <v/>
      </c>
      <c r="EO67" s="194" t="str">
        <f t="shared" si="132"/>
        <v/>
      </c>
      <c r="EP67" s="194" t="str">
        <f t="shared" si="133"/>
        <v/>
      </c>
      <c r="EQ67" s="194" t="str">
        <f t="shared" si="134"/>
        <v/>
      </c>
      <c r="ER67" s="195">
        <f t="shared" si="135"/>
        <v>0</v>
      </c>
      <c r="ES67" s="195">
        <f t="shared" si="136"/>
        <v>0</v>
      </c>
      <c r="ET67" s="195">
        <f t="shared" si="137"/>
        <v>0</v>
      </c>
      <c r="EU67" s="195">
        <f t="shared" si="138"/>
        <v>0</v>
      </c>
      <c r="EV67" s="195">
        <f t="shared" si="139"/>
        <v>0</v>
      </c>
      <c r="EW67" s="195" t="str">
        <f t="shared" si="140"/>
        <v/>
      </c>
      <c r="EX67" s="196" t="str">
        <f t="shared" si="141"/>
        <v/>
      </c>
      <c r="EY67" s="197" t="str">
        <f>IF('Marks Entry'!BE67="","",'Marks Entry'!BE67)</f>
        <v/>
      </c>
      <c r="EZ67" s="197" t="str">
        <f>IF('Marks Entry'!BF67="","",'Marks Entry'!BF67)</f>
        <v/>
      </c>
      <c r="FA67" s="197" t="str">
        <f>IF('Marks Entry'!BG67="","",'Marks Entry'!BG67)</f>
        <v/>
      </c>
      <c r="FB67" s="596" t="str">
        <f t="shared" si="142"/>
        <v/>
      </c>
      <c r="FC67" s="197" t="str">
        <f>IF('Marks Entry'!BH67="","",'Marks Entry'!BH67)</f>
        <v/>
      </c>
      <c r="FD67" s="197" t="str">
        <f>IF('Marks Entry'!BI67="","",'Marks Entry'!BI67)</f>
        <v/>
      </c>
      <c r="FE67" s="198" t="str">
        <f t="shared" si="143"/>
        <v/>
      </c>
      <c r="FF67" s="199" t="str">
        <f t="shared" si="144"/>
        <v/>
      </c>
      <c r="FG67" s="200" t="str">
        <f>IF(AND(E67=""),"",IF('Student DATA Entry'!L63="","",'Student DATA Entry'!L63))</f>
        <v/>
      </c>
      <c r="FH67" s="201" t="str">
        <f>IF(AND(E67=""),"",IF('Student DATA Entry'!M63="","",'Student DATA Entry'!M63))</f>
        <v/>
      </c>
      <c r="FI67" s="202" t="str">
        <f t="shared" si="145"/>
        <v/>
      </c>
      <c r="FJ67" s="189" t="str">
        <f t="shared" si="146"/>
        <v/>
      </c>
      <c r="FK67" s="189" t="str">
        <f t="shared" si="147"/>
        <v/>
      </c>
      <c r="FL67" s="203" t="str">
        <f t="shared" si="178"/>
        <v/>
      </c>
      <c r="FM67" s="189" t="str">
        <f t="shared" si="148"/>
        <v/>
      </c>
      <c r="FN67" s="204" t="str">
        <f t="shared" si="149"/>
        <v/>
      </c>
      <c r="FO67" s="203" t="str">
        <f t="shared" si="179"/>
        <v/>
      </c>
      <c r="FP67" s="205" t="str">
        <f t="shared" si="150"/>
        <v/>
      </c>
      <c r="FQ67" s="189" t="str">
        <f t="shared" si="180"/>
        <v/>
      </c>
      <c r="FR67" s="189" t="str">
        <f t="shared" si="181"/>
        <v/>
      </c>
      <c r="FS67" s="189" t="str">
        <f t="shared" si="182"/>
        <v/>
      </c>
      <c r="FT67" s="189" t="str">
        <f t="shared" si="183"/>
        <v/>
      </c>
      <c r="FU67" s="189" t="str">
        <f t="shared" si="151"/>
        <v/>
      </c>
      <c r="FV67" s="206" t="str">
        <f t="shared" si="184"/>
        <v/>
      </c>
      <c r="FW67" s="205" t="str">
        <f t="shared" si="152"/>
        <v/>
      </c>
      <c r="FX67" s="189" t="str">
        <f t="shared" si="185"/>
        <v/>
      </c>
      <c r="FY67" s="189" t="str">
        <f t="shared" si="186"/>
        <v/>
      </c>
      <c r="FZ67" s="189" t="str">
        <f t="shared" si="187"/>
        <v/>
      </c>
      <c r="GA67" s="189" t="str">
        <f t="shared" si="188"/>
        <v/>
      </c>
      <c r="GB67" s="189" t="str">
        <f t="shared" si="153"/>
        <v/>
      </c>
      <c r="GC67" s="206" t="str">
        <f t="shared" si="189"/>
        <v/>
      </c>
      <c r="GD67" s="205" t="str">
        <f t="shared" si="154"/>
        <v/>
      </c>
      <c r="GE67" s="189" t="str">
        <f t="shared" si="190"/>
        <v/>
      </c>
      <c r="GF67" s="189" t="str">
        <f t="shared" si="191"/>
        <v/>
      </c>
      <c r="GG67" s="189" t="str">
        <f t="shared" si="192"/>
        <v/>
      </c>
      <c r="GH67" s="189" t="str">
        <f t="shared" si="193"/>
        <v/>
      </c>
      <c r="GI67" s="189" t="str">
        <f t="shared" si="155"/>
        <v/>
      </c>
      <c r="GJ67" s="206" t="str">
        <f t="shared" si="194"/>
        <v/>
      </c>
      <c r="GK67" s="205" t="str">
        <f t="shared" si="156"/>
        <v/>
      </c>
      <c r="GL67" s="189" t="str">
        <f t="shared" si="195"/>
        <v/>
      </c>
      <c r="GM67" s="189" t="str">
        <f t="shared" si="196"/>
        <v/>
      </c>
      <c r="GN67" s="189" t="str">
        <f t="shared" si="197"/>
        <v/>
      </c>
      <c r="GO67" s="189" t="str">
        <f t="shared" si="198"/>
        <v/>
      </c>
      <c r="GP67" s="189" t="str">
        <f t="shared" si="157"/>
        <v/>
      </c>
      <c r="GQ67" s="206" t="str">
        <f t="shared" si="199"/>
        <v/>
      </c>
      <c r="GR67" s="189" t="str">
        <f t="shared" si="158"/>
        <v/>
      </c>
      <c r="GS67" s="189" t="str">
        <f t="shared" si="159"/>
        <v/>
      </c>
      <c r="GT67" s="207" t="str">
        <f t="shared" si="177"/>
        <v xml:space="preserve">    </v>
      </c>
      <c r="GU67" s="207" t="str">
        <f t="shared" si="160"/>
        <v xml:space="preserve">    </v>
      </c>
      <c r="GV67" s="207" t="str">
        <f t="shared" si="161"/>
        <v xml:space="preserve">    </v>
      </c>
      <c r="GW67" s="207" t="str">
        <f t="shared" si="162"/>
        <v xml:space="preserve">       </v>
      </c>
      <c r="GX67" s="598" t="str">
        <f t="shared" si="163"/>
        <v xml:space="preserve">     </v>
      </c>
      <c r="GY67" s="208" t="str">
        <f t="shared" si="200"/>
        <v/>
      </c>
      <c r="GZ67" s="606" t="str">
        <f>IF(AND(Q67="",AE67="",AZ67="",BW67="",CT67=""),"",IF(AND('Master Sheet'!$D$19="YES",'Marks Entry'!$BA$1=1),SUM(Q67,AE67,AZ67,BW67,DT67),SUM(Q67,AE67,AZ67,BW67,CT67)))</f>
        <v/>
      </c>
      <c r="HA67" s="209" t="str">
        <f>IF(GZ67="","",IF(AND('Master Sheet'!$D$19="YES",'Marks Entry'!$BA$1=1),GZ67/((900)-DC67)*100,GZ67/((1000)-DC67)*100))</f>
        <v/>
      </c>
      <c r="HB67" s="611" t="str">
        <f t="shared" si="165"/>
        <v/>
      </c>
      <c r="HC67" s="609" t="str">
        <f t="shared" si="166"/>
        <v/>
      </c>
      <c r="HD67" s="610" t="str">
        <f t="shared" si="167"/>
        <v/>
      </c>
      <c r="HE67" s="210" t="str">
        <f>IFERROR(IF(OR(GY67="SUPPLEMENTARY",GY67="RE-EXAM"),'Supp. Result Entry'!AS66,""),"")</f>
        <v/>
      </c>
      <c r="HF67" s="613" t="str">
        <f t="shared" si="168"/>
        <v/>
      </c>
      <c r="HG67" s="598" t="str">
        <f t="shared" si="169"/>
        <v/>
      </c>
      <c r="HH67" s="598" t="str">
        <f>IF(AND(HE67="",HF67="",HG67=""),"",IF(OR(GY67="SUPPLEMENTARY",GY67="RE-EXAM"),'Supp. Result Entry'!AS66,GY67))</f>
        <v/>
      </c>
      <c r="HI67" s="180"/>
      <c r="HY67" s="212" t="str">
        <f>IF('Supp. Result Entry'!U66="","",'Supp. Result Entry'!$U$6)</f>
        <v/>
      </c>
      <c r="HZ67" s="213" t="str">
        <f>IF('Supp. Result Entry'!X66="","",'Supp. Result Entry'!$X$6)</f>
        <v/>
      </c>
      <c r="IA67" s="213" t="str">
        <f>IF('Supp. Result Entry'!AA66="","",'Supp. Result Entry'!$AA$6)</f>
        <v/>
      </c>
      <c r="IB67" s="213" t="str">
        <f>IF('Supp. Result Entry'!AD66="","",'Supp. Result Entry'!$AD$6)</f>
        <v/>
      </c>
      <c r="IC67" s="213" t="str">
        <f>IF('Supp. Result Entry'!AG66="","",'Supp. Result Entry'!$AG$6)</f>
        <v/>
      </c>
      <c r="ID67" s="213" t="str">
        <f>IF('Supp. Result Entry'!AJ66="","",'Supp. Result Entry'!$AJ$6)</f>
        <v/>
      </c>
      <c r="IE67" s="213" t="str">
        <f>IF('Supp. Result Entry'!V66="","",'Supp. Result Entry'!V66)</f>
        <v/>
      </c>
      <c r="IF67" s="213" t="str">
        <f>IF('Supp. Result Entry'!Y66="","",'Supp. Result Entry'!Y66)</f>
        <v/>
      </c>
      <c r="IG67" s="213" t="str">
        <f>IF('Supp. Result Entry'!AB66="","",'Supp. Result Entry'!AB66)</f>
        <v/>
      </c>
      <c r="IH67" s="213" t="str">
        <f>IF('Supp. Result Entry'!AE66="","",'Supp. Result Entry'!AE66)</f>
        <v/>
      </c>
      <c r="II67" s="213" t="str">
        <f>IF('Supp. Result Entry'!AH66="","",'Supp. Result Entry'!AH66)</f>
        <v/>
      </c>
      <c r="IJ67" s="213" t="str">
        <f>IF('Supp. Result Entry'!AK66="","",'Supp. Result Entry'!AK66)</f>
        <v/>
      </c>
      <c r="IK67" s="213" t="str">
        <f>IF('Supp. Result Entry'!W66="","",'Supp. Result Entry'!W66)</f>
        <v/>
      </c>
      <c r="IL67" s="213" t="str">
        <f>IF('Supp. Result Entry'!Z66="","",'Supp. Result Entry'!Z66)</f>
        <v/>
      </c>
      <c r="IM67" s="213" t="str">
        <f>IF('Supp. Result Entry'!AC66="","",'Supp. Result Entry'!AC66)</f>
        <v/>
      </c>
      <c r="IN67" s="213" t="str">
        <f>IF('Supp. Result Entry'!AF66="","",'Supp. Result Entry'!AF66)</f>
        <v/>
      </c>
      <c r="IO67" s="213" t="str">
        <f>IF('Supp. Result Entry'!AI66="","",'Supp. Result Entry'!AI66)</f>
        <v/>
      </c>
      <c r="IP67" s="213" t="str">
        <f>IF('Supp. Result Entry'!AL66="","",'Supp. Result Entry'!AL66)</f>
        <v/>
      </c>
      <c r="IQ67" s="213">
        <f>COUNTIF('Supp. Result Entry'!K66:Q66,"S")</f>
        <v>0</v>
      </c>
      <c r="IR67" s="213">
        <f t="shared" si="170"/>
        <v>0</v>
      </c>
      <c r="IS67" s="213">
        <f t="shared" si="171"/>
        <v>0</v>
      </c>
      <c r="IT67" s="213" t="str">
        <f t="shared" si="41"/>
        <v/>
      </c>
      <c r="IU67" s="213" t="str">
        <f t="shared" si="42"/>
        <v/>
      </c>
      <c r="IV67" s="213" t="str">
        <f t="shared" si="43"/>
        <v/>
      </c>
      <c r="IW67" s="213" t="str">
        <f t="shared" si="44"/>
        <v/>
      </c>
      <c r="IX67" s="213" t="str">
        <f t="shared" si="45"/>
        <v/>
      </c>
      <c r="IY67" s="213" t="str">
        <f t="shared" si="172"/>
        <v/>
      </c>
      <c r="IZ67" s="213" t="str">
        <f t="shared" si="173"/>
        <v/>
      </c>
      <c r="JA67" s="213" t="str">
        <f t="shared" si="46"/>
        <v/>
      </c>
      <c r="JB67" s="211" t="str">
        <f t="shared" si="174"/>
        <v/>
      </c>
    </row>
    <row r="68" spans="1:262" s="211" customFormat="1" ht="21" customHeight="1">
      <c r="A68" s="184">
        <v>61</v>
      </c>
      <c r="B68" s="185" t="str">
        <f>IF('Marks Entry'!B68="","",'Marks Entry'!B68)</f>
        <v/>
      </c>
      <c r="C68" s="186" t="str">
        <f>IF('Marks Entry'!D68="","",'Marks Entry'!D68)</f>
        <v/>
      </c>
      <c r="D68" s="187" t="str">
        <f>IF('Marks Entry'!E68="","",'Marks Entry'!E68)</f>
        <v/>
      </c>
      <c r="E68" s="188" t="str">
        <f>IF('Marks Entry'!F68="","",'Marks Entry'!F68)</f>
        <v/>
      </c>
      <c r="F68" s="188" t="str">
        <f>IF('Marks Entry'!G68="","",'Marks Entry'!G68)</f>
        <v/>
      </c>
      <c r="G68" s="188" t="str">
        <f>IF('Marks Entry'!H68="","",'Marks Entry'!H68)</f>
        <v/>
      </c>
      <c r="H68" s="189" t="str">
        <f>IF('Marks Entry'!I68="","",'Marks Entry'!I68)</f>
        <v/>
      </c>
      <c r="I68" s="190" t="str">
        <f>IF('Marks Entry'!J68="","",'Marks Entry'!J68)</f>
        <v/>
      </c>
      <c r="J68" s="545" t="str">
        <f>IF('Marks Entry'!K68="","",'Marks Entry'!K68)</f>
        <v/>
      </c>
      <c r="K68" s="545" t="str">
        <f>IF('Marks Entry'!L68="","",'Marks Entry'!L68)</f>
        <v/>
      </c>
      <c r="L68" s="545" t="str">
        <f>IF('Marks Entry'!M68="","",'Marks Entry'!M68)</f>
        <v/>
      </c>
      <c r="M68" s="546" t="str">
        <f t="shared" si="47"/>
        <v/>
      </c>
      <c r="N68" s="545" t="str">
        <f>IF('Marks Entry'!N68="","",'Marks Entry'!N68)</f>
        <v/>
      </c>
      <c r="O68" s="546" t="str">
        <f t="shared" si="48"/>
        <v/>
      </c>
      <c r="P68" s="545" t="str">
        <f>IF('Marks Entry'!O68="","",'Marks Entry'!O68)</f>
        <v/>
      </c>
      <c r="Q68" s="547" t="str">
        <f t="shared" si="49"/>
        <v/>
      </c>
      <c r="R68" s="153">
        <f t="shared" si="50"/>
        <v>0</v>
      </c>
      <c r="S68" s="153">
        <f t="shared" si="51"/>
        <v>0</v>
      </c>
      <c r="T68" s="154" t="str">
        <f t="shared" si="52"/>
        <v/>
      </c>
      <c r="U68" s="153" t="str">
        <f t="shared" si="53"/>
        <v/>
      </c>
      <c r="V68" s="153" t="str">
        <f t="shared" si="54"/>
        <v/>
      </c>
      <c r="W68" s="153" t="str">
        <f t="shared" si="55"/>
        <v/>
      </c>
      <c r="X68" s="545" t="str">
        <f>IF('Marks Entry'!P68="","",'Marks Entry'!P68)</f>
        <v/>
      </c>
      <c r="Y68" s="545" t="str">
        <f>IF('Marks Entry'!Q68="","",'Marks Entry'!Q68)</f>
        <v/>
      </c>
      <c r="Z68" s="545" t="str">
        <f>IF('Marks Entry'!R68="","",'Marks Entry'!R68)</f>
        <v/>
      </c>
      <c r="AA68" s="546" t="str">
        <f t="shared" si="56"/>
        <v/>
      </c>
      <c r="AB68" s="545" t="str">
        <f>IF('Marks Entry'!S68="","",'Marks Entry'!S68)</f>
        <v/>
      </c>
      <c r="AC68" s="546" t="str">
        <f t="shared" si="57"/>
        <v/>
      </c>
      <c r="AD68" s="545" t="str">
        <f>IF('Marks Entry'!T68="","",'Marks Entry'!T68)</f>
        <v/>
      </c>
      <c r="AE68" s="547" t="str">
        <f t="shared" si="58"/>
        <v/>
      </c>
      <c r="AF68" s="153">
        <f t="shared" si="59"/>
        <v>0</v>
      </c>
      <c r="AG68" s="153">
        <f t="shared" si="60"/>
        <v>0</v>
      </c>
      <c r="AH68" s="154" t="str">
        <f t="shared" si="61"/>
        <v/>
      </c>
      <c r="AI68" s="153" t="str">
        <f t="shared" si="62"/>
        <v/>
      </c>
      <c r="AJ68" s="153" t="str">
        <f t="shared" si="63"/>
        <v/>
      </c>
      <c r="AK68" s="153" t="str">
        <f t="shared" si="64"/>
        <v/>
      </c>
      <c r="AL68" s="573" t="str">
        <f>IF('Marks Entry'!U68="","",'Marks Entry'!U68)</f>
        <v/>
      </c>
      <c r="AM68" s="573" t="str">
        <f>IF('Marks Entry'!V68="","",'Marks Entry'!V68)</f>
        <v/>
      </c>
      <c r="AN68" s="573" t="str">
        <f>IF('Marks Entry'!W68="","",'Marks Entry'!W68)</f>
        <v/>
      </c>
      <c r="AO68" s="573" t="str">
        <f>IF('Marks Entry'!X68="","",'Marks Entry'!X68)</f>
        <v/>
      </c>
      <c r="AP68" s="572" t="str">
        <f t="shared" si="65"/>
        <v/>
      </c>
      <c r="AQ68" s="573" t="str">
        <f>IF('Marks Entry'!Y68="","",'Marks Entry'!Y68)</f>
        <v/>
      </c>
      <c r="AR68" s="573" t="str">
        <f>IF('Marks Entry'!Z68="","",'Marks Entry'!Z68)</f>
        <v/>
      </c>
      <c r="AS68" s="572" t="str">
        <f t="shared" si="66"/>
        <v/>
      </c>
      <c r="AT68" s="572" t="str">
        <f t="shared" si="67"/>
        <v/>
      </c>
      <c r="AU68" s="573" t="str">
        <f>IF('Marks Entry'!AA68="","",'Marks Entry'!AA68)</f>
        <v/>
      </c>
      <c r="AV68" s="573" t="str">
        <f>IF('Marks Entry'!AB68="","",'Marks Entry'!AB68)</f>
        <v/>
      </c>
      <c r="AW68" s="572" t="str">
        <f t="shared" si="68"/>
        <v/>
      </c>
      <c r="AX68" s="157" t="str">
        <f t="shared" si="69"/>
        <v/>
      </c>
      <c r="AY68" s="157" t="str">
        <f t="shared" si="70"/>
        <v/>
      </c>
      <c r="AZ68" s="192" t="str">
        <f t="shared" si="71"/>
        <v/>
      </c>
      <c r="BA68" s="153">
        <f t="shared" si="72"/>
        <v>0</v>
      </c>
      <c r="BB68" s="154">
        <f t="shared" si="73"/>
        <v>0</v>
      </c>
      <c r="BC68" s="154" t="str">
        <f t="shared" si="74"/>
        <v/>
      </c>
      <c r="BD68" s="154" t="str">
        <f t="shared" si="75"/>
        <v/>
      </c>
      <c r="BE68" s="154" t="str">
        <f t="shared" si="76"/>
        <v/>
      </c>
      <c r="BF68" s="153" t="str">
        <f t="shared" si="77"/>
        <v/>
      </c>
      <c r="BG68" s="154" t="str">
        <f t="shared" si="175"/>
        <v/>
      </c>
      <c r="BH68" s="153" t="str">
        <f t="shared" si="78"/>
        <v/>
      </c>
      <c r="BI68" s="580" t="str">
        <f>IF('Marks Entry'!AC68="","",'Marks Entry'!AC68)</f>
        <v/>
      </c>
      <c r="BJ68" s="580" t="str">
        <f>IF('Marks Entry'!AD68="","",'Marks Entry'!AD68)</f>
        <v/>
      </c>
      <c r="BK68" s="580" t="str">
        <f>IF('Marks Entry'!AE68="","",'Marks Entry'!AE68)</f>
        <v/>
      </c>
      <c r="BL68" s="580" t="str">
        <f>IF('Marks Entry'!AF68="","",'Marks Entry'!AF68)</f>
        <v/>
      </c>
      <c r="BM68" s="581" t="str">
        <f t="shared" si="79"/>
        <v/>
      </c>
      <c r="BN68" s="580" t="str">
        <f>IF('Marks Entry'!AG68="","",'Marks Entry'!AG68)</f>
        <v/>
      </c>
      <c r="BO68" s="580" t="str">
        <f>IF('Marks Entry'!AH68="","",'Marks Entry'!AH68)</f>
        <v/>
      </c>
      <c r="BP68" s="581" t="str">
        <f t="shared" si="80"/>
        <v/>
      </c>
      <c r="BQ68" s="581" t="str">
        <f t="shared" si="81"/>
        <v/>
      </c>
      <c r="BR68" s="580" t="str">
        <f>IF('Marks Entry'!AI68="","",'Marks Entry'!AI68)</f>
        <v/>
      </c>
      <c r="BS68" s="580" t="str">
        <f>IF('Marks Entry'!AJ68="","",'Marks Entry'!AJ68)</f>
        <v/>
      </c>
      <c r="BT68" s="581" t="str">
        <f t="shared" si="82"/>
        <v/>
      </c>
      <c r="BU68" s="157" t="str">
        <f t="shared" si="83"/>
        <v/>
      </c>
      <c r="BV68" s="157" t="str">
        <f t="shared" si="84"/>
        <v/>
      </c>
      <c r="BW68" s="192" t="str">
        <f t="shared" si="85"/>
        <v/>
      </c>
      <c r="BX68" s="153">
        <f t="shared" si="86"/>
        <v>0</v>
      </c>
      <c r="BY68" s="154">
        <f t="shared" si="87"/>
        <v>0</v>
      </c>
      <c r="BZ68" s="154" t="str">
        <f t="shared" si="88"/>
        <v/>
      </c>
      <c r="CA68" s="154" t="str">
        <f t="shared" si="89"/>
        <v/>
      </c>
      <c r="CB68" s="154" t="str">
        <f t="shared" si="90"/>
        <v/>
      </c>
      <c r="CC68" s="153" t="str">
        <f t="shared" si="91"/>
        <v/>
      </c>
      <c r="CD68" s="154" t="str">
        <f t="shared" si="92"/>
        <v/>
      </c>
      <c r="CE68" s="153" t="str">
        <f t="shared" si="93"/>
        <v/>
      </c>
      <c r="CF68" s="580" t="str">
        <f>IF('Marks Entry'!AK68="","",'Marks Entry'!AK68)</f>
        <v/>
      </c>
      <c r="CG68" s="580" t="str">
        <f>IF('Marks Entry'!AL68="","",'Marks Entry'!AL68)</f>
        <v/>
      </c>
      <c r="CH68" s="580" t="str">
        <f>IF('Marks Entry'!AM68="","",'Marks Entry'!AM68)</f>
        <v/>
      </c>
      <c r="CI68" s="580" t="str">
        <f>IF('Marks Entry'!AN68="","",'Marks Entry'!AN68)</f>
        <v/>
      </c>
      <c r="CJ68" s="581" t="str">
        <f t="shared" si="94"/>
        <v/>
      </c>
      <c r="CK68" s="580" t="str">
        <f>IF('Marks Entry'!AO68="","",'Marks Entry'!AO68)</f>
        <v/>
      </c>
      <c r="CL68" s="580" t="str">
        <f>IF('Marks Entry'!AP68="","",'Marks Entry'!AP68)</f>
        <v/>
      </c>
      <c r="CM68" s="581" t="str">
        <f t="shared" si="95"/>
        <v/>
      </c>
      <c r="CN68" s="581" t="str">
        <f t="shared" si="96"/>
        <v/>
      </c>
      <c r="CO68" s="580" t="str">
        <f>IF('Marks Entry'!AQ68="","",'Marks Entry'!AQ68)</f>
        <v/>
      </c>
      <c r="CP68" s="580" t="str">
        <f>IF('Marks Entry'!AR68="","",'Marks Entry'!AR68)</f>
        <v/>
      </c>
      <c r="CQ68" s="581" t="str">
        <f t="shared" si="97"/>
        <v/>
      </c>
      <c r="CR68" s="157" t="str">
        <f t="shared" si="98"/>
        <v/>
      </c>
      <c r="CS68" s="157" t="str">
        <f t="shared" si="99"/>
        <v/>
      </c>
      <c r="CT68" s="192" t="str">
        <f t="shared" si="100"/>
        <v/>
      </c>
      <c r="CU68" s="153">
        <f t="shared" si="101"/>
        <v>0</v>
      </c>
      <c r="CV68" s="154">
        <f t="shared" si="102"/>
        <v>0</v>
      </c>
      <c r="CW68" s="154" t="str">
        <f t="shared" si="103"/>
        <v/>
      </c>
      <c r="CX68" s="154" t="str">
        <f t="shared" si="104"/>
        <v/>
      </c>
      <c r="CY68" s="154" t="str">
        <f t="shared" si="176"/>
        <v/>
      </c>
      <c r="CZ68" s="153" t="str">
        <f t="shared" si="105"/>
        <v/>
      </c>
      <c r="DA68" s="154" t="str">
        <f t="shared" si="106"/>
        <v/>
      </c>
      <c r="DB68" s="153" t="str">
        <f t="shared" si="107"/>
        <v/>
      </c>
      <c r="DC68" s="154">
        <f t="shared" si="108"/>
        <v>0</v>
      </c>
      <c r="DD68" s="826" t="str">
        <f>IF('Marks Entry'!AS68="","",IF(OR('Master Sheet'!$D$19="YES",'Marks Entry'!$BA$1=1),'Marks Entry'!AS68,""))</f>
        <v/>
      </c>
      <c r="DE68" s="826" t="str">
        <f>IF('Marks Entry'!AT68="","",IF(OR('Master Sheet'!$D$19="YES",'Marks Entry'!$BA$1=1),'Marks Entry'!AT68,""))</f>
        <v/>
      </c>
      <c r="DF68" s="826" t="str">
        <f>IF('Marks Entry'!AU68="","",IF(OR('Master Sheet'!$D$19="YES",'Marks Entry'!$BA$1=1),'Marks Entry'!AU68,""))</f>
        <v/>
      </c>
      <c r="DG68" s="826" t="str">
        <f>IF('Marks Entry'!AV68="","",IF(OR('Master Sheet'!$D$19="YES",'Marks Entry'!$BA$1=1),'Marks Entry'!AV68,""))</f>
        <v/>
      </c>
      <c r="DH68" s="827" t="str">
        <f t="shared" si="109"/>
        <v/>
      </c>
      <c r="DI68" s="826" t="str">
        <f>IF('Marks Entry'!AW68="","",IF(OR('Master Sheet'!$D$19="YES",'Marks Entry'!$BA$1=1),'Marks Entry'!AW68,""))</f>
        <v/>
      </c>
      <c r="DJ68" s="826" t="str">
        <f>IF('Marks Entry'!AX68="","",IF(OR('Master Sheet'!$D$19="YES",'Marks Entry'!$BA$1=1),'Marks Entry'!AX68,""))</f>
        <v/>
      </c>
      <c r="DK68" s="827" t="str">
        <f t="shared" si="110"/>
        <v/>
      </c>
      <c r="DL68" s="827" t="str">
        <f t="shared" si="111"/>
        <v/>
      </c>
      <c r="DM68" s="826" t="str">
        <f>IF('Marks Entry'!AY68="","",IF(OR('Master Sheet'!$D$19="YES",'Marks Entry'!$BA$1=1),'Marks Entry'!AY68,""))</f>
        <v/>
      </c>
      <c r="DN68" s="826" t="str">
        <f>IF('Marks Entry'!AZ68="","",IF(OR('Master Sheet'!$D$19="YES",'Marks Entry'!$BA$1=1),'Marks Entry'!AZ68,""))</f>
        <v/>
      </c>
      <c r="DO68" s="826" t="str">
        <f>IF('Marks Entry'!BA68="","",IF(OR('Master Sheet'!$D$19="YES",'Marks Entry'!$BA$1=1),'Marks Entry'!BA68,""))</f>
        <v/>
      </c>
      <c r="DP68" s="827" t="str">
        <f t="shared" si="112"/>
        <v/>
      </c>
      <c r="DQ68" s="157" t="str">
        <f t="shared" si="113"/>
        <v/>
      </c>
      <c r="DR68" s="157" t="str">
        <f t="shared" si="114"/>
        <v/>
      </c>
      <c r="DS68" s="157" t="str">
        <f t="shared" si="115"/>
        <v/>
      </c>
      <c r="DT68" s="192" t="str">
        <f t="shared" si="116"/>
        <v/>
      </c>
      <c r="DU68" s="153">
        <f t="shared" si="117"/>
        <v>0</v>
      </c>
      <c r="DV68" s="154" t="e">
        <f t="shared" si="118"/>
        <v>#VALUE!</v>
      </c>
      <c r="DW68" s="154" t="str">
        <f t="shared" si="119"/>
        <v/>
      </c>
      <c r="DX68" s="154" t="str">
        <f>IF(OR($B68="NSO",$B68=0,DS68=""),"",IF(AND(DJ68="",DO68=""),"",IF('Master Sheet'!$D$19="YES",$DO$6-COUNTIF(DO68,"ML")*DO$6,DS$6-(COUNTIF(DJ68,"ML")*DJ$6)-(COUNTIF(DO68,"ML")*DO$6))))</f>
        <v/>
      </c>
      <c r="DY68" s="154" t="str">
        <f>IF(OR($B68="NSO",$B68=0),"",IF(AND(DH68="",DI68="",DM68=""),"",IF(AND('Master Sheet'!$D$19="YES",'Marks Entry'!$BA$1=1),100,IF(AND(DJ68="",DO68=""),SUM(($DQ$7+$DR$7)-(DU68+DV68)),SUM(($DQ$6+$DR$6)-(DU68+DV68))))))</f>
        <v/>
      </c>
      <c r="DZ68" s="153" t="str">
        <f t="shared" si="120"/>
        <v/>
      </c>
      <c r="EA68" s="154" t="str">
        <f t="shared" si="121"/>
        <v/>
      </c>
      <c r="EB68" s="153" t="str">
        <f t="shared" si="122"/>
        <v/>
      </c>
      <c r="EC68" s="584" t="str">
        <f>IF('Marks Entry'!BB68="","",'Marks Entry'!BB68)</f>
        <v/>
      </c>
      <c r="ED68" s="584" t="str">
        <f>IF('Marks Entry'!BC68="","",'Marks Entry'!BC68)</f>
        <v/>
      </c>
      <c r="EE68" s="584" t="str">
        <f>IF('Marks Entry'!BD68="","",'Marks Entry'!BD68)</f>
        <v/>
      </c>
      <c r="EF68" s="590" t="str">
        <f t="shared" si="123"/>
        <v/>
      </c>
      <c r="EG68" s="595">
        <f t="shared" si="124"/>
        <v>0</v>
      </c>
      <c r="EH68" s="595">
        <f t="shared" si="125"/>
        <v>0</v>
      </c>
      <c r="EI68" s="193" t="str">
        <f t="shared" si="126"/>
        <v/>
      </c>
      <c r="EJ68" s="595" t="str">
        <f t="shared" si="127"/>
        <v/>
      </c>
      <c r="EK68" s="595" t="str">
        <f t="shared" si="128"/>
        <v/>
      </c>
      <c r="EL68" s="194" t="str">
        <f t="shared" si="129"/>
        <v/>
      </c>
      <c r="EM68" s="194" t="str">
        <f t="shared" si="130"/>
        <v/>
      </c>
      <c r="EN68" s="194" t="str">
        <f t="shared" si="131"/>
        <v/>
      </c>
      <c r="EO68" s="194" t="str">
        <f t="shared" si="132"/>
        <v/>
      </c>
      <c r="EP68" s="194" t="str">
        <f t="shared" si="133"/>
        <v/>
      </c>
      <c r="EQ68" s="194" t="str">
        <f t="shared" si="134"/>
        <v/>
      </c>
      <c r="ER68" s="195">
        <f t="shared" si="135"/>
        <v>0</v>
      </c>
      <c r="ES68" s="195">
        <f t="shared" si="136"/>
        <v>0</v>
      </c>
      <c r="ET68" s="195">
        <f t="shared" si="137"/>
        <v>0</v>
      </c>
      <c r="EU68" s="195">
        <f t="shared" si="138"/>
        <v>0</v>
      </c>
      <c r="EV68" s="195">
        <f t="shared" si="139"/>
        <v>0</v>
      </c>
      <c r="EW68" s="195" t="str">
        <f t="shared" si="140"/>
        <v/>
      </c>
      <c r="EX68" s="196" t="str">
        <f t="shared" si="141"/>
        <v/>
      </c>
      <c r="EY68" s="197" t="str">
        <f>IF('Marks Entry'!BE68="","",'Marks Entry'!BE68)</f>
        <v/>
      </c>
      <c r="EZ68" s="197" t="str">
        <f>IF('Marks Entry'!BF68="","",'Marks Entry'!BF68)</f>
        <v/>
      </c>
      <c r="FA68" s="197" t="str">
        <f>IF('Marks Entry'!BG68="","",'Marks Entry'!BG68)</f>
        <v/>
      </c>
      <c r="FB68" s="596" t="str">
        <f t="shared" si="142"/>
        <v/>
      </c>
      <c r="FC68" s="197" t="str">
        <f>IF('Marks Entry'!BH68="","",'Marks Entry'!BH68)</f>
        <v/>
      </c>
      <c r="FD68" s="197" t="str">
        <f>IF('Marks Entry'!BI68="","",'Marks Entry'!BI68)</f>
        <v/>
      </c>
      <c r="FE68" s="198" t="str">
        <f t="shared" si="143"/>
        <v/>
      </c>
      <c r="FF68" s="199" t="str">
        <f t="shared" si="144"/>
        <v/>
      </c>
      <c r="FG68" s="200" t="str">
        <f>IF(AND(E68=""),"",IF('Student DATA Entry'!L64="","",'Student DATA Entry'!L64))</f>
        <v/>
      </c>
      <c r="FH68" s="201" t="str">
        <f>IF(AND(E68=""),"",IF('Student DATA Entry'!M64="","",'Student DATA Entry'!M64))</f>
        <v/>
      </c>
      <c r="FI68" s="202" t="str">
        <f t="shared" si="145"/>
        <v/>
      </c>
      <c r="FJ68" s="189" t="str">
        <f t="shared" si="146"/>
        <v/>
      </c>
      <c r="FK68" s="189" t="str">
        <f t="shared" si="147"/>
        <v/>
      </c>
      <c r="FL68" s="203" t="str">
        <f t="shared" si="178"/>
        <v/>
      </c>
      <c r="FM68" s="189" t="str">
        <f t="shared" si="148"/>
        <v/>
      </c>
      <c r="FN68" s="204" t="str">
        <f t="shared" si="149"/>
        <v/>
      </c>
      <c r="FO68" s="203" t="str">
        <f t="shared" si="179"/>
        <v/>
      </c>
      <c r="FP68" s="205" t="str">
        <f t="shared" si="150"/>
        <v/>
      </c>
      <c r="FQ68" s="189" t="str">
        <f t="shared" si="180"/>
        <v/>
      </c>
      <c r="FR68" s="189" t="str">
        <f t="shared" si="181"/>
        <v/>
      </c>
      <c r="FS68" s="189" t="str">
        <f t="shared" si="182"/>
        <v/>
      </c>
      <c r="FT68" s="189" t="str">
        <f t="shared" si="183"/>
        <v/>
      </c>
      <c r="FU68" s="189" t="str">
        <f t="shared" si="151"/>
        <v/>
      </c>
      <c r="FV68" s="206" t="str">
        <f t="shared" si="184"/>
        <v/>
      </c>
      <c r="FW68" s="205" t="str">
        <f t="shared" si="152"/>
        <v/>
      </c>
      <c r="FX68" s="189" t="str">
        <f t="shared" si="185"/>
        <v/>
      </c>
      <c r="FY68" s="189" t="str">
        <f t="shared" si="186"/>
        <v/>
      </c>
      <c r="FZ68" s="189" t="str">
        <f t="shared" si="187"/>
        <v/>
      </c>
      <c r="GA68" s="189" t="str">
        <f t="shared" si="188"/>
        <v/>
      </c>
      <c r="GB68" s="189" t="str">
        <f t="shared" si="153"/>
        <v/>
      </c>
      <c r="GC68" s="206" t="str">
        <f t="shared" si="189"/>
        <v/>
      </c>
      <c r="GD68" s="205" t="str">
        <f t="shared" si="154"/>
        <v/>
      </c>
      <c r="GE68" s="189" t="str">
        <f t="shared" si="190"/>
        <v/>
      </c>
      <c r="GF68" s="189" t="str">
        <f t="shared" si="191"/>
        <v/>
      </c>
      <c r="GG68" s="189" t="str">
        <f t="shared" si="192"/>
        <v/>
      </c>
      <c r="GH68" s="189" t="str">
        <f t="shared" si="193"/>
        <v/>
      </c>
      <c r="GI68" s="189" t="str">
        <f t="shared" si="155"/>
        <v/>
      </c>
      <c r="GJ68" s="206" t="str">
        <f t="shared" si="194"/>
        <v/>
      </c>
      <c r="GK68" s="205" t="str">
        <f t="shared" si="156"/>
        <v/>
      </c>
      <c r="GL68" s="189" t="str">
        <f t="shared" si="195"/>
        <v/>
      </c>
      <c r="GM68" s="189" t="str">
        <f t="shared" si="196"/>
        <v/>
      </c>
      <c r="GN68" s="189" t="str">
        <f t="shared" si="197"/>
        <v/>
      </c>
      <c r="GO68" s="189" t="str">
        <f t="shared" si="198"/>
        <v/>
      </c>
      <c r="GP68" s="189" t="str">
        <f t="shared" si="157"/>
        <v/>
      </c>
      <c r="GQ68" s="206" t="str">
        <f t="shared" si="199"/>
        <v/>
      </c>
      <c r="GR68" s="189" t="str">
        <f t="shared" si="158"/>
        <v/>
      </c>
      <c r="GS68" s="189" t="str">
        <f t="shared" si="159"/>
        <v/>
      </c>
      <c r="GT68" s="207" t="str">
        <f t="shared" si="177"/>
        <v xml:space="preserve">    </v>
      </c>
      <c r="GU68" s="207" t="str">
        <f t="shared" si="160"/>
        <v xml:space="preserve">    </v>
      </c>
      <c r="GV68" s="207" t="str">
        <f t="shared" si="161"/>
        <v xml:space="preserve">    </v>
      </c>
      <c r="GW68" s="207" t="str">
        <f t="shared" si="162"/>
        <v xml:space="preserve">       </v>
      </c>
      <c r="GX68" s="598" t="str">
        <f t="shared" si="163"/>
        <v xml:space="preserve">     </v>
      </c>
      <c r="GY68" s="208" t="str">
        <f t="shared" si="200"/>
        <v/>
      </c>
      <c r="GZ68" s="606" t="str">
        <f>IF(AND(Q68="",AE68="",AZ68="",BW68="",CT68=""),"",IF(AND('Master Sheet'!$D$19="YES",'Marks Entry'!$BA$1=1),SUM(Q68,AE68,AZ68,BW68,DT68),SUM(Q68,AE68,AZ68,BW68,CT68)))</f>
        <v/>
      </c>
      <c r="HA68" s="209" t="str">
        <f>IF(GZ68="","",IF(AND('Master Sheet'!$D$19="YES",'Marks Entry'!$BA$1=1),GZ68/((900)-DC68)*100,GZ68/((1000)-DC68)*100))</f>
        <v/>
      </c>
      <c r="HB68" s="611" t="str">
        <f t="shared" si="165"/>
        <v/>
      </c>
      <c r="HC68" s="609" t="str">
        <f t="shared" si="166"/>
        <v/>
      </c>
      <c r="HD68" s="610" t="str">
        <f t="shared" si="167"/>
        <v/>
      </c>
      <c r="HE68" s="210" t="str">
        <f>IFERROR(IF(OR(GY68="SUPPLEMENTARY",GY68="RE-EXAM"),'Supp. Result Entry'!AS67,""),"")</f>
        <v/>
      </c>
      <c r="HF68" s="613" t="str">
        <f t="shared" si="168"/>
        <v/>
      </c>
      <c r="HG68" s="598" t="str">
        <f t="shared" si="169"/>
        <v/>
      </c>
      <c r="HH68" s="598" t="str">
        <f>IF(AND(HE68="",HF68="",HG68=""),"",IF(OR(GY68="SUPPLEMENTARY",GY68="RE-EXAM"),'Supp. Result Entry'!AS67,GY68))</f>
        <v/>
      </c>
      <c r="HI68" s="180"/>
      <c r="HY68" s="212" t="str">
        <f>IF('Supp. Result Entry'!U67="","",'Supp. Result Entry'!$U$6)</f>
        <v/>
      </c>
      <c r="HZ68" s="213" t="str">
        <f>IF('Supp. Result Entry'!X67="","",'Supp. Result Entry'!$X$6)</f>
        <v/>
      </c>
      <c r="IA68" s="213" t="str">
        <f>IF('Supp. Result Entry'!AA67="","",'Supp. Result Entry'!$AA$6)</f>
        <v/>
      </c>
      <c r="IB68" s="213" t="str">
        <f>IF('Supp. Result Entry'!AD67="","",'Supp. Result Entry'!$AD$6)</f>
        <v/>
      </c>
      <c r="IC68" s="213" t="str">
        <f>IF('Supp. Result Entry'!AG67="","",'Supp. Result Entry'!$AG$6)</f>
        <v/>
      </c>
      <c r="ID68" s="213" t="str">
        <f>IF('Supp. Result Entry'!AJ67="","",'Supp. Result Entry'!$AJ$6)</f>
        <v/>
      </c>
      <c r="IE68" s="213" t="str">
        <f>IF('Supp. Result Entry'!V67="","",'Supp. Result Entry'!V67)</f>
        <v/>
      </c>
      <c r="IF68" s="213" t="str">
        <f>IF('Supp. Result Entry'!Y67="","",'Supp. Result Entry'!Y67)</f>
        <v/>
      </c>
      <c r="IG68" s="213" t="str">
        <f>IF('Supp. Result Entry'!AB67="","",'Supp. Result Entry'!AB67)</f>
        <v/>
      </c>
      <c r="IH68" s="213" t="str">
        <f>IF('Supp. Result Entry'!AE67="","",'Supp. Result Entry'!AE67)</f>
        <v/>
      </c>
      <c r="II68" s="213" t="str">
        <f>IF('Supp. Result Entry'!AH67="","",'Supp. Result Entry'!AH67)</f>
        <v/>
      </c>
      <c r="IJ68" s="213" t="str">
        <f>IF('Supp. Result Entry'!AK67="","",'Supp. Result Entry'!AK67)</f>
        <v/>
      </c>
      <c r="IK68" s="213" t="str">
        <f>IF('Supp. Result Entry'!W67="","",'Supp. Result Entry'!W67)</f>
        <v/>
      </c>
      <c r="IL68" s="213" t="str">
        <f>IF('Supp. Result Entry'!Z67="","",'Supp. Result Entry'!Z67)</f>
        <v/>
      </c>
      <c r="IM68" s="213" t="str">
        <f>IF('Supp. Result Entry'!AC67="","",'Supp. Result Entry'!AC67)</f>
        <v/>
      </c>
      <c r="IN68" s="213" t="str">
        <f>IF('Supp. Result Entry'!AF67="","",'Supp. Result Entry'!AF67)</f>
        <v/>
      </c>
      <c r="IO68" s="213" t="str">
        <f>IF('Supp. Result Entry'!AI67="","",'Supp. Result Entry'!AI67)</f>
        <v/>
      </c>
      <c r="IP68" s="213" t="str">
        <f>IF('Supp. Result Entry'!AL67="","",'Supp. Result Entry'!AL67)</f>
        <v/>
      </c>
      <c r="IQ68" s="213">
        <f>COUNTIF('Supp. Result Entry'!K67:Q67,"S")</f>
        <v>0</v>
      </c>
      <c r="IR68" s="213">
        <f t="shared" si="170"/>
        <v>0</v>
      </c>
      <c r="IS68" s="213">
        <f t="shared" si="171"/>
        <v>0</v>
      </c>
      <c r="IT68" s="213" t="str">
        <f t="shared" si="41"/>
        <v/>
      </c>
      <c r="IU68" s="213" t="str">
        <f t="shared" si="42"/>
        <v/>
      </c>
      <c r="IV68" s="213" t="str">
        <f t="shared" si="43"/>
        <v/>
      </c>
      <c r="IW68" s="213" t="str">
        <f t="shared" si="44"/>
        <v/>
      </c>
      <c r="IX68" s="213" t="str">
        <f t="shared" si="45"/>
        <v/>
      </c>
      <c r="IY68" s="213" t="str">
        <f t="shared" si="172"/>
        <v/>
      </c>
      <c r="IZ68" s="213" t="str">
        <f t="shared" si="173"/>
        <v/>
      </c>
      <c r="JA68" s="213" t="str">
        <f t="shared" si="46"/>
        <v/>
      </c>
      <c r="JB68" s="211" t="str">
        <f t="shared" si="174"/>
        <v/>
      </c>
    </row>
    <row r="69" spans="1:262" s="211" customFormat="1" ht="21" customHeight="1">
      <c r="A69" s="184">
        <v>62</v>
      </c>
      <c r="B69" s="185" t="str">
        <f>IF('Marks Entry'!B69="","",'Marks Entry'!B69)</f>
        <v/>
      </c>
      <c r="C69" s="186" t="str">
        <f>IF('Marks Entry'!D69="","",'Marks Entry'!D69)</f>
        <v/>
      </c>
      <c r="D69" s="187" t="str">
        <f>IF('Marks Entry'!E69="","",'Marks Entry'!E69)</f>
        <v/>
      </c>
      <c r="E69" s="188" t="str">
        <f>IF('Marks Entry'!F69="","",'Marks Entry'!F69)</f>
        <v/>
      </c>
      <c r="F69" s="188" t="str">
        <f>IF('Marks Entry'!G69="","",'Marks Entry'!G69)</f>
        <v/>
      </c>
      <c r="G69" s="188" t="str">
        <f>IF('Marks Entry'!H69="","",'Marks Entry'!H69)</f>
        <v/>
      </c>
      <c r="H69" s="189" t="str">
        <f>IF('Marks Entry'!I69="","",'Marks Entry'!I69)</f>
        <v/>
      </c>
      <c r="I69" s="190" t="str">
        <f>IF('Marks Entry'!J69="","",'Marks Entry'!J69)</f>
        <v/>
      </c>
      <c r="J69" s="545" t="str">
        <f>IF('Marks Entry'!K69="","",'Marks Entry'!K69)</f>
        <v/>
      </c>
      <c r="K69" s="545" t="str">
        <f>IF('Marks Entry'!L69="","",'Marks Entry'!L69)</f>
        <v/>
      </c>
      <c r="L69" s="545" t="str">
        <f>IF('Marks Entry'!M69="","",'Marks Entry'!M69)</f>
        <v/>
      </c>
      <c r="M69" s="546" t="str">
        <f t="shared" si="47"/>
        <v/>
      </c>
      <c r="N69" s="545" t="str">
        <f>IF('Marks Entry'!N69="","",'Marks Entry'!N69)</f>
        <v/>
      </c>
      <c r="O69" s="546" t="str">
        <f t="shared" si="48"/>
        <v/>
      </c>
      <c r="P69" s="545" t="str">
        <f>IF('Marks Entry'!O69="","",'Marks Entry'!O69)</f>
        <v/>
      </c>
      <c r="Q69" s="547" t="str">
        <f t="shared" si="49"/>
        <v/>
      </c>
      <c r="R69" s="153">
        <f t="shared" si="50"/>
        <v>0</v>
      </c>
      <c r="S69" s="153">
        <f t="shared" si="51"/>
        <v>0</v>
      </c>
      <c r="T69" s="154" t="str">
        <f t="shared" si="52"/>
        <v/>
      </c>
      <c r="U69" s="153" t="str">
        <f t="shared" si="53"/>
        <v/>
      </c>
      <c r="V69" s="153" t="str">
        <f t="shared" si="54"/>
        <v/>
      </c>
      <c r="W69" s="153" t="str">
        <f t="shared" si="55"/>
        <v/>
      </c>
      <c r="X69" s="545" t="str">
        <f>IF('Marks Entry'!P69="","",'Marks Entry'!P69)</f>
        <v/>
      </c>
      <c r="Y69" s="545" t="str">
        <f>IF('Marks Entry'!Q69="","",'Marks Entry'!Q69)</f>
        <v/>
      </c>
      <c r="Z69" s="545" t="str">
        <f>IF('Marks Entry'!R69="","",'Marks Entry'!R69)</f>
        <v/>
      </c>
      <c r="AA69" s="546" t="str">
        <f t="shared" si="56"/>
        <v/>
      </c>
      <c r="AB69" s="545" t="str">
        <f>IF('Marks Entry'!S69="","",'Marks Entry'!S69)</f>
        <v/>
      </c>
      <c r="AC69" s="546" t="str">
        <f t="shared" si="57"/>
        <v/>
      </c>
      <c r="AD69" s="545" t="str">
        <f>IF('Marks Entry'!T69="","",'Marks Entry'!T69)</f>
        <v/>
      </c>
      <c r="AE69" s="547" t="str">
        <f t="shared" si="58"/>
        <v/>
      </c>
      <c r="AF69" s="153">
        <f t="shared" si="59"/>
        <v>0</v>
      </c>
      <c r="AG69" s="153">
        <f t="shared" si="60"/>
        <v>0</v>
      </c>
      <c r="AH69" s="154" t="str">
        <f t="shared" si="61"/>
        <v/>
      </c>
      <c r="AI69" s="153" t="str">
        <f t="shared" si="62"/>
        <v/>
      </c>
      <c r="AJ69" s="153" t="str">
        <f t="shared" si="63"/>
        <v/>
      </c>
      <c r="AK69" s="153" t="str">
        <f t="shared" si="64"/>
        <v/>
      </c>
      <c r="AL69" s="573" t="str">
        <f>IF('Marks Entry'!U69="","",'Marks Entry'!U69)</f>
        <v/>
      </c>
      <c r="AM69" s="573" t="str">
        <f>IF('Marks Entry'!V69="","",'Marks Entry'!V69)</f>
        <v/>
      </c>
      <c r="AN69" s="573" t="str">
        <f>IF('Marks Entry'!W69="","",'Marks Entry'!W69)</f>
        <v/>
      </c>
      <c r="AO69" s="573" t="str">
        <f>IF('Marks Entry'!X69="","",'Marks Entry'!X69)</f>
        <v/>
      </c>
      <c r="AP69" s="572" t="str">
        <f t="shared" si="65"/>
        <v/>
      </c>
      <c r="AQ69" s="573" t="str">
        <f>IF('Marks Entry'!Y69="","",'Marks Entry'!Y69)</f>
        <v/>
      </c>
      <c r="AR69" s="573" t="str">
        <f>IF('Marks Entry'!Z69="","",'Marks Entry'!Z69)</f>
        <v/>
      </c>
      <c r="AS69" s="572" t="str">
        <f t="shared" si="66"/>
        <v/>
      </c>
      <c r="AT69" s="572" t="str">
        <f t="shared" si="67"/>
        <v/>
      </c>
      <c r="AU69" s="573" t="str">
        <f>IF('Marks Entry'!AA69="","",'Marks Entry'!AA69)</f>
        <v/>
      </c>
      <c r="AV69" s="573" t="str">
        <f>IF('Marks Entry'!AB69="","",'Marks Entry'!AB69)</f>
        <v/>
      </c>
      <c r="AW69" s="572" t="str">
        <f t="shared" si="68"/>
        <v/>
      </c>
      <c r="AX69" s="157" t="str">
        <f t="shared" si="69"/>
        <v/>
      </c>
      <c r="AY69" s="157" t="str">
        <f t="shared" si="70"/>
        <v/>
      </c>
      <c r="AZ69" s="192" t="str">
        <f t="shared" si="71"/>
        <v/>
      </c>
      <c r="BA69" s="153">
        <f t="shared" si="72"/>
        <v>0</v>
      </c>
      <c r="BB69" s="154">
        <f t="shared" si="73"/>
        <v>0</v>
      </c>
      <c r="BC69" s="154" t="str">
        <f t="shared" si="74"/>
        <v/>
      </c>
      <c r="BD69" s="154" t="str">
        <f t="shared" si="75"/>
        <v/>
      </c>
      <c r="BE69" s="154" t="str">
        <f t="shared" si="76"/>
        <v/>
      </c>
      <c r="BF69" s="153" t="str">
        <f t="shared" si="77"/>
        <v/>
      </c>
      <c r="BG69" s="154" t="str">
        <f t="shared" si="175"/>
        <v/>
      </c>
      <c r="BH69" s="153" t="str">
        <f t="shared" si="78"/>
        <v/>
      </c>
      <c r="BI69" s="580" t="str">
        <f>IF('Marks Entry'!AC69="","",'Marks Entry'!AC69)</f>
        <v/>
      </c>
      <c r="BJ69" s="580" t="str">
        <f>IF('Marks Entry'!AD69="","",'Marks Entry'!AD69)</f>
        <v/>
      </c>
      <c r="BK69" s="580" t="str">
        <f>IF('Marks Entry'!AE69="","",'Marks Entry'!AE69)</f>
        <v/>
      </c>
      <c r="BL69" s="580" t="str">
        <f>IF('Marks Entry'!AF69="","",'Marks Entry'!AF69)</f>
        <v/>
      </c>
      <c r="BM69" s="581" t="str">
        <f t="shared" si="79"/>
        <v/>
      </c>
      <c r="BN69" s="580" t="str">
        <f>IF('Marks Entry'!AG69="","",'Marks Entry'!AG69)</f>
        <v/>
      </c>
      <c r="BO69" s="580" t="str">
        <f>IF('Marks Entry'!AH69="","",'Marks Entry'!AH69)</f>
        <v/>
      </c>
      <c r="BP69" s="581" t="str">
        <f t="shared" si="80"/>
        <v/>
      </c>
      <c r="BQ69" s="581" t="str">
        <f t="shared" si="81"/>
        <v/>
      </c>
      <c r="BR69" s="580" t="str">
        <f>IF('Marks Entry'!AI69="","",'Marks Entry'!AI69)</f>
        <v/>
      </c>
      <c r="BS69" s="580" t="str">
        <f>IF('Marks Entry'!AJ69="","",'Marks Entry'!AJ69)</f>
        <v/>
      </c>
      <c r="BT69" s="581" t="str">
        <f t="shared" si="82"/>
        <v/>
      </c>
      <c r="BU69" s="157" t="str">
        <f t="shared" si="83"/>
        <v/>
      </c>
      <c r="BV69" s="157" t="str">
        <f t="shared" si="84"/>
        <v/>
      </c>
      <c r="BW69" s="192" t="str">
        <f t="shared" si="85"/>
        <v/>
      </c>
      <c r="BX69" s="153">
        <f t="shared" si="86"/>
        <v>0</v>
      </c>
      <c r="BY69" s="154">
        <f t="shared" si="87"/>
        <v>0</v>
      </c>
      <c r="BZ69" s="154" t="str">
        <f t="shared" si="88"/>
        <v/>
      </c>
      <c r="CA69" s="154" t="str">
        <f t="shared" si="89"/>
        <v/>
      </c>
      <c r="CB69" s="154" t="str">
        <f t="shared" si="90"/>
        <v/>
      </c>
      <c r="CC69" s="153" t="str">
        <f t="shared" si="91"/>
        <v/>
      </c>
      <c r="CD69" s="154" t="str">
        <f t="shared" si="92"/>
        <v/>
      </c>
      <c r="CE69" s="153" t="str">
        <f t="shared" si="93"/>
        <v/>
      </c>
      <c r="CF69" s="580" t="str">
        <f>IF('Marks Entry'!AK69="","",'Marks Entry'!AK69)</f>
        <v/>
      </c>
      <c r="CG69" s="580" t="str">
        <f>IF('Marks Entry'!AL69="","",'Marks Entry'!AL69)</f>
        <v/>
      </c>
      <c r="CH69" s="580" t="str">
        <f>IF('Marks Entry'!AM69="","",'Marks Entry'!AM69)</f>
        <v/>
      </c>
      <c r="CI69" s="580" t="str">
        <f>IF('Marks Entry'!AN69="","",'Marks Entry'!AN69)</f>
        <v/>
      </c>
      <c r="CJ69" s="581" t="str">
        <f t="shared" si="94"/>
        <v/>
      </c>
      <c r="CK69" s="580" t="str">
        <f>IF('Marks Entry'!AO69="","",'Marks Entry'!AO69)</f>
        <v/>
      </c>
      <c r="CL69" s="580" t="str">
        <f>IF('Marks Entry'!AP69="","",'Marks Entry'!AP69)</f>
        <v/>
      </c>
      <c r="CM69" s="581" t="str">
        <f t="shared" si="95"/>
        <v/>
      </c>
      <c r="CN69" s="581" t="str">
        <f t="shared" si="96"/>
        <v/>
      </c>
      <c r="CO69" s="580" t="str">
        <f>IF('Marks Entry'!AQ69="","",'Marks Entry'!AQ69)</f>
        <v/>
      </c>
      <c r="CP69" s="580" t="str">
        <f>IF('Marks Entry'!AR69="","",'Marks Entry'!AR69)</f>
        <v/>
      </c>
      <c r="CQ69" s="581" t="str">
        <f t="shared" si="97"/>
        <v/>
      </c>
      <c r="CR69" s="157" t="str">
        <f t="shared" si="98"/>
        <v/>
      </c>
      <c r="CS69" s="157" t="str">
        <f t="shared" si="99"/>
        <v/>
      </c>
      <c r="CT69" s="192" t="str">
        <f t="shared" si="100"/>
        <v/>
      </c>
      <c r="CU69" s="153">
        <f t="shared" si="101"/>
        <v>0</v>
      </c>
      <c r="CV69" s="154">
        <f t="shared" si="102"/>
        <v>0</v>
      </c>
      <c r="CW69" s="154" t="str">
        <f t="shared" si="103"/>
        <v/>
      </c>
      <c r="CX69" s="154" t="str">
        <f t="shared" si="104"/>
        <v/>
      </c>
      <c r="CY69" s="154" t="str">
        <f t="shared" si="176"/>
        <v/>
      </c>
      <c r="CZ69" s="153" t="str">
        <f t="shared" si="105"/>
        <v/>
      </c>
      <c r="DA69" s="154" t="str">
        <f t="shared" si="106"/>
        <v/>
      </c>
      <c r="DB69" s="153" t="str">
        <f t="shared" si="107"/>
        <v/>
      </c>
      <c r="DC69" s="154">
        <f t="shared" si="108"/>
        <v>0</v>
      </c>
      <c r="DD69" s="826" t="str">
        <f>IF('Marks Entry'!AS69="","",IF(OR('Master Sheet'!$D$19="YES",'Marks Entry'!$BA$1=1),'Marks Entry'!AS69,""))</f>
        <v/>
      </c>
      <c r="DE69" s="826" t="str">
        <f>IF('Marks Entry'!AT69="","",IF(OR('Master Sheet'!$D$19="YES",'Marks Entry'!$BA$1=1),'Marks Entry'!AT69,""))</f>
        <v/>
      </c>
      <c r="DF69" s="826" t="str">
        <f>IF('Marks Entry'!AU69="","",IF(OR('Master Sheet'!$D$19="YES",'Marks Entry'!$BA$1=1),'Marks Entry'!AU69,""))</f>
        <v/>
      </c>
      <c r="DG69" s="826" t="str">
        <f>IF('Marks Entry'!AV69="","",IF(OR('Master Sheet'!$D$19="YES",'Marks Entry'!$BA$1=1),'Marks Entry'!AV69,""))</f>
        <v/>
      </c>
      <c r="DH69" s="827" t="str">
        <f t="shared" si="109"/>
        <v/>
      </c>
      <c r="DI69" s="826" t="str">
        <f>IF('Marks Entry'!AW69="","",IF(OR('Master Sheet'!$D$19="YES",'Marks Entry'!$BA$1=1),'Marks Entry'!AW69,""))</f>
        <v/>
      </c>
      <c r="DJ69" s="826" t="str">
        <f>IF('Marks Entry'!AX69="","",IF(OR('Master Sheet'!$D$19="YES",'Marks Entry'!$BA$1=1),'Marks Entry'!AX69,""))</f>
        <v/>
      </c>
      <c r="DK69" s="827" t="str">
        <f t="shared" si="110"/>
        <v/>
      </c>
      <c r="DL69" s="827" t="str">
        <f t="shared" si="111"/>
        <v/>
      </c>
      <c r="DM69" s="826" t="str">
        <f>IF('Marks Entry'!AY69="","",IF(OR('Master Sheet'!$D$19="YES",'Marks Entry'!$BA$1=1),'Marks Entry'!AY69,""))</f>
        <v/>
      </c>
      <c r="DN69" s="826" t="str">
        <f>IF('Marks Entry'!AZ69="","",IF(OR('Master Sheet'!$D$19="YES",'Marks Entry'!$BA$1=1),'Marks Entry'!AZ69,""))</f>
        <v/>
      </c>
      <c r="DO69" s="826" t="str">
        <f>IF('Marks Entry'!BA69="","",IF(OR('Master Sheet'!$D$19="YES",'Marks Entry'!$BA$1=1),'Marks Entry'!BA69,""))</f>
        <v/>
      </c>
      <c r="DP69" s="827" t="str">
        <f t="shared" si="112"/>
        <v/>
      </c>
      <c r="DQ69" s="157" t="str">
        <f t="shared" si="113"/>
        <v/>
      </c>
      <c r="DR69" s="157" t="str">
        <f t="shared" si="114"/>
        <v/>
      </c>
      <c r="DS69" s="157" t="str">
        <f t="shared" si="115"/>
        <v/>
      </c>
      <c r="DT69" s="192" t="str">
        <f t="shared" si="116"/>
        <v/>
      </c>
      <c r="DU69" s="153">
        <f t="shared" si="117"/>
        <v>0</v>
      </c>
      <c r="DV69" s="154" t="e">
        <f t="shared" si="118"/>
        <v>#VALUE!</v>
      </c>
      <c r="DW69" s="154" t="str">
        <f t="shared" si="119"/>
        <v/>
      </c>
      <c r="DX69" s="154" t="str">
        <f>IF(OR($B69="NSO",$B69=0,DS69=""),"",IF(AND(DJ69="",DO69=""),"",IF('Master Sheet'!$D$19="YES",$DO$6-COUNTIF(DO69,"ML")*DO$6,DS$6-(COUNTIF(DJ69,"ML")*DJ$6)-(COUNTIF(DO69,"ML")*DO$6))))</f>
        <v/>
      </c>
      <c r="DY69" s="154" t="str">
        <f>IF(OR($B69="NSO",$B69=0),"",IF(AND(DH69="",DI69="",DM69=""),"",IF(AND('Master Sheet'!$D$19="YES",'Marks Entry'!$BA$1=1),100,IF(AND(DJ69="",DO69=""),SUM(($DQ$7+$DR$7)-(DU69+DV69)),SUM(($DQ$6+$DR$6)-(DU69+DV69))))))</f>
        <v/>
      </c>
      <c r="DZ69" s="153" t="str">
        <f t="shared" si="120"/>
        <v/>
      </c>
      <c r="EA69" s="154" t="str">
        <f t="shared" si="121"/>
        <v/>
      </c>
      <c r="EB69" s="153" t="str">
        <f t="shared" si="122"/>
        <v/>
      </c>
      <c r="EC69" s="584" t="str">
        <f>IF('Marks Entry'!BB69="","",'Marks Entry'!BB69)</f>
        <v/>
      </c>
      <c r="ED69" s="584" t="str">
        <f>IF('Marks Entry'!BC69="","",'Marks Entry'!BC69)</f>
        <v/>
      </c>
      <c r="EE69" s="584" t="str">
        <f>IF('Marks Entry'!BD69="","",'Marks Entry'!BD69)</f>
        <v/>
      </c>
      <c r="EF69" s="590" t="str">
        <f t="shared" si="123"/>
        <v/>
      </c>
      <c r="EG69" s="595">
        <f t="shared" si="124"/>
        <v>0</v>
      </c>
      <c r="EH69" s="595">
        <f t="shared" si="125"/>
        <v>0</v>
      </c>
      <c r="EI69" s="193" t="str">
        <f t="shared" si="126"/>
        <v/>
      </c>
      <c r="EJ69" s="595" t="str">
        <f t="shared" si="127"/>
        <v/>
      </c>
      <c r="EK69" s="595" t="str">
        <f t="shared" si="128"/>
        <v/>
      </c>
      <c r="EL69" s="194" t="str">
        <f t="shared" si="129"/>
        <v/>
      </c>
      <c r="EM69" s="194" t="str">
        <f t="shared" si="130"/>
        <v/>
      </c>
      <c r="EN69" s="194" t="str">
        <f t="shared" si="131"/>
        <v/>
      </c>
      <c r="EO69" s="194" t="str">
        <f t="shared" si="132"/>
        <v/>
      </c>
      <c r="EP69" s="194" t="str">
        <f t="shared" si="133"/>
        <v/>
      </c>
      <c r="EQ69" s="194" t="str">
        <f t="shared" si="134"/>
        <v/>
      </c>
      <c r="ER69" s="195">
        <f t="shared" si="135"/>
        <v>0</v>
      </c>
      <c r="ES69" s="195">
        <f t="shared" si="136"/>
        <v>0</v>
      </c>
      <c r="ET69" s="195">
        <f t="shared" si="137"/>
        <v>0</v>
      </c>
      <c r="EU69" s="195">
        <f t="shared" si="138"/>
        <v>0</v>
      </c>
      <c r="EV69" s="195">
        <f t="shared" si="139"/>
        <v>0</v>
      </c>
      <c r="EW69" s="195" t="str">
        <f t="shared" si="140"/>
        <v/>
      </c>
      <c r="EX69" s="196" t="str">
        <f t="shared" si="141"/>
        <v/>
      </c>
      <c r="EY69" s="197" t="str">
        <f>IF('Marks Entry'!BE69="","",'Marks Entry'!BE69)</f>
        <v/>
      </c>
      <c r="EZ69" s="197" t="str">
        <f>IF('Marks Entry'!BF69="","",'Marks Entry'!BF69)</f>
        <v/>
      </c>
      <c r="FA69" s="197" t="str">
        <f>IF('Marks Entry'!BG69="","",'Marks Entry'!BG69)</f>
        <v/>
      </c>
      <c r="FB69" s="596" t="str">
        <f t="shared" si="142"/>
        <v/>
      </c>
      <c r="FC69" s="197" t="str">
        <f>IF('Marks Entry'!BH69="","",'Marks Entry'!BH69)</f>
        <v/>
      </c>
      <c r="FD69" s="197" t="str">
        <f>IF('Marks Entry'!BI69="","",'Marks Entry'!BI69)</f>
        <v/>
      </c>
      <c r="FE69" s="198" t="str">
        <f t="shared" si="143"/>
        <v/>
      </c>
      <c r="FF69" s="199" t="str">
        <f t="shared" si="144"/>
        <v/>
      </c>
      <c r="FG69" s="200" t="str">
        <f>IF(AND(E69=""),"",IF('Student DATA Entry'!L65="","",'Student DATA Entry'!L65))</f>
        <v/>
      </c>
      <c r="FH69" s="201" t="str">
        <f>IF(AND(E69=""),"",IF('Student DATA Entry'!M65="","",'Student DATA Entry'!M65))</f>
        <v/>
      </c>
      <c r="FI69" s="202" t="str">
        <f t="shared" si="145"/>
        <v/>
      </c>
      <c r="FJ69" s="189" t="str">
        <f t="shared" si="146"/>
        <v/>
      </c>
      <c r="FK69" s="189" t="str">
        <f t="shared" si="147"/>
        <v/>
      </c>
      <c r="FL69" s="203" t="str">
        <f t="shared" si="178"/>
        <v/>
      </c>
      <c r="FM69" s="189" t="str">
        <f t="shared" si="148"/>
        <v/>
      </c>
      <c r="FN69" s="204" t="str">
        <f t="shared" si="149"/>
        <v/>
      </c>
      <c r="FO69" s="203" t="str">
        <f t="shared" si="179"/>
        <v/>
      </c>
      <c r="FP69" s="205" t="str">
        <f t="shared" si="150"/>
        <v/>
      </c>
      <c r="FQ69" s="189" t="str">
        <f t="shared" si="180"/>
        <v/>
      </c>
      <c r="FR69" s="189" t="str">
        <f t="shared" si="181"/>
        <v/>
      </c>
      <c r="FS69" s="189" t="str">
        <f t="shared" si="182"/>
        <v/>
      </c>
      <c r="FT69" s="189" t="str">
        <f t="shared" si="183"/>
        <v/>
      </c>
      <c r="FU69" s="189" t="str">
        <f t="shared" si="151"/>
        <v/>
      </c>
      <c r="FV69" s="206" t="str">
        <f t="shared" si="184"/>
        <v/>
      </c>
      <c r="FW69" s="205" t="str">
        <f t="shared" si="152"/>
        <v/>
      </c>
      <c r="FX69" s="189" t="str">
        <f t="shared" si="185"/>
        <v/>
      </c>
      <c r="FY69" s="189" t="str">
        <f t="shared" si="186"/>
        <v/>
      </c>
      <c r="FZ69" s="189" t="str">
        <f t="shared" si="187"/>
        <v/>
      </c>
      <c r="GA69" s="189" t="str">
        <f t="shared" si="188"/>
        <v/>
      </c>
      <c r="GB69" s="189" t="str">
        <f t="shared" si="153"/>
        <v/>
      </c>
      <c r="GC69" s="206" t="str">
        <f t="shared" si="189"/>
        <v/>
      </c>
      <c r="GD69" s="205" t="str">
        <f t="shared" si="154"/>
        <v/>
      </c>
      <c r="GE69" s="189" t="str">
        <f t="shared" si="190"/>
        <v/>
      </c>
      <c r="GF69" s="189" t="str">
        <f t="shared" si="191"/>
        <v/>
      </c>
      <c r="GG69" s="189" t="str">
        <f t="shared" si="192"/>
        <v/>
      </c>
      <c r="GH69" s="189" t="str">
        <f t="shared" si="193"/>
        <v/>
      </c>
      <c r="GI69" s="189" t="str">
        <f t="shared" si="155"/>
        <v/>
      </c>
      <c r="GJ69" s="206" t="str">
        <f t="shared" si="194"/>
        <v/>
      </c>
      <c r="GK69" s="205" t="str">
        <f t="shared" si="156"/>
        <v/>
      </c>
      <c r="GL69" s="189" t="str">
        <f t="shared" si="195"/>
        <v/>
      </c>
      <c r="GM69" s="189" t="str">
        <f t="shared" si="196"/>
        <v/>
      </c>
      <c r="GN69" s="189" t="str">
        <f t="shared" si="197"/>
        <v/>
      </c>
      <c r="GO69" s="189" t="str">
        <f t="shared" si="198"/>
        <v/>
      </c>
      <c r="GP69" s="189" t="str">
        <f t="shared" si="157"/>
        <v/>
      </c>
      <c r="GQ69" s="206" t="str">
        <f t="shared" si="199"/>
        <v/>
      </c>
      <c r="GR69" s="189" t="str">
        <f t="shared" si="158"/>
        <v/>
      </c>
      <c r="GS69" s="189" t="str">
        <f t="shared" si="159"/>
        <v/>
      </c>
      <c r="GT69" s="207" t="str">
        <f t="shared" si="177"/>
        <v xml:space="preserve">    </v>
      </c>
      <c r="GU69" s="207" t="str">
        <f t="shared" si="160"/>
        <v xml:space="preserve">    </v>
      </c>
      <c r="GV69" s="207" t="str">
        <f t="shared" si="161"/>
        <v xml:space="preserve">    </v>
      </c>
      <c r="GW69" s="207" t="str">
        <f t="shared" si="162"/>
        <v xml:space="preserve">       </v>
      </c>
      <c r="GX69" s="598" t="str">
        <f t="shared" si="163"/>
        <v xml:space="preserve">     </v>
      </c>
      <c r="GY69" s="208" t="str">
        <f t="shared" si="200"/>
        <v/>
      </c>
      <c r="GZ69" s="606" t="str">
        <f>IF(AND(Q69="",AE69="",AZ69="",BW69="",CT69=""),"",IF(AND('Master Sheet'!$D$19="YES",'Marks Entry'!$BA$1=1),SUM(Q69,AE69,AZ69,BW69,DT69),SUM(Q69,AE69,AZ69,BW69,CT69)))</f>
        <v/>
      </c>
      <c r="HA69" s="209" t="str">
        <f>IF(GZ69="","",IF(AND('Master Sheet'!$D$19="YES",'Marks Entry'!$BA$1=1),GZ69/((900)-DC69)*100,GZ69/((1000)-DC69)*100))</f>
        <v/>
      </c>
      <c r="HB69" s="611" t="str">
        <f t="shared" si="165"/>
        <v/>
      </c>
      <c r="HC69" s="609" t="str">
        <f t="shared" si="166"/>
        <v/>
      </c>
      <c r="HD69" s="610" t="str">
        <f t="shared" si="167"/>
        <v/>
      </c>
      <c r="HE69" s="210" t="str">
        <f>IFERROR(IF(OR(GY69="SUPPLEMENTARY",GY69="RE-EXAM"),'Supp. Result Entry'!AS68,""),"")</f>
        <v/>
      </c>
      <c r="HF69" s="613" t="str">
        <f t="shared" si="168"/>
        <v/>
      </c>
      <c r="HG69" s="598" t="str">
        <f t="shared" si="169"/>
        <v/>
      </c>
      <c r="HH69" s="598" t="str">
        <f>IF(AND(HE69="",HF69="",HG69=""),"",IF(OR(GY69="SUPPLEMENTARY",GY69="RE-EXAM"),'Supp. Result Entry'!AS68,GY69))</f>
        <v/>
      </c>
      <c r="HI69" s="180"/>
      <c r="HY69" s="212" t="str">
        <f>IF('Supp. Result Entry'!U68="","",'Supp. Result Entry'!$U$6)</f>
        <v/>
      </c>
      <c r="HZ69" s="213" t="str">
        <f>IF('Supp. Result Entry'!X68="","",'Supp. Result Entry'!$X$6)</f>
        <v/>
      </c>
      <c r="IA69" s="213" t="str">
        <f>IF('Supp. Result Entry'!AA68="","",'Supp. Result Entry'!$AA$6)</f>
        <v/>
      </c>
      <c r="IB69" s="213" t="str">
        <f>IF('Supp. Result Entry'!AD68="","",'Supp. Result Entry'!$AD$6)</f>
        <v/>
      </c>
      <c r="IC69" s="213" t="str">
        <f>IF('Supp. Result Entry'!AG68="","",'Supp. Result Entry'!$AG$6)</f>
        <v/>
      </c>
      <c r="ID69" s="213" t="str">
        <f>IF('Supp. Result Entry'!AJ68="","",'Supp. Result Entry'!$AJ$6)</f>
        <v/>
      </c>
      <c r="IE69" s="213" t="str">
        <f>IF('Supp. Result Entry'!V68="","",'Supp. Result Entry'!V68)</f>
        <v/>
      </c>
      <c r="IF69" s="213" t="str">
        <f>IF('Supp. Result Entry'!Y68="","",'Supp. Result Entry'!Y68)</f>
        <v/>
      </c>
      <c r="IG69" s="213" t="str">
        <f>IF('Supp. Result Entry'!AB68="","",'Supp. Result Entry'!AB68)</f>
        <v/>
      </c>
      <c r="IH69" s="213" t="str">
        <f>IF('Supp. Result Entry'!AE68="","",'Supp. Result Entry'!AE68)</f>
        <v/>
      </c>
      <c r="II69" s="213" t="str">
        <f>IF('Supp. Result Entry'!AH68="","",'Supp. Result Entry'!AH68)</f>
        <v/>
      </c>
      <c r="IJ69" s="213" t="str">
        <f>IF('Supp. Result Entry'!AK68="","",'Supp. Result Entry'!AK68)</f>
        <v/>
      </c>
      <c r="IK69" s="213" t="str">
        <f>IF('Supp. Result Entry'!W68="","",'Supp. Result Entry'!W68)</f>
        <v/>
      </c>
      <c r="IL69" s="213" t="str">
        <f>IF('Supp. Result Entry'!Z68="","",'Supp. Result Entry'!Z68)</f>
        <v/>
      </c>
      <c r="IM69" s="213" t="str">
        <f>IF('Supp. Result Entry'!AC68="","",'Supp. Result Entry'!AC68)</f>
        <v/>
      </c>
      <c r="IN69" s="213" t="str">
        <f>IF('Supp. Result Entry'!AF68="","",'Supp. Result Entry'!AF68)</f>
        <v/>
      </c>
      <c r="IO69" s="213" t="str">
        <f>IF('Supp. Result Entry'!AI68="","",'Supp. Result Entry'!AI68)</f>
        <v/>
      </c>
      <c r="IP69" s="213" t="str">
        <f>IF('Supp. Result Entry'!AL68="","",'Supp. Result Entry'!AL68)</f>
        <v/>
      </c>
      <c r="IQ69" s="213">
        <f>COUNTIF('Supp. Result Entry'!K68:Q68,"S")</f>
        <v>0</v>
      </c>
      <c r="IR69" s="213">
        <f t="shared" si="170"/>
        <v>0</v>
      </c>
      <c r="IS69" s="213">
        <f t="shared" si="171"/>
        <v>0</v>
      </c>
      <c r="IT69" s="213" t="str">
        <f t="shared" si="41"/>
        <v/>
      </c>
      <c r="IU69" s="213" t="str">
        <f t="shared" si="42"/>
        <v/>
      </c>
      <c r="IV69" s="213" t="str">
        <f t="shared" si="43"/>
        <v/>
      </c>
      <c r="IW69" s="213" t="str">
        <f t="shared" si="44"/>
        <v/>
      </c>
      <c r="IX69" s="213" t="str">
        <f t="shared" si="45"/>
        <v/>
      </c>
      <c r="IY69" s="213" t="str">
        <f t="shared" si="172"/>
        <v/>
      </c>
      <c r="IZ69" s="213" t="str">
        <f t="shared" si="173"/>
        <v/>
      </c>
      <c r="JA69" s="213" t="str">
        <f t="shared" si="46"/>
        <v/>
      </c>
      <c r="JB69" s="211" t="str">
        <f t="shared" si="174"/>
        <v/>
      </c>
    </row>
    <row r="70" spans="1:262" s="211" customFormat="1" ht="21" customHeight="1">
      <c r="A70" s="184">
        <v>63</v>
      </c>
      <c r="B70" s="185" t="str">
        <f>IF('Marks Entry'!B70="","",'Marks Entry'!B70)</f>
        <v/>
      </c>
      <c r="C70" s="186" t="str">
        <f>IF('Marks Entry'!D70="","",'Marks Entry'!D70)</f>
        <v/>
      </c>
      <c r="D70" s="187" t="str">
        <f>IF('Marks Entry'!E70="","",'Marks Entry'!E70)</f>
        <v/>
      </c>
      <c r="E70" s="188" t="str">
        <f>IF('Marks Entry'!F70="","",'Marks Entry'!F70)</f>
        <v/>
      </c>
      <c r="F70" s="188" t="str">
        <f>IF('Marks Entry'!G70="","",'Marks Entry'!G70)</f>
        <v/>
      </c>
      <c r="G70" s="188" t="str">
        <f>IF('Marks Entry'!H70="","",'Marks Entry'!H70)</f>
        <v/>
      </c>
      <c r="H70" s="189" t="str">
        <f>IF('Marks Entry'!I70="","",'Marks Entry'!I70)</f>
        <v/>
      </c>
      <c r="I70" s="190" t="str">
        <f>IF('Marks Entry'!J70="","",'Marks Entry'!J70)</f>
        <v/>
      </c>
      <c r="J70" s="545" t="str">
        <f>IF('Marks Entry'!K70="","",'Marks Entry'!K70)</f>
        <v/>
      </c>
      <c r="K70" s="545" t="str">
        <f>IF('Marks Entry'!L70="","",'Marks Entry'!L70)</f>
        <v/>
      </c>
      <c r="L70" s="545" t="str">
        <f>IF('Marks Entry'!M70="","",'Marks Entry'!M70)</f>
        <v/>
      </c>
      <c r="M70" s="546" t="str">
        <f t="shared" si="47"/>
        <v/>
      </c>
      <c r="N70" s="545" t="str">
        <f>IF('Marks Entry'!N70="","",'Marks Entry'!N70)</f>
        <v/>
      </c>
      <c r="O70" s="546" t="str">
        <f t="shared" si="48"/>
        <v/>
      </c>
      <c r="P70" s="545" t="str">
        <f>IF('Marks Entry'!O70="","",'Marks Entry'!O70)</f>
        <v/>
      </c>
      <c r="Q70" s="547" t="str">
        <f t="shared" si="49"/>
        <v/>
      </c>
      <c r="R70" s="153">
        <f t="shared" si="50"/>
        <v>0</v>
      </c>
      <c r="S70" s="153">
        <f t="shared" si="51"/>
        <v>0</v>
      </c>
      <c r="T70" s="154" t="str">
        <f t="shared" si="52"/>
        <v/>
      </c>
      <c r="U70" s="153" t="str">
        <f t="shared" si="53"/>
        <v/>
      </c>
      <c r="V70" s="153" t="str">
        <f t="shared" si="54"/>
        <v/>
      </c>
      <c r="W70" s="153" t="str">
        <f t="shared" si="55"/>
        <v/>
      </c>
      <c r="X70" s="545" t="str">
        <f>IF('Marks Entry'!P70="","",'Marks Entry'!P70)</f>
        <v/>
      </c>
      <c r="Y70" s="545" t="str">
        <f>IF('Marks Entry'!Q70="","",'Marks Entry'!Q70)</f>
        <v/>
      </c>
      <c r="Z70" s="545" t="str">
        <f>IF('Marks Entry'!R70="","",'Marks Entry'!R70)</f>
        <v/>
      </c>
      <c r="AA70" s="546" t="str">
        <f t="shared" si="56"/>
        <v/>
      </c>
      <c r="AB70" s="545" t="str">
        <f>IF('Marks Entry'!S70="","",'Marks Entry'!S70)</f>
        <v/>
      </c>
      <c r="AC70" s="546" t="str">
        <f t="shared" si="57"/>
        <v/>
      </c>
      <c r="AD70" s="545" t="str">
        <f>IF('Marks Entry'!T70="","",'Marks Entry'!T70)</f>
        <v/>
      </c>
      <c r="AE70" s="547" t="str">
        <f t="shared" si="58"/>
        <v/>
      </c>
      <c r="AF70" s="153">
        <f t="shared" si="59"/>
        <v>0</v>
      </c>
      <c r="AG70" s="153">
        <f t="shared" si="60"/>
        <v>0</v>
      </c>
      <c r="AH70" s="154" t="str">
        <f t="shared" si="61"/>
        <v/>
      </c>
      <c r="AI70" s="153" t="str">
        <f t="shared" si="62"/>
        <v/>
      </c>
      <c r="AJ70" s="153" t="str">
        <f t="shared" si="63"/>
        <v/>
      </c>
      <c r="AK70" s="153" t="str">
        <f t="shared" si="64"/>
        <v/>
      </c>
      <c r="AL70" s="573" t="str">
        <f>IF('Marks Entry'!U70="","",'Marks Entry'!U70)</f>
        <v/>
      </c>
      <c r="AM70" s="573" t="str">
        <f>IF('Marks Entry'!V70="","",'Marks Entry'!V70)</f>
        <v/>
      </c>
      <c r="AN70" s="573" t="str">
        <f>IF('Marks Entry'!W70="","",'Marks Entry'!W70)</f>
        <v/>
      </c>
      <c r="AO70" s="573" t="str">
        <f>IF('Marks Entry'!X70="","",'Marks Entry'!X70)</f>
        <v/>
      </c>
      <c r="AP70" s="572" t="str">
        <f t="shared" si="65"/>
        <v/>
      </c>
      <c r="AQ70" s="573" t="str">
        <f>IF('Marks Entry'!Y70="","",'Marks Entry'!Y70)</f>
        <v/>
      </c>
      <c r="AR70" s="573" t="str">
        <f>IF('Marks Entry'!Z70="","",'Marks Entry'!Z70)</f>
        <v/>
      </c>
      <c r="AS70" s="572" t="str">
        <f t="shared" si="66"/>
        <v/>
      </c>
      <c r="AT70" s="572" t="str">
        <f t="shared" si="67"/>
        <v/>
      </c>
      <c r="AU70" s="573" t="str">
        <f>IF('Marks Entry'!AA70="","",'Marks Entry'!AA70)</f>
        <v/>
      </c>
      <c r="AV70" s="573" t="str">
        <f>IF('Marks Entry'!AB70="","",'Marks Entry'!AB70)</f>
        <v/>
      </c>
      <c r="AW70" s="572" t="str">
        <f t="shared" si="68"/>
        <v/>
      </c>
      <c r="AX70" s="157" t="str">
        <f t="shared" si="69"/>
        <v/>
      </c>
      <c r="AY70" s="157" t="str">
        <f t="shared" si="70"/>
        <v/>
      </c>
      <c r="AZ70" s="192" t="str">
        <f t="shared" si="71"/>
        <v/>
      </c>
      <c r="BA70" s="153">
        <f t="shared" si="72"/>
        <v>0</v>
      </c>
      <c r="BB70" s="154">
        <f t="shared" si="73"/>
        <v>0</v>
      </c>
      <c r="BC70" s="154" t="str">
        <f t="shared" si="74"/>
        <v/>
      </c>
      <c r="BD70" s="154" t="str">
        <f t="shared" si="75"/>
        <v/>
      </c>
      <c r="BE70" s="154" t="str">
        <f t="shared" si="76"/>
        <v/>
      </c>
      <c r="BF70" s="153" t="str">
        <f t="shared" si="77"/>
        <v/>
      </c>
      <c r="BG70" s="154" t="str">
        <f t="shared" si="175"/>
        <v/>
      </c>
      <c r="BH70" s="153" t="str">
        <f t="shared" si="78"/>
        <v/>
      </c>
      <c r="BI70" s="580" t="str">
        <f>IF('Marks Entry'!AC70="","",'Marks Entry'!AC70)</f>
        <v/>
      </c>
      <c r="BJ70" s="580" t="str">
        <f>IF('Marks Entry'!AD70="","",'Marks Entry'!AD70)</f>
        <v/>
      </c>
      <c r="BK70" s="580" t="str">
        <f>IF('Marks Entry'!AE70="","",'Marks Entry'!AE70)</f>
        <v/>
      </c>
      <c r="BL70" s="580" t="str">
        <f>IF('Marks Entry'!AF70="","",'Marks Entry'!AF70)</f>
        <v/>
      </c>
      <c r="BM70" s="581" t="str">
        <f t="shared" si="79"/>
        <v/>
      </c>
      <c r="BN70" s="580" t="str">
        <f>IF('Marks Entry'!AG70="","",'Marks Entry'!AG70)</f>
        <v/>
      </c>
      <c r="BO70" s="580" t="str">
        <f>IF('Marks Entry'!AH70="","",'Marks Entry'!AH70)</f>
        <v/>
      </c>
      <c r="BP70" s="581" t="str">
        <f t="shared" si="80"/>
        <v/>
      </c>
      <c r="BQ70" s="581" t="str">
        <f t="shared" si="81"/>
        <v/>
      </c>
      <c r="BR70" s="580" t="str">
        <f>IF('Marks Entry'!AI70="","",'Marks Entry'!AI70)</f>
        <v/>
      </c>
      <c r="BS70" s="580" t="str">
        <f>IF('Marks Entry'!AJ70="","",'Marks Entry'!AJ70)</f>
        <v/>
      </c>
      <c r="BT70" s="581" t="str">
        <f t="shared" si="82"/>
        <v/>
      </c>
      <c r="BU70" s="157" t="str">
        <f t="shared" si="83"/>
        <v/>
      </c>
      <c r="BV70" s="157" t="str">
        <f t="shared" si="84"/>
        <v/>
      </c>
      <c r="BW70" s="192" t="str">
        <f t="shared" si="85"/>
        <v/>
      </c>
      <c r="BX70" s="153">
        <f t="shared" si="86"/>
        <v>0</v>
      </c>
      <c r="BY70" s="154">
        <f t="shared" si="87"/>
        <v>0</v>
      </c>
      <c r="BZ70" s="154" t="str">
        <f t="shared" si="88"/>
        <v/>
      </c>
      <c r="CA70" s="154" t="str">
        <f t="shared" si="89"/>
        <v/>
      </c>
      <c r="CB70" s="154" t="str">
        <f t="shared" si="90"/>
        <v/>
      </c>
      <c r="CC70" s="153" t="str">
        <f t="shared" si="91"/>
        <v/>
      </c>
      <c r="CD70" s="154" t="str">
        <f t="shared" si="92"/>
        <v/>
      </c>
      <c r="CE70" s="153" t="str">
        <f t="shared" si="93"/>
        <v/>
      </c>
      <c r="CF70" s="580" t="str">
        <f>IF('Marks Entry'!AK70="","",'Marks Entry'!AK70)</f>
        <v/>
      </c>
      <c r="CG70" s="580" t="str">
        <f>IF('Marks Entry'!AL70="","",'Marks Entry'!AL70)</f>
        <v/>
      </c>
      <c r="CH70" s="580" t="str">
        <f>IF('Marks Entry'!AM70="","",'Marks Entry'!AM70)</f>
        <v/>
      </c>
      <c r="CI70" s="580" t="str">
        <f>IF('Marks Entry'!AN70="","",'Marks Entry'!AN70)</f>
        <v/>
      </c>
      <c r="CJ70" s="581" t="str">
        <f t="shared" si="94"/>
        <v/>
      </c>
      <c r="CK70" s="580" t="str">
        <f>IF('Marks Entry'!AO70="","",'Marks Entry'!AO70)</f>
        <v/>
      </c>
      <c r="CL70" s="580" t="str">
        <f>IF('Marks Entry'!AP70="","",'Marks Entry'!AP70)</f>
        <v/>
      </c>
      <c r="CM70" s="581" t="str">
        <f t="shared" si="95"/>
        <v/>
      </c>
      <c r="CN70" s="581" t="str">
        <f t="shared" si="96"/>
        <v/>
      </c>
      <c r="CO70" s="580" t="str">
        <f>IF('Marks Entry'!AQ70="","",'Marks Entry'!AQ70)</f>
        <v/>
      </c>
      <c r="CP70" s="580" t="str">
        <f>IF('Marks Entry'!AR70="","",'Marks Entry'!AR70)</f>
        <v/>
      </c>
      <c r="CQ70" s="581" t="str">
        <f t="shared" si="97"/>
        <v/>
      </c>
      <c r="CR70" s="157" t="str">
        <f t="shared" si="98"/>
        <v/>
      </c>
      <c r="CS70" s="157" t="str">
        <f t="shared" si="99"/>
        <v/>
      </c>
      <c r="CT70" s="192" t="str">
        <f t="shared" si="100"/>
        <v/>
      </c>
      <c r="CU70" s="153">
        <f t="shared" si="101"/>
        <v>0</v>
      </c>
      <c r="CV70" s="154">
        <f t="shared" si="102"/>
        <v>0</v>
      </c>
      <c r="CW70" s="154" t="str">
        <f t="shared" si="103"/>
        <v/>
      </c>
      <c r="CX70" s="154" t="str">
        <f t="shared" si="104"/>
        <v/>
      </c>
      <c r="CY70" s="154" t="str">
        <f t="shared" si="176"/>
        <v/>
      </c>
      <c r="CZ70" s="153" t="str">
        <f t="shared" si="105"/>
        <v/>
      </c>
      <c r="DA70" s="154" t="str">
        <f t="shared" si="106"/>
        <v/>
      </c>
      <c r="DB70" s="153" t="str">
        <f t="shared" si="107"/>
        <v/>
      </c>
      <c r="DC70" s="154">
        <f t="shared" si="108"/>
        <v>0</v>
      </c>
      <c r="DD70" s="826" t="str">
        <f>IF('Marks Entry'!AS70="","",IF(OR('Master Sheet'!$D$19="YES",'Marks Entry'!$BA$1=1),'Marks Entry'!AS70,""))</f>
        <v/>
      </c>
      <c r="DE70" s="826" t="str">
        <f>IF('Marks Entry'!AT70="","",IF(OR('Master Sheet'!$D$19="YES",'Marks Entry'!$BA$1=1),'Marks Entry'!AT70,""))</f>
        <v/>
      </c>
      <c r="DF70" s="826" t="str">
        <f>IF('Marks Entry'!AU70="","",IF(OR('Master Sheet'!$D$19="YES",'Marks Entry'!$BA$1=1),'Marks Entry'!AU70,""))</f>
        <v/>
      </c>
      <c r="DG70" s="826" t="str">
        <f>IF('Marks Entry'!AV70="","",IF(OR('Master Sheet'!$D$19="YES",'Marks Entry'!$BA$1=1),'Marks Entry'!AV70,""))</f>
        <v/>
      </c>
      <c r="DH70" s="827" t="str">
        <f t="shared" si="109"/>
        <v/>
      </c>
      <c r="DI70" s="826" t="str">
        <f>IF('Marks Entry'!AW70="","",IF(OR('Master Sheet'!$D$19="YES",'Marks Entry'!$BA$1=1),'Marks Entry'!AW70,""))</f>
        <v/>
      </c>
      <c r="DJ70" s="826" t="str">
        <f>IF('Marks Entry'!AX70="","",IF(OR('Master Sheet'!$D$19="YES",'Marks Entry'!$BA$1=1),'Marks Entry'!AX70,""))</f>
        <v/>
      </c>
      <c r="DK70" s="827" t="str">
        <f t="shared" si="110"/>
        <v/>
      </c>
      <c r="DL70" s="827" t="str">
        <f t="shared" si="111"/>
        <v/>
      </c>
      <c r="DM70" s="826" t="str">
        <f>IF('Marks Entry'!AY70="","",IF(OR('Master Sheet'!$D$19="YES",'Marks Entry'!$BA$1=1),'Marks Entry'!AY70,""))</f>
        <v/>
      </c>
      <c r="DN70" s="826" t="str">
        <f>IF('Marks Entry'!AZ70="","",IF(OR('Master Sheet'!$D$19="YES",'Marks Entry'!$BA$1=1),'Marks Entry'!AZ70,""))</f>
        <v/>
      </c>
      <c r="DO70" s="826" t="str">
        <f>IF('Marks Entry'!BA70="","",IF(OR('Master Sheet'!$D$19="YES",'Marks Entry'!$BA$1=1),'Marks Entry'!BA70,""))</f>
        <v/>
      </c>
      <c r="DP70" s="827" t="str">
        <f t="shared" si="112"/>
        <v/>
      </c>
      <c r="DQ70" s="157" t="str">
        <f t="shared" si="113"/>
        <v/>
      </c>
      <c r="DR70" s="157" t="str">
        <f t="shared" si="114"/>
        <v/>
      </c>
      <c r="DS70" s="157" t="str">
        <f t="shared" si="115"/>
        <v/>
      </c>
      <c r="DT70" s="192" t="str">
        <f t="shared" si="116"/>
        <v/>
      </c>
      <c r="DU70" s="153">
        <f t="shared" si="117"/>
        <v>0</v>
      </c>
      <c r="DV70" s="154" t="e">
        <f t="shared" si="118"/>
        <v>#VALUE!</v>
      </c>
      <c r="DW70" s="154" t="str">
        <f t="shared" si="119"/>
        <v/>
      </c>
      <c r="DX70" s="154" t="str">
        <f>IF(OR($B70="NSO",$B70=0,DS70=""),"",IF(AND(DJ70="",DO70=""),"",IF('Master Sheet'!$D$19="YES",$DO$6-COUNTIF(DO70,"ML")*DO$6,DS$6-(COUNTIF(DJ70,"ML")*DJ$6)-(COUNTIF(DO70,"ML")*DO$6))))</f>
        <v/>
      </c>
      <c r="DY70" s="154" t="str">
        <f>IF(OR($B70="NSO",$B70=0),"",IF(AND(DH70="",DI70="",DM70=""),"",IF(AND('Master Sheet'!$D$19="YES",'Marks Entry'!$BA$1=1),100,IF(AND(DJ70="",DO70=""),SUM(($DQ$7+$DR$7)-(DU70+DV70)),SUM(($DQ$6+$DR$6)-(DU70+DV70))))))</f>
        <v/>
      </c>
      <c r="DZ70" s="153" t="str">
        <f t="shared" si="120"/>
        <v/>
      </c>
      <c r="EA70" s="154" t="str">
        <f t="shared" si="121"/>
        <v/>
      </c>
      <c r="EB70" s="153" t="str">
        <f t="shared" si="122"/>
        <v/>
      </c>
      <c r="EC70" s="584" t="str">
        <f>IF('Marks Entry'!BB70="","",'Marks Entry'!BB70)</f>
        <v/>
      </c>
      <c r="ED70" s="584" t="str">
        <f>IF('Marks Entry'!BC70="","",'Marks Entry'!BC70)</f>
        <v/>
      </c>
      <c r="EE70" s="584" t="str">
        <f>IF('Marks Entry'!BD70="","",'Marks Entry'!BD70)</f>
        <v/>
      </c>
      <c r="EF70" s="590" t="str">
        <f t="shared" si="123"/>
        <v/>
      </c>
      <c r="EG70" s="595">
        <f t="shared" si="124"/>
        <v>0</v>
      </c>
      <c r="EH70" s="595">
        <f t="shared" si="125"/>
        <v>0</v>
      </c>
      <c r="EI70" s="193" t="str">
        <f t="shared" si="126"/>
        <v/>
      </c>
      <c r="EJ70" s="595" t="str">
        <f t="shared" si="127"/>
        <v/>
      </c>
      <c r="EK70" s="595" t="str">
        <f t="shared" si="128"/>
        <v/>
      </c>
      <c r="EL70" s="194" t="str">
        <f t="shared" si="129"/>
        <v/>
      </c>
      <c r="EM70" s="194" t="str">
        <f t="shared" si="130"/>
        <v/>
      </c>
      <c r="EN70" s="194" t="str">
        <f t="shared" si="131"/>
        <v/>
      </c>
      <c r="EO70" s="194" t="str">
        <f t="shared" si="132"/>
        <v/>
      </c>
      <c r="EP70" s="194" t="str">
        <f t="shared" si="133"/>
        <v/>
      </c>
      <c r="EQ70" s="194" t="str">
        <f t="shared" si="134"/>
        <v/>
      </c>
      <c r="ER70" s="195">
        <f t="shared" si="135"/>
        <v>0</v>
      </c>
      <c r="ES70" s="195">
        <f t="shared" si="136"/>
        <v>0</v>
      </c>
      <c r="ET70" s="195">
        <f t="shared" si="137"/>
        <v>0</v>
      </c>
      <c r="EU70" s="195">
        <f t="shared" si="138"/>
        <v>0</v>
      </c>
      <c r="EV70" s="195">
        <f t="shared" si="139"/>
        <v>0</v>
      </c>
      <c r="EW70" s="195" t="str">
        <f t="shared" si="140"/>
        <v/>
      </c>
      <c r="EX70" s="196" t="str">
        <f t="shared" si="141"/>
        <v/>
      </c>
      <c r="EY70" s="197" t="str">
        <f>IF('Marks Entry'!BE70="","",'Marks Entry'!BE70)</f>
        <v/>
      </c>
      <c r="EZ70" s="197" t="str">
        <f>IF('Marks Entry'!BF70="","",'Marks Entry'!BF70)</f>
        <v/>
      </c>
      <c r="FA70" s="197" t="str">
        <f>IF('Marks Entry'!BG70="","",'Marks Entry'!BG70)</f>
        <v/>
      </c>
      <c r="FB70" s="596" t="str">
        <f t="shared" si="142"/>
        <v/>
      </c>
      <c r="FC70" s="197" t="str">
        <f>IF('Marks Entry'!BH70="","",'Marks Entry'!BH70)</f>
        <v/>
      </c>
      <c r="FD70" s="197" t="str">
        <f>IF('Marks Entry'!BI70="","",'Marks Entry'!BI70)</f>
        <v/>
      </c>
      <c r="FE70" s="198" t="str">
        <f t="shared" si="143"/>
        <v/>
      </c>
      <c r="FF70" s="199" t="str">
        <f t="shared" si="144"/>
        <v/>
      </c>
      <c r="FG70" s="200" t="str">
        <f>IF(AND(E70=""),"",IF('Student DATA Entry'!L66="","",'Student DATA Entry'!L66))</f>
        <v/>
      </c>
      <c r="FH70" s="201" t="str">
        <f>IF(AND(E70=""),"",IF('Student DATA Entry'!M66="","",'Student DATA Entry'!M66))</f>
        <v/>
      </c>
      <c r="FI70" s="202" t="str">
        <f t="shared" si="145"/>
        <v/>
      </c>
      <c r="FJ70" s="189" t="str">
        <f t="shared" si="146"/>
        <v/>
      </c>
      <c r="FK70" s="189" t="str">
        <f t="shared" si="147"/>
        <v/>
      </c>
      <c r="FL70" s="203" t="str">
        <f t="shared" si="178"/>
        <v/>
      </c>
      <c r="FM70" s="189" t="str">
        <f t="shared" si="148"/>
        <v/>
      </c>
      <c r="FN70" s="204" t="str">
        <f t="shared" si="149"/>
        <v/>
      </c>
      <c r="FO70" s="203" t="str">
        <f t="shared" si="179"/>
        <v/>
      </c>
      <c r="FP70" s="205" t="str">
        <f t="shared" si="150"/>
        <v/>
      </c>
      <c r="FQ70" s="189" t="str">
        <f t="shared" si="180"/>
        <v/>
      </c>
      <c r="FR70" s="189" t="str">
        <f t="shared" si="181"/>
        <v/>
      </c>
      <c r="FS70" s="189" t="str">
        <f t="shared" si="182"/>
        <v/>
      </c>
      <c r="FT70" s="189" t="str">
        <f t="shared" si="183"/>
        <v/>
      </c>
      <c r="FU70" s="189" t="str">
        <f t="shared" si="151"/>
        <v/>
      </c>
      <c r="FV70" s="206" t="str">
        <f t="shared" si="184"/>
        <v/>
      </c>
      <c r="FW70" s="205" t="str">
        <f t="shared" si="152"/>
        <v/>
      </c>
      <c r="FX70" s="189" t="str">
        <f t="shared" si="185"/>
        <v/>
      </c>
      <c r="FY70" s="189" t="str">
        <f t="shared" si="186"/>
        <v/>
      </c>
      <c r="FZ70" s="189" t="str">
        <f t="shared" si="187"/>
        <v/>
      </c>
      <c r="GA70" s="189" t="str">
        <f t="shared" si="188"/>
        <v/>
      </c>
      <c r="GB70" s="189" t="str">
        <f t="shared" si="153"/>
        <v/>
      </c>
      <c r="GC70" s="206" t="str">
        <f t="shared" si="189"/>
        <v/>
      </c>
      <c r="GD70" s="205" t="str">
        <f t="shared" si="154"/>
        <v/>
      </c>
      <c r="GE70" s="189" t="str">
        <f t="shared" si="190"/>
        <v/>
      </c>
      <c r="GF70" s="189" t="str">
        <f t="shared" si="191"/>
        <v/>
      </c>
      <c r="GG70" s="189" t="str">
        <f t="shared" si="192"/>
        <v/>
      </c>
      <c r="GH70" s="189" t="str">
        <f t="shared" si="193"/>
        <v/>
      </c>
      <c r="GI70" s="189" t="str">
        <f t="shared" si="155"/>
        <v/>
      </c>
      <c r="GJ70" s="206" t="str">
        <f t="shared" si="194"/>
        <v/>
      </c>
      <c r="GK70" s="205" t="str">
        <f t="shared" si="156"/>
        <v/>
      </c>
      <c r="GL70" s="189" t="str">
        <f t="shared" si="195"/>
        <v/>
      </c>
      <c r="GM70" s="189" t="str">
        <f t="shared" si="196"/>
        <v/>
      </c>
      <c r="GN70" s="189" t="str">
        <f t="shared" si="197"/>
        <v/>
      </c>
      <c r="GO70" s="189" t="str">
        <f t="shared" si="198"/>
        <v/>
      </c>
      <c r="GP70" s="189" t="str">
        <f t="shared" si="157"/>
        <v/>
      </c>
      <c r="GQ70" s="206" t="str">
        <f t="shared" si="199"/>
        <v/>
      </c>
      <c r="GR70" s="189" t="str">
        <f t="shared" si="158"/>
        <v/>
      </c>
      <c r="GS70" s="189" t="str">
        <f t="shared" si="159"/>
        <v/>
      </c>
      <c r="GT70" s="207" t="str">
        <f t="shared" si="177"/>
        <v xml:space="preserve">    </v>
      </c>
      <c r="GU70" s="207" t="str">
        <f t="shared" si="160"/>
        <v xml:space="preserve">    </v>
      </c>
      <c r="GV70" s="207" t="str">
        <f t="shared" si="161"/>
        <v xml:space="preserve">    </v>
      </c>
      <c r="GW70" s="207" t="str">
        <f t="shared" si="162"/>
        <v xml:space="preserve">       </v>
      </c>
      <c r="GX70" s="598" t="str">
        <f t="shared" si="163"/>
        <v xml:space="preserve">     </v>
      </c>
      <c r="GY70" s="208" t="str">
        <f t="shared" si="200"/>
        <v/>
      </c>
      <c r="GZ70" s="606" t="str">
        <f>IF(AND(Q70="",AE70="",AZ70="",BW70="",CT70=""),"",IF(AND('Master Sheet'!$D$19="YES",'Marks Entry'!$BA$1=1),SUM(Q70,AE70,AZ70,BW70,DT70),SUM(Q70,AE70,AZ70,BW70,CT70)))</f>
        <v/>
      </c>
      <c r="HA70" s="209" t="str">
        <f>IF(GZ70="","",IF(AND('Master Sheet'!$D$19="YES",'Marks Entry'!$BA$1=1),GZ70/((900)-DC70)*100,GZ70/((1000)-DC70)*100))</f>
        <v/>
      </c>
      <c r="HB70" s="611" t="str">
        <f t="shared" si="165"/>
        <v/>
      </c>
      <c r="HC70" s="609" t="str">
        <f t="shared" si="166"/>
        <v/>
      </c>
      <c r="HD70" s="610" t="str">
        <f t="shared" si="167"/>
        <v/>
      </c>
      <c r="HE70" s="210" t="str">
        <f>IFERROR(IF(OR(GY70="SUPPLEMENTARY",GY70="RE-EXAM"),'Supp. Result Entry'!AS69,""),"")</f>
        <v/>
      </c>
      <c r="HF70" s="613" t="str">
        <f t="shared" si="168"/>
        <v/>
      </c>
      <c r="HG70" s="598" t="str">
        <f t="shared" si="169"/>
        <v/>
      </c>
      <c r="HH70" s="598" t="str">
        <f>IF(AND(HE70="",HF70="",HG70=""),"",IF(OR(GY70="SUPPLEMENTARY",GY70="RE-EXAM"),'Supp. Result Entry'!AS69,GY70))</f>
        <v/>
      </c>
      <c r="HI70" s="180"/>
      <c r="HY70" s="212" t="str">
        <f>IF('Supp. Result Entry'!U69="","",'Supp. Result Entry'!$U$6)</f>
        <v/>
      </c>
      <c r="HZ70" s="213" t="str">
        <f>IF('Supp. Result Entry'!X69="","",'Supp. Result Entry'!$X$6)</f>
        <v/>
      </c>
      <c r="IA70" s="213" t="str">
        <f>IF('Supp. Result Entry'!AA69="","",'Supp. Result Entry'!$AA$6)</f>
        <v/>
      </c>
      <c r="IB70" s="213" t="str">
        <f>IF('Supp. Result Entry'!AD69="","",'Supp. Result Entry'!$AD$6)</f>
        <v/>
      </c>
      <c r="IC70" s="213" t="str">
        <f>IF('Supp. Result Entry'!AG69="","",'Supp. Result Entry'!$AG$6)</f>
        <v/>
      </c>
      <c r="ID70" s="213" t="str">
        <f>IF('Supp. Result Entry'!AJ69="","",'Supp. Result Entry'!$AJ$6)</f>
        <v/>
      </c>
      <c r="IE70" s="213" t="str">
        <f>IF('Supp. Result Entry'!V69="","",'Supp. Result Entry'!V69)</f>
        <v/>
      </c>
      <c r="IF70" s="213" t="str">
        <f>IF('Supp. Result Entry'!Y69="","",'Supp. Result Entry'!Y69)</f>
        <v/>
      </c>
      <c r="IG70" s="213" t="str">
        <f>IF('Supp. Result Entry'!AB69="","",'Supp. Result Entry'!AB69)</f>
        <v/>
      </c>
      <c r="IH70" s="213" t="str">
        <f>IF('Supp. Result Entry'!AE69="","",'Supp. Result Entry'!AE69)</f>
        <v/>
      </c>
      <c r="II70" s="213" t="str">
        <f>IF('Supp. Result Entry'!AH69="","",'Supp. Result Entry'!AH69)</f>
        <v/>
      </c>
      <c r="IJ70" s="213" t="str">
        <f>IF('Supp. Result Entry'!AK69="","",'Supp. Result Entry'!AK69)</f>
        <v/>
      </c>
      <c r="IK70" s="213" t="str">
        <f>IF('Supp. Result Entry'!W69="","",'Supp. Result Entry'!W69)</f>
        <v/>
      </c>
      <c r="IL70" s="213" t="str">
        <f>IF('Supp. Result Entry'!Z69="","",'Supp. Result Entry'!Z69)</f>
        <v/>
      </c>
      <c r="IM70" s="213" t="str">
        <f>IF('Supp. Result Entry'!AC69="","",'Supp. Result Entry'!AC69)</f>
        <v/>
      </c>
      <c r="IN70" s="213" t="str">
        <f>IF('Supp. Result Entry'!AF69="","",'Supp. Result Entry'!AF69)</f>
        <v/>
      </c>
      <c r="IO70" s="213" t="str">
        <f>IF('Supp. Result Entry'!AI69="","",'Supp. Result Entry'!AI69)</f>
        <v/>
      </c>
      <c r="IP70" s="213" t="str">
        <f>IF('Supp. Result Entry'!AL69="","",'Supp. Result Entry'!AL69)</f>
        <v/>
      </c>
      <c r="IQ70" s="213">
        <f>COUNTIF('Supp. Result Entry'!K69:Q69,"S")</f>
        <v>0</v>
      </c>
      <c r="IR70" s="213">
        <f t="shared" si="170"/>
        <v>0</v>
      </c>
      <c r="IS70" s="213">
        <f t="shared" si="171"/>
        <v>0</v>
      </c>
      <c r="IT70" s="213" t="str">
        <f t="shared" si="41"/>
        <v/>
      </c>
      <c r="IU70" s="213" t="str">
        <f t="shared" si="42"/>
        <v/>
      </c>
      <c r="IV70" s="213" t="str">
        <f t="shared" si="43"/>
        <v/>
      </c>
      <c r="IW70" s="213" t="str">
        <f t="shared" si="44"/>
        <v/>
      </c>
      <c r="IX70" s="213" t="str">
        <f t="shared" si="45"/>
        <v/>
      </c>
      <c r="IY70" s="213" t="str">
        <f t="shared" si="172"/>
        <v/>
      </c>
      <c r="IZ70" s="213" t="str">
        <f t="shared" si="173"/>
        <v/>
      </c>
      <c r="JA70" s="213" t="str">
        <f t="shared" si="46"/>
        <v/>
      </c>
      <c r="JB70" s="211" t="str">
        <f t="shared" si="174"/>
        <v/>
      </c>
    </row>
    <row r="71" spans="1:262" s="211" customFormat="1" ht="21" customHeight="1">
      <c r="A71" s="184">
        <v>64</v>
      </c>
      <c r="B71" s="185" t="str">
        <f>IF('Marks Entry'!B71="","",'Marks Entry'!B71)</f>
        <v/>
      </c>
      <c r="C71" s="186" t="str">
        <f>IF('Marks Entry'!D71="","",'Marks Entry'!D71)</f>
        <v/>
      </c>
      <c r="D71" s="187" t="str">
        <f>IF('Marks Entry'!E71="","",'Marks Entry'!E71)</f>
        <v/>
      </c>
      <c r="E71" s="188" t="str">
        <f>IF('Marks Entry'!F71="","",'Marks Entry'!F71)</f>
        <v/>
      </c>
      <c r="F71" s="188" t="str">
        <f>IF('Marks Entry'!G71="","",'Marks Entry'!G71)</f>
        <v/>
      </c>
      <c r="G71" s="188" t="str">
        <f>IF('Marks Entry'!H71="","",'Marks Entry'!H71)</f>
        <v/>
      </c>
      <c r="H71" s="189" t="str">
        <f>IF('Marks Entry'!I71="","",'Marks Entry'!I71)</f>
        <v/>
      </c>
      <c r="I71" s="190" t="str">
        <f>IF('Marks Entry'!J71="","",'Marks Entry'!J71)</f>
        <v/>
      </c>
      <c r="J71" s="545" t="str">
        <f>IF('Marks Entry'!K71="","",'Marks Entry'!K71)</f>
        <v/>
      </c>
      <c r="K71" s="545" t="str">
        <f>IF('Marks Entry'!L71="","",'Marks Entry'!L71)</f>
        <v/>
      </c>
      <c r="L71" s="545" t="str">
        <f>IF('Marks Entry'!M71="","",'Marks Entry'!M71)</f>
        <v/>
      </c>
      <c r="M71" s="546" t="str">
        <f t="shared" si="47"/>
        <v/>
      </c>
      <c r="N71" s="545" t="str">
        <f>IF('Marks Entry'!N71="","",'Marks Entry'!N71)</f>
        <v/>
      </c>
      <c r="O71" s="546" t="str">
        <f t="shared" si="48"/>
        <v/>
      </c>
      <c r="P71" s="545" t="str">
        <f>IF('Marks Entry'!O71="","",'Marks Entry'!O71)</f>
        <v/>
      </c>
      <c r="Q71" s="547" t="str">
        <f t="shared" si="49"/>
        <v/>
      </c>
      <c r="R71" s="153">
        <f t="shared" si="50"/>
        <v>0</v>
      </c>
      <c r="S71" s="153">
        <f t="shared" si="51"/>
        <v>0</v>
      </c>
      <c r="T71" s="154" t="str">
        <f t="shared" si="52"/>
        <v/>
      </c>
      <c r="U71" s="153" t="str">
        <f t="shared" si="53"/>
        <v/>
      </c>
      <c r="V71" s="153" t="str">
        <f t="shared" si="54"/>
        <v/>
      </c>
      <c r="W71" s="153" t="str">
        <f t="shared" si="55"/>
        <v/>
      </c>
      <c r="X71" s="545" t="str">
        <f>IF('Marks Entry'!P71="","",'Marks Entry'!P71)</f>
        <v/>
      </c>
      <c r="Y71" s="545" t="str">
        <f>IF('Marks Entry'!Q71="","",'Marks Entry'!Q71)</f>
        <v/>
      </c>
      <c r="Z71" s="545" t="str">
        <f>IF('Marks Entry'!R71="","",'Marks Entry'!R71)</f>
        <v/>
      </c>
      <c r="AA71" s="546" t="str">
        <f t="shared" si="56"/>
        <v/>
      </c>
      <c r="AB71" s="545" t="str">
        <f>IF('Marks Entry'!S71="","",'Marks Entry'!S71)</f>
        <v/>
      </c>
      <c r="AC71" s="546" t="str">
        <f t="shared" si="57"/>
        <v/>
      </c>
      <c r="AD71" s="545" t="str">
        <f>IF('Marks Entry'!T71="","",'Marks Entry'!T71)</f>
        <v/>
      </c>
      <c r="AE71" s="547" t="str">
        <f t="shared" si="58"/>
        <v/>
      </c>
      <c r="AF71" s="153">
        <f t="shared" si="59"/>
        <v>0</v>
      </c>
      <c r="AG71" s="153">
        <f t="shared" si="60"/>
        <v>0</v>
      </c>
      <c r="AH71" s="154" t="str">
        <f t="shared" si="61"/>
        <v/>
      </c>
      <c r="AI71" s="153" t="str">
        <f t="shared" si="62"/>
        <v/>
      </c>
      <c r="AJ71" s="153" t="str">
        <f t="shared" si="63"/>
        <v/>
      </c>
      <c r="AK71" s="153" t="str">
        <f t="shared" si="64"/>
        <v/>
      </c>
      <c r="AL71" s="573" t="str">
        <f>IF('Marks Entry'!U71="","",'Marks Entry'!U71)</f>
        <v/>
      </c>
      <c r="AM71" s="573" t="str">
        <f>IF('Marks Entry'!V71="","",'Marks Entry'!V71)</f>
        <v/>
      </c>
      <c r="AN71" s="573" t="str">
        <f>IF('Marks Entry'!W71="","",'Marks Entry'!W71)</f>
        <v/>
      </c>
      <c r="AO71" s="573" t="str">
        <f>IF('Marks Entry'!X71="","",'Marks Entry'!X71)</f>
        <v/>
      </c>
      <c r="AP71" s="572" t="str">
        <f t="shared" si="65"/>
        <v/>
      </c>
      <c r="AQ71" s="573" t="str">
        <f>IF('Marks Entry'!Y71="","",'Marks Entry'!Y71)</f>
        <v/>
      </c>
      <c r="AR71" s="573" t="str">
        <f>IF('Marks Entry'!Z71="","",'Marks Entry'!Z71)</f>
        <v/>
      </c>
      <c r="AS71" s="572" t="str">
        <f t="shared" si="66"/>
        <v/>
      </c>
      <c r="AT71" s="572" t="str">
        <f t="shared" si="67"/>
        <v/>
      </c>
      <c r="AU71" s="573" t="str">
        <f>IF('Marks Entry'!AA71="","",'Marks Entry'!AA71)</f>
        <v/>
      </c>
      <c r="AV71" s="573" t="str">
        <f>IF('Marks Entry'!AB71="","",'Marks Entry'!AB71)</f>
        <v/>
      </c>
      <c r="AW71" s="572" t="str">
        <f t="shared" si="68"/>
        <v/>
      </c>
      <c r="AX71" s="157" t="str">
        <f t="shared" si="69"/>
        <v/>
      </c>
      <c r="AY71" s="157" t="str">
        <f t="shared" si="70"/>
        <v/>
      </c>
      <c r="AZ71" s="192" t="str">
        <f t="shared" si="71"/>
        <v/>
      </c>
      <c r="BA71" s="153">
        <f t="shared" si="72"/>
        <v>0</v>
      </c>
      <c r="BB71" s="154">
        <f t="shared" si="73"/>
        <v>0</v>
      </c>
      <c r="BC71" s="154" t="str">
        <f t="shared" si="74"/>
        <v/>
      </c>
      <c r="BD71" s="154" t="str">
        <f t="shared" si="75"/>
        <v/>
      </c>
      <c r="BE71" s="154" t="str">
        <f t="shared" si="76"/>
        <v/>
      </c>
      <c r="BF71" s="153" t="str">
        <f t="shared" si="77"/>
        <v/>
      </c>
      <c r="BG71" s="154" t="str">
        <f t="shared" si="175"/>
        <v/>
      </c>
      <c r="BH71" s="153" t="str">
        <f t="shared" si="78"/>
        <v/>
      </c>
      <c r="BI71" s="580" t="str">
        <f>IF('Marks Entry'!AC71="","",'Marks Entry'!AC71)</f>
        <v/>
      </c>
      <c r="BJ71" s="580" t="str">
        <f>IF('Marks Entry'!AD71="","",'Marks Entry'!AD71)</f>
        <v/>
      </c>
      <c r="BK71" s="580" t="str">
        <f>IF('Marks Entry'!AE71="","",'Marks Entry'!AE71)</f>
        <v/>
      </c>
      <c r="BL71" s="580" t="str">
        <f>IF('Marks Entry'!AF71="","",'Marks Entry'!AF71)</f>
        <v/>
      </c>
      <c r="BM71" s="581" t="str">
        <f t="shared" si="79"/>
        <v/>
      </c>
      <c r="BN71" s="580" t="str">
        <f>IF('Marks Entry'!AG71="","",'Marks Entry'!AG71)</f>
        <v/>
      </c>
      <c r="BO71" s="580" t="str">
        <f>IF('Marks Entry'!AH71="","",'Marks Entry'!AH71)</f>
        <v/>
      </c>
      <c r="BP71" s="581" t="str">
        <f t="shared" si="80"/>
        <v/>
      </c>
      <c r="BQ71" s="581" t="str">
        <f t="shared" si="81"/>
        <v/>
      </c>
      <c r="BR71" s="580" t="str">
        <f>IF('Marks Entry'!AI71="","",'Marks Entry'!AI71)</f>
        <v/>
      </c>
      <c r="BS71" s="580" t="str">
        <f>IF('Marks Entry'!AJ71="","",'Marks Entry'!AJ71)</f>
        <v/>
      </c>
      <c r="BT71" s="581" t="str">
        <f t="shared" si="82"/>
        <v/>
      </c>
      <c r="BU71" s="157" t="str">
        <f t="shared" si="83"/>
        <v/>
      </c>
      <c r="BV71" s="157" t="str">
        <f t="shared" si="84"/>
        <v/>
      </c>
      <c r="BW71" s="192" t="str">
        <f t="shared" si="85"/>
        <v/>
      </c>
      <c r="BX71" s="153">
        <f t="shared" si="86"/>
        <v>0</v>
      </c>
      <c r="BY71" s="154">
        <f t="shared" si="87"/>
        <v>0</v>
      </c>
      <c r="BZ71" s="154" t="str">
        <f t="shared" si="88"/>
        <v/>
      </c>
      <c r="CA71" s="154" t="str">
        <f t="shared" si="89"/>
        <v/>
      </c>
      <c r="CB71" s="154" t="str">
        <f t="shared" si="90"/>
        <v/>
      </c>
      <c r="CC71" s="153" t="str">
        <f t="shared" si="91"/>
        <v/>
      </c>
      <c r="CD71" s="154" t="str">
        <f t="shared" si="92"/>
        <v/>
      </c>
      <c r="CE71" s="153" t="str">
        <f t="shared" si="93"/>
        <v/>
      </c>
      <c r="CF71" s="580" t="str">
        <f>IF('Marks Entry'!AK71="","",'Marks Entry'!AK71)</f>
        <v/>
      </c>
      <c r="CG71" s="580" t="str">
        <f>IF('Marks Entry'!AL71="","",'Marks Entry'!AL71)</f>
        <v/>
      </c>
      <c r="CH71" s="580" t="str">
        <f>IF('Marks Entry'!AM71="","",'Marks Entry'!AM71)</f>
        <v/>
      </c>
      <c r="CI71" s="580" t="str">
        <f>IF('Marks Entry'!AN71="","",'Marks Entry'!AN71)</f>
        <v/>
      </c>
      <c r="CJ71" s="581" t="str">
        <f t="shared" si="94"/>
        <v/>
      </c>
      <c r="CK71" s="580" t="str">
        <f>IF('Marks Entry'!AO71="","",'Marks Entry'!AO71)</f>
        <v/>
      </c>
      <c r="CL71" s="580" t="str">
        <f>IF('Marks Entry'!AP71="","",'Marks Entry'!AP71)</f>
        <v/>
      </c>
      <c r="CM71" s="581" t="str">
        <f t="shared" si="95"/>
        <v/>
      </c>
      <c r="CN71" s="581" t="str">
        <f t="shared" si="96"/>
        <v/>
      </c>
      <c r="CO71" s="580" t="str">
        <f>IF('Marks Entry'!AQ71="","",'Marks Entry'!AQ71)</f>
        <v/>
      </c>
      <c r="CP71" s="580" t="str">
        <f>IF('Marks Entry'!AR71="","",'Marks Entry'!AR71)</f>
        <v/>
      </c>
      <c r="CQ71" s="581" t="str">
        <f t="shared" si="97"/>
        <v/>
      </c>
      <c r="CR71" s="157" t="str">
        <f t="shared" si="98"/>
        <v/>
      </c>
      <c r="CS71" s="157" t="str">
        <f t="shared" si="99"/>
        <v/>
      </c>
      <c r="CT71" s="192" t="str">
        <f t="shared" si="100"/>
        <v/>
      </c>
      <c r="CU71" s="153">
        <f t="shared" si="101"/>
        <v>0</v>
      </c>
      <c r="CV71" s="154">
        <f t="shared" si="102"/>
        <v>0</v>
      </c>
      <c r="CW71" s="154" t="str">
        <f t="shared" si="103"/>
        <v/>
      </c>
      <c r="CX71" s="154" t="str">
        <f t="shared" si="104"/>
        <v/>
      </c>
      <c r="CY71" s="154" t="str">
        <f t="shared" si="176"/>
        <v/>
      </c>
      <c r="CZ71" s="153" t="str">
        <f t="shared" si="105"/>
        <v/>
      </c>
      <c r="DA71" s="154" t="str">
        <f t="shared" si="106"/>
        <v/>
      </c>
      <c r="DB71" s="153" t="str">
        <f t="shared" si="107"/>
        <v/>
      </c>
      <c r="DC71" s="154">
        <f t="shared" si="108"/>
        <v>0</v>
      </c>
      <c r="DD71" s="826" t="str">
        <f>IF('Marks Entry'!AS71="","",IF(OR('Master Sheet'!$D$19="YES",'Marks Entry'!$BA$1=1),'Marks Entry'!AS71,""))</f>
        <v/>
      </c>
      <c r="DE71" s="826" t="str">
        <f>IF('Marks Entry'!AT71="","",IF(OR('Master Sheet'!$D$19="YES",'Marks Entry'!$BA$1=1),'Marks Entry'!AT71,""))</f>
        <v/>
      </c>
      <c r="DF71" s="826" t="str">
        <f>IF('Marks Entry'!AU71="","",IF(OR('Master Sheet'!$D$19="YES",'Marks Entry'!$BA$1=1),'Marks Entry'!AU71,""))</f>
        <v/>
      </c>
      <c r="DG71" s="826" t="str">
        <f>IF('Marks Entry'!AV71="","",IF(OR('Master Sheet'!$D$19="YES",'Marks Entry'!$BA$1=1),'Marks Entry'!AV71,""))</f>
        <v/>
      </c>
      <c r="DH71" s="827" t="str">
        <f t="shared" si="109"/>
        <v/>
      </c>
      <c r="DI71" s="826" t="str">
        <f>IF('Marks Entry'!AW71="","",IF(OR('Master Sheet'!$D$19="YES",'Marks Entry'!$BA$1=1),'Marks Entry'!AW71,""))</f>
        <v/>
      </c>
      <c r="DJ71" s="826" t="str">
        <f>IF('Marks Entry'!AX71="","",IF(OR('Master Sheet'!$D$19="YES",'Marks Entry'!$BA$1=1),'Marks Entry'!AX71,""))</f>
        <v/>
      </c>
      <c r="DK71" s="827" t="str">
        <f t="shared" si="110"/>
        <v/>
      </c>
      <c r="DL71" s="827" t="str">
        <f t="shared" si="111"/>
        <v/>
      </c>
      <c r="DM71" s="826" t="str">
        <f>IF('Marks Entry'!AY71="","",IF(OR('Master Sheet'!$D$19="YES",'Marks Entry'!$BA$1=1),'Marks Entry'!AY71,""))</f>
        <v/>
      </c>
      <c r="DN71" s="826" t="str">
        <f>IF('Marks Entry'!AZ71="","",IF(OR('Master Sheet'!$D$19="YES",'Marks Entry'!$BA$1=1),'Marks Entry'!AZ71,""))</f>
        <v/>
      </c>
      <c r="DO71" s="826" t="str">
        <f>IF('Marks Entry'!BA71="","",IF(OR('Master Sheet'!$D$19="YES",'Marks Entry'!$BA$1=1),'Marks Entry'!BA71,""))</f>
        <v/>
      </c>
      <c r="DP71" s="827" t="str">
        <f t="shared" si="112"/>
        <v/>
      </c>
      <c r="DQ71" s="157" t="str">
        <f t="shared" si="113"/>
        <v/>
      </c>
      <c r="DR71" s="157" t="str">
        <f t="shared" si="114"/>
        <v/>
      </c>
      <c r="DS71" s="157" t="str">
        <f t="shared" si="115"/>
        <v/>
      </c>
      <c r="DT71" s="192" t="str">
        <f t="shared" si="116"/>
        <v/>
      </c>
      <c r="DU71" s="153">
        <f t="shared" si="117"/>
        <v>0</v>
      </c>
      <c r="DV71" s="154" t="e">
        <f t="shared" si="118"/>
        <v>#VALUE!</v>
      </c>
      <c r="DW71" s="154" t="str">
        <f t="shared" si="119"/>
        <v/>
      </c>
      <c r="DX71" s="154" t="str">
        <f>IF(OR($B71="NSO",$B71=0,DS71=""),"",IF(AND(DJ71="",DO71=""),"",IF('Master Sheet'!$D$19="YES",$DO$6-COUNTIF(DO71,"ML")*DO$6,DS$6-(COUNTIF(DJ71,"ML")*DJ$6)-(COUNTIF(DO71,"ML")*DO$6))))</f>
        <v/>
      </c>
      <c r="DY71" s="154" t="str">
        <f>IF(OR($B71="NSO",$B71=0),"",IF(AND(DH71="",DI71="",DM71=""),"",IF(AND('Master Sheet'!$D$19="YES",'Marks Entry'!$BA$1=1),100,IF(AND(DJ71="",DO71=""),SUM(($DQ$7+$DR$7)-(DU71+DV71)),SUM(($DQ$6+$DR$6)-(DU71+DV71))))))</f>
        <v/>
      </c>
      <c r="DZ71" s="153" t="str">
        <f t="shared" si="120"/>
        <v/>
      </c>
      <c r="EA71" s="154" t="str">
        <f t="shared" si="121"/>
        <v/>
      </c>
      <c r="EB71" s="153" t="str">
        <f t="shared" si="122"/>
        <v/>
      </c>
      <c r="EC71" s="584" t="str">
        <f>IF('Marks Entry'!BB71="","",'Marks Entry'!BB71)</f>
        <v/>
      </c>
      <c r="ED71" s="584" t="str">
        <f>IF('Marks Entry'!BC71="","",'Marks Entry'!BC71)</f>
        <v/>
      </c>
      <c r="EE71" s="584" t="str">
        <f>IF('Marks Entry'!BD71="","",'Marks Entry'!BD71)</f>
        <v/>
      </c>
      <c r="EF71" s="590" t="str">
        <f t="shared" si="123"/>
        <v/>
      </c>
      <c r="EG71" s="595">
        <f t="shared" si="124"/>
        <v>0</v>
      </c>
      <c r="EH71" s="595">
        <f t="shared" si="125"/>
        <v>0</v>
      </c>
      <c r="EI71" s="193" t="str">
        <f t="shared" si="126"/>
        <v/>
      </c>
      <c r="EJ71" s="595" t="str">
        <f t="shared" si="127"/>
        <v/>
      </c>
      <c r="EK71" s="595" t="str">
        <f t="shared" si="128"/>
        <v/>
      </c>
      <c r="EL71" s="194" t="str">
        <f t="shared" si="129"/>
        <v/>
      </c>
      <c r="EM71" s="194" t="str">
        <f t="shared" si="130"/>
        <v/>
      </c>
      <c r="EN71" s="194" t="str">
        <f t="shared" si="131"/>
        <v/>
      </c>
      <c r="EO71" s="194" t="str">
        <f t="shared" si="132"/>
        <v/>
      </c>
      <c r="EP71" s="194" t="str">
        <f t="shared" si="133"/>
        <v/>
      </c>
      <c r="EQ71" s="194" t="str">
        <f t="shared" si="134"/>
        <v/>
      </c>
      <c r="ER71" s="195">
        <f t="shared" si="135"/>
        <v>0</v>
      </c>
      <c r="ES71" s="195">
        <f t="shared" si="136"/>
        <v>0</v>
      </c>
      <c r="ET71" s="195">
        <f t="shared" si="137"/>
        <v>0</v>
      </c>
      <c r="EU71" s="195">
        <f t="shared" si="138"/>
        <v>0</v>
      </c>
      <c r="EV71" s="195">
        <f t="shared" si="139"/>
        <v>0</v>
      </c>
      <c r="EW71" s="195" t="str">
        <f t="shared" si="140"/>
        <v/>
      </c>
      <c r="EX71" s="196" t="str">
        <f t="shared" si="141"/>
        <v/>
      </c>
      <c r="EY71" s="197" t="str">
        <f>IF('Marks Entry'!BE71="","",'Marks Entry'!BE71)</f>
        <v/>
      </c>
      <c r="EZ71" s="197" t="str">
        <f>IF('Marks Entry'!BF71="","",'Marks Entry'!BF71)</f>
        <v/>
      </c>
      <c r="FA71" s="197" t="str">
        <f>IF('Marks Entry'!BG71="","",'Marks Entry'!BG71)</f>
        <v/>
      </c>
      <c r="FB71" s="596" t="str">
        <f t="shared" si="142"/>
        <v/>
      </c>
      <c r="FC71" s="197" t="str">
        <f>IF('Marks Entry'!BH71="","",'Marks Entry'!BH71)</f>
        <v/>
      </c>
      <c r="FD71" s="197" t="str">
        <f>IF('Marks Entry'!BI71="","",'Marks Entry'!BI71)</f>
        <v/>
      </c>
      <c r="FE71" s="198" t="str">
        <f t="shared" si="143"/>
        <v/>
      </c>
      <c r="FF71" s="199" t="str">
        <f t="shared" si="144"/>
        <v/>
      </c>
      <c r="FG71" s="200" t="str">
        <f>IF(AND(E71=""),"",IF('Student DATA Entry'!L67="","",'Student DATA Entry'!L67))</f>
        <v/>
      </c>
      <c r="FH71" s="201" t="str">
        <f>IF(AND(E71=""),"",IF('Student DATA Entry'!M67="","",'Student DATA Entry'!M67))</f>
        <v/>
      </c>
      <c r="FI71" s="202" t="str">
        <f t="shared" si="145"/>
        <v/>
      </c>
      <c r="FJ71" s="189" t="str">
        <f t="shared" si="146"/>
        <v/>
      </c>
      <c r="FK71" s="189" t="str">
        <f t="shared" si="147"/>
        <v/>
      </c>
      <c r="FL71" s="203" t="str">
        <f t="shared" si="178"/>
        <v/>
      </c>
      <c r="FM71" s="189" t="str">
        <f t="shared" si="148"/>
        <v/>
      </c>
      <c r="FN71" s="204" t="str">
        <f t="shared" si="149"/>
        <v/>
      </c>
      <c r="FO71" s="203" t="str">
        <f t="shared" si="179"/>
        <v/>
      </c>
      <c r="FP71" s="205" t="str">
        <f t="shared" si="150"/>
        <v/>
      </c>
      <c r="FQ71" s="189" t="str">
        <f t="shared" si="180"/>
        <v/>
      </c>
      <c r="FR71" s="189" t="str">
        <f t="shared" si="181"/>
        <v/>
      </c>
      <c r="FS71" s="189" t="str">
        <f t="shared" si="182"/>
        <v/>
      </c>
      <c r="FT71" s="189" t="str">
        <f t="shared" si="183"/>
        <v/>
      </c>
      <c r="FU71" s="189" t="str">
        <f t="shared" si="151"/>
        <v/>
      </c>
      <c r="FV71" s="206" t="str">
        <f t="shared" si="184"/>
        <v/>
      </c>
      <c r="FW71" s="205" t="str">
        <f t="shared" si="152"/>
        <v/>
      </c>
      <c r="FX71" s="189" t="str">
        <f t="shared" si="185"/>
        <v/>
      </c>
      <c r="FY71" s="189" t="str">
        <f t="shared" si="186"/>
        <v/>
      </c>
      <c r="FZ71" s="189" t="str">
        <f t="shared" si="187"/>
        <v/>
      </c>
      <c r="GA71" s="189" t="str">
        <f t="shared" si="188"/>
        <v/>
      </c>
      <c r="GB71" s="189" t="str">
        <f t="shared" si="153"/>
        <v/>
      </c>
      <c r="GC71" s="206" t="str">
        <f t="shared" si="189"/>
        <v/>
      </c>
      <c r="GD71" s="205" t="str">
        <f t="shared" si="154"/>
        <v/>
      </c>
      <c r="GE71" s="189" t="str">
        <f t="shared" si="190"/>
        <v/>
      </c>
      <c r="GF71" s="189" t="str">
        <f t="shared" si="191"/>
        <v/>
      </c>
      <c r="GG71" s="189" t="str">
        <f t="shared" si="192"/>
        <v/>
      </c>
      <c r="GH71" s="189" t="str">
        <f t="shared" si="193"/>
        <v/>
      </c>
      <c r="GI71" s="189" t="str">
        <f t="shared" si="155"/>
        <v/>
      </c>
      <c r="GJ71" s="206" t="str">
        <f t="shared" si="194"/>
        <v/>
      </c>
      <c r="GK71" s="205" t="str">
        <f t="shared" si="156"/>
        <v/>
      </c>
      <c r="GL71" s="189" t="str">
        <f t="shared" si="195"/>
        <v/>
      </c>
      <c r="GM71" s="189" t="str">
        <f t="shared" si="196"/>
        <v/>
      </c>
      <c r="GN71" s="189" t="str">
        <f t="shared" si="197"/>
        <v/>
      </c>
      <c r="GO71" s="189" t="str">
        <f t="shared" si="198"/>
        <v/>
      </c>
      <c r="GP71" s="189" t="str">
        <f t="shared" si="157"/>
        <v/>
      </c>
      <c r="GQ71" s="206" t="str">
        <f t="shared" si="199"/>
        <v/>
      </c>
      <c r="GR71" s="189" t="str">
        <f t="shared" si="158"/>
        <v/>
      </c>
      <c r="GS71" s="189" t="str">
        <f t="shared" si="159"/>
        <v/>
      </c>
      <c r="GT71" s="207" t="str">
        <f t="shared" si="177"/>
        <v xml:space="preserve">    </v>
      </c>
      <c r="GU71" s="207" t="str">
        <f t="shared" si="160"/>
        <v xml:space="preserve">    </v>
      </c>
      <c r="GV71" s="207" t="str">
        <f t="shared" si="161"/>
        <v xml:space="preserve">    </v>
      </c>
      <c r="GW71" s="207" t="str">
        <f t="shared" si="162"/>
        <v xml:space="preserve">       </v>
      </c>
      <c r="GX71" s="598" t="str">
        <f t="shared" si="163"/>
        <v xml:space="preserve">     </v>
      </c>
      <c r="GY71" s="208" t="str">
        <f t="shared" si="200"/>
        <v/>
      </c>
      <c r="GZ71" s="606" t="str">
        <f>IF(AND(Q71="",AE71="",AZ71="",BW71="",CT71=""),"",IF(AND('Master Sheet'!$D$19="YES",'Marks Entry'!$BA$1=1),SUM(Q71,AE71,AZ71,BW71,DT71),SUM(Q71,AE71,AZ71,BW71,CT71)))</f>
        <v/>
      </c>
      <c r="HA71" s="209" t="str">
        <f>IF(GZ71="","",IF(AND('Master Sheet'!$D$19="YES",'Marks Entry'!$BA$1=1),GZ71/((900)-DC71)*100,GZ71/((1000)-DC71)*100))</f>
        <v/>
      </c>
      <c r="HB71" s="611" t="str">
        <f t="shared" si="165"/>
        <v/>
      </c>
      <c r="HC71" s="609" t="str">
        <f t="shared" si="166"/>
        <v/>
      </c>
      <c r="HD71" s="610" t="str">
        <f t="shared" si="167"/>
        <v/>
      </c>
      <c r="HE71" s="210" t="str">
        <f>IFERROR(IF(OR(GY71="SUPPLEMENTARY",GY71="RE-EXAM"),'Supp. Result Entry'!AS70,""),"")</f>
        <v/>
      </c>
      <c r="HF71" s="613" t="str">
        <f t="shared" si="168"/>
        <v/>
      </c>
      <c r="HG71" s="598" t="str">
        <f t="shared" si="169"/>
        <v/>
      </c>
      <c r="HH71" s="598" t="str">
        <f>IF(AND(HE71="",HF71="",HG71=""),"",IF(OR(GY71="SUPPLEMENTARY",GY71="RE-EXAM"),'Supp. Result Entry'!AS70,GY71))</f>
        <v/>
      </c>
      <c r="HI71" s="180"/>
      <c r="HY71" s="212" t="str">
        <f>IF('Supp. Result Entry'!U70="","",'Supp. Result Entry'!$U$6)</f>
        <v/>
      </c>
      <c r="HZ71" s="213" t="str">
        <f>IF('Supp. Result Entry'!X70="","",'Supp. Result Entry'!$X$6)</f>
        <v/>
      </c>
      <c r="IA71" s="213" t="str">
        <f>IF('Supp. Result Entry'!AA70="","",'Supp. Result Entry'!$AA$6)</f>
        <v/>
      </c>
      <c r="IB71" s="213" t="str">
        <f>IF('Supp. Result Entry'!AD70="","",'Supp. Result Entry'!$AD$6)</f>
        <v/>
      </c>
      <c r="IC71" s="213" t="str">
        <f>IF('Supp. Result Entry'!AG70="","",'Supp. Result Entry'!$AG$6)</f>
        <v/>
      </c>
      <c r="ID71" s="213" t="str">
        <f>IF('Supp. Result Entry'!AJ70="","",'Supp. Result Entry'!$AJ$6)</f>
        <v/>
      </c>
      <c r="IE71" s="213" t="str">
        <f>IF('Supp. Result Entry'!V70="","",'Supp. Result Entry'!V70)</f>
        <v/>
      </c>
      <c r="IF71" s="213" t="str">
        <f>IF('Supp. Result Entry'!Y70="","",'Supp. Result Entry'!Y70)</f>
        <v/>
      </c>
      <c r="IG71" s="213" t="str">
        <f>IF('Supp. Result Entry'!AB70="","",'Supp. Result Entry'!AB70)</f>
        <v/>
      </c>
      <c r="IH71" s="213" t="str">
        <f>IF('Supp. Result Entry'!AE70="","",'Supp. Result Entry'!AE70)</f>
        <v/>
      </c>
      <c r="II71" s="213" t="str">
        <f>IF('Supp. Result Entry'!AH70="","",'Supp. Result Entry'!AH70)</f>
        <v/>
      </c>
      <c r="IJ71" s="213" t="str">
        <f>IF('Supp. Result Entry'!AK70="","",'Supp. Result Entry'!AK70)</f>
        <v/>
      </c>
      <c r="IK71" s="213" t="str">
        <f>IF('Supp. Result Entry'!W70="","",'Supp. Result Entry'!W70)</f>
        <v/>
      </c>
      <c r="IL71" s="213" t="str">
        <f>IF('Supp. Result Entry'!Z70="","",'Supp. Result Entry'!Z70)</f>
        <v/>
      </c>
      <c r="IM71" s="213" t="str">
        <f>IF('Supp. Result Entry'!AC70="","",'Supp. Result Entry'!AC70)</f>
        <v/>
      </c>
      <c r="IN71" s="213" t="str">
        <f>IF('Supp. Result Entry'!AF70="","",'Supp. Result Entry'!AF70)</f>
        <v/>
      </c>
      <c r="IO71" s="213" t="str">
        <f>IF('Supp. Result Entry'!AI70="","",'Supp. Result Entry'!AI70)</f>
        <v/>
      </c>
      <c r="IP71" s="213" t="str">
        <f>IF('Supp. Result Entry'!AL70="","",'Supp. Result Entry'!AL70)</f>
        <v/>
      </c>
      <c r="IQ71" s="213">
        <f>COUNTIF('Supp. Result Entry'!K70:Q70,"S")</f>
        <v>0</v>
      </c>
      <c r="IR71" s="213">
        <f t="shared" si="170"/>
        <v>0</v>
      </c>
      <c r="IS71" s="213">
        <f t="shared" si="171"/>
        <v>0</v>
      </c>
      <c r="IT71" s="213" t="str">
        <f t="shared" si="41"/>
        <v/>
      </c>
      <c r="IU71" s="213" t="str">
        <f t="shared" si="42"/>
        <v/>
      </c>
      <c r="IV71" s="213" t="str">
        <f t="shared" si="43"/>
        <v/>
      </c>
      <c r="IW71" s="213" t="str">
        <f t="shared" si="44"/>
        <v/>
      </c>
      <c r="IX71" s="213" t="str">
        <f t="shared" si="45"/>
        <v/>
      </c>
      <c r="IY71" s="213" t="str">
        <f t="shared" si="172"/>
        <v/>
      </c>
      <c r="IZ71" s="213" t="str">
        <f t="shared" si="173"/>
        <v/>
      </c>
      <c r="JA71" s="213" t="str">
        <f t="shared" si="46"/>
        <v/>
      </c>
      <c r="JB71" s="211" t="str">
        <f t="shared" si="174"/>
        <v/>
      </c>
    </row>
    <row r="72" spans="1:262" s="211" customFormat="1" ht="21" customHeight="1">
      <c r="A72" s="184">
        <v>65</v>
      </c>
      <c r="B72" s="185" t="str">
        <f>IF('Marks Entry'!B72="","",'Marks Entry'!B72)</f>
        <v/>
      </c>
      <c r="C72" s="186" t="str">
        <f>IF('Marks Entry'!D72="","",'Marks Entry'!D72)</f>
        <v/>
      </c>
      <c r="D72" s="187" t="str">
        <f>IF('Marks Entry'!E72="","",'Marks Entry'!E72)</f>
        <v/>
      </c>
      <c r="E72" s="188" t="str">
        <f>IF('Marks Entry'!F72="","",'Marks Entry'!F72)</f>
        <v/>
      </c>
      <c r="F72" s="188" t="str">
        <f>IF('Marks Entry'!G72="","",'Marks Entry'!G72)</f>
        <v/>
      </c>
      <c r="G72" s="188" t="str">
        <f>IF('Marks Entry'!H72="","",'Marks Entry'!H72)</f>
        <v/>
      </c>
      <c r="H72" s="189" t="str">
        <f>IF('Marks Entry'!I72="","",'Marks Entry'!I72)</f>
        <v/>
      </c>
      <c r="I72" s="190" t="str">
        <f>IF('Marks Entry'!J72="","",'Marks Entry'!J72)</f>
        <v/>
      </c>
      <c r="J72" s="545" t="str">
        <f>IF('Marks Entry'!K72="","",'Marks Entry'!K72)</f>
        <v/>
      </c>
      <c r="K72" s="545" t="str">
        <f>IF('Marks Entry'!L72="","",'Marks Entry'!L72)</f>
        <v/>
      </c>
      <c r="L72" s="545" t="str">
        <f>IF('Marks Entry'!M72="","",'Marks Entry'!M72)</f>
        <v/>
      </c>
      <c r="M72" s="546" t="str">
        <f t="shared" si="47"/>
        <v/>
      </c>
      <c r="N72" s="545" t="str">
        <f>IF('Marks Entry'!N72="","",'Marks Entry'!N72)</f>
        <v/>
      </c>
      <c r="O72" s="546" t="str">
        <f t="shared" si="48"/>
        <v/>
      </c>
      <c r="P72" s="545" t="str">
        <f>IF('Marks Entry'!O72="","",'Marks Entry'!O72)</f>
        <v/>
      </c>
      <c r="Q72" s="547" t="str">
        <f t="shared" si="49"/>
        <v/>
      </c>
      <c r="R72" s="153">
        <f t="shared" si="50"/>
        <v>0</v>
      </c>
      <c r="S72" s="153">
        <f t="shared" si="51"/>
        <v>0</v>
      </c>
      <c r="T72" s="154" t="str">
        <f t="shared" si="52"/>
        <v/>
      </c>
      <c r="U72" s="153" t="str">
        <f t="shared" si="53"/>
        <v/>
      </c>
      <c r="V72" s="153" t="str">
        <f t="shared" si="54"/>
        <v/>
      </c>
      <c r="W72" s="153" t="str">
        <f t="shared" si="55"/>
        <v/>
      </c>
      <c r="X72" s="545" t="str">
        <f>IF('Marks Entry'!P72="","",'Marks Entry'!P72)</f>
        <v/>
      </c>
      <c r="Y72" s="545" t="str">
        <f>IF('Marks Entry'!Q72="","",'Marks Entry'!Q72)</f>
        <v/>
      </c>
      <c r="Z72" s="545" t="str">
        <f>IF('Marks Entry'!R72="","",'Marks Entry'!R72)</f>
        <v/>
      </c>
      <c r="AA72" s="546" t="str">
        <f t="shared" si="56"/>
        <v/>
      </c>
      <c r="AB72" s="545" t="str">
        <f>IF('Marks Entry'!S72="","",'Marks Entry'!S72)</f>
        <v/>
      </c>
      <c r="AC72" s="546" t="str">
        <f t="shared" si="57"/>
        <v/>
      </c>
      <c r="AD72" s="545" t="str">
        <f>IF('Marks Entry'!T72="","",'Marks Entry'!T72)</f>
        <v/>
      </c>
      <c r="AE72" s="547" t="str">
        <f t="shared" si="58"/>
        <v/>
      </c>
      <c r="AF72" s="153">
        <f t="shared" si="59"/>
        <v>0</v>
      </c>
      <c r="AG72" s="153">
        <f t="shared" si="60"/>
        <v>0</v>
      </c>
      <c r="AH72" s="154" t="str">
        <f t="shared" si="61"/>
        <v/>
      </c>
      <c r="AI72" s="153" t="str">
        <f t="shared" si="62"/>
        <v/>
      </c>
      <c r="AJ72" s="153" t="str">
        <f t="shared" si="63"/>
        <v/>
      </c>
      <c r="AK72" s="153" t="str">
        <f t="shared" si="64"/>
        <v/>
      </c>
      <c r="AL72" s="573" t="str">
        <f>IF('Marks Entry'!U72="","",'Marks Entry'!U72)</f>
        <v/>
      </c>
      <c r="AM72" s="573" t="str">
        <f>IF('Marks Entry'!V72="","",'Marks Entry'!V72)</f>
        <v/>
      </c>
      <c r="AN72" s="573" t="str">
        <f>IF('Marks Entry'!W72="","",'Marks Entry'!W72)</f>
        <v/>
      </c>
      <c r="AO72" s="573" t="str">
        <f>IF('Marks Entry'!X72="","",'Marks Entry'!X72)</f>
        <v/>
      </c>
      <c r="AP72" s="572" t="str">
        <f t="shared" si="65"/>
        <v/>
      </c>
      <c r="AQ72" s="573" t="str">
        <f>IF('Marks Entry'!Y72="","",'Marks Entry'!Y72)</f>
        <v/>
      </c>
      <c r="AR72" s="573" t="str">
        <f>IF('Marks Entry'!Z72="","",'Marks Entry'!Z72)</f>
        <v/>
      </c>
      <c r="AS72" s="572" t="str">
        <f t="shared" si="66"/>
        <v/>
      </c>
      <c r="AT72" s="572" t="str">
        <f t="shared" si="67"/>
        <v/>
      </c>
      <c r="AU72" s="573" t="str">
        <f>IF('Marks Entry'!AA72="","",'Marks Entry'!AA72)</f>
        <v/>
      </c>
      <c r="AV72" s="573" t="str">
        <f>IF('Marks Entry'!AB72="","",'Marks Entry'!AB72)</f>
        <v/>
      </c>
      <c r="AW72" s="572" t="str">
        <f t="shared" si="68"/>
        <v/>
      </c>
      <c r="AX72" s="157" t="str">
        <f t="shared" si="69"/>
        <v/>
      </c>
      <c r="AY72" s="157" t="str">
        <f t="shared" si="70"/>
        <v/>
      </c>
      <c r="AZ72" s="192" t="str">
        <f t="shared" si="71"/>
        <v/>
      </c>
      <c r="BA72" s="153">
        <f t="shared" si="72"/>
        <v>0</v>
      </c>
      <c r="BB72" s="154">
        <f t="shared" si="73"/>
        <v>0</v>
      </c>
      <c r="BC72" s="154" t="str">
        <f t="shared" si="74"/>
        <v/>
      </c>
      <c r="BD72" s="154" t="str">
        <f t="shared" si="75"/>
        <v/>
      </c>
      <c r="BE72" s="154" t="str">
        <f t="shared" si="76"/>
        <v/>
      </c>
      <c r="BF72" s="153" t="str">
        <f t="shared" si="77"/>
        <v/>
      </c>
      <c r="BG72" s="154" t="str">
        <f t="shared" si="175"/>
        <v/>
      </c>
      <c r="BH72" s="153" t="str">
        <f t="shared" si="78"/>
        <v/>
      </c>
      <c r="BI72" s="580" t="str">
        <f>IF('Marks Entry'!AC72="","",'Marks Entry'!AC72)</f>
        <v/>
      </c>
      <c r="BJ72" s="580" t="str">
        <f>IF('Marks Entry'!AD72="","",'Marks Entry'!AD72)</f>
        <v/>
      </c>
      <c r="BK72" s="580" t="str">
        <f>IF('Marks Entry'!AE72="","",'Marks Entry'!AE72)</f>
        <v/>
      </c>
      <c r="BL72" s="580" t="str">
        <f>IF('Marks Entry'!AF72="","",'Marks Entry'!AF72)</f>
        <v/>
      </c>
      <c r="BM72" s="581" t="str">
        <f t="shared" si="79"/>
        <v/>
      </c>
      <c r="BN72" s="580" t="str">
        <f>IF('Marks Entry'!AG72="","",'Marks Entry'!AG72)</f>
        <v/>
      </c>
      <c r="BO72" s="580" t="str">
        <f>IF('Marks Entry'!AH72="","",'Marks Entry'!AH72)</f>
        <v/>
      </c>
      <c r="BP72" s="581" t="str">
        <f t="shared" si="80"/>
        <v/>
      </c>
      <c r="BQ72" s="581" t="str">
        <f t="shared" si="81"/>
        <v/>
      </c>
      <c r="BR72" s="580" t="str">
        <f>IF('Marks Entry'!AI72="","",'Marks Entry'!AI72)</f>
        <v/>
      </c>
      <c r="BS72" s="580" t="str">
        <f>IF('Marks Entry'!AJ72="","",'Marks Entry'!AJ72)</f>
        <v/>
      </c>
      <c r="BT72" s="581" t="str">
        <f t="shared" si="82"/>
        <v/>
      </c>
      <c r="BU72" s="157" t="str">
        <f t="shared" si="83"/>
        <v/>
      </c>
      <c r="BV72" s="157" t="str">
        <f t="shared" si="84"/>
        <v/>
      </c>
      <c r="BW72" s="192" t="str">
        <f t="shared" si="85"/>
        <v/>
      </c>
      <c r="BX72" s="153">
        <f t="shared" si="86"/>
        <v>0</v>
      </c>
      <c r="BY72" s="154">
        <f t="shared" si="87"/>
        <v>0</v>
      </c>
      <c r="BZ72" s="154" t="str">
        <f t="shared" si="88"/>
        <v/>
      </c>
      <c r="CA72" s="154" t="str">
        <f t="shared" si="89"/>
        <v/>
      </c>
      <c r="CB72" s="154" t="str">
        <f t="shared" si="90"/>
        <v/>
      </c>
      <c r="CC72" s="153" t="str">
        <f t="shared" si="91"/>
        <v/>
      </c>
      <c r="CD72" s="154" t="str">
        <f t="shared" si="92"/>
        <v/>
      </c>
      <c r="CE72" s="153" t="str">
        <f t="shared" si="93"/>
        <v/>
      </c>
      <c r="CF72" s="580" t="str">
        <f>IF('Marks Entry'!AK72="","",'Marks Entry'!AK72)</f>
        <v/>
      </c>
      <c r="CG72" s="580" t="str">
        <f>IF('Marks Entry'!AL72="","",'Marks Entry'!AL72)</f>
        <v/>
      </c>
      <c r="CH72" s="580" t="str">
        <f>IF('Marks Entry'!AM72="","",'Marks Entry'!AM72)</f>
        <v/>
      </c>
      <c r="CI72" s="580" t="str">
        <f>IF('Marks Entry'!AN72="","",'Marks Entry'!AN72)</f>
        <v/>
      </c>
      <c r="CJ72" s="581" t="str">
        <f t="shared" si="94"/>
        <v/>
      </c>
      <c r="CK72" s="580" t="str">
        <f>IF('Marks Entry'!AO72="","",'Marks Entry'!AO72)</f>
        <v/>
      </c>
      <c r="CL72" s="580" t="str">
        <f>IF('Marks Entry'!AP72="","",'Marks Entry'!AP72)</f>
        <v/>
      </c>
      <c r="CM72" s="581" t="str">
        <f t="shared" si="95"/>
        <v/>
      </c>
      <c r="CN72" s="581" t="str">
        <f t="shared" si="96"/>
        <v/>
      </c>
      <c r="CO72" s="580" t="str">
        <f>IF('Marks Entry'!AQ72="","",'Marks Entry'!AQ72)</f>
        <v/>
      </c>
      <c r="CP72" s="580" t="str">
        <f>IF('Marks Entry'!AR72="","",'Marks Entry'!AR72)</f>
        <v/>
      </c>
      <c r="CQ72" s="581" t="str">
        <f t="shared" si="97"/>
        <v/>
      </c>
      <c r="CR72" s="157" t="str">
        <f t="shared" si="98"/>
        <v/>
      </c>
      <c r="CS72" s="157" t="str">
        <f t="shared" si="99"/>
        <v/>
      </c>
      <c r="CT72" s="192" t="str">
        <f t="shared" si="100"/>
        <v/>
      </c>
      <c r="CU72" s="153">
        <f t="shared" si="101"/>
        <v>0</v>
      </c>
      <c r="CV72" s="154">
        <f t="shared" si="102"/>
        <v>0</v>
      </c>
      <c r="CW72" s="154" t="str">
        <f t="shared" si="103"/>
        <v/>
      </c>
      <c r="CX72" s="154" t="str">
        <f t="shared" si="104"/>
        <v/>
      </c>
      <c r="CY72" s="154" t="str">
        <f t="shared" si="176"/>
        <v/>
      </c>
      <c r="CZ72" s="153" t="str">
        <f t="shared" si="105"/>
        <v/>
      </c>
      <c r="DA72" s="154" t="str">
        <f t="shared" si="106"/>
        <v/>
      </c>
      <c r="DB72" s="153" t="str">
        <f t="shared" si="107"/>
        <v/>
      </c>
      <c r="DC72" s="154">
        <f t="shared" si="108"/>
        <v>0</v>
      </c>
      <c r="DD72" s="826" t="str">
        <f>IF('Marks Entry'!AS72="","",IF(OR('Master Sheet'!$D$19="YES",'Marks Entry'!$BA$1=1),'Marks Entry'!AS72,""))</f>
        <v/>
      </c>
      <c r="DE72" s="826" t="str">
        <f>IF('Marks Entry'!AT72="","",IF(OR('Master Sheet'!$D$19="YES",'Marks Entry'!$BA$1=1),'Marks Entry'!AT72,""))</f>
        <v/>
      </c>
      <c r="DF72" s="826" t="str">
        <f>IF('Marks Entry'!AU72="","",IF(OR('Master Sheet'!$D$19="YES",'Marks Entry'!$BA$1=1),'Marks Entry'!AU72,""))</f>
        <v/>
      </c>
      <c r="DG72" s="826" t="str">
        <f>IF('Marks Entry'!AV72="","",IF(OR('Master Sheet'!$D$19="YES",'Marks Entry'!$BA$1=1),'Marks Entry'!AV72,""))</f>
        <v/>
      </c>
      <c r="DH72" s="827" t="str">
        <f t="shared" si="109"/>
        <v/>
      </c>
      <c r="DI72" s="826" t="str">
        <f>IF('Marks Entry'!AW72="","",IF(OR('Master Sheet'!$D$19="YES",'Marks Entry'!$BA$1=1),'Marks Entry'!AW72,""))</f>
        <v/>
      </c>
      <c r="DJ72" s="826" t="str">
        <f>IF('Marks Entry'!AX72="","",IF(OR('Master Sheet'!$D$19="YES",'Marks Entry'!$BA$1=1),'Marks Entry'!AX72,""))</f>
        <v/>
      </c>
      <c r="DK72" s="827" t="str">
        <f t="shared" si="110"/>
        <v/>
      </c>
      <c r="DL72" s="827" t="str">
        <f t="shared" si="111"/>
        <v/>
      </c>
      <c r="DM72" s="826" t="str">
        <f>IF('Marks Entry'!AY72="","",IF(OR('Master Sheet'!$D$19="YES",'Marks Entry'!$BA$1=1),'Marks Entry'!AY72,""))</f>
        <v/>
      </c>
      <c r="DN72" s="826" t="str">
        <f>IF('Marks Entry'!AZ72="","",IF(OR('Master Sheet'!$D$19="YES",'Marks Entry'!$BA$1=1),'Marks Entry'!AZ72,""))</f>
        <v/>
      </c>
      <c r="DO72" s="826" t="str">
        <f>IF('Marks Entry'!BA72="","",IF(OR('Master Sheet'!$D$19="YES",'Marks Entry'!$BA$1=1),'Marks Entry'!BA72,""))</f>
        <v/>
      </c>
      <c r="DP72" s="827" t="str">
        <f t="shared" si="112"/>
        <v/>
      </c>
      <c r="DQ72" s="157" t="str">
        <f t="shared" si="113"/>
        <v/>
      </c>
      <c r="DR72" s="157" t="str">
        <f t="shared" si="114"/>
        <v/>
      </c>
      <c r="DS72" s="157" t="str">
        <f t="shared" si="115"/>
        <v/>
      </c>
      <c r="DT72" s="192" t="str">
        <f t="shared" si="116"/>
        <v/>
      </c>
      <c r="DU72" s="153">
        <f t="shared" si="117"/>
        <v>0</v>
      </c>
      <c r="DV72" s="154" t="e">
        <f t="shared" si="118"/>
        <v>#VALUE!</v>
      </c>
      <c r="DW72" s="154" t="str">
        <f t="shared" si="119"/>
        <v/>
      </c>
      <c r="DX72" s="154" t="str">
        <f>IF(OR($B72="NSO",$B72=0,DS72=""),"",IF(AND(DJ72="",DO72=""),"",IF('Master Sheet'!$D$19="YES",$DO$6-COUNTIF(DO72,"ML")*DO$6,DS$6-(COUNTIF(DJ72,"ML")*DJ$6)-(COUNTIF(DO72,"ML")*DO$6))))</f>
        <v/>
      </c>
      <c r="DY72" s="154" t="str">
        <f>IF(OR($B72="NSO",$B72=0),"",IF(AND(DH72="",DI72="",DM72=""),"",IF(AND('Master Sheet'!$D$19="YES",'Marks Entry'!$BA$1=1),100,IF(AND(DJ72="",DO72=""),SUM(($DQ$7+$DR$7)-(DU72+DV72)),SUM(($DQ$6+$DR$6)-(DU72+DV72))))))</f>
        <v/>
      </c>
      <c r="DZ72" s="153" t="str">
        <f t="shared" si="120"/>
        <v/>
      </c>
      <c r="EA72" s="154" t="str">
        <f t="shared" si="121"/>
        <v/>
      </c>
      <c r="EB72" s="153" t="str">
        <f t="shared" si="122"/>
        <v/>
      </c>
      <c r="EC72" s="584" t="str">
        <f>IF('Marks Entry'!BB72="","",'Marks Entry'!BB72)</f>
        <v/>
      </c>
      <c r="ED72" s="584" t="str">
        <f>IF('Marks Entry'!BC72="","",'Marks Entry'!BC72)</f>
        <v/>
      </c>
      <c r="EE72" s="584" t="str">
        <f>IF('Marks Entry'!BD72="","",'Marks Entry'!BD72)</f>
        <v/>
      </c>
      <c r="EF72" s="590" t="str">
        <f t="shared" si="123"/>
        <v/>
      </c>
      <c r="EG72" s="595">
        <f t="shared" si="124"/>
        <v>0</v>
      </c>
      <c r="EH72" s="595">
        <f t="shared" si="125"/>
        <v>0</v>
      </c>
      <c r="EI72" s="193" t="str">
        <f t="shared" si="126"/>
        <v/>
      </c>
      <c r="EJ72" s="595" t="str">
        <f t="shared" si="127"/>
        <v/>
      </c>
      <c r="EK72" s="595" t="str">
        <f t="shared" si="128"/>
        <v/>
      </c>
      <c r="EL72" s="194" t="str">
        <f t="shared" si="129"/>
        <v/>
      </c>
      <c r="EM72" s="194" t="str">
        <f t="shared" si="130"/>
        <v/>
      </c>
      <c r="EN72" s="194" t="str">
        <f t="shared" si="131"/>
        <v/>
      </c>
      <c r="EO72" s="194" t="str">
        <f t="shared" si="132"/>
        <v/>
      </c>
      <c r="EP72" s="194" t="str">
        <f t="shared" si="133"/>
        <v/>
      </c>
      <c r="EQ72" s="194" t="str">
        <f t="shared" si="134"/>
        <v/>
      </c>
      <c r="ER72" s="195">
        <f t="shared" si="135"/>
        <v>0</v>
      </c>
      <c r="ES72" s="195">
        <f t="shared" si="136"/>
        <v>0</v>
      </c>
      <c r="ET72" s="195">
        <f t="shared" si="137"/>
        <v>0</v>
      </c>
      <c r="EU72" s="195">
        <f t="shared" si="138"/>
        <v>0</v>
      </c>
      <c r="EV72" s="195">
        <f t="shared" si="139"/>
        <v>0</v>
      </c>
      <c r="EW72" s="195" t="str">
        <f t="shared" si="140"/>
        <v/>
      </c>
      <c r="EX72" s="196" t="str">
        <f t="shared" si="141"/>
        <v/>
      </c>
      <c r="EY72" s="197" t="str">
        <f>IF('Marks Entry'!BE72="","",'Marks Entry'!BE72)</f>
        <v/>
      </c>
      <c r="EZ72" s="197" t="str">
        <f>IF('Marks Entry'!BF72="","",'Marks Entry'!BF72)</f>
        <v/>
      </c>
      <c r="FA72" s="197" t="str">
        <f>IF('Marks Entry'!BG72="","",'Marks Entry'!BG72)</f>
        <v/>
      </c>
      <c r="FB72" s="596" t="str">
        <f t="shared" si="142"/>
        <v/>
      </c>
      <c r="FC72" s="197" t="str">
        <f>IF('Marks Entry'!BH72="","",'Marks Entry'!BH72)</f>
        <v/>
      </c>
      <c r="FD72" s="197" t="str">
        <f>IF('Marks Entry'!BI72="","",'Marks Entry'!BI72)</f>
        <v/>
      </c>
      <c r="FE72" s="198" t="str">
        <f t="shared" si="143"/>
        <v/>
      </c>
      <c r="FF72" s="199" t="str">
        <f t="shared" si="144"/>
        <v/>
      </c>
      <c r="FG72" s="200" t="str">
        <f>IF(AND(E72=""),"",IF('Student DATA Entry'!L68="","",'Student DATA Entry'!L68))</f>
        <v/>
      </c>
      <c r="FH72" s="201" t="str">
        <f>IF(AND(E72=""),"",IF('Student DATA Entry'!M68="","",'Student DATA Entry'!M68))</f>
        <v/>
      </c>
      <c r="FI72" s="202" t="str">
        <f t="shared" si="145"/>
        <v/>
      </c>
      <c r="FJ72" s="189" t="str">
        <f t="shared" si="146"/>
        <v/>
      </c>
      <c r="FK72" s="189" t="str">
        <f t="shared" si="147"/>
        <v/>
      </c>
      <c r="FL72" s="203" t="str">
        <f t="shared" ref="FL72:FL103" si="201">IF(FJ72="G",ROUNDUP(36%*T72-Q72,0),"")</f>
        <v/>
      </c>
      <c r="FM72" s="189" t="str">
        <f t="shared" si="148"/>
        <v/>
      </c>
      <c r="FN72" s="204" t="str">
        <f t="shared" si="149"/>
        <v/>
      </c>
      <c r="FO72" s="203" t="str">
        <f t="shared" ref="FO72:FO103" si="202">IF(FM72="G",ROUNDUP(36%*AH72-AE72,0),"")</f>
        <v/>
      </c>
      <c r="FP72" s="205" t="str">
        <f t="shared" si="150"/>
        <v/>
      </c>
      <c r="FQ72" s="189" t="str">
        <f t="shared" ref="FQ72:FQ103" si="203">IF(AL72="A",FP72,"")</f>
        <v/>
      </c>
      <c r="FR72" s="189" t="str">
        <f t="shared" ref="FR72:FR103" si="204">IF(AL72="B",FP72,"")</f>
        <v/>
      </c>
      <c r="FS72" s="189" t="str">
        <f t="shared" ref="FS72:FS103" si="205">IF(AL72="C",FP72,"")</f>
        <v/>
      </c>
      <c r="FT72" s="189" t="str">
        <f t="shared" ref="FT72:FT103" si="206">IF(AL72="D",FP72,"")</f>
        <v/>
      </c>
      <c r="FU72" s="189" t="str">
        <f t="shared" si="151"/>
        <v/>
      </c>
      <c r="FV72" s="206" t="str">
        <f t="shared" ref="FV72:FV103" si="207">IF(FP72="G",ROUNDUP(36%*BE72-AX72,0),"")</f>
        <v/>
      </c>
      <c r="FW72" s="205" t="str">
        <f t="shared" si="152"/>
        <v/>
      </c>
      <c r="FX72" s="189" t="str">
        <f t="shared" ref="FX72:FX103" si="208">IF(BI72="A",FW72,"")</f>
        <v/>
      </c>
      <c r="FY72" s="189" t="str">
        <f t="shared" ref="FY72:FY103" si="209">IF(BI72="B",FW72,"")</f>
        <v/>
      </c>
      <c r="FZ72" s="189" t="str">
        <f t="shared" ref="FZ72:FZ103" si="210">IF(BI72="C",FW72,"")</f>
        <v/>
      </c>
      <c r="GA72" s="189" t="str">
        <f t="shared" ref="GA72:GA103" si="211">IF(BI72="D",FW72,"")</f>
        <v/>
      </c>
      <c r="GB72" s="189" t="str">
        <f t="shared" si="153"/>
        <v/>
      </c>
      <c r="GC72" s="206" t="str">
        <f t="shared" ref="GC72:GC103" si="212">IF(FW72="G",ROUNDUP(36%*CB72-BU72,0),"")</f>
        <v/>
      </c>
      <c r="GD72" s="205" t="str">
        <f t="shared" si="154"/>
        <v/>
      </c>
      <c r="GE72" s="189" t="str">
        <f t="shared" ref="GE72:GE103" si="213">IF(CF72="A",GD72,"")</f>
        <v/>
      </c>
      <c r="GF72" s="189" t="str">
        <f t="shared" ref="GF72:GF103" si="214">IF(CF72="B",GD72,"")</f>
        <v/>
      </c>
      <c r="GG72" s="189" t="str">
        <f t="shared" ref="GG72:GG103" si="215">IF(CF72="C",GD72,"")</f>
        <v/>
      </c>
      <c r="GH72" s="189" t="str">
        <f t="shared" ref="GH72:GH103" si="216">IF(CF72="D",GD72,"")</f>
        <v/>
      </c>
      <c r="GI72" s="189" t="str">
        <f t="shared" si="155"/>
        <v/>
      </c>
      <c r="GJ72" s="206" t="str">
        <f t="shared" ref="GJ72:GJ103" si="217">IF(GD72="G",ROUNDUP(36%*CY72-CR72,0),"")</f>
        <v/>
      </c>
      <c r="GK72" s="205" t="str">
        <f t="shared" si="156"/>
        <v/>
      </c>
      <c r="GL72" s="189" t="str">
        <f t="shared" ref="GL72:GL103" si="218">IF(DD72="A",GK72,"")</f>
        <v/>
      </c>
      <c r="GM72" s="189" t="str">
        <f t="shared" ref="GM72:GM103" si="219">IF(DD72="B",GK72,"")</f>
        <v/>
      </c>
      <c r="GN72" s="189" t="str">
        <f t="shared" ref="GN72:GN103" si="220">IF(DD72="C",GK72,"")</f>
        <v/>
      </c>
      <c r="GO72" s="189" t="str">
        <f t="shared" ref="GO72:GO103" si="221">IF(DD72="D",GK72,"")</f>
        <v/>
      </c>
      <c r="GP72" s="189" t="str">
        <f t="shared" si="157"/>
        <v/>
      </c>
      <c r="GQ72" s="206" t="str">
        <f t="shared" ref="GQ72:GQ103" si="222">IF(GK72="G",ROUNDUP(36%*DY72-DQ72,0),"")</f>
        <v/>
      </c>
      <c r="GR72" s="189" t="str">
        <f t="shared" si="158"/>
        <v/>
      </c>
      <c r="GS72" s="189" t="str">
        <f t="shared" si="159"/>
        <v/>
      </c>
      <c r="GT72" s="207" t="str">
        <f t="shared" si="177"/>
        <v xml:space="preserve">    </v>
      </c>
      <c r="GU72" s="207" t="str">
        <f t="shared" si="160"/>
        <v xml:space="preserve">    </v>
      </c>
      <c r="GV72" s="207" t="str">
        <f t="shared" si="161"/>
        <v xml:space="preserve">    </v>
      </c>
      <c r="GW72" s="207" t="str">
        <f t="shared" si="162"/>
        <v xml:space="preserve">       </v>
      </c>
      <c r="GX72" s="598" t="str">
        <f t="shared" si="163"/>
        <v xml:space="preserve">     </v>
      </c>
      <c r="GY72" s="208" t="str">
        <f t="shared" ref="GY72:GY103" si="223">IF(B72="NSO","NSO",IF(AND(OR(EX72="PASS",EX72="BY GRACE PASS",EX72="RE-EXAM"),EW72="F"),"FAIL",IF(AND(OR(EX72="PASS",EX72="BY GRACE PASS"),EW72="RE"),"RE-EXAM",EX72)))</f>
        <v/>
      </c>
      <c r="GZ72" s="606" t="str">
        <f>IF(AND(Q72="",AE72="",AZ72="",BW72="",CT72=""),"",IF(AND('Master Sheet'!$D$19="YES",'Marks Entry'!$BA$1=1),SUM(Q72,AE72,AZ72,BW72,DT72),SUM(Q72,AE72,AZ72,BW72,CT72)))</f>
        <v/>
      </c>
      <c r="HA72" s="209" t="str">
        <f>IF(GZ72="","",IF(AND('Master Sheet'!$D$19="YES",'Marks Entry'!$BA$1=1),GZ72/((900)-DC72)*100,GZ72/((1000)-DC72)*100))</f>
        <v/>
      </c>
      <c r="HB72" s="611" t="str">
        <f t="shared" si="165"/>
        <v/>
      </c>
      <c r="HC72" s="609" t="str">
        <f t="shared" si="166"/>
        <v/>
      </c>
      <c r="HD72" s="610" t="str">
        <f t="shared" si="167"/>
        <v/>
      </c>
      <c r="HE72" s="210" t="str">
        <f>IFERROR(IF(OR(GY72="SUPPLEMENTARY",GY72="RE-EXAM"),'Supp. Result Entry'!AS71,""),"")</f>
        <v/>
      </c>
      <c r="HF72" s="613" t="str">
        <f t="shared" si="168"/>
        <v/>
      </c>
      <c r="HG72" s="598" t="str">
        <f t="shared" si="169"/>
        <v/>
      </c>
      <c r="HH72" s="598" t="str">
        <f>IF(AND(HE72="",HF72="",HG72=""),"",IF(OR(GY72="SUPPLEMENTARY",GY72="RE-EXAM"),'Supp. Result Entry'!AS71,GY72))</f>
        <v/>
      </c>
      <c r="HI72" s="180"/>
      <c r="HY72" s="212" t="str">
        <f>IF('Supp. Result Entry'!U71="","",'Supp. Result Entry'!$U$6)</f>
        <v/>
      </c>
      <c r="HZ72" s="213" t="str">
        <f>IF('Supp. Result Entry'!X71="","",'Supp. Result Entry'!$X$6)</f>
        <v/>
      </c>
      <c r="IA72" s="213" t="str">
        <f>IF('Supp. Result Entry'!AA71="","",'Supp. Result Entry'!$AA$6)</f>
        <v/>
      </c>
      <c r="IB72" s="213" t="str">
        <f>IF('Supp. Result Entry'!AD71="","",'Supp. Result Entry'!$AD$6)</f>
        <v/>
      </c>
      <c r="IC72" s="213" t="str">
        <f>IF('Supp. Result Entry'!AG71="","",'Supp. Result Entry'!$AG$6)</f>
        <v/>
      </c>
      <c r="ID72" s="213" t="str">
        <f>IF('Supp. Result Entry'!AJ71="","",'Supp. Result Entry'!$AJ$6)</f>
        <v/>
      </c>
      <c r="IE72" s="213" t="str">
        <f>IF('Supp. Result Entry'!V71="","",'Supp. Result Entry'!V71)</f>
        <v/>
      </c>
      <c r="IF72" s="213" t="str">
        <f>IF('Supp. Result Entry'!Y71="","",'Supp. Result Entry'!Y71)</f>
        <v/>
      </c>
      <c r="IG72" s="213" t="str">
        <f>IF('Supp. Result Entry'!AB71="","",'Supp. Result Entry'!AB71)</f>
        <v/>
      </c>
      <c r="IH72" s="213" t="str">
        <f>IF('Supp. Result Entry'!AE71="","",'Supp. Result Entry'!AE71)</f>
        <v/>
      </c>
      <c r="II72" s="213" t="str">
        <f>IF('Supp. Result Entry'!AH71="","",'Supp. Result Entry'!AH71)</f>
        <v/>
      </c>
      <c r="IJ72" s="213" t="str">
        <f>IF('Supp. Result Entry'!AK71="","",'Supp. Result Entry'!AK71)</f>
        <v/>
      </c>
      <c r="IK72" s="213" t="str">
        <f>IF('Supp. Result Entry'!W71="","",'Supp. Result Entry'!W71)</f>
        <v/>
      </c>
      <c r="IL72" s="213" t="str">
        <f>IF('Supp. Result Entry'!Z71="","",'Supp. Result Entry'!Z71)</f>
        <v/>
      </c>
      <c r="IM72" s="213" t="str">
        <f>IF('Supp. Result Entry'!AC71="","",'Supp. Result Entry'!AC71)</f>
        <v/>
      </c>
      <c r="IN72" s="213" t="str">
        <f>IF('Supp. Result Entry'!AF71="","",'Supp. Result Entry'!AF71)</f>
        <v/>
      </c>
      <c r="IO72" s="213" t="str">
        <f>IF('Supp. Result Entry'!AI71="","",'Supp. Result Entry'!AI71)</f>
        <v/>
      </c>
      <c r="IP72" s="213" t="str">
        <f>IF('Supp. Result Entry'!AL71="","",'Supp. Result Entry'!AL71)</f>
        <v/>
      </c>
      <c r="IQ72" s="213">
        <f>COUNTIF('Supp. Result Entry'!K71:Q71,"S")</f>
        <v>0</v>
      </c>
      <c r="IR72" s="213">
        <f t="shared" si="170"/>
        <v>0</v>
      </c>
      <c r="IS72" s="213">
        <f t="shared" si="171"/>
        <v>0</v>
      </c>
      <c r="IT72" s="213" t="str">
        <f t="shared" ref="IT72:IT135" si="224">IF(OR(IQ72=0,IQ72&lt;IS72),"",IF(OR(FJ72="RE",FJ72="REP"),SUM(Q72,IE72),IF(FJ72="S",IE72,Q72)))</f>
        <v/>
      </c>
      <c r="IU72" s="213" t="str">
        <f t="shared" ref="IU72:IU135" si="225">IF(OR(IQ72=0,IQ72&lt;IS72),"",IF(OR(FM72="RE",FM72="REP"),SUM(AE72,IF72),IF(FM72="S",IF72,AE72)))</f>
        <v/>
      </c>
      <c r="IV72" s="213" t="str">
        <f t="shared" ref="IV72:IV135" si="226">IF(OR(IQ72=0,IQ72&lt;IS72),"",IF(OR(FP72="RE",FP72="REP"),SUM(AZ72,IG72),IF(FP72="S",IG72,AZ72)))</f>
        <v/>
      </c>
      <c r="IW72" s="213" t="str">
        <f t="shared" ref="IW72:IW135" si="227">IF(OR(IQ72=0,IQ72&lt;IS72),"",IF(OR(FW72="RE",FW72="REP"),SUM(BW72,IH72),IF(FW72="S",IH72,BW72)))</f>
        <v/>
      </c>
      <c r="IX72" s="213" t="str">
        <f t="shared" ref="IX72:IX135" si="228">IF(OR(IQ72=0,IQ72&lt;IS72),"",IF(OR(GD72="RE",GD72="REP"),SUM(CT72,II72),IF(GD72="S",II72,CT72)))</f>
        <v/>
      </c>
      <c r="IY72" s="213" t="str">
        <f t="shared" si="172"/>
        <v/>
      </c>
      <c r="IZ72" s="213" t="str">
        <f t="shared" si="173"/>
        <v/>
      </c>
      <c r="JA72" s="213" t="str">
        <f t="shared" ref="JA72:JA135" si="229">IF(OR(IQ72=0,IQ72&lt;IS72),"",SUM(($Q$6+$AE$6+$AZ$6+$BW$6+$CT$6)))</f>
        <v/>
      </c>
      <c r="JB72" s="211" t="str">
        <f t="shared" si="174"/>
        <v/>
      </c>
    </row>
    <row r="73" spans="1:262" s="211" customFormat="1" ht="21" customHeight="1">
      <c r="A73" s="184">
        <v>66</v>
      </c>
      <c r="B73" s="185" t="str">
        <f>IF('Marks Entry'!B73="","",'Marks Entry'!B73)</f>
        <v/>
      </c>
      <c r="C73" s="186" t="str">
        <f>IF('Marks Entry'!D73="","",'Marks Entry'!D73)</f>
        <v/>
      </c>
      <c r="D73" s="187" t="str">
        <f>IF('Marks Entry'!E73="","",'Marks Entry'!E73)</f>
        <v/>
      </c>
      <c r="E73" s="188" t="str">
        <f>IF('Marks Entry'!F73="","",'Marks Entry'!F73)</f>
        <v/>
      </c>
      <c r="F73" s="188" t="str">
        <f>IF('Marks Entry'!G73="","",'Marks Entry'!G73)</f>
        <v/>
      </c>
      <c r="G73" s="188" t="str">
        <f>IF('Marks Entry'!H73="","",'Marks Entry'!H73)</f>
        <v/>
      </c>
      <c r="H73" s="189" t="str">
        <f>IF('Marks Entry'!I73="","",'Marks Entry'!I73)</f>
        <v/>
      </c>
      <c r="I73" s="190" t="str">
        <f>IF('Marks Entry'!J73="","",'Marks Entry'!J73)</f>
        <v/>
      </c>
      <c r="J73" s="545" t="str">
        <f>IF('Marks Entry'!K73="","",'Marks Entry'!K73)</f>
        <v/>
      </c>
      <c r="K73" s="545" t="str">
        <f>IF('Marks Entry'!L73="","",'Marks Entry'!L73)</f>
        <v/>
      </c>
      <c r="L73" s="545" t="str">
        <f>IF('Marks Entry'!M73="","",'Marks Entry'!M73)</f>
        <v/>
      </c>
      <c r="M73" s="546" t="str">
        <f t="shared" ref="M73:M136" si="230">IF(AND(J73="",K73="",L73=""),"",IF(AND(J73="AB",K73="AB",L73="AB"),"AB",IF(AND(J73="ML",K73="ML",L73="ML"),"ML",SUM(J73:L73))))</f>
        <v/>
      </c>
      <c r="N73" s="545" t="str">
        <f>IF('Marks Entry'!N73="","",'Marks Entry'!N73)</f>
        <v/>
      </c>
      <c r="O73" s="546" t="str">
        <f t="shared" ref="O73:O136" si="231">IF(AND(N73="",M73=""),"",IF(AND(N73="AB",M73="AB"),"AB",IF(AND(N73="ML",M73="ML"),"ML",SUM(M73,N73))))</f>
        <v/>
      </c>
      <c r="P73" s="545" t="str">
        <f>IF('Marks Entry'!O73="","",'Marks Entry'!O73)</f>
        <v/>
      </c>
      <c r="Q73" s="547" t="str">
        <f t="shared" ref="Q73:Q136" si="232">IF(AND(O73="",P73=""),"",IF(AND(O73="AB",P73="AB"),"AB",IF(AND(O73="ML",P73="ML"),"ML",SUM(O73,P73))))</f>
        <v/>
      </c>
      <c r="R73" s="153">
        <f t="shared" ref="R73:R136" si="233">COUNTIF(J73:L73,"NA")*10</f>
        <v>0</v>
      </c>
      <c r="S73" s="153">
        <f t="shared" ref="S73:S136" si="234">(COUNTIF(J73:L73,"ML")*10)+(COUNTIF(N73,"ML")*70)+(COUNTIF(P73,"ML")*100)</f>
        <v>0</v>
      </c>
      <c r="T73" s="154" t="str">
        <f t="shared" ref="T73:T136" si="235">IF(OR($B73="NSO",$B73=0),"",IF(AND(J73="",K73="",L73="",N73="",P73=""),"",IF(AND(K73="",J73="",O73="",N73=""),20-R73-S73,IF(AND(K73="",L73="",N73=""),20-R73-S73,IF(AND(N73="",P73=""),40-R73-S73,IF(P73="",100-R73-S73,200-R73-S73))))))</f>
        <v/>
      </c>
      <c r="U73" s="153" t="str">
        <f t="shared" ref="U73:U136" si="236">IF(OR($B73="",$C73="",$E73=""),"",IF(AND(OR(J73="ab",J73="ml",J73=""),OR(K73="ab",K73="ml",K73=""),OR(N73="ab",N73="ml",N73="")),"AB",IF(AND(OR(N73="ab",N73="ml",N73=""),OR(P73="ab",P73="ml",P73=""),OR(L73="ab",L73="ml")),"AB",IF(AND(OR(P73="ab",P73="ml",P73=""),OR(J73="ab",J73="ml",J73=""),OR(K73="ab",K73="ml",K73="")),"AB",""))))</f>
        <v/>
      </c>
      <c r="V73" s="153" t="str">
        <f t="shared" ref="V73:V136" si="237">IF(OR($B73="NSO",$B73="",Q73=""),"",IF(OR(U73="AB",P73="ab"),"AB",IF(P73="ML","RE",IF(AND(Q73&gt;=36%*T73,P73&gt;=20%*$P$6),"P",IF(AND(Q73&gt;=34%*T73,S73=0,P73&gt;=20%*$P$6),"G2",IF(AND(Q73&gt;=31%*T73,S73=0,P73&gt;=20%*$P$6),"G1",IF(Q73&gt;=25%*T73,"S","F")))))))</f>
        <v/>
      </c>
      <c r="W73" s="153" t="str">
        <f t="shared" ref="W73:W136" si="238">IF(OR(V73="",V73=0,V73="S",V73="RE",V73="F",V73="AB"),V73,IF(Q73&gt;=75%*T73,"D",IF(Q73&gt;=60%*T73,"I",IF(Q73&gt;=48%*T73,"II",IF(Q73&gt;=36%*T73,"III",V73)))))</f>
        <v/>
      </c>
      <c r="X73" s="545" t="str">
        <f>IF('Marks Entry'!P73="","",'Marks Entry'!P73)</f>
        <v/>
      </c>
      <c r="Y73" s="545" t="str">
        <f>IF('Marks Entry'!Q73="","",'Marks Entry'!Q73)</f>
        <v/>
      </c>
      <c r="Z73" s="545" t="str">
        <f>IF('Marks Entry'!R73="","",'Marks Entry'!R73)</f>
        <v/>
      </c>
      <c r="AA73" s="546" t="str">
        <f t="shared" ref="AA73:AA136" si="239">IF(AND(X73="",Y73="",Z73=""),"",IF(AND(X73="AB",Y73="AB",Z73="AB"),"AB",IF(AND(X73="ML",Y73="ML",Z73="ML"),"ML",SUM(X73:Z73))))</f>
        <v/>
      </c>
      <c r="AB73" s="545" t="str">
        <f>IF('Marks Entry'!S73="","",'Marks Entry'!S73)</f>
        <v/>
      </c>
      <c r="AC73" s="546" t="str">
        <f t="shared" ref="AC73:AC136" si="240">IF(AND(AB73="",AA73=""),"",IF(AND(AB73="AB",AA73="AB"),"AB",IF(AND(AB73="ML",AA73="ML"),"ML",SUM(AA73,AB73))))</f>
        <v/>
      </c>
      <c r="AD73" s="545" t="str">
        <f>IF('Marks Entry'!T73="","",'Marks Entry'!T73)</f>
        <v/>
      </c>
      <c r="AE73" s="547" t="str">
        <f t="shared" ref="AE73:AE136" si="241">IF(AND(AC73="",AD73=""),"",IF(AND(AC73="AB",AD73="AB"),"AB",IF(AND(AC73="ML",AD73="ML"),"ML",SUM(AC73,AD73))))</f>
        <v/>
      </c>
      <c r="AF73" s="153">
        <f t="shared" ref="AF73:AF136" si="242">COUNTIF(X73:Z73,"NA")*10</f>
        <v>0</v>
      </c>
      <c r="AG73" s="153">
        <f t="shared" ref="AG73:AG136" si="243">(COUNTIF(X73:Z73,"ML")*10)+(COUNTIF(AB73,"ML")*70)+(COUNTIF(AD73,"ML")*100)</f>
        <v>0</v>
      </c>
      <c r="AH73" s="154" t="str">
        <f t="shared" ref="AH73:AH136" si="244">IF(OR($B73="NSO",$B73=0),"",IF(AND(X73="",Y73="",Z73="",AB73="",AD73=""),"",IF(AND(Y73="",X73="",AC73="",AB73=""),20-AF73-AG73,IF(AND(Y73="",Z73="",AB73=""),20-AF73-AG73,IF(AND(AB73="",AD73=""),40-AF73-AG73,IF(AD73="",100-AF73-AG73,200-AF73-AG73))))))</f>
        <v/>
      </c>
      <c r="AI73" s="153" t="str">
        <f t="shared" ref="AI73:AI136" si="245">IF(OR($B73="",$C73="",$E73=""),"",IF(AND(OR(X73="ab",X73="ml",X73=""),OR(Y73="ab",Y73="ml",Y73=""),OR(AB73="ab",AB73="ml",AB73="")),"AB",IF(AND(OR(AB73="ab",AB73="ml",AB73=""),OR(AD73="ab",AD73="ml",AD73=""),OR(Z73="ab",Z73="ml")),"AB",IF(AND(OR(AD73="ab",AD73="ml",AD73=""),OR(X73="ab",X73="ml",X73=""),OR(Y73="ab",Y73="ml",Y73="")),"AB",""))))</f>
        <v/>
      </c>
      <c r="AJ73" s="153" t="str">
        <f t="shared" ref="AJ73:AJ136" si="246">IF(OR($B73="NSO",$B73="",AE73=""),"",IF(OR(AI73="AB",AD73="ab"),"AB",IF(AD73="ML","RE",IF(AND(AE73&gt;=36%*AH73,AD73&gt;=20%*$P$6),"P",IF(AND(AE73&gt;=34%*AH73,AG73=0,AD73&gt;=20%*$P$6),"G2",IF(AND(AE73&gt;=31%*AH73,AG73=0,AD73&gt;=20%*$P$6),"G1",IF(AE73&gt;=25%*AH73,"S","F")))))))</f>
        <v/>
      </c>
      <c r="AK73" s="153" t="str">
        <f t="shared" ref="AK73:AK136" si="247">IF(OR(AJ73="",AJ73=0,AJ73="S",AJ73="RE",AJ73="F",AJ73="AB"),AJ73,IF(AE73&gt;=75%*AH73,"D",IF(AE73&gt;=60%*AH73,"I",IF(AE73&gt;=48%*AH73,"II",IF(AE73&gt;=36%*AH73,"III",AJ73)))))</f>
        <v/>
      </c>
      <c r="AL73" s="573" t="str">
        <f>IF('Marks Entry'!U73="","",'Marks Entry'!U73)</f>
        <v/>
      </c>
      <c r="AM73" s="573" t="str">
        <f>IF('Marks Entry'!V73="","",'Marks Entry'!V73)</f>
        <v/>
      </c>
      <c r="AN73" s="573" t="str">
        <f>IF('Marks Entry'!W73="","",'Marks Entry'!W73)</f>
        <v/>
      </c>
      <c r="AO73" s="573" t="str">
        <f>IF('Marks Entry'!X73="","",'Marks Entry'!X73)</f>
        <v/>
      </c>
      <c r="AP73" s="572" t="str">
        <f t="shared" ref="AP73:AP136" si="248">IF(AND(AM73="",AN73="",AO73=""),"",IF(AND(AM73="AB",AN73="AB",AO73="AB"),"AB",IF(AND(AM73="ML",AN73="ML",AO73="ML"),"ML",SUM(AM73:AO73))))</f>
        <v/>
      </c>
      <c r="AQ73" s="573" t="str">
        <f>IF('Marks Entry'!Y73="","",'Marks Entry'!Y73)</f>
        <v/>
      </c>
      <c r="AR73" s="573" t="str">
        <f>IF('Marks Entry'!Z73="","",'Marks Entry'!Z73)</f>
        <v/>
      </c>
      <c r="AS73" s="572" t="str">
        <f t="shared" ref="AS73:AS136" si="249">IF(AND(AQ73="",AR73=""),"",IF(AND(AQ73="AB",AR73="AB"),"AB",IF(AND(AQ73="ML",AR73="ML"),"ML",SUM(AQ73:AR73))))</f>
        <v/>
      </c>
      <c r="AT73" s="572" t="str">
        <f t="shared" ref="AT73:AT136" si="250">IF(AND(AS73="",AP73=""),"",IF(AND(AS73="AB",AP73="AB"),"AB",IF(AND(AS73="ML",AP73="ML"),"ML",SUM(AP73,AS73))))</f>
        <v/>
      </c>
      <c r="AU73" s="573" t="str">
        <f>IF('Marks Entry'!AA73="","",'Marks Entry'!AA73)</f>
        <v/>
      </c>
      <c r="AV73" s="573" t="str">
        <f>IF('Marks Entry'!AB73="","",'Marks Entry'!AB73)</f>
        <v/>
      </c>
      <c r="AW73" s="572" t="str">
        <f t="shared" ref="AW73:AW136" si="251">IF(AND(AU73="",AV73=""),"",IF(AND(AU73="AB",AV73="AB"),"AB",IF(AND(AU73="ML",AV73="ML"),"ML",SUM(AU73:AV73))))</f>
        <v/>
      </c>
      <c r="AX73" s="157" t="str">
        <f t="shared" ref="AX73:AX136" si="252">IF(AND(AP73="",AQ73="",AU73=""),"",SUM(AP73,AQ73,AU73))</f>
        <v/>
      </c>
      <c r="AY73" s="157" t="str">
        <f t="shared" ref="AY73:AY136" si="253">IF(AND(AR73="",AV73=""),"",SUM(AR73,AV73))</f>
        <v/>
      </c>
      <c r="AZ73" s="192" t="str">
        <f t="shared" ref="AZ73:AZ136" si="254">IF(AND(AT73="",AW73=""),"",SUM(AT73,AW73))</f>
        <v/>
      </c>
      <c r="BA73" s="153">
        <f t="shared" ref="BA73:BA136" si="255">COUNTIF(AM73:AO73,"NA")*10</f>
        <v>0</v>
      </c>
      <c r="BB73" s="154">
        <f t="shared" ref="BB73:BB136" si="256">IF(AND(AQ73="",AU73=""),(COUNTIF(AM73:AO73,"ML")*10+(COUNTIF(AQ73,"ML"))*AQ$6+(COUNTIF(AU73,"ML"))*AU$6),(COUNTIF(AM73:AO73,"ML")*10+(COUNTIF(AQ73,"ML"))*AQ$6+(COUNTIF(AU73,"ML"))*AU$6))</f>
        <v>0</v>
      </c>
      <c r="BC73" s="154" t="str">
        <f t="shared" ref="BC73:BC136" si="257">IF(OR($B73="NSO",$B73=0,AX73=""),"",IF(AND(AR73="",AV73=""),SUM($AU$7),SUM($AU$6)))</f>
        <v/>
      </c>
      <c r="BD73" s="154" t="str">
        <f t="shared" ref="BD73:BD136" si="258">IF(OR($B73="NSO",$B73=0,AY73=""),"",IF(AND(AR73="",AV73=""),"",AY$6-(COUNTIF(AR73,"ML")*AR$6)-(COUNTIF(AV73,"ML")*AV$6)))</f>
        <v/>
      </c>
      <c r="BE73" s="154" t="str">
        <f t="shared" ref="BE73:BE136" si="259">IF(OR($B73="NSO",$B73=0),"",IF(AND(AP73="",AQ73="",AU73=""),"",IF(AND(AR73="",AV73=""),SUM(($AX$7)-(BA73+BB73)),SUM(($AX$6)-(BA73+BB73)))))</f>
        <v/>
      </c>
      <c r="BF73" s="153" t="str">
        <f t="shared" ref="BF73:BF136" si="260">IF(AND(OR(AM73="ab",AM73="ml"),OR(AQ73="ab",AQ73="ml"),OR(AN73="ab",AN73="ml")),"AB",IF(AND(OR(AM73="ab",AM73="ml"),OR(AQ73="ab",AQ73="ml"),OR(AU73="ab",AU73="ml")),"AB",IF(AND(OR(AQ73="ab",AQ73="ml"),OR(AO73="ab",AO73="ml"),OR(AN73="ab",AN73="ml")),"AB",IF(AND(OR(AQ73="ab",AQ73="ml"),OR(AU73="ab",AU73="ml"),OR(AN73="ab",AN73="ml")),"AB",IF(AND(OR(AQ73="ab",AQ73="ml"),OR(AU73="ab",AU73="ml")),"AB","")))))</f>
        <v/>
      </c>
      <c r="BG73" s="154" t="str">
        <f t="shared" ref="BG73:BG136" si="261">IF(OR($B73="NSO",$B73=0,AU73="",AW73="",AZ73=""),"",IF(OR(AU73="AB",AV73="AB",BF73="AB"),"AB",IF(OR(AU73="ML",AW73="ML"),"RE",IF(AV73="MLP","REP",IF(AV73&lt;33%*$AV$6,"FP",IF(AR73&lt;33%*$AR$6,"FP",IF(AND(AX73&gt;=36%*BE73,SUM(AU73)&gt;=20%*BC73,AY73&gt;=SUM(BD73)*36%),"P",IF(AND(AX73&gt;=34%*BE73,BB73=0,SUM(AU73)&gt;=20%*BC73,AY73&gt;=SUM(BD73)*36%),"G2",IF(AND(AX73&gt;=31%*BE73,BB73=0,SUM(AU73)&gt;=20%*BC73,AY73&gt;=SUM(BD73)*36%),"G1",IF(AND(AX73&gt;=25%*BE73,SUM(AU73)&gt;=20%*BC73),"S","F"))))))))))</f>
        <v/>
      </c>
      <c r="BH73" s="153" t="str">
        <f t="shared" ref="BH73:BH136" si="262">IF(OR(BG73="REP",BG73="RE",BG73=0,BG73="",BG73="F",BG73="AB"),BG73,IF(AND(AZ73&gt;=75%*($AZ$6-BA73-BB73),BG73="P"),"D",IF(AND(AZ73&gt;=60%*($AZ$6-BA73-BB73),BG73="P"),"I",IF(AND(AZ73&gt;=48%*($AZ$6-BA73-BB73),BG73="P"),"II",IF(AND(AZ73&gt;=36%*($AZ$6-BA73-BB73),BG73="P"),"III",BG73)))))</f>
        <v/>
      </c>
      <c r="BI73" s="580" t="str">
        <f>IF('Marks Entry'!AC73="","",'Marks Entry'!AC73)</f>
        <v/>
      </c>
      <c r="BJ73" s="580" t="str">
        <f>IF('Marks Entry'!AD73="","",'Marks Entry'!AD73)</f>
        <v/>
      </c>
      <c r="BK73" s="580" t="str">
        <f>IF('Marks Entry'!AE73="","",'Marks Entry'!AE73)</f>
        <v/>
      </c>
      <c r="BL73" s="580" t="str">
        <f>IF('Marks Entry'!AF73="","",'Marks Entry'!AF73)</f>
        <v/>
      </c>
      <c r="BM73" s="581" t="str">
        <f t="shared" ref="BM73:BM136" si="263">IF(AND(BJ73="",BK73="",BL73=""),"",IF(AND(BJ73="AB",BK73="AB",BL73="AB"),"AB",IF(AND(BJ73="ML",BK73="ML",BL73="ML"),"ML",SUM(BJ73:BL73))))</f>
        <v/>
      </c>
      <c r="BN73" s="580" t="str">
        <f>IF('Marks Entry'!AG73="","",'Marks Entry'!AG73)</f>
        <v/>
      </c>
      <c r="BO73" s="580" t="str">
        <f>IF('Marks Entry'!AH73="","",'Marks Entry'!AH73)</f>
        <v/>
      </c>
      <c r="BP73" s="581" t="str">
        <f t="shared" ref="BP73:BP136" si="264">IF(AND(BN73="",BO73=""),"",IF(AND(BN73="AB",BO73="AB"),"AB",IF(AND(BN73="ML",BO73="ML"),"ML",SUM(BN73:BO73))))</f>
        <v/>
      </c>
      <c r="BQ73" s="581" t="str">
        <f t="shared" ref="BQ73:BQ136" si="265">IF(AND(BP73="",BM73=""),"",IF(AND(BP73="AB",BM73="AB"),"AB",IF(AND(BP73="ML",BM73="ML"),"ML",SUM(BM73,BP73))))</f>
        <v/>
      </c>
      <c r="BR73" s="580" t="str">
        <f>IF('Marks Entry'!AI73="","",'Marks Entry'!AI73)</f>
        <v/>
      </c>
      <c r="BS73" s="580" t="str">
        <f>IF('Marks Entry'!AJ73="","",'Marks Entry'!AJ73)</f>
        <v/>
      </c>
      <c r="BT73" s="581" t="str">
        <f t="shared" ref="BT73:BT136" si="266">IF(AND(BR73="",BS73=""),"",IF(AND(BR73="AB",BS73="AB"),"AB",IF(AND(BR73="ML",BS73="ML"),"ML",SUM(BR73:BS73))))</f>
        <v/>
      </c>
      <c r="BU73" s="157" t="str">
        <f t="shared" ref="BU73:BU136" si="267">IF(AND(BM73="",BN73="",BR73=""),"",SUM(BM73,BN73,BR73))</f>
        <v/>
      </c>
      <c r="BV73" s="157" t="str">
        <f t="shared" ref="BV73:BV136" si="268">IF(AND(BO73="",BS73=""),"",SUM(BO73,BS73))</f>
        <v/>
      </c>
      <c r="BW73" s="192" t="str">
        <f t="shared" ref="BW73:BW136" si="269">IF(AND(BQ73="",BT73=""),"",SUM(BQ73,BT73))</f>
        <v/>
      </c>
      <c r="BX73" s="153">
        <f t="shared" ref="BX73:BX136" si="270">COUNTIF(BJ73:BL73,"NA")*10</f>
        <v>0</v>
      </c>
      <c r="BY73" s="154">
        <f t="shared" ref="BY73:BY136" si="271">IF(AND(BN73="",BR73=""),(COUNTIF(BJ73:BL73,"ML")*10+(COUNTIF(BN73,"ML"))*BN$6+(COUNTIF(BR73,"ML"))*BR$6),(COUNTIF(BJ73:BL73,"ML")*10+(COUNTIF(BN73,"ML"))*BN$6+(COUNTIF(BR73,"ML"))*BR$6))</f>
        <v>0</v>
      </c>
      <c r="BZ73" s="154" t="str">
        <f t="shared" ref="BZ73:BZ136" si="272">IF(OR($B73="NSO",$B73=0,BU73=""),"",IF(AND(BO73="",BS73=""),SUM($BR$7),SUM($BR$6)))</f>
        <v/>
      </c>
      <c r="CA73" s="154" t="str">
        <f t="shared" ref="CA73:CA136" si="273">IF(OR($B73="NSO",$B73=0,BV73=""),"",IF(AND(BO73="",BS73=""),"",BV$6-(COUNTIF(BO73,"ML")*BO$6)-(COUNTIF(BS73,"ML")*BS$6)))</f>
        <v/>
      </c>
      <c r="CB73" s="154" t="str">
        <f t="shared" ref="CB73:CB136" si="274">IF(OR($B73="NSO",$B73=0),"",IF(AND(BM73="",BN73="",BR73=""),"",IF(AND(BO73="",BS73=""),SUM(($BU$7)-(BX73+BY73)),SUM(($BU$6)-(BX73+BY73)))))</f>
        <v/>
      </c>
      <c r="CC73" s="153" t="str">
        <f t="shared" ref="CC73:CC136" si="275">IF(AND(OR(BJ73="ab",BJ73="ml"),OR(BN73="ab",BN73="ml"),OR(BK73="ab",BK73="ml")),"AB",IF(AND(OR(BJ73="ab",BJ73="ml"),OR(BN73="ab",BN73="ml"),OR(BR73="ab",BR73="ml")),"AB",IF(AND(OR(BN73="ab",BN73="ml"),OR(BL73="ab",BL73="ml"),OR(BK73="ab",BK73="ml")),"AB",IF(AND(OR(BN73="ab",BN73="ml"),OR(BR73="ab",BR73="ml"),OR(BK73="ab",BK73="ml")),"AB",IF(AND(OR(BN73="ab",BN73="ml"),OR(BR73="ab",BR73="ml")),"AB","")))))</f>
        <v/>
      </c>
      <c r="CD73" s="154" t="str">
        <f t="shared" ref="CD73:CD136" si="276">IF(OR($B73="NSO",$B73=0,BR73="",BT73="",BW73=""),"",IF(OR(BR73="AB",BS73="AB",CC73="AB"),"AB",IF(OR(BR73="ML",BT73="ML"),"RE",IF(BS73="MLP","REP",IF(BS73&lt;33%*$AV$6,"FP",IF(BO73&lt;33%*$AR$6,"FP",IF(AND(BU73&gt;=36%*CB73,SUM(BR73)&gt;=20%*BZ73,BV73&gt;=SUM(CA73)*36%),"P",IF(AND(BU73&gt;=34%*CB73,BY73=0,SUM(BR73)&gt;=20%*BZ73,BV73&gt;=SUM(CA73)*36%),"G2",IF(AND(BU73&gt;=31%*CB73,BY73=0,SUM(BR73)&gt;=20%*BZ73,BV73&gt;=SUM(CA73)*36%),"G1",IF(AND(BU73&gt;=25%*CB73,SUM(BR73)&gt;=20%*BZ73),"S","F"))))))))))</f>
        <v/>
      </c>
      <c r="CE73" s="153" t="str">
        <f t="shared" ref="CE73:CE136" si="277">IF(OR(CD73="REP",CD73="RE",CD73=0,CD73="",CD73="F",CD73="AB"),CD73,IF(AND(BW73&gt;=75%*($BW$6-BX73-BY73),CD73="P"),"D",IF(AND(BW73&gt;=60%*($BW$6-BX73-BY73),CD73="P"),"I",IF(AND(BW73&gt;=48%*($BW$6-BX73-BY73),CD73="P"),"II",IF(AND(BW73&gt;=36%*($BW$6-BX73-BY73),CD73="P"),"III",CD73)))))</f>
        <v/>
      </c>
      <c r="CF73" s="580" t="str">
        <f>IF('Marks Entry'!AK73="","",'Marks Entry'!AK73)</f>
        <v/>
      </c>
      <c r="CG73" s="580" t="str">
        <f>IF('Marks Entry'!AL73="","",'Marks Entry'!AL73)</f>
        <v/>
      </c>
      <c r="CH73" s="580" t="str">
        <f>IF('Marks Entry'!AM73="","",'Marks Entry'!AM73)</f>
        <v/>
      </c>
      <c r="CI73" s="580" t="str">
        <f>IF('Marks Entry'!AN73="","",'Marks Entry'!AN73)</f>
        <v/>
      </c>
      <c r="CJ73" s="581" t="str">
        <f t="shared" ref="CJ73:CJ136" si="278">IF(AND(CG73="",CH73="",CI73=""),"",IF(AND(CG73="AB",CH73="AB",CI73="AB"),"AB",IF(AND(CG73="ML",CH73="ML",CI73="ML"),"ML",SUM(CG73:CI73))))</f>
        <v/>
      </c>
      <c r="CK73" s="580" t="str">
        <f>IF('Marks Entry'!AO73="","",'Marks Entry'!AO73)</f>
        <v/>
      </c>
      <c r="CL73" s="580" t="str">
        <f>IF('Marks Entry'!AP73="","",'Marks Entry'!AP73)</f>
        <v/>
      </c>
      <c r="CM73" s="581" t="str">
        <f t="shared" ref="CM73:CM136" si="279">IF(AND(CK73="",CL73=""),"",IF(AND(CK73="AB",CL73="AB"),"AB",IF(AND(CK73="ML",CL73="ML"),"ML",SUM(CK73:CL73))))</f>
        <v/>
      </c>
      <c r="CN73" s="581" t="str">
        <f t="shared" ref="CN73:CN136" si="280">IF(AND(CM73="",CJ73=""),"",IF(AND(CM73="AB",CJ73="AB"),"AB",IF(AND(CM73="ML",CJ73="ML"),"ML",SUM(CJ73,CM73))))</f>
        <v/>
      </c>
      <c r="CO73" s="580" t="str">
        <f>IF('Marks Entry'!AQ73="","",'Marks Entry'!AQ73)</f>
        <v/>
      </c>
      <c r="CP73" s="580" t="str">
        <f>IF('Marks Entry'!AR73="","",'Marks Entry'!AR73)</f>
        <v/>
      </c>
      <c r="CQ73" s="581" t="str">
        <f t="shared" ref="CQ73:CQ136" si="281">IF(AND(CO73="",CP73=""),"",IF(AND(CO73="AB",CP73="AB"),"AB",IF(AND(CO73="ML",CP73="ML"),"ML",SUM(CO73:CP73))))</f>
        <v/>
      </c>
      <c r="CR73" s="157" t="str">
        <f t="shared" ref="CR73:CR136" si="282">IF(AND(CJ73="",CK73="",CO73=""),"",SUM(CJ73,CK73,CO73))</f>
        <v/>
      </c>
      <c r="CS73" s="157" t="str">
        <f t="shared" ref="CS73:CS136" si="283">IF(AND(CL73="",CP73=""),"",SUM(CL73,CP73))</f>
        <v/>
      </c>
      <c r="CT73" s="192" t="str">
        <f t="shared" ref="CT73:CT136" si="284">IF(AND(CN73="",CQ73=""),"",SUM(CN73,CQ73))</f>
        <v/>
      </c>
      <c r="CU73" s="153">
        <f t="shared" ref="CU73:CU136" si="285">COUNTIF(CG73:CI73,"NA")*10</f>
        <v>0</v>
      </c>
      <c r="CV73" s="154">
        <f t="shared" ref="CV73:CV136" si="286">IF(AND(CK73="",CO73=""),(COUNTIF(CG73:CI73,"ML")*10+(COUNTIF(CK73,"ML"))*CK$6+(COUNTIF(CO73,"ML"))*CO$6),(COUNTIF(CG73:CI73,"ML")*10+(COUNTIF(CK73,"ML"))*CK$6+(COUNTIF(CO73,"ML"))*CO$6))</f>
        <v>0</v>
      </c>
      <c r="CW73" s="154" t="str">
        <f t="shared" ref="CW73:CW136" si="287">IF(OR($B73="NSO",$B73=0,CR73=""),"",IF(AND(CL73="",CP73=""),SUM($CO$7),SUM($CO$6)))</f>
        <v/>
      </c>
      <c r="CX73" s="154" t="str">
        <f t="shared" ref="CX73:CX136" si="288">IF(OR($B73="NSO",$B73=0,CS73=""),"",IF(AND(CL73="",CP73=""),"",CS$6-(COUNTIF(CL73,"ML")*CL$6)-(COUNTIF(CP73,"ML")*CP$6)))</f>
        <v/>
      </c>
      <c r="CY73" s="154" t="str">
        <f t="shared" ref="CY73:CY136" si="289">IF(OR($B73="NSO",$B73=0),"",IF(AND(CJ73="",CK73="",CO73=""),"",IF(AND(CL73="",CP73=""),SUM((CR$7)-(CU73+CV73)),SUM((CR$6)-(CU73+CV73)))))</f>
        <v/>
      </c>
      <c r="CZ73" s="153" t="str">
        <f t="shared" ref="CZ73:CZ136" si="290">IF(AND(OR(CG73="ab",CG73="ml"),OR(CK73="ab",CK73="ml"),OR(CH73="ab",CH73="ml")),"AB",IF(AND(OR(CG73="ab",CG73="ml"),OR(CK73="ab",CK73="ml"),OR(CO73="ab",CO73="ml")),"AB",IF(AND(OR(CK73="ab",CK73="ml"),OR(CI73="ab",CI73="ml"),OR(CH73="ab",CH73="ml")),"AB",IF(AND(OR(CK73="ab",CK73="ml"),OR(CO73="ab",CO73="ml"),OR(CH73="ab",CH73="ml")),"AB",IF(AND(OR(CK73="ab",CK73="ml"),OR(CO73="ab",CO73="ml")),"AB","")))))</f>
        <v/>
      </c>
      <c r="DA73" s="154" t="str">
        <f t="shared" ref="DA73:DA136" si="291">IF(OR($B73="NSO",$B73=0,CO73="",CQ73="",CT73=""),"",IF(OR(CO73="AB",CP73="AB",CZ73="AB"),"AB",IF(OR(CO73="ML",CQ73="ML"),"RE",IF(CP73="MLP","REP",IF(CP73&lt;33%*$AV$6,"FP",IF(CL73&lt;33%*$AR$6,"FP",IF(AND(CR73&gt;=36%*CY73,SUM(CO73)&gt;=20%*CW73,CS73&gt;=SUM(CX73)*36%),"P",IF(AND(CR73&gt;=34%*CY73,CV73=0,SUM(CO73)&gt;=20%*CW73,CS73&gt;=SUM(CX73)*36%),"G2",IF(AND(CR73&gt;=31%*CY73,CV73=0,SUM(CO73)&gt;=20%*CW73,CS73&gt;=SUM(CX73)*36%),"G1",IF(AND(CR73&gt;=25%*CY73,SUM(CO73)&gt;=20%*CW73),"S","F"))))))))))</f>
        <v/>
      </c>
      <c r="DB73" s="153" t="str">
        <f t="shared" ref="DB73:DB136" si="292">IF(OR(DA73="REP",DA73="RE",DA73=0,DA73="",DA73="F",DA73="AB"),DA73,IF(AND(CT73&gt;=75%*($CT$6-CU73-CV73),DA73="P"),"D",IF(AND(CT73&gt;=60%*($CT$6-CU73-CV73),DA73="P"),"I",IF(AND(CT73&gt;=48%*($CT$6-CU73-CV73),DA73="P"),"II",IF(AND(CT73&gt;=36%*($CT$6-CU73-CV73),DA73="P"),"III",DA73)))))</f>
        <v/>
      </c>
      <c r="DC73" s="154">
        <f t="shared" ref="DC73:DC136" si="293">SUM(R73,S73,AF73,AG73,BA73,BB73,BX73,BY73,CU73,CV73)</f>
        <v>0</v>
      </c>
      <c r="DD73" s="826" t="str">
        <f>IF('Marks Entry'!AS73="","",IF(OR('Master Sheet'!$D$19="YES",'Marks Entry'!$BA$1=1),'Marks Entry'!AS73,""))</f>
        <v/>
      </c>
      <c r="DE73" s="826" t="str">
        <f>IF('Marks Entry'!AT73="","",IF(OR('Master Sheet'!$D$19="YES",'Marks Entry'!$BA$1=1),'Marks Entry'!AT73,""))</f>
        <v/>
      </c>
      <c r="DF73" s="826" t="str">
        <f>IF('Marks Entry'!AU73="","",IF(OR('Master Sheet'!$D$19="YES",'Marks Entry'!$BA$1=1),'Marks Entry'!AU73,""))</f>
        <v/>
      </c>
      <c r="DG73" s="826" t="str">
        <f>IF('Marks Entry'!AV73="","",IF(OR('Master Sheet'!$D$19="YES",'Marks Entry'!$BA$1=1),'Marks Entry'!AV73,""))</f>
        <v/>
      </c>
      <c r="DH73" s="827" t="str">
        <f t="shared" ref="DH73:DH136" si="294">IF(AND(DE73="",DF73="",DG73=""),"",IF(AND(DE73="AB",DF73="AB",DG73="AB"),"AB",IF(AND(DE73="ML",DF73="ML",DG73="ML"),"ML",SUM(DE73:DG73))))</f>
        <v/>
      </c>
      <c r="DI73" s="826" t="str">
        <f>IF('Marks Entry'!AW73="","",IF(OR('Master Sheet'!$D$19="YES",'Marks Entry'!$BA$1=1),'Marks Entry'!AW73,""))</f>
        <v/>
      </c>
      <c r="DJ73" s="826" t="str">
        <f>IF('Marks Entry'!AX73="","",IF(OR('Master Sheet'!$D$19="YES",'Marks Entry'!$BA$1=1),'Marks Entry'!AX73,""))</f>
        <v/>
      </c>
      <c r="DK73" s="827" t="str">
        <f t="shared" ref="DK73:DK136" si="295">IF(AND(DI73="",DJ73=""),"",IF(AND(DI73="AB",DJ73="AB"),"AB",IF(AND(DI73="ML",DJ73="ML"),"ML",SUM(DI73:DJ73))))</f>
        <v/>
      </c>
      <c r="DL73" s="827" t="str">
        <f t="shared" ref="DL73:DL136" si="296">IF(AND(DK73="",DH73=""),"",IF(AND(DK73="AB",DH73="AB"),"AB",IF(AND(DK73="ML",DH73="ML"),"ML",SUM(DH73,DK73))))</f>
        <v/>
      </c>
      <c r="DM73" s="826" t="str">
        <f>IF('Marks Entry'!AY73="","",IF(OR('Master Sheet'!$D$19="YES",'Marks Entry'!$BA$1=1),'Marks Entry'!AY73,""))</f>
        <v/>
      </c>
      <c r="DN73" s="826" t="str">
        <f>IF('Marks Entry'!AZ73="","",IF(OR('Master Sheet'!$D$19="YES",'Marks Entry'!$BA$1=1),'Marks Entry'!AZ73,""))</f>
        <v/>
      </c>
      <c r="DO73" s="826" t="str">
        <f>IF('Marks Entry'!BA73="","",IF(OR('Master Sheet'!$D$19="YES",'Marks Entry'!$BA$1=1),'Marks Entry'!BA73,""))</f>
        <v/>
      </c>
      <c r="DP73" s="827" t="str">
        <f t="shared" ref="DP73:DP136" si="297">IF(AND(DM73="",DN73="",DO73=""),"",IF(AND(DM73="AB",DN73="AB",DO73="AB"),"AB",IF(AND(DM73="ML",DN73="ML",DO73="ML"),"ML",SUM(DM73:DO73))))</f>
        <v/>
      </c>
      <c r="DQ73" s="157" t="str">
        <f t="shared" ref="DQ73:DQ136" si="298">IF(AND(DH73="",DI73="",DM73="",DN73=""),"",SUM(DH73,DI73,DM73))</f>
        <v/>
      </c>
      <c r="DR73" s="157" t="str">
        <f t="shared" ref="DR73:DR136" si="299">IF(AND(DN73=""),"",SUM(DN73))</f>
        <v/>
      </c>
      <c r="DS73" s="157" t="str">
        <f t="shared" ref="DS73:DS136" si="300">IF(AND(DJ73="",DO73=""),"",SUM(DJ73,DO73))</f>
        <v/>
      </c>
      <c r="DT73" s="192" t="str">
        <f t="shared" ref="DT73:DT136" si="301">IF(AND(DL73="",DP73=""),"",SUM(DL73,DP73))</f>
        <v/>
      </c>
      <c r="DU73" s="153">
        <f t="shared" ref="DU73:DU136" si="302">COUNTIF(DE73:DG73,"NA")*10</f>
        <v>0</v>
      </c>
      <c r="DV73" s="154" t="e">
        <f t="shared" ref="DV73:DV136" si="303">IF(AND(DI73="",DM73=""),(COUNTIF(DE73:DG73,"ML")*10+(COUNTIF(DI73,"ML"))*DI$6+(COUNTIF(DM73,"ML"))*DM$6),(COUNTIF(DE73:DG73,"ML")*10+(COUNTIF(DI73,"ML"))*DI$6+(COUNTIF(DM73,"ML"))*DM$6))</f>
        <v>#VALUE!</v>
      </c>
      <c r="DW73" s="154" t="str">
        <f t="shared" ref="DW73:DW136" si="304">IF(OR($B73="NSO",$B73=0,DM73=""),"",IF(AND(DO73=""),SUM($DM$7,DN$7),SUM($DM$6,DN$6)))</f>
        <v/>
      </c>
      <c r="DX73" s="154" t="str">
        <f>IF(OR($B73="NSO",$B73=0,DS73=""),"",IF(AND(DJ73="",DO73=""),"",IF('Master Sheet'!$D$19="YES",$DO$6-COUNTIF(DO73,"ML")*DO$6,DS$6-(COUNTIF(DJ73,"ML")*DJ$6)-(COUNTIF(DO73,"ML")*DO$6))))</f>
        <v/>
      </c>
      <c r="DY73" s="154" t="str">
        <f>IF(OR($B73="NSO",$B73=0),"",IF(AND(DH73="",DI73="",DM73=""),"",IF(AND('Master Sheet'!$D$19="YES",'Marks Entry'!$BA$1=1),100,IF(AND(DJ73="",DO73=""),SUM(($DQ$7+$DR$7)-(DU73+DV73)),SUM(($DQ$6+$DR$6)-(DU73+DV73))))))</f>
        <v/>
      </c>
      <c r="DZ73" s="153" t="str">
        <f t="shared" ref="DZ73:DZ136" si="305">IF(AND(OR(DE73="ab",DF73="ml"),OR(DI73="ab",DI73="ml")),"AB",IF(AND(OR(DE73="ab",DE73="ml"),OR(DF73="ab",DF73="ml"),OR(DH73="ab",DH73="ml")),"AB",IF(AND(OR(DI73="ab",DI73="ml"),OR(DF73="ab",DF73="ml"),OR(DG73="ab",DG73="ml")),"AB",IF(AND(OR(DKJ73="ab",DI73="ml"),OR(DM73="ab",DM73="ml"),OR(DN73="ab",DN73="ml")),"AB",""))))</f>
        <v/>
      </c>
      <c r="EA73" s="154" t="str">
        <f t="shared" ref="EA73:EA136" si="306">IF(OR($B73="NSO",$B73=0,DM73="",DT73="",DQ73=""),"",IF(OR(DM73="AB",DO73="AB",DZ73="AB"),"AB",IF(OR(DM73="ML",DP73="ML"),"RE",IF(DO73="MLP","REP",IF(DO73&lt;33%*$DO$6,"FP",IF(DJ73&lt;33%*$DJ$6,"FP",IF(AND(DT73&gt;=36%*DY73,SUM(DM73)&gt;=20%*DW73,DS73&gt;=SUM(DX73)*36%),"P",IF(AND(DQ73&gt;=34%*DY73,DV73=0,SUM(DM73)&gt;=20%*DW73,DS73&gt;=SUM(DX73)*36%),"G2",IF(AND(DQ73&gt;=31%*DY73,DV73=0,SUM(DM73)&gt;=20%*DW73,DS73&gt;=SUM(DX73)*36%),"G1",IF(AND(DQ73&gt;=25%*DY73,SUM(DM73)&gt;=20%*DW73),"S","F"))))))))))</f>
        <v/>
      </c>
      <c r="EB73" s="153" t="str">
        <f t="shared" ref="EB73:EB136" si="307">IF(OR(EA73="REP",EA73="RE",EA73=0,EA73="",EA73="F",EA73="AB"),EA73,IF(AND(DT73&gt;=75%*($DT$6-DU73-DV73),EA73="P"),"D",IF(AND(DT73&gt;=60%*($DT$6-DU73-DV73),EA73="P"),"I",IF(AND(DT73&gt;=48%*($DT$6-DU73-DV73),EA73="P"),"II",IF(AND(DT73&gt;=36%*($DT$6-DU73-DV73),EA73="P"),"III",EA73)))))</f>
        <v/>
      </c>
      <c r="EC73" s="584" t="str">
        <f>IF('Marks Entry'!BB73="","",'Marks Entry'!BB73)</f>
        <v/>
      </c>
      <c r="ED73" s="584" t="str">
        <f>IF('Marks Entry'!BC73="","",'Marks Entry'!BC73)</f>
        <v/>
      </c>
      <c r="EE73" s="584" t="str">
        <f>IF('Marks Entry'!BD73="","",'Marks Entry'!BD73)</f>
        <v/>
      </c>
      <c r="EF73" s="590" t="str">
        <f t="shared" ref="EF73:EF136" si="308">IF(AND(EC73="",ED73="",EE73=""),"",SUM(EC73:EE73))</f>
        <v/>
      </c>
      <c r="EG73" s="595">
        <f t="shared" ref="EG73:EG136" si="309">COUNTIF(EC73,"NA")*$EC$6</f>
        <v>0</v>
      </c>
      <c r="EH73" s="595">
        <f t="shared" ref="EH73:EH136" si="310">(COUNTIF(EC73,"ML")*$EC$6)+(COUNTIF(ED73,"ML")*$ED$6)</f>
        <v>0</v>
      </c>
      <c r="EI73" s="193" t="str">
        <f t="shared" ref="EI73:EI136" si="311">IF(OR($B73="NSO",$B73=0),"",IF(AND(EC73="",ED73="",EE73=""),"",IF(AND(EC73="",ED73=""),30-EG73-EH73,IF(AND(ED73="",EE73=""),60-EG73-EH73,100-EG73-EH73))))</f>
        <v/>
      </c>
      <c r="EJ73" s="595" t="str">
        <f t="shared" ref="EJ73:EJ136" si="312">IF(OR(EE73="ab",EE73="ml"),EE73,"")</f>
        <v/>
      </c>
      <c r="EK73" s="595" t="str">
        <f t="shared" ref="EK73:EK136" si="313">IF(OR($B73="NSO",$B73=0,EF73=""),"",IF(OR(EJ73="AB",EE73="ab"),"AB",IF(AND(EX73="FAIL",(OR(EF73="ml",EF73&lt;20%*$EF$6,EF73&lt;36%*EI73))),"F",IF(OR(EE73="ML",EE73&lt;20%*$EE$6,EF73&lt;36%*EI73),"RE",IF(EF73&gt;80%*EI73,"A",IF(EF73&gt;60%*EI73,"B",IF(EF73&gt;40%*EI73,"C","D")))))))</f>
        <v/>
      </c>
      <c r="EL73" s="194" t="str">
        <f t="shared" ref="EL73:EL136" si="314">W73</f>
        <v/>
      </c>
      <c r="EM73" s="194" t="str">
        <f t="shared" ref="EM73:EM136" si="315">AK73</f>
        <v/>
      </c>
      <c r="EN73" s="194" t="str">
        <f t="shared" ref="EN73:EN136" si="316">BH73</f>
        <v/>
      </c>
      <c r="EO73" s="194" t="str">
        <f t="shared" ref="EO73:EO136" si="317">CE73</f>
        <v/>
      </c>
      <c r="EP73" s="194" t="str">
        <f t="shared" ref="EP73:EP136" si="318">DB73</f>
        <v/>
      </c>
      <c r="EQ73" s="194" t="str">
        <f t="shared" ref="EQ73:EQ136" si="319">EB73</f>
        <v/>
      </c>
      <c r="ER73" s="195">
        <f t="shared" ref="ER73:ER136" si="320">COUNTIF(EL73:EP73,"F")+COUNTIF(EL73:EP73,"AB")+COUNTIF(EN73:EP73,"FP")</f>
        <v>0</v>
      </c>
      <c r="ES73" s="195">
        <f t="shared" ref="ES73:ES136" si="321">COUNTIF(EL73:EP73,"S")</f>
        <v>0</v>
      </c>
      <c r="ET73" s="195">
        <f t="shared" ref="ET73:ET136" si="322">COUNTIF(EL73:EP73,"G1")</f>
        <v>0</v>
      </c>
      <c r="EU73" s="195">
        <f t="shared" ref="EU73:EU136" si="323">COUNTIF(EL73:EP73,"G2")</f>
        <v>0</v>
      </c>
      <c r="EV73" s="195">
        <f t="shared" ref="EV73:EV136" si="324">COUNTIF(EL73:EP73,"RE")+COUNTIF(EL73:EP73,"REP")</f>
        <v>0</v>
      </c>
      <c r="EW73" s="195" t="str">
        <f t="shared" ref="EW73:EW136" si="325">IF(OR(EK73="AB",EK73="F"),"D",IF(OR(EK73="RE"),"D",""))</f>
        <v/>
      </c>
      <c r="EX73" s="196" t="str">
        <f t="shared" ref="EX73:EX136" si="326">IF(B73="NSO","NSO",IF(OR(B73="",B73=0,P73="",AD73="",AW73="",BT73=""),"",IF(OR(ER73&gt;0,(ES73+ET73+EU73)&gt;2),"FAIL",IF(EV73&gt;0,"RE-EXAM",IF(OR(ES73&gt;0,ET73&gt;1),"SUPPLEMENTARY",IF(AND(ET73&gt;0,EU73&gt;0),"SUPPLEMENTARY",IF((ET73+EU73)&gt;0,"BY GRACE PASS","PASS")))))))</f>
        <v/>
      </c>
      <c r="EY73" s="197" t="str">
        <f>IF('Marks Entry'!BE73="","",'Marks Entry'!BE73)</f>
        <v/>
      </c>
      <c r="EZ73" s="197" t="str">
        <f>IF('Marks Entry'!BF73="","",'Marks Entry'!BF73)</f>
        <v/>
      </c>
      <c r="FA73" s="197" t="str">
        <f>IF('Marks Entry'!BG73="","",'Marks Entry'!BG73)</f>
        <v/>
      </c>
      <c r="FB73" s="596" t="str">
        <f t="shared" ref="FB73:FB136" si="327">IF(AND(EY73="",EZ73="",FA73=""),"",IF(AND(EY73="AB",EZ73="AB",FA73="AB"),"AB",IF(AND(EY73="ML",EZ73="ML",FA73="ML"),"ML",SUM(EY73:FA73))))</f>
        <v/>
      </c>
      <c r="FC73" s="197" t="str">
        <f>IF('Marks Entry'!BH73="","",'Marks Entry'!BH73)</f>
        <v/>
      </c>
      <c r="FD73" s="197" t="str">
        <f>IF('Marks Entry'!BI73="","",'Marks Entry'!BI73)</f>
        <v/>
      </c>
      <c r="FE73" s="198" t="str">
        <f t="shared" ref="FE73:FE136" si="328">IF(AND(EY73="",EZ73="",FA73="",FC73="",FD73=""),"",SUM(EY73,EZ73,FA73,FC73,FD73))</f>
        <v/>
      </c>
      <c r="FF73" s="199" t="str">
        <f t="shared" ref="FF73:FF136" si="329">IF(OR($B73="NSO",$B73=0,FE73=""),"",IF(OR(FE73="AB",FD73="ab"),"AB",IF(AND(EX73="FAIL",(OR(FE73&lt;36%*$FE$6))),"F",IF(OR(FD73="ML",FD73&lt;20%*$FD$6,FE73&lt;36%*$FE$6),"RE",IF(FE73&gt;80%*$FE$6,"A",IF(FE73&gt;60%*$FE$6,"B",IF(FE73&gt;40%*$FE$6,"C","D")))))))</f>
        <v/>
      </c>
      <c r="FG73" s="200" t="str">
        <f>IF(AND(E73=""),"",IF('Student DATA Entry'!L69="","",'Student DATA Entry'!L69))</f>
        <v/>
      </c>
      <c r="FH73" s="201" t="str">
        <f>IF(AND(E73=""),"",IF('Student DATA Entry'!M69="","",'Student DATA Entry'!M69))</f>
        <v/>
      </c>
      <c r="FI73" s="202" t="str">
        <f t="shared" ref="FI73:FI136" si="330">IF(OR(FG73=0,FH73=0,FG73="",FH73=""),"",FH73/FG73*100)</f>
        <v/>
      </c>
      <c r="FJ73" s="189" t="str">
        <f t="shared" ref="FJ73:FJ136" si="331">IF(AND(EX73="FAIL",(OR(EL73="G1",EL73="G2",EL73="S",EL73="RE"))),"F",IF(AND(EX73="RE-EXAM",(OR(EL73="G1",EL73="G2",EL73="S"))),"S",IF(AND(EX73="SUPPLEMENTARY",(OR(EL73="G1",EL73="G2"))),"S",IF(AND(EX73="BY GRACE PASS",(OR(EL73="G1",EL73="G2"))),"G",EL73))))</f>
        <v/>
      </c>
      <c r="FK73" s="189" t="str">
        <f t="shared" ref="FK73:FK136" si="332">IF(FJ73="G",",+","")</f>
        <v/>
      </c>
      <c r="FL73" s="203" t="str">
        <f t="shared" si="201"/>
        <v/>
      </c>
      <c r="FM73" s="189" t="str">
        <f t="shared" ref="FM73:FM136" si="333">IF(AND(EX73="vuqRrh.kZ",(OR(EM73="G1",EM73="G2",EM73="S",EM73="RE"))),"F",IF(AND(EX73="iqu% ijh{kk",(OR(EM73="G1",EM73="G2",EM73="S"))),"S",IF(AND(EX73="iwjd",(OR(EM73="G1",EM73="G2"))),"S",IF(AND(EX73="lk- mRrh.kZ",(OR(EM73="G1",EM73="G2"))),"G",EM73))))</f>
        <v/>
      </c>
      <c r="FN73" s="204" t="str">
        <f t="shared" ref="FN73:FN136" si="334">IF(FM73="G",",+","")</f>
        <v/>
      </c>
      <c r="FO73" s="203" t="str">
        <f t="shared" si="202"/>
        <v/>
      </c>
      <c r="FP73" s="205" t="str">
        <f t="shared" ref="FP73:FP136" si="335">IF(AND(EX73="FAIL",(OR(EN73="G1",EN73="G2",EN73="S",EN73="RE"))),"F",IF(AND(EX73="RE-EXAM",(OR(EN73="G1",EN73="G2",EN73="S"))),"S",IF(AND(EX73="SUPPLEMENTARY",(OR(EN73="G1",EN73="G2"))),"S",IF(AND(EX73="BY GRACE PASS",(OR(EN73="G1",EN73="G2"))),"G",EN73))))</f>
        <v/>
      </c>
      <c r="FQ73" s="189" t="str">
        <f t="shared" si="203"/>
        <v/>
      </c>
      <c r="FR73" s="189" t="str">
        <f t="shared" si="204"/>
        <v/>
      </c>
      <c r="FS73" s="189" t="str">
        <f t="shared" si="205"/>
        <v/>
      </c>
      <c r="FT73" s="189" t="str">
        <f t="shared" si="206"/>
        <v/>
      </c>
      <c r="FU73" s="189" t="str">
        <f t="shared" ref="FU73:FU136" si="336">IF(FP73="G",",+","")</f>
        <v/>
      </c>
      <c r="FV73" s="206" t="str">
        <f t="shared" si="207"/>
        <v/>
      </c>
      <c r="FW73" s="205" t="str">
        <f t="shared" ref="FW73:FW136" si="337">IF(AND(EX73="FAIL",(OR(EO73="G1",EO73="G2",EO73="S",EO73="RE",))),"F",IF(AND(EX73="RE-EXAM",(OR(EO73="G1",EO73="G2",EO73="S"))),"S",IF(AND(EX73="SUPPLEMENTARY",(OR(EO73="G1",EO73="G2"))),"S",IF(AND(EX73="BY GRACE PASS",(OR(EO73="G1",EO73="G2"))),"G",EO73))))</f>
        <v/>
      </c>
      <c r="FX73" s="189" t="str">
        <f t="shared" si="208"/>
        <v/>
      </c>
      <c r="FY73" s="189" t="str">
        <f t="shared" si="209"/>
        <v/>
      </c>
      <c r="FZ73" s="189" t="str">
        <f t="shared" si="210"/>
        <v/>
      </c>
      <c r="GA73" s="189" t="str">
        <f t="shared" si="211"/>
        <v/>
      </c>
      <c r="GB73" s="189" t="str">
        <f t="shared" ref="GB73:GB136" si="338">IF(FW73="G",",+","")</f>
        <v/>
      </c>
      <c r="GC73" s="206" t="str">
        <f t="shared" si="212"/>
        <v/>
      </c>
      <c r="GD73" s="205" t="str">
        <f t="shared" ref="GD73:GD136" si="339">IF(AND(EX73="FAIL",(OR(EP73="G1",EP73="G2",EP73="S",EP73="RE"))),"F",IF(AND(EX73="RE-EXAM",(OR(EP73="G1",EP73="G2",EP73="S"))),"S",IF(AND(EX73="SUPPLEMENTARY",(OR(EP73="G1",EP73="G2"))),"S",IF(AND(EX73="BY GRACE PASS",(OR(EP73="G1",EP73="G2"))),"G",EP73))))</f>
        <v/>
      </c>
      <c r="GE73" s="189" t="str">
        <f t="shared" si="213"/>
        <v/>
      </c>
      <c r="GF73" s="189" t="str">
        <f t="shared" si="214"/>
        <v/>
      </c>
      <c r="GG73" s="189" t="str">
        <f t="shared" si="215"/>
        <v/>
      </c>
      <c r="GH73" s="189" t="str">
        <f t="shared" si="216"/>
        <v/>
      </c>
      <c r="GI73" s="189" t="str">
        <f t="shared" ref="GI73:GI136" si="340">IF(GD73="G",",+","")</f>
        <v/>
      </c>
      <c r="GJ73" s="206" t="str">
        <f t="shared" si="217"/>
        <v/>
      </c>
      <c r="GK73" s="205" t="str">
        <f t="shared" ref="GK73:GK136" si="341">IF(AND(EX73="FAIL",(OR(EQ73="G1",EQ73="G2",EQ73="S",EQ73="RE"))),"F",IF(AND(EX73="RE-EXAM",(OR(EQ73="G1",EQ73="G2",EQ73="S"))),"S",IF(AND(EX73="SUPPLEMENTARY",(OR(EQ73="G1",EQ73="G2"))),"S",IF(AND(EX73="BY GRACE PASS",(OR(EQ73="G1",EQ73="G2"))),"G",EQ73))))</f>
        <v/>
      </c>
      <c r="GL73" s="189" t="str">
        <f t="shared" si="218"/>
        <v/>
      </c>
      <c r="GM73" s="189" t="str">
        <f t="shared" si="219"/>
        <v/>
      </c>
      <c r="GN73" s="189" t="str">
        <f t="shared" si="220"/>
        <v/>
      </c>
      <c r="GO73" s="189" t="str">
        <f t="shared" si="221"/>
        <v/>
      </c>
      <c r="GP73" s="189" t="str">
        <f t="shared" ref="GP73:GP136" si="342">IF(GK73="G",",+","")</f>
        <v/>
      </c>
      <c r="GQ73" s="206" t="str">
        <f t="shared" si="222"/>
        <v/>
      </c>
      <c r="GR73" s="189" t="str">
        <f t="shared" ref="GR73:GR136" si="343">IF(AND(EX73="FAIL",EK73="RE"),"F",EK73)</f>
        <v/>
      </c>
      <c r="GS73" s="189" t="str">
        <f t="shared" ref="GS73:GS136" si="344">IF(AND(EX73="FAIL",FF73="RE"),"F",FF73)</f>
        <v/>
      </c>
      <c r="GT73" s="207" t="str">
        <f t="shared" ref="GT73:GT136" si="345">CONCATENATE(IF(FJ73="F",$FJ$5,IF(FJ73="AB",$FJ$5,""))," ",IF(FM73="F",$FM$5,IF(FM73="AB",$FM$5,""))," ",IF(FQ73="F",$FQ$5,IF(FR73="F",$FR$5,IF(FS73="F",$FS$5,IF(FQ73="AB",$FQ$5,IF(FR73="AB",$FR$5,IF(FS73="AB",$FS$5,IF(FQ73="FP",$FQ$5,IF(FR73="FP",$FR$5,IF(FS73="FP",$FS$5,"")))))))))," ",IF(FX73="F",$FX$5,IF(FY73="F",$FY$5,IF(FZ73="F",$FZ$5,IF(FX73="AB",$FX$5,IF(FY73="AB",$FY$5,IF(FZ73="AB",$FZ$5,IF(FX73="FP",$FX$5,IF(FY73="FP",$FY$5,IF(FZ73="FP",$FZ$5,"")))))))))," ",IF(GE73="F",$GE$5,IF(GF73="F",$GF$5,IF(GG73="F",$GG$5,IF(GE73="AB",$GE$5,IF(GF73="AB",$GF$5,IF(GG73="AB",$GG$5,IF(GE73="FP",$GE$5,IF(GF73="FP",$GF$5,IF(GG73="FP",$GG$5,""))))))))),"",IF(GL73="F",$GL$5,IF(GM73="F",$GM$5,IF(GN73="F",$GN$5,IF(GL73="AB",$GL$5,IF(GM73="AB",$GM$5,IF(GN73="AB",$GN$5,IF(GL73="FP",$GL$5,IF(GM73="FP",$GM$5,IF(GN73="FP",$GN$5,""))))))))))</f>
        <v xml:space="preserve">    </v>
      </c>
      <c r="GU73" s="207" t="str">
        <f t="shared" ref="GU73:GU136" si="346">CONCATENATE(IF(FJ73="S",$FJ$5,"")," ",IF(FM73="S",$FM$5,"")," ",IF(FQ73="S",$FQ$5,IF(FR73="S",$FR$5,IF(FS73="S",$FS$5,IF(FT73="S",$FT$5,""))))," ",IF(FX73="S",$FX$5,IF(FY73="S",$FY$5,IF(FZ73="S",$FZ$5,IF(GA73="S",$GA$5,""))))," ",IF(GE73="S",$GE$5,IF(GF73="S",$GF$5,IF(GG73="S",$GG$5,IF(GH73="S",$GH$5,"")))))</f>
        <v xml:space="preserve">    </v>
      </c>
      <c r="GV73" s="207" t="str">
        <f t="shared" ref="GV73:GV136" si="347">CONCATENATE(IF(FJ73="G",$FJ$5,"")," ",IF(FM73="G",$FM$5,"")," ",IF(FQ73="G",$FQ$5,IF(FR73="G",$FR$5,IF(FS73="G",$FS$5,"")))," ",IF(FX73="G",$FX$5,IF(FY73="G",$FY$5,IF(FZ73="G",$FZ$5,"")))," ",IF(GE73="G",$GE$5,IF(GF73="G",$GF$5,IF(GG73="G",$GG$5,""))))</f>
        <v xml:space="preserve">    </v>
      </c>
      <c r="GW73" s="207" t="str">
        <f t="shared" ref="GW73:GW136" si="348">CONCATENATE(IF(FJ73="RE",$FJ$5,"")," ",IF(FM73="RE",$FM$5,"")," ",IF(OR(FQ73="RE",FQ73="REP"),$FQ$5,IF(OR(FR73="RE",FR73="REP"),$FR$5,IF(OR(FS73="RE",FS73="REP"),$FS$5,IF(OR(FT73="RE",FT73="REP"),$FT$5,""))))," ",IF(OR(FX73="RE",FX73="REP"),$FX$5,IF(OR(FY73="RE",FY73="REP"),$FY$5,IF(OR(FZ73="RE",FZ73="REP"),$FZ$5,IF(OR(GA73="RE",GA73="REP"),$GA$5,""))))," ",IF(OR(GE73="RE",GE73="REP"),$GE$5,IF(OR(GF73="RE",GF73="REP"),$GF$5,IF(OR(GG73="RE",GG73="REP"),$GG$5,IF(OR(GH73="RE",GH73="REP"),$GH$5,""))))," ",IF(GR73="RE",$GR$4," "),"",IF(GS73="RE",$GS$4," "),"",)</f>
        <v xml:space="preserve">       </v>
      </c>
      <c r="GX73" s="598" t="str">
        <f t="shared" ref="GX73:GX136" si="349">CONCATENATE(IF(FJ73="D",$FJ$5,"")," ",IF($FM73="D",$FM$5,"")," ",IF(FQ73="D",$FQ$5,IF(FR73="D",$FR$5,IF(FS73="D",$FS$5,IF(FT73="D",$FT$5,""))))," ",IF(FX73="D",$FX$5,IF(FY73="D",$FY$5,IF(FZ73="D",$FZ$5,IF(GA73="D",$GA$5,""))))," ",IF(GE73="D",$GE$5,IF(GF73="D",$GF$5,IF(GG73="D",$GG$5,IF(GH73="D",$GH$5,""))))," ",IF(GL73="D",$GL$5,IF(GM73="D",$GM$5,IF(GN73="D",$GN$5,IF(GO73="D",$GO$5,"")))))</f>
        <v xml:space="preserve">     </v>
      </c>
      <c r="GY73" s="208" t="str">
        <f t="shared" si="223"/>
        <v/>
      </c>
      <c r="GZ73" s="606" t="str">
        <f>IF(AND(Q73="",AE73="",AZ73="",BW73="",CT73=""),"",IF(AND('Master Sheet'!$D$19="YES",'Marks Entry'!$BA$1=1),SUM(Q73,AE73,AZ73,BW73,DT73),SUM(Q73,AE73,AZ73,BW73,CT73)))</f>
        <v/>
      </c>
      <c r="HA73" s="209" t="str">
        <f>IF(GZ73="","",IF(AND('Master Sheet'!$D$19="YES",'Marks Entry'!$BA$1=1),GZ73/((900)-DC73)*100,GZ73/((1000)-DC73)*100))</f>
        <v/>
      </c>
      <c r="HB73" s="611" t="str">
        <f t="shared" ref="HB73:HB136" si="350">IF(HA73="","",IF(AND(HA73&gt;=60,(GY73="PASS")),"I",IF(AND(HA73&gt;=60,(GY73="BY GRACE PASS")),"I",IF(AND(HA73&gt;=48,(GY73="PASS")),"II",IF(AND(HA73&gt;=48,(GY73="BY GRACE PASS")),"II",IF(AND(HA73&gt;=36,(GY73="PASS")),"III",IF(AND(HA73&gt;=36,(GY73="BY GRACE PASS")),"III","")))))))</f>
        <v/>
      </c>
      <c r="HC73" s="609" t="str">
        <f t="shared" ref="HC73:HC136" si="351">IF(OR(GY73="PASS",GY73="BY GRACE PASS"),HA73,"")</f>
        <v/>
      </c>
      <c r="HD73" s="610" t="str">
        <f t="shared" ref="HD73:HD136" si="352">IF(HC73="","",SUMPRODUCT((HC73&lt;HC$8:HC$207)/COUNTIF(HC$8:HC$207,HC$8:HC$207)))</f>
        <v/>
      </c>
      <c r="HE73" s="210" t="str">
        <f>IFERROR(IF(OR(GY73="SUPPLEMENTARY",GY73="RE-EXAM"),'Supp. Result Entry'!AS72,""),"")</f>
        <v/>
      </c>
      <c r="HF73" s="613" t="str">
        <f t="shared" ref="HF73:HF136" si="353">IF(OR(JB73="",IS73=0),"",IF(IZ73="","",IZ73))</f>
        <v/>
      </c>
      <c r="HG73" s="598" t="str">
        <f t="shared" ref="HG73:HG136" si="354">IF(AND(JB73=""),"",IF(HE73="","",IF(AND(JB73="FAIL"),"Failed",JB73)))</f>
        <v/>
      </c>
      <c r="HH73" s="598" t="str">
        <f>IF(AND(HE73="",HF73="",HG73=""),"",IF(OR(GY73="SUPPLEMENTARY",GY73="RE-EXAM"),'Supp. Result Entry'!AS72,GY73))</f>
        <v/>
      </c>
      <c r="HI73" s="180"/>
      <c r="HY73" s="212" t="str">
        <f>IF('Supp. Result Entry'!U72="","",'Supp. Result Entry'!$U$6)</f>
        <v/>
      </c>
      <c r="HZ73" s="213" t="str">
        <f>IF('Supp. Result Entry'!X72="","",'Supp. Result Entry'!$X$6)</f>
        <v/>
      </c>
      <c r="IA73" s="213" t="str">
        <f>IF('Supp. Result Entry'!AA72="","",'Supp. Result Entry'!$AA$6)</f>
        <v/>
      </c>
      <c r="IB73" s="213" t="str">
        <f>IF('Supp. Result Entry'!AD72="","",'Supp. Result Entry'!$AD$6)</f>
        <v/>
      </c>
      <c r="IC73" s="213" t="str">
        <f>IF('Supp. Result Entry'!AG72="","",'Supp. Result Entry'!$AG$6)</f>
        <v/>
      </c>
      <c r="ID73" s="213" t="str">
        <f>IF('Supp. Result Entry'!AJ72="","",'Supp. Result Entry'!$AJ$6)</f>
        <v/>
      </c>
      <c r="IE73" s="213" t="str">
        <f>IF('Supp. Result Entry'!V72="","",'Supp. Result Entry'!V72)</f>
        <v/>
      </c>
      <c r="IF73" s="213" t="str">
        <f>IF('Supp. Result Entry'!Y72="","",'Supp. Result Entry'!Y72)</f>
        <v/>
      </c>
      <c r="IG73" s="213" t="str">
        <f>IF('Supp. Result Entry'!AB72="","",'Supp. Result Entry'!AB72)</f>
        <v/>
      </c>
      <c r="IH73" s="213" t="str">
        <f>IF('Supp. Result Entry'!AE72="","",'Supp. Result Entry'!AE72)</f>
        <v/>
      </c>
      <c r="II73" s="213" t="str">
        <f>IF('Supp. Result Entry'!AH72="","",'Supp. Result Entry'!AH72)</f>
        <v/>
      </c>
      <c r="IJ73" s="213" t="str">
        <f>IF('Supp. Result Entry'!AK72="","",'Supp. Result Entry'!AK72)</f>
        <v/>
      </c>
      <c r="IK73" s="213" t="str">
        <f>IF('Supp. Result Entry'!W72="","",'Supp. Result Entry'!W72)</f>
        <v/>
      </c>
      <c r="IL73" s="213" t="str">
        <f>IF('Supp. Result Entry'!Z72="","",'Supp. Result Entry'!Z72)</f>
        <v/>
      </c>
      <c r="IM73" s="213" t="str">
        <f>IF('Supp. Result Entry'!AC72="","",'Supp. Result Entry'!AC72)</f>
        <v/>
      </c>
      <c r="IN73" s="213" t="str">
        <f>IF('Supp. Result Entry'!AF72="","",'Supp. Result Entry'!AF72)</f>
        <v/>
      </c>
      <c r="IO73" s="213" t="str">
        <f>IF('Supp. Result Entry'!AI72="","",'Supp. Result Entry'!AI72)</f>
        <v/>
      </c>
      <c r="IP73" s="213" t="str">
        <f>IF('Supp. Result Entry'!AL72="","",'Supp. Result Entry'!AL72)</f>
        <v/>
      </c>
      <c r="IQ73" s="213">
        <f>COUNTIF('Supp. Result Entry'!K72:Q72,"S")</f>
        <v>0</v>
      </c>
      <c r="IR73" s="213">
        <f t="shared" ref="IR73:IR136" si="355">COUNTIF(FJ73:GR73,"RE")+COUNTIF(FJ73:GR73,"REP")</f>
        <v>0</v>
      </c>
      <c r="IS73" s="213">
        <f t="shared" ref="IS73:IS136" si="356">COUNTIF(IK73:IP73,"P")</f>
        <v>0</v>
      </c>
      <c r="IT73" s="213" t="str">
        <f t="shared" si="224"/>
        <v/>
      </c>
      <c r="IU73" s="213" t="str">
        <f t="shared" si="225"/>
        <v/>
      </c>
      <c r="IV73" s="213" t="str">
        <f t="shared" si="226"/>
        <v/>
      </c>
      <c r="IW73" s="213" t="str">
        <f t="shared" si="227"/>
        <v/>
      </c>
      <c r="IX73" s="213" t="str">
        <f t="shared" si="228"/>
        <v/>
      </c>
      <c r="IY73" s="213" t="str">
        <f t="shared" ref="IY73:IY136" si="357">IF(OR(IQ73=0,IQ73&lt;IS73),"",SUM(IT73:IX73))</f>
        <v/>
      </c>
      <c r="IZ73" s="213" t="str">
        <f t="shared" ref="IZ73:IZ136" si="358">IF(OR(IQ73=0,IQ73&lt;IS73),"",IY73/JA73*100)</f>
        <v/>
      </c>
      <c r="JA73" s="213" t="str">
        <f t="shared" si="229"/>
        <v/>
      </c>
      <c r="JB73" s="211" t="str">
        <f t="shared" ref="JB73:JB136" si="359">IF(IZ73="","",IF(IZ73&gt;=60,"I",IF(IZ73&gt;=48,"II",IF(IZ73&gt;=36,"III",""))))</f>
        <v/>
      </c>
    </row>
    <row r="74" spans="1:262" s="211" customFormat="1" ht="21" customHeight="1">
      <c r="A74" s="184">
        <v>67</v>
      </c>
      <c r="B74" s="185" t="str">
        <f>IF('Marks Entry'!B74="","",'Marks Entry'!B74)</f>
        <v/>
      </c>
      <c r="C74" s="186" t="str">
        <f>IF('Marks Entry'!D74="","",'Marks Entry'!D74)</f>
        <v/>
      </c>
      <c r="D74" s="187" t="str">
        <f>IF('Marks Entry'!E74="","",'Marks Entry'!E74)</f>
        <v/>
      </c>
      <c r="E74" s="188" t="str">
        <f>IF('Marks Entry'!F74="","",'Marks Entry'!F74)</f>
        <v/>
      </c>
      <c r="F74" s="188" t="str">
        <f>IF('Marks Entry'!G74="","",'Marks Entry'!G74)</f>
        <v/>
      </c>
      <c r="G74" s="188" t="str">
        <f>IF('Marks Entry'!H74="","",'Marks Entry'!H74)</f>
        <v/>
      </c>
      <c r="H74" s="189" t="str">
        <f>IF('Marks Entry'!I74="","",'Marks Entry'!I74)</f>
        <v/>
      </c>
      <c r="I74" s="190" t="str">
        <f>IF('Marks Entry'!J74="","",'Marks Entry'!J74)</f>
        <v/>
      </c>
      <c r="J74" s="545" t="str">
        <f>IF('Marks Entry'!K74="","",'Marks Entry'!K74)</f>
        <v/>
      </c>
      <c r="K74" s="545" t="str">
        <f>IF('Marks Entry'!L74="","",'Marks Entry'!L74)</f>
        <v/>
      </c>
      <c r="L74" s="545" t="str">
        <f>IF('Marks Entry'!M74="","",'Marks Entry'!M74)</f>
        <v/>
      </c>
      <c r="M74" s="546" t="str">
        <f t="shared" si="230"/>
        <v/>
      </c>
      <c r="N74" s="545" t="str">
        <f>IF('Marks Entry'!N74="","",'Marks Entry'!N74)</f>
        <v/>
      </c>
      <c r="O74" s="546" t="str">
        <f t="shared" si="231"/>
        <v/>
      </c>
      <c r="P74" s="545" t="str">
        <f>IF('Marks Entry'!O74="","",'Marks Entry'!O74)</f>
        <v/>
      </c>
      <c r="Q74" s="547" t="str">
        <f t="shared" si="232"/>
        <v/>
      </c>
      <c r="R74" s="153">
        <f t="shared" si="233"/>
        <v>0</v>
      </c>
      <c r="S74" s="153">
        <f t="shared" si="234"/>
        <v>0</v>
      </c>
      <c r="T74" s="154" t="str">
        <f t="shared" si="235"/>
        <v/>
      </c>
      <c r="U74" s="153" t="str">
        <f t="shared" si="236"/>
        <v/>
      </c>
      <c r="V74" s="153" t="str">
        <f t="shared" si="237"/>
        <v/>
      </c>
      <c r="W74" s="153" t="str">
        <f t="shared" si="238"/>
        <v/>
      </c>
      <c r="X74" s="545" t="str">
        <f>IF('Marks Entry'!P74="","",'Marks Entry'!P74)</f>
        <v/>
      </c>
      <c r="Y74" s="545" t="str">
        <f>IF('Marks Entry'!Q74="","",'Marks Entry'!Q74)</f>
        <v/>
      </c>
      <c r="Z74" s="545" t="str">
        <f>IF('Marks Entry'!R74="","",'Marks Entry'!R74)</f>
        <v/>
      </c>
      <c r="AA74" s="546" t="str">
        <f t="shared" si="239"/>
        <v/>
      </c>
      <c r="AB74" s="545" t="str">
        <f>IF('Marks Entry'!S74="","",'Marks Entry'!S74)</f>
        <v/>
      </c>
      <c r="AC74" s="546" t="str">
        <f t="shared" si="240"/>
        <v/>
      </c>
      <c r="AD74" s="545" t="str">
        <f>IF('Marks Entry'!T74="","",'Marks Entry'!T74)</f>
        <v/>
      </c>
      <c r="AE74" s="547" t="str">
        <f t="shared" si="241"/>
        <v/>
      </c>
      <c r="AF74" s="153">
        <f t="shared" si="242"/>
        <v>0</v>
      </c>
      <c r="AG74" s="153">
        <f t="shared" si="243"/>
        <v>0</v>
      </c>
      <c r="AH74" s="154" t="str">
        <f t="shared" si="244"/>
        <v/>
      </c>
      <c r="AI74" s="153" t="str">
        <f t="shared" si="245"/>
        <v/>
      </c>
      <c r="AJ74" s="153" t="str">
        <f t="shared" si="246"/>
        <v/>
      </c>
      <c r="AK74" s="153" t="str">
        <f t="shared" si="247"/>
        <v/>
      </c>
      <c r="AL74" s="573" t="str">
        <f>IF('Marks Entry'!U74="","",'Marks Entry'!U74)</f>
        <v/>
      </c>
      <c r="AM74" s="573" t="str">
        <f>IF('Marks Entry'!V74="","",'Marks Entry'!V74)</f>
        <v/>
      </c>
      <c r="AN74" s="573" t="str">
        <f>IF('Marks Entry'!W74="","",'Marks Entry'!W74)</f>
        <v/>
      </c>
      <c r="AO74" s="573" t="str">
        <f>IF('Marks Entry'!X74="","",'Marks Entry'!X74)</f>
        <v/>
      </c>
      <c r="AP74" s="572" t="str">
        <f t="shared" si="248"/>
        <v/>
      </c>
      <c r="AQ74" s="573" t="str">
        <f>IF('Marks Entry'!Y74="","",'Marks Entry'!Y74)</f>
        <v/>
      </c>
      <c r="AR74" s="573" t="str">
        <f>IF('Marks Entry'!Z74="","",'Marks Entry'!Z74)</f>
        <v/>
      </c>
      <c r="AS74" s="572" t="str">
        <f t="shared" si="249"/>
        <v/>
      </c>
      <c r="AT74" s="572" t="str">
        <f t="shared" si="250"/>
        <v/>
      </c>
      <c r="AU74" s="573" t="str">
        <f>IF('Marks Entry'!AA74="","",'Marks Entry'!AA74)</f>
        <v/>
      </c>
      <c r="AV74" s="573" t="str">
        <f>IF('Marks Entry'!AB74="","",'Marks Entry'!AB74)</f>
        <v/>
      </c>
      <c r="AW74" s="572" t="str">
        <f t="shared" si="251"/>
        <v/>
      </c>
      <c r="AX74" s="157" t="str">
        <f t="shared" si="252"/>
        <v/>
      </c>
      <c r="AY74" s="157" t="str">
        <f t="shared" si="253"/>
        <v/>
      </c>
      <c r="AZ74" s="192" t="str">
        <f t="shared" si="254"/>
        <v/>
      </c>
      <c r="BA74" s="153">
        <f t="shared" si="255"/>
        <v>0</v>
      </c>
      <c r="BB74" s="154">
        <f t="shared" si="256"/>
        <v>0</v>
      </c>
      <c r="BC74" s="154" t="str">
        <f t="shared" si="257"/>
        <v/>
      </c>
      <c r="BD74" s="154" t="str">
        <f t="shared" si="258"/>
        <v/>
      </c>
      <c r="BE74" s="154" t="str">
        <f t="shared" si="259"/>
        <v/>
      </c>
      <c r="BF74" s="153" t="str">
        <f t="shared" si="260"/>
        <v/>
      </c>
      <c r="BG74" s="154" t="str">
        <f t="shared" si="261"/>
        <v/>
      </c>
      <c r="BH74" s="153" t="str">
        <f t="shared" si="262"/>
        <v/>
      </c>
      <c r="BI74" s="580" t="str">
        <f>IF('Marks Entry'!AC74="","",'Marks Entry'!AC74)</f>
        <v/>
      </c>
      <c r="BJ74" s="580" t="str">
        <f>IF('Marks Entry'!AD74="","",'Marks Entry'!AD74)</f>
        <v/>
      </c>
      <c r="BK74" s="580" t="str">
        <f>IF('Marks Entry'!AE74="","",'Marks Entry'!AE74)</f>
        <v/>
      </c>
      <c r="BL74" s="580" t="str">
        <f>IF('Marks Entry'!AF74="","",'Marks Entry'!AF74)</f>
        <v/>
      </c>
      <c r="BM74" s="581" t="str">
        <f t="shared" si="263"/>
        <v/>
      </c>
      <c r="BN74" s="580" t="str">
        <f>IF('Marks Entry'!AG74="","",'Marks Entry'!AG74)</f>
        <v/>
      </c>
      <c r="BO74" s="580" t="str">
        <f>IF('Marks Entry'!AH74="","",'Marks Entry'!AH74)</f>
        <v/>
      </c>
      <c r="BP74" s="581" t="str">
        <f t="shared" si="264"/>
        <v/>
      </c>
      <c r="BQ74" s="581" t="str">
        <f t="shared" si="265"/>
        <v/>
      </c>
      <c r="BR74" s="580" t="str">
        <f>IF('Marks Entry'!AI74="","",'Marks Entry'!AI74)</f>
        <v/>
      </c>
      <c r="BS74" s="580" t="str">
        <f>IF('Marks Entry'!AJ74="","",'Marks Entry'!AJ74)</f>
        <v/>
      </c>
      <c r="BT74" s="581" t="str">
        <f t="shared" si="266"/>
        <v/>
      </c>
      <c r="BU74" s="157" t="str">
        <f t="shared" si="267"/>
        <v/>
      </c>
      <c r="BV74" s="157" t="str">
        <f t="shared" si="268"/>
        <v/>
      </c>
      <c r="BW74" s="192" t="str">
        <f t="shared" si="269"/>
        <v/>
      </c>
      <c r="BX74" s="153">
        <f t="shared" si="270"/>
        <v>0</v>
      </c>
      <c r="BY74" s="154">
        <f t="shared" si="271"/>
        <v>0</v>
      </c>
      <c r="BZ74" s="154" t="str">
        <f t="shared" si="272"/>
        <v/>
      </c>
      <c r="CA74" s="154" t="str">
        <f t="shared" si="273"/>
        <v/>
      </c>
      <c r="CB74" s="154" t="str">
        <f t="shared" si="274"/>
        <v/>
      </c>
      <c r="CC74" s="153" t="str">
        <f t="shared" si="275"/>
        <v/>
      </c>
      <c r="CD74" s="154" t="str">
        <f t="shared" si="276"/>
        <v/>
      </c>
      <c r="CE74" s="153" t="str">
        <f t="shared" si="277"/>
        <v/>
      </c>
      <c r="CF74" s="580" t="str">
        <f>IF('Marks Entry'!AK74="","",'Marks Entry'!AK74)</f>
        <v/>
      </c>
      <c r="CG74" s="580" t="str">
        <f>IF('Marks Entry'!AL74="","",'Marks Entry'!AL74)</f>
        <v/>
      </c>
      <c r="CH74" s="580" t="str">
        <f>IF('Marks Entry'!AM74="","",'Marks Entry'!AM74)</f>
        <v/>
      </c>
      <c r="CI74" s="580" t="str">
        <f>IF('Marks Entry'!AN74="","",'Marks Entry'!AN74)</f>
        <v/>
      </c>
      <c r="CJ74" s="581" t="str">
        <f t="shared" si="278"/>
        <v/>
      </c>
      <c r="CK74" s="580" t="str">
        <f>IF('Marks Entry'!AO74="","",'Marks Entry'!AO74)</f>
        <v/>
      </c>
      <c r="CL74" s="580" t="str">
        <f>IF('Marks Entry'!AP74="","",'Marks Entry'!AP74)</f>
        <v/>
      </c>
      <c r="CM74" s="581" t="str">
        <f t="shared" si="279"/>
        <v/>
      </c>
      <c r="CN74" s="581" t="str">
        <f t="shared" si="280"/>
        <v/>
      </c>
      <c r="CO74" s="580" t="str">
        <f>IF('Marks Entry'!AQ74="","",'Marks Entry'!AQ74)</f>
        <v/>
      </c>
      <c r="CP74" s="580" t="str">
        <f>IF('Marks Entry'!AR74="","",'Marks Entry'!AR74)</f>
        <v/>
      </c>
      <c r="CQ74" s="581" t="str">
        <f t="shared" si="281"/>
        <v/>
      </c>
      <c r="CR74" s="157" t="str">
        <f t="shared" si="282"/>
        <v/>
      </c>
      <c r="CS74" s="157" t="str">
        <f t="shared" si="283"/>
        <v/>
      </c>
      <c r="CT74" s="192" t="str">
        <f t="shared" si="284"/>
        <v/>
      </c>
      <c r="CU74" s="153">
        <f t="shared" si="285"/>
        <v>0</v>
      </c>
      <c r="CV74" s="154">
        <f t="shared" si="286"/>
        <v>0</v>
      </c>
      <c r="CW74" s="154" t="str">
        <f t="shared" si="287"/>
        <v/>
      </c>
      <c r="CX74" s="154" t="str">
        <f t="shared" si="288"/>
        <v/>
      </c>
      <c r="CY74" s="154" t="str">
        <f t="shared" si="289"/>
        <v/>
      </c>
      <c r="CZ74" s="153" t="str">
        <f t="shared" si="290"/>
        <v/>
      </c>
      <c r="DA74" s="154" t="str">
        <f t="shared" si="291"/>
        <v/>
      </c>
      <c r="DB74" s="153" t="str">
        <f t="shared" si="292"/>
        <v/>
      </c>
      <c r="DC74" s="154">
        <f t="shared" si="293"/>
        <v>0</v>
      </c>
      <c r="DD74" s="826" t="str">
        <f>IF('Marks Entry'!AS74="","",IF(OR('Master Sheet'!$D$19="YES",'Marks Entry'!$BA$1=1),'Marks Entry'!AS74,""))</f>
        <v/>
      </c>
      <c r="DE74" s="826" t="str">
        <f>IF('Marks Entry'!AT74="","",IF(OR('Master Sheet'!$D$19="YES",'Marks Entry'!$BA$1=1),'Marks Entry'!AT74,""))</f>
        <v/>
      </c>
      <c r="DF74" s="826" t="str">
        <f>IF('Marks Entry'!AU74="","",IF(OR('Master Sheet'!$D$19="YES",'Marks Entry'!$BA$1=1),'Marks Entry'!AU74,""))</f>
        <v/>
      </c>
      <c r="DG74" s="826" t="str">
        <f>IF('Marks Entry'!AV74="","",IF(OR('Master Sheet'!$D$19="YES",'Marks Entry'!$BA$1=1),'Marks Entry'!AV74,""))</f>
        <v/>
      </c>
      <c r="DH74" s="827" t="str">
        <f t="shared" si="294"/>
        <v/>
      </c>
      <c r="DI74" s="826" t="str">
        <f>IF('Marks Entry'!AW74="","",IF(OR('Master Sheet'!$D$19="YES",'Marks Entry'!$BA$1=1),'Marks Entry'!AW74,""))</f>
        <v/>
      </c>
      <c r="DJ74" s="826" t="str">
        <f>IF('Marks Entry'!AX74="","",IF(OR('Master Sheet'!$D$19="YES",'Marks Entry'!$BA$1=1),'Marks Entry'!AX74,""))</f>
        <v/>
      </c>
      <c r="DK74" s="827" t="str">
        <f t="shared" si="295"/>
        <v/>
      </c>
      <c r="DL74" s="827" t="str">
        <f t="shared" si="296"/>
        <v/>
      </c>
      <c r="DM74" s="826" t="str">
        <f>IF('Marks Entry'!AY74="","",IF(OR('Master Sheet'!$D$19="YES",'Marks Entry'!$BA$1=1),'Marks Entry'!AY74,""))</f>
        <v/>
      </c>
      <c r="DN74" s="826" t="str">
        <f>IF('Marks Entry'!AZ74="","",IF(OR('Master Sheet'!$D$19="YES",'Marks Entry'!$BA$1=1),'Marks Entry'!AZ74,""))</f>
        <v/>
      </c>
      <c r="DO74" s="826" t="str">
        <f>IF('Marks Entry'!BA74="","",IF(OR('Master Sheet'!$D$19="YES",'Marks Entry'!$BA$1=1),'Marks Entry'!BA74,""))</f>
        <v/>
      </c>
      <c r="DP74" s="827" t="str">
        <f t="shared" si="297"/>
        <v/>
      </c>
      <c r="DQ74" s="157" t="str">
        <f t="shared" si="298"/>
        <v/>
      </c>
      <c r="DR74" s="157" t="str">
        <f t="shared" si="299"/>
        <v/>
      </c>
      <c r="DS74" s="157" t="str">
        <f t="shared" si="300"/>
        <v/>
      </c>
      <c r="DT74" s="192" t="str">
        <f t="shared" si="301"/>
        <v/>
      </c>
      <c r="DU74" s="153">
        <f t="shared" si="302"/>
        <v>0</v>
      </c>
      <c r="DV74" s="154" t="e">
        <f t="shared" si="303"/>
        <v>#VALUE!</v>
      </c>
      <c r="DW74" s="154" t="str">
        <f t="shared" si="304"/>
        <v/>
      </c>
      <c r="DX74" s="154" t="str">
        <f>IF(OR($B74="NSO",$B74=0,DS74=""),"",IF(AND(DJ74="",DO74=""),"",IF('Master Sheet'!$D$19="YES",$DO$6-COUNTIF(DO74,"ML")*DO$6,DS$6-(COUNTIF(DJ74,"ML")*DJ$6)-(COUNTIF(DO74,"ML")*DO$6))))</f>
        <v/>
      </c>
      <c r="DY74" s="154" t="str">
        <f>IF(OR($B74="NSO",$B74=0),"",IF(AND(DH74="",DI74="",DM74=""),"",IF(AND('Master Sheet'!$D$19="YES",'Marks Entry'!$BA$1=1),100,IF(AND(DJ74="",DO74=""),SUM(($DQ$7+$DR$7)-(DU74+DV74)),SUM(($DQ$6+$DR$6)-(DU74+DV74))))))</f>
        <v/>
      </c>
      <c r="DZ74" s="153" t="str">
        <f t="shared" si="305"/>
        <v/>
      </c>
      <c r="EA74" s="154" t="str">
        <f t="shared" si="306"/>
        <v/>
      </c>
      <c r="EB74" s="153" t="str">
        <f t="shared" si="307"/>
        <v/>
      </c>
      <c r="EC74" s="584" t="str">
        <f>IF('Marks Entry'!BB74="","",'Marks Entry'!BB74)</f>
        <v/>
      </c>
      <c r="ED74" s="584" t="str">
        <f>IF('Marks Entry'!BC74="","",'Marks Entry'!BC74)</f>
        <v/>
      </c>
      <c r="EE74" s="584" t="str">
        <f>IF('Marks Entry'!BD74="","",'Marks Entry'!BD74)</f>
        <v/>
      </c>
      <c r="EF74" s="590" t="str">
        <f t="shared" si="308"/>
        <v/>
      </c>
      <c r="EG74" s="595">
        <f t="shared" si="309"/>
        <v>0</v>
      </c>
      <c r="EH74" s="595">
        <f t="shared" si="310"/>
        <v>0</v>
      </c>
      <c r="EI74" s="193" t="str">
        <f t="shared" si="311"/>
        <v/>
      </c>
      <c r="EJ74" s="595" t="str">
        <f t="shared" si="312"/>
        <v/>
      </c>
      <c r="EK74" s="595" t="str">
        <f t="shared" si="313"/>
        <v/>
      </c>
      <c r="EL74" s="194" t="str">
        <f t="shared" si="314"/>
        <v/>
      </c>
      <c r="EM74" s="194" t="str">
        <f t="shared" si="315"/>
        <v/>
      </c>
      <c r="EN74" s="194" t="str">
        <f t="shared" si="316"/>
        <v/>
      </c>
      <c r="EO74" s="194" t="str">
        <f t="shared" si="317"/>
        <v/>
      </c>
      <c r="EP74" s="194" t="str">
        <f t="shared" si="318"/>
        <v/>
      </c>
      <c r="EQ74" s="194" t="str">
        <f t="shared" si="319"/>
        <v/>
      </c>
      <c r="ER74" s="195">
        <f t="shared" si="320"/>
        <v>0</v>
      </c>
      <c r="ES74" s="195">
        <f t="shared" si="321"/>
        <v>0</v>
      </c>
      <c r="ET74" s="195">
        <f t="shared" si="322"/>
        <v>0</v>
      </c>
      <c r="EU74" s="195">
        <f t="shared" si="323"/>
        <v>0</v>
      </c>
      <c r="EV74" s="195">
        <f t="shared" si="324"/>
        <v>0</v>
      </c>
      <c r="EW74" s="195" t="str">
        <f t="shared" si="325"/>
        <v/>
      </c>
      <c r="EX74" s="196" t="str">
        <f t="shared" si="326"/>
        <v/>
      </c>
      <c r="EY74" s="197" t="str">
        <f>IF('Marks Entry'!BE74="","",'Marks Entry'!BE74)</f>
        <v/>
      </c>
      <c r="EZ74" s="197" t="str">
        <f>IF('Marks Entry'!BF74="","",'Marks Entry'!BF74)</f>
        <v/>
      </c>
      <c r="FA74" s="197" t="str">
        <f>IF('Marks Entry'!BG74="","",'Marks Entry'!BG74)</f>
        <v/>
      </c>
      <c r="FB74" s="596" t="str">
        <f t="shared" si="327"/>
        <v/>
      </c>
      <c r="FC74" s="197" t="str">
        <f>IF('Marks Entry'!BH74="","",'Marks Entry'!BH74)</f>
        <v/>
      </c>
      <c r="FD74" s="197" t="str">
        <f>IF('Marks Entry'!BI74="","",'Marks Entry'!BI74)</f>
        <v/>
      </c>
      <c r="FE74" s="198" t="str">
        <f t="shared" si="328"/>
        <v/>
      </c>
      <c r="FF74" s="199" t="str">
        <f t="shared" si="329"/>
        <v/>
      </c>
      <c r="FG74" s="200" t="str">
        <f>IF(AND(E74=""),"",IF('Student DATA Entry'!L70="","",'Student DATA Entry'!L70))</f>
        <v/>
      </c>
      <c r="FH74" s="201" t="str">
        <f>IF(AND(E74=""),"",IF('Student DATA Entry'!M70="","",'Student DATA Entry'!M70))</f>
        <v/>
      </c>
      <c r="FI74" s="202" t="str">
        <f t="shared" si="330"/>
        <v/>
      </c>
      <c r="FJ74" s="189" t="str">
        <f t="shared" si="331"/>
        <v/>
      </c>
      <c r="FK74" s="189" t="str">
        <f t="shared" si="332"/>
        <v/>
      </c>
      <c r="FL74" s="203" t="str">
        <f t="shared" si="201"/>
        <v/>
      </c>
      <c r="FM74" s="189" t="str">
        <f t="shared" si="333"/>
        <v/>
      </c>
      <c r="FN74" s="204" t="str">
        <f t="shared" si="334"/>
        <v/>
      </c>
      <c r="FO74" s="203" t="str">
        <f t="shared" si="202"/>
        <v/>
      </c>
      <c r="FP74" s="205" t="str">
        <f t="shared" si="335"/>
        <v/>
      </c>
      <c r="FQ74" s="189" t="str">
        <f t="shared" si="203"/>
        <v/>
      </c>
      <c r="FR74" s="189" t="str">
        <f t="shared" si="204"/>
        <v/>
      </c>
      <c r="FS74" s="189" t="str">
        <f t="shared" si="205"/>
        <v/>
      </c>
      <c r="FT74" s="189" t="str">
        <f t="shared" si="206"/>
        <v/>
      </c>
      <c r="FU74" s="189" t="str">
        <f t="shared" si="336"/>
        <v/>
      </c>
      <c r="FV74" s="206" t="str">
        <f t="shared" si="207"/>
        <v/>
      </c>
      <c r="FW74" s="205" t="str">
        <f t="shared" si="337"/>
        <v/>
      </c>
      <c r="FX74" s="189" t="str">
        <f t="shared" si="208"/>
        <v/>
      </c>
      <c r="FY74" s="189" t="str">
        <f t="shared" si="209"/>
        <v/>
      </c>
      <c r="FZ74" s="189" t="str">
        <f t="shared" si="210"/>
        <v/>
      </c>
      <c r="GA74" s="189" t="str">
        <f t="shared" si="211"/>
        <v/>
      </c>
      <c r="GB74" s="189" t="str">
        <f t="shared" si="338"/>
        <v/>
      </c>
      <c r="GC74" s="206" t="str">
        <f t="shared" si="212"/>
        <v/>
      </c>
      <c r="GD74" s="205" t="str">
        <f t="shared" si="339"/>
        <v/>
      </c>
      <c r="GE74" s="189" t="str">
        <f t="shared" si="213"/>
        <v/>
      </c>
      <c r="GF74" s="189" t="str">
        <f t="shared" si="214"/>
        <v/>
      </c>
      <c r="GG74" s="189" t="str">
        <f t="shared" si="215"/>
        <v/>
      </c>
      <c r="GH74" s="189" t="str">
        <f t="shared" si="216"/>
        <v/>
      </c>
      <c r="GI74" s="189" t="str">
        <f t="shared" si="340"/>
        <v/>
      </c>
      <c r="GJ74" s="206" t="str">
        <f t="shared" si="217"/>
        <v/>
      </c>
      <c r="GK74" s="205" t="str">
        <f t="shared" si="341"/>
        <v/>
      </c>
      <c r="GL74" s="189" t="str">
        <f t="shared" si="218"/>
        <v/>
      </c>
      <c r="GM74" s="189" t="str">
        <f t="shared" si="219"/>
        <v/>
      </c>
      <c r="GN74" s="189" t="str">
        <f t="shared" si="220"/>
        <v/>
      </c>
      <c r="GO74" s="189" t="str">
        <f t="shared" si="221"/>
        <v/>
      </c>
      <c r="GP74" s="189" t="str">
        <f t="shared" si="342"/>
        <v/>
      </c>
      <c r="GQ74" s="206" t="str">
        <f t="shared" si="222"/>
        <v/>
      </c>
      <c r="GR74" s="189" t="str">
        <f t="shared" si="343"/>
        <v/>
      </c>
      <c r="GS74" s="189" t="str">
        <f t="shared" si="344"/>
        <v/>
      </c>
      <c r="GT74" s="207" t="str">
        <f t="shared" si="345"/>
        <v xml:space="preserve">    </v>
      </c>
      <c r="GU74" s="207" t="str">
        <f t="shared" si="346"/>
        <v xml:space="preserve">    </v>
      </c>
      <c r="GV74" s="207" t="str">
        <f t="shared" si="347"/>
        <v xml:space="preserve">    </v>
      </c>
      <c r="GW74" s="207" t="str">
        <f t="shared" si="348"/>
        <v xml:space="preserve">       </v>
      </c>
      <c r="GX74" s="598" t="str">
        <f t="shared" si="349"/>
        <v xml:space="preserve">     </v>
      </c>
      <c r="GY74" s="208" t="str">
        <f t="shared" si="223"/>
        <v/>
      </c>
      <c r="GZ74" s="606" t="str">
        <f>IF(AND(Q74="",AE74="",AZ74="",BW74="",CT74=""),"",IF(AND('Master Sheet'!$D$19="YES",'Marks Entry'!$BA$1=1),SUM(Q74,AE74,AZ74,BW74,DT74),SUM(Q74,AE74,AZ74,BW74,CT74)))</f>
        <v/>
      </c>
      <c r="HA74" s="209" t="str">
        <f>IF(GZ74="","",IF(AND('Master Sheet'!$D$19="YES",'Marks Entry'!$BA$1=1),GZ74/((900)-DC74)*100,GZ74/((1000)-DC74)*100))</f>
        <v/>
      </c>
      <c r="HB74" s="611" t="str">
        <f t="shared" si="350"/>
        <v/>
      </c>
      <c r="HC74" s="609" t="str">
        <f t="shared" si="351"/>
        <v/>
      </c>
      <c r="HD74" s="610" t="str">
        <f t="shared" si="352"/>
        <v/>
      </c>
      <c r="HE74" s="210" t="str">
        <f>IFERROR(IF(OR(GY74="SUPPLEMENTARY",GY74="RE-EXAM"),'Supp. Result Entry'!AS73,""),"")</f>
        <v/>
      </c>
      <c r="HF74" s="613" t="str">
        <f t="shared" si="353"/>
        <v/>
      </c>
      <c r="HG74" s="598" t="str">
        <f t="shared" si="354"/>
        <v/>
      </c>
      <c r="HH74" s="598" t="str">
        <f>IF(AND(HE74="",HF74="",HG74=""),"",IF(OR(GY74="SUPPLEMENTARY",GY74="RE-EXAM"),'Supp. Result Entry'!AS73,GY74))</f>
        <v/>
      </c>
      <c r="HI74" s="180"/>
      <c r="HY74" s="212" t="str">
        <f>IF('Supp. Result Entry'!U73="","",'Supp. Result Entry'!$U$6)</f>
        <v/>
      </c>
      <c r="HZ74" s="213" t="str">
        <f>IF('Supp. Result Entry'!X73="","",'Supp. Result Entry'!$X$6)</f>
        <v/>
      </c>
      <c r="IA74" s="213" t="str">
        <f>IF('Supp. Result Entry'!AA73="","",'Supp. Result Entry'!$AA$6)</f>
        <v/>
      </c>
      <c r="IB74" s="213" t="str">
        <f>IF('Supp. Result Entry'!AD73="","",'Supp. Result Entry'!$AD$6)</f>
        <v/>
      </c>
      <c r="IC74" s="213" t="str">
        <f>IF('Supp. Result Entry'!AG73="","",'Supp. Result Entry'!$AG$6)</f>
        <v/>
      </c>
      <c r="ID74" s="213" t="str">
        <f>IF('Supp. Result Entry'!AJ73="","",'Supp. Result Entry'!$AJ$6)</f>
        <v/>
      </c>
      <c r="IE74" s="213" t="str">
        <f>IF('Supp. Result Entry'!V73="","",'Supp. Result Entry'!V73)</f>
        <v/>
      </c>
      <c r="IF74" s="213" t="str">
        <f>IF('Supp. Result Entry'!Y73="","",'Supp. Result Entry'!Y73)</f>
        <v/>
      </c>
      <c r="IG74" s="213" t="str">
        <f>IF('Supp. Result Entry'!AB73="","",'Supp. Result Entry'!AB73)</f>
        <v/>
      </c>
      <c r="IH74" s="213" t="str">
        <f>IF('Supp. Result Entry'!AE73="","",'Supp. Result Entry'!AE73)</f>
        <v/>
      </c>
      <c r="II74" s="213" t="str">
        <f>IF('Supp. Result Entry'!AH73="","",'Supp. Result Entry'!AH73)</f>
        <v/>
      </c>
      <c r="IJ74" s="213" t="str">
        <f>IF('Supp. Result Entry'!AK73="","",'Supp. Result Entry'!AK73)</f>
        <v/>
      </c>
      <c r="IK74" s="213" t="str">
        <f>IF('Supp. Result Entry'!W73="","",'Supp. Result Entry'!W73)</f>
        <v/>
      </c>
      <c r="IL74" s="213" t="str">
        <f>IF('Supp. Result Entry'!Z73="","",'Supp. Result Entry'!Z73)</f>
        <v/>
      </c>
      <c r="IM74" s="213" t="str">
        <f>IF('Supp. Result Entry'!AC73="","",'Supp. Result Entry'!AC73)</f>
        <v/>
      </c>
      <c r="IN74" s="213" t="str">
        <f>IF('Supp. Result Entry'!AF73="","",'Supp. Result Entry'!AF73)</f>
        <v/>
      </c>
      <c r="IO74" s="213" t="str">
        <f>IF('Supp. Result Entry'!AI73="","",'Supp. Result Entry'!AI73)</f>
        <v/>
      </c>
      <c r="IP74" s="213" t="str">
        <f>IF('Supp. Result Entry'!AL73="","",'Supp. Result Entry'!AL73)</f>
        <v/>
      </c>
      <c r="IQ74" s="213">
        <f>COUNTIF('Supp. Result Entry'!K73:Q73,"S")</f>
        <v>0</v>
      </c>
      <c r="IR74" s="213">
        <f t="shared" si="355"/>
        <v>0</v>
      </c>
      <c r="IS74" s="213">
        <f t="shared" si="356"/>
        <v>0</v>
      </c>
      <c r="IT74" s="213" t="str">
        <f t="shared" si="224"/>
        <v/>
      </c>
      <c r="IU74" s="213" t="str">
        <f t="shared" si="225"/>
        <v/>
      </c>
      <c r="IV74" s="213" t="str">
        <f t="shared" si="226"/>
        <v/>
      </c>
      <c r="IW74" s="213" t="str">
        <f t="shared" si="227"/>
        <v/>
      </c>
      <c r="IX74" s="213" t="str">
        <f t="shared" si="228"/>
        <v/>
      </c>
      <c r="IY74" s="213" t="str">
        <f t="shared" si="357"/>
        <v/>
      </c>
      <c r="IZ74" s="213" t="str">
        <f t="shared" si="358"/>
        <v/>
      </c>
      <c r="JA74" s="213" t="str">
        <f t="shared" si="229"/>
        <v/>
      </c>
      <c r="JB74" s="211" t="str">
        <f t="shared" si="359"/>
        <v/>
      </c>
    </row>
    <row r="75" spans="1:262" s="211" customFormat="1" ht="21" customHeight="1">
      <c r="A75" s="184">
        <v>68</v>
      </c>
      <c r="B75" s="185" t="str">
        <f>IF('Marks Entry'!B75="","",'Marks Entry'!B75)</f>
        <v/>
      </c>
      <c r="C75" s="186" t="str">
        <f>IF('Marks Entry'!D75="","",'Marks Entry'!D75)</f>
        <v/>
      </c>
      <c r="D75" s="187" t="str">
        <f>IF('Marks Entry'!E75="","",'Marks Entry'!E75)</f>
        <v/>
      </c>
      <c r="E75" s="188" t="str">
        <f>IF('Marks Entry'!F75="","",'Marks Entry'!F75)</f>
        <v/>
      </c>
      <c r="F75" s="188" t="str">
        <f>IF('Marks Entry'!G75="","",'Marks Entry'!G75)</f>
        <v/>
      </c>
      <c r="G75" s="188" t="str">
        <f>IF('Marks Entry'!H75="","",'Marks Entry'!H75)</f>
        <v/>
      </c>
      <c r="H75" s="189" t="str">
        <f>IF('Marks Entry'!I75="","",'Marks Entry'!I75)</f>
        <v/>
      </c>
      <c r="I75" s="190" t="str">
        <f>IF('Marks Entry'!J75="","",'Marks Entry'!J75)</f>
        <v/>
      </c>
      <c r="J75" s="545" t="str">
        <f>IF('Marks Entry'!K75="","",'Marks Entry'!K75)</f>
        <v/>
      </c>
      <c r="K75" s="545" t="str">
        <f>IF('Marks Entry'!L75="","",'Marks Entry'!L75)</f>
        <v/>
      </c>
      <c r="L75" s="545" t="str">
        <f>IF('Marks Entry'!M75="","",'Marks Entry'!M75)</f>
        <v/>
      </c>
      <c r="M75" s="546" t="str">
        <f t="shared" si="230"/>
        <v/>
      </c>
      <c r="N75" s="545" t="str">
        <f>IF('Marks Entry'!N75="","",'Marks Entry'!N75)</f>
        <v/>
      </c>
      <c r="O75" s="546" t="str">
        <f t="shared" si="231"/>
        <v/>
      </c>
      <c r="P75" s="545" t="str">
        <f>IF('Marks Entry'!O75="","",'Marks Entry'!O75)</f>
        <v/>
      </c>
      <c r="Q75" s="547" t="str">
        <f t="shared" si="232"/>
        <v/>
      </c>
      <c r="R75" s="153">
        <f t="shared" si="233"/>
        <v>0</v>
      </c>
      <c r="S75" s="153">
        <f t="shared" si="234"/>
        <v>0</v>
      </c>
      <c r="T75" s="154" t="str">
        <f t="shared" si="235"/>
        <v/>
      </c>
      <c r="U75" s="153" t="str">
        <f t="shared" si="236"/>
        <v/>
      </c>
      <c r="V75" s="153" t="str">
        <f t="shared" si="237"/>
        <v/>
      </c>
      <c r="W75" s="153" t="str">
        <f t="shared" si="238"/>
        <v/>
      </c>
      <c r="X75" s="545" t="str">
        <f>IF('Marks Entry'!P75="","",'Marks Entry'!P75)</f>
        <v/>
      </c>
      <c r="Y75" s="545" t="str">
        <f>IF('Marks Entry'!Q75="","",'Marks Entry'!Q75)</f>
        <v/>
      </c>
      <c r="Z75" s="545" t="str">
        <f>IF('Marks Entry'!R75="","",'Marks Entry'!R75)</f>
        <v/>
      </c>
      <c r="AA75" s="546" t="str">
        <f t="shared" si="239"/>
        <v/>
      </c>
      <c r="AB75" s="545" t="str">
        <f>IF('Marks Entry'!S75="","",'Marks Entry'!S75)</f>
        <v/>
      </c>
      <c r="AC75" s="546" t="str">
        <f t="shared" si="240"/>
        <v/>
      </c>
      <c r="AD75" s="545" t="str">
        <f>IF('Marks Entry'!T75="","",'Marks Entry'!T75)</f>
        <v/>
      </c>
      <c r="AE75" s="547" t="str">
        <f t="shared" si="241"/>
        <v/>
      </c>
      <c r="AF75" s="153">
        <f t="shared" si="242"/>
        <v>0</v>
      </c>
      <c r="AG75" s="153">
        <f t="shared" si="243"/>
        <v>0</v>
      </c>
      <c r="AH75" s="154" t="str">
        <f t="shared" si="244"/>
        <v/>
      </c>
      <c r="AI75" s="153" t="str">
        <f t="shared" si="245"/>
        <v/>
      </c>
      <c r="AJ75" s="153" t="str">
        <f t="shared" si="246"/>
        <v/>
      </c>
      <c r="AK75" s="153" t="str">
        <f t="shared" si="247"/>
        <v/>
      </c>
      <c r="AL75" s="573" t="str">
        <f>IF('Marks Entry'!U75="","",'Marks Entry'!U75)</f>
        <v/>
      </c>
      <c r="AM75" s="573" t="str">
        <f>IF('Marks Entry'!V75="","",'Marks Entry'!V75)</f>
        <v/>
      </c>
      <c r="AN75" s="573" t="str">
        <f>IF('Marks Entry'!W75="","",'Marks Entry'!W75)</f>
        <v/>
      </c>
      <c r="AO75" s="573" t="str">
        <f>IF('Marks Entry'!X75="","",'Marks Entry'!X75)</f>
        <v/>
      </c>
      <c r="AP75" s="572" t="str">
        <f t="shared" si="248"/>
        <v/>
      </c>
      <c r="AQ75" s="573" t="str">
        <f>IF('Marks Entry'!Y75="","",'Marks Entry'!Y75)</f>
        <v/>
      </c>
      <c r="AR75" s="573" t="str">
        <f>IF('Marks Entry'!Z75="","",'Marks Entry'!Z75)</f>
        <v/>
      </c>
      <c r="AS75" s="572" t="str">
        <f t="shared" si="249"/>
        <v/>
      </c>
      <c r="AT75" s="572" t="str">
        <f t="shared" si="250"/>
        <v/>
      </c>
      <c r="AU75" s="573" t="str">
        <f>IF('Marks Entry'!AA75="","",'Marks Entry'!AA75)</f>
        <v/>
      </c>
      <c r="AV75" s="573" t="str">
        <f>IF('Marks Entry'!AB75="","",'Marks Entry'!AB75)</f>
        <v/>
      </c>
      <c r="AW75" s="572" t="str">
        <f t="shared" si="251"/>
        <v/>
      </c>
      <c r="AX75" s="157" t="str">
        <f t="shared" si="252"/>
        <v/>
      </c>
      <c r="AY75" s="157" t="str">
        <f t="shared" si="253"/>
        <v/>
      </c>
      <c r="AZ75" s="192" t="str">
        <f t="shared" si="254"/>
        <v/>
      </c>
      <c r="BA75" s="153">
        <f t="shared" si="255"/>
        <v>0</v>
      </c>
      <c r="BB75" s="154">
        <f t="shared" si="256"/>
        <v>0</v>
      </c>
      <c r="BC75" s="154" t="str">
        <f t="shared" si="257"/>
        <v/>
      </c>
      <c r="BD75" s="154" t="str">
        <f t="shared" si="258"/>
        <v/>
      </c>
      <c r="BE75" s="154" t="str">
        <f t="shared" si="259"/>
        <v/>
      </c>
      <c r="BF75" s="153" t="str">
        <f t="shared" si="260"/>
        <v/>
      </c>
      <c r="BG75" s="154" t="str">
        <f t="shared" si="261"/>
        <v/>
      </c>
      <c r="BH75" s="153" t="str">
        <f t="shared" si="262"/>
        <v/>
      </c>
      <c r="BI75" s="580" t="str">
        <f>IF('Marks Entry'!AC75="","",'Marks Entry'!AC75)</f>
        <v/>
      </c>
      <c r="BJ75" s="580" t="str">
        <f>IF('Marks Entry'!AD75="","",'Marks Entry'!AD75)</f>
        <v/>
      </c>
      <c r="BK75" s="580" t="str">
        <f>IF('Marks Entry'!AE75="","",'Marks Entry'!AE75)</f>
        <v/>
      </c>
      <c r="BL75" s="580" t="str">
        <f>IF('Marks Entry'!AF75="","",'Marks Entry'!AF75)</f>
        <v/>
      </c>
      <c r="BM75" s="581" t="str">
        <f t="shared" si="263"/>
        <v/>
      </c>
      <c r="BN75" s="580" t="str">
        <f>IF('Marks Entry'!AG75="","",'Marks Entry'!AG75)</f>
        <v/>
      </c>
      <c r="BO75" s="580" t="str">
        <f>IF('Marks Entry'!AH75="","",'Marks Entry'!AH75)</f>
        <v/>
      </c>
      <c r="BP75" s="581" t="str">
        <f t="shared" si="264"/>
        <v/>
      </c>
      <c r="BQ75" s="581" t="str">
        <f t="shared" si="265"/>
        <v/>
      </c>
      <c r="BR75" s="580" t="str">
        <f>IF('Marks Entry'!AI75="","",'Marks Entry'!AI75)</f>
        <v/>
      </c>
      <c r="BS75" s="580" t="str">
        <f>IF('Marks Entry'!AJ75="","",'Marks Entry'!AJ75)</f>
        <v/>
      </c>
      <c r="BT75" s="581" t="str">
        <f t="shared" si="266"/>
        <v/>
      </c>
      <c r="BU75" s="157" t="str">
        <f t="shared" si="267"/>
        <v/>
      </c>
      <c r="BV75" s="157" t="str">
        <f t="shared" si="268"/>
        <v/>
      </c>
      <c r="BW75" s="192" t="str">
        <f t="shared" si="269"/>
        <v/>
      </c>
      <c r="BX75" s="153">
        <f t="shared" si="270"/>
        <v>0</v>
      </c>
      <c r="BY75" s="154">
        <f t="shared" si="271"/>
        <v>0</v>
      </c>
      <c r="BZ75" s="154" t="str">
        <f t="shared" si="272"/>
        <v/>
      </c>
      <c r="CA75" s="154" t="str">
        <f t="shared" si="273"/>
        <v/>
      </c>
      <c r="CB75" s="154" t="str">
        <f t="shared" si="274"/>
        <v/>
      </c>
      <c r="CC75" s="153" t="str">
        <f t="shared" si="275"/>
        <v/>
      </c>
      <c r="CD75" s="154" t="str">
        <f t="shared" si="276"/>
        <v/>
      </c>
      <c r="CE75" s="153" t="str">
        <f t="shared" si="277"/>
        <v/>
      </c>
      <c r="CF75" s="580" t="str">
        <f>IF('Marks Entry'!AK75="","",'Marks Entry'!AK75)</f>
        <v/>
      </c>
      <c r="CG75" s="580" t="str">
        <f>IF('Marks Entry'!AL75="","",'Marks Entry'!AL75)</f>
        <v/>
      </c>
      <c r="CH75" s="580" t="str">
        <f>IF('Marks Entry'!AM75="","",'Marks Entry'!AM75)</f>
        <v/>
      </c>
      <c r="CI75" s="580" t="str">
        <f>IF('Marks Entry'!AN75="","",'Marks Entry'!AN75)</f>
        <v/>
      </c>
      <c r="CJ75" s="581" t="str">
        <f t="shared" si="278"/>
        <v/>
      </c>
      <c r="CK75" s="580" t="str">
        <f>IF('Marks Entry'!AO75="","",'Marks Entry'!AO75)</f>
        <v/>
      </c>
      <c r="CL75" s="580" t="str">
        <f>IF('Marks Entry'!AP75="","",'Marks Entry'!AP75)</f>
        <v/>
      </c>
      <c r="CM75" s="581" t="str">
        <f t="shared" si="279"/>
        <v/>
      </c>
      <c r="CN75" s="581" t="str">
        <f t="shared" si="280"/>
        <v/>
      </c>
      <c r="CO75" s="580" t="str">
        <f>IF('Marks Entry'!AQ75="","",'Marks Entry'!AQ75)</f>
        <v/>
      </c>
      <c r="CP75" s="580" t="str">
        <f>IF('Marks Entry'!AR75="","",'Marks Entry'!AR75)</f>
        <v/>
      </c>
      <c r="CQ75" s="581" t="str">
        <f t="shared" si="281"/>
        <v/>
      </c>
      <c r="CR75" s="157" t="str">
        <f t="shared" si="282"/>
        <v/>
      </c>
      <c r="CS75" s="157" t="str">
        <f t="shared" si="283"/>
        <v/>
      </c>
      <c r="CT75" s="192" t="str">
        <f t="shared" si="284"/>
        <v/>
      </c>
      <c r="CU75" s="153">
        <f t="shared" si="285"/>
        <v>0</v>
      </c>
      <c r="CV75" s="154">
        <f t="shared" si="286"/>
        <v>0</v>
      </c>
      <c r="CW75" s="154" t="str">
        <f t="shared" si="287"/>
        <v/>
      </c>
      <c r="CX75" s="154" t="str">
        <f t="shared" si="288"/>
        <v/>
      </c>
      <c r="CY75" s="154" t="str">
        <f t="shared" si="289"/>
        <v/>
      </c>
      <c r="CZ75" s="153" t="str">
        <f t="shared" si="290"/>
        <v/>
      </c>
      <c r="DA75" s="154" t="str">
        <f t="shared" si="291"/>
        <v/>
      </c>
      <c r="DB75" s="153" t="str">
        <f t="shared" si="292"/>
        <v/>
      </c>
      <c r="DC75" s="154">
        <f t="shared" si="293"/>
        <v>0</v>
      </c>
      <c r="DD75" s="826" t="str">
        <f>IF('Marks Entry'!AS75="","",IF(OR('Master Sheet'!$D$19="YES",'Marks Entry'!$BA$1=1),'Marks Entry'!AS75,""))</f>
        <v/>
      </c>
      <c r="DE75" s="826" t="str">
        <f>IF('Marks Entry'!AT75="","",IF(OR('Master Sheet'!$D$19="YES",'Marks Entry'!$BA$1=1),'Marks Entry'!AT75,""))</f>
        <v/>
      </c>
      <c r="DF75" s="826" t="str">
        <f>IF('Marks Entry'!AU75="","",IF(OR('Master Sheet'!$D$19="YES",'Marks Entry'!$BA$1=1),'Marks Entry'!AU75,""))</f>
        <v/>
      </c>
      <c r="DG75" s="826" t="str">
        <f>IF('Marks Entry'!AV75="","",IF(OR('Master Sheet'!$D$19="YES",'Marks Entry'!$BA$1=1),'Marks Entry'!AV75,""))</f>
        <v/>
      </c>
      <c r="DH75" s="827" t="str">
        <f t="shared" si="294"/>
        <v/>
      </c>
      <c r="DI75" s="826" t="str">
        <f>IF('Marks Entry'!AW75="","",IF(OR('Master Sheet'!$D$19="YES",'Marks Entry'!$BA$1=1),'Marks Entry'!AW75,""))</f>
        <v/>
      </c>
      <c r="DJ75" s="826" t="str">
        <f>IF('Marks Entry'!AX75="","",IF(OR('Master Sheet'!$D$19="YES",'Marks Entry'!$BA$1=1),'Marks Entry'!AX75,""))</f>
        <v/>
      </c>
      <c r="DK75" s="827" t="str">
        <f t="shared" si="295"/>
        <v/>
      </c>
      <c r="DL75" s="827" t="str">
        <f t="shared" si="296"/>
        <v/>
      </c>
      <c r="DM75" s="826" t="str">
        <f>IF('Marks Entry'!AY75="","",IF(OR('Master Sheet'!$D$19="YES",'Marks Entry'!$BA$1=1),'Marks Entry'!AY75,""))</f>
        <v/>
      </c>
      <c r="DN75" s="826" t="str">
        <f>IF('Marks Entry'!AZ75="","",IF(OR('Master Sheet'!$D$19="YES",'Marks Entry'!$BA$1=1),'Marks Entry'!AZ75,""))</f>
        <v/>
      </c>
      <c r="DO75" s="826" t="str">
        <f>IF('Marks Entry'!BA75="","",IF(OR('Master Sheet'!$D$19="YES",'Marks Entry'!$BA$1=1),'Marks Entry'!BA75,""))</f>
        <v/>
      </c>
      <c r="DP75" s="827" t="str">
        <f t="shared" si="297"/>
        <v/>
      </c>
      <c r="DQ75" s="157" t="str">
        <f t="shared" si="298"/>
        <v/>
      </c>
      <c r="DR75" s="157" t="str">
        <f t="shared" si="299"/>
        <v/>
      </c>
      <c r="DS75" s="157" t="str">
        <f t="shared" si="300"/>
        <v/>
      </c>
      <c r="DT75" s="192" t="str">
        <f t="shared" si="301"/>
        <v/>
      </c>
      <c r="DU75" s="153">
        <f t="shared" si="302"/>
        <v>0</v>
      </c>
      <c r="DV75" s="154" t="e">
        <f t="shared" si="303"/>
        <v>#VALUE!</v>
      </c>
      <c r="DW75" s="154" t="str">
        <f t="shared" si="304"/>
        <v/>
      </c>
      <c r="DX75" s="154" t="str">
        <f>IF(OR($B75="NSO",$B75=0,DS75=""),"",IF(AND(DJ75="",DO75=""),"",IF('Master Sheet'!$D$19="YES",$DO$6-COUNTIF(DO75,"ML")*DO$6,DS$6-(COUNTIF(DJ75,"ML")*DJ$6)-(COUNTIF(DO75,"ML")*DO$6))))</f>
        <v/>
      </c>
      <c r="DY75" s="154" t="str">
        <f>IF(OR($B75="NSO",$B75=0),"",IF(AND(DH75="",DI75="",DM75=""),"",IF(AND('Master Sheet'!$D$19="YES",'Marks Entry'!$BA$1=1),100,IF(AND(DJ75="",DO75=""),SUM(($DQ$7+$DR$7)-(DU75+DV75)),SUM(($DQ$6+$DR$6)-(DU75+DV75))))))</f>
        <v/>
      </c>
      <c r="DZ75" s="153" t="str">
        <f t="shared" si="305"/>
        <v/>
      </c>
      <c r="EA75" s="154" t="str">
        <f t="shared" si="306"/>
        <v/>
      </c>
      <c r="EB75" s="153" t="str">
        <f t="shared" si="307"/>
        <v/>
      </c>
      <c r="EC75" s="584" t="str">
        <f>IF('Marks Entry'!BB75="","",'Marks Entry'!BB75)</f>
        <v/>
      </c>
      <c r="ED75" s="584" t="str">
        <f>IF('Marks Entry'!BC75="","",'Marks Entry'!BC75)</f>
        <v/>
      </c>
      <c r="EE75" s="584" t="str">
        <f>IF('Marks Entry'!BD75="","",'Marks Entry'!BD75)</f>
        <v/>
      </c>
      <c r="EF75" s="590" t="str">
        <f t="shared" si="308"/>
        <v/>
      </c>
      <c r="EG75" s="595">
        <f t="shared" si="309"/>
        <v>0</v>
      </c>
      <c r="EH75" s="595">
        <f t="shared" si="310"/>
        <v>0</v>
      </c>
      <c r="EI75" s="193" t="str">
        <f t="shared" si="311"/>
        <v/>
      </c>
      <c r="EJ75" s="595" t="str">
        <f t="shared" si="312"/>
        <v/>
      </c>
      <c r="EK75" s="595" t="str">
        <f t="shared" si="313"/>
        <v/>
      </c>
      <c r="EL75" s="194" t="str">
        <f t="shared" si="314"/>
        <v/>
      </c>
      <c r="EM75" s="194" t="str">
        <f t="shared" si="315"/>
        <v/>
      </c>
      <c r="EN75" s="194" t="str">
        <f t="shared" si="316"/>
        <v/>
      </c>
      <c r="EO75" s="194" t="str">
        <f t="shared" si="317"/>
        <v/>
      </c>
      <c r="EP75" s="194" t="str">
        <f t="shared" si="318"/>
        <v/>
      </c>
      <c r="EQ75" s="194" t="str">
        <f t="shared" si="319"/>
        <v/>
      </c>
      <c r="ER75" s="195">
        <f t="shared" si="320"/>
        <v>0</v>
      </c>
      <c r="ES75" s="195">
        <f t="shared" si="321"/>
        <v>0</v>
      </c>
      <c r="ET75" s="195">
        <f t="shared" si="322"/>
        <v>0</v>
      </c>
      <c r="EU75" s="195">
        <f t="shared" si="323"/>
        <v>0</v>
      </c>
      <c r="EV75" s="195">
        <f t="shared" si="324"/>
        <v>0</v>
      </c>
      <c r="EW75" s="195" t="str">
        <f t="shared" si="325"/>
        <v/>
      </c>
      <c r="EX75" s="196" t="str">
        <f t="shared" si="326"/>
        <v/>
      </c>
      <c r="EY75" s="197" t="str">
        <f>IF('Marks Entry'!BE75="","",'Marks Entry'!BE75)</f>
        <v/>
      </c>
      <c r="EZ75" s="197" t="str">
        <f>IF('Marks Entry'!BF75="","",'Marks Entry'!BF75)</f>
        <v/>
      </c>
      <c r="FA75" s="197" t="str">
        <f>IF('Marks Entry'!BG75="","",'Marks Entry'!BG75)</f>
        <v/>
      </c>
      <c r="FB75" s="596" t="str">
        <f t="shared" si="327"/>
        <v/>
      </c>
      <c r="FC75" s="197" t="str">
        <f>IF('Marks Entry'!BH75="","",'Marks Entry'!BH75)</f>
        <v/>
      </c>
      <c r="FD75" s="197" t="str">
        <f>IF('Marks Entry'!BI75="","",'Marks Entry'!BI75)</f>
        <v/>
      </c>
      <c r="FE75" s="198" t="str">
        <f t="shared" si="328"/>
        <v/>
      </c>
      <c r="FF75" s="199" t="str">
        <f t="shared" si="329"/>
        <v/>
      </c>
      <c r="FG75" s="200" t="str">
        <f>IF(AND(E75=""),"",IF('Student DATA Entry'!L71="","",'Student DATA Entry'!L71))</f>
        <v/>
      </c>
      <c r="FH75" s="201" t="str">
        <f>IF(AND(E75=""),"",IF('Student DATA Entry'!M71="","",'Student DATA Entry'!M71))</f>
        <v/>
      </c>
      <c r="FI75" s="202" t="str">
        <f t="shared" si="330"/>
        <v/>
      </c>
      <c r="FJ75" s="189" t="str">
        <f t="shared" si="331"/>
        <v/>
      </c>
      <c r="FK75" s="189" t="str">
        <f t="shared" si="332"/>
        <v/>
      </c>
      <c r="FL75" s="203" t="str">
        <f t="shared" si="201"/>
        <v/>
      </c>
      <c r="FM75" s="189" t="str">
        <f t="shared" si="333"/>
        <v/>
      </c>
      <c r="FN75" s="204" t="str">
        <f t="shared" si="334"/>
        <v/>
      </c>
      <c r="FO75" s="203" t="str">
        <f t="shared" si="202"/>
        <v/>
      </c>
      <c r="FP75" s="205" t="str">
        <f t="shared" si="335"/>
        <v/>
      </c>
      <c r="FQ75" s="189" t="str">
        <f t="shared" si="203"/>
        <v/>
      </c>
      <c r="FR75" s="189" t="str">
        <f t="shared" si="204"/>
        <v/>
      </c>
      <c r="FS75" s="189" t="str">
        <f t="shared" si="205"/>
        <v/>
      </c>
      <c r="FT75" s="189" t="str">
        <f t="shared" si="206"/>
        <v/>
      </c>
      <c r="FU75" s="189" t="str">
        <f t="shared" si="336"/>
        <v/>
      </c>
      <c r="FV75" s="206" t="str">
        <f t="shared" si="207"/>
        <v/>
      </c>
      <c r="FW75" s="205" t="str">
        <f t="shared" si="337"/>
        <v/>
      </c>
      <c r="FX75" s="189" t="str">
        <f t="shared" si="208"/>
        <v/>
      </c>
      <c r="FY75" s="189" t="str">
        <f t="shared" si="209"/>
        <v/>
      </c>
      <c r="FZ75" s="189" t="str">
        <f t="shared" si="210"/>
        <v/>
      </c>
      <c r="GA75" s="189" t="str">
        <f t="shared" si="211"/>
        <v/>
      </c>
      <c r="GB75" s="189" t="str">
        <f t="shared" si="338"/>
        <v/>
      </c>
      <c r="GC75" s="206" t="str">
        <f t="shared" si="212"/>
        <v/>
      </c>
      <c r="GD75" s="205" t="str">
        <f t="shared" si="339"/>
        <v/>
      </c>
      <c r="GE75" s="189" t="str">
        <f t="shared" si="213"/>
        <v/>
      </c>
      <c r="GF75" s="189" t="str">
        <f t="shared" si="214"/>
        <v/>
      </c>
      <c r="GG75" s="189" t="str">
        <f t="shared" si="215"/>
        <v/>
      </c>
      <c r="GH75" s="189" t="str">
        <f t="shared" si="216"/>
        <v/>
      </c>
      <c r="GI75" s="189" t="str">
        <f t="shared" si="340"/>
        <v/>
      </c>
      <c r="GJ75" s="206" t="str">
        <f t="shared" si="217"/>
        <v/>
      </c>
      <c r="GK75" s="205" t="str">
        <f t="shared" si="341"/>
        <v/>
      </c>
      <c r="GL75" s="189" t="str">
        <f t="shared" si="218"/>
        <v/>
      </c>
      <c r="GM75" s="189" t="str">
        <f t="shared" si="219"/>
        <v/>
      </c>
      <c r="GN75" s="189" t="str">
        <f t="shared" si="220"/>
        <v/>
      </c>
      <c r="GO75" s="189" t="str">
        <f t="shared" si="221"/>
        <v/>
      </c>
      <c r="GP75" s="189" t="str">
        <f t="shared" si="342"/>
        <v/>
      </c>
      <c r="GQ75" s="206" t="str">
        <f t="shared" si="222"/>
        <v/>
      </c>
      <c r="GR75" s="189" t="str">
        <f t="shared" si="343"/>
        <v/>
      </c>
      <c r="GS75" s="189" t="str">
        <f t="shared" si="344"/>
        <v/>
      </c>
      <c r="GT75" s="207" t="str">
        <f t="shared" si="345"/>
        <v xml:space="preserve">    </v>
      </c>
      <c r="GU75" s="207" t="str">
        <f t="shared" si="346"/>
        <v xml:space="preserve">    </v>
      </c>
      <c r="GV75" s="207" t="str">
        <f t="shared" si="347"/>
        <v xml:space="preserve">    </v>
      </c>
      <c r="GW75" s="207" t="str">
        <f t="shared" si="348"/>
        <v xml:space="preserve">       </v>
      </c>
      <c r="GX75" s="598" t="str">
        <f t="shared" si="349"/>
        <v xml:space="preserve">     </v>
      </c>
      <c r="GY75" s="208" t="str">
        <f t="shared" si="223"/>
        <v/>
      </c>
      <c r="GZ75" s="606" t="str">
        <f>IF(AND(Q75="",AE75="",AZ75="",BW75="",CT75=""),"",IF(AND('Master Sheet'!$D$19="YES",'Marks Entry'!$BA$1=1),SUM(Q75,AE75,AZ75,BW75,DT75),SUM(Q75,AE75,AZ75,BW75,CT75)))</f>
        <v/>
      </c>
      <c r="HA75" s="209" t="str">
        <f>IF(GZ75="","",IF(AND('Master Sheet'!$D$19="YES",'Marks Entry'!$BA$1=1),GZ75/((900)-DC75)*100,GZ75/((1000)-DC75)*100))</f>
        <v/>
      </c>
      <c r="HB75" s="611" t="str">
        <f t="shared" si="350"/>
        <v/>
      </c>
      <c r="HC75" s="609" t="str">
        <f t="shared" si="351"/>
        <v/>
      </c>
      <c r="HD75" s="610" t="str">
        <f t="shared" si="352"/>
        <v/>
      </c>
      <c r="HE75" s="210" t="str">
        <f>IFERROR(IF(OR(GY75="SUPPLEMENTARY",GY75="RE-EXAM"),'Supp. Result Entry'!AS74,""),"")</f>
        <v/>
      </c>
      <c r="HF75" s="613" t="str">
        <f t="shared" si="353"/>
        <v/>
      </c>
      <c r="HG75" s="598" t="str">
        <f t="shared" si="354"/>
        <v/>
      </c>
      <c r="HH75" s="598" t="str">
        <f>IF(AND(HE75="",HF75="",HG75=""),"",IF(OR(GY75="SUPPLEMENTARY",GY75="RE-EXAM"),'Supp. Result Entry'!AS74,GY75))</f>
        <v/>
      </c>
      <c r="HI75" s="180"/>
      <c r="HY75" s="212" t="str">
        <f>IF('Supp. Result Entry'!U74="","",'Supp. Result Entry'!$U$6)</f>
        <v/>
      </c>
      <c r="HZ75" s="213" t="str">
        <f>IF('Supp. Result Entry'!X74="","",'Supp. Result Entry'!$X$6)</f>
        <v/>
      </c>
      <c r="IA75" s="213" t="str">
        <f>IF('Supp. Result Entry'!AA74="","",'Supp. Result Entry'!$AA$6)</f>
        <v/>
      </c>
      <c r="IB75" s="213" t="str">
        <f>IF('Supp. Result Entry'!AD74="","",'Supp. Result Entry'!$AD$6)</f>
        <v/>
      </c>
      <c r="IC75" s="213" t="str">
        <f>IF('Supp. Result Entry'!AG74="","",'Supp. Result Entry'!$AG$6)</f>
        <v/>
      </c>
      <c r="ID75" s="213" t="str">
        <f>IF('Supp. Result Entry'!AJ74="","",'Supp. Result Entry'!$AJ$6)</f>
        <v/>
      </c>
      <c r="IE75" s="213" t="str">
        <f>IF('Supp. Result Entry'!V74="","",'Supp. Result Entry'!V74)</f>
        <v/>
      </c>
      <c r="IF75" s="213" t="str">
        <f>IF('Supp. Result Entry'!Y74="","",'Supp. Result Entry'!Y74)</f>
        <v/>
      </c>
      <c r="IG75" s="213" t="str">
        <f>IF('Supp. Result Entry'!AB74="","",'Supp. Result Entry'!AB74)</f>
        <v/>
      </c>
      <c r="IH75" s="213" t="str">
        <f>IF('Supp. Result Entry'!AE74="","",'Supp. Result Entry'!AE74)</f>
        <v/>
      </c>
      <c r="II75" s="213" t="str">
        <f>IF('Supp. Result Entry'!AH74="","",'Supp. Result Entry'!AH74)</f>
        <v/>
      </c>
      <c r="IJ75" s="213" t="str">
        <f>IF('Supp. Result Entry'!AK74="","",'Supp. Result Entry'!AK74)</f>
        <v/>
      </c>
      <c r="IK75" s="213" t="str">
        <f>IF('Supp. Result Entry'!W74="","",'Supp. Result Entry'!W74)</f>
        <v/>
      </c>
      <c r="IL75" s="213" t="str">
        <f>IF('Supp. Result Entry'!Z74="","",'Supp. Result Entry'!Z74)</f>
        <v/>
      </c>
      <c r="IM75" s="213" t="str">
        <f>IF('Supp. Result Entry'!AC74="","",'Supp. Result Entry'!AC74)</f>
        <v/>
      </c>
      <c r="IN75" s="213" t="str">
        <f>IF('Supp. Result Entry'!AF74="","",'Supp. Result Entry'!AF74)</f>
        <v/>
      </c>
      <c r="IO75" s="213" t="str">
        <f>IF('Supp. Result Entry'!AI74="","",'Supp. Result Entry'!AI74)</f>
        <v/>
      </c>
      <c r="IP75" s="213" t="str">
        <f>IF('Supp. Result Entry'!AL74="","",'Supp. Result Entry'!AL74)</f>
        <v/>
      </c>
      <c r="IQ75" s="213">
        <f>COUNTIF('Supp. Result Entry'!K74:Q74,"S")</f>
        <v>0</v>
      </c>
      <c r="IR75" s="213">
        <f t="shared" si="355"/>
        <v>0</v>
      </c>
      <c r="IS75" s="213">
        <f t="shared" si="356"/>
        <v>0</v>
      </c>
      <c r="IT75" s="213" t="str">
        <f t="shared" si="224"/>
        <v/>
      </c>
      <c r="IU75" s="213" t="str">
        <f t="shared" si="225"/>
        <v/>
      </c>
      <c r="IV75" s="213" t="str">
        <f t="shared" si="226"/>
        <v/>
      </c>
      <c r="IW75" s="213" t="str">
        <f t="shared" si="227"/>
        <v/>
      </c>
      <c r="IX75" s="213" t="str">
        <f t="shared" si="228"/>
        <v/>
      </c>
      <c r="IY75" s="213" t="str">
        <f t="shared" si="357"/>
        <v/>
      </c>
      <c r="IZ75" s="213" t="str">
        <f t="shared" si="358"/>
        <v/>
      </c>
      <c r="JA75" s="213" t="str">
        <f t="shared" si="229"/>
        <v/>
      </c>
      <c r="JB75" s="211" t="str">
        <f t="shared" si="359"/>
        <v/>
      </c>
    </row>
    <row r="76" spans="1:262" s="211" customFormat="1" ht="21" customHeight="1">
      <c r="A76" s="184">
        <v>69</v>
      </c>
      <c r="B76" s="185" t="str">
        <f>IF('Marks Entry'!B76="","",'Marks Entry'!B76)</f>
        <v/>
      </c>
      <c r="C76" s="186" t="str">
        <f>IF('Marks Entry'!D76="","",'Marks Entry'!D76)</f>
        <v/>
      </c>
      <c r="D76" s="187" t="str">
        <f>IF('Marks Entry'!E76="","",'Marks Entry'!E76)</f>
        <v/>
      </c>
      <c r="E76" s="188" t="str">
        <f>IF('Marks Entry'!F76="","",'Marks Entry'!F76)</f>
        <v/>
      </c>
      <c r="F76" s="188" t="str">
        <f>IF('Marks Entry'!G76="","",'Marks Entry'!G76)</f>
        <v/>
      </c>
      <c r="G76" s="188" t="str">
        <f>IF('Marks Entry'!H76="","",'Marks Entry'!H76)</f>
        <v/>
      </c>
      <c r="H76" s="189" t="str">
        <f>IF('Marks Entry'!I76="","",'Marks Entry'!I76)</f>
        <v/>
      </c>
      <c r="I76" s="190" t="str">
        <f>IF('Marks Entry'!J76="","",'Marks Entry'!J76)</f>
        <v/>
      </c>
      <c r="J76" s="545" t="str">
        <f>IF('Marks Entry'!K76="","",'Marks Entry'!K76)</f>
        <v/>
      </c>
      <c r="K76" s="545" t="str">
        <f>IF('Marks Entry'!L76="","",'Marks Entry'!L76)</f>
        <v/>
      </c>
      <c r="L76" s="545" t="str">
        <f>IF('Marks Entry'!M76="","",'Marks Entry'!M76)</f>
        <v/>
      </c>
      <c r="M76" s="546" t="str">
        <f t="shared" si="230"/>
        <v/>
      </c>
      <c r="N76" s="545" t="str">
        <f>IF('Marks Entry'!N76="","",'Marks Entry'!N76)</f>
        <v/>
      </c>
      <c r="O76" s="546" t="str">
        <f t="shared" si="231"/>
        <v/>
      </c>
      <c r="P76" s="545" t="str">
        <f>IF('Marks Entry'!O76="","",'Marks Entry'!O76)</f>
        <v/>
      </c>
      <c r="Q76" s="547" t="str">
        <f t="shared" si="232"/>
        <v/>
      </c>
      <c r="R76" s="153">
        <f t="shared" si="233"/>
        <v>0</v>
      </c>
      <c r="S76" s="153">
        <f t="shared" si="234"/>
        <v>0</v>
      </c>
      <c r="T76" s="154" t="str">
        <f t="shared" si="235"/>
        <v/>
      </c>
      <c r="U76" s="153" t="str">
        <f t="shared" si="236"/>
        <v/>
      </c>
      <c r="V76" s="153" t="str">
        <f t="shared" si="237"/>
        <v/>
      </c>
      <c r="W76" s="153" t="str">
        <f t="shared" si="238"/>
        <v/>
      </c>
      <c r="X76" s="545" t="str">
        <f>IF('Marks Entry'!P76="","",'Marks Entry'!P76)</f>
        <v/>
      </c>
      <c r="Y76" s="545" t="str">
        <f>IF('Marks Entry'!Q76="","",'Marks Entry'!Q76)</f>
        <v/>
      </c>
      <c r="Z76" s="545" t="str">
        <f>IF('Marks Entry'!R76="","",'Marks Entry'!R76)</f>
        <v/>
      </c>
      <c r="AA76" s="546" t="str">
        <f t="shared" si="239"/>
        <v/>
      </c>
      <c r="AB76" s="545" t="str">
        <f>IF('Marks Entry'!S76="","",'Marks Entry'!S76)</f>
        <v/>
      </c>
      <c r="AC76" s="546" t="str">
        <f t="shared" si="240"/>
        <v/>
      </c>
      <c r="AD76" s="545" t="str">
        <f>IF('Marks Entry'!T76="","",'Marks Entry'!T76)</f>
        <v/>
      </c>
      <c r="AE76" s="547" t="str">
        <f t="shared" si="241"/>
        <v/>
      </c>
      <c r="AF76" s="153">
        <f t="shared" si="242"/>
        <v>0</v>
      </c>
      <c r="AG76" s="153">
        <f t="shared" si="243"/>
        <v>0</v>
      </c>
      <c r="AH76" s="154" t="str">
        <f t="shared" si="244"/>
        <v/>
      </c>
      <c r="AI76" s="153" t="str">
        <f t="shared" si="245"/>
        <v/>
      </c>
      <c r="AJ76" s="153" t="str">
        <f t="shared" si="246"/>
        <v/>
      </c>
      <c r="AK76" s="153" t="str">
        <f t="shared" si="247"/>
        <v/>
      </c>
      <c r="AL76" s="573" t="str">
        <f>IF('Marks Entry'!U76="","",'Marks Entry'!U76)</f>
        <v/>
      </c>
      <c r="AM76" s="573" t="str">
        <f>IF('Marks Entry'!V76="","",'Marks Entry'!V76)</f>
        <v/>
      </c>
      <c r="AN76" s="573" t="str">
        <f>IF('Marks Entry'!W76="","",'Marks Entry'!W76)</f>
        <v/>
      </c>
      <c r="AO76" s="573" t="str">
        <f>IF('Marks Entry'!X76="","",'Marks Entry'!X76)</f>
        <v/>
      </c>
      <c r="AP76" s="572" t="str">
        <f t="shared" si="248"/>
        <v/>
      </c>
      <c r="AQ76" s="573" t="str">
        <f>IF('Marks Entry'!Y76="","",'Marks Entry'!Y76)</f>
        <v/>
      </c>
      <c r="AR76" s="573" t="str">
        <f>IF('Marks Entry'!Z76="","",'Marks Entry'!Z76)</f>
        <v/>
      </c>
      <c r="AS76" s="572" t="str">
        <f t="shared" si="249"/>
        <v/>
      </c>
      <c r="AT76" s="572" t="str">
        <f t="shared" si="250"/>
        <v/>
      </c>
      <c r="AU76" s="573" t="str">
        <f>IF('Marks Entry'!AA76="","",'Marks Entry'!AA76)</f>
        <v/>
      </c>
      <c r="AV76" s="573" t="str">
        <f>IF('Marks Entry'!AB76="","",'Marks Entry'!AB76)</f>
        <v/>
      </c>
      <c r="AW76" s="572" t="str">
        <f t="shared" si="251"/>
        <v/>
      </c>
      <c r="AX76" s="157" t="str">
        <f t="shared" si="252"/>
        <v/>
      </c>
      <c r="AY76" s="157" t="str">
        <f t="shared" si="253"/>
        <v/>
      </c>
      <c r="AZ76" s="192" t="str">
        <f t="shared" si="254"/>
        <v/>
      </c>
      <c r="BA76" s="153">
        <f t="shared" si="255"/>
        <v>0</v>
      </c>
      <c r="BB76" s="154">
        <f t="shared" si="256"/>
        <v>0</v>
      </c>
      <c r="BC76" s="154" t="str">
        <f t="shared" si="257"/>
        <v/>
      </c>
      <c r="BD76" s="154" t="str">
        <f t="shared" si="258"/>
        <v/>
      </c>
      <c r="BE76" s="154" t="str">
        <f t="shared" si="259"/>
        <v/>
      </c>
      <c r="BF76" s="153" t="str">
        <f t="shared" si="260"/>
        <v/>
      </c>
      <c r="BG76" s="154" t="str">
        <f t="shared" si="261"/>
        <v/>
      </c>
      <c r="BH76" s="153" t="str">
        <f t="shared" si="262"/>
        <v/>
      </c>
      <c r="BI76" s="580" t="str">
        <f>IF('Marks Entry'!AC76="","",'Marks Entry'!AC76)</f>
        <v/>
      </c>
      <c r="BJ76" s="580" t="str">
        <f>IF('Marks Entry'!AD76="","",'Marks Entry'!AD76)</f>
        <v/>
      </c>
      <c r="BK76" s="580" t="str">
        <f>IF('Marks Entry'!AE76="","",'Marks Entry'!AE76)</f>
        <v/>
      </c>
      <c r="BL76" s="580" t="str">
        <f>IF('Marks Entry'!AF76="","",'Marks Entry'!AF76)</f>
        <v/>
      </c>
      <c r="BM76" s="581" t="str">
        <f t="shared" si="263"/>
        <v/>
      </c>
      <c r="BN76" s="580" t="str">
        <f>IF('Marks Entry'!AG76="","",'Marks Entry'!AG76)</f>
        <v/>
      </c>
      <c r="BO76" s="580" t="str">
        <f>IF('Marks Entry'!AH76="","",'Marks Entry'!AH76)</f>
        <v/>
      </c>
      <c r="BP76" s="581" t="str">
        <f t="shared" si="264"/>
        <v/>
      </c>
      <c r="BQ76" s="581" t="str">
        <f t="shared" si="265"/>
        <v/>
      </c>
      <c r="BR76" s="580" t="str">
        <f>IF('Marks Entry'!AI76="","",'Marks Entry'!AI76)</f>
        <v/>
      </c>
      <c r="BS76" s="580" t="str">
        <f>IF('Marks Entry'!AJ76="","",'Marks Entry'!AJ76)</f>
        <v/>
      </c>
      <c r="BT76" s="581" t="str">
        <f t="shared" si="266"/>
        <v/>
      </c>
      <c r="BU76" s="157" t="str">
        <f t="shared" si="267"/>
        <v/>
      </c>
      <c r="BV76" s="157" t="str">
        <f t="shared" si="268"/>
        <v/>
      </c>
      <c r="BW76" s="192" t="str">
        <f t="shared" si="269"/>
        <v/>
      </c>
      <c r="BX76" s="153">
        <f t="shared" si="270"/>
        <v>0</v>
      </c>
      <c r="BY76" s="154">
        <f t="shared" si="271"/>
        <v>0</v>
      </c>
      <c r="BZ76" s="154" t="str">
        <f t="shared" si="272"/>
        <v/>
      </c>
      <c r="CA76" s="154" t="str">
        <f t="shared" si="273"/>
        <v/>
      </c>
      <c r="CB76" s="154" t="str">
        <f t="shared" si="274"/>
        <v/>
      </c>
      <c r="CC76" s="153" t="str">
        <f t="shared" si="275"/>
        <v/>
      </c>
      <c r="CD76" s="154" t="str">
        <f t="shared" si="276"/>
        <v/>
      </c>
      <c r="CE76" s="153" t="str">
        <f t="shared" si="277"/>
        <v/>
      </c>
      <c r="CF76" s="580" t="str">
        <f>IF('Marks Entry'!AK76="","",'Marks Entry'!AK76)</f>
        <v/>
      </c>
      <c r="CG76" s="580" t="str">
        <f>IF('Marks Entry'!AL76="","",'Marks Entry'!AL76)</f>
        <v/>
      </c>
      <c r="CH76" s="580" t="str">
        <f>IF('Marks Entry'!AM76="","",'Marks Entry'!AM76)</f>
        <v/>
      </c>
      <c r="CI76" s="580" t="str">
        <f>IF('Marks Entry'!AN76="","",'Marks Entry'!AN76)</f>
        <v/>
      </c>
      <c r="CJ76" s="581" t="str">
        <f t="shared" si="278"/>
        <v/>
      </c>
      <c r="CK76" s="580" t="str">
        <f>IF('Marks Entry'!AO76="","",'Marks Entry'!AO76)</f>
        <v/>
      </c>
      <c r="CL76" s="580" t="str">
        <f>IF('Marks Entry'!AP76="","",'Marks Entry'!AP76)</f>
        <v/>
      </c>
      <c r="CM76" s="581" t="str">
        <f t="shared" si="279"/>
        <v/>
      </c>
      <c r="CN76" s="581" t="str">
        <f t="shared" si="280"/>
        <v/>
      </c>
      <c r="CO76" s="580" t="str">
        <f>IF('Marks Entry'!AQ76="","",'Marks Entry'!AQ76)</f>
        <v/>
      </c>
      <c r="CP76" s="580" t="str">
        <f>IF('Marks Entry'!AR76="","",'Marks Entry'!AR76)</f>
        <v/>
      </c>
      <c r="CQ76" s="581" t="str">
        <f t="shared" si="281"/>
        <v/>
      </c>
      <c r="CR76" s="157" t="str">
        <f t="shared" si="282"/>
        <v/>
      </c>
      <c r="CS76" s="157" t="str">
        <f t="shared" si="283"/>
        <v/>
      </c>
      <c r="CT76" s="192" t="str">
        <f t="shared" si="284"/>
        <v/>
      </c>
      <c r="CU76" s="153">
        <f t="shared" si="285"/>
        <v>0</v>
      </c>
      <c r="CV76" s="154">
        <f t="shared" si="286"/>
        <v>0</v>
      </c>
      <c r="CW76" s="154" t="str">
        <f t="shared" si="287"/>
        <v/>
      </c>
      <c r="CX76" s="154" t="str">
        <f t="shared" si="288"/>
        <v/>
      </c>
      <c r="CY76" s="154" t="str">
        <f t="shared" si="289"/>
        <v/>
      </c>
      <c r="CZ76" s="153" t="str">
        <f t="shared" si="290"/>
        <v/>
      </c>
      <c r="DA76" s="154" t="str">
        <f t="shared" si="291"/>
        <v/>
      </c>
      <c r="DB76" s="153" t="str">
        <f t="shared" si="292"/>
        <v/>
      </c>
      <c r="DC76" s="154">
        <f t="shared" si="293"/>
        <v>0</v>
      </c>
      <c r="DD76" s="826" t="str">
        <f>IF('Marks Entry'!AS76="","",IF(OR('Master Sheet'!$D$19="YES",'Marks Entry'!$BA$1=1),'Marks Entry'!AS76,""))</f>
        <v/>
      </c>
      <c r="DE76" s="826" t="str">
        <f>IF('Marks Entry'!AT76="","",IF(OR('Master Sheet'!$D$19="YES",'Marks Entry'!$BA$1=1),'Marks Entry'!AT76,""))</f>
        <v/>
      </c>
      <c r="DF76" s="826" t="str">
        <f>IF('Marks Entry'!AU76="","",IF(OR('Master Sheet'!$D$19="YES",'Marks Entry'!$BA$1=1),'Marks Entry'!AU76,""))</f>
        <v/>
      </c>
      <c r="DG76" s="826" t="str">
        <f>IF('Marks Entry'!AV76="","",IF(OR('Master Sheet'!$D$19="YES",'Marks Entry'!$BA$1=1),'Marks Entry'!AV76,""))</f>
        <v/>
      </c>
      <c r="DH76" s="827" t="str">
        <f t="shared" si="294"/>
        <v/>
      </c>
      <c r="DI76" s="826" t="str">
        <f>IF('Marks Entry'!AW76="","",IF(OR('Master Sheet'!$D$19="YES",'Marks Entry'!$BA$1=1),'Marks Entry'!AW76,""))</f>
        <v/>
      </c>
      <c r="DJ76" s="826" t="str">
        <f>IF('Marks Entry'!AX76="","",IF(OR('Master Sheet'!$D$19="YES",'Marks Entry'!$BA$1=1),'Marks Entry'!AX76,""))</f>
        <v/>
      </c>
      <c r="DK76" s="827" t="str">
        <f t="shared" si="295"/>
        <v/>
      </c>
      <c r="DL76" s="827" t="str">
        <f t="shared" si="296"/>
        <v/>
      </c>
      <c r="DM76" s="826" t="str">
        <f>IF('Marks Entry'!AY76="","",IF(OR('Master Sheet'!$D$19="YES",'Marks Entry'!$BA$1=1),'Marks Entry'!AY76,""))</f>
        <v/>
      </c>
      <c r="DN76" s="826" t="str">
        <f>IF('Marks Entry'!AZ76="","",IF(OR('Master Sheet'!$D$19="YES",'Marks Entry'!$BA$1=1),'Marks Entry'!AZ76,""))</f>
        <v/>
      </c>
      <c r="DO76" s="826" t="str">
        <f>IF('Marks Entry'!BA76="","",IF(OR('Master Sheet'!$D$19="YES",'Marks Entry'!$BA$1=1),'Marks Entry'!BA76,""))</f>
        <v/>
      </c>
      <c r="DP76" s="827" t="str">
        <f t="shared" si="297"/>
        <v/>
      </c>
      <c r="DQ76" s="157" t="str">
        <f t="shared" si="298"/>
        <v/>
      </c>
      <c r="DR76" s="157" t="str">
        <f t="shared" si="299"/>
        <v/>
      </c>
      <c r="DS76" s="157" t="str">
        <f t="shared" si="300"/>
        <v/>
      </c>
      <c r="DT76" s="192" t="str">
        <f t="shared" si="301"/>
        <v/>
      </c>
      <c r="DU76" s="153">
        <f t="shared" si="302"/>
        <v>0</v>
      </c>
      <c r="DV76" s="154" t="e">
        <f t="shared" si="303"/>
        <v>#VALUE!</v>
      </c>
      <c r="DW76" s="154" t="str">
        <f t="shared" si="304"/>
        <v/>
      </c>
      <c r="DX76" s="154" t="str">
        <f>IF(OR($B76="NSO",$B76=0,DS76=""),"",IF(AND(DJ76="",DO76=""),"",IF('Master Sheet'!$D$19="YES",$DO$6-COUNTIF(DO76,"ML")*DO$6,DS$6-(COUNTIF(DJ76,"ML")*DJ$6)-(COUNTIF(DO76,"ML")*DO$6))))</f>
        <v/>
      </c>
      <c r="DY76" s="154" t="str">
        <f>IF(OR($B76="NSO",$B76=0),"",IF(AND(DH76="",DI76="",DM76=""),"",IF(AND('Master Sheet'!$D$19="YES",'Marks Entry'!$BA$1=1),100,IF(AND(DJ76="",DO76=""),SUM(($DQ$7+$DR$7)-(DU76+DV76)),SUM(($DQ$6+$DR$6)-(DU76+DV76))))))</f>
        <v/>
      </c>
      <c r="DZ76" s="153" t="str">
        <f t="shared" si="305"/>
        <v/>
      </c>
      <c r="EA76" s="154" t="str">
        <f t="shared" si="306"/>
        <v/>
      </c>
      <c r="EB76" s="153" t="str">
        <f t="shared" si="307"/>
        <v/>
      </c>
      <c r="EC76" s="584" t="str">
        <f>IF('Marks Entry'!BB76="","",'Marks Entry'!BB76)</f>
        <v/>
      </c>
      <c r="ED76" s="584" t="str">
        <f>IF('Marks Entry'!BC76="","",'Marks Entry'!BC76)</f>
        <v/>
      </c>
      <c r="EE76" s="584" t="str">
        <f>IF('Marks Entry'!BD76="","",'Marks Entry'!BD76)</f>
        <v/>
      </c>
      <c r="EF76" s="590" t="str">
        <f t="shared" si="308"/>
        <v/>
      </c>
      <c r="EG76" s="595">
        <f t="shared" si="309"/>
        <v>0</v>
      </c>
      <c r="EH76" s="595">
        <f t="shared" si="310"/>
        <v>0</v>
      </c>
      <c r="EI76" s="193" t="str">
        <f t="shared" si="311"/>
        <v/>
      </c>
      <c r="EJ76" s="595" t="str">
        <f t="shared" si="312"/>
        <v/>
      </c>
      <c r="EK76" s="595" t="str">
        <f t="shared" si="313"/>
        <v/>
      </c>
      <c r="EL76" s="194" t="str">
        <f t="shared" si="314"/>
        <v/>
      </c>
      <c r="EM76" s="194" t="str">
        <f t="shared" si="315"/>
        <v/>
      </c>
      <c r="EN76" s="194" t="str">
        <f t="shared" si="316"/>
        <v/>
      </c>
      <c r="EO76" s="194" t="str">
        <f t="shared" si="317"/>
        <v/>
      </c>
      <c r="EP76" s="194" t="str">
        <f t="shared" si="318"/>
        <v/>
      </c>
      <c r="EQ76" s="194" t="str">
        <f t="shared" si="319"/>
        <v/>
      </c>
      <c r="ER76" s="195">
        <f t="shared" si="320"/>
        <v>0</v>
      </c>
      <c r="ES76" s="195">
        <f t="shared" si="321"/>
        <v>0</v>
      </c>
      <c r="ET76" s="195">
        <f t="shared" si="322"/>
        <v>0</v>
      </c>
      <c r="EU76" s="195">
        <f t="shared" si="323"/>
        <v>0</v>
      </c>
      <c r="EV76" s="195">
        <f t="shared" si="324"/>
        <v>0</v>
      </c>
      <c r="EW76" s="195" t="str">
        <f t="shared" si="325"/>
        <v/>
      </c>
      <c r="EX76" s="196" t="str">
        <f t="shared" si="326"/>
        <v/>
      </c>
      <c r="EY76" s="197" t="str">
        <f>IF('Marks Entry'!BE76="","",'Marks Entry'!BE76)</f>
        <v/>
      </c>
      <c r="EZ76" s="197" t="str">
        <f>IF('Marks Entry'!BF76="","",'Marks Entry'!BF76)</f>
        <v/>
      </c>
      <c r="FA76" s="197" t="str">
        <f>IF('Marks Entry'!BG76="","",'Marks Entry'!BG76)</f>
        <v/>
      </c>
      <c r="FB76" s="596" t="str">
        <f t="shared" si="327"/>
        <v/>
      </c>
      <c r="FC76" s="197" t="str">
        <f>IF('Marks Entry'!BH76="","",'Marks Entry'!BH76)</f>
        <v/>
      </c>
      <c r="FD76" s="197" t="str">
        <f>IF('Marks Entry'!BI76="","",'Marks Entry'!BI76)</f>
        <v/>
      </c>
      <c r="FE76" s="198" t="str">
        <f t="shared" si="328"/>
        <v/>
      </c>
      <c r="FF76" s="199" t="str">
        <f t="shared" si="329"/>
        <v/>
      </c>
      <c r="FG76" s="200" t="str">
        <f>IF(AND(E76=""),"",IF('Student DATA Entry'!L72="","",'Student DATA Entry'!L72))</f>
        <v/>
      </c>
      <c r="FH76" s="201" t="str">
        <f>IF(AND(E76=""),"",IF('Student DATA Entry'!M72="","",'Student DATA Entry'!M72))</f>
        <v/>
      </c>
      <c r="FI76" s="202" t="str">
        <f t="shared" si="330"/>
        <v/>
      </c>
      <c r="FJ76" s="189" t="str">
        <f t="shared" si="331"/>
        <v/>
      </c>
      <c r="FK76" s="189" t="str">
        <f t="shared" si="332"/>
        <v/>
      </c>
      <c r="FL76" s="203" t="str">
        <f t="shared" si="201"/>
        <v/>
      </c>
      <c r="FM76" s="189" t="str">
        <f t="shared" si="333"/>
        <v/>
      </c>
      <c r="FN76" s="204" t="str">
        <f t="shared" si="334"/>
        <v/>
      </c>
      <c r="FO76" s="203" t="str">
        <f t="shared" si="202"/>
        <v/>
      </c>
      <c r="FP76" s="205" t="str">
        <f t="shared" si="335"/>
        <v/>
      </c>
      <c r="FQ76" s="189" t="str">
        <f t="shared" si="203"/>
        <v/>
      </c>
      <c r="FR76" s="189" t="str">
        <f t="shared" si="204"/>
        <v/>
      </c>
      <c r="FS76" s="189" t="str">
        <f t="shared" si="205"/>
        <v/>
      </c>
      <c r="FT76" s="189" t="str">
        <f t="shared" si="206"/>
        <v/>
      </c>
      <c r="FU76" s="189" t="str">
        <f t="shared" si="336"/>
        <v/>
      </c>
      <c r="FV76" s="206" t="str">
        <f t="shared" si="207"/>
        <v/>
      </c>
      <c r="FW76" s="205" t="str">
        <f t="shared" si="337"/>
        <v/>
      </c>
      <c r="FX76" s="189" t="str">
        <f t="shared" si="208"/>
        <v/>
      </c>
      <c r="FY76" s="189" t="str">
        <f t="shared" si="209"/>
        <v/>
      </c>
      <c r="FZ76" s="189" t="str">
        <f t="shared" si="210"/>
        <v/>
      </c>
      <c r="GA76" s="189" t="str">
        <f t="shared" si="211"/>
        <v/>
      </c>
      <c r="GB76" s="189" t="str">
        <f t="shared" si="338"/>
        <v/>
      </c>
      <c r="GC76" s="206" t="str">
        <f t="shared" si="212"/>
        <v/>
      </c>
      <c r="GD76" s="205" t="str">
        <f t="shared" si="339"/>
        <v/>
      </c>
      <c r="GE76" s="189" t="str">
        <f t="shared" si="213"/>
        <v/>
      </c>
      <c r="GF76" s="189" t="str">
        <f t="shared" si="214"/>
        <v/>
      </c>
      <c r="GG76" s="189" t="str">
        <f t="shared" si="215"/>
        <v/>
      </c>
      <c r="GH76" s="189" t="str">
        <f t="shared" si="216"/>
        <v/>
      </c>
      <c r="GI76" s="189" t="str">
        <f t="shared" si="340"/>
        <v/>
      </c>
      <c r="GJ76" s="206" t="str">
        <f t="shared" si="217"/>
        <v/>
      </c>
      <c r="GK76" s="205" t="str">
        <f t="shared" si="341"/>
        <v/>
      </c>
      <c r="GL76" s="189" t="str">
        <f t="shared" si="218"/>
        <v/>
      </c>
      <c r="GM76" s="189" t="str">
        <f t="shared" si="219"/>
        <v/>
      </c>
      <c r="GN76" s="189" t="str">
        <f t="shared" si="220"/>
        <v/>
      </c>
      <c r="GO76" s="189" t="str">
        <f t="shared" si="221"/>
        <v/>
      </c>
      <c r="GP76" s="189" t="str">
        <f t="shared" si="342"/>
        <v/>
      </c>
      <c r="GQ76" s="206" t="str">
        <f t="shared" si="222"/>
        <v/>
      </c>
      <c r="GR76" s="189" t="str">
        <f t="shared" si="343"/>
        <v/>
      </c>
      <c r="GS76" s="189" t="str">
        <f t="shared" si="344"/>
        <v/>
      </c>
      <c r="GT76" s="207" t="str">
        <f t="shared" si="345"/>
        <v xml:space="preserve">    </v>
      </c>
      <c r="GU76" s="207" t="str">
        <f t="shared" si="346"/>
        <v xml:space="preserve">    </v>
      </c>
      <c r="GV76" s="207" t="str">
        <f t="shared" si="347"/>
        <v xml:space="preserve">    </v>
      </c>
      <c r="GW76" s="207" t="str">
        <f t="shared" si="348"/>
        <v xml:space="preserve">       </v>
      </c>
      <c r="GX76" s="598" t="str">
        <f t="shared" si="349"/>
        <v xml:space="preserve">     </v>
      </c>
      <c r="GY76" s="208" t="str">
        <f t="shared" si="223"/>
        <v/>
      </c>
      <c r="GZ76" s="606" t="str">
        <f>IF(AND(Q76="",AE76="",AZ76="",BW76="",CT76=""),"",IF(AND('Master Sheet'!$D$19="YES",'Marks Entry'!$BA$1=1),SUM(Q76,AE76,AZ76,BW76,DT76),SUM(Q76,AE76,AZ76,BW76,CT76)))</f>
        <v/>
      </c>
      <c r="HA76" s="209" t="str">
        <f>IF(GZ76="","",IF(AND('Master Sheet'!$D$19="YES",'Marks Entry'!$BA$1=1),GZ76/((900)-DC76)*100,GZ76/((1000)-DC76)*100))</f>
        <v/>
      </c>
      <c r="HB76" s="611" t="str">
        <f t="shared" si="350"/>
        <v/>
      </c>
      <c r="HC76" s="609" t="str">
        <f t="shared" si="351"/>
        <v/>
      </c>
      <c r="HD76" s="610" t="str">
        <f t="shared" si="352"/>
        <v/>
      </c>
      <c r="HE76" s="210" t="str">
        <f>IFERROR(IF(OR(GY76="SUPPLEMENTARY",GY76="RE-EXAM"),'Supp. Result Entry'!AS75,""),"")</f>
        <v/>
      </c>
      <c r="HF76" s="613" t="str">
        <f t="shared" si="353"/>
        <v/>
      </c>
      <c r="HG76" s="598" t="str">
        <f t="shared" si="354"/>
        <v/>
      </c>
      <c r="HH76" s="598" t="str">
        <f>IF(AND(HE76="",HF76="",HG76=""),"",IF(OR(GY76="SUPPLEMENTARY",GY76="RE-EXAM"),'Supp. Result Entry'!AS75,GY76))</f>
        <v/>
      </c>
      <c r="HI76" s="180"/>
      <c r="HY76" s="212" t="str">
        <f>IF('Supp. Result Entry'!U75="","",'Supp. Result Entry'!$U$6)</f>
        <v/>
      </c>
      <c r="HZ76" s="213" t="str">
        <f>IF('Supp. Result Entry'!X75="","",'Supp. Result Entry'!$X$6)</f>
        <v/>
      </c>
      <c r="IA76" s="213" t="str">
        <f>IF('Supp. Result Entry'!AA75="","",'Supp. Result Entry'!$AA$6)</f>
        <v/>
      </c>
      <c r="IB76" s="213" t="str">
        <f>IF('Supp. Result Entry'!AD75="","",'Supp. Result Entry'!$AD$6)</f>
        <v/>
      </c>
      <c r="IC76" s="213" t="str">
        <f>IF('Supp. Result Entry'!AG75="","",'Supp. Result Entry'!$AG$6)</f>
        <v/>
      </c>
      <c r="ID76" s="213" t="str">
        <f>IF('Supp. Result Entry'!AJ75="","",'Supp. Result Entry'!$AJ$6)</f>
        <v/>
      </c>
      <c r="IE76" s="213" t="str">
        <f>IF('Supp. Result Entry'!V75="","",'Supp. Result Entry'!V75)</f>
        <v/>
      </c>
      <c r="IF76" s="213" t="str">
        <f>IF('Supp. Result Entry'!Y75="","",'Supp. Result Entry'!Y75)</f>
        <v/>
      </c>
      <c r="IG76" s="213" t="str">
        <f>IF('Supp. Result Entry'!AB75="","",'Supp. Result Entry'!AB75)</f>
        <v/>
      </c>
      <c r="IH76" s="213" t="str">
        <f>IF('Supp. Result Entry'!AE75="","",'Supp. Result Entry'!AE75)</f>
        <v/>
      </c>
      <c r="II76" s="213" t="str">
        <f>IF('Supp. Result Entry'!AH75="","",'Supp. Result Entry'!AH75)</f>
        <v/>
      </c>
      <c r="IJ76" s="213" t="str">
        <f>IF('Supp. Result Entry'!AK75="","",'Supp. Result Entry'!AK75)</f>
        <v/>
      </c>
      <c r="IK76" s="213" t="str">
        <f>IF('Supp. Result Entry'!W75="","",'Supp. Result Entry'!W75)</f>
        <v/>
      </c>
      <c r="IL76" s="213" t="str">
        <f>IF('Supp. Result Entry'!Z75="","",'Supp. Result Entry'!Z75)</f>
        <v/>
      </c>
      <c r="IM76" s="213" t="str">
        <f>IF('Supp. Result Entry'!AC75="","",'Supp. Result Entry'!AC75)</f>
        <v/>
      </c>
      <c r="IN76" s="213" t="str">
        <f>IF('Supp. Result Entry'!AF75="","",'Supp. Result Entry'!AF75)</f>
        <v/>
      </c>
      <c r="IO76" s="213" t="str">
        <f>IF('Supp. Result Entry'!AI75="","",'Supp. Result Entry'!AI75)</f>
        <v/>
      </c>
      <c r="IP76" s="213" t="str">
        <f>IF('Supp. Result Entry'!AL75="","",'Supp. Result Entry'!AL75)</f>
        <v/>
      </c>
      <c r="IQ76" s="213">
        <f>COUNTIF('Supp. Result Entry'!K75:Q75,"S")</f>
        <v>0</v>
      </c>
      <c r="IR76" s="213">
        <f t="shared" si="355"/>
        <v>0</v>
      </c>
      <c r="IS76" s="213">
        <f t="shared" si="356"/>
        <v>0</v>
      </c>
      <c r="IT76" s="213" t="str">
        <f t="shared" si="224"/>
        <v/>
      </c>
      <c r="IU76" s="213" t="str">
        <f t="shared" si="225"/>
        <v/>
      </c>
      <c r="IV76" s="213" t="str">
        <f t="shared" si="226"/>
        <v/>
      </c>
      <c r="IW76" s="213" t="str">
        <f t="shared" si="227"/>
        <v/>
      </c>
      <c r="IX76" s="213" t="str">
        <f t="shared" si="228"/>
        <v/>
      </c>
      <c r="IY76" s="213" t="str">
        <f t="shared" si="357"/>
        <v/>
      </c>
      <c r="IZ76" s="213" t="str">
        <f t="shared" si="358"/>
        <v/>
      </c>
      <c r="JA76" s="213" t="str">
        <f t="shared" si="229"/>
        <v/>
      </c>
      <c r="JB76" s="211" t="str">
        <f t="shared" si="359"/>
        <v/>
      </c>
    </row>
    <row r="77" spans="1:262" s="211" customFormat="1" ht="21" customHeight="1">
      <c r="A77" s="184">
        <v>70</v>
      </c>
      <c r="B77" s="185" t="str">
        <f>IF('Marks Entry'!B77="","",'Marks Entry'!B77)</f>
        <v/>
      </c>
      <c r="C77" s="186" t="str">
        <f>IF('Marks Entry'!D77="","",'Marks Entry'!D77)</f>
        <v/>
      </c>
      <c r="D77" s="187" t="str">
        <f>IF('Marks Entry'!E77="","",'Marks Entry'!E77)</f>
        <v/>
      </c>
      <c r="E77" s="188" t="str">
        <f>IF('Marks Entry'!F77="","",'Marks Entry'!F77)</f>
        <v/>
      </c>
      <c r="F77" s="188" t="str">
        <f>IF('Marks Entry'!G77="","",'Marks Entry'!G77)</f>
        <v/>
      </c>
      <c r="G77" s="188" t="str">
        <f>IF('Marks Entry'!H77="","",'Marks Entry'!H77)</f>
        <v/>
      </c>
      <c r="H77" s="189" t="str">
        <f>IF('Marks Entry'!I77="","",'Marks Entry'!I77)</f>
        <v/>
      </c>
      <c r="I77" s="190" t="str">
        <f>IF('Marks Entry'!J77="","",'Marks Entry'!J77)</f>
        <v/>
      </c>
      <c r="J77" s="545" t="str">
        <f>IF('Marks Entry'!K77="","",'Marks Entry'!K77)</f>
        <v/>
      </c>
      <c r="K77" s="545" t="str">
        <f>IF('Marks Entry'!L77="","",'Marks Entry'!L77)</f>
        <v/>
      </c>
      <c r="L77" s="545" t="str">
        <f>IF('Marks Entry'!M77="","",'Marks Entry'!M77)</f>
        <v/>
      </c>
      <c r="M77" s="546" t="str">
        <f t="shared" si="230"/>
        <v/>
      </c>
      <c r="N77" s="545" t="str">
        <f>IF('Marks Entry'!N77="","",'Marks Entry'!N77)</f>
        <v/>
      </c>
      <c r="O77" s="546" t="str">
        <f t="shared" si="231"/>
        <v/>
      </c>
      <c r="P77" s="545" t="str">
        <f>IF('Marks Entry'!O77="","",'Marks Entry'!O77)</f>
        <v/>
      </c>
      <c r="Q77" s="547" t="str">
        <f t="shared" si="232"/>
        <v/>
      </c>
      <c r="R77" s="153">
        <f t="shared" si="233"/>
        <v>0</v>
      </c>
      <c r="S77" s="153">
        <f t="shared" si="234"/>
        <v>0</v>
      </c>
      <c r="T77" s="154" t="str">
        <f t="shared" si="235"/>
        <v/>
      </c>
      <c r="U77" s="153" t="str">
        <f t="shared" si="236"/>
        <v/>
      </c>
      <c r="V77" s="153" t="str">
        <f t="shared" si="237"/>
        <v/>
      </c>
      <c r="W77" s="153" t="str">
        <f t="shared" si="238"/>
        <v/>
      </c>
      <c r="X77" s="545" t="str">
        <f>IF('Marks Entry'!P77="","",'Marks Entry'!P77)</f>
        <v/>
      </c>
      <c r="Y77" s="545" t="str">
        <f>IF('Marks Entry'!Q77="","",'Marks Entry'!Q77)</f>
        <v/>
      </c>
      <c r="Z77" s="545" t="str">
        <f>IF('Marks Entry'!R77="","",'Marks Entry'!R77)</f>
        <v/>
      </c>
      <c r="AA77" s="546" t="str">
        <f t="shared" si="239"/>
        <v/>
      </c>
      <c r="AB77" s="545" t="str">
        <f>IF('Marks Entry'!S77="","",'Marks Entry'!S77)</f>
        <v/>
      </c>
      <c r="AC77" s="546" t="str">
        <f t="shared" si="240"/>
        <v/>
      </c>
      <c r="AD77" s="545" t="str">
        <f>IF('Marks Entry'!T77="","",'Marks Entry'!T77)</f>
        <v/>
      </c>
      <c r="AE77" s="547" t="str">
        <f t="shared" si="241"/>
        <v/>
      </c>
      <c r="AF77" s="153">
        <f t="shared" si="242"/>
        <v>0</v>
      </c>
      <c r="AG77" s="153">
        <f t="shared" si="243"/>
        <v>0</v>
      </c>
      <c r="AH77" s="154" t="str">
        <f t="shared" si="244"/>
        <v/>
      </c>
      <c r="AI77" s="153" t="str">
        <f t="shared" si="245"/>
        <v/>
      </c>
      <c r="AJ77" s="153" t="str">
        <f t="shared" si="246"/>
        <v/>
      </c>
      <c r="AK77" s="153" t="str">
        <f t="shared" si="247"/>
        <v/>
      </c>
      <c r="AL77" s="573" t="str">
        <f>IF('Marks Entry'!U77="","",'Marks Entry'!U77)</f>
        <v/>
      </c>
      <c r="AM77" s="573" t="str">
        <f>IF('Marks Entry'!V77="","",'Marks Entry'!V77)</f>
        <v/>
      </c>
      <c r="AN77" s="573" t="str">
        <f>IF('Marks Entry'!W77="","",'Marks Entry'!W77)</f>
        <v/>
      </c>
      <c r="AO77" s="573" t="str">
        <f>IF('Marks Entry'!X77="","",'Marks Entry'!X77)</f>
        <v/>
      </c>
      <c r="AP77" s="572" t="str">
        <f t="shared" si="248"/>
        <v/>
      </c>
      <c r="AQ77" s="573" t="str">
        <f>IF('Marks Entry'!Y77="","",'Marks Entry'!Y77)</f>
        <v/>
      </c>
      <c r="AR77" s="573" t="str">
        <f>IF('Marks Entry'!Z77="","",'Marks Entry'!Z77)</f>
        <v/>
      </c>
      <c r="AS77" s="572" t="str">
        <f t="shared" si="249"/>
        <v/>
      </c>
      <c r="AT77" s="572" t="str">
        <f t="shared" si="250"/>
        <v/>
      </c>
      <c r="AU77" s="573" t="str">
        <f>IF('Marks Entry'!AA77="","",'Marks Entry'!AA77)</f>
        <v/>
      </c>
      <c r="AV77" s="573" t="str">
        <f>IF('Marks Entry'!AB77="","",'Marks Entry'!AB77)</f>
        <v/>
      </c>
      <c r="AW77" s="572" t="str">
        <f t="shared" si="251"/>
        <v/>
      </c>
      <c r="AX77" s="157" t="str">
        <f t="shared" si="252"/>
        <v/>
      </c>
      <c r="AY77" s="157" t="str">
        <f t="shared" si="253"/>
        <v/>
      </c>
      <c r="AZ77" s="192" t="str">
        <f t="shared" si="254"/>
        <v/>
      </c>
      <c r="BA77" s="153">
        <f t="shared" si="255"/>
        <v>0</v>
      </c>
      <c r="BB77" s="154">
        <f t="shared" si="256"/>
        <v>0</v>
      </c>
      <c r="BC77" s="154" t="str">
        <f t="shared" si="257"/>
        <v/>
      </c>
      <c r="BD77" s="154" t="str">
        <f t="shared" si="258"/>
        <v/>
      </c>
      <c r="BE77" s="154" t="str">
        <f t="shared" si="259"/>
        <v/>
      </c>
      <c r="BF77" s="153" t="str">
        <f t="shared" si="260"/>
        <v/>
      </c>
      <c r="BG77" s="154" t="str">
        <f t="shared" si="261"/>
        <v/>
      </c>
      <c r="BH77" s="153" t="str">
        <f t="shared" si="262"/>
        <v/>
      </c>
      <c r="BI77" s="580" t="str">
        <f>IF('Marks Entry'!AC77="","",'Marks Entry'!AC77)</f>
        <v/>
      </c>
      <c r="BJ77" s="580" t="str">
        <f>IF('Marks Entry'!AD77="","",'Marks Entry'!AD77)</f>
        <v/>
      </c>
      <c r="BK77" s="580" t="str">
        <f>IF('Marks Entry'!AE77="","",'Marks Entry'!AE77)</f>
        <v/>
      </c>
      <c r="BL77" s="580" t="str">
        <f>IF('Marks Entry'!AF77="","",'Marks Entry'!AF77)</f>
        <v/>
      </c>
      <c r="BM77" s="581" t="str">
        <f t="shared" si="263"/>
        <v/>
      </c>
      <c r="BN77" s="580" t="str">
        <f>IF('Marks Entry'!AG77="","",'Marks Entry'!AG77)</f>
        <v/>
      </c>
      <c r="BO77" s="580" t="str">
        <f>IF('Marks Entry'!AH77="","",'Marks Entry'!AH77)</f>
        <v/>
      </c>
      <c r="BP77" s="581" t="str">
        <f t="shared" si="264"/>
        <v/>
      </c>
      <c r="BQ77" s="581" t="str">
        <f t="shared" si="265"/>
        <v/>
      </c>
      <c r="BR77" s="580" t="str">
        <f>IF('Marks Entry'!AI77="","",'Marks Entry'!AI77)</f>
        <v/>
      </c>
      <c r="BS77" s="580" t="str">
        <f>IF('Marks Entry'!AJ77="","",'Marks Entry'!AJ77)</f>
        <v/>
      </c>
      <c r="BT77" s="581" t="str">
        <f t="shared" si="266"/>
        <v/>
      </c>
      <c r="BU77" s="157" t="str">
        <f t="shared" si="267"/>
        <v/>
      </c>
      <c r="BV77" s="157" t="str">
        <f t="shared" si="268"/>
        <v/>
      </c>
      <c r="BW77" s="192" t="str">
        <f t="shared" si="269"/>
        <v/>
      </c>
      <c r="BX77" s="153">
        <f t="shared" si="270"/>
        <v>0</v>
      </c>
      <c r="BY77" s="154">
        <f t="shared" si="271"/>
        <v>0</v>
      </c>
      <c r="BZ77" s="154" t="str">
        <f t="shared" si="272"/>
        <v/>
      </c>
      <c r="CA77" s="154" t="str">
        <f t="shared" si="273"/>
        <v/>
      </c>
      <c r="CB77" s="154" t="str">
        <f t="shared" si="274"/>
        <v/>
      </c>
      <c r="CC77" s="153" t="str">
        <f t="shared" si="275"/>
        <v/>
      </c>
      <c r="CD77" s="154" t="str">
        <f t="shared" si="276"/>
        <v/>
      </c>
      <c r="CE77" s="153" t="str">
        <f t="shared" si="277"/>
        <v/>
      </c>
      <c r="CF77" s="580" t="str">
        <f>IF('Marks Entry'!AK77="","",'Marks Entry'!AK77)</f>
        <v/>
      </c>
      <c r="CG77" s="580" t="str">
        <f>IF('Marks Entry'!AL77="","",'Marks Entry'!AL77)</f>
        <v/>
      </c>
      <c r="CH77" s="580" t="str">
        <f>IF('Marks Entry'!AM77="","",'Marks Entry'!AM77)</f>
        <v/>
      </c>
      <c r="CI77" s="580" t="str">
        <f>IF('Marks Entry'!AN77="","",'Marks Entry'!AN77)</f>
        <v/>
      </c>
      <c r="CJ77" s="581" t="str">
        <f t="shared" si="278"/>
        <v/>
      </c>
      <c r="CK77" s="580" t="str">
        <f>IF('Marks Entry'!AO77="","",'Marks Entry'!AO77)</f>
        <v/>
      </c>
      <c r="CL77" s="580" t="str">
        <f>IF('Marks Entry'!AP77="","",'Marks Entry'!AP77)</f>
        <v/>
      </c>
      <c r="CM77" s="581" t="str">
        <f t="shared" si="279"/>
        <v/>
      </c>
      <c r="CN77" s="581" t="str">
        <f t="shared" si="280"/>
        <v/>
      </c>
      <c r="CO77" s="580" t="str">
        <f>IF('Marks Entry'!AQ77="","",'Marks Entry'!AQ77)</f>
        <v/>
      </c>
      <c r="CP77" s="580" t="str">
        <f>IF('Marks Entry'!AR77="","",'Marks Entry'!AR77)</f>
        <v/>
      </c>
      <c r="CQ77" s="581" t="str">
        <f t="shared" si="281"/>
        <v/>
      </c>
      <c r="CR77" s="157" t="str">
        <f t="shared" si="282"/>
        <v/>
      </c>
      <c r="CS77" s="157" t="str">
        <f t="shared" si="283"/>
        <v/>
      </c>
      <c r="CT77" s="192" t="str">
        <f t="shared" si="284"/>
        <v/>
      </c>
      <c r="CU77" s="153">
        <f t="shared" si="285"/>
        <v>0</v>
      </c>
      <c r="CV77" s="154">
        <f t="shared" si="286"/>
        <v>0</v>
      </c>
      <c r="CW77" s="154" t="str">
        <f t="shared" si="287"/>
        <v/>
      </c>
      <c r="CX77" s="154" t="str">
        <f t="shared" si="288"/>
        <v/>
      </c>
      <c r="CY77" s="154" t="str">
        <f t="shared" si="289"/>
        <v/>
      </c>
      <c r="CZ77" s="153" t="str">
        <f t="shared" si="290"/>
        <v/>
      </c>
      <c r="DA77" s="154" t="str">
        <f t="shared" si="291"/>
        <v/>
      </c>
      <c r="DB77" s="153" t="str">
        <f t="shared" si="292"/>
        <v/>
      </c>
      <c r="DC77" s="154">
        <f t="shared" si="293"/>
        <v>0</v>
      </c>
      <c r="DD77" s="826" t="str">
        <f>IF('Marks Entry'!AS77="","",IF(OR('Master Sheet'!$D$19="YES",'Marks Entry'!$BA$1=1),'Marks Entry'!AS77,""))</f>
        <v/>
      </c>
      <c r="DE77" s="826" t="str">
        <f>IF('Marks Entry'!AT77="","",IF(OR('Master Sheet'!$D$19="YES",'Marks Entry'!$BA$1=1),'Marks Entry'!AT77,""))</f>
        <v/>
      </c>
      <c r="DF77" s="826" t="str">
        <f>IF('Marks Entry'!AU77="","",IF(OR('Master Sheet'!$D$19="YES",'Marks Entry'!$BA$1=1),'Marks Entry'!AU77,""))</f>
        <v/>
      </c>
      <c r="DG77" s="826" t="str">
        <f>IF('Marks Entry'!AV77="","",IF(OR('Master Sheet'!$D$19="YES",'Marks Entry'!$BA$1=1),'Marks Entry'!AV77,""))</f>
        <v/>
      </c>
      <c r="DH77" s="827" t="str">
        <f t="shared" si="294"/>
        <v/>
      </c>
      <c r="DI77" s="826" t="str">
        <f>IF('Marks Entry'!AW77="","",IF(OR('Master Sheet'!$D$19="YES",'Marks Entry'!$BA$1=1),'Marks Entry'!AW77,""))</f>
        <v/>
      </c>
      <c r="DJ77" s="826" t="str">
        <f>IF('Marks Entry'!AX77="","",IF(OR('Master Sheet'!$D$19="YES",'Marks Entry'!$BA$1=1),'Marks Entry'!AX77,""))</f>
        <v/>
      </c>
      <c r="DK77" s="827" t="str">
        <f t="shared" si="295"/>
        <v/>
      </c>
      <c r="DL77" s="827" t="str">
        <f t="shared" si="296"/>
        <v/>
      </c>
      <c r="DM77" s="826" t="str">
        <f>IF('Marks Entry'!AY77="","",IF(OR('Master Sheet'!$D$19="YES",'Marks Entry'!$BA$1=1),'Marks Entry'!AY77,""))</f>
        <v/>
      </c>
      <c r="DN77" s="826" t="str">
        <f>IF('Marks Entry'!AZ77="","",IF(OR('Master Sheet'!$D$19="YES",'Marks Entry'!$BA$1=1),'Marks Entry'!AZ77,""))</f>
        <v/>
      </c>
      <c r="DO77" s="826" t="str">
        <f>IF('Marks Entry'!BA77="","",IF(OR('Master Sheet'!$D$19="YES",'Marks Entry'!$BA$1=1),'Marks Entry'!BA77,""))</f>
        <v/>
      </c>
      <c r="DP77" s="827" t="str">
        <f t="shared" si="297"/>
        <v/>
      </c>
      <c r="DQ77" s="157" t="str">
        <f t="shared" si="298"/>
        <v/>
      </c>
      <c r="DR77" s="157" t="str">
        <f t="shared" si="299"/>
        <v/>
      </c>
      <c r="DS77" s="157" t="str">
        <f t="shared" si="300"/>
        <v/>
      </c>
      <c r="DT77" s="192" t="str">
        <f t="shared" si="301"/>
        <v/>
      </c>
      <c r="DU77" s="153">
        <f t="shared" si="302"/>
        <v>0</v>
      </c>
      <c r="DV77" s="154" t="e">
        <f t="shared" si="303"/>
        <v>#VALUE!</v>
      </c>
      <c r="DW77" s="154" t="str">
        <f t="shared" si="304"/>
        <v/>
      </c>
      <c r="DX77" s="154" t="str">
        <f>IF(OR($B77="NSO",$B77=0,DS77=""),"",IF(AND(DJ77="",DO77=""),"",IF('Master Sheet'!$D$19="YES",$DO$6-COUNTIF(DO77,"ML")*DO$6,DS$6-(COUNTIF(DJ77,"ML")*DJ$6)-(COUNTIF(DO77,"ML")*DO$6))))</f>
        <v/>
      </c>
      <c r="DY77" s="154" t="str">
        <f>IF(OR($B77="NSO",$B77=0),"",IF(AND(DH77="",DI77="",DM77=""),"",IF(AND('Master Sheet'!$D$19="YES",'Marks Entry'!$BA$1=1),100,IF(AND(DJ77="",DO77=""),SUM(($DQ$7+$DR$7)-(DU77+DV77)),SUM(($DQ$6+$DR$6)-(DU77+DV77))))))</f>
        <v/>
      </c>
      <c r="DZ77" s="153" t="str">
        <f t="shared" si="305"/>
        <v/>
      </c>
      <c r="EA77" s="154" t="str">
        <f t="shared" si="306"/>
        <v/>
      </c>
      <c r="EB77" s="153" t="str">
        <f t="shared" si="307"/>
        <v/>
      </c>
      <c r="EC77" s="584" t="str">
        <f>IF('Marks Entry'!BB77="","",'Marks Entry'!BB77)</f>
        <v/>
      </c>
      <c r="ED77" s="584" t="str">
        <f>IF('Marks Entry'!BC77="","",'Marks Entry'!BC77)</f>
        <v/>
      </c>
      <c r="EE77" s="584" t="str">
        <f>IF('Marks Entry'!BD77="","",'Marks Entry'!BD77)</f>
        <v/>
      </c>
      <c r="EF77" s="590" t="str">
        <f t="shared" si="308"/>
        <v/>
      </c>
      <c r="EG77" s="595">
        <f t="shared" si="309"/>
        <v>0</v>
      </c>
      <c r="EH77" s="595">
        <f t="shared" si="310"/>
        <v>0</v>
      </c>
      <c r="EI77" s="193" t="str">
        <f t="shared" si="311"/>
        <v/>
      </c>
      <c r="EJ77" s="595" t="str">
        <f t="shared" si="312"/>
        <v/>
      </c>
      <c r="EK77" s="595" t="str">
        <f t="shared" si="313"/>
        <v/>
      </c>
      <c r="EL77" s="194" t="str">
        <f t="shared" si="314"/>
        <v/>
      </c>
      <c r="EM77" s="194" t="str">
        <f t="shared" si="315"/>
        <v/>
      </c>
      <c r="EN77" s="194" t="str">
        <f t="shared" si="316"/>
        <v/>
      </c>
      <c r="EO77" s="194" t="str">
        <f t="shared" si="317"/>
        <v/>
      </c>
      <c r="EP77" s="194" t="str">
        <f t="shared" si="318"/>
        <v/>
      </c>
      <c r="EQ77" s="194" t="str">
        <f t="shared" si="319"/>
        <v/>
      </c>
      <c r="ER77" s="195">
        <f t="shared" si="320"/>
        <v>0</v>
      </c>
      <c r="ES77" s="195">
        <f t="shared" si="321"/>
        <v>0</v>
      </c>
      <c r="ET77" s="195">
        <f t="shared" si="322"/>
        <v>0</v>
      </c>
      <c r="EU77" s="195">
        <f t="shared" si="323"/>
        <v>0</v>
      </c>
      <c r="EV77" s="195">
        <f t="shared" si="324"/>
        <v>0</v>
      </c>
      <c r="EW77" s="195" t="str">
        <f t="shared" si="325"/>
        <v/>
      </c>
      <c r="EX77" s="196" t="str">
        <f t="shared" si="326"/>
        <v/>
      </c>
      <c r="EY77" s="197" t="str">
        <f>IF('Marks Entry'!BE77="","",'Marks Entry'!BE77)</f>
        <v/>
      </c>
      <c r="EZ77" s="197" t="str">
        <f>IF('Marks Entry'!BF77="","",'Marks Entry'!BF77)</f>
        <v/>
      </c>
      <c r="FA77" s="197" t="str">
        <f>IF('Marks Entry'!BG77="","",'Marks Entry'!BG77)</f>
        <v/>
      </c>
      <c r="FB77" s="596" t="str">
        <f t="shared" si="327"/>
        <v/>
      </c>
      <c r="FC77" s="197" t="str">
        <f>IF('Marks Entry'!BH77="","",'Marks Entry'!BH77)</f>
        <v/>
      </c>
      <c r="FD77" s="197" t="str">
        <f>IF('Marks Entry'!BI77="","",'Marks Entry'!BI77)</f>
        <v/>
      </c>
      <c r="FE77" s="198" t="str">
        <f t="shared" si="328"/>
        <v/>
      </c>
      <c r="FF77" s="199" t="str">
        <f t="shared" si="329"/>
        <v/>
      </c>
      <c r="FG77" s="200" t="str">
        <f>IF(AND(E77=""),"",IF('Student DATA Entry'!L73="","",'Student DATA Entry'!L73))</f>
        <v/>
      </c>
      <c r="FH77" s="201" t="str">
        <f>IF(AND(E77=""),"",IF('Student DATA Entry'!M73="","",'Student DATA Entry'!M73))</f>
        <v/>
      </c>
      <c r="FI77" s="202" t="str">
        <f t="shared" si="330"/>
        <v/>
      </c>
      <c r="FJ77" s="189" t="str">
        <f t="shared" si="331"/>
        <v/>
      </c>
      <c r="FK77" s="189" t="str">
        <f t="shared" si="332"/>
        <v/>
      </c>
      <c r="FL77" s="203" t="str">
        <f t="shared" si="201"/>
        <v/>
      </c>
      <c r="FM77" s="189" t="str">
        <f t="shared" si="333"/>
        <v/>
      </c>
      <c r="FN77" s="204" t="str">
        <f t="shared" si="334"/>
        <v/>
      </c>
      <c r="FO77" s="203" t="str">
        <f t="shared" si="202"/>
        <v/>
      </c>
      <c r="FP77" s="205" t="str">
        <f t="shared" si="335"/>
        <v/>
      </c>
      <c r="FQ77" s="189" t="str">
        <f t="shared" si="203"/>
        <v/>
      </c>
      <c r="FR77" s="189" t="str">
        <f t="shared" si="204"/>
        <v/>
      </c>
      <c r="FS77" s="189" t="str">
        <f t="shared" si="205"/>
        <v/>
      </c>
      <c r="FT77" s="189" t="str">
        <f t="shared" si="206"/>
        <v/>
      </c>
      <c r="FU77" s="189" t="str">
        <f t="shared" si="336"/>
        <v/>
      </c>
      <c r="FV77" s="206" t="str">
        <f t="shared" si="207"/>
        <v/>
      </c>
      <c r="FW77" s="205" t="str">
        <f t="shared" si="337"/>
        <v/>
      </c>
      <c r="FX77" s="189" t="str">
        <f t="shared" si="208"/>
        <v/>
      </c>
      <c r="FY77" s="189" t="str">
        <f t="shared" si="209"/>
        <v/>
      </c>
      <c r="FZ77" s="189" t="str">
        <f t="shared" si="210"/>
        <v/>
      </c>
      <c r="GA77" s="189" t="str">
        <f t="shared" si="211"/>
        <v/>
      </c>
      <c r="GB77" s="189" t="str">
        <f t="shared" si="338"/>
        <v/>
      </c>
      <c r="GC77" s="206" t="str">
        <f t="shared" si="212"/>
        <v/>
      </c>
      <c r="GD77" s="205" t="str">
        <f t="shared" si="339"/>
        <v/>
      </c>
      <c r="GE77" s="189" t="str">
        <f t="shared" si="213"/>
        <v/>
      </c>
      <c r="GF77" s="189" t="str">
        <f t="shared" si="214"/>
        <v/>
      </c>
      <c r="GG77" s="189" t="str">
        <f t="shared" si="215"/>
        <v/>
      </c>
      <c r="GH77" s="189" t="str">
        <f t="shared" si="216"/>
        <v/>
      </c>
      <c r="GI77" s="189" t="str">
        <f t="shared" si="340"/>
        <v/>
      </c>
      <c r="GJ77" s="206" t="str">
        <f t="shared" si="217"/>
        <v/>
      </c>
      <c r="GK77" s="205" t="str">
        <f t="shared" si="341"/>
        <v/>
      </c>
      <c r="GL77" s="189" t="str">
        <f t="shared" si="218"/>
        <v/>
      </c>
      <c r="GM77" s="189" t="str">
        <f t="shared" si="219"/>
        <v/>
      </c>
      <c r="GN77" s="189" t="str">
        <f t="shared" si="220"/>
        <v/>
      </c>
      <c r="GO77" s="189" t="str">
        <f t="shared" si="221"/>
        <v/>
      </c>
      <c r="GP77" s="189" t="str">
        <f t="shared" si="342"/>
        <v/>
      </c>
      <c r="GQ77" s="206" t="str">
        <f t="shared" si="222"/>
        <v/>
      </c>
      <c r="GR77" s="189" t="str">
        <f t="shared" si="343"/>
        <v/>
      </c>
      <c r="GS77" s="189" t="str">
        <f t="shared" si="344"/>
        <v/>
      </c>
      <c r="GT77" s="207" t="str">
        <f t="shared" si="345"/>
        <v xml:space="preserve">    </v>
      </c>
      <c r="GU77" s="207" t="str">
        <f t="shared" si="346"/>
        <v xml:space="preserve">    </v>
      </c>
      <c r="GV77" s="207" t="str">
        <f t="shared" si="347"/>
        <v xml:space="preserve">    </v>
      </c>
      <c r="GW77" s="207" t="str">
        <f t="shared" si="348"/>
        <v xml:space="preserve">       </v>
      </c>
      <c r="GX77" s="598" t="str">
        <f t="shared" si="349"/>
        <v xml:space="preserve">     </v>
      </c>
      <c r="GY77" s="208" t="str">
        <f t="shared" si="223"/>
        <v/>
      </c>
      <c r="GZ77" s="606" t="str">
        <f>IF(AND(Q77="",AE77="",AZ77="",BW77="",CT77=""),"",IF(AND('Master Sheet'!$D$19="YES",'Marks Entry'!$BA$1=1),SUM(Q77,AE77,AZ77,BW77,DT77),SUM(Q77,AE77,AZ77,BW77,CT77)))</f>
        <v/>
      </c>
      <c r="HA77" s="209" t="str">
        <f>IF(GZ77="","",IF(AND('Master Sheet'!$D$19="YES",'Marks Entry'!$BA$1=1),GZ77/((900)-DC77)*100,GZ77/((1000)-DC77)*100))</f>
        <v/>
      </c>
      <c r="HB77" s="611" t="str">
        <f t="shared" si="350"/>
        <v/>
      </c>
      <c r="HC77" s="609" t="str">
        <f t="shared" si="351"/>
        <v/>
      </c>
      <c r="HD77" s="610" t="str">
        <f t="shared" si="352"/>
        <v/>
      </c>
      <c r="HE77" s="210" t="str">
        <f>IFERROR(IF(OR(GY77="SUPPLEMENTARY",GY77="RE-EXAM"),'Supp. Result Entry'!AS76,""),"")</f>
        <v/>
      </c>
      <c r="HF77" s="613" t="str">
        <f t="shared" si="353"/>
        <v/>
      </c>
      <c r="HG77" s="598" t="str">
        <f t="shared" si="354"/>
        <v/>
      </c>
      <c r="HH77" s="598" t="str">
        <f>IF(AND(HE77="",HF77="",HG77=""),"",IF(OR(GY77="SUPPLEMENTARY",GY77="RE-EXAM"),'Supp. Result Entry'!AS76,GY77))</f>
        <v/>
      </c>
      <c r="HI77" s="180"/>
      <c r="HY77" s="212" t="str">
        <f>IF('Supp. Result Entry'!U76="","",'Supp. Result Entry'!$U$6)</f>
        <v/>
      </c>
      <c r="HZ77" s="213" t="str">
        <f>IF('Supp. Result Entry'!X76="","",'Supp. Result Entry'!$X$6)</f>
        <v/>
      </c>
      <c r="IA77" s="213" t="str">
        <f>IF('Supp. Result Entry'!AA76="","",'Supp. Result Entry'!$AA$6)</f>
        <v/>
      </c>
      <c r="IB77" s="213" t="str">
        <f>IF('Supp. Result Entry'!AD76="","",'Supp. Result Entry'!$AD$6)</f>
        <v/>
      </c>
      <c r="IC77" s="213" t="str">
        <f>IF('Supp. Result Entry'!AG76="","",'Supp. Result Entry'!$AG$6)</f>
        <v/>
      </c>
      <c r="ID77" s="213" t="str">
        <f>IF('Supp. Result Entry'!AJ76="","",'Supp. Result Entry'!$AJ$6)</f>
        <v/>
      </c>
      <c r="IE77" s="213" t="str">
        <f>IF('Supp. Result Entry'!V76="","",'Supp. Result Entry'!V76)</f>
        <v/>
      </c>
      <c r="IF77" s="213" t="str">
        <f>IF('Supp. Result Entry'!Y76="","",'Supp. Result Entry'!Y76)</f>
        <v/>
      </c>
      <c r="IG77" s="213" t="str">
        <f>IF('Supp. Result Entry'!AB76="","",'Supp. Result Entry'!AB76)</f>
        <v/>
      </c>
      <c r="IH77" s="213" t="str">
        <f>IF('Supp. Result Entry'!AE76="","",'Supp. Result Entry'!AE76)</f>
        <v/>
      </c>
      <c r="II77" s="213" t="str">
        <f>IF('Supp. Result Entry'!AH76="","",'Supp. Result Entry'!AH76)</f>
        <v/>
      </c>
      <c r="IJ77" s="213" t="str">
        <f>IF('Supp. Result Entry'!AK76="","",'Supp. Result Entry'!AK76)</f>
        <v/>
      </c>
      <c r="IK77" s="213" t="str">
        <f>IF('Supp. Result Entry'!W76="","",'Supp. Result Entry'!W76)</f>
        <v/>
      </c>
      <c r="IL77" s="213" t="str">
        <f>IF('Supp. Result Entry'!Z76="","",'Supp. Result Entry'!Z76)</f>
        <v/>
      </c>
      <c r="IM77" s="213" t="str">
        <f>IF('Supp. Result Entry'!AC76="","",'Supp. Result Entry'!AC76)</f>
        <v/>
      </c>
      <c r="IN77" s="213" t="str">
        <f>IF('Supp. Result Entry'!AF76="","",'Supp. Result Entry'!AF76)</f>
        <v/>
      </c>
      <c r="IO77" s="213" t="str">
        <f>IF('Supp. Result Entry'!AI76="","",'Supp. Result Entry'!AI76)</f>
        <v/>
      </c>
      <c r="IP77" s="213" t="str">
        <f>IF('Supp. Result Entry'!AL76="","",'Supp. Result Entry'!AL76)</f>
        <v/>
      </c>
      <c r="IQ77" s="213">
        <f>COUNTIF('Supp. Result Entry'!K76:Q76,"S")</f>
        <v>0</v>
      </c>
      <c r="IR77" s="213">
        <f t="shared" si="355"/>
        <v>0</v>
      </c>
      <c r="IS77" s="213">
        <f t="shared" si="356"/>
        <v>0</v>
      </c>
      <c r="IT77" s="213" t="str">
        <f t="shared" si="224"/>
        <v/>
      </c>
      <c r="IU77" s="213" t="str">
        <f t="shared" si="225"/>
        <v/>
      </c>
      <c r="IV77" s="213" t="str">
        <f t="shared" si="226"/>
        <v/>
      </c>
      <c r="IW77" s="213" t="str">
        <f t="shared" si="227"/>
        <v/>
      </c>
      <c r="IX77" s="213" t="str">
        <f t="shared" si="228"/>
        <v/>
      </c>
      <c r="IY77" s="213" t="str">
        <f t="shared" si="357"/>
        <v/>
      </c>
      <c r="IZ77" s="213" t="str">
        <f t="shared" si="358"/>
        <v/>
      </c>
      <c r="JA77" s="213" t="str">
        <f t="shared" si="229"/>
        <v/>
      </c>
      <c r="JB77" s="211" t="str">
        <f t="shared" si="359"/>
        <v/>
      </c>
    </row>
    <row r="78" spans="1:262" s="211" customFormat="1" ht="21" customHeight="1">
      <c r="A78" s="184">
        <v>71</v>
      </c>
      <c r="B78" s="185" t="str">
        <f>IF('Marks Entry'!B78="","",'Marks Entry'!B78)</f>
        <v/>
      </c>
      <c r="C78" s="186" t="str">
        <f>IF('Marks Entry'!D78="","",'Marks Entry'!D78)</f>
        <v/>
      </c>
      <c r="D78" s="187" t="str">
        <f>IF('Marks Entry'!E78="","",'Marks Entry'!E78)</f>
        <v/>
      </c>
      <c r="E78" s="188" t="str">
        <f>IF('Marks Entry'!F78="","",'Marks Entry'!F78)</f>
        <v/>
      </c>
      <c r="F78" s="188" t="str">
        <f>IF('Marks Entry'!G78="","",'Marks Entry'!G78)</f>
        <v/>
      </c>
      <c r="G78" s="188" t="str">
        <f>IF('Marks Entry'!H78="","",'Marks Entry'!H78)</f>
        <v/>
      </c>
      <c r="H78" s="189" t="str">
        <f>IF('Marks Entry'!I78="","",'Marks Entry'!I78)</f>
        <v/>
      </c>
      <c r="I78" s="190" t="str">
        <f>IF('Marks Entry'!J78="","",'Marks Entry'!J78)</f>
        <v/>
      </c>
      <c r="J78" s="545" t="str">
        <f>IF('Marks Entry'!K78="","",'Marks Entry'!K78)</f>
        <v/>
      </c>
      <c r="K78" s="545" t="str">
        <f>IF('Marks Entry'!L78="","",'Marks Entry'!L78)</f>
        <v/>
      </c>
      <c r="L78" s="545" t="str">
        <f>IF('Marks Entry'!M78="","",'Marks Entry'!M78)</f>
        <v/>
      </c>
      <c r="M78" s="546" t="str">
        <f t="shared" si="230"/>
        <v/>
      </c>
      <c r="N78" s="545" t="str">
        <f>IF('Marks Entry'!N78="","",'Marks Entry'!N78)</f>
        <v/>
      </c>
      <c r="O78" s="546" t="str">
        <f t="shared" si="231"/>
        <v/>
      </c>
      <c r="P78" s="545" t="str">
        <f>IF('Marks Entry'!O78="","",'Marks Entry'!O78)</f>
        <v/>
      </c>
      <c r="Q78" s="547" t="str">
        <f t="shared" si="232"/>
        <v/>
      </c>
      <c r="R78" s="153">
        <f t="shared" si="233"/>
        <v>0</v>
      </c>
      <c r="S78" s="153">
        <f t="shared" si="234"/>
        <v>0</v>
      </c>
      <c r="T78" s="154" t="str">
        <f t="shared" si="235"/>
        <v/>
      </c>
      <c r="U78" s="153" t="str">
        <f t="shared" si="236"/>
        <v/>
      </c>
      <c r="V78" s="153" t="str">
        <f t="shared" si="237"/>
        <v/>
      </c>
      <c r="W78" s="153" t="str">
        <f t="shared" si="238"/>
        <v/>
      </c>
      <c r="X78" s="545" t="str">
        <f>IF('Marks Entry'!P78="","",'Marks Entry'!P78)</f>
        <v/>
      </c>
      <c r="Y78" s="545" t="str">
        <f>IF('Marks Entry'!Q78="","",'Marks Entry'!Q78)</f>
        <v/>
      </c>
      <c r="Z78" s="545" t="str">
        <f>IF('Marks Entry'!R78="","",'Marks Entry'!R78)</f>
        <v/>
      </c>
      <c r="AA78" s="546" t="str">
        <f t="shared" si="239"/>
        <v/>
      </c>
      <c r="AB78" s="545" t="str">
        <f>IF('Marks Entry'!S78="","",'Marks Entry'!S78)</f>
        <v/>
      </c>
      <c r="AC78" s="546" t="str">
        <f t="shared" si="240"/>
        <v/>
      </c>
      <c r="AD78" s="545" t="str">
        <f>IF('Marks Entry'!T78="","",'Marks Entry'!T78)</f>
        <v/>
      </c>
      <c r="AE78" s="547" t="str">
        <f t="shared" si="241"/>
        <v/>
      </c>
      <c r="AF78" s="153">
        <f t="shared" si="242"/>
        <v>0</v>
      </c>
      <c r="AG78" s="153">
        <f t="shared" si="243"/>
        <v>0</v>
      </c>
      <c r="AH78" s="154" t="str">
        <f t="shared" si="244"/>
        <v/>
      </c>
      <c r="AI78" s="153" t="str">
        <f t="shared" si="245"/>
        <v/>
      </c>
      <c r="AJ78" s="153" t="str">
        <f t="shared" si="246"/>
        <v/>
      </c>
      <c r="AK78" s="153" t="str">
        <f t="shared" si="247"/>
        <v/>
      </c>
      <c r="AL78" s="573" t="str">
        <f>IF('Marks Entry'!U78="","",'Marks Entry'!U78)</f>
        <v/>
      </c>
      <c r="AM78" s="573" t="str">
        <f>IF('Marks Entry'!V78="","",'Marks Entry'!V78)</f>
        <v/>
      </c>
      <c r="AN78" s="573" t="str">
        <f>IF('Marks Entry'!W78="","",'Marks Entry'!W78)</f>
        <v/>
      </c>
      <c r="AO78" s="573" t="str">
        <f>IF('Marks Entry'!X78="","",'Marks Entry'!X78)</f>
        <v/>
      </c>
      <c r="AP78" s="572" t="str">
        <f t="shared" si="248"/>
        <v/>
      </c>
      <c r="AQ78" s="573" t="str">
        <f>IF('Marks Entry'!Y78="","",'Marks Entry'!Y78)</f>
        <v/>
      </c>
      <c r="AR78" s="573" t="str">
        <f>IF('Marks Entry'!Z78="","",'Marks Entry'!Z78)</f>
        <v/>
      </c>
      <c r="AS78" s="572" t="str">
        <f t="shared" si="249"/>
        <v/>
      </c>
      <c r="AT78" s="572" t="str">
        <f t="shared" si="250"/>
        <v/>
      </c>
      <c r="AU78" s="573" t="str">
        <f>IF('Marks Entry'!AA78="","",'Marks Entry'!AA78)</f>
        <v/>
      </c>
      <c r="AV78" s="573" t="str">
        <f>IF('Marks Entry'!AB78="","",'Marks Entry'!AB78)</f>
        <v/>
      </c>
      <c r="AW78" s="572" t="str">
        <f t="shared" si="251"/>
        <v/>
      </c>
      <c r="AX78" s="157" t="str">
        <f t="shared" si="252"/>
        <v/>
      </c>
      <c r="AY78" s="157" t="str">
        <f t="shared" si="253"/>
        <v/>
      </c>
      <c r="AZ78" s="192" t="str">
        <f t="shared" si="254"/>
        <v/>
      </c>
      <c r="BA78" s="153">
        <f t="shared" si="255"/>
        <v>0</v>
      </c>
      <c r="BB78" s="154">
        <f t="shared" si="256"/>
        <v>0</v>
      </c>
      <c r="BC78" s="154" t="str">
        <f t="shared" si="257"/>
        <v/>
      </c>
      <c r="BD78" s="154" t="str">
        <f t="shared" si="258"/>
        <v/>
      </c>
      <c r="BE78" s="154" t="str">
        <f t="shared" si="259"/>
        <v/>
      </c>
      <c r="BF78" s="153" t="str">
        <f t="shared" si="260"/>
        <v/>
      </c>
      <c r="BG78" s="154" t="str">
        <f t="shared" si="261"/>
        <v/>
      </c>
      <c r="BH78" s="153" t="str">
        <f t="shared" si="262"/>
        <v/>
      </c>
      <c r="BI78" s="580" t="str">
        <f>IF('Marks Entry'!AC78="","",'Marks Entry'!AC78)</f>
        <v/>
      </c>
      <c r="BJ78" s="580" t="str">
        <f>IF('Marks Entry'!AD78="","",'Marks Entry'!AD78)</f>
        <v/>
      </c>
      <c r="BK78" s="580" t="str">
        <f>IF('Marks Entry'!AE78="","",'Marks Entry'!AE78)</f>
        <v/>
      </c>
      <c r="BL78" s="580" t="str">
        <f>IF('Marks Entry'!AF78="","",'Marks Entry'!AF78)</f>
        <v/>
      </c>
      <c r="BM78" s="581" t="str">
        <f t="shared" si="263"/>
        <v/>
      </c>
      <c r="BN78" s="580" t="str">
        <f>IF('Marks Entry'!AG78="","",'Marks Entry'!AG78)</f>
        <v/>
      </c>
      <c r="BO78" s="580" t="str">
        <f>IF('Marks Entry'!AH78="","",'Marks Entry'!AH78)</f>
        <v/>
      </c>
      <c r="BP78" s="581" t="str">
        <f t="shared" si="264"/>
        <v/>
      </c>
      <c r="BQ78" s="581" t="str">
        <f t="shared" si="265"/>
        <v/>
      </c>
      <c r="BR78" s="580" t="str">
        <f>IF('Marks Entry'!AI78="","",'Marks Entry'!AI78)</f>
        <v/>
      </c>
      <c r="BS78" s="580" t="str">
        <f>IF('Marks Entry'!AJ78="","",'Marks Entry'!AJ78)</f>
        <v/>
      </c>
      <c r="BT78" s="581" t="str">
        <f t="shared" si="266"/>
        <v/>
      </c>
      <c r="BU78" s="157" t="str">
        <f t="shared" si="267"/>
        <v/>
      </c>
      <c r="BV78" s="157" t="str">
        <f t="shared" si="268"/>
        <v/>
      </c>
      <c r="BW78" s="192" t="str">
        <f t="shared" si="269"/>
        <v/>
      </c>
      <c r="BX78" s="153">
        <f t="shared" si="270"/>
        <v>0</v>
      </c>
      <c r="BY78" s="154">
        <f t="shared" si="271"/>
        <v>0</v>
      </c>
      <c r="BZ78" s="154" t="str">
        <f t="shared" si="272"/>
        <v/>
      </c>
      <c r="CA78" s="154" t="str">
        <f t="shared" si="273"/>
        <v/>
      </c>
      <c r="CB78" s="154" t="str">
        <f t="shared" si="274"/>
        <v/>
      </c>
      <c r="CC78" s="153" t="str">
        <f t="shared" si="275"/>
        <v/>
      </c>
      <c r="CD78" s="154" t="str">
        <f t="shared" si="276"/>
        <v/>
      </c>
      <c r="CE78" s="153" t="str">
        <f t="shared" si="277"/>
        <v/>
      </c>
      <c r="CF78" s="580" t="str">
        <f>IF('Marks Entry'!AK78="","",'Marks Entry'!AK78)</f>
        <v/>
      </c>
      <c r="CG78" s="580" t="str">
        <f>IF('Marks Entry'!AL78="","",'Marks Entry'!AL78)</f>
        <v/>
      </c>
      <c r="CH78" s="580" t="str">
        <f>IF('Marks Entry'!AM78="","",'Marks Entry'!AM78)</f>
        <v/>
      </c>
      <c r="CI78" s="580" t="str">
        <f>IF('Marks Entry'!AN78="","",'Marks Entry'!AN78)</f>
        <v/>
      </c>
      <c r="CJ78" s="581" t="str">
        <f t="shared" si="278"/>
        <v/>
      </c>
      <c r="CK78" s="580" t="str">
        <f>IF('Marks Entry'!AO78="","",'Marks Entry'!AO78)</f>
        <v/>
      </c>
      <c r="CL78" s="580" t="str">
        <f>IF('Marks Entry'!AP78="","",'Marks Entry'!AP78)</f>
        <v/>
      </c>
      <c r="CM78" s="581" t="str">
        <f t="shared" si="279"/>
        <v/>
      </c>
      <c r="CN78" s="581" t="str">
        <f t="shared" si="280"/>
        <v/>
      </c>
      <c r="CO78" s="580" t="str">
        <f>IF('Marks Entry'!AQ78="","",'Marks Entry'!AQ78)</f>
        <v/>
      </c>
      <c r="CP78" s="580" t="str">
        <f>IF('Marks Entry'!AR78="","",'Marks Entry'!AR78)</f>
        <v/>
      </c>
      <c r="CQ78" s="581" t="str">
        <f t="shared" si="281"/>
        <v/>
      </c>
      <c r="CR78" s="157" t="str">
        <f t="shared" si="282"/>
        <v/>
      </c>
      <c r="CS78" s="157" t="str">
        <f t="shared" si="283"/>
        <v/>
      </c>
      <c r="CT78" s="192" t="str">
        <f t="shared" si="284"/>
        <v/>
      </c>
      <c r="CU78" s="153">
        <f t="shared" si="285"/>
        <v>0</v>
      </c>
      <c r="CV78" s="154">
        <f t="shared" si="286"/>
        <v>0</v>
      </c>
      <c r="CW78" s="154" t="str">
        <f t="shared" si="287"/>
        <v/>
      </c>
      <c r="CX78" s="154" t="str">
        <f t="shared" si="288"/>
        <v/>
      </c>
      <c r="CY78" s="154" t="str">
        <f t="shared" si="289"/>
        <v/>
      </c>
      <c r="CZ78" s="153" t="str">
        <f t="shared" si="290"/>
        <v/>
      </c>
      <c r="DA78" s="154" t="str">
        <f t="shared" si="291"/>
        <v/>
      </c>
      <c r="DB78" s="153" t="str">
        <f t="shared" si="292"/>
        <v/>
      </c>
      <c r="DC78" s="154">
        <f t="shared" si="293"/>
        <v>0</v>
      </c>
      <c r="DD78" s="826" t="str">
        <f>IF('Marks Entry'!AS78="","",IF(OR('Master Sheet'!$D$19="YES",'Marks Entry'!$BA$1=1),'Marks Entry'!AS78,""))</f>
        <v/>
      </c>
      <c r="DE78" s="826" t="str">
        <f>IF('Marks Entry'!AT78="","",IF(OR('Master Sheet'!$D$19="YES",'Marks Entry'!$BA$1=1),'Marks Entry'!AT78,""))</f>
        <v/>
      </c>
      <c r="DF78" s="826" t="str">
        <f>IF('Marks Entry'!AU78="","",IF(OR('Master Sheet'!$D$19="YES",'Marks Entry'!$BA$1=1),'Marks Entry'!AU78,""))</f>
        <v/>
      </c>
      <c r="DG78" s="826" t="str">
        <f>IF('Marks Entry'!AV78="","",IF(OR('Master Sheet'!$D$19="YES",'Marks Entry'!$BA$1=1),'Marks Entry'!AV78,""))</f>
        <v/>
      </c>
      <c r="DH78" s="827" t="str">
        <f t="shared" si="294"/>
        <v/>
      </c>
      <c r="DI78" s="826" t="str">
        <f>IF('Marks Entry'!AW78="","",IF(OR('Master Sheet'!$D$19="YES",'Marks Entry'!$BA$1=1),'Marks Entry'!AW78,""))</f>
        <v/>
      </c>
      <c r="DJ78" s="826" t="str">
        <f>IF('Marks Entry'!AX78="","",IF(OR('Master Sheet'!$D$19="YES",'Marks Entry'!$BA$1=1),'Marks Entry'!AX78,""))</f>
        <v/>
      </c>
      <c r="DK78" s="827" t="str">
        <f t="shared" si="295"/>
        <v/>
      </c>
      <c r="DL78" s="827" t="str">
        <f t="shared" si="296"/>
        <v/>
      </c>
      <c r="DM78" s="826" t="str">
        <f>IF('Marks Entry'!AY78="","",IF(OR('Master Sheet'!$D$19="YES",'Marks Entry'!$BA$1=1),'Marks Entry'!AY78,""))</f>
        <v/>
      </c>
      <c r="DN78" s="826" t="str">
        <f>IF('Marks Entry'!AZ78="","",IF(OR('Master Sheet'!$D$19="YES",'Marks Entry'!$BA$1=1),'Marks Entry'!AZ78,""))</f>
        <v/>
      </c>
      <c r="DO78" s="826" t="str">
        <f>IF('Marks Entry'!BA78="","",IF(OR('Master Sheet'!$D$19="YES",'Marks Entry'!$BA$1=1),'Marks Entry'!BA78,""))</f>
        <v/>
      </c>
      <c r="DP78" s="827" t="str">
        <f t="shared" si="297"/>
        <v/>
      </c>
      <c r="DQ78" s="157" t="str">
        <f t="shared" si="298"/>
        <v/>
      </c>
      <c r="DR78" s="157" t="str">
        <f t="shared" si="299"/>
        <v/>
      </c>
      <c r="DS78" s="157" t="str">
        <f t="shared" si="300"/>
        <v/>
      </c>
      <c r="DT78" s="192" t="str">
        <f t="shared" si="301"/>
        <v/>
      </c>
      <c r="DU78" s="153">
        <f t="shared" si="302"/>
        <v>0</v>
      </c>
      <c r="DV78" s="154" t="e">
        <f t="shared" si="303"/>
        <v>#VALUE!</v>
      </c>
      <c r="DW78" s="154" t="str">
        <f t="shared" si="304"/>
        <v/>
      </c>
      <c r="DX78" s="154" t="str">
        <f>IF(OR($B78="NSO",$B78=0,DS78=""),"",IF(AND(DJ78="",DO78=""),"",IF('Master Sheet'!$D$19="YES",$DO$6-COUNTIF(DO78,"ML")*DO$6,DS$6-(COUNTIF(DJ78,"ML")*DJ$6)-(COUNTIF(DO78,"ML")*DO$6))))</f>
        <v/>
      </c>
      <c r="DY78" s="154" t="str">
        <f>IF(OR($B78="NSO",$B78=0),"",IF(AND(DH78="",DI78="",DM78=""),"",IF(AND('Master Sheet'!$D$19="YES",'Marks Entry'!$BA$1=1),100,IF(AND(DJ78="",DO78=""),SUM(($DQ$7+$DR$7)-(DU78+DV78)),SUM(($DQ$6+$DR$6)-(DU78+DV78))))))</f>
        <v/>
      </c>
      <c r="DZ78" s="153" t="str">
        <f t="shared" si="305"/>
        <v/>
      </c>
      <c r="EA78" s="154" t="str">
        <f t="shared" si="306"/>
        <v/>
      </c>
      <c r="EB78" s="153" t="str">
        <f t="shared" si="307"/>
        <v/>
      </c>
      <c r="EC78" s="584" t="str">
        <f>IF('Marks Entry'!BB78="","",'Marks Entry'!BB78)</f>
        <v/>
      </c>
      <c r="ED78" s="584" t="str">
        <f>IF('Marks Entry'!BC78="","",'Marks Entry'!BC78)</f>
        <v/>
      </c>
      <c r="EE78" s="584" t="str">
        <f>IF('Marks Entry'!BD78="","",'Marks Entry'!BD78)</f>
        <v/>
      </c>
      <c r="EF78" s="590" t="str">
        <f t="shared" si="308"/>
        <v/>
      </c>
      <c r="EG78" s="595">
        <f t="shared" si="309"/>
        <v>0</v>
      </c>
      <c r="EH78" s="595">
        <f t="shared" si="310"/>
        <v>0</v>
      </c>
      <c r="EI78" s="193" t="str">
        <f t="shared" si="311"/>
        <v/>
      </c>
      <c r="EJ78" s="595" t="str">
        <f t="shared" si="312"/>
        <v/>
      </c>
      <c r="EK78" s="595" t="str">
        <f t="shared" si="313"/>
        <v/>
      </c>
      <c r="EL78" s="194" t="str">
        <f t="shared" si="314"/>
        <v/>
      </c>
      <c r="EM78" s="194" t="str">
        <f t="shared" si="315"/>
        <v/>
      </c>
      <c r="EN78" s="194" t="str">
        <f t="shared" si="316"/>
        <v/>
      </c>
      <c r="EO78" s="194" t="str">
        <f t="shared" si="317"/>
        <v/>
      </c>
      <c r="EP78" s="194" t="str">
        <f t="shared" si="318"/>
        <v/>
      </c>
      <c r="EQ78" s="194" t="str">
        <f t="shared" si="319"/>
        <v/>
      </c>
      <c r="ER78" s="195">
        <f t="shared" si="320"/>
        <v>0</v>
      </c>
      <c r="ES78" s="195">
        <f t="shared" si="321"/>
        <v>0</v>
      </c>
      <c r="ET78" s="195">
        <f t="shared" si="322"/>
        <v>0</v>
      </c>
      <c r="EU78" s="195">
        <f t="shared" si="323"/>
        <v>0</v>
      </c>
      <c r="EV78" s="195">
        <f t="shared" si="324"/>
        <v>0</v>
      </c>
      <c r="EW78" s="195" t="str">
        <f t="shared" si="325"/>
        <v/>
      </c>
      <c r="EX78" s="196" t="str">
        <f t="shared" si="326"/>
        <v/>
      </c>
      <c r="EY78" s="197" t="str">
        <f>IF('Marks Entry'!BE78="","",'Marks Entry'!BE78)</f>
        <v/>
      </c>
      <c r="EZ78" s="197" t="str">
        <f>IF('Marks Entry'!BF78="","",'Marks Entry'!BF78)</f>
        <v/>
      </c>
      <c r="FA78" s="197" t="str">
        <f>IF('Marks Entry'!BG78="","",'Marks Entry'!BG78)</f>
        <v/>
      </c>
      <c r="FB78" s="596" t="str">
        <f t="shared" si="327"/>
        <v/>
      </c>
      <c r="FC78" s="197" t="str">
        <f>IF('Marks Entry'!BH78="","",'Marks Entry'!BH78)</f>
        <v/>
      </c>
      <c r="FD78" s="197" t="str">
        <f>IF('Marks Entry'!BI78="","",'Marks Entry'!BI78)</f>
        <v/>
      </c>
      <c r="FE78" s="198" t="str">
        <f t="shared" si="328"/>
        <v/>
      </c>
      <c r="FF78" s="199" t="str">
        <f t="shared" si="329"/>
        <v/>
      </c>
      <c r="FG78" s="200" t="str">
        <f>IF(AND(E78=""),"",IF('Student DATA Entry'!L74="","",'Student DATA Entry'!L74))</f>
        <v/>
      </c>
      <c r="FH78" s="201" t="str">
        <f>IF(AND(E78=""),"",IF('Student DATA Entry'!M74="","",'Student DATA Entry'!M74))</f>
        <v/>
      </c>
      <c r="FI78" s="202" t="str">
        <f t="shared" si="330"/>
        <v/>
      </c>
      <c r="FJ78" s="189" t="str">
        <f t="shared" si="331"/>
        <v/>
      </c>
      <c r="FK78" s="189" t="str">
        <f t="shared" si="332"/>
        <v/>
      </c>
      <c r="FL78" s="203" t="str">
        <f t="shared" si="201"/>
        <v/>
      </c>
      <c r="FM78" s="189" t="str">
        <f t="shared" si="333"/>
        <v/>
      </c>
      <c r="FN78" s="204" t="str">
        <f t="shared" si="334"/>
        <v/>
      </c>
      <c r="FO78" s="203" t="str">
        <f t="shared" si="202"/>
        <v/>
      </c>
      <c r="FP78" s="205" t="str">
        <f t="shared" si="335"/>
        <v/>
      </c>
      <c r="FQ78" s="189" t="str">
        <f t="shared" si="203"/>
        <v/>
      </c>
      <c r="FR78" s="189" t="str">
        <f t="shared" si="204"/>
        <v/>
      </c>
      <c r="FS78" s="189" t="str">
        <f t="shared" si="205"/>
        <v/>
      </c>
      <c r="FT78" s="189" t="str">
        <f t="shared" si="206"/>
        <v/>
      </c>
      <c r="FU78" s="189" t="str">
        <f t="shared" si="336"/>
        <v/>
      </c>
      <c r="FV78" s="206" t="str">
        <f t="shared" si="207"/>
        <v/>
      </c>
      <c r="FW78" s="205" t="str">
        <f t="shared" si="337"/>
        <v/>
      </c>
      <c r="FX78" s="189" t="str">
        <f t="shared" si="208"/>
        <v/>
      </c>
      <c r="FY78" s="189" t="str">
        <f t="shared" si="209"/>
        <v/>
      </c>
      <c r="FZ78" s="189" t="str">
        <f t="shared" si="210"/>
        <v/>
      </c>
      <c r="GA78" s="189" t="str">
        <f t="shared" si="211"/>
        <v/>
      </c>
      <c r="GB78" s="189" t="str">
        <f t="shared" si="338"/>
        <v/>
      </c>
      <c r="GC78" s="206" t="str">
        <f t="shared" si="212"/>
        <v/>
      </c>
      <c r="GD78" s="205" t="str">
        <f t="shared" si="339"/>
        <v/>
      </c>
      <c r="GE78" s="189" t="str">
        <f t="shared" si="213"/>
        <v/>
      </c>
      <c r="GF78" s="189" t="str">
        <f t="shared" si="214"/>
        <v/>
      </c>
      <c r="GG78" s="189" t="str">
        <f t="shared" si="215"/>
        <v/>
      </c>
      <c r="GH78" s="189" t="str">
        <f t="shared" si="216"/>
        <v/>
      </c>
      <c r="GI78" s="189" t="str">
        <f t="shared" si="340"/>
        <v/>
      </c>
      <c r="GJ78" s="206" t="str">
        <f t="shared" si="217"/>
        <v/>
      </c>
      <c r="GK78" s="205" t="str">
        <f t="shared" si="341"/>
        <v/>
      </c>
      <c r="GL78" s="189" t="str">
        <f t="shared" si="218"/>
        <v/>
      </c>
      <c r="GM78" s="189" t="str">
        <f t="shared" si="219"/>
        <v/>
      </c>
      <c r="GN78" s="189" t="str">
        <f t="shared" si="220"/>
        <v/>
      </c>
      <c r="GO78" s="189" t="str">
        <f t="shared" si="221"/>
        <v/>
      </c>
      <c r="GP78" s="189" t="str">
        <f t="shared" si="342"/>
        <v/>
      </c>
      <c r="GQ78" s="206" t="str">
        <f t="shared" si="222"/>
        <v/>
      </c>
      <c r="GR78" s="189" t="str">
        <f t="shared" si="343"/>
        <v/>
      </c>
      <c r="GS78" s="189" t="str">
        <f t="shared" si="344"/>
        <v/>
      </c>
      <c r="GT78" s="207" t="str">
        <f t="shared" si="345"/>
        <v xml:space="preserve">    </v>
      </c>
      <c r="GU78" s="207" t="str">
        <f t="shared" si="346"/>
        <v xml:space="preserve">    </v>
      </c>
      <c r="GV78" s="207" t="str">
        <f t="shared" si="347"/>
        <v xml:space="preserve">    </v>
      </c>
      <c r="GW78" s="207" t="str">
        <f t="shared" si="348"/>
        <v xml:space="preserve">       </v>
      </c>
      <c r="GX78" s="598" t="str">
        <f t="shared" si="349"/>
        <v xml:space="preserve">     </v>
      </c>
      <c r="GY78" s="208" t="str">
        <f t="shared" si="223"/>
        <v/>
      </c>
      <c r="GZ78" s="606" t="str">
        <f>IF(AND(Q78="",AE78="",AZ78="",BW78="",CT78=""),"",IF(AND('Master Sheet'!$D$19="YES",'Marks Entry'!$BA$1=1),SUM(Q78,AE78,AZ78,BW78,DT78),SUM(Q78,AE78,AZ78,BW78,CT78)))</f>
        <v/>
      </c>
      <c r="HA78" s="209" t="str">
        <f>IF(GZ78="","",IF(AND('Master Sheet'!$D$19="YES",'Marks Entry'!$BA$1=1),GZ78/((900)-DC78)*100,GZ78/((1000)-DC78)*100))</f>
        <v/>
      </c>
      <c r="HB78" s="611" t="str">
        <f t="shared" si="350"/>
        <v/>
      </c>
      <c r="HC78" s="609" t="str">
        <f t="shared" si="351"/>
        <v/>
      </c>
      <c r="HD78" s="610" t="str">
        <f t="shared" si="352"/>
        <v/>
      </c>
      <c r="HE78" s="210" t="str">
        <f>IFERROR(IF(OR(GY78="SUPPLEMENTARY",GY78="RE-EXAM"),'Supp. Result Entry'!AS77,""),"")</f>
        <v/>
      </c>
      <c r="HF78" s="613" t="str">
        <f t="shared" si="353"/>
        <v/>
      </c>
      <c r="HG78" s="598" t="str">
        <f t="shared" si="354"/>
        <v/>
      </c>
      <c r="HH78" s="598" t="str">
        <f>IF(AND(HE78="",HF78="",HG78=""),"",IF(OR(GY78="SUPPLEMENTARY",GY78="RE-EXAM"),'Supp. Result Entry'!AS77,GY78))</f>
        <v/>
      </c>
      <c r="HI78" s="180"/>
      <c r="HY78" s="212" t="str">
        <f>IF('Supp. Result Entry'!U77="","",'Supp. Result Entry'!$U$6)</f>
        <v/>
      </c>
      <c r="HZ78" s="213" t="str">
        <f>IF('Supp. Result Entry'!X77="","",'Supp. Result Entry'!$X$6)</f>
        <v/>
      </c>
      <c r="IA78" s="213" t="str">
        <f>IF('Supp. Result Entry'!AA77="","",'Supp. Result Entry'!$AA$6)</f>
        <v/>
      </c>
      <c r="IB78" s="213" t="str">
        <f>IF('Supp. Result Entry'!AD77="","",'Supp. Result Entry'!$AD$6)</f>
        <v/>
      </c>
      <c r="IC78" s="213" t="str">
        <f>IF('Supp. Result Entry'!AG77="","",'Supp. Result Entry'!$AG$6)</f>
        <v/>
      </c>
      <c r="ID78" s="213" t="str">
        <f>IF('Supp. Result Entry'!AJ77="","",'Supp. Result Entry'!$AJ$6)</f>
        <v/>
      </c>
      <c r="IE78" s="213" t="str">
        <f>IF('Supp. Result Entry'!V77="","",'Supp. Result Entry'!V77)</f>
        <v/>
      </c>
      <c r="IF78" s="213" t="str">
        <f>IF('Supp. Result Entry'!Y77="","",'Supp. Result Entry'!Y77)</f>
        <v/>
      </c>
      <c r="IG78" s="213" t="str">
        <f>IF('Supp. Result Entry'!AB77="","",'Supp. Result Entry'!AB77)</f>
        <v/>
      </c>
      <c r="IH78" s="213" t="str">
        <f>IF('Supp. Result Entry'!AE77="","",'Supp. Result Entry'!AE77)</f>
        <v/>
      </c>
      <c r="II78" s="213" t="str">
        <f>IF('Supp. Result Entry'!AH77="","",'Supp. Result Entry'!AH77)</f>
        <v/>
      </c>
      <c r="IJ78" s="213" t="str">
        <f>IF('Supp. Result Entry'!AK77="","",'Supp. Result Entry'!AK77)</f>
        <v/>
      </c>
      <c r="IK78" s="213" t="str">
        <f>IF('Supp. Result Entry'!W77="","",'Supp. Result Entry'!W77)</f>
        <v/>
      </c>
      <c r="IL78" s="213" t="str">
        <f>IF('Supp. Result Entry'!Z77="","",'Supp. Result Entry'!Z77)</f>
        <v/>
      </c>
      <c r="IM78" s="213" t="str">
        <f>IF('Supp. Result Entry'!AC77="","",'Supp. Result Entry'!AC77)</f>
        <v/>
      </c>
      <c r="IN78" s="213" t="str">
        <f>IF('Supp. Result Entry'!AF77="","",'Supp. Result Entry'!AF77)</f>
        <v/>
      </c>
      <c r="IO78" s="213" t="str">
        <f>IF('Supp. Result Entry'!AI77="","",'Supp. Result Entry'!AI77)</f>
        <v/>
      </c>
      <c r="IP78" s="213" t="str">
        <f>IF('Supp. Result Entry'!AL77="","",'Supp. Result Entry'!AL77)</f>
        <v/>
      </c>
      <c r="IQ78" s="213">
        <f>COUNTIF('Supp. Result Entry'!K77:Q77,"S")</f>
        <v>0</v>
      </c>
      <c r="IR78" s="213">
        <f t="shared" si="355"/>
        <v>0</v>
      </c>
      <c r="IS78" s="213">
        <f t="shared" si="356"/>
        <v>0</v>
      </c>
      <c r="IT78" s="213" t="str">
        <f t="shared" si="224"/>
        <v/>
      </c>
      <c r="IU78" s="213" t="str">
        <f t="shared" si="225"/>
        <v/>
      </c>
      <c r="IV78" s="213" t="str">
        <f t="shared" si="226"/>
        <v/>
      </c>
      <c r="IW78" s="213" t="str">
        <f t="shared" si="227"/>
        <v/>
      </c>
      <c r="IX78" s="213" t="str">
        <f t="shared" si="228"/>
        <v/>
      </c>
      <c r="IY78" s="213" t="str">
        <f t="shared" si="357"/>
        <v/>
      </c>
      <c r="IZ78" s="213" t="str">
        <f t="shared" si="358"/>
        <v/>
      </c>
      <c r="JA78" s="213" t="str">
        <f t="shared" si="229"/>
        <v/>
      </c>
      <c r="JB78" s="211" t="str">
        <f t="shared" si="359"/>
        <v/>
      </c>
    </row>
    <row r="79" spans="1:262" s="211" customFormat="1" ht="21" customHeight="1">
      <c r="A79" s="184">
        <v>72</v>
      </c>
      <c r="B79" s="185" t="str">
        <f>IF('Marks Entry'!B79="","",'Marks Entry'!B79)</f>
        <v/>
      </c>
      <c r="C79" s="186" t="str">
        <f>IF('Marks Entry'!D79="","",'Marks Entry'!D79)</f>
        <v/>
      </c>
      <c r="D79" s="187" t="str">
        <f>IF('Marks Entry'!E79="","",'Marks Entry'!E79)</f>
        <v/>
      </c>
      <c r="E79" s="188" t="str">
        <f>IF('Marks Entry'!F79="","",'Marks Entry'!F79)</f>
        <v/>
      </c>
      <c r="F79" s="188" t="str">
        <f>IF('Marks Entry'!G79="","",'Marks Entry'!G79)</f>
        <v/>
      </c>
      <c r="G79" s="188" t="str">
        <f>IF('Marks Entry'!H79="","",'Marks Entry'!H79)</f>
        <v/>
      </c>
      <c r="H79" s="189" t="str">
        <f>IF('Marks Entry'!I79="","",'Marks Entry'!I79)</f>
        <v/>
      </c>
      <c r="I79" s="190" t="str">
        <f>IF('Marks Entry'!J79="","",'Marks Entry'!J79)</f>
        <v/>
      </c>
      <c r="J79" s="545" t="str">
        <f>IF('Marks Entry'!K79="","",'Marks Entry'!K79)</f>
        <v/>
      </c>
      <c r="K79" s="545" t="str">
        <f>IF('Marks Entry'!L79="","",'Marks Entry'!L79)</f>
        <v/>
      </c>
      <c r="L79" s="545" t="str">
        <f>IF('Marks Entry'!M79="","",'Marks Entry'!M79)</f>
        <v/>
      </c>
      <c r="M79" s="546" t="str">
        <f t="shared" si="230"/>
        <v/>
      </c>
      <c r="N79" s="545" t="str">
        <f>IF('Marks Entry'!N79="","",'Marks Entry'!N79)</f>
        <v/>
      </c>
      <c r="O79" s="546" t="str">
        <f t="shared" si="231"/>
        <v/>
      </c>
      <c r="P79" s="545" t="str">
        <f>IF('Marks Entry'!O79="","",'Marks Entry'!O79)</f>
        <v/>
      </c>
      <c r="Q79" s="547" t="str">
        <f t="shared" si="232"/>
        <v/>
      </c>
      <c r="R79" s="153">
        <f t="shared" si="233"/>
        <v>0</v>
      </c>
      <c r="S79" s="153">
        <f t="shared" si="234"/>
        <v>0</v>
      </c>
      <c r="T79" s="154" t="str">
        <f t="shared" si="235"/>
        <v/>
      </c>
      <c r="U79" s="153" t="str">
        <f t="shared" si="236"/>
        <v/>
      </c>
      <c r="V79" s="153" t="str">
        <f t="shared" si="237"/>
        <v/>
      </c>
      <c r="W79" s="153" t="str">
        <f t="shared" si="238"/>
        <v/>
      </c>
      <c r="X79" s="545" t="str">
        <f>IF('Marks Entry'!P79="","",'Marks Entry'!P79)</f>
        <v/>
      </c>
      <c r="Y79" s="545" t="str">
        <f>IF('Marks Entry'!Q79="","",'Marks Entry'!Q79)</f>
        <v/>
      </c>
      <c r="Z79" s="545" t="str">
        <f>IF('Marks Entry'!R79="","",'Marks Entry'!R79)</f>
        <v/>
      </c>
      <c r="AA79" s="546" t="str">
        <f t="shared" si="239"/>
        <v/>
      </c>
      <c r="AB79" s="545" t="str">
        <f>IF('Marks Entry'!S79="","",'Marks Entry'!S79)</f>
        <v/>
      </c>
      <c r="AC79" s="546" t="str">
        <f t="shared" si="240"/>
        <v/>
      </c>
      <c r="AD79" s="545" t="str">
        <f>IF('Marks Entry'!T79="","",'Marks Entry'!T79)</f>
        <v/>
      </c>
      <c r="AE79" s="547" t="str">
        <f t="shared" si="241"/>
        <v/>
      </c>
      <c r="AF79" s="153">
        <f t="shared" si="242"/>
        <v>0</v>
      </c>
      <c r="AG79" s="153">
        <f t="shared" si="243"/>
        <v>0</v>
      </c>
      <c r="AH79" s="154" t="str">
        <f t="shared" si="244"/>
        <v/>
      </c>
      <c r="AI79" s="153" t="str">
        <f t="shared" si="245"/>
        <v/>
      </c>
      <c r="AJ79" s="153" t="str">
        <f t="shared" si="246"/>
        <v/>
      </c>
      <c r="AK79" s="153" t="str">
        <f t="shared" si="247"/>
        <v/>
      </c>
      <c r="AL79" s="573" t="str">
        <f>IF('Marks Entry'!U79="","",'Marks Entry'!U79)</f>
        <v/>
      </c>
      <c r="AM79" s="573" t="str">
        <f>IF('Marks Entry'!V79="","",'Marks Entry'!V79)</f>
        <v/>
      </c>
      <c r="AN79" s="573" t="str">
        <f>IF('Marks Entry'!W79="","",'Marks Entry'!W79)</f>
        <v/>
      </c>
      <c r="AO79" s="573" t="str">
        <f>IF('Marks Entry'!X79="","",'Marks Entry'!X79)</f>
        <v/>
      </c>
      <c r="AP79" s="572" t="str">
        <f t="shared" si="248"/>
        <v/>
      </c>
      <c r="AQ79" s="573" t="str">
        <f>IF('Marks Entry'!Y79="","",'Marks Entry'!Y79)</f>
        <v/>
      </c>
      <c r="AR79" s="573" t="str">
        <f>IF('Marks Entry'!Z79="","",'Marks Entry'!Z79)</f>
        <v/>
      </c>
      <c r="AS79" s="572" t="str">
        <f t="shared" si="249"/>
        <v/>
      </c>
      <c r="AT79" s="572" t="str">
        <f t="shared" si="250"/>
        <v/>
      </c>
      <c r="AU79" s="573" t="str">
        <f>IF('Marks Entry'!AA79="","",'Marks Entry'!AA79)</f>
        <v/>
      </c>
      <c r="AV79" s="573" t="str">
        <f>IF('Marks Entry'!AB79="","",'Marks Entry'!AB79)</f>
        <v/>
      </c>
      <c r="AW79" s="572" t="str">
        <f t="shared" si="251"/>
        <v/>
      </c>
      <c r="AX79" s="157" t="str">
        <f t="shared" si="252"/>
        <v/>
      </c>
      <c r="AY79" s="157" t="str">
        <f t="shared" si="253"/>
        <v/>
      </c>
      <c r="AZ79" s="192" t="str">
        <f t="shared" si="254"/>
        <v/>
      </c>
      <c r="BA79" s="153">
        <f t="shared" si="255"/>
        <v>0</v>
      </c>
      <c r="BB79" s="154">
        <f t="shared" si="256"/>
        <v>0</v>
      </c>
      <c r="BC79" s="154" t="str">
        <f t="shared" si="257"/>
        <v/>
      </c>
      <c r="BD79" s="154" t="str">
        <f t="shared" si="258"/>
        <v/>
      </c>
      <c r="BE79" s="154" t="str">
        <f t="shared" si="259"/>
        <v/>
      </c>
      <c r="BF79" s="153" t="str">
        <f t="shared" si="260"/>
        <v/>
      </c>
      <c r="BG79" s="154" t="str">
        <f t="shared" si="261"/>
        <v/>
      </c>
      <c r="BH79" s="153" t="str">
        <f t="shared" si="262"/>
        <v/>
      </c>
      <c r="BI79" s="580" t="str">
        <f>IF('Marks Entry'!AC79="","",'Marks Entry'!AC79)</f>
        <v/>
      </c>
      <c r="BJ79" s="580" t="str">
        <f>IF('Marks Entry'!AD79="","",'Marks Entry'!AD79)</f>
        <v/>
      </c>
      <c r="BK79" s="580" t="str">
        <f>IF('Marks Entry'!AE79="","",'Marks Entry'!AE79)</f>
        <v/>
      </c>
      <c r="BL79" s="580" t="str">
        <f>IF('Marks Entry'!AF79="","",'Marks Entry'!AF79)</f>
        <v/>
      </c>
      <c r="BM79" s="581" t="str">
        <f t="shared" si="263"/>
        <v/>
      </c>
      <c r="BN79" s="580" t="str">
        <f>IF('Marks Entry'!AG79="","",'Marks Entry'!AG79)</f>
        <v/>
      </c>
      <c r="BO79" s="580" t="str">
        <f>IF('Marks Entry'!AH79="","",'Marks Entry'!AH79)</f>
        <v/>
      </c>
      <c r="BP79" s="581" t="str">
        <f t="shared" si="264"/>
        <v/>
      </c>
      <c r="BQ79" s="581" t="str">
        <f t="shared" si="265"/>
        <v/>
      </c>
      <c r="BR79" s="580" t="str">
        <f>IF('Marks Entry'!AI79="","",'Marks Entry'!AI79)</f>
        <v/>
      </c>
      <c r="BS79" s="580" t="str">
        <f>IF('Marks Entry'!AJ79="","",'Marks Entry'!AJ79)</f>
        <v/>
      </c>
      <c r="BT79" s="581" t="str">
        <f t="shared" si="266"/>
        <v/>
      </c>
      <c r="BU79" s="157" t="str">
        <f t="shared" si="267"/>
        <v/>
      </c>
      <c r="BV79" s="157" t="str">
        <f t="shared" si="268"/>
        <v/>
      </c>
      <c r="BW79" s="192" t="str">
        <f t="shared" si="269"/>
        <v/>
      </c>
      <c r="BX79" s="153">
        <f t="shared" si="270"/>
        <v>0</v>
      </c>
      <c r="BY79" s="154">
        <f t="shared" si="271"/>
        <v>0</v>
      </c>
      <c r="BZ79" s="154" t="str">
        <f t="shared" si="272"/>
        <v/>
      </c>
      <c r="CA79" s="154" t="str">
        <f t="shared" si="273"/>
        <v/>
      </c>
      <c r="CB79" s="154" t="str">
        <f t="shared" si="274"/>
        <v/>
      </c>
      <c r="CC79" s="153" t="str">
        <f t="shared" si="275"/>
        <v/>
      </c>
      <c r="CD79" s="154" t="str">
        <f t="shared" si="276"/>
        <v/>
      </c>
      <c r="CE79" s="153" t="str">
        <f t="shared" si="277"/>
        <v/>
      </c>
      <c r="CF79" s="580" t="str">
        <f>IF('Marks Entry'!AK79="","",'Marks Entry'!AK79)</f>
        <v/>
      </c>
      <c r="CG79" s="580" t="str">
        <f>IF('Marks Entry'!AL79="","",'Marks Entry'!AL79)</f>
        <v/>
      </c>
      <c r="CH79" s="580" t="str">
        <f>IF('Marks Entry'!AM79="","",'Marks Entry'!AM79)</f>
        <v/>
      </c>
      <c r="CI79" s="580" t="str">
        <f>IF('Marks Entry'!AN79="","",'Marks Entry'!AN79)</f>
        <v/>
      </c>
      <c r="CJ79" s="581" t="str">
        <f t="shared" si="278"/>
        <v/>
      </c>
      <c r="CK79" s="580" t="str">
        <f>IF('Marks Entry'!AO79="","",'Marks Entry'!AO79)</f>
        <v/>
      </c>
      <c r="CL79" s="580" t="str">
        <f>IF('Marks Entry'!AP79="","",'Marks Entry'!AP79)</f>
        <v/>
      </c>
      <c r="CM79" s="581" t="str">
        <f t="shared" si="279"/>
        <v/>
      </c>
      <c r="CN79" s="581" t="str">
        <f t="shared" si="280"/>
        <v/>
      </c>
      <c r="CO79" s="580" t="str">
        <f>IF('Marks Entry'!AQ79="","",'Marks Entry'!AQ79)</f>
        <v/>
      </c>
      <c r="CP79" s="580" t="str">
        <f>IF('Marks Entry'!AR79="","",'Marks Entry'!AR79)</f>
        <v/>
      </c>
      <c r="CQ79" s="581" t="str">
        <f t="shared" si="281"/>
        <v/>
      </c>
      <c r="CR79" s="157" t="str">
        <f t="shared" si="282"/>
        <v/>
      </c>
      <c r="CS79" s="157" t="str">
        <f t="shared" si="283"/>
        <v/>
      </c>
      <c r="CT79" s="192" t="str">
        <f t="shared" si="284"/>
        <v/>
      </c>
      <c r="CU79" s="153">
        <f t="shared" si="285"/>
        <v>0</v>
      </c>
      <c r="CV79" s="154">
        <f t="shared" si="286"/>
        <v>0</v>
      </c>
      <c r="CW79" s="154" t="str">
        <f t="shared" si="287"/>
        <v/>
      </c>
      <c r="CX79" s="154" t="str">
        <f t="shared" si="288"/>
        <v/>
      </c>
      <c r="CY79" s="154" t="str">
        <f t="shared" si="289"/>
        <v/>
      </c>
      <c r="CZ79" s="153" t="str">
        <f t="shared" si="290"/>
        <v/>
      </c>
      <c r="DA79" s="154" t="str">
        <f t="shared" si="291"/>
        <v/>
      </c>
      <c r="DB79" s="153" t="str">
        <f t="shared" si="292"/>
        <v/>
      </c>
      <c r="DC79" s="154">
        <f t="shared" si="293"/>
        <v>0</v>
      </c>
      <c r="DD79" s="826" t="str">
        <f>IF('Marks Entry'!AS79="","",IF(OR('Master Sheet'!$D$19="YES",'Marks Entry'!$BA$1=1),'Marks Entry'!AS79,""))</f>
        <v/>
      </c>
      <c r="DE79" s="826" t="str">
        <f>IF('Marks Entry'!AT79="","",IF(OR('Master Sheet'!$D$19="YES",'Marks Entry'!$BA$1=1),'Marks Entry'!AT79,""))</f>
        <v/>
      </c>
      <c r="DF79" s="826" t="str">
        <f>IF('Marks Entry'!AU79="","",IF(OR('Master Sheet'!$D$19="YES",'Marks Entry'!$BA$1=1),'Marks Entry'!AU79,""))</f>
        <v/>
      </c>
      <c r="DG79" s="826" t="str">
        <f>IF('Marks Entry'!AV79="","",IF(OR('Master Sheet'!$D$19="YES",'Marks Entry'!$BA$1=1),'Marks Entry'!AV79,""))</f>
        <v/>
      </c>
      <c r="DH79" s="827" t="str">
        <f t="shared" si="294"/>
        <v/>
      </c>
      <c r="DI79" s="826" t="str">
        <f>IF('Marks Entry'!AW79="","",IF(OR('Master Sheet'!$D$19="YES",'Marks Entry'!$BA$1=1),'Marks Entry'!AW79,""))</f>
        <v/>
      </c>
      <c r="DJ79" s="826" t="str">
        <f>IF('Marks Entry'!AX79="","",IF(OR('Master Sheet'!$D$19="YES",'Marks Entry'!$BA$1=1),'Marks Entry'!AX79,""))</f>
        <v/>
      </c>
      <c r="DK79" s="827" t="str">
        <f t="shared" si="295"/>
        <v/>
      </c>
      <c r="DL79" s="827" t="str">
        <f t="shared" si="296"/>
        <v/>
      </c>
      <c r="DM79" s="826" t="str">
        <f>IF('Marks Entry'!AY79="","",IF(OR('Master Sheet'!$D$19="YES",'Marks Entry'!$BA$1=1),'Marks Entry'!AY79,""))</f>
        <v/>
      </c>
      <c r="DN79" s="826" t="str">
        <f>IF('Marks Entry'!AZ79="","",IF(OR('Master Sheet'!$D$19="YES",'Marks Entry'!$BA$1=1),'Marks Entry'!AZ79,""))</f>
        <v/>
      </c>
      <c r="DO79" s="826" t="str">
        <f>IF('Marks Entry'!BA79="","",IF(OR('Master Sheet'!$D$19="YES",'Marks Entry'!$BA$1=1),'Marks Entry'!BA79,""))</f>
        <v/>
      </c>
      <c r="DP79" s="827" t="str">
        <f t="shared" si="297"/>
        <v/>
      </c>
      <c r="DQ79" s="157" t="str">
        <f t="shared" si="298"/>
        <v/>
      </c>
      <c r="DR79" s="157" t="str">
        <f t="shared" si="299"/>
        <v/>
      </c>
      <c r="DS79" s="157" t="str">
        <f t="shared" si="300"/>
        <v/>
      </c>
      <c r="DT79" s="192" t="str">
        <f t="shared" si="301"/>
        <v/>
      </c>
      <c r="DU79" s="153">
        <f t="shared" si="302"/>
        <v>0</v>
      </c>
      <c r="DV79" s="154" t="e">
        <f t="shared" si="303"/>
        <v>#VALUE!</v>
      </c>
      <c r="DW79" s="154" t="str">
        <f t="shared" si="304"/>
        <v/>
      </c>
      <c r="DX79" s="154" t="str">
        <f>IF(OR($B79="NSO",$B79=0,DS79=""),"",IF(AND(DJ79="",DO79=""),"",IF('Master Sheet'!$D$19="YES",$DO$6-COUNTIF(DO79,"ML")*DO$6,DS$6-(COUNTIF(DJ79,"ML")*DJ$6)-(COUNTIF(DO79,"ML")*DO$6))))</f>
        <v/>
      </c>
      <c r="DY79" s="154" t="str">
        <f>IF(OR($B79="NSO",$B79=0),"",IF(AND(DH79="",DI79="",DM79=""),"",IF(AND('Master Sheet'!$D$19="YES",'Marks Entry'!$BA$1=1),100,IF(AND(DJ79="",DO79=""),SUM(($DQ$7+$DR$7)-(DU79+DV79)),SUM(($DQ$6+$DR$6)-(DU79+DV79))))))</f>
        <v/>
      </c>
      <c r="DZ79" s="153" t="str">
        <f t="shared" si="305"/>
        <v/>
      </c>
      <c r="EA79" s="154" t="str">
        <f t="shared" si="306"/>
        <v/>
      </c>
      <c r="EB79" s="153" t="str">
        <f t="shared" si="307"/>
        <v/>
      </c>
      <c r="EC79" s="584" t="str">
        <f>IF('Marks Entry'!BB79="","",'Marks Entry'!BB79)</f>
        <v/>
      </c>
      <c r="ED79" s="584" t="str">
        <f>IF('Marks Entry'!BC79="","",'Marks Entry'!BC79)</f>
        <v/>
      </c>
      <c r="EE79" s="584" t="str">
        <f>IF('Marks Entry'!BD79="","",'Marks Entry'!BD79)</f>
        <v/>
      </c>
      <c r="EF79" s="590" t="str">
        <f t="shared" si="308"/>
        <v/>
      </c>
      <c r="EG79" s="595">
        <f t="shared" si="309"/>
        <v>0</v>
      </c>
      <c r="EH79" s="595">
        <f t="shared" si="310"/>
        <v>0</v>
      </c>
      <c r="EI79" s="193" t="str">
        <f t="shared" si="311"/>
        <v/>
      </c>
      <c r="EJ79" s="595" t="str">
        <f t="shared" si="312"/>
        <v/>
      </c>
      <c r="EK79" s="595" t="str">
        <f t="shared" si="313"/>
        <v/>
      </c>
      <c r="EL79" s="194" t="str">
        <f t="shared" si="314"/>
        <v/>
      </c>
      <c r="EM79" s="194" t="str">
        <f t="shared" si="315"/>
        <v/>
      </c>
      <c r="EN79" s="194" t="str">
        <f t="shared" si="316"/>
        <v/>
      </c>
      <c r="EO79" s="194" t="str">
        <f t="shared" si="317"/>
        <v/>
      </c>
      <c r="EP79" s="194" t="str">
        <f t="shared" si="318"/>
        <v/>
      </c>
      <c r="EQ79" s="194" t="str">
        <f t="shared" si="319"/>
        <v/>
      </c>
      <c r="ER79" s="195">
        <f t="shared" si="320"/>
        <v>0</v>
      </c>
      <c r="ES79" s="195">
        <f t="shared" si="321"/>
        <v>0</v>
      </c>
      <c r="ET79" s="195">
        <f t="shared" si="322"/>
        <v>0</v>
      </c>
      <c r="EU79" s="195">
        <f t="shared" si="323"/>
        <v>0</v>
      </c>
      <c r="EV79" s="195">
        <f t="shared" si="324"/>
        <v>0</v>
      </c>
      <c r="EW79" s="195" t="str">
        <f t="shared" si="325"/>
        <v/>
      </c>
      <c r="EX79" s="196" t="str">
        <f t="shared" si="326"/>
        <v/>
      </c>
      <c r="EY79" s="197" t="str">
        <f>IF('Marks Entry'!BE79="","",'Marks Entry'!BE79)</f>
        <v/>
      </c>
      <c r="EZ79" s="197" t="str">
        <f>IF('Marks Entry'!BF79="","",'Marks Entry'!BF79)</f>
        <v/>
      </c>
      <c r="FA79" s="197" t="str">
        <f>IF('Marks Entry'!BG79="","",'Marks Entry'!BG79)</f>
        <v/>
      </c>
      <c r="FB79" s="596" t="str">
        <f t="shared" si="327"/>
        <v/>
      </c>
      <c r="FC79" s="197" t="str">
        <f>IF('Marks Entry'!BH79="","",'Marks Entry'!BH79)</f>
        <v/>
      </c>
      <c r="FD79" s="197" t="str">
        <f>IF('Marks Entry'!BI79="","",'Marks Entry'!BI79)</f>
        <v/>
      </c>
      <c r="FE79" s="198" t="str">
        <f t="shared" si="328"/>
        <v/>
      </c>
      <c r="FF79" s="199" t="str">
        <f t="shared" si="329"/>
        <v/>
      </c>
      <c r="FG79" s="200" t="str">
        <f>IF(AND(E79=""),"",IF('Student DATA Entry'!L75="","",'Student DATA Entry'!L75))</f>
        <v/>
      </c>
      <c r="FH79" s="201" t="str">
        <f>IF(AND(E79=""),"",IF('Student DATA Entry'!M75="","",'Student DATA Entry'!M75))</f>
        <v/>
      </c>
      <c r="FI79" s="202" t="str">
        <f t="shared" si="330"/>
        <v/>
      </c>
      <c r="FJ79" s="189" t="str">
        <f t="shared" si="331"/>
        <v/>
      </c>
      <c r="FK79" s="189" t="str">
        <f t="shared" si="332"/>
        <v/>
      </c>
      <c r="FL79" s="203" t="str">
        <f t="shared" si="201"/>
        <v/>
      </c>
      <c r="FM79" s="189" t="str">
        <f t="shared" si="333"/>
        <v/>
      </c>
      <c r="FN79" s="204" t="str">
        <f t="shared" si="334"/>
        <v/>
      </c>
      <c r="FO79" s="203" t="str">
        <f t="shared" si="202"/>
        <v/>
      </c>
      <c r="FP79" s="205" t="str">
        <f t="shared" si="335"/>
        <v/>
      </c>
      <c r="FQ79" s="189" t="str">
        <f t="shared" si="203"/>
        <v/>
      </c>
      <c r="FR79" s="189" t="str">
        <f t="shared" si="204"/>
        <v/>
      </c>
      <c r="FS79" s="189" t="str">
        <f t="shared" si="205"/>
        <v/>
      </c>
      <c r="FT79" s="189" t="str">
        <f t="shared" si="206"/>
        <v/>
      </c>
      <c r="FU79" s="189" t="str">
        <f t="shared" si="336"/>
        <v/>
      </c>
      <c r="FV79" s="206" t="str">
        <f t="shared" si="207"/>
        <v/>
      </c>
      <c r="FW79" s="205" t="str">
        <f t="shared" si="337"/>
        <v/>
      </c>
      <c r="FX79" s="189" t="str">
        <f t="shared" si="208"/>
        <v/>
      </c>
      <c r="FY79" s="189" t="str">
        <f t="shared" si="209"/>
        <v/>
      </c>
      <c r="FZ79" s="189" t="str">
        <f t="shared" si="210"/>
        <v/>
      </c>
      <c r="GA79" s="189" t="str">
        <f t="shared" si="211"/>
        <v/>
      </c>
      <c r="GB79" s="189" t="str">
        <f t="shared" si="338"/>
        <v/>
      </c>
      <c r="GC79" s="206" t="str">
        <f t="shared" si="212"/>
        <v/>
      </c>
      <c r="GD79" s="205" t="str">
        <f t="shared" si="339"/>
        <v/>
      </c>
      <c r="GE79" s="189" t="str">
        <f t="shared" si="213"/>
        <v/>
      </c>
      <c r="GF79" s="189" t="str">
        <f t="shared" si="214"/>
        <v/>
      </c>
      <c r="GG79" s="189" t="str">
        <f t="shared" si="215"/>
        <v/>
      </c>
      <c r="GH79" s="189" t="str">
        <f t="shared" si="216"/>
        <v/>
      </c>
      <c r="GI79" s="189" t="str">
        <f t="shared" si="340"/>
        <v/>
      </c>
      <c r="GJ79" s="206" t="str">
        <f t="shared" si="217"/>
        <v/>
      </c>
      <c r="GK79" s="205" t="str">
        <f t="shared" si="341"/>
        <v/>
      </c>
      <c r="GL79" s="189" t="str">
        <f t="shared" si="218"/>
        <v/>
      </c>
      <c r="GM79" s="189" t="str">
        <f t="shared" si="219"/>
        <v/>
      </c>
      <c r="GN79" s="189" t="str">
        <f t="shared" si="220"/>
        <v/>
      </c>
      <c r="GO79" s="189" t="str">
        <f t="shared" si="221"/>
        <v/>
      </c>
      <c r="GP79" s="189" t="str">
        <f t="shared" si="342"/>
        <v/>
      </c>
      <c r="GQ79" s="206" t="str">
        <f t="shared" si="222"/>
        <v/>
      </c>
      <c r="GR79" s="189" t="str">
        <f t="shared" si="343"/>
        <v/>
      </c>
      <c r="GS79" s="189" t="str">
        <f t="shared" si="344"/>
        <v/>
      </c>
      <c r="GT79" s="207" t="str">
        <f t="shared" si="345"/>
        <v xml:space="preserve">    </v>
      </c>
      <c r="GU79" s="207" t="str">
        <f t="shared" si="346"/>
        <v xml:space="preserve">    </v>
      </c>
      <c r="GV79" s="207" t="str">
        <f t="shared" si="347"/>
        <v xml:space="preserve">    </v>
      </c>
      <c r="GW79" s="207" t="str">
        <f t="shared" si="348"/>
        <v xml:space="preserve">       </v>
      </c>
      <c r="GX79" s="598" t="str">
        <f t="shared" si="349"/>
        <v xml:space="preserve">     </v>
      </c>
      <c r="GY79" s="208" t="str">
        <f t="shared" si="223"/>
        <v/>
      </c>
      <c r="GZ79" s="606" t="str">
        <f>IF(AND(Q79="",AE79="",AZ79="",BW79="",CT79=""),"",IF(AND('Master Sheet'!$D$19="YES",'Marks Entry'!$BA$1=1),SUM(Q79,AE79,AZ79,BW79,DT79),SUM(Q79,AE79,AZ79,BW79,CT79)))</f>
        <v/>
      </c>
      <c r="HA79" s="209" t="str">
        <f>IF(GZ79="","",IF(AND('Master Sheet'!$D$19="YES",'Marks Entry'!$BA$1=1),GZ79/((900)-DC79)*100,GZ79/((1000)-DC79)*100))</f>
        <v/>
      </c>
      <c r="HB79" s="611" t="str">
        <f t="shared" si="350"/>
        <v/>
      </c>
      <c r="HC79" s="609" t="str">
        <f t="shared" si="351"/>
        <v/>
      </c>
      <c r="HD79" s="610" t="str">
        <f t="shared" si="352"/>
        <v/>
      </c>
      <c r="HE79" s="210" t="str">
        <f>IFERROR(IF(OR(GY79="SUPPLEMENTARY",GY79="RE-EXAM"),'Supp. Result Entry'!AS78,""),"")</f>
        <v/>
      </c>
      <c r="HF79" s="613" t="str">
        <f t="shared" si="353"/>
        <v/>
      </c>
      <c r="HG79" s="598" t="str">
        <f t="shared" si="354"/>
        <v/>
      </c>
      <c r="HH79" s="598" t="str">
        <f>IF(AND(HE79="",HF79="",HG79=""),"",IF(OR(GY79="SUPPLEMENTARY",GY79="RE-EXAM"),'Supp. Result Entry'!AS78,GY79))</f>
        <v/>
      </c>
      <c r="HI79" s="180"/>
      <c r="HY79" s="212" t="str">
        <f>IF('Supp. Result Entry'!U78="","",'Supp. Result Entry'!$U$6)</f>
        <v/>
      </c>
      <c r="HZ79" s="213" t="str">
        <f>IF('Supp. Result Entry'!X78="","",'Supp. Result Entry'!$X$6)</f>
        <v/>
      </c>
      <c r="IA79" s="213" t="str">
        <f>IF('Supp. Result Entry'!AA78="","",'Supp. Result Entry'!$AA$6)</f>
        <v/>
      </c>
      <c r="IB79" s="213" t="str">
        <f>IF('Supp. Result Entry'!AD78="","",'Supp. Result Entry'!$AD$6)</f>
        <v/>
      </c>
      <c r="IC79" s="213" t="str">
        <f>IF('Supp. Result Entry'!AG78="","",'Supp. Result Entry'!$AG$6)</f>
        <v/>
      </c>
      <c r="ID79" s="213" t="str">
        <f>IF('Supp. Result Entry'!AJ78="","",'Supp. Result Entry'!$AJ$6)</f>
        <v/>
      </c>
      <c r="IE79" s="213" t="str">
        <f>IF('Supp. Result Entry'!V78="","",'Supp. Result Entry'!V78)</f>
        <v/>
      </c>
      <c r="IF79" s="213" t="str">
        <f>IF('Supp. Result Entry'!Y78="","",'Supp. Result Entry'!Y78)</f>
        <v/>
      </c>
      <c r="IG79" s="213" t="str">
        <f>IF('Supp. Result Entry'!AB78="","",'Supp. Result Entry'!AB78)</f>
        <v/>
      </c>
      <c r="IH79" s="213" t="str">
        <f>IF('Supp. Result Entry'!AE78="","",'Supp. Result Entry'!AE78)</f>
        <v/>
      </c>
      <c r="II79" s="213" t="str">
        <f>IF('Supp. Result Entry'!AH78="","",'Supp. Result Entry'!AH78)</f>
        <v/>
      </c>
      <c r="IJ79" s="213" t="str">
        <f>IF('Supp. Result Entry'!AK78="","",'Supp. Result Entry'!AK78)</f>
        <v/>
      </c>
      <c r="IK79" s="213" t="str">
        <f>IF('Supp. Result Entry'!W78="","",'Supp. Result Entry'!W78)</f>
        <v/>
      </c>
      <c r="IL79" s="213" t="str">
        <f>IF('Supp. Result Entry'!Z78="","",'Supp. Result Entry'!Z78)</f>
        <v/>
      </c>
      <c r="IM79" s="213" t="str">
        <f>IF('Supp. Result Entry'!AC78="","",'Supp. Result Entry'!AC78)</f>
        <v/>
      </c>
      <c r="IN79" s="213" t="str">
        <f>IF('Supp. Result Entry'!AF78="","",'Supp. Result Entry'!AF78)</f>
        <v/>
      </c>
      <c r="IO79" s="213" t="str">
        <f>IF('Supp. Result Entry'!AI78="","",'Supp. Result Entry'!AI78)</f>
        <v/>
      </c>
      <c r="IP79" s="213" t="str">
        <f>IF('Supp. Result Entry'!AL78="","",'Supp. Result Entry'!AL78)</f>
        <v/>
      </c>
      <c r="IQ79" s="213">
        <f>COUNTIF('Supp. Result Entry'!K78:Q78,"S")</f>
        <v>0</v>
      </c>
      <c r="IR79" s="213">
        <f t="shared" si="355"/>
        <v>0</v>
      </c>
      <c r="IS79" s="213">
        <f t="shared" si="356"/>
        <v>0</v>
      </c>
      <c r="IT79" s="213" t="str">
        <f t="shared" si="224"/>
        <v/>
      </c>
      <c r="IU79" s="213" t="str">
        <f t="shared" si="225"/>
        <v/>
      </c>
      <c r="IV79" s="213" t="str">
        <f t="shared" si="226"/>
        <v/>
      </c>
      <c r="IW79" s="213" t="str">
        <f t="shared" si="227"/>
        <v/>
      </c>
      <c r="IX79" s="213" t="str">
        <f t="shared" si="228"/>
        <v/>
      </c>
      <c r="IY79" s="213" t="str">
        <f t="shared" si="357"/>
        <v/>
      </c>
      <c r="IZ79" s="213" t="str">
        <f t="shared" si="358"/>
        <v/>
      </c>
      <c r="JA79" s="213" t="str">
        <f t="shared" si="229"/>
        <v/>
      </c>
      <c r="JB79" s="211" t="str">
        <f t="shared" si="359"/>
        <v/>
      </c>
    </row>
    <row r="80" spans="1:262" s="211" customFormat="1" ht="21" customHeight="1">
      <c r="A80" s="184">
        <v>73</v>
      </c>
      <c r="B80" s="185" t="str">
        <f>IF('Marks Entry'!B80="","",'Marks Entry'!B80)</f>
        <v/>
      </c>
      <c r="C80" s="186" t="str">
        <f>IF('Marks Entry'!D80="","",'Marks Entry'!D80)</f>
        <v/>
      </c>
      <c r="D80" s="187" t="str">
        <f>IF('Marks Entry'!E80="","",'Marks Entry'!E80)</f>
        <v/>
      </c>
      <c r="E80" s="188" t="str">
        <f>IF('Marks Entry'!F80="","",'Marks Entry'!F80)</f>
        <v/>
      </c>
      <c r="F80" s="188" t="str">
        <f>IF('Marks Entry'!G80="","",'Marks Entry'!G80)</f>
        <v/>
      </c>
      <c r="G80" s="188" t="str">
        <f>IF('Marks Entry'!H80="","",'Marks Entry'!H80)</f>
        <v/>
      </c>
      <c r="H80" s="189" t="str">
        <f>IF('Marks Entry'!I80="","",'Marks Entry'!I80)</f>
        <v/>
      </c>
      <c r="I80" s="190" t="str">
        <f>IF('Marks Entry'!J80="","",'Marks Entry'!J80)</f>
        <v/>
      </c>
      <c r="J80" s="545" t="str">
        <f>IF('Marks Entry'!K80="","",'Marks Entry'!K80)</f>
        <v/>
      </c>
      <c r="K80" s="545" t="str">
        <f>IF('Marks Entry'!L80="","",'Marks Entry'!L80)</f>
        <v/>
      </c>
      <c r="L80" s="545" t="str">
        <f>IF('Marks Entry'!M80="","",'Marks Entry'!M80)</f>
        <v/>
      </c>
      <c r="M80" s="546" t="str">
        <f t="shared" si="230"/>
        <v/>
      </c>
      <c r="N80" s="545" t="str">
        <f>IF('Marks Entry'!N80="","",'Marks Entry'!N80)</f>
        <v/>
      </c>
      <c r="O80" s="546" t="str">
        <f t="shared" si="231"/>
        <v/>
      </c>
      <c r="P80" s="545" t="str">
        <f>IF('Marks Entry'!O80="","",'Marks Entry'!O80)</f>
        <v/>
      </c>
      <c r="Q80" s="547" t="str">
        <f t="shared" si="232"/>
        <v/>
      </c>
      <c r="R80" s="153">
        <f t="shared" si="233"/>
        <v>0</v>
      </c>
      <c r="S80" s="153">
        <f t="shared" si="234"/>
        <v>0</v>
      </c>
      <c r="T80" s="154" t="str">
        <f t="shared" si="235"/>
        <v/>
      </c>
      <c r="U80" s="153" t="str">
        <f t="shared" si="236"/>
        <v/>
      </c>
      <c r="V80" s="153" t="str">
        <f t="shared" si="237"/>
        <v/>
      </c>
      <c r="W80" s="153" t="str">
        <f t="shared" si="238"/>
        <v/>
      </c>
      <c r="X80" s="545" t="str">
        <f>IF('Marks Entry'!P80="","",'Marks Entry'!P80)</f>
        <v/>
      </c>
      <c r="Y80" s="545" t="str">
        <f>IF('Marks Entry'!Q80="","",'Marks Entry'!Q80)</f>
        <v/>
      </c>
      <c r="Z80" s="545" t="str">
        <f>IF('Marks Entry'!R80="","",'Marks Entry'!R80)</f>
        <v/>
      </c>
      <c r="AA80" s="546" t="str">
        <f t="shared" si="239"/>
        <v/>
      </c>
      <c r="AB80" s="545" t="str">
        <f>IF('Marks Entry'!S80="","",'Marks Entry'!S80)</f>
        <v/>
      </c>
      <c r="AC80" s="546" t="str">
        <f t="shared" si="240"/>
        <v/>
      </c>
      <c r="AD80" s="545" t="str">
        <f>IF('Marks Entry'!T80="","",'Marks Entry'!T80)</f>
        <v/>
      </c>
      <c r="AE80" s="547" t="str">
        <f t="shared" si="241"/>
        <v/>
      </c>
      <c r="AF80" s="153">
        <f t="shared" si="242"/>
        <v>0</v>
      </c>
      <c r="AG80" s="153">
        <f t="shared" si="243"/>
        <v>0</v>
      </c>
      <c r="AH80" s="154" t="str">
        <f t="shared" si="244"/>
        <v/>
      </c>
      <c r="AI80" s="153" t="str">
        <f t="shared" si="245"/>
        <v/>
      </c>
      <c r="AJ80" s="153" t="str">
        <f t="shared" si="246"/>
        <v/>
      </c>
      <c r="AK80" s="153" t="str">
        <f t="shared" si="247"/>
        <v/>
      </c>
      <c r="AL80" s="573" t="str">
        <f>IF('Marks Entry'!U80="","",'Marks Entry'!U80)</f>
        <v/>
      </c>
      <c r="AM80" s="573" t="str">
        <f>IF('Marks Entry'!V80="","",'Marks Entry'!V80)</f>
        <v/>
      </c>
      <c r="AN80" s="573" t="str">
        <f>IF('Marks Entry'!W80="","",'Marks Entry'!W80)</f>
        <v/>
      </c>
      <c r="AO80" s="573" t="str">
        <f>IF('Marks Entry'!X80="","",'Marks Entry'!X80)</f>
        <v/>
      </c>
      <c r="AP80" s="572" t="str">
        <f t="shared" si="248"/>
        <v/>
      </c>
      <c r="AQ80" s="573" t="str">
        <f>IF('Marks Entry'!Y80="","",'Marks Entry'!Y80)</f>
        <v/>
      </c>
      <c r="AR80" s="573" t="str">
        <f>IF('Marks Entry'!Z80="","",'Marks Entry'!Z80)</f>
        <v/>
      </c>
      <c r="AS80" s="572" t="str">
        <f t="shared" si="249"/>
        <v/>
      </c>
      <c r="AT80" s="572" t="str">
        <f t="shared" si="250"/>
        <v/>
      </c>
      <c r="AU80" s="573" t="str">
        <f>IF('Marks Entry'!AA80="","",'Marks Entry'!AA80)</f>
        <v/>
      </c>
      <c r="AV80" s="573" t="str">
        <f>IF('Marks Entry'!AB80="","",'Marks Entry'!AB80)</f>
        <v/>
      </c>
      <c r="AW80" s="572" t="str">
        <f t="shared" si="251"/>
        <v/>
      </c>
      <c r="AX80" s="157" t="str">
        <f t="shared" si="252"/>
        <v/>
      </c>
      <c r="AY80" s="157" t="str">
        <f t="shared" si="253"/>
        <v/>
      </c>
      <c r="AZ80" s="192" t="str">
        <f t="shared" si="254"/>
        <v/>
      </c>
      <c r="BA80" s="153">
        <f t="shared" si="255"/>
        <v>0</v>
      </c>
      <c r="BB80" s="154">
        <f t="shared" si="256"/>
        <v>0</v>
      </c>
      <c r="BC80" s="154" t="str">
        <f t="shared" si="257"/>
        <v/>
      </c>
      <c r="BD80" s="154" t="str">
        <f t="shared" si="258"/>
        <v/>
      </c>
      <c r="BE80" s="154" t="str">
        <f t="shared" si="259"/>
        <v/>
      </c>
      <c r="BF80" s="153" t="str">
        <f t="shared" si="260"/>
        <v/>
      </c>
      <c r="BG80" s="154" t="str">
        <f t="shared" si="261"/>
        <v/>
      </c>
      <c r="BH80" s="153" t="str">
        <f t="shared" si="262"/>
        <v/>
      </c>
      <c r="BI80" s="580" t="str">
        <f>IF('Marks Entry'!AC80="","",'Marks Entry'!AC80)</f>
        <v/>
      </c>
      <c r="BJ80" s="580" t="str">
        <f>IF('Marks Entry'!AD80="","",'Marks Entry'!AD80)</f>
        <v/>
      </c>
      <c r="BK80" s="580" t="str">
        <f>IF('Marks Entry'!AE80="","",'Marks Entry'!AE80)</f>
        <v/>
      </c>
      <c r="BL80" s="580" t="str">
        <f>IF('Marks Entry'!AF80="","",'Marks Entry'!AF80)</f>
        <v/>
      </c>
      <c r="BM80" s="581" t="str">
        <f t="shared" si="263"/>
        <v/>
      </c>
      <c r="BN80" s="580" t="str">
        <f>IF('Marks Entry'!AG80="","",'Marks Entry'!AG80)</f>
        <v/>
      </c>
      <c r="BO80" s="580" t="str">
        <f>IF('Marks Entry'!AH80="","",'Marks Entry'!AH80)</f>
        <v/>
      </c>
      <c r="BP80" s="581" t="str">
        <f t="shared" si="264"/>
        <v/>
      </c>
      <c r="BQ80" s="581" t="str">
        <f t="shared" si="265"/>
        <v/>
      </c>
      <c r="BR80" s="580" t="str">
        <f>IF('Marks Entry'!AI80="","",'Marks Entry'!AI80)</f>
        <v/>
      </c>
      <c r="BS80" s="580" t="str">
        <f>IF('Marks Entry'!AJ80="","",'Marks Entry'!AJ80)</f>
        <v/>
      </c>
      <c r="BT80" s="581" t="str">
        <f t="shared" si="266"/>
        <v/>
      </c>
      <c r="BU80" s="157" t="str">
        <f t="shared" si="267"/>
        <v/>
      </c>
      <c r="BV80" s="157" t="str">
        <f t="shared" si="268"/>
        <v/>
      </c>
      <c r="BW80" s="192" t="str">
        <f t="shared" si="269"/>
        <v/>
      </c>
      <c r="BX80" s="153">
        <f t="shared" si="270"/>
        <v>0</v>
      </c>
      <c r="BY80" s="154">
        <f t="shared" si="271"/>
        <v>0</v>
      </c>
      <c r="BZ80" s="154" t="str">
        <f t="shared" si="272"/>
        <v/>
      </c>
      <c r="CA80" s="154" t="str">
        <f t="shared" si="273"/>
        <v/>
      </c>
      <c r="CB80" s="154" t="str">
        <f t="shared" si="274"/>
        <v/>
      </c>
      <c r="CC80" s="153" t="str">
        <f t="shared" si="275"/>
        <v/>
      </c>
      <c r="CD80" s="154" t="str">
        <f t="shared" si="276"/>
        <v/>
      </c>
      <c r="CE80" s="153" t="str">
        <f t="shared" si="277"/>
        <v/>
      </c>
      <c r="CF80" s="580" t="str">
        <f>IF('Marks Entry'!AK80="","",'Marks Entry'!AK80)</f>
        <v/>
      </c>
      <c r="CG80" s="580" t="str">
        <f>IF('Marks Entry'!AL80="","",'Marks Entry'!AL80)</f>
        <v/>
      </c>
      <c r="CH80" s="580" t="str">
        <f>IF('Marks Entry'!AM80="","",'Marks Entry'!AM80)</f>
        <v/>
      </c>
      <c r="CI80" s="580" t="str">
        <f>IF('Marks Entry'!AN80="","",'Marks Entry'!AN80)</f>
        <v/>
      </c>
      <c r="CJ80" s="581" t="str">
        <f t="shared" si="278"/>
        <v/>
      </c>
      <c r="CK80" s="580" t="str">
        <f>IF('Marks Entry'!AO80="","",'Marks Entry'!AO80)</f>
        <v/>
      </c>
      <c r="CL80" s="580" t="str">
        <f>IF('Marks Entry'!AP80="","",'Marks Entry'!AP80)</f>
        <v/>
      </c>
      <c r="CM80" s="581" t="str">
        <f t="shared" si="279"/>
        <v/>
      </c>
      <c r="CN80" s="581" t="str">
        <f t="shared" si="280"/>
        <v/>
      </c>
      <c r="CO80" s="580" t="str">
        <f>IF('Marks Entry'!AQ80="","",'Marks Entry'!AQ80)</f>
        <v/>
      </c>
      <c r="CP80" s="580" t="str">
        <f>IF('Marks Entry'!AR80="","",'Marks Entry'!AR80)</f>
        <v/>
      </c>
      <c r="CQ80" s="581" t="str">
        <f t="shared" si="281"/>
        <v/>
      </c>
      <c r="CR80" s="157" t="str">
        <f t="shared" si="282"/>
        <v/>
      </c>
      <c r="CS80" s="157" t="str">
        <f t="shared" si="283"/>
        <v/>
      </c>
      <c r="CT80" s="192" t="str">
        <f t="shared" si="284"/>
        <v/>
      </c>
      <c r="CU80" s="153">
        <f t="shared" si="285"/>
        <v>0</v>
      </c>
      <c r="CV80" s="154">
        <f t="shared" si="286"/>
        <v>0</v>
      </c>
      <c r="CW80" s="154" t="str">
        <f t="shared" si="287"/>
        <v/>
      </c>
      <c r="CX80" s="154" t="str">
        <f t="shared" si="288"/>
        <v/>
      </c>
      <c r="CY80" s="154" t="str">
        <f t="shared" si="289"/>
        <v/>
      </c>
      <c r="CZ80" s="153" t="str">
        <f t="shared" si="290"/>
        <v/>
      </c>
      <c r="DA80" s="154" t="str">
        <f t="shared" si="291"/>
        <v/>
      </c>
      <c r="DB80" s="153" t="str">
        <f t="shared" si="292"/>
        <v/>
      </c>
      <c r="DC80" s="154">
        <f t="shared" si="293"/>
        <v>0</v>
      </c>
      <c r="DD80" s="826" t="str">
        <f>IF('Marks Entry'!AS80="","",IF(OR('Master Sheet'!$D$19="YES",'Marks Entry'!$BA$1=1),'Marks Entry'!AS80,""))</f>
        <v/>
      </c>
      <c r="DE80" s="826" t="str">
        <f>IF('Marks Entry'!AT80="","",IF(OR('Master Sheet'!$D$19="YES",'Marks Entry'!$BA$1=1),'Marks Entry'!AT80,""))</f>
        <v/>
      </c>
      <c r="DF80" s="826" t="str">
        <f>IF('Marks Entry'!AU80="","",IF(OR('Master Sheet'!$D$19="YES",'Marks Entry'!$BA$1=1),'Marks Entry'!AU80,""))</f>
        <v/>
      </c>
      <c r="DG80" s="826" t="str">
        <f>IF('Marks Entry'!AV80="","",IF(OR('Master Sheet'!$D$19="YES",'Marks Entry'!$BA$1=1),'Marks Entry'!AV80,""))</f>
        <v/>
      </c>
      <c r="DH80" s="827" t="str">
        <f t="shared" si="294"/>
        <v/>
      </c>
      <c r="DI80" s="826" t="str">
        <f>IF('Marks Entry'!AW80="","",IF(OR('Master Sheet'!$D$19="YES",'Marks Entry'!$BA$1=1),'Marks Entry'!AW80,""))</f>
        <v/>
      </c>
      <c r="DJ80" s="826" t="str">
        <f>IF('Marks Entry'!AX80="","",IF(OR('Master Sheet'!$D$19="YES",'Marks Entry'!$BA$1=1),'Marks Entry'!AX80,""))</f>
        <v/>
      </c>
      <c r="DK80" s="827" t="str">
        <f t="shared" si="295"/>
        <v/>
      </c>
      <c r="DL80" s="827" t="str">
        <f t="shared" si="296"/>
        <v/>
      </c>
      <c r="DM80" s="826" t="str">
        <f>IF('Marks Entry'!AY80="","",IF(OR('Master Sheet'!$D$19="YES",'Marks Entry'!$BA$1=1),'Marks Entry'!AY80,""))</f>
        <v/>
      </c>
      <c r="DN80" s="826" t="str">
        <f>IF('Marks Entry'!AZ80="","",IF(OR('Master Sheet'!$D$19="YES",'Marks Entry'!$BA$1=1),'Marks Entry'!AZ80,""))</f>
        <v/>
      </c>
      <c r="DO80" s="826" t="str">
        <f>IF('Marks Entry'!BA80="","",IF(OR('Master Sheet'!$D$19="YES",'Marks Entry'!$BA$1=1),'Marks Entry'!BA80,""))</f>
        <v/>
      </c>
      <c r="DP80" s="827" t="str">
        <f t="shared" si="297"/>
        <v/>
      </c>
      <c r="DQ80" s="157" t="str">
        <f t="shared" si="298"/>
        <v/>
      </c>
      <c r="DR80" s="157" t="str">
        <f t="shared" si="299"/>
        <v/>
      </c>
      <c r="DS80" s="157" t="str">
        <f t="shared" si="300"/>
        <v/>
      </c>
      <c r="DT80" s="192" t="str">
        <f t="shared" si="301"/>
        <v/>
      </c>
      <c r="DU80" s="153">
        <f t="shared" si="302"/>
        <v>0</v>
      </c>
      <c r="DV80" s="154" t="e">
        <f t="shared" si="303"/>
        <v>#VALUE!</v>
      </c>
      <c r="DW80" s="154" t="str">
        <f t="shared" si="304"/>
        <v/>
      </c>
      <c r="DX80" s="154" t="str">
        <f>IF(OR($B80="NSO",$B80=0,DS80=""),"",IF(AND(DJ80="",DO80=""),"",IF('Master Sheet'!$D$19="YES",$DO$6-COUNTIF(DO80,"ML")*DO$6,DS$6-(COUNTIF(DJ80,"ML")*DJ$6)-(COUNTIF(DO80,"ML")*DO$6))))</f>
        <v/>
      </c>
      <c r="DY80" s="154" t="str">
        <f>IF(OR($B80="NSO",$B80=0),"",IF(AND(DH80="",DI80="",DM80=""),"",IF(AND('Master Sheet'!$D$19="YES",'Marks Entry'!$BA$1=1),100,IF(AND(DJ80="",DO80=""),SUM(($DQ$7+$DR$7)-(DU80+DV80)),SUM(($DQ$6+$DR$6)-(DU80+DV80))))))</f>
        <v/>
      </c>
      <c r="DZ80" s="153" t="str">
        <f t="shared" si="305"/>
        <v/>
      </c>
      <c r="EA80" s="154" t="str">
        <f t="shared" si="306"/>
        <v/>
      </c>
      <c r="EB80" s="153" t="str">
        <f t="shared" si="307"/>
        <v/>
      </c>
      <c r="EC80" s="584" t="str">
        <f>IF('Marks Entry'!BB80="","",'Marks Entry'!BB80)</f>
        <v/>
      </c>
      <c r="ED80" s="584" t="str">
        <f>IF('Marks Entry'!BC80="","",'Marks Entry'!BC80)</f>
        <v/>
      </c>
      <c r="EE80" s="584" t="str">
        <f>IF('Marks Entry'!BD80="","",'Marks Entry'!BD80)</f>
        <v/>
      </c>
      <c r="EF80" s="590" t="str">
        <f t="shared" si="308"/>
        <v/>
      </c>
      <c r="EG80" s="595">
        <f t="shared" si="309"/>
        <v>0</v>
      </c>
      <c r="EH80" s="595">
        <f t="shared" si="310"/>
        <v>0</v>
      </c>
      <c r="EI80" s="193" t="str">
        <f t="shared" si="311"/>
        <v/>
      </c>
      <c r="EJ80" s="595" t="str">
        <f t="shared" si="312"/>
        <v/>
      </c>
      <c r="EK80" s="595" t="str">
        <f t="shared" si="313"/>
        <v/>
      </c>
      <c r="EL80" s="194" t="str">
        <f t="shared" si="314"/>
        <v/>
      </c>
      <c r="EM80" s="194" t="str">
        <f t="shared" si="315"/>
        <v/>
      </c>
      <c r="EN80" s="194" t="str">
        <f t="shared" si="316"/>
        <v/>
      </c>
      <c r="EO80" s="194" t="str">
        <f t="shared" si="317"/>
        <v/>
      </c>
      <c r="EP80" s="194" t="str">
        <f t="shared" si="318"/>
        <v/>
      </c>
      <c r="EQ80" s="194" t="str">
        <f t="shared" si="319"/>
        <v/>
      </c>
      <c r="ER80" s="195">
        <f t="shared" si="320"/>
        <v>0</v>
      </c>
      <c r="ES80" s="195">
        <f t="shared" si="321"/>
        <v>0</v>
      </c>
      <c r="ET80" s="195">
        <f t="shared" si="322"/>
        <v>0</v>
      </c>
      <c r="EU80" s="195">
        <f t="shared" si="323"/>
        <v>0</v>
      </c>
      <c r="EV80" s="195">
        <f t="shared" si="324"/>
        <v>0</v>
      </c>
      <c r="EW80" s="195" t="str">
        <f t="shared" si="325"/>
        <v/>
      </c>
      <c r="EX80" s="196" t="str">
        <f t="shared" si="326"/>
        <v/>
      </c>
      <c r="EY80" s="197" t="str">
        <f>IF('Marks Entry'!BE80="","",'Marks Entry'!BE80)</f>
        <v/>
      </c>
      <c r="EZ80" s="197" t="str">
        <f>IF('Marks Entry'!BF80="","",'Marks Entry'!BF80)</f>
        <v/>
      </c>
      <c r="FA80" s="197" t="str">
        <f>IF('Marks Entry'!BG80="","",'Marks Entry'!BG80)</f>
        <v/>
      </c>
      <c r="FB80" s="596" t="str">
        <f t="shared" si="327"/>
        <v/>
      </c>
      <c r="FC80" s="197" t="str">
        <f>IF('Marks Entry'!BH80="","",'Marks Entry'!BH80)</f>
        <v/>
      </c>
      <c r="FD80" s="197" t="str">
        <f>IF('Marks Entry'!BI80="","",'Marks Entry'!BI80)</f>
        <v/>
      </c>
      <c r="FE80" s="198" t="str">
        <f t="shared" si="328"/>
        <v/>
      </c>
      <c r="FF80" s="199" t="str">
        <f t="shared" si="329"/>
        <v/>
      </c>
      <c r="FG80" s="200" t="str">
        <f>IF(AND(E80=""),"",IF('Student DATA Entry'!L76="","",'Student DATA Entry'!L76))</f>
        <v/>
      </c>
      <c r="FH80" s="201" t="str">
        <f>IF(AND(E80=""),"",IF('Student DATA Entry'!M76="","",'Student DATA Entry'!M76))</f>
        <v/>
      </c>
      <c r="FI80" s="202" t="str">
        <f t="shared" si="330"/>
        <v/>
      </c>
      <c r="FJ80" s="189" t="str">
        <f t="shared" si="331"/>
        <v/>
      </c>
      <c r="FK80" s="189" t="str">
        <f t="shared" si="332"/>
        <v/>
      </c>
      <c r="FL80" s="203" t="str">
        <f t="shared" si="201"/>
        <v/>
      </c>
      <c r="FM80" s="189" t="str">
        <f t="shared" si="333"/>
        <v/>
      </c>
      <c r="FN80" s="204" t="str">
        <f t="shared" si="334"/>
        <v/>
      </c>
      <c r="FO80" s="203" t="str">
        <f t="shared" si="202"/>
        <v/>
      </c>
      <c r="FP80" s="205" t="str">
        <f t="shared" si="335"/>
        <v/>
      </c>
      <c r="FQ80" s="189" t="str">
        <f t="shared" si="203"/>
        <v/>
      </c>
      <c r="FR80" s="189" t="str">
        <f t="shared" si="204"/>
        <v/>
      </c>
      <c r="FS80" s="189" t="str">
        <f t="shared" si="205"/>
        <v/>
      </c>
      <c r="FT80" s="189" t="str">
        <f t="shared" si="206"/>
        <v/>
      </c>
      <c r="FU80" s="189" t="str">
        <f t="shared" si="336"/>
        <v/>
      </c>
      <c r="FV80" s="206" t="str">
        <f t="shared" si="207"/>
        <v/>
      </c>
      <c r="FW80" s="205" t="str">
        <f t="shared" si="337"/>
        <v/>
      </c>
      <c r="FX80" s="189" t="str">
        <f t="shared" si="208"/>
        <v/>
      </c>
      <c r="FY80" s="189" t="str">
        <f t="shared" si="209"/>
        <v/>
      </c>
      <c r="FZ80" s="189" t="str">
        <f t="shared" si="210"/>
        <v/>
      </c>
      <c r="GA80" s="189" t="str">
        <f t="shared" si="211"/>
        <v/>
      </c>
      <c r="GB80" s="189" t="str">
        <f t="shared" si="338"/>
        <v/>
      </c>
      <c r="GC80" s="206" t="str">
        <f t="shared" si="212"/>
        <v/>
      </c>
      <c r="GD80" s="205" t="str">
        <f t="shared" si="339"/>
        <v/>
      </c>
      <c r="GE80" s="189" t="str">
        <f t="shared" si="213"/>
        <v/>
      </c>
      <c r="GF80" s="189" t="str">
        <f t="shared" si="214"/>
        <v/>
      </c>
      <c r="GG80" s="189" t="str">
        <f t="shared" si="215"/>
        <v/>
      </c>
      <c r="GH80" s="189" t="str">
        <f t="shared" si="216"/>
        <v/>
      </c>
      <c r="GI80" s="189" t="str">
        <f t="shared" si="340"/>
        <v/>
      </c>
      <c r="GJ80" s="206" t="str">
        <f t="shared" si="217"/>
        <v/>
      </c>
      <c r="GK80" s="205" t="str">
        <f t="shared" si="341"/>
        <v/>
      </c>
      <c r="GL80" s="189" t="str">
        <f t="shared" si="218"/>
        <v/>
      </c>
      <c r="GM80" s="189" t="str">
        <f t="shared" si="219"/>
        <v/>
      </c>
      <c r="GN80" s="189" t="str">
        <f t="shared" si="220"/>
        <v/>
      </c>
      <c r="GO80" s="189" t="str">
        <f t="shared" si="221"/>
        <v/>
      </c>
      <c r="GP80" s="189" t="str">
        <f t="shared" si="342"/>
        <v/>
      </c>
      <c r="GQ80" s="206" t="str">
        <f t="shared" si="222"/>
        <v/>
      </c>
      <c r="GR80" s="189" t="str">
        <f t="shared" si="343"/>
        <v/>
      </c>
      <c r="GS80" s="189" t="str">
        <f t="shared" si="344"/>
        <v/>
      </c>
      <c r="GT80" s="207" t="str">
        <f t="shared" si="345"/>
        <v xml:space="preserve">    </v>
      </c>
      <c r="GU80" s="207" t="str">
        <f t="shared" si="346"/>
        <v xml:space="preserve">    </v>
      </c>
      <c r="GV80" s="207" t="str">
        <f t="shared" si="347"/>
        <v xml:space="preserve">    </v>
      </c>
      <c r="GW80" s="207" t="str">
        <f t="shared" si="348"/>
        <v xml:space="preserve">       </v>
      </c>
      <c r="GX80" s="598" t="str">
        <f t="shared" si="349"/>
        <v xml:space="preserve">     </v>
      </c>
      <c r="GY80" s="208" t="str">
        <f t="shared" si="223"/>
        <v/>
      </c>
      <c r="GZ80" s="606" t="str">
        <f>IF(AND(Q80="",AE80="",AZ80="",BW80="",CT80=""),"",IF(AND('Master Sheet'!$D$19="YES",'Marks Entry'!$BA$1=1),SUM(Q80,AE80,AZ80,BW80,DT80),SUM(Q80,AE80,AZ80,BW80,CT80)))</f>
        <v/>
      </c>
      <c r="HA80" s="209" t="str">
        <f>IF(GZ80="","",IF(AND('Master Sheet'!$D$19="YES",'Marks Entry'!$BA$1=1),GZ80/((900)-DC80)*100,GZ80/((1000)-DC80)*100))</f>
        <v/>
      </c>
      <c r="HB80" s="611" t="str">
        <f t="shared" si="350"/>
        <v/>
      </c>
      <c r="HC80" s="609" t="str">
        <f t="shared" si="351"/>
        <v/>
      </c>
      <c r="HD80" s="610" t="str">
        <f t="shared" si="352"/>
        <v/>
      </c>
      <c r="HE80" s="210" t="str">
        <f>IFERROR(IF(OR(GY80="SUPPLEMENTARY",GY80="RE-EXAM"),'Supp. Result Entry'!AS79,""),"")</f>
        <v/>
      </c>
      <c r="HF80" s="613" t="str">
        <f t="shared" si="353"/>
        <v/>
      </c>
      <c r="HG80" s="598" t="str">
        <f t="shared" si="354"/>
        <v/>
      </c>
      <c r="HH80" s="598" t="str">
        <f>IF(AND(HE80="",HF80="",HG80=""),"",IF(OR(GY80="SUPPLEMENTARY",GY80="RE-EXAM"),'Supp. Result Entry'!AS79,GY80))</f>
        <v/>
      </c>
      <c r="HI80" s="180"/>
      <c r="HY80" s="212" t="str">
        <f>IF('Supp. Result Entry'!U79="","",'Supp. Result Entry'!$U$6)</f>
        <v/>
      </c>
      <c r="HZ80" s="213" t="str">
        <f>IF('Supp. Result Entry'!X79="","",'Supp. Result Entry'!$X$6)</f>
        <v/>
      </c>
      <c r="IA80" s="213" t="str">
        <f>IF('Supp. Result Entry'!AA79="","",'Supp. Result Entry'!$AA$6)</f>
        <v/>
      </c>
      <c r="IB80" s="213" t="str">
        <f>IF('Supp. Result Entry'!AD79="","",'Supp. Result Entry'!$AD$6)</f>
        <v/>
      </c>
      <c r="IC80" s="213" t="str">
        <f>IF('Supp. Result Entry'!AG79="","",'Supp. Result Entry'!$AG$6)</f>
        <v/>
      </c>
      <c r="ID80" s="213" t="str">
        <f>IF('Supp. Result Entry'!AJ79="","",'Supp. Result Entry'!$AJ$6)</f>
        <v/>
      </c>
      <c r="IE80" s="213" t="str">
        <f>IF('Supp. Result Entry'!V79="","",'Supp. Result Entry'!V79)</f>
        <v/>
      </c>
      <c r="IF80" s="213" t="str">
        <f>IF('Supp. Result Entry'!Y79="","",'Supp. Result Entry'!Y79)</f>
        <v/>
      </c>
      <c r="IG80" s="213" t="str">
        <f>IF('Supp. Result Entry'!AB79="","",'Supp. Result Entry'!AB79)</f>
        <v/>
      </c>
      <c r="IH80" s="213" t="str">
        <f>IF('Supp. Result Entry'!AE79="","",'Supp. Result Entry'!AE79)</f>
        <v/>
      </c>
      <c r="II80" s="213" t="str">
        <f>IF('Supp. Result Entry'!AH79="","",'Supp. Result Entry'!AH79)</f>
        <v/>
      </c>
      <c r="IJ80" s="213" t="str">
        <f>IF('Supp. Result Entry'!AK79="","",'Supp. Result Entry'!AK79)</f>
        <v/>
      </c>
      <c r="IK80" s="213" t="str">
        <f>IF('Supp. Result Entry'!W79="","",'Supp. Result Entry'!W79)</f>
        <v/>
      </c>
      <c r="IL80" s="213" t="str">
        <f>IF('Supp. Result Entry'!Z79="","",'Supp. Result Entry'!Z79)</f>
        <v/>
      </c>
      <c r="IM80" s="213" t="str">
        <f>IF('Supp. Result Entry'!AC79="","",'Supp. Result Entry'!AC79)</f>
        <v/>
      </c>
      <c r="IN80" s="213" t="str">
        <f>IF('Supp. Result Entry'!AF79="","",'Supp. Result Entry'!AF79)</f>
        <v/>
      </c>
      <c r="IO80" s="213" t="str">
        <f>IF('Supp. Result Entry'!AI79="","",'Supp. Result Entry'!AI79)</f>
        <v/>
      </c>
      <c r="IP80" s="213" t="str">
        <f>IF('Supp. Result Entry'!AL79="","",'Supp. Result Entry'!AL79)</f>
        <v/>
      </c>
      <c r="IQ80" s="213">
        <f>COUNTIF('Supp. Result Entry'!K79:Q79,"S")</f>
        <v>0</v>
      </c>
      <c r="IR80" s="213">
        <f t="shared" si="355"/>
        <v>0</v>
      </c>
      <c r="IS80" s="213">
        <f t="shared" si="356"/>
        <v>0</v>
      </c>
      <c r="IT80" s="213" t="str">
        <f t="shared" si="224"/>
        <v/>
      </c>
      <c r="IU80" s="213" t="str">
        <f t="shared" si="225"/>
        <v/>
      </c>
      <c r="IV80" s="213" t="str">
        <f t="shared" si="226"/>
        <v/>
      </c>
      <c r="IW80" s="213" t="str">
        <f t="shared" si="227"/>
        <v/>
      </c>
      <c r="IX80" s="213" t="str">
        <f t="shared" si="228"/>
        <v/>
      </c>
      <c r="IY80" s="213" t="str">
        <f t="shared" si="357"/>
        <v/>
      </c>
      <c r="IZ80" s="213" t="str">
        <f t="shared" si="358"/>
        <v/>
      </c>
      <c r="JA80" s="213" t="str">
        <f t="shared" si="229"/>
        <v/>
      </c>
      <c r="JB80" s="211" t="str">
        <f t="shared" si="359"/>
        <v/>
      </c>
    </row>
    <row r="81" spans="1:262" s="211" customFormat="1" ht="21" customHeight="1">
      <c r="A81" s="184">
        <v>74</v>
      </c>
      <c r="B81" s="185" t="str">
        <f>IF('Marks Entry'!B81="","",'Marks Entry'!B81)</f>
        <v/>
      </c>
      <c r="C81" s="186" t="str">
        <f>IF('Marks Entry'!D81="","",'Marks Entry'!D81)</f>
        <v/>
      </c>
      <c r="D81" s="187" t="str">
        <f>IF('Marks Entry'!E81="","",'Marks Entry'!E81)</f>
        <v/>
      </c>
      <c r="E81" s="188" t="str">
        <f>IF('Marks Entry'!F81="","",'Marks Entry'!F81)</f>
        <v/>
      </c>
      <c r="F81" s="188" t="str">
        <f>IF('Marks Entry'!G81="","",'Marks Entry'!G81)</f>
        <v/>
      </c>
      <c r="G81" s="188" t="str">
        <f>IF('Marks Entry'!H81="","",'Marks Entry'!H81)</f>
        <v/>
      </c>
      <c r="H81" s="189" t="str">
        <f>IF('Marks Entry'!I81="","",'Marks Entry'!I81)</f>
        <v/>
      </c>
      <c r="I81" s="190" t="str">
        <f>IF('Marks Entry'!J81="","",'Marks Entry'!J81)</f>
        <v/>
      </c>
      <c r="J81" s="545" t="str">
        <f>IF('Marks Entry'!K81="","",'Marks Entry'!K81)</f>
        <v/>
      </c>
      <c r="K81" s="545" t="str">
        <f>IF('Marks Entry'!L81="","",'Marks Entry'!L81)</f>
        <v/>
      </c>
      <c r="L81" s="545" t="str">
        <f>IF('Marks Entry'!M81="","",'Marks Entry'!M81)</f>
        <v/>
      </c>
      <c r="M81" s="546" t="str">
        <f t="shared" si="230"/>
        <v/>
      </c>
      <c r="N81" s="545" t="str">
        <f>IF('Marks Entry'!N81="","",'Marks Entry'!N81)</f>
        <v/>
      </c>
      <c r="O81" s="546" t="str">
        <f t="shared" si="231"/>
        <v/>
      </c>
      <c r="P81" s="545" t="str">
        <f>IF('Marks Entry'!O81="","",'Marks Entry'!O81)</f>
        <v/>
      </c>
      <c r="Q81" s="547" t="str">
        <f t="shared" si="232"/>
        <v/>
      </c>
      <c r="R81" s="153">
        <f t="shared" si="233"/>
        <v>0</v>
      </c>
      <c r="S81" s="153">
        <f t="shared" si="234"/>
        <v>0</v>
      </c>
      <c r="T81" s="154" t="str">
        <f t="shared" si="235"/>
        <v/>
      </c>
      <c r="U81" s="153" t="str">
        <f t="shared" si="236"/>
        <v/>
      </c>
      <c r="V81" s="153" t="str">
        <f t="shared" si="237"/>
        <v/>
      </c>
      <c r="W81" s="153" t="str">
        <f t="shared" si="238"/>
        <v/>
      </c>
      <c r="X81" s="545" t="str">
        <f>IF('Marks Entry'!P81="","",'Marks Entry'!P81)</f>
        <v/>
      </c>
      <c r="Y81" s="545" t="str">
        <f>IF('Marks Entry'!Q81="","",'Marks Entry'!Q81)</f>
        <v/>
      </c>
      <c r="Z81" s="545" t="str">
        <f>IF('Marks Entry'!R81="","",'Marks Entry'!R81)</f>
        <v/>
      </c>
      <c r="AA81" s="546" t="str">
        <f t="shared" si="239"/>
        <v/>
      </c>
      <c r="AB81" s="545" t="str">
        <f>IF('Marks Entry'!S81="","",'Marks Entry'!S81)</f>
        <v/>
      </c>
      <c r="AC81" s="546" t="str">
        <f t="shared" si="240"/>
        <v/>
      </c>
      <c r="AD81" s="545" t="str">
        <f>IF('Marks Entry'!T81="","",'Marks Entry'!T81)</f>
        <v/>
      </c>
      <c r="AE81" s="547" t="str">
        <f t="shared" si="241"/>
        <v/>
      </c>
      <c r="AF81" s="153">
        <f t="shared" si="242"/>
        <v>0</v>
      </c>
      <c r="AG81" s="153">
        <f t="shared" si="243"/>
        <v>0</v>
      </c>
      <c r="AH81" s="154" t="str">
        <f t="shared" si="244"/>
        <v/>
      </c>
      <c r="AI81" s="153" t="str">
        <f t="shared" si="245"/>
        <v/>
      </c>
      <c r="AJ81" s="153" t="str">
        <f t="shared" si="246"/>
        <v/>
      </c>
      <c r="AK81" s="153" t="str">
        <f t="shared" si="247"/>
        <v/>
      </c>
      <c r="AL81" s="573" t="str">
        <f>IF('Marks Entry'!U81="","",'Marks Entry'!U81)</f>
        <v/>
      </c>
      <c r="AM81" s="573" t="str">
        <f>IF('Marks Entry'!V81="","",'Marks Entry'!V81)</f>
        <v/>
      </c>
      <c r="AN81" s="573" t="str">
        <f>IF('Marks Entry'!W81="","",'Marks Entry'!W81)</f>
        <v/>
      </c>
      <c r="AO81" s="573" t="str">
        <f>IF('Marks Entry'!X81="","",'Marks Entry'!X81)</f>
        <v/>
      </c>
      <c r="AP81" s="572" t="str">
        <f t="shared" si="248"/>
        <v/>
      </c>
      <c r="AQ81" s="573" t="str">
        <f>IF('Marks Entry'!Y81="","",'Marks Entry'!Y81)</f>
        <v/>
      </c>
      <c r="AR81" s="573" t="str">
        <f>IF('Marks Entry'!Z81="","",'Marks Entry'!Z81)</f>
        <v/>
      </c>
      <c r="AS81" s="572" t="str">
        <f t="shared" si="249"/>
        <v/>
      </c>
      <c r="AT81" s="572" t="str">
        <f t="shared" si="250"/>
        <v/>
      </c>
      <c r="AU81" s="573" t="str">
        <f>IF('Marks Entry'!AA81="","",'Marks Entry'!AA81)</f>
        <v/>
      </c>
      <c r="AV81" s="573" t="str">
        <f>IF('Marks Entry'!AB81="","",'Marks Entry'!AB81)</f>
        <v/>
      </c>
      <c r="AW81" s="572" t="str">
        <f t="shared" si="251"/>
        <v/>
      </c>
      <c r="AX81" s="157" t="str">
        <f t="shared" si="252"/>
        <v/>
      </c>
      <c r="AY81" s="157" t="str">
        <f t="shared" si="253"/>
        <v/>
      </c>
      <c r="AZ81" s="192" t="str">
        <f t="shared" si="254"/>
        <v/>
      </c>
      <c r="BA81" s="153">
        <f t="shared" si="255"/>
        <v>0</v>
      </c>
      <c r="BB81" s="154">
        <f t="shared" si="256"/>
        <v>0</v>
      </c>
      <c r="BC81" s="154" t="str">
        <f t="shared" si="257"/>
        <v/>
      </c>
      <c r="BD81" s="154" t="str">
        <f t="shared" si="258"/>
        <v/>
      </c>
      <c r="BE81" s="154" t="str">
        <f t="shared" si="259"/>
        <v/>
      </c>
      <c r="BF81" s="153" t="str">
        <f t="shared" si="260"/>
        <v/>
      </c>
      <c r="BG81" s="154" t="str">
        <f t="shared" si="261"/>
        <v/>
      </c>
      <c r="BH81" s="153" t="str">
        <f t="shared" si="262"/>
        <v/>
      </c>
      <c r="BI81" s="580" t="str">
        <f>IF('Marks Entry'!AC81="","",'Marks Entry'!AC81)</f>
        <v/>
      </c>
      <c r="BJ81" s="580" t="str">
        <f>IF('Marks Entry'!AD81="","",'Marks Entry'!AD81)</f>
        <v/>
      </c>
      <c r="BK81" s="580" t="str">
        <f>IF('Marks Entry'!AE81="","",'Marks Entry'!AE81)</f>
        <v/>
      </c>
      <c r="BL81" s="580" t="str">
        <f>IF('Marks Entry'!AF81="","",'Marks Entry'!AF81)</f>
        <v/>
      </c>
      <c r="BM81" s="581" t="str">
        <f t="shared" si="263"/>
        <v/>
      </c>
      <c r="BN81" s="580" t="str">
        <f>IF('Marks Entry'!AG81="","",'Marks Entry'!AG81)</f>
        <v/>
      </c>
      <c r="BO81" s="580" t="str">
        <f>IF('Marks Entry'!AH81="","",'Marks Entry'!AH81)</f>
        <v/>
      </c>
      <c r="BP81" s="581" t="str">
        <f t="shared" si="264"/>
        <v/>
      </c>
      <c r="BQ81" s="581" t="str">
        <f t="shared" si="265"/>
        <v/>
      </c>
      <c r="BR81" s="580" t="str">
        <f>IF('Marks Entry'!AI81="","",'Marks Entry'!AI81)</f>
        <v/>
      </c>
      <c r="BS81" s="580" t="str">
        <f>IF('Marks Entry'!AJ81="","",'Marks Entry'!AJ81)</f>
        <v/>
      </c>
      <c r="BT81" s="581" t="str">
        <f t="shared" si="266"/>
        <v/>
      </c>
      <c r="BU81" s="157" t="str">
        <f t="shared" si="267"/>
        <v/>
      </c>
      <c r="BV81" s="157" t="str">
        <f t="shared" si="268"/>
        <v/>
      </c>
      <c r="BW81" s="192" t="str">
        <f t="shared" si="269"/>
        <v/>
      </c>
      <c r="BX81" s="153">
        <f t="shared" si="270"/>
        <v>0</v>
      </c>
      <c r="BY81" s="154">
        <f t="shared" si="271"/>
        <v>0</v>
      </c>
      <c r="BZ81" s="154" t="str">
        <f t="shared" si="272"/>
        <v/>
      </c>
      <c r="CA81" s="154" t="str">
        <f t="shared" si="273"/>
        <v/>
      </c>
      <c r="CB81" s="154" t="str">
        <f t="shared" si="274"/>
        <v/>
      </c>
      <c r="CC81" s="153" t="str">
        <f t="shared" si="275"/>
        <v/>
      </c>
      <c r="CD81" s="154" t="str">
        <f t="shared" si="276"/>
        <v/>
      </c>
      <c r="CE81" s="153" t="str">
        <f t="shared" si="277"/>
        <v/>
      </c>
      <c r="CF81" s="580" t="str">
        <f>IF('Marks Entry'!AK81="","",'Marks Entry'!AK81)</f>
        <v/>
      </c>
      <c r="CG81" s="580" t="str">
        <f>IF('Marks Entry'!AL81="","",'Marks Entry'!AL81)</f>
        <v/>
      </c>
      <c r="CH81" s="580" t="str">
        <f>IF('Marks Entry'!AM81="","",'Marks Entry'!AM81)</f>
        <v/>
      </c>
      <c r="CI81" s="580" t="str">
        <f>IF('Marks Entry'!AN81="","",'Marks Entry'!AN81)</f>
        <v/>
      </c>
      <c r="CJ81" s="581" t="str">
        <f t="shared" si="278"/>
        <v/>
      </c>
      <c r="CK81" s="580" t="str">
        <f>IF('Marks Entry'!AO81="","",'Marks Entry'!AO81)</f>
        <v/>
      </c>
      <c r="CL81" s="580" t="str">
        <f>IF('Marks Entry'!AP81="","",'Marks Entry'!AP81)</f>
        <v/>
      </c>
      <c r="CM81" s="581" t="str">
        <f t="shared" si="279"/>
        <v/>
      </c>
      <c r="CN81" s="581" t="str">
        <f t="shared" si="280"/>
        <v/>
      </c>
      <c r="CO81" s="580" t="str">
        <f>IF('Marks Entry'!AQ81="","",'Marks Entry'!AQ81)</f>
        <v/>
      </c>
      <c r="CP81" s="580" t="str">
        <f>IF('Marks Entry'!AR81="","",'Marks Entry'!AR81)</f>
        <v/>
      </c>
      <c r="CQ81" s="581" t="str">
        <f t="shared" si="281"/>
        <v/>
      </c>
      <c r="CR81" s="157" t="str">
        <f t="shared" si="282"/>
        <v/>
      </c>
      <c r="CS81" s="157" t="str">
        <f t="shared" si="283"/>
        <v/>
      </c>
      <c r="CT81" s="192" t="str">
        <f t="shared" si="284"/>
        <v/>
      </c>
      <c r="CU81" s="153">
        <f t="shared" si="285"/>
        <v>0</v>
      </c>
      <c r="CV81" s="154">
        <f t="shared" si="286"/>
        <v>0</v>
      </c>
      <c r="CW81" s="154" t="str">
        <f t="shared" si="287"/>
        <v/>
      </c>
      <c r="CX81" s="154" t="str">
        <f t="shared" si="288"/>
        <v/>
      </c>
      <c r="CY81" s="154" t="str">
        <f t="shared" si="289"/>
        <v/>
      </c>
      <c r="CZ81" s="153" t="str">
        <f t="shared" si="290"/>
        <v/>
      </c>
      <c r="DA81" s="154" t="str">
        <f t="shared" si="291"/>
        <v/>
      </c>
      <c r="DB81" s="153" t="str">
        <f t="shared" si="292"/>
        <v/>
      </c>
      <c r="DC81" s="154">
        <f t="shared" si="293"/>
        <v>0</v>
      </c>
      <c r="DD81" s="826" t="str">
        <f>IF('Marks Entry'!AS81="","",IF(OR('Master Sheet'!$D$19="YES",'Marks Entry'!$BA$1=1),'Marks Entry'!AS81,""))</f>
        <v/>
      </c>
      <c r="DE81" s="826" t="str">
        <f>IF('Marks Entry'!AT81="","",IF(OR('Master Sheet'!$D$19="YES",'Marks Entry'!$BA$1=1),'Marks Entry'!AT81,""))</f>
        <v/>
      </c>
      <c r="DF81" s="826" t="str">
        <f>IF('Marks Entry'!AU81="","",IF(OR('Master Sheet'!$D$19="YES",'Marks Entry'!$BA$1=1),'Marks Entry'!AU81,""))</f>
        <v/>
      </c>
      <c r="DG81" s="826" t="str">
        <f>IF('Marks Entry'!AV81="","",IF(OR('Master Sheet'!$D$19="YES",'Marks Entry'!$BA$1=1),'Marks Entry'!AV81,""))</f>
        <v/>
      </c>
      <c r="DH81" s="827" t="str">
        <f t="shared" si="294"/>
        <v/>
      </c>
      <c r="DI81" s="826" t="str">
        <f>IF('Marks Entry'!AW81="","",IF(OR('Master Sheet'!$D$19="YES",'Marks Entry'!$BA$1=1),'Marks Entry'!AW81,""))</f>
        <v/>
      </c>
      <c r="DJ81" s="826" t="str">
        <f>IF('Marks Entry'!AX81="","",IF(OR('Master Sheet'!$D$19="YES",'Marks Entry'!$BA$1=1),'Marks Entry'!AX81,""))</f>
        <v/>
      </c>
      <c r="DK81" s="827" t="str">
        <f t="shared" si="295"/>
        <v/>
      </c>
      <c r="DL81" s="827" t="str">
        <f t="shared" si="296"/>
        <v/>
      </c>
      <c r="DM81" s="826" t="str">
        <f>IF('Marks Entry'!AY81="","",IF(OR('Master Sheet'!$D$19="YES",'Marks Entry'!$BA$1=1),'Marks Entry'!AY81,""))</f>
        <v/>
      </c>
      <c r="DN81" s="826" t="str">
        <f>IF('Marks Entry'!AZ81="","",IF(OR('Master Sheet'!$D$19="YES",'Marks Entry'!$BA$1=1),'Marks Entry'!AZ81,""))</f>
        <v/>
      </c>
      <c r="DO81" s="826" t="str">
        <f>IF('Marks Entry'!BA81="","",IF(OR('Master Sheet'!$D$19="YES",'Marks Entry'!$BA$1=1),'Marks Entry'!BA81,""))</f>
        <v/>
      </c>
      <c r="DP81" s="827" t="str">
        <f t="shared" si="297"/>
        <v/>
      </c>
      <c r="DQ81" s="157" t="str">
        <f t="shared" si="298"/>
        <v/>
      </c>
      <c r="DR81" s="157" t="str">
        <f t="shared" si="299"/>
        <v/>
      </c>
      <c r="DS81" s="157" t="str">
        <f t="shared" si="300"/>
        <v/>
      </c>
      <c r="DT81" s="192" t="str">
        <f t="shared" si="301"/>
        <v/>
      </c>
      <c r="DU81" s="153">
        <f t="shared" si="302"/>
        <v>0</v>
      </c>
      <c r="DV81" s="154" t="e">
        <f t="shared" si="303"/>
        <v>#VALUE!</v>
      </c>
      <c r="DW81" s="154" t="str">
        <f t="shared" si="304"/>
        <v/>
      </c>
      <c r="DX81" s="154" t="str">
        <f>IF(OR($B81="NSO",$B81=0,DS81=""),"",IF(AND(DJ81="",DO81=""),"",IF('Master Sheet'!$D$19="YES",$DO$6-COUNTIF(DO81,"ML")*DO$6,DS$6-(COUNTIF(DJ81,"ML")*DJ$6)-(COUNTIF(DO81,"ML")*DO$6))))</f>
        <v/>
      </c>
      <c r="DY81" s="154" t="str">
        <f>IF(OR($B81="NSO",$B81=0),"",IF(AND(DH81="",DI81="",DM81=""),"",IF(AND('Master Sheet'!$D$19="YES",'Marks Entry'!$BA$1=1),100,IF(AND(DJ81="",DO81=""),SUM(($DQ$7+$DR$7)-(DU81+DV81)),SUM(($DQ$6+$DR$6)-(DU81+DV81))))))</f>
        <v/>
      </c>
      <c r="DZ81" s="153" t="str">
        <f t="shared" si="305"/>
        <v/>
      </c>
      <c r="EA81" s="154" t="str">
        <f t="shared" si="306"/>
        <v/>
      </c>
      <c r="EB81" s="153" t="str">
        <f t="shared" si="307"/>
        <v/>
      </c>
      <c r="EC81" s="584" t="str">
        <f>IF('Marks Entry'!BB81="","",'Marks Entry'!BB81)</f>
        <v/>
      </c>
      <c r="ED81" s="584" t="str">
        <f>IF('Marks Entry'!BC81="","",'Marks Entry'!BC81)</f>
        <v/>
      </c>
      <c r="EE81" s="584" t="str">
        <f>IF('Marks Entry'!BD81="","",'Marks Entry'!BD81)</f>
        <v/>
      </c>
      <c r="EF81" s="590" t="str">
        <f t="shared" si="308"/>
        <v/>
      </c>
      <c r="EG81" s="595">
        <f t="shared" si="309"/>
        <v>0</v>
      </c>
      <c r="EH81" s="595">
        <f t="shared" si="310"/>
        <v>0</v>
      </c>
      <c r="EI81" s="193" t="str">
        <f t="shared" si="311"/>
        <v/>
      </c>
      <c r="EJ81" s="595" t="str">
        <f t="shared" si="312"/>
        <v/>
      </c>
      <c r="EK81" s="595" t="str">
        <f t="shared" si="313"/>
        <v/>
      </c>
      <c r="EL81" s="194" t="str">
        <f t="shared" si="314"/>
        <v/>
      </c>
      <c r="EM81" s="194" t="str">
        <f t="shared" si="315"/>
        <v/>
      </c>
      <c r="EN81" s="194" t="str">
        <f t="shared" si="316"/>
        <v/>
      </c>
      <c r="EO81" s="194" t="str">
        <f t="shared" si="317"/>
        <v/>
      </c>
      <c r="EP81" s="194" t="str">
        <f t="shared" si="318"/>
        <v/>
      </c>
      <c r="EQ81" s="194" t="str">
        <f t="shared" si="319"/>
        <v/>
      </c>
      <c r="ER81" s="195">
        <f t="shared" si="320"/>
        <v>0</v>
      </c>
      <c r="ES81" s="195">
        <f t="shared" si="321"/>
        <v>0</v>
      </c>
      <c r="ET81" s="195">
        <f t="shared" si="322"/>
        <v>0</v>
      </c>
      <c r="EU81" s="195">
        <f t="shared" si="323"/>
        <v>0</v>
      </c>
      <c r="EV81" s="195">
        <f t="shared" si="324"/>
        <v>0</v>
      </c>
      <c r="EW81" s="195" t="str">
        <f t="shared" si="325"/>
        <v/>
      </c>
      <c r="EX81" s="196" t="str">
        <f t="shared" si="326"/>
        <v/>
      </c>
      <c r="EY81" s="197" t="str">
        <f>IF('Marks Entry'!BE81="","",'Marks Entry'!BE81)</f>
        <v/>
      </c>
      <c r="EZ81" s="197" t="str">
        <f>IF('Marks Entry'!BF81="","",'Marks Entry'!BF81)</f>
        <v/>
      </c>
      <c r="FA81" s="197" t="str">
        <f>IF('Marks Entry'!BG81="","",'Marks Entry'!BG81)</f>
        <v/>
      </c>
      <c r="FB81" s="596" t="str">
        <f t="shared" si="327"/>
        <v/>
      </c>
      <c r="FC81" s="197" t="str">
        <f>IF('Marks Entry'!BH81="","",'Marks Entry'!BH81)</f>
        <v/>
      </c>
      <c r="FD81" s="197" t="str">
        <f>IF('Marks Entry'!BI81="","",'Marks Entry'!BI81)</f>
        <v/>
      </c>
      <c r="FE81" s="198" t="str">
        <f t="shared" si="328"/>
        <v/>
      </c>
      <c r="FF81" s="199" t="str">
        <f t="shared" si="329"/>
        <v/>
      </c>
      <c r="FG81" s="200" t="str">
        <f>IF(AND(E81=""),"",IF('Student DATA Entry'!L77="","",'Student DATA Entry'!L77))</f>
        <v/>
      </c>
      <c r="FH81" s="201" t="str">
        <f>IF(AND(E81=""),"",IF('Student DATA Entry'!M77="","",'Student DATA Entry'!M77))</f>
        <v/>
      </c>
      <c r="FI81" s="202" t="str">
        <f t="shared" si="330"/>
        <v/>
      </c>
      <c r="FJ81" s="189" t="str">
        <f t="shared" si="331"/>
        <v/>
      </c>
      <c r="FK81" s="189" t="str">
        <f t="shared" si="332"/>
        <v/>
      </c>
      <c r="FL81" s="203" t="str">
        <f t="shared" si="201"/>
        <v/>
      </c>
      <c r="FM81" s="189" t="str">
        <f t="shared" si="333"/>
        <v/>
      </c>
      <c r="FN81" s="204" t="str">
        <f t="shared" si="334"/>
        <v/>
      </c>
      <c r="FO81" s="203" t="str">
        <f t="shared" si="202"/>
        <v/>
      </c>
      <c r="FP81" s="205" t="str">
        <f t="shared" si="335"/>
        <v/>
      </c>
      <c r="FQ81" s="189" t="str">
        <f t="shared" si="203"/>
        <v/>
      </c>
      <c r="FR81" s="189" t="str">
        <f t="shared" si="204"/>
        <v/>
      </c>
      <c r="FS81" s="189" t="str">
        <f t="shared" si="205"/>
        <v/>
      </c>
      <c r="FT81" s="189" t="str">
        <f t="shared" si="206"/>
        <v/>
      </c>
      <c r="FU81" s="189" t="str">
        <f t="shared" si="336"/>
        <v/>
      </c>
      <c r="FV81" s="206" t="str">
        <f t="shared" si="207"/>
        <v/>
      </c>
      <c r="FW81" s="205" t="str">
        <f t="shared" si="337"/>
        <v/>
      </c>
      <c r="FX81" s="189" t="str">
        <f t="shared" si="208"/>
        <v/>
      </c>
      <c r="FY81" s="189" t="str">
        <f t="shared" si="209"/>
        <v/>
      </c>
      <c r="FZ81" s="189" t="str">
        <f t="shared" si="210"/>
        <v/>
      </c>
      <c r="GA81" s="189" t="str">
        <f t="shared" si="211"/>
        <v/>
      </c>
      <c r="GB81" s="189" t="str">
        <f t="shared" si="338"/>
        <v/>
      </c>
      <c r="GC81" s="206" t="str">
        <f t="shared" si="212"/>
        <v/>
      </c>
      <c r="GD81" s="205" t="str">
        <f t="shared" si="339"/>
        <v/>
      </c>
      <c r="GE81" s="189" t="str">
        <f t="shared" si="213"/>
        <v/>
      </c>
      <c r="GF81" s="189" t="str">
        <f t="shared" si="214"/>
        <v/>
      </c>
      <c r="GG81" s="189" t="str">
        <f t="shared" si="215"/>
        <v/>
      </c>
      <c r="GH81" s="189" t="str">
        <f t="shared" si="216"/>
        <v/>
      </c>
      <c r="GI81" s="189" t="str">
        <f t="shared" si="340"/>
        <v/>
      </c>
      <c r="GJ81" s="206" t="str">
        <f t="shared" si="217"/>
        <v/>
      </c>
      <c r="GK81" s="205" t="str">
        <f t="shared" si="341"/>
        <v/>
      </c>
      <c r="GL81" s="189" t="str">
        <f t="shared" si="218"/>
        <v/>
      </c>
      <c r="GM81" s="189" t="str">
        <f t="shared" si="219"/>
        <v/>
      </c>
      <c r="GN81" s="189" t="str">
        <f t="shared" si="220"/>
        <v/>
      </c>
      <c r="GO81" s="189" t="str">
        <f t="shared" si="221"/>
        <v/>
      </c>
      <c r="GP81" s="189" t="str">
        <f t="shared" si="342"/>
        <v/>
      </c>
      <c r="GQ81" s="206" t="str">
        <f t="shared" si="222"/>
        <v/>
      </c>
      <c r="GR81" s="189" t="str">
        <f t="shared" si="343"/>
        <v/>
      </c>
      <c r="GS81" s="189" t="str">
        <f t="shared" si="344"/>
        <v/>
      </c>
      <c r="GT81" s="207" t="str">
        <f t="shared" si="345"/>
        <v xml:space="preserve">    </v>
      </c>
      <c r="GU81" s="207" t="str">
        <f t="shared" si="346"/>
        <v xml:space="preserve">    </v>
      </c>
      <c r="GV81" s="207" t="str">
        <f t="shared" si="347"/>
        <v xml:space="preserve">    </v>
      </c>
      <c r="GW81" s="207" t="str">
        <f t="shared" si="348"/>
        <v xml:space="preserve">       </v>
      </c>
      <c r="GX81" s="598" t="str">
        <f t="shared" si="349"/>
        <v xml:space="preserve">     </v>
      </c>
      <c r="GY81" s="208" t="str">
        <f t="shared" si="223"/>
        <v/>
      </c>
      <c r="GZ81" s="606" t="str">
        <f>IF(AND(Q81="",AE81="",AZ81="",BW81="",CT81=""),"",IF(AND('Master Sheet'!$D$19="YES",'Marks Entry'!$BA$1=1),SUM(Q81,AE81,AZ81,BW81,DT81),SUM(Q81,AE81,AZ81,BW81,CT81)))</f>
        <v/>
      </c>
      <c r="HA81" s="209" t="str">
        <f>IF(GZ81="","",IF(AND('Master Sheet'!$D$19="YES",'Marks Entry'!$BA$1=1),GZ81/((900)-DC81)*100,GZ81/((1000)-DC81)*100))</f>
        <v/>
      </c>
      <c r="HB81" s="611" t="str">
        <f t="shared" si="350"/>
        <v/>
      </c>
      <c r="HC81" s="609" t="str">
        <f t="shared" si="351"/>
        <v/>
      </c>
      <c r="HD81" s="610" t="str">
        <f t="shared" si="352"/>
        <v/>
      </c>
      <c r="HE81" s="210" t="str">
        <f>IFERROR(IF(OR(GY81="SUPPLEMENTARY",GY81="RE-EXAM"),'Supp. Result Entry'!AS80,""),"")</f>
        <v/>
      </c>
      <c r="HF81" s="613" t="str">
        <f t="shared" si="353"/>
        <v/>
      </c>
      <c r="HG81" s="598" t="str">
        <f t="shared" si="354"/>
        <v/>
      </c>
      <c r="HH81" s="598" t="str">
        <f>IF(AND(HE81="",HF81="",HG81=""),"",IF(OR(GY81="SUPPLEMENTARY",GY81="RE-EXAM"),'Supp. Result Entry'!AS80,GY81))</f>
        <v/>
      </c>
      <c r="HI81" s="180"/>
      <c r="HY81" s="212" t="str">
        <f>IF('Supp. Result Entry'!U80="","",'Supp. Result Entry'!$U$6)</f>
        <v/>
      </c>
      <c r="HZ81" s="213" t="str">
        <f>IF('Supp. Result Entry'!X80="","",'Supp. Result Entry'!$X$6)</f>
        <v/>
      </c>
      <c r="IA81" s="213" t="str">
        <f>IF('Supp. Result Entry'!AA80="","",'Supp. Result Entry'!$AA$6)</f>
        <v/>
      </c>
      <c r="IB81" s="213" t="str">
        <f>IF('Supp. Result Entry'!AD80="","",'Supp. Result Entry'!$AD$6)</f>
        <v/>
      </c>
      <c r="IC81" s="213" t="str">
        <f>IF('Supp. Result Entry'!AG80="","",'Supp. Result Entry'!$AG$6)</f>
        <v/>
      </c>
      <c r="ID81" s="213" t="str">
        <f>IF('Supp. Result Entry'!AJ80="","",'Supp. Result Entry'!$AJ$6)</f>
        <v/>
      </c>
      <c r="IE81" s="213" t="str">
        <f>IF('Supp. Result Entry'!V80="","",'Supp. Result Entry'!V80)</f>
        <v/>
      </c>
      <c r="IF81" s="213" t="str">
        <f>IF('Supp. Result Entry'!Y80="","",'Supp. Result Entry'!Y80)</f>
        <v/>
      </c>
      <c r="IG81" s="213" t="str">
        <f>IF('Supp. Result Entry'!AB80="","",'Supp. Result Entry'!AB80)</f>
        <v/>
      </c>
      <c r="IH81" s="213" t="str">
        <f>IF('Supp. Result Entry'!AE80="","",'Supp. Result Entry'!AE80)</f>
        <v/>
      </c>
      <c r="II81" s="213" t="str">
        <f>IF('Supp. Result Entry'!AH80="","",'Supp. Result Entry'!AH80)</f>
        <v/>
      </c>
      <c r="IJ81" s="213" t="str">
        <f>IF('Supp. Result Entry'!AK80="","",'Supp. Result Entry'!AK80)</f>
        <v/>
      </c>
      <c r="IK81" s="213" t="str">
        <f>IF('Supp. Result Entry'!W80="","",'Supp. Result Entry'!W80)</f>
        <v/>
      </c>
      <c r="IL81" s="213" t="str">
        <f>IF('Supp. Result Entry'!Z80="","",'Supp. Result Entry'!Z80)</f>
        <v/>
      </c>
      <c r="IM81" s="213" t="str">
        <f>IF('Supp. Result Entry'!AC80="","",'Supp. Result Entry'!AC80)</f>
        <v/>
      </c>
      <c r="IN81" s="213" t="str">
        <f>IF('Supp. Result Entry'!AF80="","",'Supp. Result Entry'!AF80)</f>
        <v/>
      </c>
      <c r="IO81" s="213" t="str">
        <f>IF('Supp. Result Entry'!AI80="","",'Supp. Result Entry'!AI80)</f>
        <v/>
      </c>
      <c r="IP81" s="213" t="str">
        <f>IF('Supp. Result Entry'!AL80="","",'Supp. Result Entry'!AL80)</f>
        <v/>
      </c>
      <c r="IQ81" s="213">
        <f>COUNTIF('Supp. Result Entry'!K80:Q80,"S")</f>
        <v>0</v>
      </c>
      <c r="IR81" s="213">
        <f t="shared" si="355"/>
        <v>0</v>
      </c>
      <c r="IS81" s="213">
        <f t="shared" si="356"/>
        <v>0</v>
      </c>
      <c r="IT81" s="213" t="str">
        <f t="shared" si="224"/>
        <v/>
      </c>
      <c r="IU81" s="213" t="str">
        <f t="shared" si="225"/>
        <v/>
      </c>
      <c r="IV81" s="213" t="str">
        <f t="shared" si="226"/>
        <v/>
      </c>
      <c r="IW81" s="213" t="str">
        <f t="shared" si="227"/>
        <v/>
      </c>
      <c r="IX81" s="213" t="str">
        <f t="shared" si="228"/>
        <v/>
      </c>
      <c r="IY81" s="213" t="str">
        <f t="shared" si="357"/>
        <v/>
      </c>
      <c r="IZ81" s="213" t="str">
        <f t="shared" si="358"/>
        <v/>
      </c>
      <c r="JA81" s="213" t="str">
        <f t="shared" si="229"/>
        <v/>
      </c>
      <c r="JB81" s="211" t="str">
        <f t="shared" si="359"/>
        <v/>
      </c>
    </row>
    <row r="82" spans="1:262" s="211" customFormat="1" ht="21" customHeight="1">
      <c r="A82" s="184">
        <v>75</v>
      </c>
      <c r="B82" s="185" t="str">
        <f>IF('Marks Entry'!B82="","",'Marks Entry'!B82)</f>
        <v/>
      </c>
      <c r="C82" s="186" t="str">
        <f>IF('Marks Entry'!D82="","",'Marks Entry'!D82)</f>
        <v/>
      </c>
      <c r="D82" s="187" t="str">
        <f>IF('Marks Entry'!E82="","",'Marks Entry'!E82)</f>
        <v/>
      </c>
      <c r="E82" s="188" t="str">
        <f>IF('Marks Entry'!F82="","",'Marks Entry'!F82)</f>
        <v/>
      </c>
      <c r="F82" s="188" t="str">
        <f>IF('Marks Entry'!G82="","",'Marks Entry'!G82)</f>
        <v/>
      </c>
      <c r="G82" s="188" t="str">
        <f>IF('Marks Entry'!H82="","",'Marks Entry'!H82)</f>
        <v/>
      </c>
      <c r="H82" s="189" t="str">
        <f>IF('Marks Entry'!I82="","",'Marks Entry'!I82)</f>
        <v/>
      </c>
      <c r="I82" s="190" t="str">
        <f>IF('Marks Entry'!J82="","",'Marks Entry'!J82)</f>
        <v/>
      </c>
      <c r="J82" s="545" t="str">
        <f>IF('Marks Entry'!K82="","",'Marks Entry'!K82)</f>
        <v/>
      </c>
      <c r="K82" s="545" t="str">
        <f>IF('Marks Entry'!L82="","",'Marks Entry'!L82)</f>
        <v/>
      </c>
      <c r="L82" s="545" t="str">
        <f>IF('Marks Entry'!M82="","",'Marks Entry'!M82)</f>
        <v/>
      </c>
      <c r="M82" s="546" t="str">
        <f t="shared" si="230"/>
        <v/>
      </c>
      <c r="N82" s="545" t="str">
        <f>IF('Marks Entry'!N82="","",'Marks Entry'!N82)</f>
        <v/>
      </c>
      <c r="O82" s="546" t="str">
        <f t="shared" si="231"/>
        <v/>
      </c>
      <c r="P82" s="545" t="str">
        <f>IF('Marks Entry'!O82="","",'Marks Entry'!O82)</f>
        <v/>
      </c>
      <c r="Q82" s="547" t="str">
        <f t="shared" si="232"/>
        <v/>
      </c>
      <c r="R82" s="153">
        <f t="shared" si="233"/>
        <v>0</v>
      </c>
      <c r="S82" s="153">
        <f t="shared" si="234"/>
        <v>0</v>
      </c>
      <c r="T82" s="154" t="str">
        <f t="shared" si="235"/>
        <v/>
      </c>
      <c r="U82" s="153" t="str">
        <f t="shared" si="236"/>
        <v/>
      </c>
      <c r="V82" s="153" t="str">
        <f t="shared" si="237"/>
        <v/>
      </c>
      <c r="W82" s="153" t="str">
        <f t="shared" si="238"/>
        <v/>
      </c>
      <c r="X82" s="545" t="str">
        <f>IF('Marks Entry'!P82="","",'Marks Entry'!P82)</f>
        <v/>
      </c>
      <c r="Y82" s="545" t="str">
        <f>IF('Marks Entry'!Q82="","",'Marks Entry'!Q82)</f>
        <v/>
      </c>
      <c r="Z82" s="545" t="str">
        <f>IF('Marks Entry'!R82="","",'Marks Entry'!R82)</f>
        <v/>
      </c>
      <c r="AA82" s="546" t="str">
        <f t="shared" si="239"/>
        <v/>
      </c>
      <c r="AB82" s="545" t="str">
        <f>IF('Marks Entry'!S82="","",'Marks Entry'!S82)</f>
        <v/>
      </c>
      <c r="AC82" s="546" t="str">
        <f t="shared" si="240"/>
        <v/>
      </c>
      <c r="AD82" s="545" t="str">
        <f>IF('Marks Entry'!T82="","",'Marks Entry'!T82)</f>
        <v/>
      </c>
      <c r="AE82" s="547" t="str">
        <f t="shared" si="241"/>
        <v/>
      </c>
      <c r="AF82" s="153">
        <f t="shared" si="242"/>
        <v>0</v>
      </c>
      <c r="AG82" s="153">
        <f t="shared" si="243"/>
        <v>0</v>
      </c>
      <c r="AH82" s="154" t="str">
        <f t="shared" si="244"/>
        <v/>
      </c>
      <c r="AI82" s="153" t="str">
        <f t="shared" si="245"/>
        <v/>
      </c>
      <c r="AJ82" s="153" t="str">
        <f t="shared" si="246"/>
        <v/>
      </c>
      <c r="AK82" s="153" t="str">
        <f t="shared" si="247"/>
        <v/>
      </c>
      <c r="AL82" s="573" t="str">
        <f>IF('Marks Entry'!U82="","",'Marks Entry'!U82)</f>
        <v/>
      </c>
      <c r="AM82" s="573" t="str">
        <f>IF('Marks Entry'!V82="","",'Marks Entry'!V82)</f>
        <v/>
      </c>
      <c r="AN82" s="573" t="str">
        <f>IF('Marks Entry'!W82="","",'Marks Entry'!W82)</f>
        <v/>
      </c>
      <c r="AO82" s="573" t="str">
        <f>IF('Marks Entry'!X82="","",'Marks Entry'!X82)</f>
        <v/>
      </c>
      <c r="AP82" s="572" t="str">
        <f t="shared" si="248"/>
        <v/>
      </c>
      <c r="AQ82" s="573" t="str">
        <f>IF('Marks Entry'!Y82="","",'Marks Entry'!Y82)</f>
        <v/>
      </c>
      <c r="AR82" s="573" t="str">
        <f>IF('Marks Entry'!Z82="","",'Marks Entry'!Z82)</f>
        <v/>
      </c>
      <c r="AS82" s="572" t="str">
        <f t="shared" si="249"/>
        <v/>
      </c>
      <c r="AT82" s="572" t="str">
        <f t="shared" si="250"/>
        <v/>
      </c>
      <c r="AU82" s="573" t="str">
        <f>IF('Marks Entry'!AA82="","",'Marks Entry'!AA82)</f>
        <v/>
      </c>
      <c r="AV82" s="573" t="str">
        <f>IF('Marks Entry'!AB82="","",'Marks Entry'!AB82)</f>
        <v/>
      </c>
      <c r="AW82" s="572" t="str">
        <f t="shared" si="251"/>
        <v/>
      </c>
      <c r="AX82" s="157" t="str">
        <f t="shared" si="252"/>
        <v/>
      </c>
      <c r="AY82" s="157" t="str">
        <f t="shared" si="253"/>
        <v/>
      </c>
      <c r="AZ82" s="192" t="str">
        <f t="shared" si="254"/>
        <v/>
      </c>
      <c r="BA82" s="153">
        <f t="shared" si="255"/>
        <v>0</v>
      </c>
      <c r="BB82" s="154">
        <f t="shared" si="256"/>
        <v>0</v>
      </c>
      <c r="BC82" s="154" t="str">
        <f t="shared" si="257"/>
        <v/>
      </c>
      <c r="BD82" s="154" t="str">
        <f t="shared" si="258"/>
        <v/>
      </c>
      <c r="BE82" s="154" t="str">
        <f t="shared" si="259"/>
        <v/>
      </c>
      <c r="BF82" s="153" t="str">
        <f t="shared" si="260"/>
        <v/>
      </c>
      <c r="BG82" s="154" t="str">
        <f t="shared" si="261"/>
        <v/>
      </c>
      <c r="BH82" s="153" t="str">
        <f t="shared" si="262"/>
        <v/>
      </c>
      <c r="BI82" s="580" t="str">
        <f>IF('Marks Entry'!AC82="","",'Marks Entry'!AC82)</f>
        <v/>
      </c>
      <c r="BJ82" s="580" t="str">
        <f>IF('Marks Entry'!AD82="","",'Marks Entry'!AD82)</f>
        <v/>
      </c>
      <c r="BK82" s="580" t="str">
        <f>IF('Marks Entry'!AE82="","",'Marks Entry'!AE82)</f>
        <v/>
      </c>
      <c r="BL82" s="580" t="str">
        <f>IF('Marks Entry'!AF82="","",'Marks Entry'!AF82)</f>
        <v/>
      </c>
      <c r="BM82" s="581" t="str">
        <f t="shared" si="263"/>
        <v/>
      </c>
      <c r="BN82" s="580" t="str">
        <f>IF('Marks Entry'!AG82="","",'Marks Entry'!AG82)</f>
        <v/>
      </c>
      <c r="BO82" s="580" t="str">
        <f>IF('Marks Entry'!AH82="","",'Marks Entry'!AH82)</f>
        <v/>
      </c>
      <c r="BP82" s="581" t="str">
        <f t="shared" si="264"/>
        <v/>
      </c>
      <c r="BQ82" s="581" t="str">
        <f t="shared" si="265"/>
        <v/>
      </c>
      <c r="BR82" s="580" t="str">
        <f>IF('Marks Entry'!AI82="","",'Marks Entry'!AI82)</f>
        <v/>
      </c>
      <c r="BS82" s="580" t="str">
        <f>IF('Marks Entry'!AJ82="","",'Marks Entry'!AJ82)</f>
        <v/>
      </c>
      <c r="BT82" s="581" t="str">
        <f t="shared" si="266"/>
        <v/>
      </c>
      <c r="BU82" s="157" t="str">
        <f t="shared" si="267"/>
        <v/>
      </c>
      <c r="BV82" s="157" t="str">
        <f t="shared" si="268"/>
        <v/>
      </c>
      <c r="BW82" s="192" t="str">
        <f t="shared" si="269"/>
        <v/>
      </c>
      <c r="BX82" s="153">
        <f t="shared" si="270"/>
        <v>0</v>
      </c>
      <c r="BY82" s="154">
        <f t="shared" si="271"/>
        <v>0</v>
      </c>
      <c r="BZ82" s="154" t="str">
        <f t="shared" si="272"/>
        <v/>
      </c>
      <c r="CA82" s="154" t="str">
        <f t="shared" si="273"/>
        <v/>
      </c>
      <c r="CB82" s="154" t="str">
        <f t="shared" si="274"/>
        <v/>
      </c>
      <c r="CC82" s="153" t="str">
        <f t="shared" si="275"/>
        <v/>
      </c>
      <c r="CD82" s="154" t="str">
        <f t="shared" si="276"/>
        <v/>
      </c>
      <c r="CE82" s="153" t="str">
        <f t="shared" si="277"/>
        <v/>
      </c>
      <c r="CF82" s="580" t="str">
        <f>IF('Marks Entry'!AK82="","",'Marks Entry'!AK82)</f>
        <v/>
      </c>
      <c r="CG82" s="580" t="str">
        <f>IF('Marks Entry'!AL82="","",'Marks Entry'!AL82)</f>
        <v/>
      </c>
      <c r="CH82" s="580" t="str">
        <f>IF('Marks Entry'!AM82="","",'Marks Entry'!AM82)</f>
        <v/>
      </c>
      <c r="CI82" s="580" t="str">
        <f>IF('Marks Entry'!AN82="","",'Marks Entry'!AN82)</f>
        <v/>
      </c>
      <c r="CJ82" s="581" t="str">
        <f t="shared" si="278"/>
        <v/>
      </c>
      <c r="CK82" s="580" t="str">
        <f>IF('Marks Entry'!AO82="","",'Marks Entry'!AO82)</f>
        <v/>
      </c>
      <c r="CL82" s="580" t="str">
        <f>IF('Marks Entry'!AP82="","",'Marks Entry'!AP82)</f>
        <v/>
      </c>
      <c r="CM82" s="581" t="str">
        <f t="shared" si="279"/>
        <v/>
      </c>
      <c r="CN82" s="581" t="str">
        <f t="shared" si="280"/>
        <v/>
      </c>
      <c r="CO82" s="580" t="str">
        <f>IF('Marks Entry'!AQ82="","",'Marks Entry'!AQ82)</f>
        <v/>
      </c>
      <c r="CP82" s="580" t="str">
        <f>IF('Marks Entry'!AR82="","",'Marks Entry'!AR82)</f>
        <v/>
      </c>
      <c r="CQ82" s="581" t="str">
        <f t="shared" si="281"/>
        <v/>
      </c>
      <c r="CR82" s="157" t="str">
        <f t="shared" si="282"/>
        <v/>
      </c>
      <c r="CS82" s="157" t="str">
        <f t="shared" si="283"/>
        <v/>
      </c>
      <c r="CT82" s="192" t="str">
        <f t="shared" si="284"/>
        <v/>
      </c>
      <c r="CU82" s="153">
        <f t="shared" si="285"/>
        <v>0</v>
      </c>
      <c r="CV82" s="154">
        <f t="shared" si="286"/>
        <v>0</v>
      </c>
      <c r="CW82" s="154" t="str">
        <f t="shared" si="287"/>
        <v/>
      </c>
      <c r="CX82" s="154" t="str">
        <f t="shared" si="288"/>
        <v/>
      </c>
      <c r="CY82" s="154" t="str">
        <f t="shared" si="289"/>
        <v/>
      </c>
      <c r="CZ82" s="153" t="str">
        <f t="shared" si="290"/>
        <v/>
      </c>
      <c r="DA82" s="154" t="str">
        <f t="shared" si="291"/>
        <v/>
      </c>
      <c r="DB82" s="153" t="str">
        <f t="shared" si="292"/>
        <v/>
      </c>
      <c r="DC82" s="154">
        <f t="shared" si="293"/>
        <v>0</v>
      </c>
      <c r="DD82" s="826" t="str">
        <f>IF('Marks Entry'!AS82="","",IF(OR('Master Sheet'!$D$19="YES",'Marks Entry'!$BA$1=1),'Marks Entry'!AS82,""))</f>
        <v/>
      </c>
      <c r="DE82" s="826" t="str">
        <f>IF('Marks Entry'!AT82="","",IF(OR('Master Sheet'!$D$19="YES",'Marks Entry'!$BA$1=1),'Marks Entry'!AT82,""))</f>
        <v/>
      </c>
      <c r="DF82" s="826" t="str">
        <f>IF('Marks Entry'!AU82="","",IF(OR('Master Sheet'!$D$19="YES",'Marks Entry'!$BA$1=1),'Marks Entry'!AU82,""))</f>
        <v/>
      </c>
      <c r="DG82" s="826" t="str">
        <f>IF('Marks Entry'!AV82="","",IF(OR('Master Sheet'!$D$19="YES",'Marks Entry'!$BA$1=1),'Marks Entry'!AV82,""))</f>
        <v/>
      </c>
      <c r="DH82" s="827" t="str">
        <f t="shared" si="294"/>
        <v/>
      </c>
      <c r="DI82" s="826" t="str">
        <f>IF('Marks Entry'!AW82="","",IF(OR('Master Sheet'!$D$19="YES",'Marks Entry'!$BA$1=1),'Marks Entry'!AW82,""))</f>
        <v/>
      </c>
      <c r="DJ82" s="826" t="str">
        <f>IF('Marks Entry'!AX82="","",IF(OR('Master Sheet'!$D$19="YES",'Marks Entry'!$BA$1=1),'Marks Entry'!AX82,""))</f>
        <v/>
      </c>
      <c r="DK82" s="827" t="str">
        <f t="shared" si="295"/>
        <v/>
      </c>
      <c r="DL82" s="827" t="str">
        <f t="shared" si="296"/>
        <v/>
      </c>
      <c r="DM82" s="826" t="str">
        <f>IF('Marks Entry'!AY82="","",IF(OR('Master Sheet'!$D$19="YES",'Marks Entry'!$BA$1=1),'Marks Entry'!AY82,""))</f>
        <v/>
      </c>
      <c r="DN82" s="826" t="str">
        <f>IF('Marks Entry'!AZ82="","",IF(OR('Master Sheet'!$D$19="YES",'Marks Entry'!$BA$1=1),'Marks Entry'!AZ82,""))</f>
        <v/>
      </c>
      <c r="DO82" s="826" t="str">
        <f>IF('Marks Entry'!BA82="","",IF(OR('Master Sheet'!$D$19="YES",'Marks Entry'!$BA$1=1),'Marks Entry'!BA82,""))</f>
        <v/>
      </c>
      <c r="DP82" s="827" t="str">
        <f t="shared" si="297"/>
        <v/>
      </c>
      <c r="DQ82" s="157" t="str">
        <f t="shared" si="298"/>
        <v/>
      </c>
      <c r="DR82" s="157" t="str">
        <f t="shared" si="299"/>
        <v/>
      </c>
      <c r="DS82" s="157" t="str">
        <f t="shared" si="300"/>
        <v/>
      </c>
      <c r="DT82" s="192" t="str">
        <f t="shared" si="301"/>
        <v/>
      </c>
      <c r="DU82" s="153">
        <f t="shared" si="302"/>
        <v>0</v>
      </c>
      <c r="DV82" s="154" t="e">
        <f t="shared" si="303"/>
        <v>#VALUE!</v>
      </c>
      <c r="DW82" s="154" t="str">
        <f t="shared" si="304"/>
        <v/>
      </c>
      <c r="DX82" s="154" t="str">
        <f>IF(OR($B82="NSO",$B82=0,DS82=""),"",IF(AND(DJ82="",DO82=""),"",IF('Master Sheet'!$D$19="YES",$DO$6-COUNTIF(DO82,"ML")*DO$6,DS$6-(COUNTIF(DJ82,"ML")*DJ$6)-(COUNTIF(DO82,"ML")*DO$6))))</f>
        <v/>
      </c>
      <c r="DY82" s="154" t="str">
        <f>IF(OR($B82="NSO",$B82=0),"",IF(AND(DH82="",DI82="",DM82=""),"",IF(AND('Master Sheet'!$D$19="YES",'Marks Entry'!$BA$1=1),100,IF(AND(DJ82="",DO82=""),SUM(($DQ$7+$DR$7)-(DU82+DV82)),SUM(($DQ$6+$DR$6)-(DU82+DV82))))))</f>
        <v/>
      </c>
      <c r="DZ82" s="153" t="str">
        <f t="shared" si="305"/>
        <v/>
      </c>
      <c r="EA82" s="154" t="str">
        <f t="shared" si="306"/>
        <v/>
      </c>
      <c r="EB82" s="153" t="str">
        <f t="shared" si="307"/>
        <v/>
      </c>
      <c r="EC82" s="584" t="str">
        <f>IF('Marks Entry'!BB82="","",'Marks Entry'!BB82)</f>
        <v/>
      </c>
      <c r="ED82" s="584" t="str">
        <f>IF('Marks Entry'!BC82="","",'Marks Entry'!BC82)</f>
        <v/>
      </c>
      <c r="EE82" s="584" t="str">
        <f>IF('Marks Entry'!BD82="","",'Marks Entry'!BD82)</f>
        <v/>
      </c>
      <c r="EF82" s="590" t="str">
        <f t="shared" si="308"/>
        <v/>
      </c>
      <c r="EG82" s="595">
        <f t="shared" si="309"/>
        <v>0</v>
      </c>
      <c r="EH82" s="595">
        <f t="shared" si="310"/>
        <v>0</v>
      </c>
      <c r="EI82" s="193" t="str">
        <f t="shared" si="311"/>
        <v/>
      </c>
      <c r="EJ82" s="595" t="str">
        <f t="shared" si="312"/>
        <v/>
      </c>
      <c r="EK82" s="595" t="str">
        <f t="shared" si="313"/>
        <v/>
      </c>
      <c r="EL82" s="194" t="str">
        <f t="shared" si="314"/>
        <v/>
      </c>
      <c r="EM82" s="194" t="str">
        <f t="shared" si="315"/>
        <v/>
      </c>
      <c r="EN82" s="194" t="str">
        <f t="shared" si="316"/>
        <v/>
      </c>
      <c r="EO82" s="194" t="str">
        <f t="shared" si="317"/>
        <v/>
      </c>
      <c r="EP82" s="194" t="str">
        <f t="shared" si="318"/>
        <v/>
      </c>
      <c r="EQ82" s="194" t="str">
        <f t="shared" si="319"/>
        <v/>
      </c>
      <c r="ER82" s="195">
        <f t="shared" si="320"/>
        <v>0</v>
      </c>
      <c r="ES82" s="195">
        <f t="shared" si="321"/>
        <v>0</v>
      </c>
      <c r="ET82" s="195">
        <f t="shared" si="322"/>
        <v>0</v>
      </c>
      <c r="EU82" s="195">
        <f t="shared" si="323"/>
        <v>0</v>
      </c>
      <c r="EV82" s="195">
        <f t="shared" si="324"/>
        <v>0</v>
      </c>
      <c r="EW82" s="195" t="str">
        <f t="shared" si="325"/>
        <v/>
      </c>
      <c r="EX82" s="196" t="str">
        <f t="shared" si="326"/>
        <v/>
      </c>
      <c r="EY82" s="197" t="str">
        <f>IF('Marks Entry'!BE82="","",'Marks Entry'!BE82)</f>
        <v/>
      </c>
      <c r="EZ82" s="197" t="str">
        <f>IF('Marks Entry'!BF82="","",'Marks Entry'!BF82)</f>
        <v/>
      </c>
      <c r="FA82" s="197" t="str">
        <f>IF('Marks Entry'!BG82="","",'Marks Entry'!BG82)</f>
        <v/>
      </c>
      <c r="FB82" s="596" t="str">
        <f t="shared" si="327"/>
        <v/>
      </c>
      <c r="FC82" s="197" t="str">
        <f>IF('Marks Entry'!BH82="","",'Marks Entry'!BH82)</f>
        <v/>
      </c>
      <c r="FD82" s="197" t="str">
        <f>IF('Marks Entry'!BI82="","",'Marks Entry'!BI82)</f>
        <v/>
      </c>
      <c r="FE82" s="198" t="str">
        <f t="shared" si="328"/>
        <v/>
      </c>
      <c r="FF82" s="199" t="str">
        <f t="shared" si="329"/>
        <v/>
      </c>
      <c r="FG82" s="200" t="str">
        <f>IF(AND(E82=""),"",IF('Student DATA Entry'!L78="","",'Student DATA Entry'!L78))</f>
        <v/>
      </c>
      <c r="FH82" s="201" t="str">
        <f>IF(AND(E82=""),"",IF('Student DATA Entry'!M78="","",'Student DATA Entry'!M78))</f>
        <v/>
      </c>
      <c r="FI82" s="202" t="str">
        <f t="shared" si="330"/>
        <v/>
      </c>
      <c r="FJ82" s="189" t="str">
        <f t="shared" si="331"/>
        <v/>
      </c>
      <c r="FK82" s="189" t="str">
        <f t="shared" si="332"/>
        <v/>
      </c>
      <c r="FL82" s="203" t="str">
        <f t="shared" si="201"/>
        <v/>
      </c>
      <c r="FM82" s="189" t="str">
        <f t="shared" si="333"/>
        <v/>
      </c>
      <c r="FN82" s="204" t="str">
        <f t="shared" si="334"/>
        <v/>
      </c>
      <c r="FO82" s="203" t="str">
        <f t="shared" si="202"/>
        <v/>
      </c>
      <c r="FP82" s="205" t="str">
        <f t="shared" si="335"/>
        <v/>
      </c>
      <c r="FQ82" s="189" t="str">
        <f t="shared" si="203"/>
        <v/>
      </c>
      <c r="FR82" s="189" t="str">
        <f t="shared" si="204"/>
        <v/>
      </c>
      <c r="FS82" s="189" t="str">
        <f t="shared" si="205"/>
        <v/>
      </c>
      <c r="FT82" s="189" t="str">
        <f t="shared" si="206"/>
        <v/>
      </c>
      <c r="FU82" s="189" t="str">
        <f t="shared" si="336"/>
        <v/>
      </c>
      <c r="FV82" s="206" t="str">
        <f t="shared" si="207"/>
        <v/>
      </c>
      <c r="FW82" s="205" t="str">
        <f t="shared" si="337"/>
        <v/>
      </c>
      <c r="FX82" s="189" t="str">
        <f t="shared" si="208"/>
        <v/>
      </c>
      <c r="FY82" s="189" t="str">
        <f t="shared" si="209"/>
        <v/>
      </c>
      <c r="FZ82" s="189" t="str">
        <f t="shared" si="210"/>
        <v/>
      </c>
      <c r="GA82" s="189" t="str">
        <f t="shared" si="211"/>
        <v/>
      </c>
      <c r="GB82" s="189" t="str">
        <f t="shared" si="338"/>
        <v/>
      </c>
      <c r="GC82" s="206" t="str">
        <f t="shared" si="212"/>
        <v/>
      </c>
      <c r="GD82" s="205" t="str">
        <f t="shared" si="339"/>
        <v/>
      </c>
      <c r="GE82" s="189" t="str">
        <f t="shared" si="213"/>
        <v/>
      </c>
      <c r="GF82" s="189" t="str">
        <f t="shared" si="214"/>
        <v/>
      </c>
      <c r="GG82" s="189" t="str">
        <f t="shared" si="215"/>
        <v/>
      </c>
      <c r="GH82" s="189" t="str">
        <f t="shared" si="216"/>
        <v/>
      </c>
      <c r="GI82" s="189" t="str">
        <f t="shared" si="340"/>
        <v/>
      </c>
      <c r="GJ82" s="206" t="str">
        <f t="shared" si="217"/>
        <v/>
      </c>
      <c r="GK82" s="205" t="str">
        <f t="shared" si="341"/>
        <v/>
      </c>
      <c r="GL82" s="189" t="str">
        <f t="shared" si="218"/>
        <v/>
      </c>
      <c r="GM82" s="189" t="str">
        <f t="shared" si="219"/>
        <v/>
      </c>
      <c r="GN82" s="189" t="str">
        <f t="shared" si="220"/>
        <v/>
      </c>
      <c r="GO82" s="189" t="str">
        <f t="shared" si="221"/>
        <v/>
      </c>
      <c r="GP82" s="189" t="str">
        <f t="shared" si="342"/>
        <v/>
      </c>
      <c r="GQ82" s="206" t="str">
        <f t="shared" si="222"/>
        <v/>
      </c>
      <c r="GR82" s="189" t="str">
        <f t="shared" si="343"/>
        <v/>
      </c>
      <c r="GS82" s="189" t="str">
        <f t="shared" si="344"/>
        <v/>
      </c>
      <c r="GT82" s="207" t="str">
        <f t="shared" si="345"/>
        <v xml:space="preserve">    </v>
      </c>
      <c r="GU82" s="207" t="str">
        <f t="shared" si="346"/>
        <v xml:space="preserve">    </v>
      </c>
      <c r="GV82" s="207" t="str">
        <f t="shared" si="347"/>
        <v xml:space="preserve">    </v>
      </c>
      <c r="GW82" s="207" t="str">
        <f t="shared" si="348"/>
        <v xml:space="preserve">       </v>
      </c>
      <c r="GX82" s="598" t="str">
        <f t="shared" si="349"/>
        <v xml:space="preserve">     </v>
      </c>
      <c r="GY82" s="208" t="str">
        <f t="shared" si="223"/>
        <v/>
      </c>
      <c r="GZ82" s="606" t="str">
        <f>IF(AND(Q82="",AE82="",AZ82="",BW82="",CT82=""),"",IF(AND('Master Sheet'!$D$19="YES",'Marks Entry'!$BA$1=1),SUM(Q82,AE82,AZ82,BW82,DT82),SUM(Q82,AE82,AZ82,BW82,CT82)))</f>
        <v/>
      </c>
      <c r="HA82" s="209" t="str">
        <f>IF(GZ82="","",IF(AND('Master Sheet'!$D$19="YES",'Marks Entry'!$BA$1=1),GZ82/((900)-DC82)*100,GZ82/((1000)-DC82)*100))</f>
        <v/>
      </c>
      <c r="HB82" s="611" t="str">
        <f t="shared" si="350"/>
        <v/>
      </c>
      <c r="HC82" s="609" t="str">
        <f t="shared" si="351"/>
        <v/>
      </c>
      <c r="HD82" s="610" t="str">
        <f t="shared" si="352"/>
        <v/>
      </c>
      <c r="HE82" s="210" t="str">
        <f>IFERROR(IF(OR(GY82="SUPPLEMENTARY",GY82="RE-EXAM"),'Supp. Result Entry'!AS81,""),"")</f>
        <v/>
      </c>
      <c r="HF82" s="613" t="str">
        <f t="shared" si="353"/>
        <v/>
      </c>
      <c r="HG82" s="598" t="str">
        <f t="shared" si="354"/>
        <v/>
      </c>
      <c r="HH82" s="598" t="str">
        <f>IF(AND(HE82="",HF82="",HG82=""),"",IF(OR(GY82="SUPPLEMENTARY",GY82="RE-EXAM"),'Supp. Result Entry'!AS81,GY82))</f>
        <v/>
      </c>
      <c r="HI82" s="180"/>
      <c r="HY82" s="212" t="str">
        <f>IF('Supp. Result Entry'!U81="","",'Supp. Result Entry'!$U$6)</f>
        <v/>
      </c>
      <c r="HZ82" s="213" t="str">
        <f>IF('Supp. Result Entry'!X81="","",'Supp. Result Entry'!$X$6)</f>
        <v/>
      </c>
      <c r="IA82" s="213" t="str">
        <f>IF('Supp. Result Entry'!AA81="","",'Supp. Result Entry'!$AA$6)</f>
        <v/>
      </c>
      <c r="IB82" s="213" t="str">
        <f>IF('Supp. Result Entry'!AD81="","",'Supp. Result Entry'!$AD$6)</f>
        <v/>
      </c>
      <c r="IC82" s="213" t="str">
        <f>IF('Supp. Result Entry'!AG81="","",'Supp. Result Entry'!$AG$6)</f>
        <v/>
      </c>
      <c r="ID82" s="213" t="str">
        <f>IF('Supp. Result Entry'!AJ81="","",'Supp. Result Entry'!$AJ$6)</f>
        <v/>
      </c>
      <c r="IE82" s="213" t="str">
        <f>IF('Supp. Result Entry'!V81="","",'Supp. Result Entry'!V81)</f>
        <v/>
      </c>
      <c r="IF82" s="213" t="str">
        <f>IF('Supp. Result Entry'!Y81="","",'Supp. Result Entry'!Y81)</f>
        <v/>
      </c>
      <c r="IG82" s="213" t="str">
        <f>IF('Supp. Result Entry'!AB81="","",'Supp. Result Entry'!AB81)</f>
        <v/>
      </c>
      <c r="IH82" s="213" t="str">
        <f>IF('Supp. Result Entry'!AE81="","",'Supp. Result Entry'!AE81)</f>
        <v/>
      </c>
      <c r="II82" s="213" t="str">
        <f>IF('Supp. Result Entry'!AH81="","",'Supp. Result Entry'!AH81)</f>
        <v/>
      </c>
      <c r="IJ82" s="213" t="str">
        <f>IF('Supp. Result Entry'!AK81="","",'Supp. Result Entry'!AK81)</f>
        <v/>
      </c>
      <c r="IK82" s="213" t="str">
        <f>IF('Supp. Result Entry'!W81="","",'Supp. Result Entry'!W81)</f>
        <v/>
      </c>
      <c r="IL82" s="213" t="str">
        <f>IF('Supp. Result Entry'!Z81="","",'Supp. Result Entry'!Z81)</f>
        <v/>
      </c>
      <c r="IM82" s="213" t="str">
        <f>IF('Supp. Result Entry'!AC81="","",'Supp. Result Entry'!AC81)</f>
        <v/>
      </c>
      <c r="IN82" s="213" t="str">
        <f>IF('Supp. Result Entry'!AF81="","",'Supp. Result Entry'!AF81)</f>
        <v/>
      </c>
      <c r="IO82" s="213" t="str">
        <f>IF('Supp. Result Entry'!AI81="","",'Supp. Result Entry'!AI81)</f>
        <v/>
      </c>
      <c r="IP82" s="213" t="str">
        <f>IF('Supp. Result Entry'!AL81="","",'Supp. Result Entry'!AL81)</f>
        <v/>
      </c>
      <c r="IQ82" s="213">
        <f>COUNTIF('Supp. Result Entry'!K81:Q81,"S")</f>
        <v>0</v>
      </c>
      <c r="IR82" s="213">
        <f t="shared" si="355"/>
        <v>0</v>
      </c>
      <c r="IS82" s="213">
        <f t="shared" si="356"/>
        <v>0</v>
      </c>
      <c r="IT82" s="213" t="str">
        <f t="shared" si="224"/>
        <v/>
      </c>
      <c r="IU82" s="213" t="str">
        <f t="shared" si="225"/>
        <v/>
      </c>
      <c r="IV82" s="213" t="str">
        <f t="shared" si="226"/>
        <v/>
      </c>
      <c r="IW82" s="213" t="str">
        <f t="shared" si="227"/>
        <v/>
      </c>
      <c r="IX82" s="213" t="str">
        <f t="shared" si="228"/>
        <v/>
      </c>
      <c r="IY82" s="213" t="str">
        <f t="shared" si="357"/>
        <v/>
      </c>
      <c r="IZ82" s="213" t="str">
        <f t="shared" si="358"/>
        <v/>
      </c>
      <c r="JA82" s="213" t="str">
        <f t="shared" si="229"/>
        <v/>
      </c>
      <c r="JB82" s="211" t="str">
        <f t="shared" si="359"/>
        <v/>
      </c>
    </row>
    <row r="83" spans="1:262" s="211" customFormat="1" ht="21" customHeight="1">
      <c r="A83" s="184">
        <v>76</v>
      </c>
      <c r="B83" s="185" t="str">
        <f>IF('Marks Entry'!B83="","",'Marks Entry'!B83)</f>
        <v/>
      </c>
      <c r="C83" s="186" t="str">
        <f>IF('Marks Entry'!D83="","",'Marks Entry'!D83)</f>
        <v/>
      </c>
      <c r="D83" s="187" t="str">
        <f>IF('Marks Entry'!E83="","",'Marks Entry'!E83)</f>
        <v/>
      </c>
      <c r="E83" s="188" t="str">
        <f>IF('Marks Entry'!F83="","",'Marks Entry'!F83)</f>
        <v/>
      </c>
      <c r="F83" s="188" t="str">
        <f>IF('Marks Entry'!G83="","",'Marks Entry'!G83)</f>
        <v/>
      </c>
      <c r="G83" s="188" t="str">
        <f>IF('Marks Entry'!H83="","",'Marks Entry'!H83)</f>
        <v/>
      </c>
      <c r="H83" s="189" t="str">
        <f>IF('Marks Entry'!I83="","",'Marks Entry'!I83)</f>
        <v/>
      </c>
      <c r="I83" s="190" t="str">
        <f>IF('Marks Entry'!J83="","",'Marks Entry'!J83)</f>
        <v/>
      </c>
      <c r="J83" s="545" t="str">
        <f>IF('Marks Entry'!K83="","",'Marks Entry'!K83)</f>
        <v/>
      </c>
      <c r="K83" s="545" t="str">
        <f>IF('Marks Entry'!L83="","",'Marks Entry'!L83)</f>
        <v/>
      </c>
      <c r="L83" s="545" t="str">
        <f>IF('Marks Entry'!M83="","",'Marks Entry'!M83)</f>
        <v/>
      </c>
      <c r="M83" s="546" t="str">
        <f t="shared" si="230"/>
        <v/>
      </c>
      <c r="N83" s="545" t="str">
        <f>IF('Marks Entry'!N83="","",'Marks Entry'!N83)</f>
        <v/>
      </c>
      <c r="O83" s="546" t="str">
        <f t="shared" si="231"/>
        <v/>
      </c>
      <c r="P83" s="545" t="str">
        <f>IF('Marks Entry'!O83="","",'Marks Entry'!O83)</f>
        <v/>
      </c>
      <c r="Q83" s="547" t="str">
        <f t="shared" si="232"/>
        <v/>
      </c>
      <c r="R83" s="153">
        <f t="shared" si="233"/>
        <v>0</v>
      </c>
      <c r="S83" s="153">
        <f t="shared" si="234"/>
        <v>0</v>
      </c>
      <c r="T83" s="154" t="str">
        <f t="shared" si="235"/>
        <v/>
      </c>
      <c r="U83" s="153" t="str">
        <f t="shared" si="236"/>
        <v/>
      </c>
      <c r="V83" s="153" t="str">
        <f t="shared" si="237"/>
        <v/>
      </c>
      <c r="W83" s="153" t="str">
        <f t="shared" si="238"/>
        <v/>
      </c>
      <c r="X83" s="545" t="str">
        <f>IF('Marks Entry'!P83="","",'Marks Entry'!P83)</f>
        <v/>
      </c>
      <c r="Y83" s="545" t="str">
        <f>IF('Marks Entry'!Q83="","",'Marks Entry'!Q83)</f>
        <v/>
      </c>
      <c r="Z83" s="545" t="str">
        <f>IF('Marks Entry'!R83="","",'Marks Entry'!R83)</f>
        <v/>
      </c>
      <c r="AA83" s="546" t="str">
        <f t="shared" si="239"/>
        <v/>
      </c>
      <c r="AB83" s="545" t="str">
        <f>IF('Marks Entry'!S83="","",'Marks Entry'!S83)</f>
        <v/>
      </c>
      <c r="AC83" s="546" t="str">
        <f t="shared" si="240"/>
        <v/>
      </c>
      <c r="AD83" s="545" t="str">
        <f>IF('Marks Entry'!T83="","",'Marks Entry'!T83)</f>
        <v/>
      </c>
      <c r="AE83" s="547" t="str">
        <f t="shared" si="241"/>
        <v/>
      </c>
      <c r="AF83" s="153">
        <f t="shared" si="242"/>
        <v>0</v>
      </c>
      <c r="AG83" s="153">
        <f t="shared" si="243"/>
        <v>0</v>
      </c>
      <c r="AH83" s="154" t="str">
        <f t="shared" si="244"/>
        <v/>
      </c>
      <c r="AI83" s="153" t="str">
        <f t="shared" si="245"/>
        <v/>
      </c>
      <c r="AJ83" s="153" t="str">
        <f t="shared" si="246"/>
        <v/>
      </c>
      <c r="AK83" s="153" t="str">
        <f t="shared" si="247"/>
        <v/>
      </c>
      <c r="AL83" s="573" t="str">
        <f>IF('Marks Entry'!U83="","",'Marks Entry'!U83)</f>
        <v/>
      </c>
      <c r="AM83" s="573" t="str">
        <f>IF('Marks Entry'!V83="","",'Marks Entry'!V83)</f>
        <v/>
      </c>
      <c r="AN83" s="573" t="str">
        <f>IF('Marks Entry'!W83="","",'Marks Entry'!W83)</f>
        <v/>
      </c>
      <c r="AO83" s="573" t="str">
        <f>IF('Marks Entry'!X83="","",'Marks Entry'!X83)</f>
        <v/>
      </c>
      <c r="AP83" s="572" t="str">
        <f t="shared" si="248"/>
        <v/>
      </c>
      <c r="AQ83" s="573" t="str">
        <f>IF('Marks Entry'!Y83="","",'Marks Entry'!Y83)</f>
        <v/>
      </c>
      <c r="AR83" s="573" t="str">
        <f>IF('Marks Entry'!Z83="","",'Marks Entry'!Z83)</f>
        <v/>
      </c>
      <c r="AS83" s="572" t="str">
        <f t="shared" si="249"/>
        <v/>
      </c>
      <c r="AT83" s="572" t="str">
        <f t="shared" si="250"/>
        <v/>
      </c>
      <c r="AU83" s="573" t="str">
        <f>IF('Marks Entry'!AA83="","",'Marks Entry'!AA83)</f>
        <v/>
      </c>
      <c r="AV83" s="573" t="str">
        <f>IF('Marks Entry'!AB83="","",'Marks Entry'!AB83)</f>
        <v/>
      </c>
      <c r="AW83" s="572" t="str">
        <f t="shared" si="251"/>
        <v/>
      </c>
      <c r="AX83" s="157" t="str">
        <f t="shared" si="252"/>
        <v/>
      </c>
      <c r="AY83" s="157" t="str">
        <f t="shared" si="253"/>
        <v/>
      </c>
      <c r="AZ83" s="192" t="str">
        <f t="shared" si="254"/>
        <v/>
      </c>
      <c r="BA83" s="153">
        <f t="shared" si="255"/>
        <v>0</v>
      </c>
      <c r="BB83" s="154">
        <f t="shared" si="256"/>
        <v>0</v>
      </c>
      <c r="BC83" s="154" t="str">
        <f t="shared" si="257"/>
        <v/>
      </c>
      <c r="BD83" s="154" t="str">
        <f t="shared" si="258"/>
        <v/>
      </c>
      <c r="BE83" s="154" t="str">
        <f t="shared" si="259"/>
        <v/>
      </c>
      <c r="BF83" s="153" t="str">
        <f t="shared" si="260"/>
        <v/>
      </c>
      <c r="BG83" s="154" t="str">
        <f t="shared" si="261"/>
        <v/>
      </c>
      <c r="BH83" s="153" t="str">
        <f t="shared" si="262"/>
        <v/>
      </c>
      <c r="BI83" s="580" t="str">
        <f>IF('Marks Entry'!AC83="","",'Marks Entry'!AC83)</f>
        <v/>
      </c>
      <c r="BJ83" s="580" t="str">
        <f>IF('Marks Entry'!AD83="","",'Marks Entry'!AD83)</f>
        <v/>
      </c>
      <c r="BK83" s="580" t="str">
        <f>IF('Marks Entry'!AE83="","",'Marks Entry'!AE83)</f>
        <v/>
      </c>
      <c r="BL83" s="580" t="str">
        <f>IF('Marks Entry'!AF83="","",'Marks Entry'!AF83)</f>
        <v/>
      </c>
      <c r="BM83" s="581" t="str">
        <f t="shared" si="263"/>
        <v/>
      </c>
      <c r="BN83" s="580" t="str">
        <f>IF('Marks Entry'!AG83="","",'Marks Entry'!AG83)</f>
        <v/>
      </c>
      <c r="BO83" s="580" t="str">
        <f>IF('Marks Entry'!AH83="","",'Marks Entry'!AH83)</f>
        <v/>
      </c>
      <c r="BP83" s="581" t="str">
        <f t="shared" si="264"/>
        <v/>
      </c>
      <c r="BQ83" s="581" t="str">
        <f t="shared" si="265"/>
        <v/>
      </c>
      <c r="BR83" s="580" t="str">
        <f>IF('Marks Entry'!AI83="","",'Marks Entry'!AI83)</f>
        <v/>
      </c>
      <c r="BS83" s="580" t="str">
        <f>IF('Marks Entry'!AJ83="","",'Marks Entry'!AJ83)</f>
        <v/>
      </c>
      <c r="BT83" s="581" t="str">
        <f t="shared" si="266"/>
        <v/>
      </c>
      <c r="BU83" s="157" t="str">
        <f t="shared" si="267"/>
        <v/>
      </c>
      <c r="BV83" s="157" t="str">
        <f t="shared" si="268"/>
        <v/>
      </c>
      <c r="BW83" s="192" t="str">
        <f t="shared" si="269"/>
        <v/>
      </c>
      <c r="BX83" s="153">
        <f t="shared" si="270"/>
        <v>0</v>
      </c>
      <c r="BY83" s="154">
        <f t="shared" si="271"/>
        <v>0</v>
      </c>
      <c r="BZ83" s="154" t="str">
        <f t="shared" si="272"/>
        <v/>
      </c>
      <c r="CA83" s="154" t="str">
        <f t="shared" si="273"/>
        <v/>
      </c>
      <c r="CB83" s="154" t="str">
        <f t="shared" si="274"/>
        <v/>
      </c>
      <c r="CC83" s="153" t="str">
        <f t="shared" si="275"/>
        <v/>
      </c>
      <c r="CD83" s="154" t="str">
        <f t="shared" si="276"/>
        <v/>
      </c>
      <c r="CE83" s="153" t="str">
        <f t="shared" si="277"/>
        <v/>
      </c>
      <c r="CF83" s="580" t="str">
        <f>IF('Marks Entry'!AK83="","",'Marks Entry'!AK83)</f>
        <v/>
      </c>
      <c r="CG83" s="580" t="str">
        <f>IF('Marks Entry'!AL83="","",'Marks Entry'!AL83)</f>
        <v/>
      </c>
      <c r="CH83" s="580" t="str">
        <f>IF('Marks Entry'!AM83="","",'Marks Entry'!AM83)</f>
        <v/>
      </c>
      <c r="CI83" s="580" t="str">
        <f>IF('Marks Entry'!AN83="","",'Marks Entry'!AN83)</f>
        <v/>
      </c>
      <c r="CJ83" s="581" t="str">
        <f t="shared" si="278"/>
        <v/>
      </c>
      <c r="CK83" s="580" t="str">
        <f>IF('Marks Entry'!AO83="","",'Marks Entry'!AO83)</f>
        <v/>
      </c>
      <c r="CL83" s="580" t="str">
        <f>IF('Marks Entry'!AP83="","",'Marks Entry'!AP83)</f>
        <v/>
      </c>
      <c r="CM83" s="581" t="str">
        <f t="shared" si="279"/>
        <v/>
      </c>
      <c r="CN83" s="581" t="str">
        <f t="shared" si="280"/>
        <v/>
      </c>
      <c r="CO83" s="580" t="str">
        <f>IF('Marks Entry'!AQ83="","",'Marks Entry'!AQ83)</f>
        <v/>
      </c>
      <c r="CP83" s="580" t="str">
        <f>IF('Marks Entry'!AR83="","",'Marks Entry'!AR83)</f>
        <v/>
      </c>
      <c r="CQ83" s="581" t="str">
        <f t="shared" si="281"/>
        <v/>
      </c>
      <c r="CR83" s="157" t="str">
        <f t="shared" si="282"/>
        <v/>
      </c>
      <c r="CS83" s="157" t="str">
        <f t="shared" si="283"/>
        <v/>
      </c>
      <c r="CT83" s="192" t="str">
        <f t="shared" si="284"/>
        <v/>
      </c>
      <c r="CU83" s="153">
        <f t="shared" si="285"/>
        <v>0</v>
      </c>
      <c r="CV83" s="154">
        <f t="shared" si="286"/>
        <v>0</v>
      </c>
      <c r="CW83" s="154" t="str">
        <f t="shared" si="287"/>
        <v/>
      </c>
      <c r="CX83" s="154" t="str">
        <f t="shared" si="288"/>
        <v/>
      </c>
      <c r="CY83" s="154" t="str">
        <f t="shared" si="289"/>
        <v/>
      </c>
      <c r="CZ83" s="153" t="str">
        <f t="shared" si="290"/>
        <v/>
      </c>
      <c r="DA83" s="154" t="str">
        <f t="shared" si="291"/>
        <v/>
      </c>
      <c r="DB83" s="153" t="str">
        <f t="shared" si="292"/>
        <v/>
      </c>
      <c r="DC83" s="154">
        <f t="shared" si="293"/>
        <v>0</v>
      </c>
      <c r="DD83" s="826" t="str">
        <f>IF('Marks Entry'!AS83="","",IF(OR('Master Sheet'!$D$19="YES",'Marks Entry'!$BA$1=1),'Marks Entry'!AS83,""))</f>
        <v/>
      </c>
      <c r="DE83" s="826" t="str">
        <f>IF('Marks Entry'!AT83="","",IF(OR('Master Sheet'!$D$19="YES",'Marks Entry'!$BA$1=1),'Marks Entry'!AT83,""))</f>
        <v/>
      </c>
      <c r="DF83" s="826" t="str">
        <f>IF('Marks Entry'!AU83="","",IF(OR('Master Sheet'!$D$19="YES",'Marks Entry'!$BA$1=1),'Marks Entry'!AU83,""))</f>
        <v/>
      </c>
      <c r="DG83" s="826" t="str">
        <f>IF('Marks Entry'!AV83="","",IF(OR('Master Sheet'!$D$19="YES",'Marks Entry'!$BA$1=1),'Marks Entry'!AV83,""))</f>
        <v/>
      </c>
      <c r="DH83" s="827" t="str">
        <f t="shared" si="294"/>
        <v/>
      </c>
      <c r="DI83" s="826" t="str">
        <f>IF('Marks Entry'!AW83="","",IF(OR('Master Sheet'!$D$19="YES",'Marks Entry'!$BA$1=1),'Marks Entry'!AW83,""))</f>
        <v/>
      </c>
      <c r="DJ83" s="826" t="str">
        <f>IF('Marks Entry'!AX83="","",IF(OR('Master Sheet'!$D$19="YES",'Marks Entry'!$BA$1=1),'Marks Entry'!AX83,""))</f>
        <v/>
      </c>
      <c r="DK83" s="827" t="str">
        <f t="shared" si="295"/>
        <v/>
      </c>
      <c r="DL83" s="827" t="str">
        <f t="shared" si="296"/>
        <v/>
      </c>
      <c r="DM83" s="826" t="str">
        <f>IF('Marks Entry'!AY83="","",IF(OR('Master Sheet'!$D$19="YES",'Marks Entry'!$BA$1=1),'Marks Entry'!AY83,""))</f>
        <v/>
      </c>
      <c r="DN83" s="826" t="str">
        <f>IF('Marks Entry'!AZ83="","",IF(OR('Master Sheet'!$D$19="YES",'Marks Entry'!$BA$1=1),'Marks Entry'!AZ83,""))</f>
        <v/>
      </c>
      <c r="DO83" s="826" t="str">
        <f>IF('Marks Entry'!BA83="","",IF(OR('Master Sheet'!$D$19="YES",'Marks Entry'!$BA$1=1),'Marks Entry'!BA83,""))</f>
        <v/>
      </c>
      <c r="DP83" s="827" t="str">
        <f t="shared" si="297"/>
        <v/>
      </c>
      <c r="DQ83" s="157" t="str">
        <f t="shared" si="298"/>
        <v/>
      </c>
      <c r="DR83" s="157" t="str">
        <f t="shared" si="299"/>
        <v/>
      </c>
      <c r="DS83" s="157" t="str">
        <f t="shared" si="300"/>
        <v/>
      </c>
      <c r="DT83" s="192" t="str">
        <f t="shared" si="301"/>
        <v/>
      </c>
      <c r="DU83" s="153">
        <f t="shared" si="302"/>
        <v>0</v>
      </c>
      <c r="DV83" s="154" t="e">
        <f t="shared" si="303"/>
        <v>#VALUE!</v>
      </c>
      <c r="DW83" s="154" t="str">
        <f t="shared" si="304"/>
        <v/>
      </c>
      <c r="DX83" s="154" t="str">
        <f>IF(OR($B83="NSO",$B83=0,DS83=""),"",IF(AND(DJ83="",DO83=""),"",IF('Master Sheet'!$D$19="YES",$DO$6-COUNTIF(DO83,"ML")*DO$6,DS$6-(COUNTIF(DJ83,"ML")*DJ$6)-(COUNTIF(DO83,"ML")*DO$6))))</f>
        <v/>
      </c>
      <c r="DY83" s="154" t="str">
        <f>IF(OR($B83="NSO",$B83=0),"",IF(AND(DH83="",DI83="",DM83=""),"",IF(AND('Master Sheet'!$D$19="YES",'Marks Entry'!$BA$1=1),100,IF(AND(DJ83="",DO83=""),SUM(($DQ$7+$DR$7)-(DU83+DV83)),SUM(($DQ$6+$DR$6)-(DU83+DV83))))))</f>
        <v/>
      </c>
      <c r="DZ83" s="153" t="str">
        <f t="shared" si="305"/>
        <v/>
      </c>
      <c r="EA83" s="154" t="str">
        <f t="shared" si="306"/>
        <v/>
      </c>
      <c r="EB83" s="153" t="str">
        <f t="shared" si="307"/>
        <v/>
      </c>
      <c r="EC83" s="584" t="str">
        <f>IF('Marks Entry'!BB83="","",'Marks Entry'!BB83)</f>
        <v/>
      </c>
      <c r="ED83" s="584" t="str">
        <f>IF('Marks Entry'!BC83="","",'Marks Entry'!BC83)</f>
        <v/>
      </c>
      <c r="EE83" s="584" t="str">
        <f>IF('Marks Entry'!BD83="","",'Marks Entry'!BD83)</f>
        <v/>
      </c>
      <c r="EF83" s="590" t="str">
        <f t="shared" si="308"/>
        <v/>
      </c>
      <c r="EG83" s="595">
        <f t="shared" si="309"/>
        <v>0</v>
      </c>
      <c r="EH83" s="595">
        <f t="shared" si="310"/>
        <v>0</v>
      </c>
      <c r="EI83" s="193" t="str">
        <f t="shared" si="311"/>
        <v/>
      </c>
      <c r="EJ83" s="595" t="str">
        <f t="shared" si="312"/>
        <v/>
      </c>
      <c r="EK83" s="595" t="str">
        <f t="shared" si="313"/>
        <v/>
      </c>
      <c r="EL83" s="194" t="str">
        <f t="shared" si="314"/>
        <v/>
      </c>
      <c r="EM83" s="194" t="str">
        <f t="shared" si="315"/>
        <v/>
      </c>
      <c r="EN83" s="194" t="str">
        <f t="shared" si="316"/>
        <v/>
      </c>
      <c r="EO83" s="194" t="str">
        <f t="shared" si="317"/>
        <v/>
      </c>
      <c r="EP83" s="194" t="str">
        <f t="shared" si="318"/>
        <v/>
      </c>
      <c r="EQ83" s="194" t="str">
        <f t="shared" si="319"/>
        <v/>
      </c>
      <c r="ER83" s="195">
        <f t="shared" si="320"/>
        <v>0</v>
      </c>
      <c r="ES83" s="195">
        <f t="shared" si="321"/>
        <v>0</v>
      </c>
      <c r="ET83" s="195">
        <f t="shared" si="322"/>
        <v>0</v>
      </c>
      <c r="EU83" s="195">
        <f t="shared" si="323"/>
        <v>0</v>
      </c>
      <c r="EV83" s="195">
        <f t="shared" si="324"/>
        <v>0</v>
      </c>
      <c r="EW83" s="195" t="str">
        <f t="shared" si="325"/>
        <v/>
      </c>
      <c r="EX83" s="196" t="str">
        <f t="shared" si="326"/>
        <v/>
      </c>
      <c r="EY83" s="197" t="str">
        <f>IF('Marks Entry'!BE83="","",'Marks Entry'!BE83)</f>
        <v/>
      </c>
      <c r="EZ83" s="197" t="str">
        <f>IF('Marks Entry'!BF83="","",'Marks Entry'!BF83)</f>
        <v/>
      </c>
      <c r="FA83" s="197" t="str">
        <f>IF('Marks Entry'!BG83="","",'Marks Entry'!BG83)</f>
        <v/>
      </c>
      <c r="FB83" s="596" t="str">
        <f t="shared" si="327"/>
        <v/>
      </c>
      <c r="FC83" s="197" t="str">
        <f>IF('Marks Entry'!BH83="","",'Marks Entry'!BH83)</f>
        <v/>
      </c>
      <c r="FD83" s="197" t="str">
        <f>IF('Marks Entry'!BI83="","",'Marks Entry'!BI83)</f>
        <v/>
      </c>
      <c r="FE83" s="198" t="str">
        <f t="shared" si="328"/>
        <v/>
      </c>
      <c r="FF83" s="199" t="str">
        <f t="shared" si="329"/>
        <v/>
      </c>
      <c r="FG83" s="200" t="str">
        <f>IF(AND(E83=""),"",IF('Student DATA Entry'!L79="","",'Student DATA Entry'!L79))</f>
        <v/>
      </c>
      <c r="FH83" s="201" t="str">
        <f>IF(AND(E83=""),"",IF('Student DATA Entry'!M79="","",'Student DATA Entry'!M79))</f>
        <v/>
      </c>
      <c r="FI83" s="202" t="str">
        <f t="shared" si="330"/>
        <v/>
      </c>
      <c r="FJ83" s="189" t="str">
        <f t="shared" si="331"/>
        <v/>
      </c>
      <c r="FK83" s="189" t="str">
        <f t="shared" si="332"/>
        <v/>
      </c>
      <c r="FL83" s="203" t="str">
        <f t="shared" si="201"/>
        <v/>
      </c>
      <c r="FM83" s="189" t="str">
        <f t="shared" si="333"/>
        <v/>
      </c>
      <c r="FN83" s="204" t="str">
        <f t="shared" si="334"/>
        <v/>
      </c>
      <c r="FO83" s="203" t="str">
        <f t="shared" si="202"/>
        <v/>
      </c>
      <c r="FP83" s="205" t="str">
        <f t="shared" si="335"/>
        <v/>
      </c>
      <c r="FQ83" s="189" t="str">
        <f t="shared" si="203"/>
        <v/>
      </c>
      <c r="FR83" s="189" t="str">
        <f t="shared" si="204"/>
        <v/>
      </c>
      <c r="FS83" s="189" t="str">
        <f t="shared" si="205"/>
        <v/>
      </c>
      <c r="FT83" s="189" t="str">
        <f t="shared" si="206"/>
        <v/>
      </c>
      <c r="FU83" s="189" t="str">
        <f t="shared" si="336"/>
        <v/>
      </c>
      <c r="FV83" s="206" t="str">
        <f t="shared" si="207"/>
        <v/>
      </c>
      <c r="FW83" s="205" t="str">
        <f t="shared" si="337"/>
        <v/>
      </c>
      <c r="FX83" s="189" t="str">
        <f t="shared" si="208"/>
        <v/>
      </c>
      <c r="FY83" s="189" t="str">
        <f t="shared" si="209"/>
        <v/>
      </c>
      <c r="FZ83" s="189" t="str">
        <f t="shared" si="210"/>
        <v/>
      </c>
      <c r="GA83" s="189" t="str">
        <f t="shared" si="211"/>
        <v/>
      </c>
      <c r="GB83" s="189" t="str">
        <f t="shared" si="338"/>
        <v/>
      </c>
      <c r="GC83" s="206" t="str">
        <f t="shared" si="212"/>
        <v/>
      </c>
      <c r="GD83" s="205" t="str">
        <f t="shared" si="339"/>
        <v/>
      </c>
      <c r="GE83" s="189" t="str">
        <f t="shared" si="213"/>
        <v/>
      </c>
      <c r="GF83" s="189" t="str">
        <f t="shared" si="214"/>
        <v/>
      </c>
      <c r="GG83" s="189" t="str">
        <f t="shared" si="215"/>
        <v/>
      </c>
      <c r="GH83" s="189" t="str">
        <f t="shared" si="216"/>
        <v/>
      </c>
      <c r="GI83" s="189" t="str">
        <f t="shared" si="340"/>
        <v/>
      </c>
      <c r="GJ83" s="206" t="str">
        <f t="shared" si="217"/>
        <v/>
      </c>
      <c r="GK83" s="205" t="str">
        <f t="shared" si="341"/>
        <v/>
      </c>
      <c r="GL83" s="189" t="str">
        <f t="shared" si="218"/>
        <v/>
      </c>
      <c r="GM83" s="189" t="str">
        <f t="shared" si="219"/>
        <v/>
      </c>
      <c r="GN83" s="189" t="str">
        <f t="shared" si="220"/>
        <v/>
      </c>
      <c r="GO83" s="189" t="str">
        <f t="shared" si="221"/>
        <v/>
      </c>
      <c r="GP83" s="189" t="str">
        <f t="shared" si="342"/>
        <v/>
      </c>
      <c r="GQ83" s="206" t="str">
        <f t="shared" si="222"/>
        <v/>
      </c>
      <c r="GR83" s="189" t="str">
        <f t="shared" si="343"/>
        <v/>
      </c>
      <c r="GS83" s="189" t="str">
        <f t="shared" si="344"/>
        <v/>
      </c>
      <c r="GT83" s="207" t="str">
        <f t="shared" si="345"/>
        <v xml:space="preserve">    </v>
      </c>
      <c r="GU83" s="207" t="str">
        <f t="shared" si="346"/>
        <v xml:space="preserve">    </v>
      </c>
      <c r="GV83" s="207" t="str">
        <f t="shared" si="347"/>
        <v xml:space="preserve">    </v>
      </c>
      <c r="GW83" s="207" t="str">
        <f t="shared" si="348"/>
        <v xml:space="preserve">       </v>
      </c>
      <c r="GX83" s="598" t="str">
        <f t="shared" si="349"/>
        <v xml:space="preserve">     </v>
      </c>
      <c r="GY83" s="208" t="str">
        <f t="shared" si="223"/>
        <v/>
      </c>
      <c r="GZ83" s="606" t="str">
        <f>IF(AND(Q83="",AE83="",AZ83="",BW83="",CT83=""),"",IF(AND('Master Sheet'!$D$19="YES",'Marks Entry'!$BA$1=1),SUM(Q83,AE83,AZ83,BW83,DT83),SUM(Q83,AE83,AZ83,BW83,CT83)))</f>
        <v/>
      </c>
      <c r="HA83" s="209" t="str">
        <f>IF(GZ83="","",IF(AND('Master Sheet'!$D$19="YES",'Marks Entry'!$BA$1=1),GZ83/((900)-DC83)*100,GZ83/((1000)-DC83)*100))</f>
        <v/>
      </c>
      <c r="HB83" s="611" t="str">
        <f t="shared" si="350"/>
        <v/>
      </c>
      <c r="HC83" s="609" t="str">
        <f t="shared" si="351"/>
        <v/>
      </c>
      <c r="HD83" s="610" t="str">
        <f t="shared" si="352"/>
        <v/>
      </c>
      <c r="HE83" s="210" t="str">
        <f>IFERROR(IF(OR(GY83="SUPPLEMENTARY",GY83="RE-EXAM"),'Supp. Result Entry'!AS82,""),"")</f>
        <v/>
      </c>
      <c r="HF83" s="613" t="str">
        <f t="shared" si="353"/>
        <v/>
      </c>
      <c r="HG83" s="598" t="str">
        <f t="shared" si="354"/>
        <v/>
      </c>
      <c r="HH83" s="598" t="str">
        <f>IF(AND(HE83="",HF83="",HG83=""),"",IF(OR(GY83="SUPPLEMENTARY",GY83="RE-EXAM"),'Supp. Result Entry'!AS82,GY83))</f>
        <v/>
      </c>
      <c r="HI83" s="180"/>
      <c r="HY83" s="212" t="str">
        <f>IF('Supp. Result Entry'!U82="","",'Supp. Result Entry'!$U$6)</f>
        <v/>
      </c>
      <c r="HZ83" s="213" t="str">
        <f>IF('Supp. Result Entry'!X82="","",'Supp. Result Entry'!$X$6)</f>
        <v/>
      </c>
      <c r="IA83" s="213" t="str">
        <f>IF('Supp. Result Entry'!AA82="","",'Supp. Result Entry'!$AA$6)</f>
        <v/>
      </c>
      <c r="IB83" s="213" t="str">
        <f>IF('Supp. Result Entry'!AD82="","",'Supp. Result Entry'!$AD$6)</f>
        <v/>
      </c>
      <c r="IC83" s="213" t="str">
        <f>IF('Supp. Result Entry'!AG82="","",'Supp. Result Entry'!$AG$6)</f>
        <v/>
      </c>
      <c r="ID83" s="213" t="str">
        <f>IF('Supp. Result Entry'!AJ82="","",'Supp. Result Entry'!$AJ$6)</f>
        <v/>
      </c>
      <c r="IE83" s="213" t="str">
        <f>IF('Supp. Result Entry'!V82="","",'Supp. Result Entry'!V82)</f>
        <v/>
      </c>
      <c r="IF83" s="213" t="str">
        <f>IF('Supp. Result Entry'!Y82="","",'Supp. Result Entry'!Y82)</f>
        <v/>
      </c>
      <c r="IG83" s="213" t="str">
        <f>IF('Supp. Result Entry'!AB82="","",'Supp. Result Entry'!AB82)</f>
        <v/>
      </c>
      <c r="IH83" s="213" t="str">
        <f>IF('Supp. Result Entry'!AE82="","",'Supp. Result Entry'!AE82)</f>
        <v/>
      </c>
      <c r="II83" s="213" t="str">
        <f>IF('Supp. Result Entry'!AH82="","",'Supp. Result Entry'!AH82)</f>
        <v/>
      </c>
      <c r="IJ83" s="213" t="str">
        <f>IF('Supp. Result Entry'!AK82="","",'Supp. Result Entry'!AK82)</f>
        <v/>
      </c>
      <c r="IK83" s="213" t="str">
        <f>IF('Supp. Result Entry'!W82="","",'Supp. Result Entry'!W82)</f>
        <v/>
      </c>
      <c r="IL83" s="213" t="str">
        <f>IF('Supp. Result Entry'!Z82="","",'Supp. Result Entry'!Z82)</f>
        <v/>
      </c>
      <c r="IM83" s="213" t="str">
        <f>IF('Supp. Result Entry'!AC82="","",'Supp. Result Entry'!AC82)</f>
        <v/>
      </c>
      <c r="IN83" s="213" t="str">
        <f>IF('Supp. Result Entry'!AF82="","",'Supp. Result Entry'!AF82)</f>
        <v/>
      </c>
      <c r="IO83" s="213" t="str">
        <f>IF('Supp. Result Entry'!AI82="","",'Supp. Result Entry'!AI82)</f>
        <v/>
      </c>
      <c r="IP83" s="213" t="str">
        <f>IF('Supp. Result Entry'!AL82="","",'Supp. Result Entry'!AL82)</f>
        <v/>
      </c>
      <c r="IQ83" s="213">
        <f>COUNTIF('Supp. Result Entry'!K82:Q82,"S")</f>
        <v>0</v>
      </c>
      <c r="IR83" s="213">
        <f t="shared" si="355"/>
        <v>0</v>
      </c>
      <c r="IS83" s="213">
        <f t="shared" si="356"/>
        <v>0</v>
      </c>
      <c r="IT83" s="213" t="str">
        <f t="shared" si="224"/>
        <v/>
      </c>
      <c r="IU83" s="213" t="str">
        <f t="shared" si="225"/>
        <v/>
      </c>
      <c r="IV83" s="213" t="str">
        <f t="shared" si="226"/>
        <v/>
      </c>
      <c r="IW83" s="213" t="str">
        <f t="shared" si="227"/>
        <v/>
      </c>
      <c r="IX83" s="213" t="str">
        <f t="shared" si="228"/>
        <v/>
      </c>
      <c r="IY83" s="213" t="str">
        <f t="shared" si="357"/>
        <v/>
      </c>
      <c r="IZ83" s="213" t="str">
        <f t="shared" si="358"/>
        <v/>
      </c>
      <c r="JA83" s="213" t="str">
        <f t="shared" si="229"/>
        <v/>
      </c>
      <c r="JB83" s="211" t="str">
        <f t="shared" si="359"/>
        <v/>
      </c>
    </row>
    <row r="84" spans="1:262" s="211" customFormat="1" ht="21" customHeight="1">
      <c r="A84" s="184">
        <v>77</v>
      </c>
      <c r="B84" s="185" t="str">
        <f>IF('Marks Entry'!B84="","",'Marks Entry'!B84)</f>
        <v/>
      </c>
      <c r="C84" s="186" t="str">
        <f>IF('Marks Entry'!D84="","",'Marks Entry'!D84)</f>
        <v/>
      </c>
      <c r="D84" s="187" t="str">
        <f>IF('Marks Entry'!E84="","",'Marks Entry'!E84)</f>
        <v/>
      </c>
      <c r="E84" s="188" t="str">
        <f>IF('Marks Entry'!F84="","",'Marks Entry'!F84)</f>
        <v/>
      </c>
      <c r="F84" s="188" t="str">
        <f>IF('Marks Entry'!G84="","",'Marks Entry'!G84)</f>
        <v/>
      </c>
      <c r="G84" s="188" t="str">
        <f>IF('Marks Entry'!H84="","",'Marks Entry'!H84)</f>
        <v/>
      </c>
      <c r="H84" s="189" t="str">
        <f>IF('Marks Entry'!I84="","",'Marks Entry'!I84)</f>
        <v/>
      </c>
      <c r="I84" s="190" t="str">
        <f>IF('Marks Entry'!J84="","",'Marks Entry'!J84)</f>
        <v/>
      </c>
      <c r="J84" s="545" t="str">
        <f>IF('Marks Entry'!K84="","",'Marks Entry'!K84)</f>
        <v/>
      </c>
      <c r="K84" s="545" t="str">
        <f>IF('Marks Entry'!L84="","",'Marks Entry'!L84)</f>
        <v/>
      </c>
      <c r="L84" s="545" t="str">
        <f>IF('Marks Entry'!M84="","",'Marks Entry'!M84)</f>
        <v/>
      </c>
      <c r="M84" s="546" t="str">
        <f t="shared" si="230"/>
        <v/>
      </c>
      <c r="N84" s="545" t="str">
        <f>IF('Marks Entry'!N84="","",'Marks Entry'!N84)</f>
        <v/>
      </c>
      <c r="O84" s="546" t="str">
        <f t="shared" si="231"/>
        <v/>
      </c>
      <c r="P84" s="545" t="str">
        <f>IF('Marks Entry'!O84="","",'Marks Entry'!O84)</f>
        <v/>
      </c>
      <c r="Q84" s="547" t="str">
        <f t="shared" si="232"/>
        <v/>
      </c>
      <c r="R84" s="153">
        <f t="shared" si="233"/>
        <v>0</v>
      </c>
      <c r="S84" s="153">
        <f t="shared" si="234"/>
        <v>0</v>
      </c>
      <c r="T84" s="154" t="str">
        <f t="shared" si="235"/>
        <v/>
      </c>
      <c r="U84" s="153" t="str">
        <f t="shared" si="236"/>
        <v/>
      </c>
      <c r="V84" s="153" t="str">
        <f t="shared" si="237"/>
        <v/>
      </c>
      <c r="W84" s="153" t="str">
        <f t="shared" si="238"/>
        <v/>
      </c>
      <c r="X84" s="545" t="str">
        <f>IF('Marks Entry'!P84="","",'Marks Entry'!P84)</f>
        <v/>
      </c>
      <c r="Y84" s="545" t="str">
        <f>IF('Marks Entry'!Q84="","",'Marks Entry'!Q84)</f>
        <v/>
      </c>
      <c r="Z84" s="545" t="str">
        <f>IF('Marks Entry'!R84="","",'Marks Entry'!R84)</f>
        <v/>
      </c>
      <c r="AA84" s="546" t="str">
        <f t="shared" si="239"/>
        <v/>
      </c>
      <c r="AB84" s="545" t="str">
        <f>IF('Marks Entry'!S84="","",'Marks Entry'!S84)</f>
        <v/>
      </c>
      <c r="AC84" s="546" t="str">
        <f t="shared" si="240"/>
        <v/>
      </c>
      <c r="AD84" s="545" t="str">
        <f>IF('Marks Entry'!T84="","",'Marks Entry'!T84)</f>
        <v/>
      </c>
      <c r="AE84" s="547" t="str">
        <f t="shared" si="241"/>
        <v/>
      </c>
      <c r="AF84" s="153">
        <f t="shared" si="242"/>
        <v>0</v>
      </c>
      <c r="AG84" s="153">
        <f t="shared" si="243"/>
        <v>0</v>
      </c>
      <c r="AH84" s="154" t="str">
        <f t="shared" si="244"/>
        <v/>
      </c>
      <c r="AI84" s="153" t="str">
        <f t="shared" si="245"/>
        <v/>
      </c>
      <c r="AJ84" s="153" t="str">
        <f t="shared" si="246"/>
        <v/>
      </c>
      <c r="AK84" s="153" t="str">
        <f t="shared" si="247"/>
        <v/>
      </c>
      <c r="AL84" s="573" t="str">
        <f>IF('Marks Entry'!U84="","",'Marks Entry'!U84)</f>
        <v/>
      </c>
      <c r="AM84" s="573" t="str">
        <f>IF('Marks Entry'!V84="","",'Marks Entry'!V84)</f>
        <v/>
      </c>
      <c r="AN84" s="573" t="str">
        <f>IF('Marks Entry'!W84="","",'Marks Entry'!W84)</f>
        <v/>
      </c>
      <c r="AO84" s="573" t="str">
        <f>IF('Marks Entry'!X84="","",'Marks Entry'!X84)</f>
        <v/>
      </c>
      <c r="AP84" s="572" t="str">
        <f t="shared" si="248"/>
        <v/>
      </c>
      <c r="AQ84" s="573" t="str">
        <f>IF('Marks Entry'!Y84="","",'Marks Entry'!Y84)</f>
        <v/>
      </c>
      <c r="AR84" s="573" t="str">
        <f>IF('Marks Entry'!Z84="","",'Marks Entry'!Z84)</f>
        <v/>
      </c>
      <c r="AS84" s="572" t="str">
        <f t="shared" si="249"/>
        <v/>
      </c>
      <c r="AT84" s="572" t="str">
        <f t="shared" si="250"/>
        <v/>
      </c>
      <c r="AU84" s="573" t="str">
        <f>IF('Marks Entry'!AA84="","",'Marks Entry'!AA84)</f>
        <v/>
      </c>
      <c r="AV84" s="573" t="str">
        <f>IF('Marks Entry'!AB84="","",'Marks Entry'!AB84)</f>
        <v/>
      </c>
      <c r="AW84" s="572" t="str">
        <f t="shared" si="251"/>
        <v/>
      </c>
      <c r="AX84" s="157" t="str">
        <f t="shared" si="252"/>
        <v/>
      </c>
      <c r="AY84" s="157" t="str">
        <f t="shared" si="253"/>
        <v/>
      </c>
      <c r="AZ84" s="192" t="str">
        <f t="shared" si="254"/>
        <v/>
      </c>
      <c r="BA84" s="153">
        <f t="shared" si="255"/>
        <v>0</v>
      </c>
      <c r="BB84" s="154">
        <f t="shared" si="256"/>
        <v>0</v>
      </c>
      <c r="BC84" s="154" t="str">
        <f t="shared" si="257"/>
        <v/>
      </c>
      <c r="BD84" s="154" t="str">
        <f t="shared" si="258"/>
        <v/>
      </c>
      <c r="BE84" s="154" t="str">
        <f t="shared" si="259"/>
        <v/>
      </c>
      <c r="BF84" s="153" t="str">
        <f t="shared" si="260"/>
        <v/>
      </c>
      <c r="BG84" s="154" t="str">
        <f t="shared" si="261"/>
        <v/>
      </c>
      <c r="BH84" s="153" t="str">
        <f t="shared" si="262"/>
        <v/>
      </c>
      <c r="BI84" s="580" t="str">
        <f>IF('Marks Entry'!AC84="","",'Marks Entry'!AC84)</f>
        <v/>
      </c>
      <c r="BJ84" s="580" t="str">
        <f>IF('Marks Entry'!AD84="","",'Marks Entry'!AD84)</f>
        <v/>
      </c>
      <c r="BK84" s="580" t="str">
        <f>IF('Marks Entry'!AE84="","",'Marks Entry'!AE84)</f>
        <v/>
      </c>
      <c r="BL84" s="580" t="str">
        <f>IF('Marks Entry'!AF84="","",'Marks Entry'!AF84)</f>
        <v/>
      </c>
      <c r="BM84" s="581" t="str">
        <f t="shared" si="263"/>
        <v/>
      </c>
      <c r="BN84" s="580" t="str">
        <f>IF('Marks Entry'!AG84="","",'Marks Entry'!AG84)</f>
        <v/>
      </c>
      <c r="BO84" s="580" t="str">
        <f>IF('Marks Entry'!AH84="","",'Marks Entry'!AH84)</f>
        <v/>
      </c>
      <c r="BP84" s="581" t="str">
        <f t="shared" si="264"/>
        <v/>
      </c>
      <c r="BQ84" s="581" t="str">
        <f t="shared" si="265"/>
        <v/>
      </c>
      <c r="BR84" s="580" t="str">
        <f>IF('Marks Entry'!AI84="","",'Marks Entry'!AI84)</f>
        <v/>
      </c>
      <c r="BS84" s="580" t="str">
        <f>IF('Marks Entry'!AJ84="","",'Marks Entry'!AJ84)</f>
        <v/>
      </c>
      <c r="BT84" s="581" t="str">
        <f t="shared" si="266"/>
        <v/>
      </c>
      <c r="BU84" s="157" t="str">
        <f t="shared" si="267"/>
        <v/>
      </c>
      <c r="BV84" s="157" t="str">
        <f t="shared" si="268"/>
        <v/>
      </c>
      <c r="BW84" s="192" t="str">
        <f t="shared" si="269"/>
        <v/>
      </c>
      <c r="BX84" s="153">
        <f t="shared" si="270"/>
        <v>0</v>
      </c>
      <c r="BY84" s="154">
        <f t="shared" si="271"/>
        <v>0</v>
      </c>
      <c r="BZ84" s="154" t="str">
        <f t="shared" si="272"/>
        <v/>
      </c>
      <c r="CA84" s="154" t="str">
        <f t="shared" si="273"/>
        <v/>
      </c>
      <c r="CB84" s="154" t="str">
        <f t="shared" si="274"/>
        <v/>
      </c>
      <c r="CC84" s="153" t="str">
        <f t="shared" si="275"/>
        <v/>
      </c>
      <c r="CD84" s="154" t="str">
        <f t="shared" si="276"/>
        <v/>
      </c>
      <c r="CE84" s="153" t="str">
        <f t="shared" si="277"/>
        <v/>
      </c>
      <c r="CF84" s="580" t="str">
        <f>IF('Marks Entry'!AK84="","",'Marks Entry'!AK84)</f>
        <v/>
      </c>
      <c r="CG84" s="580" t="str">
        <f>IF('Marks Entry'!AL84="","",'Marks Entry'!AL84)</f>
        <v/>
      </c>
      <c r="CH84" s="580" t="str">
        <f>IF('Marks Entry'!AM84="","",'Marks Entry'!AM84)</f>
        <v/>
      </c>
      <c r="CI84" s="580" t="str">
        <f>IF('Marks Entry'!AN84="","",'Marks Entry'!AN84)</f>
        <v/>
      </c>
      <c r="CJ84" s="581" t="str">
        <f t="shared" si="278"/>
        <v/>
      </c>
      <c r="CK84" s="580" t="str">
        <f>IF('Marks Entry'!AO84="","",'Marks Entry'!AO84)</f>
        <v/>
      </c>
      <c r="CL84" s="580" t="str">
        <f>IF('Marks Entry'!AP84="","",'Marks Entry'!AP84)</f>
        <v/>
      </c>
      <c r="CM84" s="581" t="str">
        <f t="shared" si="279"/>
        <v/>
      </c>
      <c r="CN84" s="581" t="str">
        <f t="shared" si="280"/>
        <v/>
      </c>
      <c r="CO84" s="580" t="str">
        <f>IF('Marks Entry'!AQ84="","",'Marks Entry'!AQ84)</f>
        <v/>
      </c>
      <c r="CP84" s="580" t="str">
        <f>IF('Marks Entry'!AR84="","",'Marks Entry'!AR84)</f>
        <v/>
      </c>
      <c r="CQ84" s="581" t="str">
        <f t="shared" si="281"/>
        <v/>
      </c>
      <c r="CR84" s="157" t="str">
        <f t="shared" si="282"/>
        <v/>
      </c>
      <c r="CS84" s="157" t="str">
        <f t="shared" si="283"/>
        <v/>
      </c>
      <c r="CT84" s="192" t="str">
        <f t="shared" si="284"/>
        <v/>
      </c>
      <c r="CU84" s="153">
        <f t="shared" si="285"/>
        <v>0</v>
      </c>
      <c r="CV84" s="154">
        <f t="shared" si="286"/>
        <v>0</v>
      </c>
      <c r="CW84" s="154" t="str">
        <f t="shared" si="287"/>
        <v/>
      </c>
      <c r="CX84" s="154" t="str">
        <f t="shared" si="288"/>
        <v/>
      </c>
      <c r="CY84" s="154" t="str">
        <f t="shared" si="289"/>
        <v/>
      </c>
      <c r="CZ84" s="153" t="str">
        <f t="shared" si="290"/>
        <v/>
      </c>
      <c r="DA84" s="154" t="str">
        <f t="shared" si="291"/>
        <v/>
      </c>
      <c r="DB84" s="153" t="str">
        <f t="shared" si="292"/>
        <v/>
      </c>
      <c r="DC84" s="154">
        <f t="shared" si="293"/>
        <v>0</v>
      </c>
      <c r="DD84" s="826" t="str">
        <f>IF('Marks Entry'!AS84="","",IF(OR('Master Sheet'!$D$19="YES",'Marks Entry'!$BA$1=1),'Marks Entry'!AS84,""))</f>
        <v/>
      </c>
      <c r="DE84" s="826" t="str">
        <f>IF('Marks Entry'!AT84="","",IF(OR('Master Sheet'!$D$19="YES",'Marks Entry'!$BA$1=1),'Marks Entry'!AT84,""))</f>
        <v/>
      </c>
      <c r="DF84" s="826" t="str">
        <f>IF('Marks Entry'!AU84="","",IF(OR('Master Sheet'!$D$19="YES",'Marks Entry'!$BA$1=1),'Marks Entry'!AU84,""))</f>
        <v/>
      </c>
      <c r="DG84" s="826" t="str">
        <f>IF('Marks Entry'!AV84="","",IF(OR('Master Sheet'!$D$19="YES",'Marks Entry'!$BA$1=1),'Marks Entry'!AV84,""))</f>
        <v/>
      </c>
      <c r="DH84" s="827" t="str">
        <f t="shared" si="294"/>
        <v/>
      </c>
      <c r="DI84" s="826" t="str">
        <f>IF('Marks Entry'!AW84="","",IF(OR('Master Sheet'!$D$19="YES",'Marks Entry'!$BA$1=1),'Marks Entry'!AW84,""))</f>
        <v/>
      </c>
      <c r="DJ84" s="826" t="str">
        <f>IF('Marks Entry'!AX84="","",IF(OR('Master Sheet'!$D$19="YES",'Marks Entry'!$BA$1=1),'Marks Entry'!AX84,""))</f>
        <v/>
      </c>
      <c r="DK84" s="827" t="str">
        <f t="shared" si="295"/>
        <v/>
      </c>
      <c r="DL84" s="827" t="str">
        <f t="shared" si="296"/>
        <v/>
      </c>
      <c r="DM84" s="826" t="str">
        <f>IF('Marks Entry'!AY84="","",IF(OR('Master Sheet'!$D$19="YES",'Marks Entry'!$BA$1=1),'Marks Entry'!AY84,""))</f>
        <v/>
      </c>
      <c r="DN84" s="826" t="str">
        <f>IF('Marks Entry'!AZ84="","",IF(OR('Master Sheet'!$D$19="YES",'Marks Entry'!$BA$1=1),'Marks Entry'!AZ84,""))</f>
        <v/>
      </c>
      <c r="DO84" s="826" t="str">
        <f>IF('Marks Entry'!BA84="","",IF(OR('Master Sheet'!$D$19="YES",'Marks Entry'!$BA$1=1),'Marks Entry'!BA84,""))</f>
        <v/>
      </c>
      <c r="DP84" s="827" t="str">
        <f t="shared" si="297"/>
        <v/>
      </c>
      <c r="DQ84" s="157" t="str">
        <f t="shared" si="298"/>
        <v/>
      </c>
      <c r="DR84" s="157" t="str">
        <f t="shared" si="299"/>
        <v/>
      </c>
      <c r="DS84" s="157" t="str">
        <f t="shared" si="300"/>
        <v/>
      </c>
      <c r="DT84" s="192" t="str">
        <f t="shared" si="301"/>
        <v/>
      </c>
      <c r="DU84" s="153">
        <f t="shared" si="302"/>
        <v>0</v>
      </c>
      <c r="DV84" s="154" t="e">
        <f t="shared" si="303"/>
        <v>#VALUE!</v>
      </c>
      <c r="DW84" s="154" t="str">
        <f t="shared" si="304"/>
        <v/>
      </c>
      <c r="DX84" s="154" t="str">
        <f>IF(OR($B84="NSO",$B84=0,DS84=""),"",IF(AND(DJ84="",DO84=""),"",IF('Master Sheet'!$D$19="YES",$DO$6-COUNTIF(DO84,"ML")*DO$6,DS$6-(COUNTIF(DJ84,"ML")*DJ$6)-(COUNTIF(DO84,"ML")*DO$6))))</f>
        <v/>
      </c>
      <c r="DY84" s="154" t="str">
        <f>IF(OR($B84="NSO",$B84=0),"",IF(AND(DH84="",DI84="",DM84=""),"",IF(AND('Master Sheet'!$D$19="YES",'Marks Entry'!$BA$1=1),100,IF(AND(DJ84="",DO84=""),SUM(($DQ$7+$DR$7)-(DU84+DV84)),SUM(($DQ$6+$DR$6)-(DU84+DV84))))))</f>
        <v/>
      </c>
      <c r="DZ84" s="153" t="str">
        <f t="shared" si="305"/>
        <v/>
      </c>
      <c r="EA84" s="154" t="str">
        <f t="shared" si="306"/>
        <v/>
      </c>
      <c r="EB84" s="153" t="str">
        <f t="shared" si="307"/>
        <v/>
      </c>
      <c r="EC84" s="584" t="str">
        <f>IF('Marks Entry'!BB84="","",'Marks Entry'!BB84)</f>
        <v/>
      </c>
      <c r="ED84" s="584" t="str">
        <f>IF('Marks Entry'!BC84="","",'Marks Entry'!BC84)</f>
        <v/>
      </c>
      <c r="EE84" s="584" t="str">
        <f>IF('Marks Entry'!BD84="","",'Marks Entry'!BD84)</f>
        <v/>
      </c>
      <c r="EF84" s="590" t="str">
        <f t="shared" si="308"/>
        <v/>
      </c>
      <c r="EG84" s="595">
        <f t="shared" si="309"/>
        <v>0</v>
      </c>
      <c r="EH84" s="595">
        <f t="shared" si="310"/>
        <v>0</v>
      </c>
      <c r="EI84" s="193" t="str">
        <f t="shared" si="311"/>
        <v/>
      </c>
      <c r="EJ84" s="595" t="str">
        <f t="shared" si="312"/>
        <v/>
      </c>
      <c r="EK84" s="595" t="str">
        <f t="shared" si="313"/>
        <v/>
      </c>
      <c r="EL84" s="194" t="str">
        <f t="shared" si="314"/>
        <v/>
      </c>
      <c r="EM84" s="194" t="str">
        <f t="shared" si="315"/>
        <v/>
      </c>
      <c r="EN84" s="194" t="str">
        <f t="shared" si="316"/>
        <v/>
      </c>
      <c r="EO84" s="194" t="str">
        <f t="shared" si="317"/>
        <v/>
      </c>
      <c r="EP84" s="194" t="str">
        <f t="shared" si="318"/>
        <v/>
      </c>
      <c r="EQ84" s="194" t="str">
        <f t="shared" si="319"/>
        <v/>
      </c>
      <c r="ER84" s="195">
        <f t="shared" si="320"/>
        <v>0</v>
      </c>
      <c r="ES84" s="195">
        <f t="shared" si="321"/>
        <v>0</v>
      </c>
      <c r="ET84" s="195">
        <f t="shared" si="322"/>
        <v>0</v>
      </c>
      <c r="EU84" s="195">
        <f t="shared" si="323"/>
        <v>0</v>
      </c>
      <c r="EV84" s="195">
        <f t="shared" si="324"/>
        <v>0</v>
      </c>
      <c r="EW84" s="195" t="str">
        <f t="shared" si="325"/>
        <v/>
      </c>
      <c r="EX84" s="196" t="str">
        <f t="shared" si="326"/>
        <v/>
      </c>
      <c r="EY84" s="197" t="str">
        <f>IF('Marks Entry'!BE84="","",'Marks Entry'!BE84)</f>
        <v/>
      </c>
      <c r="EZ84" s="197" t="str">
        <f>IF('Marks Entry'!BF84="","",'Marks Entry'!BF84)</f>
        <v/>
      </c>
      <c r="FA84" s="197" t="str">
        <f>IF('Marks Entry'!BG84="","",'Marks Entry'!BG84)</f>
        <v/>
      </c>
      <c r="FB84" s="596" t="str">
        <f t="shared" si="327"/>
        <v/>
      </c>
      <c r="FC84" s="197" t="str">
        <f>IF('Marks Entry'!BH84="","",'Marks Entry'!BH84)</f>
        <v/>
      </c>
      <c r="FD84" s="197" t="str">
        <f>IF('Marks Entry'!BI84="","",'Marks Entry'!BI84)</f>
        <v/>
      </c>
      <c r="FE84" s="198" t="str">
        <f t="shared" si="328"/>
        <v/>
      </c>
      <c r="FF84" s="199" t="str">
        <f t="shared" si="329"/>
        <v/>
      </c>
      <c r="FG84" s="200" t="str">
        <f>IF(AND(E84=""),"",IF('Student DATA Entry'!L80="","",'Student DATA Entry'!L80))</f>
        <v/>
      </c>
      <c r="FH84" s="201" t="str">
        <f>IF(AND(E84=""),"",IF('Student DATA Entry'!M80="","",'Student DATA Entry'!M80))</f>
        <v/>
      </c>
      <c r="FI84" s="202" t="str">
        <f t="shared" si="330"/>
        <v/>
      </c>
      <c r="FJ84" s="189" t="str">
        <f t="shared" si="331"/>
        <v/>
      </c>
      <c r="FK84" s="189" t="str">
        <f t="shared" si="332"/>
        <v/>
      </c>
      <c r="FL84" s="203" t="str">
        <f t="shared" si="201"/>
        <v/>
      </c>
      <c r="FM84" s="189" t="str">
        <f t="shared" si="333"/>
        <v/>
      </c>
      <c r="FN84" s="204" t="str">
        <f t="shared" si="334"/>
        <v/>
      </c>
      <c r="FO84" s="203" t="str">
        <f t="shared" si="202"/>
        <v/>
      </c>
      <c r="FP84" s="205" t="str">
        <f t="shared" si="335"/>
        <v/>
      </c>
      <c r="FQ84" s="189" t="str">
        <f t="shared" si="203"/>
        <v/>
      </c>
      <c r="FR84" s="189" t="str">
        <f t="shared" si="204"/>
        <v/>
      </c>
      <c r="FS84" s="189" t="str">
        <f t="shared" si="205"/>
        <v/>
      </c>
      <c r="FT84" s="189" t="str">
        <f t="shared" si="206"/>
        <v/>
      </c>
      <c r="FU84" s="189" t="str">
        <f t="shared" si="336"/>
        <v/>
      </c>
      <c r="FV84" s="206" t="str">
        <f t="shared" si="207"/>
        <v/>
      </c>
      <c r="FW84" s="205" t="str">
        <f t="shared" si="337"/>
        <v/>
      </c>
      <c r="FX84" s="189" t="str">
        <f t="shared" si="208"/>
        <v/>
      </c>
      <c r="FY84" s="189" t="str">
        <f t="shared" si="209"/>
        <v/>
      </c>
      <c r="FZ84" s="189" t="str">
        <f t="shared" si="210"/>
        <v/>
      </c>
      <c r="GA84" s="189" t="str">
        <f t="shared" si="211"/>
        <v/>
      </c>
      <c r="GB84" s="189" t="str">
        <f t="shared" si="338"/>
        <v/>
      </c>
      <c r="GC84" s="206" t="str">
        <f t="shared" si="212"/>
        <v/>
      </c>
      <c r="GD84" s="205" t="str">
        <f t="shared" si="339"/>
        <v/>
      </c>
      <c r="GE84" s="189" t="str">
        <f t="shared" si="213"/>
        <v/>
      </c>
      <c r="GF84" s="189" t="str">
        <f t="shared" si="214"/>
        <v/>
      </c>
      <c r="GG84" s="189" t="str">
        <f t="shared" si="215"/>
        <v/>
      </c>
      <c r="GH84" s="189" t="str">
        <f t="shared" si="216"/>
        <v/>
      </c>
      <c r="GI84" s="189" t="str">
        <f t="shared" si="340"/>
        <v/>
      </c>
      <c r="GJ84" s="206" t="str">
        <f t="shared" si="217"/>
        <v/>
      </c>
      <c r="GK84" s="205" t="str">
        <f t="shared" si="341"/>
        <v/>
      </c>
      <c r="GL84" s="189" t="str">
        <f t="shared" si="218"/>
        <v/>
      </c>
      <c r="GM84" s="189" t="str">
        <f t="shared" si="219"/>
        <v/>
      </c>
      <c r="GN84" s="189" t="str">
        <f t="shared" si="220"/>
        <v/>
      </c>
      <c r="GO84" s="189" t="str">
        <f t="shared" si="221"/>
        <v/>
      </c>
      <c r="GP84" s="189" t="str">
        <f t="shared" si="342"/>
        <v/>
      </c>
      <c r="GQ84" s="206" t="str">
        <f t="shared" si="222"/>
        <v/>
      </c>
      <c r="GR84" s="189" t="str">
        <f t="shared" si="343"/>
        <v/>
      </c>
      <c r="GS84" s="189" t="str">
        <f t="shared" si="344"/>
        <v/>
      </c>
      <c r="GT84" s="207" t="str">
        <f t="shared" si="345"/>
        <v xml:space="preserve">    </v>
      </c>
      <c r="GU84" s="207" t="str">
        <f t="shared" si="346"/>
        <v xml:space="preserve">    </v>
      </c>
      <c r="GV84" s="207" t="str">
        <f t="shared" si="347"/>
        <v xml:space="preserve">    </v>
      </c>
      <c r="GW84" s="207" t="str">
        <f t="shared" si="348"/>
        <v xml:space="preserve">       </v>
      </c>
      <c r="GX84" s="598" t="str">
        <f t="shared" si="349"/>
        <v xml:space="preserve">     </v>
      </c>
      <c r="GY84" s="208" t="str">
        <f t="shared" si="223"/>
        <v/>
      </c>
      <c r="GZ84" s="606" t="str">
        <f>IF(AND(Q84="",AE84="",AZ84="",BW84="",CT84=""),"",IF(AND('Master Sheet'!$D$19="YES",'Marks Entry'!$BA$1=1),SUM(Q84,AE84,AZ84,BW84,DT84),SUM(Q84,AE84,AZ84,BW84,CT84)))</f>
        <v/>
      </c>
      <c r="HA84" s="209" t="str">
        <f>IF(GZ84="","",IF(AND('Master Sheet'!$D$19="YES",'Marks Entry'!$BA$1=1),GZ84/((900)-DC84)*100,GZ84/((1000)-DC84)*100))</f>
        <v/>
      </c>
      <c r="HB84" s="611" t="str">
        <f t="shared" si="350"/>
        <v/>
      </c>
      <c r="HC84" s="609" t="str">
        <f t="shared" si="351"/>
        <v/>
      </c>
      <c r="HD84" s="610" t="str">
        <f t="shared" si="352"/>
        <v/>
      </c>
      <c r="HE84" s="210" t="str">
        <f>IFERROR(IF(OR(GY84="SUPPLEMENTARY",GY84="RE-EXAM"),'Supp. Result Entry'!AS83,""),"")</f>
        <v/>
      </c>
      <c r="HF84" s="613" t="str">
        <f t="shared" si="353"/>
        <v/>
      </c>
      <c r="HG84" s="598" t="str">
        <f t="shared" si="354"/>
        <v/>
      </c>
      <c r="HH84" s="598" t="str">
        <f>IF(AND(HE84="",HF84="",HG84=""),"",IF(OR(GY84="SUPPLEMENTARY",GY84="RE-EXAM"),'Supp. Result Entry'!AS83,GY84))</f>
        <v/>
      </c>
      <c r="HI84" s="180"/>
      <c r="HY84" s="212" t="str">
        <f>IF('Supp. Result Entry'!U83="","",'Supp. Result Entry'!$U$6)</f>
        <v/>
      </c>
      <c r="HZ84" s="213" t="str">
        <f>IF('Supp. Result Entry'!X83="","",'Supp. Result Entry'!$X$6)</f>
        <v/>
      </c>
      <c r="IA84" s="213" t="str">
        <f>IF('Supp. Result Entry'!AA83="","",'Supp. Result Entry'!$AA$6)</f>
        <v/>
      </c>
      <c r="IB84" s="213" t="str">
        <f>IF('Supp. Result Entry'!AD83="","",'Supp. Result Entry'!$AD$6)</f>
        <v/>
      </c>
      <c r="IC84" s="213" t="str">
        <f>IF('Supp. Result Entry'!AG83="","",'Supp. Result Entry'!$AG$6)</f>
        <v/>
      </c>
      <c r="ID84" s="213" t="str">
        <f>IF('Supp. Result Entry'!AJ83="","",'Supp. Result Entry'!$AJ$6)</f>
        <v/>
      </c>
      <c r="IE84" s="213" t="str">
        <f>IF('Supp. Result Entry'!V83="","",'Supp. Result Entry'!V83)</f>
        <v/>
      </c>
      <c r="IF84" s="213" t="str">
        <f>IF('Supp. Result Entry'!Y83="","",'Supp. Result Entry'!Y83)</f>
        <v/>
      </c>
      <c r="IG84" s="213" t="str">
        <f>IF('Supp. Result Entry'!AB83="","",'Supp. Result Entry'!AB83)</f>
        <v/>
      </c>
      <c r="IH84" s="213" t="str">
        <f>IF('Supp. Result Entry'!AE83="","",'Supp. Result Entry'!AE83)</f>
        <v/>
      </c>
      <c r="II84" s="213" t="str">
        <f>IF('Supp. Result Entry'!AH83="","",'Supp. Result Entry'!AH83)</f>
        <v/>
      </c>
      <c r="IJ84" s="213" t="str">
        <f>IF('Supp. Result Entry'!AK83="","",'Supp. Result Entry'!AK83)</f>
        <v/>
      </c>
      <c r="IK84" s="213" t="str">
        <f>IF('Supp. Result Entry'!W83="","",'Supp. Result Entry'!W83)</f>
        <v/>
      </c>
      <c r="IL84" s="213" t="str">
        <f>IF('Supp. Result Entry'!Z83="","",'Supp. Result Entry'!Z83)</f>
        <v/>
      </c>
      <c r="IM84" s="213" t="str">
        <f>IF('Supp. Result Entry'!AC83="","",'Supp. Result Entry'!AC83)</f>
        <v/>
      </c>
      <c r="IN84" s="213" t="str">
        <f>IF('Supp. Result Entry'!AF83="","",'Supp. Result Entry'!AF83)</f>
        <v/>
      </c>
      <c r="IO84" s="213" t="str">
        <f>IF('Supp. Result Entry'!AI83="","",'Supp. Result Entry'!AI83)</f>
        <v/>
      </c>
      <c r="IP84" s="213" t="str">
        <f>IF('Supp. Result Entry'!AL83="","",'Supp. Result Entry'!AL83)</f>
        <v/>
      </c>
      <c r="IQ84" s="213">
        <f>COUNTIF('Supp. Result Entry'!K83:Q83,"S")</f>
        <v>0</v>
      </c>
      <c r="IR84" s="213">
        <f t="shared" si="355"/>
        <v>0</v>
      </c>
      <c r="IS84" s="213">
        <f t="shared" si="356"/>
        <v>0</v>
      </c>
      <c r="IT84" s="213" t="str">
        <f t="shared" si="224"/>
        <v/>
      </c>
      <c r="IU84" s="213" t="str">
        <f t="shared" si="225"/>
        <v/>
      </c>
      <c r="IV84" s="213" t="str">
        <f t="shared" si="226"/>
        <v/>
      </c>
      <c r="IW84" s="213" t="str">
        <f t="shared" si="227"/>
        <v/>
      </c>
      <c r="IX84" s="213" t="str">
        <f t="shared" si="228"/>
        <v/>
      </c>
      <c r="IY84" s="213" t="str">
        <f t="shared" si="357"/>
        <v/>
      </c>
      <c r="IZ84" s="213" t="str">
        <f t="shared" si="358"/>
        <v/>
      </c>
      <c r="JA84" s="213" t="str">
        <f t="shared" si="229"/>
        <v/>
      </c>
      <c r="JB84" s="211" t="str">
        <f t="shared" si="359"/>
        <v/>
      </c>
    </row>
    <row r="85" spans="1:262" s="211" customFormat="1" ht="21" customHeight="1">
      <c r="A85" s="184">
        <v>78</v>
      </c>
      <c r="B85" s="185" t="str">
        <f>IF('Marks Entry'!B85="","",'Marks Entry'!B85)</f>
        <v/>
      </c>
      <c r="C85" s="186" t="str">
        <f>IF('Marks Entry'!D85="","",'Marks Entry'!D85)</f>
        <v/>
      </c>
      <c r="D85" s="187" t="str">
        <f>IF('Marks Entry'!E85="","",'Marks Entry'!E85)</f>
        <v/>
      </c>
      <c r="E85" s="188" t="str">
        <f>IF('Marks Entry'!F85="","",'Marks Entry'!F85)</f>
        <v/>
      </c>
      <c r="F85" s="188" t="str">
        <f>IF('Marks Entry'!G85="","",'Marks Entry'!G85)</f>
        <v/>
      </c>
      <c r="G85" s="188" t="str">
        <f>IF('Marks Entry'!H85="","",'Marks Entry'!H85)</f>
        <v/>
      </c>
      <c r="H85" s="189" t="str">
        <f>IF('Marks Entry'!I85="","",'Marks Entry'!I85)</f>
        <v/>
      </c>
      <c r="I85" s="190" t="str">
        <f>IF('Marks Entry'!J85="","",'Marks Entry'!J85)</f>
        <v/>
      </c>
      <c r="J85" s="545" t="str">
        <f>IF('Marks Entry'!K85="","",'Marks Entry'!K85)</f>
        <v/>
      </c>
      <c r="K85" s="545" t="str">
        <f>IF('Marks Entry'!L85="","",'Marks Entry'!L85)</f>
        <v/>
      </c>
      <c r="L85" s="545" t="str">
        <f>IF('Marks Entry'!M85="","",'Marks Entry'!M85)</f>
        <v/>
      </c>
      <c r="M85" s="546" t="str">
        <f t="shared" si="230"/>
        <v/>
      </c>
      <c r="N85" s="545" t="str">
        <f>IF('Marks Entry'!N85="","",'Marks Entry'!N85)</f>
        <v/>
      </c>
      <c r="O85" s="546" t="str">
        <f t="shared" si="231"/>
        <v/>
      </c>
      <c r="P85" s="545" t="str">
        <f>IF('Marks Entry'!O85="","",'Marks Entry'!O85)</f>
        <v/>
      </c>
      <c r="Q85" s="547" t="str">
        <f t="shared" si="232"/>
        <v/>
      </c>
      <c r="R85" s="153">
        <f t="shared" si="233"/>
        <v>0</v>
      </c>
      <c r="S85" s="153">
        <f t="shared" si="234"/>
        <v>0</v>
      </c>
      <c r="T85" s="154" t="str">
        <f t="shared" si="235"/>
        <v/>
      </c>
      <c r="U85" s="153" t="str">
        <f t="shared" si="236"/>
        <v/>
      </c>
      <c r="V85" s="153" t="str">
        <f t="shared" si="237"/>
        <v/>
      </c>
      <c r="W85" s="153" t="str">
        <f t="shared" si="238"/>
        <v/>
      </c>
      <c r="X85" s="545" t="str">
        <f>IF('Marks Entry'!P85="","",'Marks Entry'!P85)</f>
        <v/>
      </c>
      <c r="Y85" s="545" t="str">
        <f>IF('Marks Entry'!Q85="","",'Marks Entry'!Q85)</f>
        <v/>
      </c>
      <c r="Z85" s="545" t="str">
        <f>IF('Marks Entry'!R85="","",'Marks Entry'!R85)</f>
        <v/>
      </c>
      <c r="AA85" s="546" t="str">
        <f t="shared" si="239"/>
        <v/>
      </c>
      <c r="AB85" s="545" t="str">
        <f>IF('Marks Entry'!S85="","",'Marks Entry'!S85)</f>
        <v/>
      </c>
      <c r="AC85" s="546" t="str">
        <f t="shared" si="240"/>
        <v/>
      </c>
      <c r="AD85" s="545" t="str">
        <f>IF('Marks Entry'!T85="","",'Marks Entry'!T85)</f>
        <v/>
      </c>
      <c r="AE85" s="547" t="str">
        <f t="shared" si="241"/>
        <v/>
      </c>
      <c r="AF85" s="153">
        <f t="shared" si="242"/>
        <v>0</v>
      </c>
      <c r="AG85" s="153">
        <f t="shared" si="243"/>
        <v>0</v>
      </c>
      <c r="AH85" s="154" t="str">
        <f t="shared" si="244"/>
        <v/>
      </c>
      <c r="AI85" s="153" t="str">
        <f t="shared" si="245"/>
        <v/>
      </c>
      <c r="AJ85" s="153" t="str">
        <f t="shared" si="246"/>
        <v/>
      </c>
      <c r="AK85" s="153" t="str">
        <f t="shared" si="247"/>
        <v/>
      </c>
      <c r="AL85" s="573" t="str">
        <f>IF('Marks Entry'!U85="","",'Marks Entry'!U85)</f>
        <v/>
      </c>
      <c r="AM85" s="573" t="str">
        <f>IF('Marks Entry'!V85="","",'Marks Entry'!V85)</f>
        <v/>
      </c>
      <c r="AN85" s="573" t="str">
        <f>IF('Marks Entry'!W85="","",'Marks Entry'!W85)</f>
        <v/>
      </c>
      <c r="AO85" s="573" t="str">
        <f>IF('Marks Entry'!X85="","",'Marks Entry'!X85)</f>
        <v/>
      </c>
      <c r="AP85" s="572" t="str">
        <f t="shared" si="248"/>
        <v/>
      </c>
      <c r="AQ85" s="573" t="str">
        <f>IF('Marks Entry'!Y85="","",'Marks Entry'!Y85)</f>
        <v/>
      </c>
      <c r="AR85" s="573" t="str">
        <f>IF('Marks Entry'!Z85="","",'Marks Entry'!Z85)</f>
        <v/>
      </c>
      <c r="AS85" s="572" t="str">
        <f t="shared" si="249"/>
        <v/>
      </c>
      <c r="AT85" s="572" t="str">
        <f t="shared" si="250"/>
        <v/>
      </c>
      <c r="AU85" s="573" t="str">
        <f>IF('Marks Entry'!AA85="","",'Marks Entry'!AA85)</f>
        <v/>
      </c>
      <c r="AV85" s="573" t="str">
        <f>IF('Marks Entry'!AB85="","",'Marks Entry'!AB85)</f>
        <v/>
      </c>
      <c r="AW85" s="572" t="str">
        <f t="shared" si="251"/>
        <v/>
      </c>
      <c r="AX85" s="157" t="str">
        <f t="shared" si="252"/>
        <v/>
      </c>
      <c r="AY85" s="157" t="str">
        <f t="shared" si="253"/>
        <v/>
      </c>
      <c r="AZ85" s="192" t="str">
        <f t="shared" si="254"/>
        <v/>
      </c>
      <c r="BA85" s="153">
        <f t="shared" si="255"/>
        <v>0</v>
      </c>
      <c r="BB85" s="154">
        <f t="shared" si="256"/>
        <v>0</v>
      </c>
      <c r="BC85" s="154" t="str">
        <f t="shared" si="257"/>
        <v/>
      </c>
      <c r="BD85" s="154" t="str">
        <f t="shared" si="258"/>
        <v/>
      </c>
      <c r="BE85" s="154" t="str">
        <f t="shared" si="259"/>
        <v/>
      </c>
      <c r="BF85" s="153" t="str">
        <f t="shared" si="260"/>
        <v/>
      </c>
      <c r="BG85" s="154" t="str">
        <f t="shared" si="261"/>
        <v/>
      </c>
      <c r="BH85" s="153" t="str">
        <f t="shared" si="262"/>
        <v/>
      </c>
      <c r="BI85" s="580" t="str">
        <f>IF('Marks Entry'!AC85="","",'Marks Entry'!AC85)</f>
        <v/>
      </c>
      <c r="BJ85" s="580" t="str">
        <f>IF('Marks Entry'!AD85="","",'Marks Entry'!AD85)</f>
        <v/>
      </c>
      <c r="BK85" s="580" t="str">
        <f>IF('Marks Entry'!AE85="","",'Marks Entry'!AE85)</f>
        <v/>
      </c>
      <c r="BL85" s="580" t="str">
        <f>IF('Marks Entry'!AF85="","",'Marks Entry'!AF85)</f>
        <v/>
      </c>
      <c r="BM85" s="581" t="str">
        <f t="shared" si="263"/>
        <v/>
      </c>
      <c r="BN85" s="580" t="str">
        <f>IF('Marks Entry'!AG85="","",'Marks Entry'!AG85)</f>
        <v/>
      </c>
      <c r="BO85" s="580" t="str">
        <f>IF('Marks Entry'!AH85="","",'Marks Entry'!AH85)</f>
        <v/>
      </c>
      <c r="BP85" s="581" t="str">
        <f t="shared" si="264"/>
        <v/>
      </c>
      <c r="BQ85" s="581" t="str">
        <f t="shared" si="265"/>
        <v/>
      </c>
      <c r="BR85" s="580" t="str">
        <f>IF('Marks Entry'!AI85="","",'Marks Entry'!AI85)</f>
        <v/>
      </c>
      <c r="BS85" s="580" t="str">
        <f>IF('Marks Entry'!AJ85="","",'Marks Entry'!AJ85)</f>
        <v/>
      </c>
      <c r="BT85" s="581" t="str">
        <f t="shared" si="266"/>
        <v/>
      </c>
      <c r="BU85" s="157" t="str">
        <f t="shared" si="267"/>
        <v/>
      </c>
      <c r="BV85" s="157" t="str">
        <f t="shared" si="268"/>
        <v/>
      </c>
      <c r="BW85" s="192" t="str">
        <f t="shared" si="269"/>
        <v/>
      </c>
      <c r="BX85" s="153">
        <f t="shared" si="270"/>
        <v>0</v>
      </c>
      <c r="BY85" s="154">
        <f t="shared" si="271"/>
        <v>0</v>
      </c>
      <c r="BZ85" s="154" t="str">
        <f t="shared" si="272"/>
        <v/>
      </c>
      <c r="CA85" s="154" t="str">
        <f t="shared" si="273"/>
        <v/>
      </c>
      <c r="CB85" s="154" t="str">
        <f t="shared" si="274"/>
        <v/>
      </c>
      <c r="CC85" s="153" t="str">
        <f t="shared" si="275"/>
        <v/>
      </c>
      <c r="CD85" s="154" t="str">
        <f t="shared" si="276"/>
        <v/>
      </c>
      <c r="CE85" s="153" t="str">
        <f t="shared" si="277"/>
        <v/>
      </c>
      <c r="CF85" s="580" t="str">
        <f>IF('Marks Entry'!AK85="","",'Marks Entry'!AK85)</f>
        <v/>
      </c>
      <c r="CG85" s="580" t="str">
        <f>IF('Marks Entry'!AL85="","",'Marks Entry'!AL85)</f>
        <v/>
      </c>
      <c r="CH85" s="580" t="str">
        <f>IF('Marks Entry'!AM85="","",'Marks Entry'!AM85)</f>
        <v/>
      </c>
      <c r="CI85" s="580" t="str">
        <f>IF('Marks Entry'!AN85="","",'Marks Entry'!AN85)</f>
        <v/>
      </c>
      <c r="CJ85" s="581" t="str">
        <f t="shared" si="278"/>
        <v/>
      </c>
      <c r="CK85" s="580" t="str">
        <f>IF('Marks Entry'!AO85="","",'Marks Entry'!AO85)</f>
        <v/>
      </c>
      <c r="CL85" s="580" t="str">
        <f>IF('Marks Entry'!AP85="","",'Marks Entry'!AP85)</f>
        <v/>
      </c>
      <c r="CM85" s="581" t="str">
        <f t="shared" si="279"/>
        <v/>
      </c>
      <c r="CN85" s="581" t="str">
        <f t="shared" si="280"/>
        <v/>
      </c>
      <c r="CO85" s="580" t="str">
        <f>IF('Marks Entry'!AQ85="","",'Marks Entry'!AQ85)</f>
        <v/>
      </c>
      <c r="CP85" s="580" t="str">
        <f>IF('Marks Entry'!AR85="","",'Marks Entry'!AR85)</f>
        <v/>
      </c>
      <c r="CQ85" s="581" t="str">
        <f t="shared" si="281"/>
        <v/>
      </c>
      <c r="CR85" s="157" t="str">
        <f t="shared" si="282"/>
        <v/>
      </c>
      <c r="CS85" s="157" t="str">
        <f t="shared" si="283"/>
        <v/>
      </c>
      <c r="CT85" s="192" t="str">
        <f t="shared" si="284"/>
        <v/>
      </c>
      <c r="CU85" s="153">
        <f t="shared" si="285"/>
        <v>0</v>
      </c>
      <c r="CV85" s="154">
        <f t="shared" si="286"/>
        <v>0</v>
      </c>
      <c r="CW85" s="154" t="str">
        <f t="shared" si="287"/>
        <v/>
      </c>
      <c r="CX85" s="154" t="str">
        <f t="shared" si="288"/>
        <v/>
      </c>
      <c r="CY85" s="154" t="str">
        <f t="shared" si="289"/>
        <v/>
      </c>
      <c r="CZ85" s="153" t="str">
        <f t="shared" si="290"/>
        <v/>
      </c>
      <c r="DA85" s="154" t="str">
        <f t="shared" si="291"/>
        <v/>
      </c>
      <c r="DB85" s="153" t="str">
        <f t="shared" si="292"/>
        <v/>
      </c>
      <c r="DC85" s="154">
        <f t="shared" si="293"/>
        <v>0</v>
      </c>
      <c r="DD85" s="826" t="str">
        <f>IF('Marks Entry'!AS85="","",IF(OR('Master Sheet'!$D$19="YES",'Marks Entry'!$BA$1=1),'Marks Entry'!AS85,""))</f>
        <v/>
      </c>
      <c r="DE85" s="826" t="str">
        <f>IF('Marks Entry'!AT85="","",IF(OR('Master Sheet'!$D$19="YES",'Marks Entry'!$BA$1=1),'Marks Entry'!AT85,""))</f>
        <v/>
      </c>
      <c r="DF85" s="826" t="str">
        <f>IF('Marks Entry'!AU85="","",IF(OR('Master Sheet'!$D$19="YES",'Marks Entry'!$BA$1=1),'Marks Entry'!AU85,""))</f>
        <v/>
      </c>
      <c r="DG85" s="826" t="str">
        <f>IF('Marks Entry'!AV85="","",IF(OR('Master Sheet'!$D$19="YES",'Marks Entry'!$BA$1=1),'Marks Entry'!AV85,""))</f>
        <v/>
      </c>
      <c r="DH85" s="827" t="str">
        <f t="shared" si="294"/>
        <v/>
      </c>
      <c r="DI85" s="826" t="str">
        <f>IF('Marks Entry'!AW85="","",IF(OR('Master Sheet'!$D$19="YES",'Marks Entry'!$BA$1=1),'Marks Entry'!AW85,""))</f>
        <v/>
      </c>
      <c r="DJ85" s="826" t="str">
        <f>IF('Marks Entry'!AX85="","",IF(OR('Master Sheet'!$D$19="YES",'Marks Entry'!$BA$1=1),'Marks Entry'!AX85,""))</f>
        <v/>
      </c>
      <c r="DK85" s="827" t="str">
        <f t="shared" si="295"/>
        <v/>
      </c>
      <c r="DL85" s="827" t="str">
        <f t="shared" si="296"/>
        <v/>
      </c>
      <c r="DM85" s="826" t="str">
        <f>IF('Marks Entry'!AY85="","",IF(OR('Master Sheet'!$D$19="YES",'Marks Entry'!$BA$1=1),'Marks Entry'!AY85,""))</f>
        <v/>
      </c>
      <c r="DN85" s="826" t="str">
        <f>IF('Marks Entry'!AZ85="","",IF(OR('Master Sheet'!$D$19="YES",'Marks Entry'!$BA$1=1),'Marks Entry'!AZ85,""))</f>
        <v/>
      </c>
      <c r="DO85" s="826" t="str">
        <f>IF('Marks Entry'!BA85="","",IF(OR('Master Sheet'!$D$19="YES",'Marks Entry'!$BA$1=1),'Marks Entry'!BA85,""))</f>
        <v/>
      </c>
      <c r="DP85" s="827" t="str">
        <f t="shared" si="297"/>
        <v/>
      </c>
      <c r="DQ85" s="157" t="str">
        <f t="shared" si="298"/>
        <v/>
      </c>
      <c r="DR85" s="157" t="str">
        <f t="shared" si="299"/>
        <v/>
      </c>
      <c r="DS85" s="157" t="str">
        <f t="shared" si="300"/>
        <v/>
      </c>
      <c r="DT85" s="192" t="str">
        <f t="shared" si="301"/>
        <v/>
      </c>
      <c r="DU85" s="153">
        <f t="shared" si="302"/>
        <v>0</v>
      </c>
      <c r="DV85" s="154" t="e">
        <f t="shared" si="303"/>
        <v>#VALUE!</v>
      </c>
      <c r="DW85" s="154" t="str">
        <f t="shared" si="304"/>
        <v/>
      </c>
      <c r="DX85" s="154" t="str">
        <f>IF(OR($B85="NSO",$B85=0,DS85=""),"",IF(AND(DJ85="",DO85=""),"",IF('Master Sheet'!$D$19="YES",$DO$6-COUNTIF(DO85,"ML")*DO$6,DS$6-(COUNTIF(DJ85,"ML")*DJ$6)-(COUNTIF(DO85,"ML")*DO$6))))</f>
        <v/>
      </c>
      <c r="DY85" s="154" t="str">
        <f>IF(OR($B85="NSO",$B85=0),"",IF(AND(DH85="",DI85="",DM85=""),"",IF(AND('Master Sheet'!$D$19="YES",'Marks Entry'!$BA$1=1),100,IF(AND(DJ85="",DO85=""),SUM(($DQ$7+$DR$7)-(DU85+DV85)),SUM(($DQ$6+$DR$6)-(DU85+DV85))))))</f>
        <v/>
      </c>
      <c r="DZ85" s="153" t="str">
        <f t="shared" si="305"/>
        <v/>
      </c>
      <c r="EA85" s="154" t="str">
        <f t="shared" si="306"/>
        <v/>
      </c>
      <c r="EB85" s="153" t="str">
        <f t="shared" si="307"/>
        <v/>
      </c>
      <c r="EC85" s="584" t="str">
        <f>IF('Marks Entry'!BB85="","",'Marks Entry'!BB85)</f>
        <v/>
      </c>
      <c r="ED85" s="584" t="str">
        <f>IF('Marks Entry'!BC85="","",'Marks Entry'!BC85)</f>
        <v/>
      </c>
      <c r="EE85" s="584" t="str">
        <f>IF('Marks Entry'!BD85="","",'Marks Entry'!BD85)</f>
        <v/>
      </c>
      <c r="EF85" s="590" t="str">
        <f t="shared" si="308"/>
        <v/>
      </c>
      <c r="EG85" s="595">
        <f t="shared" si="309"/>
        <v>0</v>
      </c>
      <c r="EH85" s="595">
        <f t="shared" si="310"/>
        <v>0</v>
      </c>
      <c r="EI85" s="193" t="str">
        <f t="shared" si="311"/>
        <v/>
      </c>
      <c r="EJ85" s="595" t="str">
        <f t="shared" si="312"/>
        <v/>
      </c>
      <c r="EK85" s="595" t="str">
        <f t="shared" si="313"/>
        <v/>
      </c>
      <c r="EL85" s="194" t="str">
        <f t="shared" si="314"/>
        <v/>
      </c>
      <c r="EM85" s="194" t="str">
        <f t="shared" si="315"/>
        <v/>
      </c>
      <c r="EN85" s="194" t="str">
        <f t="shared" si="316"/>
        <v/>
      </c>
      <c r="EO85" s="194" t="str">
        <f t="shared" si="317"/>
        <v/>
      </c>
      <c r="EP85" s="194" t="str">
        <f t="shared" si="318"/>
        <v/>
      </c>
      <c r="EQ85" s="194" t="str">
        <f t="shared" si="319"/>
        <v/>
      </c>
      <c r="ER85" s="195">
        <f t="shared" si="320"/>
        <v>0</v>
      </c>
      <c r="ES85" s="195">
        <f t="shared" si="321"/>
        <v>0</v>
      </c>
      <c r="ET85" s="195">
        <f t="shared" si="322"/>
        <v>0</v>
      </c>
      <c r="EU85" s="195">
        <f t="shared" si="323"/>
        <v>0</v>
      </c>
      <c r="EV85" s="195">
        <f t="shared" si="324"/>
        <v>0</v>
      </c>
      <c r="EW85" s="195" t="str">
        <f t="shared" si="325"/>
        <v/>
      </c>
      <c r="EX85" s="196" t="str">
        <f t="shared" si="326"/>
        <v/>
      </c>
      <c r="EY85" s="197" t="str">
        <f>IF('Marks Entry'!BE85="","",'Marks Entry'!BE85)</f>
        <v/>
      </c>
      <c r="EZ85" s="197" t="str">
        <f>IF('Marks Entry'!BF85="","",'Marks Entry'!BF85)</f>
        <v/>
      </c>
      <c r="FA85" s="197" t="str">
        <f>IF('Marks Entry'!BG85="","",'Marks Entry'!BG85)</f>
        <v/>
      </c>
      <c r="FB85" s="596" t="str">
        <f t="shared" si="327"/>
        <v/>
      </c>
      <c r="FC85" s="197" t="str">
        <f>IF('Marks Entry'!BH85="","",'Marks Entry'!BH85)</f>
        <v/>
      </c>
      <c r="FD85" s="197" t="str">
        <f>IF('Marks Entry'!BI85="","",'Marks Entry'!BI85)</f>
        <v/>
      </c>
      <c r="FE85" s="198" t="str">
        <f t="shared" si="328"/>
        <v/>
      </c>
      <c r="FF85" s="199" t="str">
        <f t="shared" si="329"/>
        <v/>
      </c>
      <c r="FG85" s="200" t="str">
        <f>IF(AND(E85=""),"",IF('Student DATA Entry'!L81="","",'Student DATA Entry'!L81))</f>
        <v/>
      </c>
      <c r="FH85" s="201" t="str">
        <f>IF(AND(E85=""),"",IF('Student DATA Entry'!M81="","",'Student DATA Entry'!M81))</f>
        <v/>
      </c>
      <c r="FI85" s="202" t="str">
        <f t="shared" si="330"/>
        <v/>
      </c>
      <c r="FJ85" s="189" t="str">
        <f t="shared" si="331"/>
        <v/>
      </c>
      <c r="FK85" s="189" t="str">
        <f t="shared" si="332"/>
        <v/>
      </c>
      <c r="FL85" s="203" t="str">
        <f t="shared" si="201"/>
        <v/>
      </c>
      <c r="FM85" s="189" t="str">
        <f t="shared" si="333"/>
        <v/>
      </c>
      <c r="FN85" s="204" t="str">
        <f t="shared" si="334"/>
        <v/>
      </c>
      <c r="FO85" s="203" t="str">
        <f t="shared" si="202"/>
        <v/>
      </c>
      <c r="FP85" s="205" t="str">
        <f t="shared" si="335"/>
        <v/>
      </c>
      <c r="FQ85" s="189" t="str">
        <f t="shared" si="203"/>
        <v/>
      </c>
      <c r="FR85" s="189" t="str">
        <f t="shared" si="204"/>
        <v/>
      </c>
      <c r="FS85" s="189" t="str">
        <f t="shared" si="205"/>
        <v/>
      </c>
      <c r="FT85" s="189" t="str">
        <f t="shared" si="206"/>
        <v/>
      </c>
      <c r="FU85" s="189" t="str">
        <f t="shared" si="336"/>
        <v/>
      </c>
      <c r="FV85" s="206" t="str">
        <f t="shared" si="207"/>
        <v/>
      </c>
      <c r="FW85" s="205" t="str">
        <f t="shared" si="337"/>
        <v/>
      </c>
      <c r="FX85" s="189" t="str">
        <f t="shared" si="208"/>
        <v/>
      </c>
      <c r="FY85" s="189" t="str">
        <f t="shared" si="209"/>
        <v/>
      </c>
      <c r="FZ85" s="189" t="str">
        <f t="shared" si="210"/>
        <v/>
      </c>
      <c r="GA85" s="189" t="str">
        <f t="shared" si="211"/>
        <v/>
      </c>
      <c r="GB85" s="189" t="str">
        <f t="shared" si="338"/>
        <v/>
      </c>
      <c r="GC85" s="206" t="str">
        <f t="shared" si="212"/>
        <v/>
      </c>
      <c r="GD85" s="205" t="str">
        <f t="shared" si="339"/>
        <v/>
      </c>
      <c r="GE85" s="189" t="str">
        <f t="shared" si="213"/>
        <v/>
      </c>
      <c r="GF85" s="189" t="str">
        <f t="shared" si="214"/>
        <v/>
      </c>
      <c r="GG85" s="189" t="str">
        <f t="shared" si="215"/>
        <v/>
      </c>
      <c r="GH85" s="189" t="str">
        <f t="shared" si="216"/>
        <v/>
      </c>
      <c r="GI85" s="189" t="str">
        <f t="shared" si="340"/>
        <v/>
      </c>
      <c r="GJ85" s="206" t="str">
        <f t="shared" si="217"/>
        <v/>
      </c>
      <c r="GK85" s="205" t="str">
        <f t="shared" si="341"/>
        <v/>
      </c>
      <c r="GL85" s="189" t="str">
        <f t="shared" si="218"/>
        <v/>
      </c>
      <c r="GM85" s="189" t="str">
        <f t="shared" si="219"/>
        <v/>
      </c>
      <c r="GN85" s="189" t="str">
        <f t="shared" si="220"/>
        <v/>
      </c>
      <c r="GO85" s="189" t="str">
        <f t="shared" si="221"/>
        <v/>
      </c>
      <c r="GP85" s="189" t="str">
        <f t="shared" si="342"/>
        <v/>
      </c>
      <c r="GQ85" s="206" t="str">
        <f t="shared" si="222"/>
        <v/>
      </c>
      <c r="GR85" s="189" t="str">
        <f t="shared" si="343"/>
        <v/>
      </c>
      <c r="GS85" s="189" t="str">
        <f t="shared" si="344"/>
        <v/>
      </c>
      <c r="GT85" s="207" t="str">
        <f t="shared" si="345"/>
        <v xml:space="preserve">    </v>
      </c>
      <c r="GU85" s="207" t="str">
        <f t="shared" si="346"/>
        <v xml:space="preserve">    </v>
      </c>
      <c r="GV85" s="207" t="str">
        <f t="shared" si="347"/>
        <v xml:space="preserve">    </v>
      </c>
      <c r="GW85" s="207" t="str">
        <f t="shared" si="348"/>
        <v xml:space="preserve">       </v>
      </c>
      <c r="GX85" s="598" t="str">
        <f t="shared" si="349"/>
        <v xml:space="preserve">     </v>
      </c>
      <c r="GY85" s="208" t="str">
        <f t="shared" si="223"/>
        <v/>
      </c>
      <c r="GZ85" s="606" t="str">
        <f>IF(AND(Q85="",AE85="",AZ85="",BW85="",CT85=""),"",IF(AND('Master Sheet'!$D$19="YES",'Marks Entry'!$BA$1=1),SUM(Q85,AE85,AZ85,BW85,DT85),SUM(Q85,AE85,AZ85,BW85,CT85)))</f>
        <v/>
      </c>
      <c r="HA85" s="209" t="str">
        <f>IF(GZ85="","",IF(AND('Master Sheet'!$D$19="YES",'Marks Entry'!$BA$1=1),GZ85/((900)-DC85)*100,GZ85/((1000)-DC85)*100))</f>
        <v/>
      </c>
      <c r="HB85" s="611" t="str">
        <f t="shared" si="350"/>
        <v/>
      </c>
      <c r="HC85" s="609" t="str">
        <f t="shared" si="351"/>
        <v/>
      </c>
      <c r="HD85" s="610" t="str">
        <f t="shared" si="352"/>
        <v/>
      </c>
      <c r="HE85" s="210" t="str">
        <f>IFERROR(IF(OR(GY85="SUPPLEMENTARY",GY85="RE-EXAM"),'Supp. Result Entry'!AS84,""),"")</f>
        <v/>
      </c>
      <c r="HF85" s="613" t="str">
        <f t="shared" si="353"/>
        <v/>
      </c>
      <c r="HG85" s="598" t="str">
        <f t="shared" si="354"/>
        <v/>
      </c>
      <c r="HH85" s="598" t="str">
        <f>IF(AND(HE85="",HF85="",HG85=""),"",IF(OR(GY85="SUPPLEMENTARY",GY85="RE-EXAM"),'Supp. Result Entry'!AS84,GY85))</f>
        <v/>
      </c>
      <c r="HI85" s="180"/>
      <c r="HY85" s="212" t="str">
        <f>IF('Supp. Result Entry'!U84="","",'Supp. Result Entry'!$U$6)</f>
        <v/>
      </c>
      <c r="HZ85" s="213" t="str">
        <f>IF('Supp. Result Entry'!X84="","",'Supp. Result Entry'!$X$6)</f>
        <v/>
      </c>
      <c r="IA85" s="213" t="str">
        <f>IF('Supp. Result Entry'!AA84="","",'Supp. Result Entry'!$AA$6)</f>
        <v/>
      </c>
      <c r="IB85" s="213" t="str">
        <f>IF('Supp. Result Entry'!AD84="","",'Supp. Result Entry'!$AD$6)</f>
        <v/>
      </c>
      <c r="IC85" s="213" t="str">
        <f>IF('Supp. Result Entry'!AG84="","",'Supp. Result Entry'!$AG$6)</f>
        <v/>
      </c>
      <c r="ID85" s="213" t="str">
        <f>IF('Supp. Result Entry'!AJ84="","",'Supp. Result Entry'!$AJ$6)</f>
        <v/>
      </c>
      <c r="IE85" s="213" t="str">
        <f>IF('Supp. Result Entry'!V84="","",'Supp. Result Entry'!V84)</f>
        <v/>
      </c>
      <c r="IF85" s="213" t="str">
        <f>IF('Supp. Result Entry'!Y84="","",'Supp. Result Entry'!Y84)</f>
        <v/>
      </c>
      <c r="IG85" s="213" t="str">
        <f>IF('Supp. Result Entry'!AB84="","",'Supp. Result Entry'!AB84)</f>
        <v/>
      </c>
      <c r="IH85" s="213" t="str">
        <f>IF('Supp. Result Entry'!AE84="","",'Supp. Result Entry'!AE84)</f>
        <v/>
      </c>
      <c r="II85" s="213" t="str">
        <f>IF('Supp. Result Entry'!AH84="","",'Supp. Result Entry'!AH84)</f>
        <v/>
      </c>
      <c r="IJ85" s="213" t="str">
        <f>IF('Supp. Result Entry'!AK84="","",'Supp. Result Entry'!AK84)</f>
        <v/>
      </c>
      <c r="IK85" s="213" t="str">
        <f>IF('Supp. Result Entry'!W84="","",'Supp. Result Entry'!W84)</f>
        <v/>
      </c>
      <c r="IL85" s="213" t="str">
        <f>IF('Supp. Result Entry'!Z84="","",'Supp. Result Entry'!Z84)</f>
        <v/>
      </c>
      <c r="IM85" s="213" t="str">
        <f>IF('Supp. Result Entry'!AC84="","",'Supp. Result Entry'!AC84)</f>
        <v/>
      </c>
      <c r="IN85" s="213" t="str">
        <f>IF('Supp. Result Entry'!AF84="","",'Supp. Result Entry'!AF84)</f>
        <v/>
      </c>
      <c r="IO85" s="213" t="str">
        <f>IF('Supp. Result Entry'!AI84="","",'Supp. Result Entry'!AI84)</f>
        <v/>
      </c>
      <c r="IP85" s="213" t="str">
        <f>IF('Supp. Result Entry'!AL84="","",'Supp. Result Entry'!AL84)</f>
        <v/>
      </c>
      <c r="IQ85" s="213">
        <f>COUNTIF('Supp. Result Entry'!K84:Q84,"S")</f>
        <v>0</v>
      </c>
      <c r="IR85" s="213">
        <f t="shared" si="355"/>
        <v>0</v>
      </c>
      <c r="IS85" s="213">
        <f t="shared" si="356"/>
        <v>0</v>
      </c>
      <c r="IT85" s="213" t="str">
        <f t="shared" si="224"/>
        <v/>
      </c>
      <c r="IU85" s="213" t="str">
        <f t="shared" si="225"/>
        <v/>
      </c>
      <c r="IV85" s="213" t="str">
        <f t="shared" si="226"/>
        <v/>
      </c>
      <c r="IW85" s="213" t="str">
        <f t="shared" si="227"/>
        <v/>
      </c>
      <c r="IX85" s="213" t="str">
        <f t="shared" si="228"/>
        <v/>
      </c>
      <c r="IY85" s="213" t="str">
        <f t="shared" si="357"/>
        <v/>
      </c>
      <c r="IZ85" s="213" t="str">
        <f t="shared" si="358"/>
        <v/>
      </c>
      <c r="JA85" s="213" t="str">
        <f t="shared" si="229"/>
        <v/>
      </c>
      <c r="JB85" s="211" t="str">
        <f t="shared" si="359"/>
        <v/>
      </c>
    </row>
    <row r="86" spans="1:262" s="211" customFormat="1" ht="21" customHeight="1">
      <c r="A86" s="184">
        <v>79</v>
      </c>
      <c r="B86" s="185" t="str">
        <f>IF('Marks Entry'!B86="","",'Marks Entry'!B86)</f>
        <v/>
      </c>
      <c r="C86" s="186" t="str">
        <f>IF('Marks Entry'!D86="","",'Marks Entry'!D86)</f>
        <v/>
      </c>
      <c r="D86" s="187" t="str">
        <f>IF('Marks Entry'!E86="","",'Marks Entry'!E86)</f>
        <v/>
      </c>
      <c r="E86" s="188" t="str">
        <f>IF('Marks Entry'!F86="","",'Marks Entry'!F86)</f>
        <v/>
      </c>
      <c r="F86" s="188" t="str">
        <f>IF('Marks Entry'!G86="","",'Marks Entry'!G86)</f>
        <v/>
      </c>
      <c r="G86" s="188" t="str">
        <f>IF('Marks Entry'!H86="","",'Marks Entry'!H86)</f>
        <v/>
      </c>
      <c r="H86" s="189" t="str">
        <f>IF('Marks Entry'!I86="","",'Marks Entry'!I86)</f>
        <v/>
      </c>
      <c r="I86" s="190" t="str">
        <f>IF('Marks Entry'!J86="","",'Marks Entry'!J86)</f>
        <v/>
      </c>
      <c r="J86" s="545" t="str">
        <f>IF('Marks Entry'!K86="","",'Marks Entry'!K86)</f>
        <v/>
      </c>
      <c r="K86" s="545" t="str">
        <f>IF('Marks Entry'!L86="","",'Marks Entry'!L86)</f>
        <v/>
      </c>
      <c r="L86" s="545" t="str">
        <f>IF('Marks Entry'!M86="","",'Marks Entry'!M86)</f>
        <v/>
      </c>
      <c r="M86" s="546" t="str">
        <f t="shared" si="230"/>
        <v/>
      </c>
      <c r="N86" s="545" t="str">
        <f>IF('Marks Entry'!N86="","",'Marks Entry'!N86)</f>
        <v/>
      </c>
      <c r="O86" s="546" t="str">
        <f t="shared" si="231"/>
        <v/>
      </c>
      <c r="P86" s="545" t="str">
        <f>IF('Marks Entry'!O86="","",'Marks Entry'!O86)</f>
        <v/>
      </c>
      <c r="Q86" s="547" t="str">
        <f t="shared" si="232"/>
        <v/>
      </c>
      <c r="R86" s="153">
        <f t="shared" si="233"/>
        <v>0</v>
      </c>
      <c r="S86" s="153">
        <f t="shared" si="234"/>
        <v>0</v>
      </c>
      <c r="T86" s="154" t="str">
        <f t="shared" si="235"/>
        <v/>
      </c>
      <c r="U86" s="153" t="str">
        <f t="shared" si="236"/>
        <v/>
      </c>
      <c r="V86" s="153" t="str">
        <f t="shared" si="237"/>
        <v/>
      </c>
      <c r="W86" s="153" t="str">
        <f t="shared" si="238"/>
        <v/>
      </c>
      <c r="X86" s="545" t="str">
        <f>IF('Marks Entry'!P86="","",'Marks Entry'!P86)</f>
        <v/>
      </c>
      <c r="Y86" s="545" t="str">
        <f>IF('Marks Entry'!Q86="","",'Marks Entry'!Q86)</f>
        <v/>
      </c>
      <c r="Z86" s="545" t="str">
        <f>IF('Marks Entry'!R86="","",'Marks Entry'!R86)</f>
        <v/>
      </c>
      <c r="AA86" s="546" t="str">
        <f t="shared" si="239"/>
        <v/>
      </c>
      <c r="AB86" s="545" t="str">
        <f>IF('Marks Entry'!S86="","",'Marks Entry'!S86)</f>
        <v/>
      </c>
      <c r="AC86" s="546" t="str">
        <f t="shared" si="240"/>
        <v/>
      </c>
      <c r="AD86" s="545" t="str">
        <f>IF('Marks Entry'!T86="","",'Marks Entry'!T86)</f>
        <v/>
      </c>
      <c r="AE86" s="547" t="str">
        <f t="shared" si="241"/>
        <v/>
      </c>
      <c r="AF86" s="153">
        <f t="shared" si="242"/>
        <v>0</v>
      </c>
      <c r="AG86" s="153">
        <f t="shared" si="243"/>
        <v>0</v>
      </c>
      <c r="AH86" s="154" t="str">
        <f t="shared" si="244"/>
        <v/>
      </c>
      <c r="AI86" s="153" t="str">
        <f t="shared" si="245"/>
        <v/>
      </c>
      <c r="AJ86" s="153" t="str">
        <f t="shared" si="246"/>
        <v/>
      </c>
      <c r="AK86" s="153" t="str">
        <f t="shared" si="247"/>
        <v/>
      </c>
      <c r="AL86" s="573" t="str">
        <f>IF('Marks Entry'!U86="","",'Marks Entry'!U86)</f>
        <v/>
      </c>
      <c r="AM86" s="573" t="str">
        <f>IF('Marks Entry'!V86="","",'Marks Entry'!V86)</f>
        <v/>
      </c>
      <c r="AN86" s="573" t="str">
        <f>IF('Marks Entry'!W86="","",'Marks Entry'!W86)</f>
        <v/>
      </c>
      <c r="AO86" s="573" t="str">
        <f>IF('Marks Entry'!X86="","",'Marks Entry'!X86)</f>
        <v/>
      </c>
      <c r="AP86" s="572" t="str">
        <f t="shared" si="248"/>
        <v/>
      </c>
      <c r="AQ86" s="573" t="str">
        <f>IF('Marks Entry'!Y86="","",'Marks Entry'!Y86)</f>
        <v/>
      </c>
      <c r="AR86" s="573" t="str">
        <f>IF('Marks Entry'!Z86="","",'Marks Entry'!Z86)</f>
        <v/>
      </c>
      <c r="AS86" s="572" t="str">
        <f t="shared" si="249"/>
        <v/>
      </c>
      <c r="AT86" s="572" t="str">
        <f t="shared" si="250"/>
        <v/>
      </c>
      <c r="AU86" s="573" t="str">
        <f>IF('Marks Entry'!AA86="","",'Marks Entry'!AA86)</f>
        <v/>
      </c>
      <c r="AV86" s="573" t="str">
        <f>IF('Marks Entry'!AB86="","",'Marks Entry'!AB86)</f>
        <v/>
      </c>
      <c r="AW86" s="572" t="str">
        <f t="shared" si="251"/>
        <v/>
      </c>
      <c r="AX86" s="157" t="str">
        <f t="shared" si="252"/>
        <v/>
      </c>
      <c r="AY86" s="157" t="str">
        <f t="shared" si="253"/>
        <v/>
      </c>
      <c r="AZ86" s="192" t="str">
        <f t="shared" si="254"/>
        <v/>
      </c>
      <c r="BA86" s="153">
        <f t="shared" si="255"/>
        <v>0</v>
      </c>
      <c r="BB86" s="154">
        <f t="shared" si="256"/>
        <v>0</v>
      </c>
      <c r="BC86" s="154" t="str">
        <f t="shared" si="257"/>
        <v/>
      </c>
      <c r="BD86" s="154" t="str">
        <f t="shared" si="258"/>
        <v/>
      </c>
      <c r="BE86" s="154" t="str">
        <f t="shared" si="259"/>
        <v/>
      </c>
      <c r="BF86" s="153" t="str">
        <f t="shared" si="260"/>
        <v/>
      </c>
      <c r="BG86" s="154" t="str">
        <f t="shared" si="261"/>
        <v/>
      </c>
      <c r="BH86" s="153" t="str">
        <f t="shared" si="262"/>
        <v/>
      </c>
      <c r="BI86" s="580" t="str">
        <f>IF('Marks Entry'!AC86="","",'Marks Entry'!AC86)</f>
        <v/>
      </c>
      <c r="BJ86" s="580" t="str">
        <f>IF('Marks Entry'!AD86="","",'Marks Entry'!AD86)</f>
        <v/>
      </c>
      <c r="BK86" s="580" t="str">
        <f>IF('Marks Entry'!AE86="","",'Marks Entry'!AE86)</f>
        <v/>
      </c>
      <c r="BL86" s="580" t="str">
        <f>IF('Marks Entry'!AF86="","",'Marks Entry'!AF86)</f>
        <v/>
      </c>
      <c r="BM86" s="581" t="str">
        <f t="shared" si="263"/>
        <v/>
      </c>
      <c r="BN86" s="580" t="str">
        <f>IF('Marks Entry'!AG86="","",'Marks Entry'!AG86)</f>
        <v/>
      </c>
      <c r="BO86" s="580" t="str">
        <f>IF('Marks Entry'!AH86="","",'Marks Entry'!AH86)</f>
        <v/>
      </c>
      <c r="BP86" s="581" t="str">
        <f t="shared" si="264"/>
        <v/>
      </c>
      <c r="BQ86" s="581" t="str">
        <f t="shared" si="265"/>
        <v/>
      </c>
      <c r="BR86" s="580" t="str">
        <f>IF('Marks Entry'!AI86="","",'Marks Entry'!AI86)</f>
        <v/>
      </c>
      <c r="BS86" s="580" t="str">
        <f>IF('Marks Entry'!AJ86="","",'Marks Entry'!AJ86)</f>
        <v/>
      </c>
      <c r="BT86" s="581" t="str">
        <f t="shared" si="266"/>
        <v/>
      </c>
      <c r="BU86" s="157" t="str">
        <f t="shared" si="267"/>
        <v/>
      </c>
      <c r="BV86" s="157" t="str">
        <f t="shared" si="268"/>
        <v/>
      </c>
      <c r="BW86" s="192" t="str">
        <f t="shared" si="269"/>
        <v/>
      </c>
      <c r="BX86" s="153">
        <f t="shared" si="270"/>
        <v>0</v>
      </c>
      <c r="BY86" s="154">
        <f t="shared" si="271"/>
        <v>0</v>
      </c>
      <c r="BZ86" s="154" t="str">
        <f t="shared" si="272"/>
        <v/>
      </c>
      <c r="CA86" s="154" t="str">
        <f t="shared" si="273"/>
        <v/>
      </c>
      <c r="CB86" s="154" t="str">
        <f t="shared" si="274"/>
        <v/>
      </c>
      <c r="CC86" s="153" t="str">
        <f t="shared" si="275"/>
        <v/>
      </c>
      <c r="CD86" s="154" t="str">
        <f t="shared" si="276"/>
        <v/>
      </c>
      <c r="CE86" s="153" t="str">
        <f t="shared" si="277"/>
        <v/>
      </c>
      <c r="CF86" s="580" t="str">
        <f>IF('Marks Entry'!AK86="","",'Marks Entry'!AK86)</f>
        <v/>
      </c>
      <c r="CG86" s="580" t="str">
        <f>IF('Marks Entry'!AL86="","",'Marks Entry'!AL86)</f>
        <v/>
      </c>
      <c r="CH86" s="580" t="str">
        <f>IF('Marks Entry'!AM86="","",'Marks Entry'!AM86)</f>
        <v/>
      </c>
      <c r="CI86" s="580" t="str">
        <f>IF('Marks Entry'!AN86="","",'Marks Entry'!AN86)</f>
        <v/>
      </c>
      <c r="CJ86" s="581" t="str">
        <f t="shared" si="278"/>
        <v/>
      </c>
      <c r="CK86" s="580" t="str">
        <f>IF('Marks Entry'!AO86="","",'Marks Entry'!AO86)</f>
        <v/>
      </c>
      <c r="CL86" s="580" t="str">
        <f>IF('Marks Entry'!AP86="","",'Marks Entry'!AP86)</f>
        <v/>
      </c>
      <c r="CM86" s="581" t="str">
        <f t="shared" si="279"/>
        <v/>
      </c>
      <c r="CN86" s="581" t="str">
        <f t="shared" si="280"/>
        <v/>
      </c>
      <c r="CO86" s="580" t="str">
        <f>IF('Marks Entry'!AQ86="","",'Marks Entry'!AQ86)</f>
        <v/>
      </c>
      <c r="CP86" s="580" t="str">
        <f>IF('Marks Entry'!AR86="","",'Marks Entry'!AR86)</f>
        <v/>
      </c>
      <c r="CQ86" s="581" t="str">
        <f t="shared" si="281"/>
        <v/>
      </c>
      <c r="CR86" s="157" t="str">
        <f t="shared" si="282"/>
        <v/>
      </c>
      <c r="CS86" s="157" t="str">
        <f t="shared" si="283"/>
        <v/>
      </c>
      <c r="CT86" s="192" t="str">
        <f t="shared" si="284"/>
        <v/>
      </c>
      <c r="CU86" s="153">
        <f t="shared" si="285"/>
        <v>0</v>
      </c>
      <c r="CV86" s="154">
        <f t="shared" si="286"/>
        <v>0</v>
      </c>
      <c r="CW86" s="154" t="str">
        <f t="shared" si="287"/>
        <v/>
      </c>
      <c r="CX86" s="154" t="str">
        <f t="shared" si="288"/>
        <v/>
      </c>
      <c r="CY86" s="154" t="str">
        <f t="shared" si="289"/>
        <v/>
      </c>
      <c r="CZ86" s="153" t="str">
        <f t="shared" si="290"/>
        <v/>
      </c>
      <c r="DA86" s="154" t="str">
        <f t="shared" si="291"/>
        <v/>
      </c>
      <c r="DB86" s="153" t="str">
        <f t="shared" si="292"/>
        <v/>
      </c>
      <c r="DC86" s="154">
        <f t="shared" si="293"/>
        <v>0</v>
      </c>
      <c r="DD86" s="826" t="str">
        <f>IF('Marks Entry'!AS86="","",IF(OR('Master Sheet'!$D$19="YES",'Marks Entry'!$BA$1=1),'Marks Entry'!AS86,""))</f>
        <v/>
      </c>
      <c r="DE86" s="826" t="str">
        <f>IF('Marks Entry'!AT86="","",IF(OR('Master Sheet'!$D$19="YES",'Marks Entry'!$BA$1=1),'Marks Entry'!AT86,""))</f>
        <v/>
      </c>
      <c r="DF86" s="826" t="str">
        <f>IF('Marks Entry'!AU86="","",IF(OR('Master Sheet'!$D$19="YES",'Marks Entry'!$BA$1=1),'Marks Entry'!AU86,""))</f>
        <v/>
      </c>
      <c r="DG86" s="826" t="str">
        <f>IF('Marks Entry'!AV86="","",IF(OR('Master Sheet'!$D$19="YES",'Marks Entry'!$BA$1=1),'Marks Entry'!AV86,""))</f>
        <v/>
      </c>
      <c r="DH86" s="827" t="str">
        <f t="shared" si="294"/>
        <v/>
      </c>
      <c r="DI86" s="826" t="str">
        <f>IF('Marks Entry'!AW86="","",IF(OR('Master Sheet'!$D$19="YES",'Marks Entry'!$BA$1=1),'Marks Entry'!AW86,""))</f>
        <v/>
      </c>
      <c r="DJ86" s="826" t="str">
        <f>IF('Marks Entry'!AX86="","",IF(OR('Master Sheet'!$D$19="YES",'Marks Entry'!$BA$1=1),'Marks Entry'!AX86,""))</f>
        <v/>
      </c>
      <c r="DK86" s="827" t="str">
        <f t="shared" si="295"/>
        <v/>
      </c>
      <c r="DL86" s="827" t="str">
        <f t="shared" si="296"/>
        <v/>
      </c>
      <c r="DM86" s="826" t="str">
        <f>IF('Marks Entry'!AY86="","",IF(OR('Master Sheet'!$D$19="YES",'Marks Entry'!$BA$1=1),'Marks Entry'!AY86,""))</f>
        <v/>
      </c>
      <c r="DN86" s="826" t="str">
        <f>IF('Marks Entry'!AZ86="","",IF(OR('Master Sheet'!$D$19="YES",'Marks Entry'!$BA$1=1),'Marks Entry'!AZ86,""))</f>
        <v/>
      </c>
      <c r="DO86" s="826" t="str">
        <f>IF('Marks Entry'!BA86="","",IF(OR('Master Sheet'!$D$19="YES",'Marks Entry'!$BA$1=1),'Marks Entry'!BA86,""))</f>
        <v/>
      </c>
      <c r="DP86" s="827" t="str">
        <f t="shared" si="297"/>
        <v/>
      </c>
      <c r="DQ86" s="157" t="str">
        <f t="shared" si="298"/>
        <v/>
      </c>
      <c r="DR86" s="157" t="str">
        <f t="shared" si="299"/>
        <v/>
      </c>
      <c r="DS86" s="157" t="str">
        <f t="shared" si="300"/>
        <v/>
      </c>
      <c r="DT86" s="192" t="str">
        <f t="shared" si="301"/>
        <v/>
      </c>
      <c r="DU86" s="153">
        <f t="shared" si="302"/>
        <v>0</v>
      </c>
      <c r="DV86" s="154" t="e">
        <f t="shared" si="303"/>
        <v>#VALUE!</v>
      </c>
      <c r="DW86" s="154" t="str">
        <f t="shared" si="304"/>
        <v/>
      </c>
      <c r="DX86" s="154" t="str">
        <f>IF(OR($B86="NSO",$B86=0,DS86=""),"",IF(AND(DJ86="",DO86=""),"",IF('Master Sheet'!$D$19="YES",$DO$6-COUNTIF(DO86,"ML")*DO$6,DS$6-(COUNTIF(DJ86,"ML")*DJ$6)-(COUNTIF(DO86,"ML")*DO$6))))</f>
        <v/>
      </c>
      <c r="DY86" s="154" t="str">
        <f>IF(OR($B86="NSO",$B86=0),"",IF(AND(DH86="",DI86="",DM86=""),"",IF(AND('Master Sheet'!$D$19="YES",'Marks Entry'!$BA$1=1),100,IF(AND(DJ86="",DO86=""),SUM(($DQ$7+$DR$7)-(DU86+DV86)),SUM(($DQ$6+$DR$6)-(DU86+DV86))))))</f>
        <v/>
      </c>
      <c r="DZ86" s="153" t="str">
        <f t="shared" si="305"/>
        <v/>
      </c>
      <c r="EA86" s="154" t="str">
        <f t="shared" si="306"/>
        <v/>
      </c>
      <c r="EB86" s="153" t="str">
        <f t="shared" si="307"/>
        <v/>
      </c>
      <c r="EC86" s="584" t="str">
        <f>IF('Marks Entry'!BB86="","",'Marks Entry'!BB86)</f>
        <v/>
      </c>
      <c r="ED86" s="584" t="str">
        <f>IF('Marks Entry'!BC86="","",'Marks Entry'!BC86)</f>
        <v/>
      </c>
      <c r="EE86" s="584" t="str">
        <f>IF('Marks Entry'!BD86="","",'Marks Entry'!BD86)</f>
        <v/>
      </c>
      <c r="EF86" s="590" t="str">
        <f t="shared" si="308"/>
        <v/>
      </c>
      <c r="EG86" s="595">
        <f t="shared" si="309"/>
        <v>0</v>
      </c>
      <c r="EH86" s="595">
        <f t="shared" si="310"/>
        <v>0</v>
      </c>
      <c r="EI86" s="193" t="str">
        <f t="shared" si="311"/>
        <v/>
      </c>
      <c r="EJ86" s="595" t="str">
        <f t="shared" si="312"/>
        <v/>
      </c>
      <c r="EK86" s="595" t="str">
        <f t="shared" si="313"/>
        <v/>
      </c>
      <c r="EL86" s="194" t="str">
        <f t="shared" si="314"/>
        <v/>
      </c>
      <c r="EM86" s="194" t="str">
        <f t="shared" si="315"/>
        <v/>
      </c>
      <c r="EN86" s="194" t="str">
        <f t="shared" si="316"/>
        <v/>
      </c>
      <c r="EO86" s="194" t="str">
        <f t="shared" si="317"/>
        <v/>
      </c>
      <c r="EP86" s="194" t="str">
        <f t="shared" si="318"/>
        <v/>
      </c>
      <c r="EQ86" s="194" t="str">
        <f t="shared" si="319"/>
        <v/>
      </c>
      <c r="ER86" s="195">
        <f t="shared" si="320"/>
        <v>0</v>
      </c>
      <c r="ES86" s="195">
        <f t="shared" si="321"/>
        <v>0</v>
      </c>
      <c r="ET86" s="195">
        <f t="shared" si="322"/>
        <v>0</v>
      </c>
      <c r="EU86" s="195">
        <f t="shared" si="323"/>
        <v>0</v>
      </c>
      <c r="EV86" s="195">
        <f t="shared" si="324"/>
        <v>0</v>
      </c>
      <c r="EW86" s="195" t="str">
        <f t="shared" si="325"/>
        <v/>
      </c>
      <c r="EX86" s="196" t="str">
        <f t="shared" si="326"/>
        <v/>
      </c>
      <c r="EY86" s="197" t="str">
        <f>IF('Marks Entry'!BE86="","",'Marks Entry'!BE86)</f>
        <v/>
      </c>
      <c r="EZ86" s="197" t="str">
        <f>IF('Marks Entry'!BF86="","",'Marks Entry'!BF86)</f>
        <v/>
      </c>
      <c r="FA86" s="197" t="str">
        <f>IF('Marks Entry'!BG86="","",'Marks Entry'!BG86)</f>
        <v/>
      </c>
      <c r="FB86" s="596" t="str">
        <f t="shared" si="327"/>
        <v/>
      </c>
      <c r="FC86" s="197" t="str">
        <f>IF('Marks Entry'!BH86="","",'Marks Entry'!BH86)</f>
        <v/>
      </c>
      <c r="FD86" s="197" t="str">
        <f>IF('Marks Entry'!BI86="","",'Marks Entry'!BI86)</f>
        <v/>
      </c>
      <c r="FE86" s="198" t="str">
        <f t="shared" si="328"/>
        <v/>
      </c>
      <c r="FF86" s="199" t="str">
        <f t="shared" si="329"/>
        <v/>
      </c>
      <c r="FG86" s="200" t="str">
        <f>IF(AND(E86=""),"",IF('Student DATA Entry'!L82="","",'Student DATA Entry'!L82))</f>
        <v/>
      </c>
      <c r="FH86" s="201" t="str">
        <f>IF(AND(E86=""),"",IF('Student DATA Entry'!M82="","",'Student DATA Entry'!M82))</f>
        <v/>
      </c>
      <c r="FI86" s="202" t="str">
        <f t="shared" si="330"/>
        <v/>
      </c>
      <c r="FJ86" s="189" t="str">
        <f t="shared" si="331"/>
        <v/>
      </c>
      <c r="FK86" s="189" t="str">
        <f t="shared" si="332"/>
        <v/>
      </c>
      <c r="FL86" s="203" t="str">
        <f t="shared" si="201"/>
        <v/>
      </c>
      <c r="FM86" s="189" t="str">
        <f t="shared" si="333"/>
        <v/>
      </c>
      <c r="FN86" s="204" t="str">
        <f t="shared" si="334"/>
        <v/>
      </c>
      <c r="FO86" s="203" t="str">
        <f t="shared" si="202"/>
        <v/>
      </c>
      <c r="FP86" s="205" t="str">
        <f t="shared" si="335"/>
        <v/>
      </c>
      <c r="FQ86" s="189" t="str">
        <f t="shared" si="203"/>
        <v/>
      </c>
      <c r="FR86" s="189" t="str">
        <f t="shared" si="204"/>
        <v/>
      </c>
      <c r="FS86" s="189" t="str">
        <f t="shared" si="205"/>
        <v/>
      </c>
      <c r="FT86" s="189" t="str">
        <f t="shared" si="206"/>
        <v/>
      </c>
      <c r="FU86" s="189" t="str">
        <f t="shared" si="336"/>
        <v/>
      </c>
      <c r="FV86" s="206" t="str">
        <f t="shared" si="207"/>
        <v/>
      </c>
      <c r="FW86" s="205" t="str">
        <f t="shared" si="337"/>
        <v/>
      </c>
      <c r="FX86" s="189" t="str">
        <f t="shared" si="208"/>
        <v/>
      </c>
      <c r="FY86" s="189" t="str">
        <f t="shared" si="209"/>
        <v/>
      </c>
      <c r="FZ86" s="189" t="str">
        <f t="shared" si="210"/>
        <v/>
      </c>
      <c r="GA86" s="189" t="str">
        <f t="shared" si="211"/>
        <v/>
      </c>
      <c r="GB86" s="189" t="str">
        <f t="shared" si="338"/>
        <v/>
      </c>
      <c r="GC86" s="206" t="str">
        <f t="shared" si="212"/>
        <v/>
      </c>
      <c r="GD86" s="205" t="str">
        <f t="shared" si="339"/>
        <v/>
      </c>
      <c r="GE86" s="189" t="str">
        <f t="shared" si="213"/>
        <v/>
      </c>
      <c r="GF86" s="189" t="str">
        <f t="shared" si="214"/>
        <v/>
      </c>
      <c r="GG86" s="189" t="str">
        <f t="shared" si="215"/>
        <v/>
      </c>
      <c r="GH86" s="189" t="str">
        <f t="shared" si="216"/>
        <v/>
      </c>
      <c r="GI86" s="189" t="str">
        <f t="shared" si="340"/>
        <v/>
      </c>
      <c r="GJ86" s="206" t="str">
        <f t="shared" si="217"/>
        <v/>
      </c>
      <c r="GK86" s="205" t="str">
        <f t="shared" si="341"/>
        <v/>
      </c>
      <c r="GL86" s="189" t="str">
        <f t="shared" si="218"/>
        <v/>
      </c>
      <c r="GM86" s="189" t="str">
        <f t="shared" si="219"/>
        <v/>
      </c>
      <c r="GN86" s="189" t="str">
        <f t="shared" si="220"/>
        <v/>
      </c>
      <c r="GO86" s="189" t="str">
        <f t="shared" si="221"/>
        <v/>
      </c>
      <c r="GP86" s="189" t="str">
        <f t="shared" si="342"/>
        <v/>
      </c>
      <c r="GQ86" s="206" t="str">
        <f t="shared" si="222"/>
        <v/>
      </c>
      <c r="GR86" s="189" t="str">
        <f t="shared" si="343"/>
        <v/>
      </c>
      <c r="GS86" s="189" t="str">
        <f t="shared" si="344"/>
        <v/>
      </c>
      <c r="GT86" s="207" t="str">
        <f t="shared" si="345"/>
        <v xml:space="preserve">    </v>
      </c>
      <c r="GU86" s="207" t="str">
        <f t="shared" si="346"/>
        <v xml:space="preserve">    </v>
      </c>
      <c r="GV86" s="207" t="str">
        <f t="shared" si="347"/>
        <v xml:space="preserve">    </v>
      </c>
      <c r="GW86" s="207" t="str">
        <f t="shared" si="348"/>
        <v xml:space="preserve">       </v>
      </c>
      <c r="GX86" s="598" t="str">
        <f t="shared" si="349"/>
        <v xml:space="preserve">     </v>
      </c>
      <c r="GY86" s="208" t="str">
        <f t="shared" si="223"/>
        <v/>
      </c>
      <c r="GZ86" s="606" t="str">
        <f>IF(AND(Q86="",AE86="",AZ86="",BW86="",CT86=""),"",IF(AND('Master Sheet'!$D$19="YES",'Marks Entry'!$BA$1=1),SUM(Q86,AE86,AZ86,BW86,DT86),SUM(Q86,AE86,AZ86,BW86,CT86)))</f>
        <v/>
      </c>
      <c r="HA86" s="209" t="str">
        <f>IF(GZ86="","",IF(AND('Master Sheet'!$D$19="YES",'Marks Entry'!$BA$1=1),GZ86/((900)-DC86)*100,GZ86/((1000)-DC86)*100))</f>
        <v/>
      </c>
      <c r="HB86" s="611" t="str">
        <f t="shared" si="350"/>
        <v/>
      </c>
      <c r="HC86" s="609" t="str">
        <f t="shared" si="351"/>
        <v/>
      </c>
      <c r="HD86" s="610" t="str">
        <f t="shared" si="352"/>
        <v/>
      </c>
      <c r="HE86" s="210" t="str">
        <f>IFERROR(IF(OR(GY86="SUPPLEMENTARY",GY86="RE-EXAM"),'Supp. Result Entry'!AS85,""),"")</f>
        <v/>
      </c>
      <c r="HF86" s="613" t="str">
        <f t="shared" si="353"/>
        <v/>
      </c>
      <c r="HG86" s="598" t="str">
        <f t="shared" si="354"/>
        <v/>
      </c>
      <c r="HH86" s="598" t="str">
        <f>IF(AND(HE86="",HF86="",HG86=""),"",IF(OR(GY86="SUPPLEMENTARY",GY86="RE-EXAM"),'Supp. Result Entry'!AS85,GY86))</f>
        <v/>
      </c>
      <c r="HI86" s="180"/>
      <c r="HY86" s="212" t="str">
        <f>IF('Supp. Result Entry'!U85="","",'Supp. Result Entry'!$U$6)</f>
        <v/>
      </c>
      <c r="HZ86" s="213" t="str">
        <f>IF('Supp. Result Entry'!X85="","",'Supp. Result Entry'!$X$6)</f>
        <v/>
      </c>
      <c r="IA86" s="213" t="str">
        <f>IF('Supp. Result Entry'!AA85="","",'Supp. Result Entry'!$AA$6)</f>
        <v/>
      </c>
      <c r="IB86" s="213" t="str">
        <f>IF('Supp. Result Entry'!AD85="","",'Supp. Result Entry'!$AD$6)</f>
        <v/>
      </c>
      <c r="IC86" s="213" t="str">
        <f>IF('Supp. Result Entry'!AG85="","",'Supp. Result Entry'!$AG$6)</f>
        <v/>
      </c>
      <c r="ID86" s="213" t="str">
        <f>IF('Supp. Result Entry'!AJ85="","",'Supp. Result Entry'!$AJ$6)</f>
        <v/>
      </c>
      <c r="IE86" s="213" t="str">
        <f>IF('Supp. Result Entry'!V85="","",'Supp. Result Entry'!V85)</f>
        <v/>
      </c>
      <c r="IF86" s="213" t="str">
        <f>IF('Supp. Result Entry'!Y85="","",'Supp. Result Entry'!Y85)</f>
        <v/>
      </c>
      <c r="IG86" s="213" t="str">
        <f>IF('Supp. Result Entry'!AB85="","",'Supp. Result Entry'!AB85)</f>
        <v/>
      </c>
      <c r="IH86" s="213" t="str">
        <f>IF('Supp. Result Entry'!AE85="","",'Supp. Result Entry'!AE85)</f>
        <v/>
      </c>
      <c r="II86" s="213" t="str">
        <f>IF('Supp. Result Entry'!AH85="","",'Supp. Result Entry'!AH85)</f>
        <v/>
      </c>
      <c r="IJ86" s="213" t="str">
        <f>IF('Supp. Result Entry'!AK85="","",'Supp. Result Entry'!AK85)</f>
        <v/>
      </c>
      <c r="IK86" s="213" t="str">
        <f>IF('Supp. Result Entry'!W85="","",'Supp. Result Entry'!W85)</f>
        <v/>
      </c>
      <c r="IL86" s="213" t="str">
        <f>IF('Supp. Result Entry'!Z85="","",'Supp. Result Entry'!Z85)</f>
        <v/>
      </c>
      <c r="IM86" s="213" t="str">
        <f>IF('Supp. Result Entry'!AC85="","",'Supp. Result Entry'!AC85)</f>
        <v/>
      </c>
      <c r="IN86" s="213" t="str">
        <f>IF('Supp. Result Entry'!AF85="","",'Supp. Result Entry'!AF85)</f>
        <v/>
      </c>
      <c r="IO86" s="213" t="str">
        <f>IF('Supp. Result Entry'!AI85="","",'Supp. Result Entry'!AI85)</f>
        <v/>
      </c>
      <c r="IP86" s="213" t="str">
        <f>IF('Supp. Result Entry'!AL85="","",'Supp. Result Entry'!AL85)</f>
        <v/>
      </c>
      <c r="IQ86" s="213">
        <f>COUNTIF('Supp. Result Entry'!K85:Q85,"S")</f>
        <v>0</v>
      </c>
      <c r="IR86" s="213">
        <f t="shared" si="355"/>
        <v>0</v>
      </c>
      <c r="IS86" s="213">
        <f t="shared" si="356"/>
        <v>0</v>
      </c>
      <c r="IT86" s="213" t="str">
        <f t="shared" si="224"/>
        <v/>
      </c>
      <c r="IU86" s="213" t="str">
        <f t="shared" si="225"/>
        <v/>
      </c>
      <c r="IV86" s="213" t="str">
        <f t="shared" si="226"/>
        <v/>
      </c>
      <c r="IW86" s="213" t="str">
        <f t="shared" si="227"/>
        <v/>
      </c>
      <c r="IX86" s="213" t="str">
        <f t="shared" si="228"/>
        <v/>
      </c>
      <c r="IY86" s="213" t="str">
        <f t="shared" si="357"/>
        <v/>
      </c>
      <c r="IZ86" s="213" t="str">
        <f t="shared" si="358"/>
        <v/>
      </c>
      <c r="JA86" s="213" t="str">
        <f t="shared" si="229"/>
        <v/>
      </c>
      <c r="JB86" s="211" t="str">
        <f t="shared" si="359"/>
        <v/>
      </c>
    </row>
    <row r="87" spans="1:262" s="211" customFormat="1" ht="21" customHeight="1">
      <c r="A87" s="184">
        <v>80</v>
      </c>
      <c r="B87" s="185" t="str">
        <f>IF('Marks Entry'!B87="","",'Marks Entry'!B87)</f>
        <v/>
      </c>
      <c r="C87" s="186" t="str">
        <f>IF('Marks Entry'!D87="","",'Marks Entry'!D87)</f>
        <v/>
      </c>
      <c r="D87" s="187" t="str">
        <f>IF('Marks Entry'!E87="","",'Marks Entry'!E87)</f>
        <v/>
      </c>
      <c r="E87" s="188" t="str">
        <f>IF('Marks Entry'!F87="","",'Marks Entry'!F87)</f>
        <v/>
      </c>
      <c r="F87" s="188" t="str">
        <f>IF('Marks Entry'!G87="","",'Marks Entry'!G87)</f>
        <v/>
      </c>
      <c r="G87" s="188" t="str">
        <f>IF('Marks Entry'!H87="","",'Marks Entry'!H87)</f>
        <v/>
      </c>
      <c r="H87" s="189" t="str">
        <f>IF('Marks Entry'!I87="","",'Marks Entry'!I87)</f>
        <v/>
      </c>
      <c r="I87" s="190" t="str">
        <f>IF('Marks Entry'!J87="","",'Marks Entry'!J87)</f>
        <v/>
      </c>
      <c r="J87" s="545" t="str">
        <f>IF('Marks Entry'!K87="","",'Marks Entry'!K87)</f>
        <v/>
      </c>
      <c r="K87" s="545" t="str">
        <f>IF('Marks Entry'!L87="","",'Marks Entry'!L87)</f>
        <v/>
      </c>
      <c r="L87" s="545" t="str">
        <f>IF('Marks Entry'!M87="","",'Marks Entry'!M87)</f>
        <v/>
      </c>
      <c r="M87" s="546" t="str">
        <f t="shared" si="230"/>
        <v/>
      </c>
      <c r="N87" s="545" t="str">
        <f>IF('Marks Entry'!N87="","",'Marks Entry'!N87)</f>
        <v/>
      </c>
      <c r="O87" s="546" t="str">
        <f t="shared" si="231"/>
        <v/>
      </c>
      <c r="P87" s="545" t="str">
        <f>IF('Marks Entry'!O87="","",'Marks Entry'!O87)</f>
        <v/>
      </c>
      <c r="Q87" s="547" t="str">
        <f t="shared" si="232"/>
        <v/>
      </c>
      <c r="R87" s="153">
        <f t="shared" si="233"/>
        <v>0</v>
      </c>
      <c r="S87" s="153">
        <f t="shared" si="234"/>
        <v>0</v>
      </c>
      <c r="T87" s="154" t="str">
        <f t="shared" si="235"/>
        <v/>
      </c>
      <c r="U87" s="153" t="str">
        <f t="shared" si="236"/>
        <v/>
      </c>
      <c r="V87" s="153" t="str">
        <f t="shared" si="237"/>
        <v/>
      </c>
      <c r="W87" s="153" t="str">
        <f t="shared" si="238"/>
        <v/>
      </c>
      <c r="X87" s="545" t="str">
        <f>IF('Marks Entry'!P87="","",'Marks Entry'!P87)</f>
        <v/>
      </c>
      <c r="Y87" s="545" t="str">
        <f>IF('Marks Entry'!Q87="","",'Marks Entry'!Q87)</f>
        <v/>
      </c>
      <c r="Z87" s="545" t="str">
        <f>IF('Marks Entry'!R87="","",'Marks Entry'!R87)</f>
        <v/>
      </c>
      <c r="AA87" s="546" t="str">
        <f t="shared" si="239"/>
        <v/>
      </c>
      <c r="AB87" s="545" t="str">
        <f>IF('Marks Entry'!S87="","",'Marks Entry'!S87)</f>
        <v/>
      </c>
      <c r="AC87" s="546" t="str">
        <f t="shared" si="240"/>
        <v/>
      </c>
      <c r="AD87" s="545" t="str">
        <f>IF('Marks Entry'!T87="","",'Marks Entry'!T87)</f>
        <v/>
      </c>
      <c r="AE87" s="547" t="str">
        <f t="shared" si="241"/>
        <v/>
      </c>
      <c r="AF87" s="153">
        <f t="shared" si="242"/>
        <v>0</v>
      </c>
      <c r="AG87" s="153">
        <f t="shared" si="243"/>
        <v>0</v>
      </c>
      <c r="AH87" s="154" t="str">
        <f t="shared" si="244"/>
        <v/>
      </c>
      <c r="AI87" s="153" t="str">
        <f t="shared" si="245"/>
        <v/>
      </c>
      <c r="AJ87" s="153" t="str">
        <f t="shared" si="246"/>
        <v/>
      </c>
      <c r="AK87" s="153" t="str">
        <f t="shared" si="247"/>
        <v/>
      </c>
      <c r="AL87" s="573" t="str">
        <f>IF('Marks Entry'!U87="","",'Marks Entry'!U87)</f>
        <v/>
      </c>
      <c r="AM87" s="573" t="str">
        <f>IF('Marks Entry'!V87="","",'Marks Entry'!V87)</f>
        <v/>
      </c>
      <c r="AN87" s="573" t="str">
        <f>IF('Marks Entry'!W87="","",'Marks Entry'!W87)</f>
        <v/>
      </c>
      <c r="AO87" s="573" t="str">
        <f>IF('Marks Entry'!X87="","",'Marks Entry'!X87)</f>
        <v/>
      </c>
      <c r="AP87" s="572" t="str">
        <f t="shared" si="248"/>
        <v/>
      </c>
      <c r="AQ87" s="573" t="str">
        <f>IF('Marks Entry'!Y87="","",'Marks Entry'!Y87)</f>
        <v/>
      </c>
      <c r="AR87" s="573" t="str">
        <f>IF('Marks Entry'!Z87="","",'Marks Entry'!Z87)</f>
        <v/>
      </c>
      <c r="AS87" s="572" t="str">
        <f t="shared" si="249"/>
        <v/>
      </c>
      <c r="AT87" s="572" t="str">
        <f t="shared" si="250"/>
        <v/>
      </c>
      <c r="AU87" s="573" t="str">
        <f>IF('Marks Entry'!AA87="","",'Marks Entry'!AA87)</f>
        <v/>
      </c>
      <c r="AV87" s="573" t="str">
        <f>IF('Marks Entry'!AB87="","",'Marks Entry'!AB87)</f>
        <v/>
      </c>
      <c r="AW87" s="572" t="str">
        <f t="shared" si="251"/>
        <v/>
      </c>
      <c r="AX87" s="157" t="str">
        <f t="shared" si="252"/>
        <v/>
      </c>
      <c r="AY87" s="157" t="str">
        <f t="shared" si="253"/>
        <v/>
      </c>
      <c r="AZ87" s="192" t="str">
        <f t="shared" si="254"/>
        <v/>
      </c>
      <c r="BA87" s="153">
        <f t="shared" si="255"/>
        <v>0</v>
      </c>
      <c r="BB87" s="154">
        <f t="shared" si="256"/>
        <v>0</v>
      </c>
      <c r="BC87" s="154" t="str">
        <f t="shared" si="257"/>
        <v/>
      </c>
      <c r="BD87" s="154" t="str">
        <f t="shared" si="258"/>
        <v/>
      </c>
      <c r="BE87" s="154" t="str">
        <f t="shared" si="259"/>
        <v/>
      </c>
      <c r="BF87" s="153" t="str">
        <f t="shared" si="260"/>
        <v/>
      </c>
      <c r="BG87" s="154" t="str">
        <f t="shared" si="261"/>
        <v/>
      </c>
      <c r="BH87" s="153" t="str">
        <f t="shared" si="262"/>
        <v/>
      </c>
      <c r="BI87" s="580" t="str">
        <f>IF('Marks Entry'!AC87="","",'Marks Entry'!AC87)</f>
        <v/>
      </c>
      <c r="BJ87" s="580" t="str">
        <f>IF('Marks Entry'!AD87="","",'Marks Entry'!AD87)</f>
        <v/>
      </c>
      <c r="BK87" s="580" t="str">
        <f>IF('Marks Entry'!AE87="","",'Marks Entry'!AE87)</f>
        <v/>
      </c>
      <c r="BL87" s="580" t="str">
        <f>IF('Marks Entry'!AF87="","",'Marks Entry'!AF87)</f>
        <v/>
      </c>
      <c r="BM87" s="581" t="str">
        <f t="shared" si="263"/>
        <v/>
      </c>
      <c r="BN87" s="580" t="str">
        <f>IF('Marks Entry'!AG87="","",'Marks Entry'!AG87)</f>
        <v/>
      </c>
      <c r="BO87" s="580" t="str">
        <f>IF('Marks Entry'!AH87="","",'Marks Entry'!AH87)</f>
        <v/>
      </c>
      <c r="BP87" s="581" t="str">
        <f t="shared" si="264"/>
        <v/>
      </c>
      <c r="BQ87" s="581" t="str">
        <f t="shared" si="265"/>
        <v/>
      </c>
      <c r="BR87" s="580" t="str">
        <f>IF('Marks Entry'!AI87="","",'Marks Entry'!AI87)</f>
        <v/>
      </c>
      <c r="BS87" s="580" t="str">
        <f>IF('Marks Entry'!AJ87="","",'Marks Entry'!AJ87)</f>
        <v/>
      </c>
      <c r="BT87" s="581" t="str">
        <f t="shared" si="266"/>
        <v/>
      </c>
      <c r="BU87" s="157" t="str">
        <f t="shared" si="267"/>
        <v/>
      </c>
      <c r="BV87" s="157" t="str">
        <f t="shared" si="268"/>
        <v/>
      </c>
      <c r="BW87" s="192" t="str">
        <f t="shared" si="269"/>
        <v/>
      </c>
      <c r="BX87" s="153">
        <f t="shared" si="270"/>
        <v>0</v>
      </c>
      <c r="BY87" s="154">
        <f t="shared" si="271"/>
        <v>0</v>
      </c>
      <c r="BZ87" s="154" t="str">
        <f t="shared" si="272"/>
        <v/>
      </c>
      <c r="CA87" s="154" t="str">
        <f t="shared" si="273"/>
        <v/>
      </c>
      <c r="CB87" s="154" t="str">
        <f t="shared" si="274"/>
        <v/>
      </c>
      <c r="CC87" s="153" t="str">
        <f t="shared" si="275"/>
        <v/>
      </c>
      <c r="CD87" s="154" t="str">
        <f t="shared" si="276"/>
        <v/>
      </c>
      <c r="CE87" s="153" t="str">
        <f t="shared" si="277"/>
        <v/>
      </c>
      <c r="CF87" s="580" t="str">
        <f>IF('Marks Entry'!AK87="","",'Marks Entry'!AK87)</f>
        <v/>
      </c>
      <c r="CG87" s="580" t="str">
        <f>IF('Marks Entry'!AL87="","",'Marks Entry'!AL87)</f>
        <v/>
      </c>
      <c r="CH87" s="580" t="str">
        <f>IF('Marks Entry'!AM87="","",'Marks Entry'!AM87)</f>
        <v/>
      </c>
      <c r="CI87" s="580" t="str">
        <f>IF('Marks Entry'!AN87="","",'Marks Entry'!AN87)</f>
        <v/>
      </c>
      <c r="CJ87" s="581" t="str">
        <f t="shared" si="278"/>
        <v/>
      </c>
      <c r="CK87" s="580" t="str">
        <f>IF('Marks Entry'!AO87="","",'Marks Entry'!AO87)</f>
        <v/>
      </c>
      <c r="CL87" s="580" t="str">
        <f>IF('Marks Entry'!AP87="","",'Marks Entry'!AP87)</f>
        <v/>
      </c>
      <c r="CM87" s="581" t="str">
        <f t="shared" si="279"/>
        <v/>
      </c>
      <c r="CN87" s="581" t="str">
        <f t="shared" si="280"/>
        <v/>
      </c>
      <c r="CO87" s="580" t="str">
        <f>IF('Marks Entry'!AQ87="","",'Marks Entry'!AQ87)</f>
        <v/>
      </c>
      <c r="CP87" s="580" t="str">
        <f>IF('Marks Entry'!AR87="","",'Marks Entry'!AR87)</f>
        <v/>
      </c>
      <c r="CQ87" s="581" t="str">
        <f t="shared" si="281"/>
        <v/>
      </c>
      <c r="CR87" s="157" t="str">
        <f t="shared" si="282"/>
        <v/>
      </c>
      <c r="CS87" s="157" t="str">
        <f t="shared" si="283"/>
        <v/>
      </c>
      <c r="CT87" s="192" t="str">
        <f t="shared" si="284"/>
        <v/>
      </c>
      <c r="CU87" s="153">
        <f t="shared" si="285"/>
        <v>0</v>
      </c>
      <c r="CV87" s="154">
        <f t="shared" si="286"/>
        <v>0</v>
      </c>
      <c r="CW87" s="154" t="str">
        <f t="shared" si="287"/>
        <v/>
      </c>
      <c r="CX87" s="154" t="str">
        <f t="shared" si="288"/>
        <v/>
      </c>
      <c r="CY87" s="154" t="str">
        <f t="shared" si="289"/>
        <v/>
      </c>
      <c r="CZ87" s="153" t="str">
        <f t="shared" si="290"/>
        <v/>
      </c>
      <c r="DA87" s="154" t="str">
        <f t="shared" si="291"/>
        <v/>
      </c>
      <c r="DB87" s="153" t="str">
        <f t="shared" si="292"/>
        <v/>
      </c>
      <c r="DC87" s="154">
        <f t="shared" si="293"/>
        <v>0</v>
      </c>
      <c r="DD87" s="826" t="str">
        <f>IF('Marks Entry'!AS87="","",IF(OR('Master Sheet'!$D$19="YES",'Marks Entry'!$BA$1=1),'Marks Entry'!AS87,""))</f>
        <v/>
      </c>
      <c r="DE87" s="826" t="str">
        <f>IF('Marks Entry'!AT87="","",IF(OR('Master Sheet'!$D$19="YES",'Marks Entry'!$BA$1=1),'Marks Entry'!AT87,""))</f>
        <v/>
      </c>
      <c r="DF87" s="826" t="str">
        <f>IF('Marks Entry'!AU87="","",IF(OR('Master Sheet'!$D$19="YES",'Marks Entry'!$BA$1=1),'Marks Entry'!AU87,""))</f>
        <v/>
      </c>
      <c r="DG87" s="826" t="str">
        <f>IF('Marks Entry'!AV87="","",IF(OR('Master Sheet'!$D$19="YES",'Marks Entry'!$BA$1=1),'Marks Entry'!AV87,""))</f>
        <v/>
      </c>
      <c r="DH87" s="827" t="str">
        <f t="shared" si="294"/>
        <v/>
      </c>
      <c r="DI87" s="826" t="str">
        <f>IF('Marks Entry'!AW87="","",IF(OR('Master Sheet'!$D$19="YES",'Marks Entry'!$BA$1=1),'Marks Entry'!AW87,""))</f>
        <v/>
      </c>
      <c r="DJ87" s="826" t="str">
        <f>IF('Marks Entry'!AX87="","",IF(OR('Master Sheet'!$D$19="YES",'Marks Entry'!$BA$1=1),'Marks Entry'!AX87,""))</f>
        <v/>
      </c>
      <c r="DK87" s="827" t="str">
        <f t="shared" si="295"/>
        <v/>
      </c>
      <c r="DL87" s="827" t="str">
        <f t="shared" si="296"/>
        <v/>
      </c>
      <c r="DM87" s="826" t="str">
        <f>IF('Marks Entry'!AY87="","",IF(OR('Master Sheet'!$D$19="YES",'Marks Entry'!$BA$1=1),'Marks Entry'!AY87,""))</f>
        <v/>
      </c>
      <c r="DN87" s="826" t="str">
        <f>IF('Marks Entry'!AZ87="","",IF(OR('Master Sheet'!$D$19="YES",'Marks Entry'!$BA$1=1),'Marks Entry'!AZ87,""))</f>
        <v/>
      </c>
      <c r="DO87" s="826" t="str">
        <f>IF('Marks Entry'!BA87="","",IF(OR('Master Sheet'!$D$19="YES",'Marks Entry'!$BA$1=1),'Marks Entry'!BA87,""))</f>
        <v/>
      </c>
      <c r="DP87" s="827" t="str">
        <f t="shared" si="297"/>
        <v/>
      </c>
      <c r="DQ87" s="157" t="str">
        <f t="shared" si="298"/>
        <v/>
      </c>
      <c r="DR87" s="157" t="str">
        <f t="shared" si="299"/>
        <v/>
      </c>
      <c r="DS87" s="157" t="str">
        <f t="shared" si="300"/>
        <v/>
      </c>
      <c r="DT87" s="192" t="str">
        <f t="shared" si="301"/>
        <v/>
      </c>
      <c r="DU87" s="153">
        <f t="shared" si="302"/>
        <v>0</v>
      </c>
      <c r="DV87" s="154" t="e">
        <f t="shared" si="303"/>
        <v>#VALUE!</v>
      </c>
      <c r="DW87" s="154" t="str">
        <f t="shared" si="304"/>
        <v/>
      </c>
      <c r="DX87" s="154" t="str">
        <f>IF(OR($B87="NSO",$B87=0,DS87=""),"",IF(AND(DJ87="",DO87=""),"",IF('Master Sheet'!$D$19="YES",$DO$6-COUNTIF(DO87,"ML")*DO$6,DS$6-(COUNTIF(DJ87,"ML")*DJ$6)-(COUNTIF(DO87,"ML")*DO$6))))</f>
        <v/>
      </c>
      <c r="DY87" s="154" t="str">
        <f>IF(OR($B87="NSO",$B87=0),"",IF(AND(DH87="",DI87="",DM87=""),"",IF(AND('Master Sheet'!$D$19="YES",'Marks Entry'!$BA$1=1),100,IF(AND(DJ87="",DO87=""),SUM(($DQ$7+$DR$7)-(DU87+DV87)),SUM(($DQ$6+$DR$6)-(DU87+DV87))))))</f>
        <v/>
      </c>
      <c r="DZ87" s="153" t="str">
        <f t="shared" si="305"/>
        <v/>
      </c>
      <c r="EA87" s="154" t="str">
        <f t="shared" si="306"/>
        <v/>
      </c>
      <c r="EB87" s="153" t="str">
        <f t="shared" si="307"/>
        <v/>
      </c>
      <c r="EC87" s="584" t="str">
        <f>IF('Marks Entry'!BB87="","",'Marks Entry'!BB87)</f>
        <v/>
      </c>
      <c r="ED87" s="584" t="str">
        <f>IF('Marks Entry'!BC87="","",'Marks Entry'!BC87)</f>
        <v/>
      </c>
      <c r="EE87" s="584" t="str">
        <f>IF('Marks Entry'!BD87="","",'Marks Entry'!BD87)</f>
        <v/>
      </c>
      <c r="EF87" s="590" t="str">
        <f t="shared" si="308"/>
        <v/>
      </c>
      <c r="EG87" s="595">
        <f t="shared" si="309"/>
        <v>0</v>
      </c>
      <c r="EH87" s="595">
        <f t="shared" si="310"/>
        <v>0</v>
      </c>
      <c r="EI87" s="193" t="str">
        <f t="shared" si="311"/>
        <v/>
      </c>
      <c r="EJ87" s="595" t="str">
        <f t="shared" si="312"/>
        <v/>
      </c>
      <c r="EK87" s="595" t="str">
        <f t="shared" si="313"/>
        <v/>
      </c>
      <c r="EL87" s="194" t="str">
        <f t="shared" si="314"/>
        <v/>
      </c>
      <c r="EM87" s="194" t="str">
        <f t="shared" si="315"/>
        <v/>
      </c>
      <c r="EN87" s="194" t="str">
        <f t="shared" si="316"/>
        <v/>
      </c>
      <c r="EO87" s="194" t="str">
        <f t="shared" si="317"/>
        <v/>
      </c>
      <c r="EP87" s="194" t="str">
        <f t="shared" si="318"/>
        <v/>
      </c>
      <c r="EQ87" s="194" t="str">
        <f t="shared" si="319"/>
        <v/>
      </c>
      <c r="ER87" s="195">
        <f t="shared" si="320"/>
        <v>0</v>
      </c>
      <c r="ES87" s="195">
        <f t="shared" si="321"/>
        <v>0</v>
      </c>
      <c r="ET87" s="195">
        <f t="shared" si="322"/>
        <v>0</v>
      </c>
      <c r="EU87" s="195">
        <f t="shared" si="323"/>
        <v>0</v>
      </c>
      <c r="EV87" s="195">
        <f t="shared" si="324"/>
        <v>0</v>
      </c>
      <c r="EW87" s="195" t="str">
        <f t="shared" si="325"/>
        <v/>
      </c>
      <c r="EX87" s="196" t="str">
        <f t="shared" si="326"/>
        <v/>
      </c>
      <c r="EY87" s="197" t="str">
        <f>IF('Marks Entry'!BE87="","",'Marks Entry'!BE87)</f>
        <v/>
      </c>
      <c r="EZ87" s="197" t="str">
        <f>IF('Marks Entry'!BF87="","",'Marks Entry'!BF87)</f>
        <v/>
      </c>
      <c r="FA87" s="197" t="str">
        <f>IF('Marks Entry'!BG87="","",'Marks Entry'!BG87)</f>
        <v/>
      </c>
      <c r="FB87" s="596" t="str">
        <f t="shared" si="327"/>
        <v/>
      </c>
      <c r="FC87" s="197" t="str">
        <f>IF('Marks Entry'!BH87="","",'Marks Entry'!BH87)</f>
        <v/>
      </c>
      <c r="FD87" s="197" t="str">
        <f>IF('Marks Entry'!BI87="","",'Marks Entry'!BI87)</f>
        <v/>
      </c>
      <c r="FE87" s="198" t="str">
        <f t="shared" si="328"/>
        <v/>
      </c>
      <c r="FF87" s="199" t="str">
        <f t="shared" si="329"/>
        <v/>
      </c>
      <c r="FG87" s="200" t="str">
        <f>IF(AND(E87=""),"",IF('Student DATA Entry'!L83="","",'Student DATA Entry'!L83))</f>
        <v/>
      </c>
      <c r="FH87" s="201" t="str">
        <f>IF(AND(E87=""),"",IF('Student DATA Entry'!M83="","",'Student DATA Entry'!M83))</f>
        <v/>
      </c>
      <c r="FI87" s="202" t="str">
        <f t="shared" si="330"/>
        <v/>
      </c>
      <c r="FJ87" s="189" t="str">
        <f t="shared" si="331"/>
        <v/>
      </c>
      <c r="FK87" s="189" t="str">
        <f t="shared" si="332"/>
        <v/>
      </c>
      <c r="FL87" s="203" t="str">
        <f t="shared" si="201"/>
        <v/>
      </c>
      <c r="FM87" s="189" t="str">
        <f t="shared" si="333"/>
        <v/>
      </c>
      <c r="FN87" s="204" t="str">
        <f t="shared" si="334"/>
        <v/>
      </c>
      <c r="FO87" s="203" t="str">
        <f t="shared" si="202"/>
        <v/>
      </c>
      <c r="FP87" s="205" t="str">
        <f t="shared" si="335"/>
        <v/>
      </c>
      <c r="FQ87" s="189" t="str">
        <f t="shared" si="203"/>
        <v/>
      </c>
      <c r="FR87" s="189" t="str">
        <f t="shared" si="204"/>
        <v/>
      </c>
      <c r="FS87" s="189" t="str">
        <f t="shared" si="205"/>
        <v/>
      </c>
      <c r="FT87" s="189" t="str">
        <f t="shared" si="206"/>
        <v/>
      </c>
      <c r="FU87" s="189" t="str">
        <f t="shared" si="336"/>
        <v/>
      </c>
      <c r="FV87" s="206" t="str">
        <f t="shared" si="207"/>
        <v/>
      </c>
      <c r="FW87" s="205" t="str">
        <f t="shared" si="337"/>
        <v/>
      </c>
      <c r="FX87" s="189" t="str">
        <f t="shared" si="208"/>
        <v/>
      </c>
      <c r="FY87" s="189" t="str">
        <f t="shared" si="209"/>
        <v/>
      </c>
      <c r="FZ87" s="189" t="str">
        <f t="shared" si="210"/>
        <v/>
      </c>
      <c r="GA87" s="189" t="str">
        <f t="shared" si="211"/>
        <v/>
      </c>
      <c r="GB87" s="189" t="str">
        <f t="shared" si="338"/>
        <v/>
      </c>
      <c r="GC87" s="206" t="str">
        <f t="shared" si="212"/>
        <v/>
      </c>
      <c r="GD87" s="205" t="str">
        <f t="shared" si="339"/>
        <v/>
      </c>
      <c r="GE87" s="189" t="str">
        <f t="shared" si="213"/>
        <v/>
      </c>
      <c r="GF87" s="189" t="str">
        <f t="shared" si="214"/>
        <v/>
      </c>
      <c r="GG87" s="189" t="str">
        <f t="shared" si="215"/>
        <v/>
      </c>
      <c r="GH87" s="189" t="str">
        <f t="shared" si="216"/>
        <v/>
      </c>
      <c r="GI87" s="189" t="str">
        <f t="shared" si="340"/>
        <v/>
      </c>
      <c r="GJ87" s="206" t="str">
        <f t="shared" si="217"/>
        <v/>
      </c>
      <c r="GK87" s="205" t="str">
        <f t="shared" si="341"/>
        <v/>
      </c>
      <c r="GL87" s="189" t="str">
        <f t="shared" si="218"/>
        <v/>
      </c>
      <c r="GM87" s="189" t="str">
        <f t="shared" si="219"/>
        <v/>
      </c>
      <c r="GN87" s="189" t="str">
        <f t="shared" si="220"/>
        <v/>
      </c>
      <c r="GO87" s="189" t="str">
        <f t="shared" si="221"/>
        <v/>
      </c>
      <c r="GP87" s="189" t="str">
        <f t="shared" si="342"/>
        <v/>
      </c>
      <c r="GQ87" s="206" t="str">
        <f t="shared" si="222"/>
        <v/>
      </c>
      <c r="GR87" s="189" t="str">
        <f t="shared" si="343"/>
        <v/>
      </c>
      <c r="GS87" s="189" t="str">
        <f t="shared" si="344"/>
        <v/>
      </c>
      <c r="GT87" s="207" t="str">
        <f t="shared" si="345"/>
        <v xml:space="preserve">    </v>
      </c>
      <c r="GU87" s="207" t="str">
        <f t="shared" si="346"/>
        <v xml:space="preserve">    </v>
      </c>
      <c r="GV87" s="207" t="str">
        <f t="shared" si="347"/>
        <v xml:space="preserve">    </v>
      </c>
      <c r="GW87" s="207" t="str">
        <f t="shared" si="348"/>
        <v xml:space="preserve">       </v>
      </c>
      <c r="GX87" s="598" t="str">
        <f t="shared" si="349"/>
        <v xml:space="preserve">     </v>
      </c>
      <c r="GY87" s="208" t="str">
        <f t="shared" si="223"/>
        <v/>
      </c>
      <c r="GZ87" s="606" t="str">
        <f>IF(AND(Q87="",AE87="",AZ87="",BW87="",CT87=""),"",IF(AND('Master Sheet'!$D$19="YES",'Marks Entry'!$BA$1=1),SUM(Q87,AE87,AZ87,BW87,DT87),SUM(Q87,AE87,AZ87,BW87,CT87)))</f>
        <v/>
      </c>
      <c r="HA87" s="209" t="str">
        <f>IF(GZ87="","",IF(AND('Master Sheet'!$D$19="YES",'Marks Entry'!$BA$1=1),GZ87/((900)-DC87)*100,GZ87/((1000)-DC87)*100))</f>
        <v/>
      </c>
      <c r="HB87" s="611" t="str">
        <f t="shared" si="350"/>
        <v/>
      </c>
      <c r="HC87" s="609" t="str">
        <f t="shared" si="351"/>
        <v/>
      </c>
      <c r="HD87" s="610" t="str">
        <f t="shared" si="352"/>
        <v/>
      </c>
      <c r="HE87" s="210" t="str">
        <f>IFERROR(IF(OR(GY87="SUPPLEMENTARY",GY87="RE-EXAM"),'Supp. Result Entry'!AS86,""),"")</f>
        <v/>
      </c>
      <c r="HF87" s="613" t="str">
        <f t="shared" si="353"/>
        <v/>
      </c>
      <c r="HG87" s="598" t="str">
        <f t="shared" si="354"/>
        <v/>
      </c>
      <c r="HH87" s="598" t="str">
        <f>IF(AND(HE87="",HF87="",HG87=""),"",IF(OR(GY87="SUPPLEMENTARY",GY87="RE-EXAM"),'Supp. Result Entry'!AS86,GY87))</f>
        <v/>
      </c>
      <c r="HI87" s="180"/>
      <c r="HY87" s="212" t="str">
        <f>IF('Supp. Result Entry'!U86="","",'Supp. Result Entry'!$U$6)</f>
        <v/>
      </c>
      <c r="HZ87" s="213" t="str">
        <f>IF('Supp. Result Entry'!X86="","",'Supp. Result Entry'!$X$6)</f>
        <v/>
      </c>
      <c r="IA87" s="213" t="str">
        <f>IF('Supp. Result Entry'!AA86="","",'Supp. Result Entry'!$AA$6)</f>
        <v/>
      </c>
      <c r="IB87" s="213" t="str">
        <f>IF('Supp. Result Entry'!AD86="","",'Supp. Result Entry'!$AD$6)</f>
        <v/>
      </c>
      <c r="IC87" s="213" t="str">
        <f>IF('Supp. Result Entry'!AG86="","",'Supp. Result Entry'!$AG$6)</f>
        <v/>
      </c>
      <c r="ID87" s="213" t="str">
        <f>IF('Supp. Result Entry'!AJ86="","",'Supp. Result Entry'!$AJ$6)</f>
        <v/>
      </c>
      <c r="IE87" s="213" t="str">
        <f>IF('Supp. Result Entry'!V86="","",'Supp. Result Entry'!V86)</f>
        <v/>
      </c>
      <c r="IF87" s="213" t="str">
        <f>IF('Supp. Result Entry'!Y86="","",'Supp. Result Entry'!Y86)</f>
        <v/>
      </c>
      <c r="IG87" s="213" t="str">
        <f>IF('Supp. Result Entry'!AB86="","",'Supp. Result Entry'!AB86)</f>
        <v/>
      </c>
      <c r="IH87" s="213" t="str">
        <f>IF('Supp. Result Entry'!AE86="","",'Supp. Result Entry'!AE86)</f>
        <v/>
      </c>
      <c r="II87" s="213" t="str">
        <f>IF('Supp. Result Entry'!AH86="","",'Supp. Result Entry'!AH86)</f>
        <v/>
      </c>
      <c r="IJ87" s="213" t="str">
        <f>IF('Supp. Result Entry'!AK86="","",'Supp. Result Entry'!AK86)</f>
        <v/>
      </c>
      <c r="IK87" s="213" t="str">
        <f>IF('Supp. Result Entry'!W86="","",'Supp. Result Entry'!W86)</f>
        <v/>
      </c>
      <c r="IL87" s="213" t="str">
        <f>IF('Supp. Result Entry'!Z86="","",'Supp. Result Entry'!Z86)</f>
        <v/>
      </c>
      <c r="IM87" s="213" t="str">
        <f>IF('Supp. Result Entry'!AC86="","",'Supp. Result Entry'!AC86)</f>
        <v/>
      </c>
      <c r="IN87" s="213" t="str">
        <f>IF('Supp. Result Entry'!AF86="","",'Supp. Result Entry'!AF86)</f>
        <v/>
      </c>
      <c r="IO87" s="213" t="str">
        <f>IF('Supp. Result Entry'!AI86="","",'Supp. Result Entry'!AI86)</f>
        <v/>
      </c>
      <c r="IP87" s="213" t="str">
        <f>IF('Supp. Result Entry'!AL86="","",'Supp. Result Entry'!AL86)</f>
        <v/>
      </c>
      <c r="IQ87" s="213">
        <f>COUNTIF('Supp. Result Entry'!K86:Q86,"S")</f>
        <v>0</v>
      </c>
      <c r="IR87" s="213">
        <f t="shared" si="355"/>
        <v>0</v>
      </c>
      <c r="IS87" s="213">
        <f t="shared" si="356"/>
        <v>0</v>
      </c>
      <c r="IT87" s="213" t="str">
        <f t="shared" si="224"/>
        <v/>
      </c>
      <c r="IU87" s="213" t="str">
        <f t="shared" si="225"/>
        <v/>
      </c>
      <c r="IV87" s="213" t="str">
        <f t="shared" si="226"/>
        <v/>
      </c>
      <c r="IW87" s="213" t="str">
        <f t="shared" si="227"/>
        <v/>
      </c>
      <c r="IX87" s="213" t="str">
        <f t="shared" si="228"/>
        <v/>
      </c>
      <c r="IY87" s="213" t="str">
        <f t="shared" si="357"/>
        <v/>
      </c>
      <c r="IZ87" s="213" t="str">
        <f t="shared" si="358"/>
        <v/>
      </c>
      <c r="JA87" s="213" t="str">
        <f t="shared" si="229"/>
        <v/>
      </c>
      <c r="JB87" s="211" t="str">
        <f t="shared" si="359"/>
        <v/>
      </c>
    </row>
    <row r="88" spans="1:262" s="211" customFormat="1" ht="21" customHeight="1">
      <c r="A88" s="184">
        <v>81</v>
      </c>
      <c r="B88" s="185" t="str">
        <f>IF('Marks Entry'!B88="","",'Marks Entry'!B88)</f>
        <v/>
      </c>
      <c r="C88" s="186" t="str">
        <f>IF('Marks Entry'!D88="","",'Marks Entry'!D88)</f>
        <v/>
      </c>
      <c r="D88" s="187" t="str">
        <f>IF('Marks Entry'!E88="","",'Marks Entry'!E88)</f>
        <v/>
      </c>
      <c r="E88" s="188" t="str">
        <f>IF('Marks Entry'!F88="","",'Marks Entry'!F88)</f>
        <v/>
      </c>
      <c r="F88" s="188" t="str">
        <f>IF('Marks Entry'!G88="","",'Marks Entry'!G88)</f>
        <v/>
      </c>
      <c r="G88" s="188" t="str">
        <f>IF('Marks Entry'!H88="","",'Marks Entry'!H88)</f>
        <v/>
      </c>
      <c r="H88" s="189" t="str">
        <f>IF('Marks Entry'!I88="","",'Marks Entry'!I88)</f>
        <v/>
      </c>
      <c r="I88" s="190" t="str">
        <f>IF('Marks Entry'!J88="","",'Marks Entry'!J88)</f>
        <v/>
      </c>
      <c r="J88" s="545" t="str">
        <f>IF('Marks Entry'!K88="","",'Marks Entry'!K88)</f>
        <v/>
      </c>
      <c r="K88" s="545" t="str">
        <f>IF('Marks Entry'!L88="","",'Marks Entry'!L88)</f>
        <v/>
      </c>
      <c r="L88" s="545" t="str">
        <f>IF('Marks Entry'!M88="","",'Marks Entry'!M88)</f>
        <v/>
      </c>
      <c r="M88" s="546" t="str">
        <f t="shared" si="230"/>
        <v/>
      </c>
      <c r="N88" s="545" t="str">
        <f>IF('Marks Entry'!N88="","",'Marks Entry'!N88)</f>
        <v/>
      </c>
      <c r="O88" s="546" t="str">
        <f t="shared" si="231"/>
        <v/>
      </c>
      <c r="P88" s="545" t="str">
        <f>IF('Marks Entry'!O88="","",'Marks Entry'!O88)</f>
        <v/>
      </c>
      <c r="Q88" s="547" t="str">
        <f t="shared" si="232"/>
        <v/>
      </c>
      <c r="R88" s="153">
        <f t="shared" si="233"/>
        <v>0</v>
      </c>
      <c r="S88" s="153">
        <f t="shared" si="234"/>
        <v>0</v>
      </c>
      <c r="T88" s="154" t="str">
        <f t="shared" si="235"/>
        <v/>
      </c>
      <c r="U88" s="153" t="str">
        <f t="shared" si="236"/>
        <v/>
      </c>
      <c r="V88" s="153" t="str">
        <f t="shared" si="237"/>
        <v/>
      </c>
      <c r="W88" s="153" t="str">
        <f t="shared" si="238"/>
        <v/>
      </c>
      <c r="X88" s="545" t="str">
        <f>IF('Marks Entry'!P88="","",'Marks Entry'!P88)</f>
        <v/>
      </c>
      <c r="Y88" s="545" t="str">
        <f>IF('Marks Entry'!Q88="","",'Marks Entry'!Q88)</f>
        <v/>
      </c>
      <c r="Z88" s="545" t="str">
        <f>IF('Marks Entry'!R88="","",'Marks Entry'!R88)</f>
        <v/>
      </c>
      <c r="AA88" s="546" t="str">
        <f t="shared" si="239"/>
        <v/>
      </c>
      <c r="AB88" s="545" t="str">
        <f>IF('Marks Entry'!S88="","",'Marks Entry'!S88)</f>
        <v/>
      </c>
      <c r="AC88" s="546" t="str">
        <f t="shared" si="240"/>
        <v/>
      </c>
      <c r="AD88" s="545" t="str">
        <f>IF('Marks Entry'!T88="","",'Marks Entry'!T88)</f>
        <v/>
      </c>
      <c r="AE88" s="547" t="str">
        <f t="shared" si="241"/>
        <v/>
      </c>
      <c r="AF88" s="153">
        <f t="shared" si="242"/>
        <v>0</v>
      </c>
      <c r="AG88" s="153">
        <f t="shared" si="243"/>
        <v>0</v>
      </c>
      <c r="AH88" s="154" t="str">
        <f t="shared" si="244"/>
        <v/>
      </c>
      <c r="AI88" s="153" t="str">
        <f t="shared" si="245"/>
        <v/>
      </c>
      <c r="AJ88" s="153" t="str">
        <f t="shared" si="246"/>
        <v/>
      </c>
      <c r="AK88" s="153" t="str">
        <f t="shared" si="247"/>
        <v/>
      </c>
      <c r="AL88" s="573" t="str">
        <f>IF('Marks Entry'!U88="","",'Marks Entry'!U88)</f>
        <v/>
      </c>
      <c r="AM88" s="573" t="str">
        <f>IF('Marks Entry'!V88="","",'Marks Entry'!V88)</f>
        <v/>
      </c>
      <c r="AN88" s="573" t="str">
        <f>IF('Marks Entry'!W88="","",'Marks Entry'!W88)</f>
        <v/>
      </c>
      <c r="AO88" s="573" t="str">
        <f>IF('Marks Entry'!X88="","",'Marks Entry'!X88)</f>
        <v/>
      </c>
      <c r="AP88" s="572" t="str">
        <f t="shared" si="248"/>
        <v/>
      </c>
      <c r="AQ88" s="573" t="str">
        <f>IF('Marks Entry'!Y88="","",'Marks Entry'!Y88)</f>
        <v/>
      </c>
      <c r="AR88" s="573" t="str">
        <f>IF('Marks Entry'!Z88="","",'Marks Entry'!Z88)</f>
        <v/>
      </c>
      <c r="AS88" s="572" t="str">
        <f t="shared" si="249"/>
        <v/>
      </c>
      <c r="AT88" s="572" t="str">
        <f t="shared" si="250"/>
        <v/>
      </c>
      <c r="AU88" s="573" t="str">
        <f>IF('Marks Entry'!AA88="","",'Marks Entry'!AA88)</f>
        <v/>
      </c>
      <c r="AV88" s="573" t="str">
        <f>IF('Marks Entry'!AB88="","",'Marks Entry'!AB88)</f>
        <v/>
      </c>
      <c r="AW88" s="572" t="str">
        <f t="shared" si="251"/>
        <v/>
      </c>
      <c r="AX88" s="157" t="str">
        <f t="shared" si="252"/>
        <v/>
      </c>
      <c r="AY88" s="157" t="str">
        <f t="shared" si="253"/>
        <v/>
      </c>
      <c r="AZ88" s="192" t="str">
        <f t="shared" si="254"/>
        <v/>
      </c>
      <c r="BA88" s="153">
        <f t="shared" si="255"/>
        <v>0</v>
      </c>
      <c r="BB88" s="154">
        <f t="shared" si="256"/>
        <v>0</v>
      </c>
      <c r="BC88" s="154" t="str">
        <f t="shared" si="257"/>
        <v/>
      </c>
      <c r="BD88" s="154" t="str">
        <f t="shared" si="258"/>
        <v/>
      </c>
      <c r="BE88" s="154" t="str">
        <f t="shared" si="259"/>
        <v/>
      </c>
      <c r="BF88" s="153" t="str">
        <f t="shared" si="260"/>
        <v/>
      </c>
      <c r="BG88" s="154" t="str">
        <f t="shared" si="261"/>
        <v/>
      </c>
      <c r="BH88" s="153" t="str">
        <f t="shared" si="262"/>
        <v/>
      </c>
      <c r="BI88" s="580" t="str">
        <f>IF('Marks Entry'!AC88="","",'Marks Entry'!AC88)</f>
        <v/>
      </c>
      <c r="BJ88" s="580" t="str">
        <f>IF('Marks Entry'!AD88="","",'Marks Entry'!AD88)</f>
        <v/>
      </c>
      <c r="BK88" s="580" t="str">
        <f>IF('Marks Entry'!AE88="","",'Marks Entry'!AE88)</f>
        <v/>
      </c>
      <c r="BL88" s="580" t="str">
        <f>IF('Marks Entry'!AF88="","",'Marks Entry'!AF88)</f>
        <v/>
      </c>
      <c r="BM88" s="581" t="str">
        <f t="shared" si="263"/>
        <v/>
      </c>
      <c r="BN88" s="580" t="str">
        <f>IF('Marks Entry'!AG88="","",'Marks Entry'!AG88)</f>
        <v/>
      </c>
      <c r="BO88" s="580" t="str">
        <f>IF('Marks Entry'!AH88="","",'Marks Entry'!AH88)</f>
        <v/>
      </c>
      <c r="BP88" s="581" t="str">
        <f t="shared" si="264"/>
        <v/>
      </c>
      <c r="BQ88" s="581" t="str">
        <f t="shared" si="265"/>
        <v/>
      </c>
      <c r="BR88" s="580" t="str">
        <f>IF('Marks Entry'!AI88="","",'Marks Entry'!AI88)</f>
        <v/>
      </c>
      <c r="BS88" s="580" t="str">
        <f>IF('Marks Entry'!AJ88="","",'Marks Entry'!AJ88)</f>
        <v/>
      </c>
      <c r="BT88" s="581" t="str">
        <f t="shared" si="266"/>
        <v/>
      </c>
      <c r="BU88" s="157" t="str">
        <f t="shared" si="267"/>
        <v/>
      </c>
      <c r="BV88" s="157" t="str">
        <f t="shared" si="268"/>
        <v/>
      </c>
      <c r="BW88" s="192" t="str">
        <f t="shared" si="269"/>
        <v/>
      </c>
      <c r="BX88" s="153">
        <f t="shared" si="270"/>
        <v>0</v>
      </c>
      <c r="BY88" s="154">
        <f t="shared" si="271"/>
        <v>0</v>
      </c>
      <c r="BZ88" s="154" t="str">
        <f t="shared" si="272"/>
        <v/>
      </c>
      <c r="CA88" s="154" t="str">
        <f t="shared" si="273"/>
        <v/>
      </c>
      <c r="CB88" s="154" t="str">
        <f t="shared" si="274"/>
        <v/>
      </c>
      <c r="CC88" s="153" t="str">
        <f t="shared" si="275"/>
        <v/>
      </c>
      <c r="CD88" s="154" t="str">
        <f t="shared" si="276"/>
        <v/>
      </c>
      <c r="CE88" s="153" t="str">
        <f t="shared" si="277"/>
        <v/>
      </c>
      <c r="CF88" s="580" t="str">
        <f>IF('Marks Entry'!AK88="","",'Marks Entry'!AK88)</f>
        <v/>
      </c>
      <c r="CG88" s="580" t="str">
        <f>IF('Marks Entry'!AL88="","",'Marks Entry'!AL88)</f>
        <v/>
      </c>
      <c r="CH88" s="580" t="str">
        <f>IF('Marks Entry'!AM88="","",'Marks Entry'!AM88)</f>
        <v/>
      </c>
      <c r="CI88" s="580" t="str">
        <f>IF('Marks Entry'!AN88="","",'Marks Entry'!AN88)</f>
        <v/>
      </c>
      <c r="CJ88" s="581" t="str">
        <f t="shared" si="278"/>
        <v/>
      </c>
      <c r="CK88" s="580" t="str">
        <f>IF('Marks Entry'!AO88="","",'Marks Entry'!AO88)</f>
        <v/>
      </c>
      <c r="CL88" s="580" t="str">
        <f>IF('Marks Entry'!AP88="","",'Marks Entry'!AP88)</f>
        <v/>
      </c>
      <c r="CM88" s="581" t="str">
        <f t="shared" si="279"/>
        <v/>
      </c>
      <c r="CN88" s="581" t="str">
        <f t="shared" si="280"/>
        <v/>
      </c>
      <c r="CO88" s="580" t="str">
        <f>IF('Marks Entry'!AQ88="","",'Marks Entry'!AQ88)</f>
        <v/>
      </c>
      <c r="CP88" s="580" t="str">
        <f>IF('Marks Entry'!AR88="","",'Marks Entry'!AR88)</f>
        <v/>
      </c>
      <c r="CQ88" s="581" t="str">
        <f t="shared" si="281"/>
        <v/>
      </c>
      <c r="CR88" s="157" t="str">
        <f t="shared" si="282"/>
        <v/>
      </c>
      <c r="CS88" s="157" t="str">
        <f t="shared" si="283"/>
        <v/>
      </c>
      <c r="CT88" s="192" t="str">
        <f t="shared" si="284"/>
        <v/>
      </c>
      <c r="CU88" s="153">
        <f t="shared" si="285"/>
        <v>0</v>
      </c>
      <c r="CV88" s="154">
        <f t="shared" si="286"/>
        <v>0</v>
      </c>
      <c r="CW88" s="154" t="str">
        <f t="shared" si="287"/>
        <v/>
      </c>
      <c r="CX88" s="154" t="str">
        <f t="shared" si="288"/>
        <v/>
      </c>
      <c r="CY88" s="154" t="str">
        <f t="shared" si="289"/>
        <v/>
      </c>
      <c r="CZ88" s="153" t="str">
        <f t="shared" si="290"/>
        <v/>
      </c>
      <c r="DA88" s="154" t="str">
        <f t="shared" si="291"/>
        <v/>
      </c>
      <c r="DB88" s="153" t="str">
        <f t="shared" si="292"/>
        <v/>
      </c>
      <c r="DC88" s="154">
        <f t="shared" si="293"/>
        <v>0</v>
      </c>
      <c r="DD88" s="826" t="str">
        <f>IF('Marks Entry'!AS88="","",IF(OR('Master Sheet'!$D$19="YES",'Marks Entry'!$BA$1=1),'Marks Entry'!AS88,""))</f>
        <v/>
      </c>
      <c r="DE88" s="826" t="str">
        <f>IF('Marks Entry'!AT88="","",IF(OR('Master Sheet'!$D$19="YES",'Marks Entry'!$BA$1=1),'Marks Entry'!AT88,""))</f>
        <v/>
      </c>
      <c r="DF88" s="826" t="str">
        <f>IF('Marks Entry'!AU88="","",IF(OR('Master Sheet'!$D$19="YES",'Marks Entry'!$BA$1=1),'Marks Entry'!AU88,""))</f>
        <v/>
      </c>
      <c r="DG88" s="826" t="str">
        <f>IF('Marks Entry'!AV88="","",IF(OR('Master Sheet'!$D$19="YES",'Marks Entry'!$BA$1=1),'Marks Entry'!AV88,""))</f>
        <v/>
      </c>
      <c r="DH88" s="827" t="str">
        <f t="shared" si="294"/>
        <v/>
      </c>
      <c r="DI88" s="826" t="str">
        <f>IF('Marks Entry'!AW88="","",IF(OR('Master Sheet'!$D$19="YES",'Marks Entry'!$BA$1=1),'Marks Entry'!AW88,""))</f>
        <v/>
      </c>
      <c r="DJ88" s="826" t="str">
        <f>IF('Marks Entry'!AX88="","",IF(OR('Master Sheet'!$D$19="YES",'Marks Entry'!$BA$1=1),'Marks Entry'!AX88,""))</f>
        <v/>
      </c>
      <c r="DK88" s="827" t="str">
        <f t="shared" si="295"/>
        <v/>
      </c>
      <c r="DL88" s="827" t="str">
        <f t="shared" si="296"/>
        <v/>
      </c>
      <c r="DM88" s="826" t="str">
        <f>IF('Marks Entry'!AY88="","",IF(OR('Master Sheet'!$D$19="YES",'Marks Entry'!$BA$1=1),'Marks Entry'!AY88,""))</f>
        <v/>
      </c>
      <c r="DN88" s="826" t="str">
        <f>IF('Marks Entry'!AZ88="","",IF(OR('Master Sheet'!$D$19="YES",'Marks Entry'!$BA$1=1),'Marks Entry'!AZ88,""))</f>
        <v/>
      </c>
      <c r="DO88" s="826" t="str">
        <f>IF('Marks Entry'!BA88="","",IF(OR('Master Sheet'!$D$19="YES",'Marks Entry'!$BA$1=1),'Marks Entry'!BA88,""))</f>
        <v/>
      </c>
      <c r="DP88" s="827" t="str">
        <f t="shared" si="297"/>
        <v/>
      </c>
      <c r="DQ88" s="157" t="str">
        <f t="shared" si="298"/>
        <v/>
      </c>
      <c r="DR88" s="157" t="str">
        <f t="shared" si="299"/>
        <v/>
      </c>
      <c r="DS88" s="157" t="str">
        <f t="shared" si="300"/>
        <v/>
      </c>
      <c r="DT88" s="192" t="str">
        <f t="shared" si="301"/>
        <v/>
      </c>
      <c r="DU88" s="153">
        <f t="shared" si="302"/>
        <v>0</v>
      </c>
      <c r="DV88" s="154" t="e">
        <f t="shared" si="303"/>
        <v>#VALUE!</v>
      </c>
      <c r="DW88" s="154" t="str">
        <f t="shared" si="304"/>
        <v/>
      </c>
      <c r="DX88" s="154" t="str">
        <f>IF(OR($B88="NSO",$B88=0,DS88=""),"",IF(AND(DJ88="",DO88=""),"",IF('Master Sheet'!$D$19="YES",$DO$6-COUNTIF(DO88,"ML")*DO$6,DS$6-(COUNTIF(DJ88,"ML")*DJ$6)-(COUNTIF(DO88,"ML")*DO$6))))</f>
        <v/>
      </c>
      <c r="DY88" s="154" t="str">
        <f>IF(OR($B88="NSO",$B88=0),"",IF(AND(DH88="",DI88="",DM88=""),"",IF(AND('Master Sheet'!$D$19="YES",'Marks Entry'!$BA$1=1),100,IF(AND(DJ88="",DO88=""),SUM(($DQ$7+$DR$7)-(DU88+DV88)),SUM(($DQ$6+$DR$6)-(DU88+DV88))))))</f>
        <v/>
      </c>
      <c r="DZ88" s="153" t="str">
        <f t="shared" si="305"/>
        <v/>
      </c>
      <c r="EA88" s="154" t="str">
        <f t="shared" si="306"/>
        <v/>
      </c>
      <c r="EB88" s="153" t="str">
        <f t="shared" si="307"/>
        <v/>
      </c>
      <c r="EC88" s="584" t="str">
        <f>IF('Marks Entry'!BB88="","",'Marks Entry'!BB88)</f>
        <v/>
      </c>
      <c r="ED88" s="584" t="str">
        <f>IF('Marks Entry'!BC88="","",'Marks Entry'!BC88)</f>
        <v/>
      </c>
      <c r="EE88" s="584" t="str">
        <f>IF('Marks Entry'!BD88="","",'Marks Entry'!BD88)</f>
        <v/>
      </c>
      <c r="EF88" s="590" t="str">
        <f t="shared" si="308"/>
        <v/>
      </c>
      <c r="EG88" s="595">
        <f t="shared" si="309"/>
        <v>0</v>
      </c>
      <c r="EH88" s="595">
        <f t="shared" si="310"/>
        <v>0</v>
      </c>
      <c r="EI88" s="193" t="str">
        <f t="shared" si="311"/>
        <v/>
      </c>
      <c r="EJ88" s="595" t="str">
        <f t="shared" si="312"/>
        <v/>
      </c>
      <c r="EK88" s="595" t="str">
        <f t="shared" si="313"/>
        <v/>
      </c>
      <c r="EL88" s="194" t="str">
        <f t="shared" si="314"/>
        <v/>
      </c>
      <c r="EM88" s="194" t="str">
        <f t="shared" si="315"/>
        <v/>
      </c>
      <c r="EN88" s="194" t="str">
        <f t="shared" si="316"/>
        <v/>
      </c>
      <c r="EO88" s="194" t="str">
        <f t="shared" si="317"/>
        <v/>
      </c>
      <c r="EP88" s="194" t="str">
        <f t="shared" si="318"/>
        <v/>
      </c>
      <c r="EQ88" s="194" t="str">
        <f t="shared" si="319"/>
        <v/>
      </c>
      <c r="ER88" s="195">
        <f t="shared" si="320"/>
        <v>0</v>
      </c>
      <c r="ES88" s="195">
        <f t="shared" si="321"/>
        <v>0</v>
      </c>
      <c r="ET88" s="195">
        <f t="shared" si="322"/>
        <v>0</v>
      </c>
      <c r="EU88" s="195">
        <f t="shared" si="323"/>
        <v>0</v>
      </c>
      <c r="EV88" s="195">
        <f t="shared" si="324"/>
        <v>0</v>
      </c>
      <c r="EW88" s="195" t="str">
        <f t="shared" si="325"/>
        <v/>
      </c>
      <c r="EX88" s="196" t="str">
        <f t="shared" si="326"/>
        <v/>
      </c>
      <c r="EY88" s="197" t="str">
        <f>IF('Marks Entry'!BE88="","",'Marks Entry'!BE88)</f>
        <v/>
      </c>
      <c r="EZ88" s="197" t="str">
        <f>IF('Marks Entry'!BF88="","",'Marks Entry'!BF88)</f>
        <v/>
      </c>
      <c r="FA88" s="197" t="str">
        <f>IF('Marks Entry'!BG88="","",'Marks Entry'!BG88)</f>
        <v/>
      </c>
      <c r="FB88" s="596" t="str">
        <f t="shared" si="327"/>
        <v/>
      </c>
      <c r="FC88" s="197" t="str">
        <f>IF('Marks Entry'!BH88="","",'Marks Entry'!BH88)</f>
        <v/>
      </c>
      <c r="FD88" s="197" t="str">
        <f>IF('Marks Entry'!BI88="","",'Marks Entry'!BI88)</f>
        <v/>
      </c>
      <c r="FE88" s="198" t="str">
        <f t="shared" si="328"/>
        <v/>
      </c>
      <c r="FF88" s="199" t="str">
        <f t="shared" si="329"/>
        <v/>
      </c>
      <c r="FG88" s="200" t="str">
        <f>IF(AND(E88=""),"",IF('Student DATA Entry'!L84="","",'Student DATA Entry'!L84))</f>
        <v/>
      </c>
      <c r="FH88" s="201" t="str">
        <f>IF(AND(E88=""),"",IF('Student DATA Entry'!M84="","",'Student DATA Entry'!M84))</f>
        <v/>
      </c>
      <c r="FI88" s="202" t="str">
        <f t="shared" si="330"/>
        <v/>
      </c>
      <c r="FJ88" s="189" t="str">
        <f t="shared" si="331"/>
        <v/>
      </c>
      <c r="FK88" s="189" t="str">
        <f t="shared" si="332"/>
        <v/>
      </c>
      <c r="FL88" s="203" t="str">
        <f t="shared" si="201"/>
        <v/>
      </c>
      <c r="FM88" s="189" t="str">
        <f t="shared" si="333"/>
        <v/>
      </c>
      <c r="FN88" s="204" t="str">
        <f t="shared" si="334"/>
        <v/>
      </c>
      <c r="FO88" s="203" t="str">
        <f t="shared" si="202"/>
        <v/>
      </c>
      <c r="FP88" s="205" t="str">
        <f t="shared" si="335"/>
        <v/>
      </c>
      <c r="FQ88" s="189" t="str">
        <f t="shared" si="203"/>
        <v/>
      </c>
      <c r="FR88" s="189" t="str">
        <f t="shared" si="204"/>
        <v/>
      </c>
      <c r="FS88" s="189" t="str">
        <f t="shared" si="205"/>
        <v/>
      </c>
      <c r="FT88" s="189" t="str">
        <f t="shared" si="206"/>
        <v/>
      </c>
      <c r="FU88" s="189" t="str">
        <f t="shared" si="336"/>
        <v/>
      </c>
      <c r="FV88" s="206" t="str">
        <f t="shared" si="207"/>
        <v/>
      </c>
      <c r="FW88" s="205" t="str">
        <f t="shared" si="337"/>
        <v/>
      </c>
      <c r="FX88" s="189" t="str">
        <f t="shared" si="208"/>
        <v/>
      </c>
      <c r="FY88" s="189" t="str">
        <f t="shared" si="209"/>
        <v/>
      </c>
      <c r="FZ88" s="189" t="str">
        <f t="shared" si="210"/>
        <v/>
      </c>
      <c r="GA88" s="189" t="str">
        <f t="shared" si="211"/>
        <v/>
      </c>
      <c r="GB88" s="189" t="str">
        <f t="shared" si="338"/>
        <v/>
      </c>
      <c r="GC88" s="206" t="str">
        <f t="shared" si="212"/>
        <v/>
      </c>
      <c r="GD88" s="205" t="str">
        <f t="shared" si="339"/>
        <v/>
      </c>
      <c r="GE88" s="189" t="str">
        <f t="shared" si="213"/>
        <v/>
      </c>
      <c r="GF88" s="189" t="str">
        <f t="shared" si="214"/>
        <v/>
      </c>
      <c r="GG88" s="189" t="str">
        <f t="shared" si="215"/>
        <v/>
      </c>
      <c r="GH88" s="189" t="str">
        <f t="shared" si="216"/>
        <v/>
      </c>
      <c r="GI88" s="189" t="str">
        <f t="shared" si="340"/>
        <v/>
      </c>
      <c r="GJ88" s="206" t="str">
        <f t="shared" si="217"/>
        <v/>
      </c>
      <c r="GK88" s="205" t="str">
        <f t="shared" si="341"/>
        <v/>
      </c>
      <c r="GL88" s="189" t="str">
        <f t="shared" si="218"/>
        <v/>
      </c>
      <c r="GM88" s="189" t="str">
        <f t="shared" si="219"/>
        <v/>
      </c>
      <c r="GN88" s="189" t="str">
        <f t="shared" si="220"/>
        <v/>
      </c>
      <c r="GO88" s="189" t="str">
        <f t="shared" si="221"/>
        <v/>
      </c>
      <c r="GP88" s="189" t="str">
        <f t="shared" si="342"/>
        <v/>
      </c>
      <c r="GQ88" s="206" t="str">
        <f t="shared" si="222"/>
        <v/>
      </c>
      <c r="GR88" s="189" t="str">
        <f t="shared" si="343"/>
        <v/>
      </c>
      <c r="GS88" s="189" t="str">
        <f t="shared" si="344"/>
        <v/>
      </c>
      <c r="GT88" s="207" t="str">
        <f t="shared" si="345"/>
        <v xml:space="preserve">    </v>
      </c>
      <c r="GU88" s="207" t="str">
        <f t="shared" si="346"/>
        <v xml:space="preserve">    </v>
      </c>
      <c r="GV88" s="207" t="str">
        <f t="shared" si="347"/>
        <v xml:space="preserve">    </v>
      </c>
      <c r="GW88" s="207" t="str">
        <f t="shared" si="348"/>
        <v xml:space="preserve">       </v>
      </c>
      <c r="GX88" s="598" t="str">
        <f t="shared" si="349"/>
        <v xml:space="preserve">     </v>
      </c>
      <c r="GY88" s="208" t="str">
        <f t="shared" si="223"/>
        <v/>
      </c>
      <c r="GZ88" s="606" t="str">
        <f>IF(AND(Q88="",AE88="",AZ88="",BW88="",CT88=""),"",IF(AND('Master Sheet'!$D$19="YES",'Marks Entry'!$BA$1=1),SUM(Q88,AE88,AZ88,BW88,DT88),SUM(Q88,AE88,AZ88,BW88,CT88)))</f>
        <v/>
      </c>
      <c r="HA88" s="209" t="str">
        <f>IF(GZ88="","",IF(AND('Master Sheet'!$D$19="YES",'Marks Entry'!$BA$1=1),GZ88/((900)-DC88)*100,GZ88/((1000)-DC88)*100))</f>
        <v/>
      </c>
      <c r="HB88" s="611" t="str">
        <f t="shared" si="350"/>
        <v/>
      </c>
      <c r="HC88" s="609" t="str">
        <f t="shared" si="351"/>
        <v/>
      </c>
      <c r="HD88" s="610" t="str">
        <f t="shared" si="352"/>
        <v/>
      </c>
      <c r="HE88" s="210" t="str">
        <f>IFERROR(IF(OR(GY88="SUPPLEMENTARY",GY88="RE-EXAM"),'Supp. Result Entry'!AS87,""),"")</f>
        <v/>
      </c>
      <c r="HF88" s="613" t="str">
        <f t="shared" si="353"/>
        <v/>
      </c>
      <c r="HG88" s="598" t="str">
        <f t="shared" si="354"/>
        <v/>
      </c>
      <c r="HH88" s="598" t="str">
        <f>IF(AND(HE88="",HF88="",HG88=""),"",IF(OR(GY88="SUPPLEMENTARY",GY88="RE-EXAM"),'Supp. Result Entry'!AS87,GY88))</f>
        <v/>
      </c>
      <c r="HI88" s="180"/>
      <c r="HY88" s="212" t="str">
        <f>IF('Supp. Result Entry'!U87="","",'Supp. Result Entry'!$U$6)</f>
        <v/>
      </c>
      <c r="HZ88" s="213" t="str">
        <f>IF('Supp. Result Entry'!X87="","",'Supp. Result Entry'!$X$6)</f>
        <v/>
      </c>
      <c r="IA88" s="213" t="str">
        <f>IF('Supp. Result Entry'!AA87="","",'Supp. Result Entry'!$AA$6)</f>
        <v/>
      </c>
      <c r="IB88" s="213" t="str">
        <f>IF('Supp. Result Entry'!AD87="","",'Supp. Result Entry'!$AD$6)</f>
        <v/>
      </c>
      <c r="IC88" s="213" t="str">
        <f>IF('Supp. Result Entry'!AG87="","",'Supp. Result Entry'!$AG$6)</f>
        <v/>
      </c>
      <c r="ID88" s="213" t="str">
        <f>IF('Supp. Result Entry'!AJ87="","",'Supp. Result Entry'!$AJ$6)</f>
        <v/>
      </c>
      <c r="IE88" s="213" t="str">
        <f>IF('Supp. Result Entry'!V87="","",'Supp. Result Entry'!V87)</f>
        <v/>
      </c>
      <c r="IF88" s="213" t="str">
        <f>IF('Supp. Result Entry'!Y87="","",'Supp. Result Entry'!Y87)</f>
        <v/>
      </c>
      <c r="IG88" s="213" t="str">
        <f>IF('Supp. Result Entry'!AB87="","",'Supp. Result Entry'!AB87)</f>
        <v/>
      </c>
      <c r="IH88" s="213" t="str">
        <f>IF('Supp. Result Entry'!AE87="","",'Supp. Result Entry'!AE87)</f>
        <v/>
      </c>
      <c r="II88" s="213" t="str">
        <f>IF('Supp. Result Entry'!AH87="","",'Supp. Result Entry'!AH87)</f>
        <v/>
      </c>
      <c r="IJ88" s="213" t="str">
        <f>IF('Supp. Result Entry'!AK87="","",'Supp. Result Entry'!AK87)</f>
        <v/>
      </c>
      <c r="IK88" s="213" t="str">
        <f>IF('Supp. Result Entry'!W87="","",'Supp. Result Entry'!W87)</f>
        <v/>
      </c>
      <c r="IL88" s="213" t="str">
        <f>IF('Supp. Result Entry'!Z87="","",'Supp. Result Entry'!Z87)</f>
        <v/>
      </c>
      <c r="IM88" s="213" t="str">
        <f>IF('Supp. Result Entry'!AC87="","",'Supp. Result Entry'!AC87)</f>
        <v/>
      </c>
      <c r="IN88" s="213" t="str">
        <f>IF('Supp. Result Entry'!AF87="","",'Supp. Result Entry'!AF87)</f>
        <v/>
      </c>
      <c r="IO88" s="213" t="str">
        <f>IF('Supp. Result Entry'!AI87="","",'Supp. Result Entry'!AI87)</f>
        <v/>
      </c>
      <c r="IP88" s="213" t="str">
        <f>IF('Supp. Result Entry'!AL87="","",'Supp. Result Entry'!AL87)</f>
        <v/>
      </c>
      <c r="IQ88" s="213">
        <f>COUNTIF('Supp. Result Entry'!K87:Q87,"S")</f>
        <v>0</v>
      </c>
      <c r="IR88" s="213">
        <f t="shared" si="355"/>
        <v>0</v>
      </c>
      <c r="IS88" s="213">
        <f t="shared" si="356"/>
        <v>0</v>
      </c>
      <c r="IT88" s="213" t="str">
        <f t="shared" si="224"/>
        <v/>
      </c>
      <c r="IU88" s="213" t="str">
        <f t="shared" si="225"/>
        <v/>
      </c>
      <c r="IV88" s="213" t="str">
        <f t="shared" si="226"/>
        <v/>
      </c>
      <c r="IW88" s="213" t="str">
        <f t="shared" si="227"/>
        <v/>
      </c>
      <c r="IX88" s="213" t="str">
        <f t="shared" si="228"/>
        <v/>
      </c>
      <c r="IY88" s="213" t="str">
        <f t="shared" si="357"/>
        <v/>
      </c>
      <c r="IZ88" s="213" t="str">
        <f t="shared" si="358"/>
        <v/>
      </c>
      <c r="JA88" s="213" t="str">
        <f t="shared" si="229"/>
        <v/>
      </c>
      <c r="JB88" s="211" t="str">
        <f t="shared" si="359"/>
        <v/>
      </c>
    </row>
    <row r="89" spans="1:262" s="211" customFormat="1" ht="21" customHeight="1">
      <c r="A89" s="184">
        <v>82</v>
      </c>
      <c r="B89" s="185" t="str">
        <f>IF('Marks Entry'!B89="","",'Marks Entry'!B89)</f>
        <v/>
      </c>
      <c r="C89" s="186" t="str">
        <f>IF('Marks Entry'!D89="","",'Marks Entry'!D89)</f>
        <v/>
      </c>
      <c r="D89" s="187" t="str">
        <f>IF('Marks Entry'!E89="","",'Marks Entry'!E89)</f>
        <v/>
      </c>
      <c r="E89" s="188" t="str">
        <f>IF('Marks Entry'!F89="","",'Marks Entry'!F89)</f>
        <v/>
      </c>
      <c r="F89" s="188" t="str">
        <f>IF('Marks Entry'!G89="","",'Marks Entry'!G89)</f>
        <v/>
      </c>
      <c r="G89" s="188" t="str">
        <f>IF('Marks Entry'!H89="","",'Marks Entry'!H89)</f>
        <v/>
      </c>
      <c r="H89" s="189" t="str">
        <f>IF('Marks Entry'!I89="","",'Marks Entry'!I89)</f>
        <v/>
      </c>
      <c r="I89" s="190" t="str">
        <f>IF('Marks Entry'!J89="","",'Marks Entry'!J89)</f>
        <v/>
      </c>
      <c r="J89" s="545" t="str">
        <f>IF('Marks Entry'!K89="","",'Marks Entry'!K89)</f>
        <v/>
      </c>
      <c r="K89" s="545" t="str">
        <f>IF('Marks Entry'!L89="","",'Marks Entry'!L89)</f>
        <v/>
      </c>
      <c r="L89" s="545" t="str">
        <f>IF('Marks Entry'!M89="","",'Marks Entry'!M89)</f>
        <v/>
      </c>
      <c r="M89" s="546" t="str">
        <f t="shared" si="230"/>
        <v/>
      </c>
      <c r="N89" s="545" t="str">
        <f>IF('Marks Entry'!N89="","",'Marks Entry'!N89)</f>
        <v/>
      </c>
      <c r="O89" s="546" t="str">
        <f t="shared" si="231"/>
        <v/>
      </c>
      <c r="P89" s="545" t="str">
        <f>IF('Marks Entry'!O89="","",'Marks Entry'!O89)</f>
        <v/>
      </c>
      <c r="Q89" s="547" t="str">
        <f t="shared" si="232"/>
        <v/>
      </c>
      <c r="R89" s="153">
        <f t="shared" si="233"/>
        <v>0</v>
      </c>
      <c r="S89" s="153">
        <f t="shared" si="234"/>
        <v>0</v>
      </c>
      <c r="T89" s="154" t="str">
        <f t="shared" si="235"/>
        <v/>
      </c>
      <c r="U89" s="153" t="str">
        <f t="shared" si="236"/>
        <v/>
      </c>
      <c r="V89" s="153" t="str">
        <f t="shared" si="237"/>
        <v/>
      </c>
      <c r="W89" s="153" t="str">
        <f t="shared" si="238"/>
        <v/>
      </c>
      <c r="X89" s="545" t="str">
        <f>IF('Marks Entry'!P89="","",'Marks Entry'!P89)</f>
        <v/>
      </c>
      <c r="Y89" s="545" t="str">
        <f>IF('Marks Entry'!Q89="","",'Marks Entry'!Q89)</f>
        <v/>
      </c>
      <c r="Z89" s="545" t="str">
        <f>IF('Marks Entry'!R89="","",'Marks Entry'!R89)</f>
        <v/>
      </c>
      <c r="AA89" s="546" t="str">
        <f t="shared" si="239"/>
        <v/>
      </c>
      <c r="AB89" s="545" t="str">
        <f>IF('Marks Entry'!S89="","",'Marks Entry'!S89)</f>
        <v/>
      </c>
      <c r="AC89" s="546" t="str">
        <f t="shared" si="240"/>
        <v/>
      </c>
      <c r="AD89" s="545" t="str">
        <f>IF('Marks Entry'!T89="","",'Marks Entry'!T89)</f>
        <v/>
      </c>
      <c r="AE89" s="547" t="str">
        <f t="shared" si="241"/>
        <v/>
      </c>
      <c r="AF89" s="153">
        <f t="shared" si="242"/>
        <v>0</v>
      </c>
      <c r="AG89" s="153">
        <f t="shared" si="243"/>
        <v>0</v>
      </c>
      <c r="AH89" s="154" t="str">
        <f t="shared" si="244"/>
        <v/>
      </c>
      <c r="AI89" s="153" t="str">
        <f t="shared" si="245"/>
        <v/>
      </c>
      <c r="AJ89" s="153" t="str">
        <f t="shared" si="246"/>
        <v/>
      </c>
      <c r="AK89" s="153" t="str">
        <f t="shared" si="247"/>
        <v/>
      </c>
      <c r="AL89" s="573" t="str">
        <f>IF('Marks Entry'!U89="","",'Marks Entry'!U89)</f>
        <v/>
      </c>
      <c r="AM89" s="573" t="str">
        <f>IF('Marks Entry'!V89="","",'Marks Entry'!V89)</f>
        <v/>
      </c>
      <c r="AN89" s="573" t="str">
        <f>IF('Marks Entry'!W89="","",'Marks Entry'!W89)</f>
        <v/>
      </c>
      <c r="AO89" s="573" t="str">
        <f>IF('Marks Entry'!X89="","",'Marks Entry'!X89)</f>
        <v/>
      </c>
      <c r="AP89" s="572" t="str">
        <f t="shared" si="248"/>
        <v/>
      </c>
      <c r="AQ89" s="573" t="str">
        <f>IF('Marks Entry'!Y89="","",'Marks Entry'!Y89)</f>
        <v/>
      </c>
      <c r="AR89" s="573" t="str">
        <f>IF('Marks Entry'!Z89="","",'Marks Entry'!Z89)</f>
        <v/>
      </c>
      <c r="AS89" s="572" t="str">
        <f t="shared" si="249"/>
        <v/>
      </c>
      <c r="AT89" s="572" t="str">
        <f t="shared" si="250"/>
        <v/>
      </c>
      <c r="AU89" s="573" t="str">
        <f>IF('Marks Entry'!AA89="","",'Marks Entry'!AA89)</f>
        <v/>
      </c>
      <c r="AV89" s="573" t="str">
        <f>IF('Marks Entry'!AB89="","",'Marks Entry'!AB89)</f>
        <v/>
      </c>
      <c r="AW89" s="572" t="str">
        <f t="shared" si="251"/>
        <v/>
      </c>
      <c r="AX89" s="157" t="str">
        <f t="shared" si="252"/>
        <v/>
      </c>
      <c r="AY89" s="157" t="str">
        <f t="shared" si="253"/>
        <v/>
      </c>
      <c r="AZ89" s="192" t="str">
        <f t="shared" si="254"/>
        <v/>
      </c>
      <c r="BA89" s="153">
        <f t="shared" si="255"/>
        <v>0</v>
      </c>
      <c r="BB89" s="154">
        <f t="shared" si="256"/>
        <v>0</v>
      </c>
      <c r="BC89" s="154" t="str">
        <f t="shared" si="257"/>
        <v/>
      </c>
      <c r="BD89" s="154" t="str">
        <f t="shared" si="258"/>
        <v/>
      </c>
      <c r="BE89" s="154" t="str">
        <f t="shared" si="259"/>
        <v/>
      </c>
      <c r="BF89" s="153" t="str">
        <f t="shared" si="260"/>
        <v/>
      </c>
      <c r="BG89" s="154" t="str">
        <f t="shared" si="261"/>
        <v/>
      </c>
      <c r="BH89" s="153" t="str">
        <f t="shared" si="262"/>
        <v/>
      </c>
      <c r="BI89" s="580" t="str">
        <f>IF('Marks Entry'!AC89="","",'Marks Entry'!AC89)</f>
        <v/>
      </c>
      <c r="BJ89" s="580" t="str">
        <f>IF('Marks Entry'!AD89="","",'Marks Entry'!AD89)</f>
        <v/>
      </c>
      <c r="BK89" s="580" t="str">
        <f>IF('Marks Entry'!AE89="","",'Marks Entry'!AE89)</f>
        <v/>
      </c>
      <c r="BL89" s="580" t="str">
        <f>IF('Marks Entry'!AF89="","",'Marks Entry'!AF89)</f>
        <v/>
      </c>
      <c r="BM89" s="581" t="str">
        <f t="shared" si="263"/>
        <v/>
      </c>
      <c r="BN89" s="580" t="str">
        <f>IF('Marks Entry'!AG89="","",'Marks Entry'!AG89)</f>
        <v/>
      </c>
      <c r="BO89" s="580" t="str">
        <f>IF('Marks Entry'!AH89="","",'Marks Entry'!AH89)</f>
        <v/>
      </c>
      <c r="BP89" s="581" t="str">
        <f t="shared" si="264"/>
        <v/>
      </c>
      <c r="BQ89" s="581" t="str">
        <f t="shared" si="265"/>
        <v/>
      </c>
      <c r="BR89" s="580" t="str">
        <f>IF('Marks Entry'!AI89="","",'Marks Entry'!AI89)</f>
        <v/>
      </c>
      <c r="BS89" s="580" t="str">
        <f>IF('Marks Entry'!AJ89="","",'Marks Entry'!AJ89)</f>
        <v/>
      </c>
      <c r="BT89" s="581" t="str">
        <f t="shared" si="266"/>
        <v/>
      </c>
      <c r="BU89" s="157" t="str">
        <f t="shared" si="267"/>
        <v/>
      </c>
      <c r="BV89" s="157" t="str">
        <f t="shared" si="268"/>
        <v/>
      </c>
      <c r="BW89" s="192" t="str">
        <f t="shared" si="269"/>
        <v/>
      </c>
      <c r="BX89" s="153">
        <f t="shared" si="270"/>
        <v>0</v>
      </c>
      <c r="BY89" s="154">
        <f t="shared" si="271"/>
        <v>0</v>
      </c>
      <c r="BZ89" s="154" t="str">
        <f t="shared" si="272"/>
        <v/>
      </c>
      <c r="CA89" s="154" t="str">
        <f t="shared" si="273"/>
        <v/>
      </c>
      <c r="CB89" s="154" t="str">
        <f t="shared" si="274"/>
        <v/>
      </c>
      <c r="CC89" s="153" t="str">
        <f t="shared" si="275"/>
        <v/>
      </c>
      <c r="CD89" s="154" t="str">
        <f t="shared" si="276"/>
        <v/>
      </c>
      <c r="CE89" s="153" t="str">
        <f t="shared" si="277"/>
        <v/>
      </c>
      <c r="CF89" s="580" t="str">
        <f>IF('Marks Entry'!AK89="","",'Marks Entry'!AK89)</f>
        <v/>
      </c>
      <c r="CG89" s="580" t="str">
        <f>IF('Marks Entry'!AL89="","",'Marks Entry'!AL89)</f>
        <v/>
      </c>
      <c r="CH89" s="580" t="str">
        <f>IF('Marks Entry'!AM89="","",'Marks Entry'!AM89)</f>
        <v/>
      </c>
      <c r="CI89" s="580" t="str">
        <f>IF('Marks Entry'!AN89="","",'Marks Entry'!AN89)</f>
        <v/>
      </c>
      <c r="CJ89" s="581" t="str">
        <f t="shared" si="278"/>
        <v/>
      </c>
      <c r="CK89" s="580" t="str">
        <f>IF('Marks Entry'!AO89="","",'Marks Entry'!AO89)</f>
        <v/>
      </c>
      <c r="CL89" s="580" t="str">
        <f>IF('Marks Entry'!AP89="","",'Marks Entry'!AP89)</f>
        <v/>
      </c>
      <c r="CM89" s="581" t="str">
        <f t="shared" si="279"/>
        <v/>
      </c>
      <c r="CN89" s="581" t="str">
        <f t="shared" si="280"/>
        <v/>
      </c>
      <c r="CO89" s="580" t="str">
        <f>IF('Marks Entry'!AQ89="","",'Marks Entry'!AQ89)</f>
        <v/>
      </c>
      <c r="CP89" s="580" t="str">
        <f>IF('Marks Entry'!AR89="","",'Marks Entry'!AR89)</f>
        <v/>
      </c>
      <c r="CQ89" s="581" t="str">
        <f t="shared" si="281"/>
        <v/>
      </c>
      <c r="CR89" s="157" t="str">
        <f t="shared" si="282"/>
        <v/>
      </c>
      <c r="CS89" s="157" t="str">
        <f t="shared" si="283"/>
        <v/>
      </c>
      <c r="CT89" s="192" t="str">
        <f t="shared" si="284"/>
        <v/>
      </c>
      <c r="CU89" s="153">
        <f t="shared" si="285"/>
        <v>0</v>
      </c>
      <c r="CV89" s="154">
        <f t="shared" si="286"/>
        <v>0</v>
      </c>
      <c r="CW89" s="154" t="str">
        <f t="shared" si="287"/>
        <v/>
      </c>
      <c r="CX89" s="154" t="str">
        <f t="shared" si="288"/>
        <v/>
      </c>
      <c r="CY89" s="154" t="str">
        <f t="shared" si="289"/>
        <v/>
      </c>
      <c r="CZ89" s="153" t="str">
        <f t="shared" si="290"/>
        <v/>
      </c>
      <c r="DA89" s="154" t="str">
        <f t="shared" si="291"/>
        <v/>
      </c>
      <c r="DB89" s="153" t="str">
        <f t="shared" si="292"/>
        <v/>
      </c>
      <c r="DC89" s="154">
        <f t="shared" si="293"/>
        <v>0</v>
      </c>
      <c r="DD89" s="826" t="str">
        <f>IF('Marks Entry'!AS89="","",IF(OR('Master Sheet'!$D$19="YES",'Marks Entry'!$BA$1=1),'Marks Entry'!AS89,""))</f>
        <v/>
      </c>
      <c r="DE89" s="826" t="str">
        <f>IF('Marks Entry'!AT89="","",IF(OR('Master Sheet'!$D$19="YES",'Marks Entry'!$BA$1=1),'Marks Entry'!AT89,""))</f>
        <v/>
      </c>
      <c r="DF89" s="826" t="str">
        <f>IF('Marks Entry'!AU89="","",IF(OR('Master Sheet'!$D$19="YES",'Marks Entry'!$BA$1=1),'Marks Entry'!AU89,""))</f>
        <v/>
      </c>
      <c r="DG89" s="826" t="str">
        <f>IF('Marks Entry'!AV89="","",IF(OR('Master Sheet'!$D$19="YES",'Marks Entry'!$BA$1=1),'Marks Entry'!AV89,""))</f>
        <v/>
      </c>
      <c r="DH89" s="827" t="str">
        <f t="shared" si="294"/>
        <v/>
      </c>
      <c r="DI89" s="826" t="str">
        <f>IF('Marks Entry'!AW89="","",IF(OR('Master Sheet'!$D$19="YES",'Marks Entry'!$BA$1=1),'Marks Entry'!AW89,""))</f>
        <v/>
      </c>
      <c r="DJ89" s="826" t="str">
        <f>IF('Marks Entry'!AX89="","",IF(OR('Master Sheet'!$D$19="YES",'Marks Entry'!$BA$1=1),'Marks Entry'!AX89,""))</f>
        <v/>
      </c>
      <c r="DK89" s="827" t="str">
        <f t="shared" si="295"/>
        <v/>
      </c>
      <c r="DL89" s="827" t="str">
        <f t="shared" si="296"/>
        <v/>
      </c>
      <c r="DM89" s="826" t="str">
        <f>IF('Marks Entry'!AY89="","",IF(OR('Master Sheet'!$D$19="YES",'Marks Entry'!$BA$1=1),'Marks Entry'!AY89,""))</f>
        <v/>
      </c>
      <c r="DN89" s="826" t="str">
        <f>IF('Marks Entry'!AZ89="","",IF(OR('Master Sheet'!$D$19="YES",'Marks Entry'!$BA$1=1),'Marks Entry'!AZ89,""))</f>
        <v/>
      </c>
      <c r="DO89" s="826" t="str">
        <f>IF('Marks Entry'!BA89="","",IF(OR('Master Sheet'!$D$19="YES",'Marks Entry'!$BA$1=1),'Marks Entry'!BA89,""))</f>
        <v/>
      </c>
      <c r="DP89" s="827" t="str">
        <f t="shared" si="297"/>
        <v/>
      </c>
      <c r="DQ89" s="157" t="str">
        <f t="shared" si="298"/>
        <v/>
      </c>
      <c r="DR89" s="157" t="str">
        <f t="shared" si="299"/>
        <v/>
      </c>
      <c r="DS89" s="157" t="str">
        <f t="shared" si="300"/>
        <v/>
      </c>
      <c r="DT89" s="192" t="str">
        <f t="shared" si="301"/>
        <v/>
      </c>
      <c r="DU89" s="153">
        <f t="shared" si="302"/>
        <v>0</v>
      </c>
      <c r="DV89" s="154" t="e">
        <f t="shared" si="303"/>
        <v>#VALUE!</v>
      </c>
      <c r="DW89" s="154" t="str">
        <f t="shared" si="304"/>
        <v/>
      </c>
      <c r="DX89" s="154" t="str">
        <f>IF(OR($B89="NSO",$B89=0,DS89=""),"",IF(AND(DJ89="",DO89=""),"",IF('Master Sheet'!$D$19="YES",$DO$6-COUNTIF(DO89,"ML")*DO$6,DS$6-(COUNTIF(DJ89,"ML")*DJ$6)-(COUNTIF(DO89,"ML")*DO$6))))</f>
        <v/>
      </c>
      <c r="DY89" s="154" t="str">
        <f>IF(OR($B89="NSO",$B89=0),"",IF(AND(DH89="",DI89="",DM89=""),"",IF(AND('Master Sheet'!$D$19="YES",'Marks Entry'!$BA$1=1),100,IF(AND(DJ89="",DO89=""),SUM(($DQ$7+$DR$7)-(DU89+DV89)),SUM(($DQ$6+$DR$6)-(DU89+DV89))))))</f>
        <v/>
      </c>
      <c r="DZ89" s="153" t="str">
        <f t="shared" si="305"/>
        <v/>
      </c>
      <c r="EA89" s="154" t="str">
        <f t="shared" si="306"/>
        <v/>
      </c>
      <c r="EB89" s="153" t="str">
        <f t="shared" si="307"/>
        <v/>
      </c>
      <c r="EC89" s="584" t="str">
        <f>IF('Marks Entry'!BB89="","",'Marks Entry'!BB89)</f>
        <v/>
      </c>
      <c r="ED89" s="584" t="str">
        <f>IF('Marks Entry'!BC89="","",'Marks Entry'!BC89)</f>
        <v/>
      </c>
      <c r="EE89" s="584" t="str">
        <f>IF('Marks Entry'!BD89="","",'Marks Entry'!BD89)</f>
        <v/>
      </c>
      <c r="EF89" s="590" t="str">
        <f t="shared" si="308"/>
        <v/>
      </c>
      <c r="EG89" s="595">
        <f t="shared" si="309"/>
        <v>0</v>
      </c>
      <c r="EH89" s="595">
        <f t="shared" si="310"/>
        <v>0</v>
      </c>
      <c r="EI89" s="193" t="str">
        <f t="shared" si="311"/>
        <v/>
      </c>
      <c r="EJ89" s="595" t="str">
        <f t="shared" si="312"/>
        <v/>
      </c>
      <c r="EK89" s="595" t="str">
        <f t="shared" si="313"/>
        <v/>
      </c>
      <c r="EL89" s="194" t="str">
        <f t="shared" si="314"/>
        <v/>
      </c>
      <c r="EM89" s="194" t="str">
        <f t="shared" si="315"/>
        <v/>
      </c>
      <c r="EN89" s="194" t="str">
        <f t="shared" si="316"/>
        <v/>
      </c>
      <c r="EO89" s="194" t="str">
        <f t="shared" si="317"/>
        <v/>
      </c>
      <c r="EP89" s="194" t="str">
        <f t="shared" si="318"/>
        <v/>
      </c>
      <c r="EQ89" s="194" t="str">
        <f t="shared" si="319"/>
        <v/>
      </c>
      <c r="ER89" s="195">
        <f t="shared" si="320"/>
        <v>0</v>
      </c>
      <c r="ES89" s="195">
        <f t="shared" si="321"/>
        <v>0</v>
      </c>
      <c r="ET89" s="195">
        <f t="shared" si="322"/>
        <v>0</v>
      </c>
      <c r="EU89" s="195">
        <f t="shared" si="323"/>
        <v>0</v>
      </c>
      <c r="EV89" s="195">
        <f t="shared" si="324"/>
        <v>0</v>
      </c>
      <c r="EW89" s="195" t="str">
        <f t="shared" si="325"/>
        <v/>
      </c>
      <c r="EX89" s="196" t="str">
        <f t="shared" si="326"/>
        <v/>
      </c>
      <c r="EY89" s="197" t="str">
        <f>IF('Marks Entry'!BE89="","",'Marks Entry'!BE89)</f>
        <v/>
      </c>
      <c r="EZ89" s="197" t="str">
        <f>IF('Marks Entry'!BF89="","",'Marks Entry'!BF89)</f>
        <v/>
      </c>
      <c r="FA89" s="197" t="str">
        <f>IF('Marks Entry'!BG89="","",'Marks Entry'!BG89)</f>
        <v/>
      </c>
      <c r="FB89" s="596" t="str">
        <f t="shared" si="327"/>
        <v/>
      </c>
      <c r="FC89" s="197" t="str">
        <f>IF('Marks Entry'!BH89="","",'Marks Entry'!BH89)</f>
        <v/>
      </c>
      <c r="FD89" s="197" t="str">
        <f>IF('Marks Entry'!BI89="","",'Marks Entry'!BI89)</f>
        <v/>
      </c>
      <c r="FE89" s="198" t="str">
        <f t="shared" si="328"/>
        <v/>
      </c>
      <c r="FF89" s="199" t="str">
        <f t="shared" si="329"/>
        <v/>
      </c>
      <c r="FG89" s="200" t="str">
        <f>IF(AND(E89=""),"",IF('Student DATA Entry'!L85="","",'Student DATA Entry'!L85))</f>
        <v/>
      </c>
      <c r="FH89" s="201" t="str">
        <f>IF(AND(E89=""),"",IF('Student DATA Entry'!M85="","",'Student DATA Entry'!M85))</f>
        <v/>
      </c>
      <c r="FI89" s="202" t="str">
        <f t="shared" si="330"/>
        <v/>
      </c>
      <c r="FJ89" s="189" t="str">
        <f t="shared" si="331"/>
        <v/>
      </c>
      <c r="FK89" s="189" t="str">
        <f t="shared" si="332"/>
        <v/>
      </c>
      <c r="FL89" s="203" t="str">
        <f t="shared" si="201"/>
        <v/>
      </c>
      <c r="FM89" s="189" t="str">
        <f t="shared" si="333"/>
        <v/>
      </c>
      <c r="FN89" s="204" t="str">
        <f t="shared" si="334"/>
        <v/>
      </c>
      <c r="FO89" s="203" t="str">
        <f t="shared" si="202"/>
        <v/>
      </c>
      <c r="FP89" s="205" t="str">
        <f t="shared" si="335"/>
        <v/>
      </c>
      <c r="FQ89" s="189" t="str">
        <f t="shared" si="203"/>
        <v/>
      </c>
      <c r="FR89" s="189" t="str">
        <f t="shared" si="204"/>
        <v/>
      </c>
      <c r="FS89" s="189" t="str">
        <f t="shared" si="205"/>
        <v/>
      </c>
      <c r="FT89" s="189" t="str">
        <f t="shared" si="206"/>
        <v/>
      </c>
      <c r="FU89" s="189" t="str">
        <f t="shared" si="336"/>
        <v/>
      </c>
      <c r="FV89" s="206" t="str">
        <f t="shared" si="207"/>
        <v/>
      </c>
      <c r="FW89" s="205" t="str">
        <f t="shared" si="337"/>
        <v/>
      </c>
      <c r="FX89" s="189" t="str">
        <f t="shared" si="208"/>
        <v/>
      </c>
      <c r="FY89" s="189" t="str">
        <f t="shared" si="209"/>
        <v/>
      </c>
      <c r="FZ89" s="189" t="str">
        <f t="shared" si="210"/>
        <v/>
      </c>
      <c r="GA89" s="189" t="str">
        <f t="shared" si="211"/>
        <v/>
      </c>
      <c r="GB89" s="189" t="str">
        <f t="shared" si="338"/>
        <v/>
      </c>
      <c r="GC89" s="206" t="str">
        <f t="shared" si="212"/>
        <v/>
      </c>
      <c r="GD89" s="205" t="str">
        <f t="shared" si="339"/>
        <v/>
      </c>
      <c r="GE89" s="189" t="str">
        <f t="shared" si="213"/>
        <v/>
      </c>
      <c r="GF89" s="189" t="str">
        <f t="shared" si="214"/>
        <v/>
      </c>
      <c r="GG89" s="189" t="str">
        <f t="shared" si="215"/>
        <v/>
      </c>
      <c r="GH89" s="189" t="str">
        <f t="shared" si="216"/>
        <v/>
      </c>
      <c r="GI89" s="189" t="str">
        <f t="shared" si="340"/>
        <v/>
      </c>
      <c r="GJ89" s="206" t="str">
        <f t="shared" si="217"/>
        <v/>
      </c>
      <c r="GK89" s="205" t="str">
        <f t="shared" si="341"/>
        <v/>
      </c>
      <c r="GL89" s="189" t="str">
        <f t="shared" si="218"/>
        <v/>
      </c>
      <c r="GM89" s="189" t="str">
        <f t="shared" si="219"/>
        <v/>
      </c>
      <c r="GN89" s="189" t="str">
        <f t="shared" si="220"/>
        <v/>
      </c>
      <c r="GO89" s="189" t="str">
        <f t="shared" si="221"/>
        <v/>
      </c>
      <c r="GP89" s="189" t="str">
        <f t="shared" si="342"/>
        <v/>
      </c>
      <c r="GQ89" s="206" t="str">
        <f t="shared" si="222"/>
        <v/>
      </c>
      <c r="GR89" s="189" t="str">
        <f t="shared" si="343"/>
        <v/>
      </c>
      <c r="GS89" s="189" t="str">
        <f t="shared" si="344"/>
        <v/>
      </c>
      <c r="GT89" s="207" t="str">
        <f t="shared" si="345"/>
        <v xml:space="preserve">    </v>
      </c>
      <c r="GU89" s="207" t="str">
        <f t="shared" si="346"/>
        <v xml:space="preserve">    </v>
      </c>
      <c r="GV89" s="207" t="str">
        <f t="shared" si="347"/>
        <v xml:space="preserve">    </v>
      </c>
      <c r="GW89" s="207" t="str">
        <f t="shared" si="348"/>
        <v xml:space="preserve">       </v>
      </c>
      <c r="GX89" s="598" t="str">
        <f t="shared" si="349"/>
        <v xml:space="preserve">     </v>
      </c>
      <c r="GY89" s="208" t="str">
        <f t="shared" si="223"/>
        <v/>
      </c>
      <c r="GZ89" s="606" t="str">
        <f>IF(AND(Q89="",AE89="",AZ89="",BW89="",CT89=""),"",IF(AND('Master Sheet'!$D$19="YES",'Marks Entry'!$BA$1=1),SUM(Q89,AE89,AZ89,BW89,DT89),SUM(Q89,AE89,AZ89,BW89,CT89)))</f>
        <v/>
      </c>
      <c r="HA89" s="209" t="str">
        <f>IF(GZ89="","",IF(AND('Master Sheet'!$D$19="YES",'Marks Entry'!$BA$1=1),GZ89/((900)-DC89)*100,GZ89/((1000)-DC89)*100))</f>
        <v/>
      </c>
      <c r="HB89" s="611" t="str">
        <f t="shared" si="350"/>
        <v/>
      </c>
      <c r="HC89" s="609" t="str">
        <f t="shared" si="351"/>
        <v/>
      </c>
      <c r="HD89" s="610" t="str">
        <f t="shared" si="352"/>
        <v/>
      </c>
      <c r="HE89" s="210" t="str">
        <f>IFERROR(IF(OR(GY89="SUPPLEMENTARY",GY89="RE-EXAM"),'Supp. Result Entry'!AS88,""),"")</f>
        <v/>
      </c>
      <c r="HF89" s="613" t="str">
        <f t="shared" si="353"/>
        <v/>
      </c>
      <c r="HG89" s="598" t="str">
        <f t="shared" si="354"/>
        <v/>
      </c>
      <c r="HH89" s="598" t="str">
        <f>IF(AND(HE89="",HF89="",HG89=""),"",IF(OR(GY89="SUPPLEMENTARY",GY89="RE-EXAM"),'Supp. Result Entry'!AS88,GY89))</f>
        <v/>
      </c>
      <c r="HI89" s="180"/>
      <c r="HY89" s="212" t="str">
        <f>IF('Supp. Result Entry'!U88="","",'Supp. Result Entry'!$U$6)</f>
        <v/>
      </c>
      <c r="HZ89" s="213" t="str">
        <f>IF('Supp. Result Entry'!X88="","",'Supp. Result Entry'!$X$6)</f>
        <v/>
      </c>
      <c r="IA89" s="213" t="str">
        <f>IF('Supp. Result Entry'!AA88="","",'Supp. Result Entry'!$AA$6)</f>
        <v/>
      </c>
      <c r="IB89" s="213" t="str">
        <f>IF('Supp. Result Entry'!AD88="","",'Supp. Result Entry'!$AD$6)</f>
        <v/>
      </c>
      <c r="IC89" s="213" t="str">
        <f>IF('Supp. Result Entry'!AG88="","",'Supp. Result Entry'!$AG$6)</f>
        <v/>
      </c>
      <c r="ID89" s="213" t="str">
        <f>IF('Supp. Result Entry'!AJ88="","",'Supp. Result Entry'!$AJ$6)</f>
        <v/>
      </c>
      <c r="IE89" s="213" t="str">
        <f>IF('Supp. Result Entry'!V88="","",'Supp. Result Entry'!V88)</f>
        <v/>
      </c>
      <c r="IF89" s="213" t="str">
        <f>IF('Supp. Result Entry'!Y88="","",'Supp. Result Entry'!Y88)</f>
        <v/>
      </c>
      <c r="IG89" s="213" t="str">
        <f>IF('Supp. Result Entry'!AB88="","",'Supp. Result Entry'!AB88)</f>
        <v/>
      </c>
      <c r="IH89" s="213" t="str">
        <f>IF('Supp. Result Entry'!AE88="","",'Supp. Result Entry'!AE88)</f>
        <v/>
      </c>
      <c r="II89" s="213" t="str">
        <f>IF('Supp. Result Entry'!AH88="","",'Supp. Result Entry'!AH88)</f>
        <v/>
      </c>
      <c r="IJ89" s="213" t="str">
        <f>IF('Supp. Result Entry'!AK88="","",'Supp. Result Entry'!AK88)</f>
        <v/>
      </c>
      <c r="IK89" s="213" t="str">
        <f>IF('Supp. Result Entry'!W88="","",'Supp. Result Entry'!W88)</f>
        <v/>
      </c>
      <c r="IL89" s="213" t="str">
        <f>IF('Supp. Result Entry'!Z88="","",'Supp. Result Entry'!Z88)</f>
        <v/>
      </c>
      <c r="IM89" s="213" t="str">
        <f>IF('Supp. Result Entry'!AC88="","",'Supp. Result Entry'!AC88)</f>
        <v/>
      </c>
      <c r="IN89" s="213" t="str">
        <f>IF('Supp. Result Entry'!AF88="","",'Supp. Result Entry'!AF88)</f>
        <v/>
      </c>
      <c r="IO89" s="213" t="str">
        <f>IF('Supp. Result Entry'!AI88="","",'Supp. Result Entry'!AI88)</f>
        <v/>
      </c>
      <c r="IP89" s="213" t="str">
        <f>IF('Supp. Result Entry'!AL88="","",'Supp. Result Entry'!AL88)</f>
        <v/>
      </c>
      <c r="IQ89" s="213">
        <f>COUNTIF('Supp. Result Entry'!K88:Q88,"S")</f>
        <v>0</v>
      </c>
      <c r="IR89" s="213">
        <f t="shared" si="355"/>
        <v>0</v>
      </c>
      <c r="IS89" s="213">
        <f t="shared" si="356"/>
        <v>0</v>
      </c>
      <c r="IT89" s="213" t="str">
        <f t="shared" si="224"/>
        <v/>
      </c>
      <c r="IU89" s="213" t="str">
        <f t="shared" si="225"/>
        <v/>
      </c>
      <c r="IV89" s="213" t="str">
        <f t="shared" si="226"/>
        <v/>
      </c>
      <c r="IW89" s="213" t="str">
        <f t="shared" si="227"/>
        <v/>
      </c>
      <c r="IX89" s="213" t="str">
        <f t="shared" si="228"/>
        <v/>
      </c>
      <c r="IY89" s="213" t="str">
        <f t="shared" si="357"/>
        <v/>
      </c>
      <c r="IZ89" s="213" t="str">
        <f t="shared" si="358"/>
        <v/>
      </c>
      <c r="JA89" s="213" t="str">
        <f t="shared" si="229"/>
        <v/>
      </c>
      <c r="JB89" s="211" t="str">
        <f t="shared" si="359"/>
        <v/>
      </c>
    </row>
    <row r="90" spans="1:262" s="211" customFormat="1" ht="21" customHeight="1">
      <c r="A90" s="184">
        <v>83</v>
      </c>
      <c r="B90" s="185" t="str">
        <f>IF('Marks Entry'!B90="","",'Marks Entry'!B90)</f>
        <v/>
      </c>
      <c r="C90" s="186" t="str">
        <f>IF('Marks Entry'!D90="","",'Marks Entry'!D90)</f>
        <v/>
      </c>
      <c r="D90" s="187" t="str">
        <f>IF('Marks Entry'!E90="","",'Marks Entry'!E90)</f>
        <v/>
      </c>
      <c r="E90" s="188" t="str">
        <f>IF('Marks Entry'!F90="","",'Marks Entry'!F90)</f>
        <v/>
      </c>
      <c r="F90" s="188" t="str">
        <f>IF('Marks Entry'!G90="","",'Marks Entry'!G90)</f>
        <v/>
      </c>
      <c r="G90" s="188" t="str">
        <f>IF('Marks Entry'!H90="","",'Marks Entry'!H90)</f>
        <v/>
      </c>
      <c r="H90" s="189" t="str">
        <f>IF('Marks Entry'!I90="","",'Marks Entry'!I90)</f>
        <v/>
      </c>
      <c r="I90" s="190" t="str">
        <f>IF('Marks Entry'!J90="","",'Marks Entry'!J90)</f>
        <v/>
      </c>
      <c r="J90" s="545" t="str">
        <f>IF('Marks Entry'!K90="","",'Marks Entry'!K90)</f>
        <v/>
      </c>
      <c r="K90" s="545" t="str">
        <f>IF('Marks Entry'!L90="","",'Marks Entry'!L90)</f>
        <v/>
      </c>
      <c r="L90" s="545" t="str">
        <f>IF('Marks Entry'!M90="","",'Marks Entry'!M90)</f>
        <v/>
      </c>
      <c r="M90" s="546" t="str">
        <f t="shared" si="230"/>
        <v/>
      </c>
      <c r="N90" s="545" t="str">
        <f>IF('Marks Entry'!N90="","",'Marks Entry'!N90)</f>
        <v/>
      </c>
      <c r="O90" s="546" t="str">
        <f t="shared" si="231"/>
        <v/>
      </c>
      <c r="P90" s="545" t="str">
        <f>IF('Marks Entry'!O90="","",'Marks Entry'!O90)</f>
        <v/>
      </c>
      <c r="Q90" s="547" t="str">
        <f t="shared" si="232"/>
        <v/>
      </c>
      <c r="R90" s="153">
        <f t="shared" si="233"/>
        <v>0</v>
      </c>
      <c r="S90" s="153">
        <f t="shared" si="234"/>
        <v>0</v>
      </c>
      <c r="T90" s="154" t="str">
        <f t="shared" si="235"/>
        <v/>
      </c>
      <c r="U90" s="153" t="str">
        <f t="shared" si="236"/>
        <v/>
      </c>
      <c r="V90" s="153" t="str">
        <f t="shared" si="237"/>
        <v/>
      </c>
      <c r="W90" s="153" t="str">
        <f t="shared" si="238"/>
        <v/>
      </c>
      <c r="X90" s="545" t="str">
        <f>IF('Marks Entry'!P90="","",'Marks Entry'!P90)</f>
        <v/>
      </c>
      <c r="Y90" s="545" t="str">
        <f>IF('Marks Entry'!Q90="","",'Marks Entry'!Q90)</f>
        <v/>
      </c>
      <c r="Z90" s="545" t="str">
        <f>IF('Marks Entry'!R90="","",'Marks Entry'!R90)</f>
        <v/>
      </c>
      <c r="AA90" s="546" t="str">
        <f t="shared" si="239"/>
        <v/>
      </c>
      <c r="AB90" s="545" t="str">
        <f>IF('Marks Entry'!S90="","",'Marks Entry'!S90)</f>
        <v/>
      </c>
      <c r="AC90" s="546" t="str">
        <f t="shared" si="240"/>
        <v/>
      </c>
      <c r="AD90" s="545" t="str">
        <f>IF('Marks Entry'!T90="","",'Marks Entry'!T90)</f>
        <v/>
      </c>
      <c r="AE90" s="547" t="str">
        <f t="shared" si="241"/>
        <v/>
      </c>
      <c r="AF90" s="153">
        <f t="shared" si="242"/>
        <v>0</v>
      </c>
      <c r="AG90" s="153">
        <f t="shared" si="243"/>
        <v>0</v>
      </c>
      <c r="AH90" s="154" t="str">
        <f t="shared" si="244"/>
        <v/>
      </c>
      <c r="AI90" s="153" t="str">
        <f t="shared" si="245"/>
        <v/>
      </c>
      <c r="AJ90" s="153" t="str">
        <f t="shared" si="246"/>
        <v/>
      </c>
      <c r="AK90" s="153" t="str">
        <f t="shared" si="247"/>
        <v/>
      </c>
      <c r="AL90" s="573" t="str">
        <f>IF('Marks Entry'!U90="","",'Marks Entry'!U90)</f>
        <v/>
      </c>
      <c r="AM90" s="573" t="str">
        <f>IF('Marks Entry'!V90="","",'Marks Entry'!V90)</f>
        <v/>
      </c>
      <c r="AN90" s="573" t="str">
        <f>IF('Marks Entry'!W90="","",'Marks Entry'!W90)</f>
        <v/>
      </c>
      <c r="AO90" s="573" t="str">
        <f>IF('Marks Entry'!X90="","",'Marks Entry'!X90)</f>
        <v/>
      </c>
      <c r="AP90" s="572" t="str">
        <f t="shared" si="248"/>
        <v/>
      </c>
      <c r="AQ90" s="573" t="str">
        <f>IF('Marks Entry'!Y90="","",'Marks Entry'!Y90)</f>
        <v/>
      </c>
      <c r="AR90" s="573" t="str">
        <f>IF('Marks Entry'!Z90="","",'Marks Entry'!Z90)</f>
        <v/>
      </c>
      <c r="AS90" s="572" t="str">
        <f t="shared" si="249"/>
        <v/>
      </c>
      <c r="AT90" s="572" t="str">
        <f t="shared" si="250"/>
        <v/>
      </c>
      <c r="AU90" s="573" t="str">
        <f>IF('Marks Entry'!AA90="","",'Marks Entry'!AA90)</f>
        <v/>
      </c>
      <c r="AV90" s="573" t="str">
        <f>IF('Marks Entry'!AB90="","",'Marks Entry'!AB90)</f>
        <v/>
      </c>
      <c r="AW90" s="572" t="str">
        <f t="shared" si="251"/>
        <v/>
      </c>
      <c r="AX90" s="157" t="str">
        <f t="shared" si="252"/>
        <v/>
      </c>
      <c r="AY90" s="157" t="str">
        <f t="shared" si="253"/>
        <v/>
      </c>
      <c r="AZ90" s="192" t="str">
        <f t="shared" si="254"/>
        <v/>
      </c>
      <c r="BA90" s="153">
        <f t="shared" si="255"/>
        <v>0</v>
      </c>
      <c r="BB90" s="154">
        <f t="shared" si="256"/>
        <v>0</v>
      </c>
      <c r="BC90" s="154" t="str">
        <f t="shared" si="257"/>
        <v/>
      </c>
      <c r="BD90" s="154" t="str">
        <f t="shared" si="258"/>
        <v/>
      </c>
      <c r="BE90" s="154" t="str">
        <f t="shared" si="259"/>
        <v/>
      </c>
      <c r="BF90" s="153" t="str">
        <f t="shared" si="260"/>
        <v/>
      </c>
      <c r="BG90" s="154" t="str">
        <f t="shared" si="261"/>
        <v/>
      </c>
      <c r="BH90" s="153" t="str">
        <f t="shared" si="262"/>
        <v/>
      </c>
      <c r="BI90" s="580" t="str">
        <f>IF('Marks Entry'!AC90="","",'Marks Entry'!AC90)</f>
        <v/>
      </c>
      <c r="BJ90" s="580" t="str">
        <f>IF('Marks Entry'!AD90="","",'Marks Entry'!AD90)</f>
        <v/>
      </c>
      <c r="BK90" s="580" t="str">
        <f>IF('Marks Entry'!AE90="","",'Marks Entry'!AE90)</f>
        <v/>
      </c>
      <c r="BL90" s="580" t="str">
        <f>IF('Marks Entry'!AF90="","",'Marks Entry'!AF90)</f>
        <v/>
      </c>
      <c r="BM90" s="581" t="str">
        <f t="shared" si="263"/>
        <v/>
      </c>
      <c r="BN90" s="580" t="str">
        <f>IF('Marks Entry'!AG90="","",'Marks Entry'!AG90)</f>
        <v/>
      </c>
      <c r="BO90" s="580" t="str">
        <f>IF('Marks Entry'!AH90="","",'Marks Entry'!AH90)</f>
        <v/>
      </c>
      <c r="BP90" s="581" t="str">
        <f t="shared" si="264"/>
        <v/>
      </c>
      <c r="BQ90" s="581" t="str">
        <f t="shared" si="265"/>
        <v/>
      </c>
      <c r="BR90" s="580" t="str">
        <f>IF('Marks Entry'!AI90="","",'Marks Entry'!AI90)</f>
        <v/>
      </c>
      <c r="BS90" s="580" t="str">
        <f>IF('Marks Entry'!AJ90="","",'Marks Entry'!AJ90)</f>
        <v/>
      </c>
      <c r="BT90" s="581" t="str">
        <f t="shared" si="266"/>
        <v/>
      </c>
      <c r="BU90" s="157" t="str">
        <f t="shared" si="267"/>
        <v/>
      </c>
      <c r="BV90" s="157" t="str">
        <f t="shared" si="268"/>
        <v/>
      </c>
      <c r="BW90" s="192" t="str">
        <f t="shared" si="269"/>
        <v/>
      </c>
      <c r="BX90" s="153">
        <f t="shared" si="270"/>
        <v>0</v>
      </c>
      <c r="BY90" s="154">
        <f t="shared" si="271"/>
        <v>0</v>
      </c>
      <c r="BZ90" s="154" t="str">
        <f t="shared" si="272"/>
        <v/>
      </c>
      <c r="CA90" s="154" t="str">
        <f t="shared" si="273"/>
        <v/>
      </c>
      <c r="CB90" s="154" t="str">
        <f t="shared" si="274"/>
        <v/>
      </c>
      <c r="CC90" s="153" t="str">
        <f t="shared" si="275"/>
        <v/>
      </c>
      <c r="CD90" s="154" t="str">
        <f t="shared" si="276"/>
        <v/>
      </c>
      <c r="CE90" s="153" t="str">
        <f t="shared" si="277"/>
        <v/>
      </c>
      <c r="CF90" s="580" t="str">
        <f>IF('Marks Entry'!AK90="","",'Marks Entry'!AK90)</f>
        <v/>
      </c>
      <c r="CG90" s="580" t="str">
        <f>IF('Marks Entry'!AL90="","",'Marks Entry'!AL90)</f>
        <v/>
      </c>
      <c r="CH90" s="580" t="str">
        <f>IF('Marks Entry'!AM90="","",'Marks Entry'!AM90)</f>
        <v/>
      </c>
      <c r="CI90" s="580" t="str">
        <f>IF('Marks Entry'!AN90="","",'Marks Entry'!AN90)</f>
        <v/>
      </c>
      <c r="CJ90" s="581" t="str">
        <f t="shared" si="278"/>
        <v/>
      </c>
      <c r="CK90" s="580" t="str">
        <f>IF('Marks Entry'!AO90="","",'Marks Entry'!AO90)</f>
        <v/>
      </c>
      <c r="CL90" s="580" t="str">
        <f>IF('Marks Entry'!AP90="","",'Marks Entry'!AP90)</f>
        <v/>
      </c>
      <c r="CM90" s="581" t="str">
        <f t="shared" si="279"/>
        <v/>
      </c>
      <c r="CN90" s="581" t="str">
        <f t="shared" si="280"/>
        <v/>
      </c>
      <c r="CO90" s="580" t="str">
        <f>IF('Marks Entry'!AQ90="","",'Marks Entry'!AQ90)</f>
        <v/>
      </c>
      <c r="CP90" s="580" t="str">
        <f>IF('Marks Entry'!AR90="","",'Marks Entry'!AR90)</f>
        <v/>
      </c>
      <c r="CQ90" s="581" t="str">
        <f t="shared" si="281"/>
        <v/>
      </c>
      <c r="CR90" s="157" t="str">
        <f t="shared" si="282"/>
        <v/>
      </c>
      <c r="CS90" s="157" t="str">
        <f t="shared" si="283"/>
        <v/>
      </c>
      <c r="CT90" s="192" t="str">
        <f t="shared" si="284"/>
        <v/>
      </c>
      <c r="CU90" s="153">
        <f t="shared" si="285"/>
        <v>0</v>
      </c>
      <c r="CV90" s="154">
        <f t="shared" si="286"/>
        <v>0</v>
      </c>
      <c r="CW90" s="154" t="str">
        <f t="shared" si="287"/>
        <v/>
      </c>
      <c r="CX90" s="154" t="str">
        <f t="shared" si="288"/>
        <v/>
      </c>
      <c r="CY90" s="154" t="str">
        <f t="shared" si="289"/>
        <v/>
      </c>
      <c r="CZ90" s="153" t="str">
        <f t="shared" si="290"/>
        <v/>
      </c>
      <c r="DA90" s="154" t="str">
        <f t="shared" si="291"/>
        <v/>
      </c>
      <c r="DB90" s="153" t="str">
        <f t="shared" si="292"/>
        <v/>
      </c>
      <c r="DC90" s="154">
        <f t="shared" si="293"/>
        <v>0</v>
      </c>
      <c r="DD90" s="826" t="str">
        <f>IF('Marks Entry'!AS90="","",IF(OR('Master Sheet'!$D$19="YES",'Marks Entry'!$BA$1=1),'Marks Entry'!AS90,""))</f>
        <v/>
      </c>
      <c r="DE90" s="826" t="str">
        <f>IF('Marks Entry'!AT90="","",IF(OR('Master Sheet'!$D$19="YES",'Marks Entry'!$BA$1=1),'Marks Entry'!AT90,""))</f>
        <v/>
      </c>
      <c r="DF90" s="826" t="str">
        <f>IF('Marks Entry'!AU90="","",IF(OR('Master Sheet'!$D$19="YES",'Marks Entry'!$BA$1=1),'Marks Entry'!AU90,""))</f>
        <v/>
      </c>
      <c r="DG90" s="826" t="str">
        <f>IF('Marks Entry'!AV90="","",IF(OR('Master Sheet'!$D$19="YES",'Marks Entry'!$BA$1=1),'Marks Entry'!AV90,""))</f>
        <v/>
      </c>
      <c r="DH90" s="827" t="str">
        <f t="shared" si="294"/>
        <v/>
      </c>
      <c r="DI90" s="826" t="str">
        <f>IF('Marks Entry'!AW90="","",IF(OR('Master Sheet'!$D$19="YES",'Marks Entry'!$BA$1=1),'Marks Entry'!AW90,""))</f>
        <v/>
      </c>
      <c r="DJ90" s="826" t="str">
        <f>IF('Marks Entry'!AX90="","",IF(OR('Master Sheet'!$D$19="YES",'Marks Entry'!$BA$1=1),'Marks Entry'!AX90,""))</f>
        <v/>
      </c>
      <c r="DK90" s="827" t="str">
        <f t="shared" si="295"/>
        <v/>
      </c>
      <c r="DL90" s="827" t="str">
        <f t="shared" si="296"/>
        <v/>
      </c>
      <c r="DM90" s="826" t="str">
        <f>IF('Marks Entry'!AY90="","",IF(OR('Master Sheet'!$D$19="YES",'Marks Entry'!$BA$1=1),'Marks Entry'!AY90,""))</f>
        <v/>
      </c>
      <c r="DN90" s="826" t="str">
        <f>IF('Marks Entry'!AZ90="","",IF(OR('Master Sheet'!$D$19="YES",'Marks Entry'!$BA$1=1),'Marks Entry'!AZ90,""))</f>
        <v/>
      </c>
      <c r="DO90" s="826" t="str">
        <f>IF('Marks Entry'!BA90="","",IF(OR('Master Sheet'!$D$19="YES",'Marks Entry'!$BA$1=1),'Marks Entry'!BA90,""))</f>
        <v/>
      </c>
      <c r="DP90" s="827" t="str">
        <f t="shared" si="297"/>
        <v/>
      </c>
      <c r="DQ90" s="157" t="str">
        <f t="shared" si="298"/>
        <v/>
      </c>
      <c r="DR90" s="157" t="str">
        <f t="shared" si="299"/>
        <v/>
      </c>
      <c r="DS90" s="157" t="str">
        <f t="shared" si="300"/>
        <v/>
      </c>
      <c r="DT90" s="192" t="str">
        <f t="shared" si="301"/>
        <v/>
      </c>
      <c r="DU90" s="153">
        <f t="shared" si="302"/>
        <v>0</v>
      </c>
      <c r="DV90" s="154" t="e">
        <f t="shared" si="303"/>
        <v>#VALUE!</v>
      </c>
      <c r="DW90" s="154" t="str">
        <f t="shared" si="304"/>
        <v/>
      </c>
      <c r="DX90" s="154" t="str">
        <f>IF(OR($B90="NSO",$B90=0,DS90=""),"",IF(AND(DJ90="",DO90=""),"",IF('Master Sheet'!$D$19="YES",$DO$6-COUNTIF(DO90,"ML")*DO$6,DS$6-(COUNTIF(DJ90,"ML")*DJ$6)-(COUNTIF(DO90,"ML")*DO$6))))</f>
        <v/>
      </c>
      <c r="DY90" s="154" t="str">
        <f>IF(OR($B90="NSO",$B90=0),"",IF(AND(DH90="",DI90="",DM90=""),"",IF(AND('Master Sheet'!$D$19="YES",'Marks Entry'!$BA$1=1),100,IF(AND(DJ90="",DO90=""),SUM(($DQ$7+$DR$7)-(DU90+DV90)),SUM(($DQ$6+$DR$6)-(DU90+DV90))))))</f>
        <v/>
      </c>
      <c r="DZ90" s="153" t="str">
        <f t="shared" si="305"/>
        <v/>
      </c>
      <c r="EA90" s="154" t="str">
        <f t="shared" si="306"/>
        <v/>
      </c>
      <c r="EB90" s="153" t="str">
        <f t="shared" si="307"/>
        <v/>
      </c>
      <c r="EC90" s="584" t="str">
        <f>IF('Marks Entry'!BB90="","",'Marks Entry'!BB90)</f>
        <v/>
      </c>
      <c r="ED90" s="584" t="str">
        <f>IF('Marks Entry'!BC90="","",'Marks Entry'!BC90)</f>
        <v/>
      </c>
      <c r="EE90" s="584" t="str">
        <f>IF('Marks Entry'!BD90="","",'Marks Entry'!BD90)</f>
        <v/>
      </c>
      <c r="EF90" s="590" t="str">
        <f t="shared" si="308"/>
        <v/>
      </c>
      <c r="EG90" s="595">
        <f t="shared" si="309"/>
        <v>0</v>
      </c>
      <c r="EH90" s="595">
        <f t="shared" si="310"/>
        <v>0</v>
      </c>
      <c r="EI90" s="193" t="str">
        <f t="shared" si="311"/>
        <v/>
      </c>
      <c r="EJ90" s="595" t="str">
        <f t="shared" si="312"/>
        <v/>
      </c>
      <c r="EK90" s="595" t="str">
        <f t="shared" si="313"/>
        <v/>
      </c>
      <c r="EL90" s="194" t="str">
        <f t="shared" si="314"/>
        <v/>
      </c>
      <c r="EM90" s="194" t="str">
        <f t="shared" si="315"/>
        <v/>
      </c>
      <c r="EN90" s="194" t="str">
        <f t="shared" si="316"/>
        <v/>
      </c>
      <c r="EO90" s="194" t="str">
        <f t="shared" si="317"/>
        <v/>
      </c>
      <c r="EP90" s="194" t="str">
        <f t="shared" si="318"/>
        <v/>
      </c>
      <c r="EQ90" s="194" t="str">
        <f t="shared" si="319"/>
        <v/>
      </c>
      <c r="ER90" s="195">
        <f t="shared" si="320"/>
        <v>0</v>
      </c>
      <c r="ES90" s="195">
        <f t="shared" si="321"/>
        <v>0</v>
      </c>
      <c r="ET90" s="195">
        <f t="shared" si="322"/>
        <v>0</v>
      </c>
      <c r="EU90" s="195">
        <f t="shared" si="323"/>
        <v>0</v>
      </c>
      <c r="EV90" s="195">
        <f t="shared" si="324"/>
        <v>0</v>
      </c>
      <c r="EW90" s="195" t="str">
        <f t="shared" si="325"/>
        <v/>
      </c>
      <c r="EX90" s="196" t="str">
        <f t="shared" si="326"/>
        <v/>
      </c>
      <c r="EY90" s="197" t="str">
        <f>IF('Marks Entry'!BE90="","",'Marks Entry'!BE90)</f>
        <v/>
      </c>
      <c r="EZ90" s="197" t="str">
        <f>IF('Marks Entry'!BF90="","",'Marks Entry'!BF90)</f>
        <v/>
      </c>
      <c r="FA90" s="197" t="str">
        <f>IF('Marks Entry'!BG90="","",'Marks Entry'!BG90)</f>
        <v/>
      </c>
      <c r="FB90" s="596" t="str">
        <f t="shared" si="327"/>
        <v/>
      </c>
      <c r="FC90" s="197" t="str">
        <f>IF('Marks Entry'!BH90="","",'Marks Entry'!BH90)</f>
        <v/>
      </c>
      <c r="FD90" s="197" t="str">
        <f>IF('Marks Entry'!BI90="","",'Marks Entry'!BI90)</f>
        <v/>
      </c>
      <c r="FE90" s="198" t="str">
        <f t="shared" si="328"/>
        <v/>
      </c>
      <c r="FF90" s="199" t="str">
        <f t="shared" si="329"/>
        <v/>
      </c>
      <c r="FG90" s="200" t="str">
        <f>IF(AND(E90=""),"",IF('Student DATA Entry'!L86="","",'Student DATA Entry'!L86))</f>
        <v/>
      </c>
      <c r="FH90" s="201" t="str">
        <f>IF(AND(E90=""),"",IF('Student DATA Entry'!M86="","",'Student DATA Entry'!M86))</f>
        <v/>
      </c>
      <c r="FI90" s="202" t="str">
        <f t="shared" si="330"/>
        <v/>
      </c>
      <c r="FJ90" s="189" t="str">
        <f t="shared" si="331"/>
        <v/>
      </c>
      <c r="FK90" s="189" t="str">
        <f t="shared" si="332"/>
        <v/>
      </c>
      <c r="FL90" s="203" t="str">
        <f t="shared" si="201"/>
        <v/>
      </c>
      <c r="FM90" s="189" t="str">
        <f t="shared" si="333"/>
        <v/>
      </c>
      <c r="FN90" s="204" t="str">
        <f t="shared" si="334"/>
        <v/>
      </c>
      <c r="FO90" s="203" t="str">
        <f t="shared" si="202"/>
        <v/>
      </c>
      <c r="FP90" s="205" t="str">
        <f t="shared" si="335"/>
        <v/>
      </c>
      <c r="FQ90" s="189" t="str">
        <f t="shared" si="203"/>
        <v/>
      </c>
      <c r="FR90" s="189" t="str">
        <f t="shared" si="204"/>
        <v/>
      </c>
      <c r="FS90" s="189" t="str">
        <f t="shared" si="205"/>
        <v/>
      </c>
      <c r="FT90" s="189" t="str">
        <f t="shared" si="206"/>
        <v/>
      </c>
      <c r="FU90" s="189" t="str">
        <f t="shared" si="336"/>
        <v/>
      </c>
      <c r="FV90" s="206" t="str">
        <f t="shared" si="207"/>
        <v/>
      </c>
      <c r="FW90" s="205" t="str">
        <f t="shared" si="337"/>
        <v/>
      </c>
      <c r="FX90" s="189" t="str">
        <f t="shared" si="208"/>
        <v/>
      </c>
      <c r="FY90" s="189" t="str">
        <f t="shared" si="209"/>
        <v/>
      </c>
      <c r="FZ90" s="189" t="str">
        <f t="shared" si="210"/>
        <v/>
      </c>
      <c r="GA90" s="189" t="str">
        <f t="shared" si="211"/>
        <v/>
      </c>
      <c r="GB90" s="189" t="str">
        <f t="shared" si="338"/>
        <v/>
      </c>
      <c r="GC90" s="206" t="str">
        <f t="shared" si="212"/>
        <v/>
      </c>
      <c r="GD90" s="205" t="str">
        <f t="shared" si="339"/>
        <v/>
      </c>
      <c r="GE90" s="189" t="str">
        <f t="shared" si="213"/>
        <v/>
      </c>
      <c r="GF90" s="189" t="str">
        <f t="shared" si="214"/>
        <v/>
      </c>
      <c r="GG90" s="189" t="str">
        <f t="shared" si="215"/>
        <v/>
      </c>
      <c r="GH90" s="189" t="str">
        <f t="shared" si="216"/>
        <v/>
      </c>
      <c r="GI90" s="189" t="str">
        <f t="shared" si="340"/>
        <v/>
      </c>
      <c r="GJ90" s="206" t="str">
        <f t="shared" si="217"/>
        <v/>
      </c>
      <c r="GK90" s="205" t="str">
        <f t="shared" si="341"/>
        <v/>
      </c>
      <c r="GL90" s="189" t="str">
        <f t="shared" si="218"/>
        <v/>
      </c>
      <c r="GM90" s="189" t="str">
        <f t="shared" si="219"/>
        <v/>
      </c>
      <c r="GN90" s="189" t="str">
        <f t="shared" si="220"/>
        <v/>
      </c>
      <c r="GO90" s="189" t="str">
        <f t="shared" si="221"/>
        <v/>
      </c>
      <c r="GP90" s="189" t="str">
        <f t="shared" si="342"/>
        <v/>
      </c>
      <c r="GQ90" s="206" t="str">
        <f t="shared" si="222"/>
        <v/>
      </c>
      <c r="GR90" s="189" t="str">
        <f t="shared" si="343"/>
        <v/>
      </c>
      <c r="GS90" s="189" t="str">
        <f t="shared" si="344"/>
        <v/>
      </c>
      <c r="GT90" s="207" t="str">
        <f t="shared" si="345"/>
        <v xml:space="preserve">    </v>
      </c>
      <c r="GU90" s="207" t="str">
        <f t="shared" si="346"/>
        <v xml:space="preserve">    </v>
      </c>
      <c r="GV90" s="207" t="str">
        <f t="shared" si="347"/>
        <v xml:space="preserve">    </v>
      </c>
      <c r="GW90" s="207" t="str">
        <f t="shared" si="348"/>
        <v xml:space="preserve">       </v>
      </c>
      <c r="GX90" s="598" t="str">
        <f t="shared" si="349"/>
        <v xml:space="preserve">     </v>
      </c>
      <c r="GY90" s="208" t="str">
        <f t="shared" si="223"/>
        <v/>
      </c>
      <c r="GZ90" s="606" t="str">
        <f>IF(AND(Q90="",AE90="",AZ90="",BW90="",CT90=""),"",IF(AND('Master Sheet'!$D$19="YES",'Marks Entry'!$BA$1=1),SUM(Q90,AE90,AZ90,BW90,DT90),SUM(Q90,AE90,AZ90,BW90,CT90)))</f>
        <v/>
      </c>
      <c r="HA90" s="209" t="str">
        <f>IF(GZ90="","",IF(AND('Master Sheet'!$D$19="YES",'Marks Entry'!$BA$1=1),GZ90/((900)-DC90)*100,GZ90/((1000)-DC90)*100))</f>
        <v/>
      </c>
      <c r="HB90" s="611" t="str">
        <f t="shared" si="350"/>
        <v/>
      </c>
      <c r="HC90" s="609" t="str">
        <f t="shared" si="351"/>
        <v/>
      </c>
      <c r="HD90" s="610" t="str">
        <f t="shared" si="352"/>
        <v/>
      </c>
      <c r="HE90" s="210" t="str">
        <f>IFERROR(IF(OR(GY90="SUPPLEMENTARY",GY90="RE-EXAM"),'Supp. Result Entry'!AS89,""),"")</f>
        <v/>
      </c>
      <c r="HF90" s="613" t="str">
        <f t="shared" si="353"/>
        <v/>
      </c>
      <c r="HG90" s="598" t="str">
        <f t="shared" si="354"/>
        <v/>
      </c>
      <c r="HH90" s="598" t="str">
        <f>IF(AND(HE90="",HF90="",HG90=""),"",IF(OR(GY90="SUPPLEMENTARY",GY90="RE-EXAM"),'Supp. Result Entry'!AS89,GY90))</f>
        <v/>
      </c>
      <c r="HI90" s="180"/>
      <c r="HY90" s="212" t="str">
        <f>IF('Supp. Result Entry'!U89="","",'Supp. Result Entry'!$U$6)</f>
        <v/>
      </c>
      <c r="HZ90" s="213" t="str">
        <f>IF('Supp. Result Entry'!X89="","",'Supp. Result Entry'!$X$6)</f>
        <v/>
      </c>
      <c r="IA90" s="213" t="str">
        <f>IF('Supp. Result Entry'!AA89="","",'Supp. Result Entry'!$AA$6)</f>
        <v/>
      </c>
      <c r="IB90" s="213" t="str">
        <f>IF('Supp. Result Entry'!AD89="","",'Supp. Result Entry'!$AD$6)</f>
        <v/>
      </c>
      <c r="IC90" s="213" t="str">
        <f>IF('Supp. Result Entry'!AG89="","",'Supp. Result Entry'!$AG$6)</f>
        <v/>
      </c>
      <c r="ID90" s="213" t="str">
        <f>IF('Supp. Result Entry'!AJ89="","",'Supp. Result Entry'!$AJ$6)</f>
        <v/>
      </c>
      <c r="IE90" s="213" t="str">
        <f>IF('Supp. Result Entry'!V89="","",'Supp. Result Entry'!V89)</f>
        <v/>
      </c>
      <c r="IF90" s="213" t="str">
        <f>IF('Supp. Result Entry'!Y89="","",'Supp. Result Entry'!Y89)</f>
        <v/>
      </c>
      <c r="IG90" s="213" t="str">
        <f>IF('Supp. Result Entry'!AB89="","",'Supp. Result Entry'!AB89)</f>
        <v/>
      </c>
      <c r="IH90" s="213" t="str">
        <f>IF('Supp. Result Entry'!AE89="","",'Supp. Result Entry'!AE89)</f>
        <v/>
      </c>
      <c r="II90" s="213" t="str">
        <f>IF('Supp. Result Entry'!AH89="","",'Supp. Result Entry'!AH89)</f>
        <v/>
      </c>
      <c r="IJ90" s="213" t="str">
        <f>IF('Supp. Result Entry'!AK89="","",'Supp. Result Entry'!AK89)</f>
        <v/>
      </c>
      <c r="IK90" s="213" t="str">
        <f>IF('Supp. Result Entry'!W89="","",'Supp. Result Entry'!W89)</f>
        <v/>
      </c>
      <c r="IL90" s="213" t="str">
        <f>IF('Supp. Result Entry'!Z89="","",'Supp. Result Entry'!Z89)</f>
        <v/>
      </c>
      <c r="IM90" s="213" t="str">
        <f>IF('Supp. Result Entry'!AC89="","",'Supp. Result Entry'!AC89)</f>
        <v/>
      </c>
      <c r="IN90" s="213" t="str">
        <f>IF('Supp. Result Entry'!AF89="","",'Supp. Result Entry'!AF89)</f>
        <v/>
      </c>
      <c r="IO90" s="213" t="str">
        <f>IF('Supp. Result Entry'!AI89="","",'Supp. Result Entry'!AI89)</f>
        <v/>
      </c>
      <c r="IP90" s="213" t="str">
        <f>IF('Supp. Result Entry'!AL89="","",'Supp. Result Entry'!AL89)</f>
        <v/>
      </c>
      <c r="IQ90" s="213">
        <f>COUNTIF('Supp. Result Entry'!K89:Q89,"S")</f>
        <v>0</v>
      </c>
      <c r="IR90" s="213">
        <f t="shared" si="355"/>
        <v>0</v>
      </c>
      <c r="IS90" s="213">
        <f t="shared" si="356"/>
        <v>0</v>
      </c>
      <c r="IT90" s="213" t="str">
        <f t="shared" si="224"/>
        <v/>
      </c>
      <c r="IU90" s="213" t="str">
        <f t="shared" si="225"/>
        <v/>
      </c>
      <c r="IV90" s="213" t="str">
        <f t="shared" si="226"/>
        <v/>
      </c>
      <c r="IW90" s="213" t="str">
        <f t="shared" si="227"/>
        <v/>
      </c>
      <c r="IX90" s="213" t="str">
        <f t="shared" si="228"/>
        <v/>
      </c>
      <c r="IY90" s="213" t="str">
        <f t="shared" si="357"/>
        <v/>
      </c>
      <c r="IZ90" s="213" t="str">
        <f t="shared" si="358"/>
        <v/>
      </c>
      <c r="JA90" s="213" t="str">
        <f t="shared" si="229"/>
        <v/>
      </c>
      <c r="JB90" s="211" t="str">
        <f t="shared" si="359"/>
        <v/>
      </c>
    </row>
    <row r="91" spans="1:262" s="211" customFormat="1" ht="21" customHeight="1">
      <c r="A91" s="184">
        <v>84</v>
      </c>
      <c r="B91" s="185" t="str">
        <f>IF('Marks Entry'!B91="","",'Marks Entry'!B91)</f>
        <v/>
      </c>
      <c r="C91" s="186" t="str">
        <f>IF('Marks Entry'!D91="","",'Marks Entry'!D91)</f>
        <v/>
      </c>
      <c r="D91" s="187" t="str">
        <f>IF('Marks Entry'!E91="","",'Marks Entry'!E91)</f>
        <v/>
      </c>
      <c r="E91" s="188" t="str">
        <f>IF('Marks Entry'!F91="","",'Marks Entry'!F91)</f>
        <v/>
      </c>
      <c r="F91" s="188" t="str">
        <f>IF('Marks Entry'!G91="","",'Marks Entry'!G91)</f>
        <v/>
      </c>
      <c r="G91" s="188" t="str">
        <f>IF('Marks Entry'!H91="","",'Marks Entry'!H91)</f>
        <v/>
      </c>
      <c r="H91" s="189" t="str">
        <f>IF('Marks Entry'!I91="","",'Marks Entry'!I91)</f>
        <v/>
      </c>
      <c r="I91" s="190" t="str">
        <f>IF('Marks Entry'!J91="","",'Marks Entry'!J91)</f>
        <v/>
      </c>
      <c r="J91" s="545" t="str">
        <f>IF('Marks Entry'!K91="","",'Marks Entry'!K91)</f>
        <v/>
      </c>
      <c r="K91" s="545" t="str">
        <f>IF('Marks Entry'!L91="","",'Marks Entry'!L91)</f>
        <v/>
      </c>
      <c r="L91" s="545" t="str">
        <f>IF('Marks Entry'!M91="","",'Marks Entry'!M91)</f>
        <v/>
      </c>
      <c r="M91" s="546" t="str">
        <f t="shared" si="230"/>
        <v/>
      </c>
      <c r="N91" s="545" t="str">
        <f>IF('Marks Entry'!N91="","",'Marks Entry'!N91)</f>
        <v/>
      </c>
      <c r="O91" s="546" t="str">
        <f t="shared" si="231"/>
        <v/>
      </c>
      <c r="P91" s="545" t="str">
        <f>IF('Marks Entry'!O91="","",'Marks Entry'!O91)</f>
        <v/>
      </c>
      <c r="Q91" s="547" t="str">
        <f t="shared" si="232"/>
        <v/>
      </c>
      <c r="R91" s="153">
        <f t="shared" si="233"/>
        <v>0</v>
      </c>
      <c r="S91" s="153">
        <f t="shared" si="234"/>
        <v>0</v>
      </c>
      <c r="T91" s="154" t="str">
        <f t="shared" si="235"/>
        <v/>
      </c>
      <c r="U91" s="153" t="str">
        <f t="shared" si="236"/>
        <v/>
      </c>
      <c r="V91" s="153" t="str">
        <f t="shared" si="237"/>
        <v/>
      </c>
      <c r="W91" s="153" t="str">
        <f t="shared" si="238"/>
        <v/>
      </c>
      <c r="X91" s="545" t="str">
        <f>IF('Marks Entry'!P91="","",'Marks Entry'!P91)</f>
        <v/>
      </c>
      <c r="Y91" s="545" t="str">
        <f>IF('Marks Entry'!Q91="","",'Marks Entry'!Q91)</f>
        <v/>
      </c>
      <c r="Z91" s="545" t="str">
        <f>IF('Marks Entry'!R91="","",'Marks Entry'!R91)</f>
        <v/>
      </c>
      <c r="AA91" s="546" t="str">
        <f t="shared" si="239"/>
        <v/>
      </c>
      <c r="AB91" s="545" t="str">
        <f>IF('Marks Entry'!S91="","",'Marks Entry'!S91)</f>
        <v/>
      </c>
      <c r="AC91" s="546" t="str">
        <f t="shared" si="240"/>
        <v/>
      </c>
      <c r="AD91" s="545" t="str">
        <f>IF('Marks Entry'!T91="","",'Marks Entry'!T91)</f>
        <v/>
      </c>
      <c r="AE91" s="547" t="str">
        <f t="shared" si="241"/>
        <v/>
      </c>
      <c r="AF91" s="153">
        <f t="shared" si="242"/>
        <v>0</v>
      </c>
      <c r="AG91" s="153">
        <f t="shared" si="243"/>
        <v>0</v>
      </c>
      <c r="AH91" s="154" t="str">
        <f t="shared" si="244"/>
        <v/>
      </c>
      <c r="AI91" s="153" t="str">
        <f t="shared" si="245"/>
        <v/>
      </c>
      <c r="AJ91" s="153" t="str">
        <f t="shared" si="246"/>
        <v/>
      </c>
      <c r="AK91" s="153" t="str">
        <f t="shared" si="247"/>
        <v/>
      </c>
      <c r="AL91" s="573" t="str">
        <f>IF('Marks Entry'!U91="","",'Marks Entry'!U91)</f>
        <v/>
      </c>
      <c r="AM91" s="573" t="str">
        <f>IF('Marks Entry'!V91="","",'Marks Entry'!V91)</f>
        <v/>
      </c>
      <c r="AN91" s="573" t="str">
        <f>IF('Marks Entry'!W91="","",'Marks Entry'!W91)</f>
        <v/>
      </c>
      <c r="AO91" s="573" t="str">
        <f>IF('Marks Entry'!X91="","",'Marks Entry'!X91)</f>
        <v/>
      </c>
      <c r="AP91" s="572" t="str">
        <f t="shared" si="248"/>
        <v/>
      </c>
      <c r="AQ91" s="573" t="str">
        <f>IF('Marks Entry'!Y91="","",'Marks Entry'!Y91)</f>
        <v/>
      </c>
      <c r="AR91" s="573" t="str">
        <f>IF('Marks Entry'!Z91="","",'Marks Entry'!Z91)</f>
        <v/>
      </c>
      <c r="AS91" s="572" t="str">
        <f t="shared" si="249"/>
        <v/>
      </c>
      <c r="AT91" s="572" t="str">
        <f t="shared" si="250"/>
        <v/>
      </c>
      <c r="AU91" s="573" t="str">
        <f>IF('Marks Entry'!AA91="","",'Marks Entry'!AA91)</f>
        <v/>
      </c>
      <c r="AV91" s="573" t="str">
        <f>IF('Marks Entry'!AB91="","",'Marks Entry'!AB91)</f>
        <v/>
      </c>
      <c r="AW91" s="572" t="str">
        <f t="shared" si="251"/>
        <v/>
      </c>
      <c r="AX91" s="157" t="str">
        <f t="shared" si="252"/>
        <v/>
      </c>
      <c r="AY91" s="157" t="str">
        <f t="shared" si="253"/>
        <v/>
      </c>
      <c r="AZ91" s="192" t="str">
        <f t="shared" si="254"/>
        <v/>
      </c>
      <c r="BA91" s="153">
        <f t="shared" si="255"/>
        <v>0</v>
      </c>
      <c r="BB91" s="154">
        <f t="shared" si="256"/>
        <v>0</v>
      </c>
      <c r="BC91" s="154" t="str">
        <f t="shared" si="257"/>
        <v/>
      </c>
      <c r="BD91" s="154" t="str">
        <f t="shared" si="258"/>
        <v/>
      </c>
      <c r="BE91" s="154" t="str">
        <f t="shared" si="259"/>
        <v/>
      </c>
      <c r="BF91" s="153" t="str">
        <f t="shared" si="260"/>
        <v/>
      </c>
      <c r="BG91" s="154" t="str">
        <f t="shared" si="261"/>
        <v/>
      </c>
      <c r="BH91" s="153" t="str">
        <f t="shared" si="262"/>
        <v/>
      </c>
      <c r="BI91" s="580" t="str">
        <f>IF('Marks Entry'!AC91="","",'Marks Entry'!AC91)</f>
        <v/>
      </c>
      <c r="BJ91" s="580" t="str">
        <f>IF('Marks Entry'!AD91="","",'Marks Entry'!AD91)</f>
        <v/>
      </c>
      <c r="BK91" s="580" t="str">
        <f>IF('Marks Entry'!AE91="","",'Marks Entry'!AE91)</f>
        <v/>
      </c>
      <c r="BL91" s="580" t="str">
        <f>IF('Marks Entry'!AF91="","",'Marks Entry'!AF91)</f>
        <v/>
      </c>
      <c r="BM91" s="581" t="str">
        <f t="shared" si="263"/>
        <v/>
      </c>
      <c r="BN91" s="580" t="str">
        <f>IF('Marks Entry'!AG91="","",'Marks Entry'!AG91)</f>
        <v/>
      </c>
      <c r="BO91" s="580" t="str">
        <f>IF('Marks Entry'!AH91="","",'Marks Entry'!AH91)</f>
        <v/>
      </c>
      <c r="BP91" s="581" t="str">
        <f t="shared" si="264"/>
        <v/>
      </c>
      <c r="BQ91" s="581" t="str">
        <f t="shared" si="265"/>
        <v/>
      </c>
      <c r="BR91" s="580" t="str">
        <f>IF('Marks Entry'!AI91="","",'Marks Entry'!AI91)</f>
        <v/>
      </c>
      <c r="BS91" s="580" t="str">
        <f>IF('Marks Entry'!AJ91="","",'Marks Entry'!AJ91)</f>
        <v/>
      </c>
      <c r="BT91" s="581" t="str">
        <f t="shared" si="266"/>
        <v/>
      </c>
      <c r="BU91" s="157" t="str">
        <f t="shared" si="267"/>
        <v/>
      </c>
      <c r="BV91" s="157" t="str">
        <f t="shared" si="268"/>
        <v/>
      </c>
      <c r="BW91" s="192" t="str">
        <f t="shared" si="269"/>
        <v/>
      </c>
      <c r="BX91" s="153">
        <f t="shared" si="270"/>
        <v>0</v>
      </c>
      <c r="BY91" s="154">
        <f t="shared" si="271"/>
        <v>0</v>
      </c>
      <c r="BZ91" s="154" t="str">
        <f t="shared" si="272"/>
        <v/>
      </c>
      <c r="CA91" s="154" t="str">
        <f t="shared" si="273"/>
        <v/>
      </c>
      <c r="CB91" s="154" t="str">
        <f t="shared" si="274"/>
        <v/>
      </c>
      <c r="CC91" s="153" t="str">
        <f t="shared" si="275"/>
        <v/>
      </c>
      <c r="CD91" s="154" t="str">
        <f t="shared" si="276"/>
        <v/>
      </c>
      <c r="CE91" s="153" t="str">
        <f t="shared" si="277"/>
        <v/>
      </c>
      <c r="CF91" s="580" t="str">
        <f>IF('Marks Entry'!AK91="","",'Marks Entry'!AK91)</f>
        <v/>
      </c>
      <c r="CG91" s="580" t="str">
        <f>IF('Marks Entry'!AL91="","",'Marks Entry'!AL91)</f>
        <v/>
      </c>
      <c r="CH91" s="580" t="str">
        <f>IF('Marks Entry'!AM91="","",'Marks Entry'!AM91)</f>
        <v/>
      </c>
      <c r="CI91" s="580" t="str">
        <f>IF('Marks Entry'!AN91="","",'Marks Entry'!AN91)</f>
        <v/>
      </c>
      <c r="CJ91" s="581" t="str">
        <f t="shared" si="278"/>
        <v/>
      </c>
      <c r="CK91" s="580" t="str">
        <f>IF('Marks Entry'!AO91="","",'Marks Entry'!AO91)</f>
        <v/>
      </c>
      <c r="CL91" s="580" t="str">
        <f>IF('Marks Entry'!AP91="","",'Marks Entry'!AP91)</f>
        <v/>
      </c>
      <c r="CM91" s="581" t="str">
        <f t="shared" si="279"/>
        <v/>
      </c>
      <c r="CN91" s="581" t="str">
        <f t="shared" si="280"/>
        <v/>
      </c>
      <c r="CO91" s="580" t="str">
        <f>IF('Marks Entry'!AQ91="","",'Marks Entry'!AQ91)</f>
        <v/>
      </c>
      <c r="CP91" s="580" t="str">
        <f>IF('Marks Entry'!AR91="","",'Marks Entry'!AR91)</f>
        <v/>
      </c>
      <c r="CQ91" s="581" t="str">
        <f t="shared" si="281"/>
        <v/>
      </c>
      <c r="CR91" s="157" t="str">
        <f t="shared" si="282"/>
        <v/>
      </c>
      <c r="CS91" s="157" t="str">
        <f t="shared" si="283"/>
        <v/>
      </c>
      <c r="CT91" s="192" t="str">
        <f t="shared" si="284"/>
        <v/>
      </c>
      <c r="CU91" s="153">
        <f t="shared" si="285"/>
        <v>0</v>
      </c>
      <c r="CV91" s="154">
        <f t="shared" si="286"/>
        <v>0</v>
      </c>
      <c r="CW91" s="154" t="str">
        <f t="shared" si="287"/>
        <v/>
      </c>
      <c r="CX91" s="154" t="str">
        <f t="shared" si="288"/>
        <v/>
      </c>
      <c r="CY91" s="154" t="str">
        <f t="shared" si="289"/>
        <v/>
      </c>
      <c r="CZ91" s="153" t="str">
        <f t="shared" si="290"/>
        <v/>
      </c>
      <c r="DA91" s="154" t="str">
        <f t="shared" si="291"/>
        <v/>
      </c>
      <c r="DB91" s="153" t="str">
        <f t="shared" si="292"/>
        <v/>
      </c>
      <c r="DC91" s="154">
        <f t="shared" si="293"/>
        <v>0</v>
      </c>
      <c r="DD91" s="826" t="str">
        <f>IF('Marks Entry'!AS91="","",IF(OR('Master Sheet'!$D$19="YES",'Marks Entry'!$BA$1=1),'Marks Entry'!AS91,""))</f>
        <v/>
      </c>
      <c r="DE91" s="826" t="str">
        <f>IF('Marks Entry'!AT91="","",IF(OR('Master Sheet'!$D$19="YES",'Marks Entry'!$BA$1=1),'Marks Entry'!AT91,""))</f>
        <v/>
      </c>
      <c r="DF91" s="826" t="str">
        <f>IF('Marks Entry'!AU91="","",IF(OR('Master Sheet'!$D$19="YES",'Marks Entry'!$BA$1=1),'Marks Entry'!AU91,""))</f>
        <v/>
      </c>
      <c r="DG91" s="826" t="str">
        <f>IF('Marks Entry'!AV91="","",IF(OR('Master Sheet'!$D$19="YES",'Marks Entry'!$BA$1=1),'Marks Entry'!AV91,""))</f>
        <v/>
      </c>
      <c r="DH91" s="827" t="str">
        <f t="shared" si="294"/>
        <v/>
      </c>
      <c r="DI91" s="826" t="str">
        <f>IF('Marks Entry'!AW91="","",IF(OR('Master Sheet'!$D$19="YES",'Marks Entry'!$BA$1=1),'Marks Entry'!AW91,""))</f>
        <v/>
      </c>
      <c r="DJ91" s="826" t="str">
        <f>IF('Marks Entry'!AX91="","",IF(OR('Master Sheet'!$D$19="YES",'Marks Entry'!$BA$1=1),'Marks Entry'!AX91,""))</f>
        <v/>
      </c>
      <c r="DK91" s="827" t="str">
        <f t="shared" si="295"/>
        <v/>
      </c>
      <c r="DL91" s="827" t="str">
        <f t="shared" si="296"/>
        <v/>
      </c>
      <c r="DM91" s="826" t="str">
        <f>IF('Marks Entry'!AY91="","",IF(OR('Master Sheet'!$D$19="YES",'Marks Entry'!$BA$1=1),'Marks Entry'!AY91,""))</f>
        <v/>
      </c>
      <c r="DN91" s="826" t="str">
        <f>IF('Marks Entry'!AZ91="","",IF(OR('Master Sheet'!$D$19="YES",'Marks Entry'!$BA$1=1),'Marks Entry'!AZ91,""))</f>
        <v/>
      </c>
      <c r="DO91" s="826" t="str">
        <f>IF('Marks Entry'!BA91="","",IF(OR('Master Sheet'!$D$19="YES",'Marks Entry'!$BA$1=1),'Marks Entry'!BA91,""))</f>
        <v/>
      </c>
      <c r="DP91" s="827" t="str">
        <f t="shared" si="297"/>
        <v/>
      </c>
      <c r="DQ91" s="157" t="str">
        <f t="shared" si="298"/>
        <v/>
      </c>
      <c r="DR91" s="157" t="str">
        <f t="shared" si="299"/>
        <v/>
      </c>
      <c r="DS91" s="157" t="str">
        <f t="shared" si="300"/>
        <v/>
      </c>
      <c r="DT91" s="192" t="str">
        <f t="shared" si="301"/>
        <v/>
      </c>
      <c r="DU91" s="153">
        <f t="shared" si="302"/>
        <v>0</v>
      </c>
      <c r="DV91" s="154" t="e">
        <f t="shared" si="303"/>
        <v>#VALUE!</v>
      </c>
      <c r="DW91" s="154" t="str">
        <f t="shared" si="304"/>
        <v/>
      </c>
      <c r="DX91" s="154" t="str">
        <f>IF(OR($B91="NSO",$B91=0,DS91=""),"",IF(AND(DJ91="",DO91=""),"",IF('Master Sheet'!$D$19="YES",$DO$6-COUNTIF(DO91,"ML")*DO$6,DS$6-(COUNTIF(DJ91,"ML")*DJ$6)-(COUNTIF(DO91,"ML")*DO$6))))</f>
        <v/>
      </c>
      <c r="DY91" s="154" t="str">
        <f>IF(OR($B91="NSO",$B91=0),"",IF(AND(DH91="",DI91="",DM91=""),"",IF(AND('Master Sheet'!$D$19="YES",'Marks Entry'!$BA$1=1),100,IF(AND(DJ91="",DO91=""),SUM(($DQ$7+$DR$7)-(DU91+DV91)),SUM(($DQ$6+$DR$6)-(DU91+DV91))))))</f>
        <v/>
      </c>
      <c r="DZ91" s="153" t="str">
        <f t="shared" si="305"/>
        <v/>
      </c>
      <c r="EA91" s="154" t="str">
        <f t="shared" si="306"/>
        <v/>
      </c>
      <c r="EB91" s="153" t="str">
        <f t="shared" si="307"/>
        <v/>
      </c>
      <c r="EC91" s="584" t="str">
        <f>IF('Marks Entry'!BB91="","",'Marks Entry'!BB91)</f>
        <v/>
      </c>
      <c r="ED91" s="584" t="str">
        <f>IF('Marks Entry'!BC91="","",'Marks Entry'!BC91)</f>
        <v/>
      </c>
      <c r="EE91" s="584" t="str">
        <f>IF('Marks Entry'!BD91="","",'Marks Entry'!BD91)</f>
        <v/>
      </c>
      <c r="EF91" s="590" t="str">
        <f t="shared" si="308"/>
        <v/>
      </c>
      <c r="EG91" s="595">
        <f t="shared" si="309"/>
        <v>0</v>
      </c>
      <c r="EH91" s="595">
        <f t="shared" si="310"/>
        <v>0</v>
      </c>
      <c r="EI91" s="193" t="str">
        <f t="shared" si="311"/>
        <v/>
      </c>
      <c r="EJ91" s="595" t="str">
        <f t="shared" si="312"/>
        <v/>
      </c>
      <c r="EK91" s="595" t="str">
        <f t="shared" si="313"/>
        <v/>
      </c>
      <c r="EL91" s="194" t="str">
        <f t="shared" si="314"/>
        <v/>
      </c>
      <c r="EM91" s="194" t="str">
        <f t="shared" si="315"/>
        <v/>
      </c>
      <c r="EN91" s="194" t="str">
        <f t="shared" si="316"/>
        <v/>
      </c>
      <c r="EO91" s="194" t="str">
        <f t="shared" si="317"/>
        <v/>
      </c>
      <c r="EP91" s="194" t="str">
        <f t="shared" si="318"/>
        <v/>
      </c>
      <c r="EQ91" s="194" t="str">
        <f t="shared" si="319"/>
        <v/>
      </c>
      <c r="ER91" s="195">
        <f t="shared" si="320"/>
        <v>0</v>
      </c>
      <c r="ES91" s="195">
        <f t="shared" si="321"/>
        <v>0</v>
      </c>
      <c r="ET91" s="195">
        <f t="shared" si="322"/>
        <v>0</v>
      </c>
      <c r="EU91" s="195">
        <f t="shared" si="323"/>
        <v>0</v>
      </c>
      <c r="EV91" s="195">
        <f t="shared" si="324"/>
        <v>0</v>
      </c>
      <c r="EW91" s="195" t="str">
        <f t="shared" si="325"/>
        <v/>
      </c>
      <c r="EX91" s="196" t="str">
        <f t="shared" si="326"/>
        <v/>
      </c>
      <c r="EY91" s="197" t="str">
        <f>IF('Marks Entry'!BE91="","",'Marks Entry'!BE91)</f>
        <v/>
      </c>
      <c r="EZ91" s="197" t="str">
        <f>IF('Marks Entry'!BF91="","",'Marks Entry'!BF91)</f>
        <v/>
      </c>
      <c r="FA91" s="197" t="str">
        <f>IF('Marks Entry'!BG91="","",'Marks Entry'!BG91)</f>
        <v/>
      </c>
      <c r="FB91" s="596" t="str">
        <f t="shared" si="327"/>
        <v/>
      </c>
      <c r="FC91" s="197" t="str">
        <f>IF('Marks Entry'!BH91="","",'Marks Entry'!BH91)</f>
        <v/>
      </c>
      <c r="FD91" s="197" t="str">
        <f>IF('Marks Entry'!BI91="","",'Marks Entry'!BI91)</f>
        <v/>
      </c>
      <c r="FE91" s="198" t="str">
        <f t="shared" si="328"/>
        <v/>
      </c>
      <c r="FF91" s="199" t="str">
        <f t="shared" si="329"/>
        <v/>
      </c>
      <c r="FG91" s="200" t="str">
        <f>IF(AND(E91=""),"",IF('Student DATA Entry'!L87="","",'Student DATA Entry'!L87))</f>
        <v/>
      </c>
      <c r="FH91" s="201" t="str">
        <f>IF(AND(E91=""),"",IF('Student DATA Entry'!M87="","",'Student DATA Entry'!M87))</f>
        <v/>
      </c>
      <c r="FI91" s="202" t="str">
        <f t="shared" si="330"/>
        <v/>
      </c>
      <c r="FJ91" s="189" t="str">
        <f t="shared" si="331"/>
        <v/>
      </c>
      <c r="FK91" s="189" t="str">
        <f t="shared" si="332"/>
        <v/>
      </c>
      <c r="FL91" s="203" t="str">
        <f t="shared" si="201"/>
        <v/>
      </c>
      <c r="FM91" s="189" t="str">
        <f t="shared" si="333"/>
        <v/>
      </c>
      <c r="FN91" s="204" t="str">
        <f t="shared" si="334"/>
        <v/>
      </c>
      <c r="FO91" s="203" t="str">
        <f t="shared" si="202"/>
        <v/>
      </c>
      <c r="FP91" s="205" t="str">
        <f t="shared" si="335"/>
        <v/>
      </c>
      <c r="FQ91" s="189" t="str">
        <f t="shared" si="203"/>
        <v/>
      </c>
      <c r="FR91" s="189" t="str">
        <f t="shared" si="204"/>
        <v/>
      </c>
      <c r="FS91" s="189" t="str">
        <f t="shared" si="205"/>
        <v/>
      </c>
      <c r="FT91" s="189" t="str">
        <f t="shared" si="206"/>
        <v/>
      </c>
      <c r="FU91" s="189" t="str">
        <f t="shared" si="336"/>
        <v/>
      </c>
      <c r="FV91" s="206" t="str">
        <f t="shared" si="207"/>
        <v/>
      </c>
      <c r="FW91" s="205" t="str">
        <f t="shared" si="337"/>
        <v/>
      </c>
      <c r="FX91" s="189" t="str">
        <f t="shared" si="208"/>
        <v/>
      </c>
      <c r="FY91" s="189" t="str">
        <f t="shared" si="209"/>
        <v/>
      </c>
      <c r="FZ91" s="189" t="str">
        <f t="shared" si="210"/>
        <v/>
      </c>
      <c r="GA91" s="189" t="str">
        <f t="shared" si="211"/>
        <v/>
      </c>
      <c r="GB91" s="189" t="str">
        <f t="shared" si="338"/>
        <v/>
      </c>
      <c r="GC91" s="206" t="str">
        <f t="shared" si="212"/>
        <v/>
      </c>
      <c r="GD91" s="205" t="str">
        <f t="shared" si="339"/>
        <v/>
      </c>
      <c r="GE91" s="189" t="str">
        <f t="shared" si="213"/>
        <v/>
      </c>
      <c r="GF91" s="189" t="str">
        <f t="shared" si="214"/>
        <v/>
      </c>
      <c r="GG91" s="189" t="str">
        <f t="shared" si="215"/>
        <v/>
      </c>
      <c r="GH91" s="189" t="str">
        <f t="shared" si="216"/>
        <v/>
      </c>
      <c r="GI91" s="189" t="str">
        <f t="shared" si="340"/>
        <v/>
      </c>
      <c r="GJ91" s="206" t="str">
        <f t="shared" si="217"/>
        <v/>
      </c>
      <c r="GK91" s="205" t="str">
        <f t="shared" si="341"/>
        <v/>
      </c>
      <c r="GL91" s="189" t="str">
        <f t="shared" si="218"/>
        <v/>
      </c>
      <c r="GM91" s="189" t="str">
        <f t="shared" si="219"/>
        <v/>
      </c>
      <c r="GN91" s="189" t="str">
        <f t="shared" si="220"/>
        <v/>
      </c>
      <c r="GO91" s="189" t="str">
        <f t="shared" si="221"/>
        <v/>
      </c>
      <c r="GP91" s="189" t="str">
        <f t="shared" si="342"/>
        <v/>
      </c>
      <c r="GQ91" s="206" t="str">
        <f t="shared" si="222"/>
        <v/>
      </c>
      <c r="GR91" s="189" t="str">
        <f t="shared" si="343"/>
        <v/>
      </c>
      <c r="GS91" s="189" t="str">
        <f t="shared" si="344"/>
        <v/>
      </c>
      <c r="GT91" s="207" t="str">
        <f t="shared" si="345"/>
        <v xml:space="preserve">    </v>
      </c>
      <c r="GU91" s="207" t="str">
        <f t="shared" si="346"/>
        <v xml:space="preserve">    </v>
      </c>
      <c r="GV91" s="207" t="str">
        <f t="shared" si="347"/>
        <v xml:space="preserve">    </v>
      </c>
      <c r="GW91" s="207" t="str">
        <f t="shared" si="348"/>
        <v xml:space="preserve">       </v>
      </c>
      <c r="GX91" s="598" t="str">
        <f t="shared" si="349"/>
        <v xml:space="preserve">     </v>
      </c>
      <c r="GY91" s="208" t="str">
        <f t="shared" si="223"/>
        <v/>
      </c>
      <c r="GZ91" s="606" t="str">
        <f>IF(AND(Q91="",AE91="",AZ91="",BW91="",CT91=""),"",IF(AND('Master Sheet'!$D$19="YES",'Marks Entry'!$BA$1=1),SUM(Q91,AE91,AZ91,BW91,DT91),SUM(Q91,AE91,AZ91,BW91,CT91)))</f>
        <v/>
      </c>
      <c r="HA91" s="209" t="str">
        <f>IF(GZ91="","",IF(AND('Master Sheet'!$D$19="YES",'Marks Entry'!$BA$1=1),GZ91/((900)-DC91)*100,GZ91/((1000)-DC91)*100))</f>
        <v/>
      </c>
      <c r="HB91" s="611" t="str">
        <f t="shared" si="350"/>
        <v/>
      </c>
      <c r="HC91" s="609" t="str">
        <f t="shared" si="351"/>
        <v/>
      </c>
      <c r="HD91" s="610" t="str">
        <f t="shared" si="352"/>
        <v/>
      </c>
      <c r="HE91" s="210" t="str">
        <f>IFERROR(IF(OR(GY91="SUPPLEMENTARY",GY91="RE-EXAM"),'Supp. Result Entry'!AS90,""),"")</f>
        <v/>
      </c>
      <c r="HF91" s="613" t="str">
        <f t="shared" si="353"/>
        <v/>
      </c>
      <c r="HG91" s="598" t="str">
        <f t="shared" si="354"/>
        <v/>
      </c>
      <c r="HH91" s="598" t="str">
        <f>IF(AND(HE91="",HF91="",HG91=""),"",IF(OR(GY91="SUPPLEMENTARY",GY91="RE-EXAM"),'Supp. Result Entry'!AS90,GY91))</f>
        <v/>
      </c>
      <c r="HI91" s="180"/>
      <c r="HY91" s="212" t="str">
        <f>IF('Supp. Result Entry'!U90="","",'Supp. Result Entry'!$U$6)</f>
        <v/>
      </c>
      <c r="HZ91" s="213" t="str">
        <f>IF('Supp. Result Entry'!X90="","",'Supp. Result Entry'!$X$6)</f>
        <v/>
      </c>
      <c r="IA91" s="213" t="str">
        <f>IF('Supp. Result Entry'!AA90="","",'Supp. Result Entry'!$AA$6)</f>
        <v/>
      </c>
      <c r="IB91" s="213" t="str">
        <f>IF('Supp. Result Entry'!AD90="","",'Supp. Result Entry'!$AD$6)</f>
        <v/>
      </c>
      <c r="IC91" s="213" t="str">
        <f>IF('Supp. Result Entry'!AG90="","",'Supp. Result Entry'!$AG$6)</f>
        <v/>
      </c>
      <c r="ID91" s="213" t="str">
        <f>IF('Supp. Result Entry'!AJ90="","",'Supp. Result Entry'!$AJ$6)</f>
        <v/>
      </c>
      <c r="IE91" s="213" t="str">
        <f>IF('Supp. Result Entry'!V90="","",'Supp. Result Entry'!V90)</f>
        <v/>
      </c>
      <c r="IF91" s="213" t="str">
        <f>IF('Supp. Result Entry'!Y90="","",'Supp. Result Entry'!Y90)</f>
        <v/>
      </c>
      <c r="IG91" s="213" t="str">
        <f>IF('Supp. Result Entry'!AB90="","",'Supp. Result Entry'!AB90)</f>
        <v/>
      </c>
      <c r="IH91" s="213" t="str">
        <f>IF('Supp. Result Entry'!AE90="","",'Supp. Result Entry'!AE90)</f>
        <v/>
      </c>
      <c r="II91" s="213" t="str">
        <f>IF('Supp. Result Entry'!AH90="","",'Supp. Result Entry'!AH90)</f>
        <v/>
      </c>
      <c r="IJ91" s="213" t="str">
        <f>IF('Supp. Result Entry'!AK90="","",'Supp. Result Entry'!AK90)</f>
        <v/>
      </c>
      <c r="IK91" s="213" t="str">
        <f>IF('Supp. Result Entry'!W90="","",'Supp. Result Entry'!W90)</f>
        <v/>
      </c>
      <c r="IL91" s="213" t="str">
        <f>IF('Supp. Result Entry'!Z90="","",'Supp. Result Entry'!Z90)</f>
        <v/>
      </c>
      <c r="IM91" s="213" t="str">
        <f>IF('Supp. Result Entry'!AC90="","",'Supp. Result Entry'!AC90)</f>
        <v/>
      </c>
      <c r="IN91" s="213" t="str">
        <f>IF('Supp. Result Entry'!AF90="","",'Supp. Result Entry'!AF90)</f>
        <v/>
      </c>
      <c r="IO91" s="213" t="str">
        <f>IF('Supp. Result Entry'!AI90="","",'Supp. Result Entry'!AI90)</f>
        <v/>
      </c>
      <c r="IP91" s="213" t="str">
        <f>IF('Supp. Result Entry'!AL90="","",'Supp. Result Entry'!AL90)</f>
        <v/>
      </c>
      <c r="IQ91" s="213">
        <f>COUNTIF('Supp. Result Entry'!K90:Q90,"S")</f>
        <v>0</v>
      </c>
      <c r="IR91" s="213">
        <f t="shared" si="355"/>
        <v>0</v>
      </c>
      <c r="IS91" s="213">
        <f t="shared" si="356"/>
        <v>0</v>
      </c>
      <c r="IT91" s="213" t="str">
        <f t="shared" si="224"/>
        <v/>
      </c>
      <c r="IU91" s="213" t="str">
        <f t="shared" si="225"/>
        <v/>
      </c>
      <c r="IV91" s="213" t="str">
        <f t="shared" si="226"/>
        <v/>
      </c>
      <c r="IW91" s="213" t="str">
        <f t="shared" si="227"/>
        <v/>
      </c>
      <c r="IX91" s="213" t="str">
        <f t="shared" si="228"/>
        <v/>
      </c>
      <c r="IY91" s="213" t="str">
        <f t="shared" si="357"/>
        <v/>
      </c>
      <c r="IZ91" s="213" t="str">
        <f t="shared" si="358"/>
        <v/>
      </c>
      <c r="JA91" s="213" t="str">
        <f t="shared" si="229"/>
        <v/>
      </c>
      <c r="JB91" s="211" t="str">
        <f t="shared" si="359"/>
        <v/>
      </c>
    </row>
    <row r="92" spans="1:262" s="211" customFormat="1" ht="21" customHeight="1">
      <c r="A92" s="184">
        <v>85</v>
      </c>
      <c r="B92" s="185" t="str">
        <f>IF('Marks Entry'!B92="","",'Marks Entry'!B92)</f>
        <v/>
      </c>
      <c r="C92" s="186" t="str">
        <f>IF('Marks Entry'!D92="","",'Marks Entry'!D92)</f>
        <v/>
      </c>
      <c r="D92" s="187" t="str">
        <f>IF('Marks Entry'!E92="","",'Marks Entry'!E92)</f>
        <v/>
      </c>
      <c r="E92" s="188" t="str">
        <f>IF('Marks Entry'!F92="","",'Marks Entry'!F92)</f>
        <v/>
      </c>
      <c r="F92" s="188" t="str">
        <f>IF('Marks Entry'!G92="","",'Marks Entry'!G92)</f>
        <v/>
      </c>
      <c r="G92" s="188" t="str">
        <f>IF('Marks Entry'!H92="","",'Marks Entry'!H92)</f>
        <v/>
      </c>
      <c r="H92" s="189" t="str">
        <f>IF('Marks Entry'!I92="","",'Marks Entry'!I92)</f>
        <v/>
      </c>
      <c r="I92" s="190" t="str">
        <f>IF('Marks Entry'!J92="","",'Marks Entry'!J92)</f>
        <v/>
      </c>
      <c r="J92" s="545" t="str">
        <f>IF('Marks Entry'!K92="","",'Marks Entry'!K92)</f>
        <v/>
      </c>
      <c r="K92" s="545" t="str">
        <f>IF('Marks Entry'!L92="","",'Marks Entry'!L92)</f>
        <v/>
      </c>
      <c r="L92" s="545" t="str">
        <f>IF('Marks Entry'!M92="","",'Marks Entry'!M92)</f>
        <v/>
      </c>
      <c r="M92" s="546" t="str">
        <f t="shared" si="230"/>
        <v/>
      </c>
      <c r="N92" s="545" t="str">
        <f>IF('Marks Entry'!N92="","",'Marks Entry'!N92)</f>
        <v/>
      </c>
      <c r="O92" s="546" t="str">
        <f t="shared" si="231"/>
        <v/>
      </c>
      <c r="P92" s="545" t="str">
        <f>IF('Marks Entry'!O92="","",'Marks Entry'!O92)</f>
        <v/>
      </c>
      <c r="Q92" s="547" t="str">
        <f t="shared" si="232"/>
        <v/>
      </c>
      <c r="R92" s="153">
        <f t="shared" si="233"/>
        <v>0</v>
      </c>
      <c r="S92" s="153">
        <f t="shared" si="234"/>
        <v>0</v>
      </c>
      <c r="T92" s="154" t="str">
        <f t="shared" si="235"/>
        <v/>
      </c>
      <c r="U92" s="153" t="str">
        <f t="shared" si="236"/>
        <v/>
      </c>
      <c r="V92" s="153" t="str">
        <f t="shared" si="237"/>
        <v/>
      </c>
      <c r="W92" s="153" t="str">
        <f t="shared" si="238"/>
        <v/>
      </c>
      <c r="X92" s="545" t="str">
        <f>IF('Marks Entry'!P92="","",'Marks Entry'!P92)</f>
        <v/>
      </c>
      <c r="Y92" s="545" t="str">
        <f>IF('Marks Entry'!Q92="","",'Marks Entry'!Q92)</f>
        <v/>
      </c>
      <c r="Z92" s="545" t="str">
        <f>IF('Marks Entry'!R92="","",'Marks Entry'!R92)</f>
        <v/>
      </c>
      <c r="AA92" s="546" t="str">
        <f t="shared" si="239"/>
        <v/>
      </c>
      <c r="AB92" s="545" t="str">
        <f>IF('Marks Entry'!S92="","",'Marks Entry'!S92)</f>
        <v/>
      </c>
      <c r="AC92" s="546" t="str">
        <f t="shared" si="240"/>
        <v/>
      </c>
      <c r="AD92" s="545" t="str">
        <f>IF('Marks Entry'!T92="","",'Marks Entry'!T92)</f>
        <v/>
      </c>
      <c r="AE92" s="547" t="str">
        <f t="shared" si="241"/>
        <v/>
      </c>
      <c r="AF92" s="153">
        <f t="shared" si="242"/>
        <v>0</v>
      </c>
      <c r="AG92" s="153">
        <f t="shared" si="243"/>
        <v>0</v>
      </c>
      <c r="AH92" s="154" t="str">
        <f t="shared" si="244"/>
        <v/>
      </c>
      <c r="AI92" s="153" t="str">
        <f t="shared" si="245"/>
        <v/>
      </c>
      <c r="AJ92" s="153" t="str">
        <f t="shared" si="246"/>
        <v/>
      </c>
      <c r="AK92" s="153" t="str">
        <f t="shared" si="247"/>
        <v/>
      </c>
      <c r="AL92" s="573" t="str">
        <f>IF('Marks Entry'!U92="","",'Marks Entry'!U92)</f>
        <v/>
      </c>
      <c r="AM92" s="573" t="str">
        <f>IF('Marks Entry'!V92="","",'Marks Entry'!V92)</f>
        <v/>
      </c>
      <c r="AN92" s="573" t="str">
        <f>IF('Marks Entry'!W92="","",'Marks Entry'!W92)</f>
        <v/>
      </c>
      <c r="AO92" s="573" t="str">
        <f>IF('Marks Entry'!X92="","",'Marks Entry'!X92)</f>
        <v/>
      </c>
      <c r="AP92" s="572" t="str">
        <f t="shared" si="248"/>
        <v/>
      </c>
      <c r="AQ92" s="573" t="str">
        <f>IF('Marks Entry'!Y92="","",'Marks Entry'!Y92)</f>
        <v/>
      </c>
      <c r="AR92" s="573" t="str">
        <f>IF('Marks Entry'!Z92="","",'Marks Entry'!Z92)</f>
        <v/>
      </c>
      <c r="AS92" s="572" t="str">
        <f t="shared" si="249"/>
        <v/>
      </c>
      <c r="AT92" s="572" t="str">
        <f t="shared" si="250"/>
        <v/>
      </c>
      <c r="AU92" s="573" t="str">
        <f>IF('Marks Entry'!AA92="","",'Marks Entry'!AA92)</f>
        <v/>
      </c>
      <c r="AV92" s="573" t="str">
        <f>IF('Marks Entry'!AB92="","",'Marks Entry'!AB92)</f>
        <v/>
      </c>
      <c r="AW92" s="572" t="str">
        <f t="shared" si="251"/>
        <v/>
      </c>
      <c r="AX92" s="157" t="str">
        <f t="shared" si="252"/>
        <v/>
      </c>
      <c r="AY92" s="157" t="str">
        <f t="shared" si="253"/>
        <v/>
      </c>
      <c r="AZ92" s="192" t="str">
        <f t="shared" si="254"/>
        <v/>
      </c>
      <c r="BA92" s="153">
        <f t="shared" si="255"/>
        <v>0</v>
      </c>
      <c r="BB92" s="154">
        <f t="shared" si="256"/>
        <v>0</v>
      </c>
      <c r="BC92" s="154" t="str">
        <f t="shared" si="257"/>
        <v/>
      </c>
      <c r="BD92" s="154" t="str">
        <f t="shared" si="258"/>
        <v/>
      </c>
      <c r="BE92" s="154" t="str">
        <f t="shared" si="259"/>
        <v/>
      </c>
      <c r="BF92" s="153" t="str">
        <f t="shared" si="260"/>
        <v/>
      </c>
      <c r="BG92" s="154" t="str">
        <f t="shared" si="261"/>
        <v/>
      </c>
      <c r="BH92" s="153" t="str">
        <f t="shared" si="262"/>
        <v/>
      </c>
      <c r="BI92" s="580" t="str">
        <f>IF('Marks Entry'!AC92="","",'Marks Entry'!AC92)</f>
        <v/>
      </c>
      <c r="BJ92" s="580" t="str">
        <f>IF('Marks Entry'!AD92="","",'Marks Entry'!AD92)</f>
        <v/>
      </c>
      <c r="BK92" s="580" t="str">
        <f>IF('Marks Entry'!AE92="","",'Marks Entry'!AE92)</f>
        <v/>
      </c>
      <c r="BL92" s="580" t="str">
        <f>IF('Marks Entry'!AF92="","",'Marks Entry'!AF92)</f>
        <v/>
      </c>
      <c r="BM92" s="581" t="str">
        <f t="shared" si="263"/>
        <v/>
      </c>
      <c r="BN92" s="580" t="str">
        <f>IF('Marks Entry'!AG92="","",'Marks Entry'!AG92)</f>
        <v/>
      </c>
      <c r="BO92" s="580" t="str">
        <f>IF('Marks Entry'!AH92="","",'Marks Entry'!AH92)</f>
        <v/>
      </c>
      <c r="BP92" s="581" t="str">
        <f t="shared" si="264"/>
        <v/>
      </c>
      <c r="BQ92" s="581" t="str">
        <f t="shared" si="265"/>
        <v/>
      </c>
      <c r="BR92" s="580" t="str">
        <f>IF('Marks Entry'!AI92="","",'Marks Entry'!AI92)</f>
        <v/>
      </c>
      <c r="BS92" s="580" t="str">
        <f>IF('Marks Entry'!AJ92="","",'Marks Entry'!AJ92)</f>
        <v/>
      </c>
      <c r="BT92" s="581" t="str">
        <f t="shared" si="266"/>
        <v/>
      </c>
      <c r="BU92" s="157" t="str">
        <f t="shared" si="267"/>
        <v/>
      </c>
      <c r="BV92" s="157" t="str">
        <f t="shared" si="268"/>
        <v/>
      </c>
      <c r="BW92" s="192" t="str">
        <f t="shared" si="269"/>
        <v/>
      </c>
      <c r="BX92" s="153">
        <f t="shared" si="270"/>
        <v>0</v>
      </c>
      <c r="BY92" s="154">
        <f t="shared" si="271"/>
        <v>0</v>
      </c>
      <c r="BZ92" s="154" t="str">
        <f t="shared" si="272"/>
        <v/>
      </c>
      <c r="CA92" s="154" t="str">
        <f t="shared" si="273"/>
        <v/>
      </c>
      <c r="CB92" s="154" t="str">
        <f t="shared" si="274"/>
        <v/>
      </c>
      <c r="CC92" s="153" t="str">
        <f t="shared" si="275"/>
        <v/>
      </c>
      <c r="CD92" s="154" t="str">
        <f t="shared" si="276"/>
        <v/>
      </c>
      <c r="CE92" s="153" t="str">
        <f t="shared" si="277"/>
        <v/>
      </c>
      <c r="CF92" s="580" t="str">
        <f>IF('Marks Entry'!AK92="","",'Marks Entry'!AK92)</f>
        <v/>
      </c>
      <c r="CG92" s="580" t="str">
        <f>IF('Marks Entry'!AL92="","",'Marks Entry'!AL92)</f>
        <v/>
      </c>
      <c r="CH92" s="580" t="str">
        <f>IF('Marks Entry'!AM92="","",'Marks Entry'!AM92)</f>
        <v/>
      </c>
      <c r="CI92" s="580" t="str">
        <f>IF('Marks Entry'!AN92="","",'Marks Entry'!AN92)</f>
        <v/>
      </c>
      <c r="CJ92" s="581" t="str">
        <f t="shared" si="278"/>
        <v/>
      </c>
      <c r="CK92" s="580" t="str">
        <f>IF('Marks Entry'!AO92="","",'Marks Entry'!AO92)</f>
        <v/>
      </c>
      <c r="CL92" s="580" t="str">
        <f>IF('Marks Entry'!AP92="","",'Marks Entry'!AP92)</f>
        <v/>
      </c>
      <c r="CM92" s="581" t="str">
        <f t="shared" si="279"/>
        <v/>
      </c>
      <c r="CN92" s="581" t="str">
        <f t="shared" si="280"/>
        <v/>
      </c>
      <c r="CO92" s="580" t="str">
        <f>IF('Marks Entry'!AQ92="","",'Marks Entry'!AQ92)</f>
        <v/>
      </c>
      <c r="CP92" s="580" t="str">
        <f>IF('Marks Entry'!AR92="","",'Marks Entry'!AR92)</f>
        <v/>
      </c>
      <c r="CQ92" s="581" t="str">
        <f t="shared" si="281"/>
        <v/>
      </c>
      <c r="CR92" s="157" t="str">
        <f t="shared" si="282"/>
        <v/>
      </c>
      <c r="CS92" s="157" t="str">
        <f t="shared" si="283"/>
        <v/>
      </c>
      <c r="CT92" s="192" t="str">
        <f t="shared" si="284"/>
        <v/>
      </c>
      <c r="CU92" s="153">
        <f t="shared" si="285"/>
        <v>0</v>
      </c>
      <c r="CV92" s="154">
        <f t="shared" si="286"/>
        <v>0</v>
      </c>
      <c r="CW92" s="154" t="str">
        <f t="shared" si="287"/>
        <v/>
      </c>
      <c r="CX92" s="154" t="str">
        <f t="shared" si="288"/>
        <v/>
      </c>
      <c r="CY92" s="154" t="str">
        <f t="shared" si="289"/>
        <v/>
      </c>
      <c r="CZ92" s="153" t="str">
        <f t="shared" si="290"/>
        <v/>
      </c>
      <c r="DA92" s="154" t="str">
        <f t="shared" si="291"/>
        <v/>
      </c>
      <c r="DB92" s="153" t="str">
        <f t="shared" si="292"/>
        <v/>
      </c>
      <c r="DC92" s="154">
        <f t="shared" si="293"/>
        <v>0</v>
      </c>
      <c r="DD92" s="826" t="str">
        <f>IF('Marks Entry'!AS92="","",IF(OR('Master Sheet'!$D$19="YES",'Marks Entry'!$BA$1=1),'Marks Entry'!AS92,""))</f>
        <v/>
      </c>
      <c r="DE92" s="826" t="str">
        <f>IF('Marks Entry'!AT92="","",IF(OR('Master Sheet'!$D$19="YES",'Marks Entry'!$BA$1=1),'Marks Entry'!AT92,""))</f>
        <v/>
      </c>
      <c r="DF92" s="826" t="str">
        <f>IF('Marks Entry'!AU92="","",IF(OR('Master Sheet'!$D$19="YES",'Marks Entry'!$BA$1=1),'Marks Entry'!AU92,""))</f>
        <v/>
      </c>
      <c r="DG92" s="826" t="str">
        <f>IF('Marks Entry'!AV92="","",IF(OR('Master Sheet'!$D$19="YES",'Marks Entry'!$BA$1=1),'Marks Entry'!AV92,""))</f>
        <v/>
      </c>
      <c r="DH92" s="827" t="str">
        <f t="shared" si="294"/>
        <v/>
      </c>
      <c r="DI92" s="826" t="str">
        <f>IF('Marks Entry'!AW92="","",IF(OR('Master Sheet'!$D$19="YES",'Marks Entry'!$BA$1=1),'Marks Entry'!AW92,""))</f>
        <v/>
      </c>
      <c r="DJ92" s="826" t="str">
        <f>IF('Marks Entry'!AX92="","",IF(OR('Master Sheet'!$D$19="YES",'Marks Entry'!$BA$1=1),'Marks Entry'!AX92,""))</f>
        <v/>
      </c>
      <c r="DK92" s="827" t="str">
        <f t="shared" si="295"/>
        <v/>
      </c>
      <c r="DL92" s="827" t="str">
        <f t="shared" si="296"/>
        <v/>
      </c>
      <c r="DM92" s="826" t="str">
        <f>IF('Marks Entry'!AY92="","",IF(OR('Master Sheet'!$D$19="YES",'Marks Entry'!$BA$1=1),'Marks Entry'!AY92,""))</f>
        <v/>
      </c>
      <c r="DN92" s="826" t="str">
        <f>IF('Marks Entry'!AZ92="","",IF(OR('Master Sheet'!$D$19="YES",'Marks Entry'!$BA$1=1),'Marks Entry'!AZ92,""))</f>
        <v/>
      </c>
      <c r="DO92" s="826" t="str">
        <f>IF('Marks Entry'!BA92="","",IF(OR('Master Sheet'!$D$19="YES",'Marks Entry'!$BA$1=1),'Marks Entry'!BA92,""))</f>
        <v/>
      </c>
      <c r="DP92" s="827" t="str">
        <f t="shared" si="297"/>
        <v/>
      </c>
      <c r="DQ92" s="157" t="str">
        <f t="shared" si="298"/>
        <v/>
      </c>
      <c r="DR92" s="157" t="str">
        <f t="shared" si="299"/>
        <v/>
      </c>
      <c r="DS92" s="157" t="str">
        <f t="shared" si="300"/>
        <v/>
      </c>
      <c r="DT92" s="192" t="str">
        <f t="shared" si="301"/>
        <v/>
      </c>
      <c r="DU92" s="153">
        <f t="shared" si="302"/>
        <v>0</v>
      </c>
      <c r="DV92" s="154" t="e">
        <f t="shared" si="303"/>
        <v>#VALUE!</v>
      </c>
      <c r="DW92" s="154" t="str">
        <f t="shared" si="304"/>
        <v/>
      </c>
      <c r="DX92" s="154" t="str">
        <f>IF(OR($B92="NSO",$B92=0,DS92=""),"",IF(AND(DJ92="",DO92=""),"",IF('Master Sheet'!$D$19="YES",$DO$6-COUNTIF(DO92,"ML")*DO$6,DS$6-(COUNTIF(DJ92,"ML")*DJ$6)-(COUNTIF(DO92,"ML")*DO$6))))</f>
        <v/>
      </c>
      <c r="DY92" s="154" t="str">
        <f>IF(OR($B92="NSO",$B92=0),"",IF(AND(DH92="",DI92="",DM92=""),"",IF(AND('Master Sheet'!$D$19="YES",'Marks Entry'!$BA$1=1),100,IF(AND(DJ92="",DO92=""),SUM(($DQ$7+$DR$7)-(DU92+DV92)),SUM(($DQ$6+$DR$6)-(DU92+DV92))))))</f>
        <v/>
      </c>
      <c r="DZ92" s="153" t="str">
        <f t="shared" si="305"/>
        <v/>
      </c>
      <c r="EA92" s="154" t="str">
        <f t="shared" si="306"/>
        <v/>
      </c>
      <c r="EB92" s="153" t="str">
        <f t="shared" si="307"/>
        <v/>
      </c>
      <c r="EC92" s="584" t="str">
        <f>IF('Marks Entry'!BB92="","",'Marks Entry'!BB92)</f>
        <v/>
      </c>
      <c r="ED92" s="584" t="str">
        <f>IF('Marks Entry'!BC92="","",'Marks Entry'!BC92)</f>
        <v/>
      </c>
      <c r="EE92" s="584" t="str">
        <f>IF('Marks Entry'!BD92="","",'Marks Entry'!BD92)</f>
        <v/>
      </c>
      <c r="EF92" s="590" t="str">
        <f t="shared" si="308"/>
        <v/>
      </c>
      <c r="EG92" s="595">
        <f t="shared" si="309"/>
        <v>0</v>
      </c>
      <c r="EH92" s="595">
        <f t="shared" si="310"/>
        <v>0</v>
      </c>
      <c r="EI92" s="193" t="str">
        <f t="shared" si="311"/>
        <v/>
      </c>
      <c r="EJ92" s="595" t="str">
        <f t="shared" si="312"/>
        <v/>
      </c>
      <c r="EK92" s="595" t="str">
        <f t="shared" si="313"/>
        <v/>
      </c>
      <c r="EL92" s="194" t="str">
        <f t="shared" si="314"/>
        <v/>
      </c>
      <c r="EM92" s="194" t="str">
        <f t="shared" si="315"/>
        <v/>
      </c>
      <c r="EN92" s="194" t="str">
        <f t="shared" si="316"/>
        <v/>
      </c>
      <c r="EO92" s="194" t="str">
        <f t="shared" si="317"/>
        <v/>
      </c>
      <c r="EP92" s="194" t="str">
        <f t="shared" si="318"/>
        <v/>
      </c>
      <c r="EQ92" s="194" t="str">
        <f t="shared" si="319"/>
        <v/>
      </c>
      <c r="ER92" s="195">
        <f t="shared" si="320"/>
        <v>0</v>
      </c>
      <c r="ES92" s="195">
        <f t="shared" si="321"/>
        <v>0</v>
      </c>
      <c r="ET92" s="195">
        <f t="shared" si="322"/>
        <v>0</v>
      </c>
      <c r="EU92" s="195">
        <f t="shared" si="323"/>
        <v>0</v>
      </c>
      <c r="EV92" s="195">
        <f t="shared" si="324"/>
        <v>0</v>
      </c>
      <c r="EW92" s="195" t="str">
        <f t="shared" si="325"/>
        <v/>
      </c>
      <c r="EX92" s="196" t="str">
        <f t="shared" si="326"/>
        <v/>
      </c>
      <c r="EY92" s="197" t="str">
        <f>IF('Marks Entry'!BE92="","",'Marks Entry'!BE92)</f>
        <v/>
      </c>
      <c r="EZ92" s="197" t="str">
        <f>IF('Marks Entry'!BF92="","",'Marks Entry'!BF92)</f>
        <v/>
      </c>
      <c r="FA92" s="197" t="str">
        <f>IF('Marks Entry'!BG92="","",'Marks Entry'!BG92)</f>
        <v/>
      </c>
      <c r="FB92" s="596" t="str">
        <f t="shared" si="327"/>
        <v/>
      </c>
      <c r="FC92" s="197" t="str">
        <f>IF('Marks Entry'!BH92="","",'Marks Entry'!BH92)</f>
        <v/>
      </c>
      <c r="FD92" s="197" t="str">
        <f>IF('Marks Entry'!BI92="","",'Marks Entry'!BI92)</f>
        <v/>
      </c>
      <c r="FE92" s="198" t="str">
        <f t="shared" si="328"/>
        <v/>
      </c>
      <c r="FF92" s="199" t="str">
        <f t="shared" si="329"/>
        <v/>
      </c>
      <c r="FG92" s="200" t="str">
        <f>IF(AND(E92=""),"",IF('Student DATA Entry'!L88="","",'Student DATA Entry'!L88))</f>
        <v/>
      </c>
      <c r="FH92" s="201" t="str">
        <f>IF(AND(E92=""),"",IF('Student DATA Entry'!M88="","",'Student DATA Entry'!M88))</f>
        <v/>
      </c>
      <c r="FI92" s="202" t="str">
        <f t="shared" si="330"/>
        <v/>
      </c>
      <c r="FJ92" s="189" t="str">
        <f t="shared" si="331"/>
        <v/>
      </c>
      <c r="FK92" s="189" t="str">
        <f t="shared" si="332"/>
        <v/>
      </c>
      <c r="FL92" s="203" t="str">
        <f t="shared" si="201"/>
        <v/>
      </c>
      <c r="FM92" s="189" t="str">
        <f t="shared" si="333"/>
        <v/>
      </c>
      <c r="FN92" s="204" t="str">
        <f t="shared" si="334"/>
        <v/>
      </c>
      <c r="FO92" s="203" t="str">
        <f t="shared" si="202"/>
        <v/>
      </c>
      <c r="FP92" s="205" t="str">
        <f t="shared" si="335"/>
        <v/>
      </c>
      <c r="FQ92" s="189" t="str">
        <f t="shared" si="203"/>
        <v/>
      </c>
      <c r="FR92" s="189" t="str">
        <f t="shared" si="204"/>
        <v/>
      </c>
      <c r="FS92" s="189" t="str">
        <f t="shared" si="205"/>
        <v/>
      </c>
      <c r="FT92" s="189" t="str">
        <f t="shared" si="206"/>
        <v/>
      </c>
      <c r="FU92" s="189" t="str">
        <f t="shared" si="336"/>
        <v/>
      </c>
      <c r="FV92" s="206" t="str">
        <f t="shared" si="207"/>
        <v/>
      </c>
      <c r="FW92" s="205" t="str">
        <f t="shared" si="337"/>
        <v/>
      </c>
      <c r="FX92" s="189" t="str">
        <f t="shared" si="208"/>
        <v/>
      </c>
      <c r="FY92" s="189" t="str">
        <f t="shared" si="209"/>
        <v/>
      </c>
      <c r="FZ92" s="189" t="str">
        <f t="shared" si="210"/>
        <v/>
      </c>
      <c r="GA92" s="189" t="str">
        <f t="shared" si="211"/>
        <v/>
      </c>
      <c r="GB92" s="189" t="str">
        <f t="shared" si="338"/>
        <v/>
      </c>
      <c r="GC92" s="206" t="str">
        <f t="shared" si="212"/>
        <v/>
      </c>
      <c r="GD92" s="205" t="str">
        <f t="shared" si="339"/>
        <v/>
      </c>
      <c r="GE92" s="189" t="str">
        <f t="shared" si="213"/>
        <v/>
      </c>
      <c r="GF92" s="189" t="str">
        <f t="shared" si="214"/>
        <v/>
      </c>
      <c r="GG92" s="189" t="str">
        <f t="shared" si="215"/>
        <v/>
      </c>
      <c r="GH92" s="189" t="str">
        <f t="shared" si="216"/>
        <v/>
      </c>
      <c r="GI92" s="189" t="str">
        <f t="shared" si="340"/>
        <v/>
      </c>
      <c r="GJ92" s="206" t="str">
        <f t="shared" si="217"/>
        <v/>
      </c>
      <c r="GK92" s="205" t="str">
        <f t="shared" si="341"/>
        <v/>
      </c>
      <c r="GL92" s="189" t="str">
        <f t="shared" si="218"/>
        <v/>
      </c>
      <c r="GM92" s="189" t="str">
        <f t="shared" si="219"/>
        <v/>
      </c>
      <c r="GN92" s="189" t="str">
        <f t="shared" si="220"/>
        <v/>
      </c>
      <c r="GO92" s="189" t="str">
        <f t="shared" si="221"/>
        <v/>
      </c>
      <c r="GP92" s="189" t="str">
        <f t="shared" si="342"/>
        <v/>
      </c>
      <c r="GQ92" s="206" t="str">
        <f t="shared" si="222"/>
        <v/>
      </c>
      <c r="GR92" s="189" t="str">
        <f t="shared" si="343"/>
        <v/>
      </c>
      <c r="GS92" s="189" t="str">
        <f t="shared" si="344"/>
        <v/>
      </c>
      <c r="GT92" s="207" t="str">
        <f t="shared" si="345"/>
        <v xml:space="preserve">    </v>
      </c>
      <c r="GU92" s="207" t="str">
        <f t="shared" si="346"/>
        <v xml:space="preserve">    </v>
      </c>
      <c r="GV92" s="207" t="str">
        <f t="shared" si="347"/>
        <v xml:space="preserve">    </v>
      </c>
      <c r="GW92" s="207" t="str">
        <f t="shared" si="348"/>
        <v xml:space="preserve">       </v>
      </c>
      <c r="GX92" s="598" t="str">
        <f t="shared" si="349"/>
        <v xml:space="preserve">     </v>
      </c>
      <c r="GY92" s="208" t="str">
        <f t="shared" si="223"/>
        <v/>
      </c>
      <c r="GZ92" s="606" t="str">
        <f>IF(AND(Q92="",AE92="",AZ92="",BW92="",CT92=""),"",IF(AND('Master Sheet'!$D$19="YES",'Marks Entry'!$BA$1=1),SUM(Q92,AE92,AZ92,BW92,DT92),SUM(Q92,AE92,AZ92,BW92,CT92)))</f>
        <v/>
      </c>
      <c r="HA92" s="209" t="str">
        <f>IF(GZ92="","",IF(AND('Master Sheet'!$D$19="YES",'Marks Entry'!$BA$1=1),GZ92/((900)-DC92)*100,GZ92/((1000)-DC92)*100))</f>
        <v/>
      </c>
      <c r="HB92" s="611" t="str">
        <f t="shared" si="350"/>
        <v/>
      </c>
      <c r="HC92" s="609" t="str">
        <f t="shared" si="351"/>
        <v/>
      </c>
      <c r="HD92" s="610" t="str">
        <f t="shared" si="352"/>
        <v/>
      </c>
      <c r="HE92" s="210" t="str">
        <f>IFERROR(IF(OR(GY92="SUPPLEMENTARY",GY92="RE-EXAM"),'Supp. Result Entry'!AS91,""),"")</f>
        <v/>
      </c>
      <c r="HF92" s="613" t="str">
        <f t="shared" si="353"/>
        <v/>
      </c>
      <c r="HG92" s="598" t="str">
        <f t="shared" si="354"/>
        <v/>
      </c>
      <c r="HH92" s="598" t="str">
        <f>IF(AND(HE92="",HF92="",HG92=""),"",IF(OR(GY92="SUPPLEMENTARY",GY92="RE-EXAM"),'Supp. Result Entry'!AS91,GY92))</f>
        <v/>
      </c>
      <c r="HI92" s="180"/>
      <c r="HY92" s="212" t="str">
        <f>IF('Supp. Result Entry'!U91="","",'Supp. Result Entry'!$U$6)</f>
        <v/>
      </c>
      <c r="HZ92" s="213" t="str">
        <f>IF('Supp. Result Entry'!X91="","",'Supp. Result Entry'!$X$6)</f>
        <v/>
      </c>
      <c r="IA92" s="213" t="str">
        <f>IF('Supp. Result Entry'!AA91="","",'Supp. Result Entry'!$AA$6)</f>
        <v/>
      </c>
      <c r="IB92" s="213" t="str">
        <f>IF('Supp. Result Entry'!AD91="","",'Supp. Result Entry'!$AD$6)</f>
        <v/>
      </c>
      <c r="IC92" s="213" t="str">
        <f>IF('Supp. Result Entry'!AG91="","",'Supp. Result Entry'!$AG$6)</f>
        <v/>
      </c>
      <c r="ID92" s="213" t="str">
        <f>IF('Supp. Result Entry'!AJ91="","",'Supp. Result Entry'!$AJ$6)</f>
        <v/>
      </c>
      <c r="IE92" s="213" t="str">
        <f>IF('Supp. Result Entry'!V91="","",'Supp. Result Entry'!V91)</f>
        <v/>
      </c>
      <c r="IF92" s="213" t="str">
        <f>IF('Supp. Result Entry'!Y91="","",'Supp. Result Entry'!Y91)</f>
        <v/>
      </c>
      <c r="IG92" s="213" t="str">
        <f>IF('Supp. Result Entry'!AB91="","",'Supp. Result Entry'!AB91)</f>
        <v/>
      </c>
      <c r="IH92" s="213" t="str">
        <f>IF('Supp. Result Entry'!AE91="","",'Supp. Result Entry'!AE91)</f>
        <v/>
      </c>
      <c r="II92" s="213" t="str">
        <f>IF('Supp. Result Entry'!AH91="","",'Supp. Result Entry'!AH91)</f>
        <v/>
      </c>
      <c r="IJ92" s="213" t="str">
        <f>IF('Supp. Result Entry'!AK91="","",'Supp. Result Entry'!AK91)</f>
        <v/>
      </c>
      <c r="IK92" s="213" t="str">
        <f>IF('Supp. Result Entry'!W91="","",'Supp. Result Entry'!W91)</f>
        <v/>
      </c>
      <c r="IL92" s="213" t="str">
        <f>IF('Supp. Result Entry'!Z91="","",'Supp. Result Entry'!Z91)</f>
        <v/>
      </c>
      <c r="IM92" s="213" t="str">
        <f>IF('Supp. Result Entry'!AC91="","",'Supp. Result Entry'!AC91)</f>
        <v/>
      </c>
      <c r="IN92" s="213" t="str">
        <f>IF('Supp. Result Entry'!AF91="","",'Supp. Result Entry'!AF91)</f>
        <v/>
      </c>
      <c r="IO92" s="213" t="str">
        <f>IF('Supp. Result Entry'!AI91="","",'Supp. Result Entry'!AI91)</f>
        <v/>
      </c>
      <c r="IP92" s="213" t="str">
        <f>IF('Supp. Result Entry'!AL91="","",'Supp. Result Entry'!AL91)</f>
        <v/>
      </c>
      <c r="IQ92" s="213">
        <f>COUNTIF('Supp. Result Entry'!K91:Q91,"S")</f>
        <v>0</v>
      </c>
      <c r="IR92" s="213">
        <f t="shared" si="355"/>
        <v>0</v>
      </c>
      <c r="IS92" s="213">
        <f t="shared" si="356"/>
        <v>0</v>
      </c>
      <c r="IT92" s="213" t="str">
        <f t="shared" si="224"/>
        <v/>
      </c>
      <c r="IU92" s="213" t="str">
        <f t="shared" si="225"/>
        <v/>
      </c>
      <c r="IV92" s="213" t="str">
        <f t="shared" si="226"/>
        <v/>
      </c>
      <c r="IW92" s="213" t="str">
        <f t="shared" si="227"/>
        <v/>
      </c>
      <c r="IX92" s="213" t="str">
        <f t="shared" si="228"/>
        <v/>
      </c>
      <c r="IY92" s="213" t="str">
        <f t="shared" si="357"/>
        <v/>
      </c>
      <c r="IZ92" s="213" t="str">
        <f t="shared" si="358"/>
        <v/>
      </c>
      <c r="JA92" s="213" t="str">
        <f t="shared" si="229"/>
        <v/>
      </c>
      <c r="JB92" s="211" t="str">
        <f t="shared" si="359"/>
        <v/>
      </c>
    </row>
    <row r="93" spans="1:262" s="211" customFormat="1" ht="21" customHeight="1">
      <c r="A93" s="184">
        <v>86</v>
      </c>
      <c r="B93" s="185" t="str">
        <f>IF('Marks Entry'!B93="","",'Marks Entry'!B93)</f>
        <v/>
      </c>
      <c r="C93" s="186" t="str">
        <f>IF('Marks Entry'!D93="","",'Marks Entry'!D93)</f>
        <v/>
      </c>
      <c r="D93" s="187" t="str">
        <f>IF('Marks Entry'!E93="","",'Marks Entry'!E93)</f>
        <v/>
      </c>
      <c r="E93" s="188" t="str">
        <f>IF('Marks Entry'!F93="","",'Marks Entry'!F93)</f>
        <v/>
      </c>
      <c r="F93" s="188" t="str">
        <f>IF('Marks Entry'!G93="","",'Marks Entry'!G93)</f>
        <v/>
      </c>
      <c r="G93" s="188" t="str">
        <f>IF('Marks Entry'!H93="","",'Marks Entry'!H93)</f>
        <v/>
      </c>
      <c r="H93" s="189" t="str">
        <f>IF('Marks Entry'!I93="","",'Marks Entry'!I93)</f>
        <v/>
      </c>
      <c r="I93" s="190" t="str">
        <f>IF('Marks Entry'!J93="","",'Marks Entry'!J93)</f>
        <v/>
      </c>
      <c r="J93" s="545" t="str">
        <f>IF('Marks Entry'!K93="","",'Marks Entry'!K93)</f>
        <v/>
      </c>
      <c r="K93" s="545" t="str">
        <f>IF('Marks Entry'!L93="","",'Marks Entry'!L93)</f>
        <v/>
      </c>
      <c r="L93" s="545" t="str">
        <f>IF('Marks Entry'!M93="","",'Marks Entry'!M93)</f>
        <v/>
      </c>
      <c r="M93" s="546" t="str">
        <f t="shared" si="230"/>
        <v/>
      </c>
      <c r="N93" s="545" t="str">
        <f>IF('Marks Entry'!N93="","",'Marks Entry'!N93)</f>
        <v/>
      </c>
      <c r="O93" s="546" t="str">
        <f t="shared" si="231"/>
        <v/>
      </c>
      <c r="P93" s="545" t="str">
        <f>IF('Marks Entry'!O93="","",'Marks Entry'!O93)</f>
        <v/>
      </c>
      <c r="Q93" s="547" t="str">
        <f t="shared" si="232"/>
        <v/>
      </c>
      <c r="R93" s="153">
        <f t="shared" si="233"/>
        <v>0</v>
      </c>
      <c r="S93" s="153">
        <f t="shared" si="234"/>
        <v>0</v>
      </c>
      <c r="T93" s="154" t="str">
        <f t="shared" si="235"/>
        <v/>
      </c>
      <c r="U93" s="153" t="str">
        <f t="shared" si="236"/>
        <v/>
      </c>
      <c r="V93" s="153" t="str">
        <f t="shared" si="237"/>
        <v/>
      </c>
      <c r="W93" s="153" t="str">
        <f t="shared" si="238"/>
        <v/>
      </c>
      <c r="X93" s="545" t="str">
        <f>IF('Marks Entry'!P93="","",'Marks Entry'!P93)</f>
        <v/>
      </c>
      <c r="Y93" s="545" t="str">
        <f>IF('Marks Entry'!Q93="","",'Marks Entry'!Q93)</f>
        <v/>
      </c>
      <c r="Z93" s="545" t="str">
        <f>IF('Marks Entry'!R93="","",'Marks Entry'!R93)</f>
        <v/>
      </c>
      <c r="AA93" s="546" t="str">
        <f t="shared" si="239"/>
        <v/>
      </c>
      <c r="AB93" s="545" t="str">
        <f>IF('Marks Entry'!S93="","",'Marks Entry'!S93)</f>
        <v/>
      </c>
      <c r="AC93" s="546" t="str">
        <f t="shared" si="240"/>
        <v/>
      </c>
      <c r="AD93" s="545" t="str">
        <f>IF('Marks Entry'!T93="","",'Marks Entry'!T93)</f>
        <v/>
      </c>
      <c r="AE93" s="547" t="str">
        <f t="shared" si="241"/>
        <v/>
      </c>
      <c r="AF93" s="153">
        <f t="shared" si="242"/>
        <v>0</v>
      </c>
      <c r="AG93" s="153">
        <f t="shared" si="243"/>
        <v>0</v>
      </c>
      <c r="AH93" s="154" t="str">
        <f t="shared" si="244"/>
        <v/>
      </c>
      <c r="AI93" s="153" t="str">
        <f t="shared" si="245"/>
        <v/>
      </c>
      <c r="AJ93" s="153" t="str">
        <f t="shared" si="246"/>
        <v/>
      </c>
      <c r="AK93" s="153" t="str">
        <f t="shared" si="247"/>
        <v/>
      </c>
      <c r="AL93" s="573" t="str">
        <f>IF('Marks Entry'!U93="","",'Marks Entry'!U93)</f>
        <v/>
      </c>
      <c r="AM93" s="573" t="str">
        <f>IF('Marks Entry'!V93="","",'Marks Entry'!V93)</f>
        <v/>
      </c>
      <c r="AN93" s="573" t="str">
        <f>IF('Marks Entry'!W93="","",'Marks Entry'!W93)</f>
        <v/>
      </c>
      <c r="AO93" s="573" t="str">
        <f>IF('Marks Entry'!X93="","",'Marks Entry'!X93)</f>
        <v/>
      </c>
      <c r="AP93" s="572" t="str">
        <f t="shared" si="248"/>
        <v/>
      </c>
      <c r="AQ93" s="573" t="str">
        <f>IF('Marks Entry'!Y93="","",'Marks Entry'!Y93)</f>
        <v/>
      </c>
      <c r="AR93" s="573" t="str">
        <f>IF('Marks Entry'!Z93="","",'Marks Entry'!Z93)</f>
        <v/>
      </c>
      <c r="AS93" s="572" t="str">
        <f t="shared" si="249"/>
        <v/>
      </c>
      <c r="AT93" s="572" t="str">
        <f t="shared" si="250"/>
        <v/>
      </c>
      <c r="AU93" s="573" t="str">
        <f>IF('Marks Entry'!AA93="","",'Marks Entry'!AA93)</f>
        <v/>
      </c>
      <c r="AV93" s="573" t="str">
        <f>IF('Marks Entry'!AB93="","",'Marks Entry'!AB93)</f>
        <v/>
      </c>
      <c r="AW93" s="572" t="str">
        <f t="shared" si="251"/>
        <v/>
      </c>
      <c r="AX93" s="157" t="str">
        <f t="shared" si="252"/>
        <v/>
      </c>
      <c r="AY93" s="157" t="str">
        <f t="shared" si="253"/>
        <v/>
      </c>
      <c r="AZ93" s="192" t="str">
        <f t="shared" si="254"/>
        <v/>
      </c>
      <c r="BA93" s="153">
        <f t="shared" si="255"/>
        <v>0</v>
      </c>
      <c r="BB93" s="154">
        <f t="shared" si="256"/>
        <v>0</v>
      </c>
      <c r="BC93" s="154" t="str">
        <f t="shared" si="257"/>
        <v/>
      </c>
      <c r="BD93" s="154" t="str">
        <f t="shared" si="258"/>
        <v/>
      </c>
      <c r="BE93" s="154" t="str">
        <f t="shared" si="259"/>
        <v/>
      </c>
      <c r="BF93" s="153" t="str">
        <f t="shared" si="260"/>
        <v/>
      </c>
      <c r="BG93" s="154" t="str">
        <f t="shared" si="261"/>
        <v/>
      </c>
      <c r="BH93" s="153" t="str">
        <f t="shared" si="262"/>
        <v/>
      </c>
      <c r="BI93" s="580" t="str">
        <f>IF('Marks Entry'!AC93="","",'Marks Entry'!AC93)</f>
        <v/>
      </c>
      <c r="BJ93" s="580" t="str">
        <f>IF('Marks Entry'!AD93="","",'Marks Entry'!AD93)</f>
        <v/>
      </c>
      <c r="BK93" s="580" t="str">
        <f>IF('Marks Entry'!AE93="","",'Marks Entry'!AE93)</f>
        <v/>
      </c>
      <c r="BL93" s="580" t="str">
        <f>IF('Marks Entry'!AF93="","",'Marks Entry'!AF93)</f>
        <v/>
      </c>
      <c r="BM93" s="581" t="str">
        <f t="shared" si="263"/>
        <v/>
      </c>
      <c r="BN93" s="580" t="str">
        <f>IF('Marks Entry'!AG93="","",'Marks Entry'!AG93)</f>
        <v/>
      </c>
      <c r="BO93" s="580" t="str">
        <f>IF('Marks Entry'!AH93="","",'Marks Entry'!AH93)</f>
        <v/>
      </c>
      <c r="BP93" s="581" t="str">
        <f t="shared" si="264"/>
        <v/>
      </c>
      <c r="BQ93" s="581" t="str">
        <f t="shared" si="265"/>
        <v/>
      </c>
      <c r="BR93" s="580" t="str">
        <f>IF('Marks Entry'!AI93="","",'Marks Entry'!AI93)</f>
        <v/>
      </c>
      <c r="BS93" s="580" t="str">
        <f>IF('Marks Entry'!AJ93="","",'Marks Entry'!AJ93)</f>
        <v/>
      </c>
      <c r="BT93" s="581" t="str">
        <f t="shared" si="266"/>
        <v/>
      </c>
      <c r="BU93" s="157" t="str">
        <f t="shared" si="267"/>
        <v/>
      </c>
      <c r="BV93" s="157" t="str">
        <f t="shared" si="268"/>
        <v/>
      </c>
      <c r="BW93" s="192" t="str">
        <f t="shared" si="269"/>
        <v/>
      </c>
      <c r="BX93" s="153">
        <f t="shared" si="270"/>
        <v>0</v>
      </c>
      <c r="BY93" s="154">
        <f t="shared" si="271"/>
        <v>0</v>
      </c>
      <c r="BZ93" s="154" t="str">
        <f t="shared" si="272"/>
        <v/>
      </c>
      <c r="CA93" s="154" t="str">
        <f t="shared" si="273"/>
        <v/>
      </c>
      <c r="CB93" s="154" t="str">
        <f t="shared" si="274"/>
        <v/>
      </c>
      <c r="CC93" s="153" t="str">
        <f t="shared" si="275"/>
        <v/>
      </c>
      <c r="CD93" s="154" t="str">
        <f t="shared" si="276"/>
        <v/>
      </c>
      <c r="CE93" s="153" t="str">
        <f t="shared" si="277"/>
        <v/>
      </c>
      <c r="CF93" s="580" t="str">
        <f>IF('Marks Entry'!AK93="","",'Marks Entry'!AK93)</f>
        <v/>
      </c>
      <c r="CG93" s="580" t="str">
        <f>IF('Marks Entry'!AL93="","",'Marks Entry'!AL93)</f>
        <v/>
      </c>
      <c r="CH93" s="580" t="str">
        <f>IF('Marks Entry'!AM93="","",'Marks Entry'!AM93)</f>
        <v/>
      </c>
      <c r="CI93" s="580" t="str">
        <f>IF('Marks Entry'!AN93="","",'Marks Entry'!AN93)</f>
        <v/>
      </c>
      <c r="CJ93" s="581" t="str">
        <f t="shared" si="278"/>
        <v/>
      </c>
      <c r="CK93" s="580" t="str">
        <f>IF('Marks Entry'!AO93="","",'Marks Entry'!AO93)</f>
        <v/>
      </c>
      <c r="CL93" s="580" t="str">
        <f>IF('Marks Entry'!AP93="","",'Marks Entry'!AP93)</f>
        <v/>
      </c>
      <c r="CM93" s="581" t="str">
        <f t="shared" si="279"/>
        <v/>
      </c>
      <c r="CN93" s="581" t="str">
        <f t="shared" si="280"/>
        <v/>
      </c>
      <c r="CO93" s="580" t="str">
        <f>IF('Marks Entry'!AQ93="","",'Marks Entry'!AQ93)</f>
        <v/>
      </c>
      <c r="CP93" s="580" t="str">
        <f>IF('Marks Entry'!AR93="","",'Marks Entry'!AR93)</f>
        <v/>
      </c>
      <c r="CQ93" s="581" t="str">
        <f t="shared" si="281"/>
        <v/>
      </c>
      <c r="CR93" s="157" t="str">
        <f t="shared" si="282"/>
        <v/>
      </c>
      <c r="CS93" s="157" t="str">
        <f t="shared" si="283"/>
        <v/>
      </c>
      <c r="CT93" s="192" t="str">
        <f t="shared" si="284"/>
        <v/>
      </c>
      <c r="CU93" s="153">
        <f t="shared" si="285"/>
        <v>0</v>
      </c>
      <c r="CV93" s="154">
        <f t="shared" si="286"/>
        <v>0</v>
      </c>
      <c r="CW93" s="154" t="str">
        <f t="shared" si="287"/>
        <v/>
      </c>
      <c r="CX93" s="154" t="str">
        <f t="shared" si="288"/>
        <v/>
      </c>
      <c r="CY93" s="154" t="str">
        <f t="shared" si="289"/>
        <v/>
      </c>
      <c r="CZ93" s="153" t="str">
        <f t="shared" si="290"/>
        <v/>
      </c>
      <c r="DA93" s="154" t="str">
        <f t="shared" si="291"/>
        <v/>
      </c>
      <c r="DB93" s="153" t="str">
        <f t="shared" si="292"/>
        <v/>
      </c>
      <c r="DC93" s="154">
        <f t="shared" si="293"/>
        <v>0</v>
      </c>
      <c r="DD93" s="826" t="str">
        <f>IF('Marks Entry'!AS93="","",IF(OR('Master Sheet'!$D$19="YES",'Marks Entry'!$BA$1=1),'Marks Entry'!AS93,""))</f>
        <v/>
      </c>
      <c r="DE93" s="826" t="str">
        <f>IF('Marks Entry'!AT93="","",IF(OR('Master Sheet'!$D$19="YES",'Marks Entry'!$BA$1=1),'Marks Entry'!AT93,""))</f>
        <v/>
      </c>
      <c r="DF93" s="826" t="str">
        <f>IF('Marks Entry'!AU93="","",IF(OR('Master Sheet'!$D$19="YES",'Marks Entry'!$BA$1=1),'Marks Entry'!AU93,""))</f>
        <v/>
      </c>
      <c r="DG93" s="826" t="str">
        <f>IF('Marks Entry'!AV93="","",IF(OR('Master Sheet'!$D$19="YES",'Marks Entry'!$BA$1=1),'Marks Entry'!AV93,""))</f>
        <v/>
      </c>
      <c r="DH93" s="827" t="str">
        <f t="shared" si="294"/>
        <v/>
      </c>
      <c r="DI93" s="826" t="str">
        <f>IF('Marks Entry'!AW93="","",IF(OR('Master Sheet'!$D$19="YES",'Marks Entry'!$BA$1=1),'Marks Entry'!AW93,""))</f>
        <v/>
      </c>
      <c r="DJ93" s="826" t="str">
        <f>IF('Marks Entry'!AX93="","",IF(OR('Master Sheet'!$D$19="YES",'Marks Entry'!$BA$1=1),'Marks Entry'!AX93,""))</f>
        <v/>
      </c>
      <c r="DK93" s="827" t="str">
        <f t="shared" si="295"/>
        <v/>
      </c>
      <c r="DL93" s="827" t="str">
        <f t="shared" si="296"/>
        <v/>
      </c>
      <c r="DM93" s="826" t="str">
        <f>IF('Marks Entry'!AY93="","",IF(OR('Master Sheet'!$D$19="YES",'Marks Entry'!$BA$1=1),'Marks Entry'!AY93,""))</f>
        <v/>
      </c>
      <c r="DN93" s="826" t="str">
        <f>IF('Marks Entry'!AZ93="","",IF(OR('Master Sheet'!$D$19="YES",'Marks Entry'!$BA$1=1),'Marks Entry'!AZ93,""))</f>
        <v/>
      </c>
      <c r="DO93" s="826" t="str">
        <f>IF('Marks Entry'!BA93="","",IF(OR('Master Sheet'!$D$19="YES",'Marks Entry'!$BA$1=1),'Marks Entry'!BA93,""))</f>
        <v/>
      </c>
      <c r="DP93" s="827" t="str">
        <f t="shared" si="297"/>
        <v/>
      </c>
      <c r="DQ93" s="157" t="str">
        <f t="shared" si="298"/>
        <v/>
      </c>
      <c r="DR93" s="157" t="str">
        <f t="shared" si="299"/>
        <v/>
      </c>
      <c r="DS93" s="157" t="str">
        <f t="shared" si="300"/>
        <v/>
      </c>
      <c r="DT93" s="192" t="str">
        <f t="shared" si="301"/>
        <v/>
      </c>
      <c r="DU93" s="153">
        <f t="shared" si="302"/>
        <v>0</v>
      </c>
      <c r="DV93" s="154" t="e">
        <f t="shared" si="303"/>
        <v>#VALUE!</v>
      </c>
      <c r="DW93" s="154" t="str">
        <f t="shared" si="304"/>
        <v/>
      </c>
      <c r="DX93" s="154" t="str">
        <f>IF(OR($B93="NSO",$B93=0,DS93=""),"",IF(AND(DJ93="",DO93=""),"",IF('Master Sheet'!$D$19="YES",$DO$6-COUNTIF(DO93,"ML")*DO$6,DS$6-(COUNTIF(DJ93,"ML")*DJ$6)-(COUNTIF(DO93,"ML")*DO$6))))</f>
        <v/>
      </c>
      <c r="DY93" s="154" t="str">
        <f>IF(OR($B93="NSO",$B93=0),"",IF(AND(DH93="",DI93="",DM93=""),"",IF(AND('Master Sheet'!$D$19="YES",'Marks Entry'!$BA$1=1),100,IF(AND(DJ93="",DO93=""),SUM(($DQ$7+$DR$7)-(DU93+DV93)),SUM(($DQ$6+$DR$6)-(DU93+DV93))))))</f>
        <v/>
      </c>
      <c r="DZ93" s="153" t="str">
        <f t="shared" si="305"/>
        <v/>
      </c>
      <c r="EA93" s="154" t="str">
        <f t="shared" si="306"/>
        <v/>
      </c>
      <c r="EB93" s="153" t="str">
        <f t="shared" si="307"/>
        <v/>
      </c>
      <c r="EC93" s="584" t="str">
        <f>IF('Marks Entry'!BB93="","",'Marks Entry'!BB93)</f>
        <v/>
      </c>
      <c r="ED93" s="584" t="str">
        <f>IF('Marks Entry'!BC93="","",'Marks Entry'!BC93)</f>
        <v/>
      </c>
      <c r="EE93" s="584" t="str">
        <f>IF('Marks Entry'!BD93="","",'Marks Entry'!BD93)</f>
        <v/>
      </c>
      <c r="EF93" s="590" t="str">
        <f t="shared" si="308"/>
        <v/>
      </c>
      <c r="EG93" s="595">
        <f t="shared" si="309"/>
        <v>0</v>
      </c>
      <c r="EH93" s="595">
        <f t="shared" si="310"/>
        <v>0</v>
      </c>
      <c r="EI93" s="193" t="str">
        <f t="shared" si="311"/>
        <v/>
      </c>
      <c r="EJ93" s="595" t="str">
        <f t="shared" si="312"/>
        <v/>
      </c>
      <c r="EK93" s="595" t="str">
        <f t="shared" si="313"/>
        <v/>
      </c>
      <c r="EL93" s="194" t="str">
        <f t="shared" si="314"/>
        <v/>
      </c>
      <c r="EM93" s="194" t="str">
        <f t="shared" si="315"/>
        <v/>
      </c>
      <c r="EN93" s="194" t="str">
        <f t="shared" si="316"/>
        <v/>
      </c>
      <c r="EO93" s="194" t="str">
        <f t="shared" si="317"/>
        <v/>
      </c>
      <c r="EP93" s="194" t="str">
        <f t="shared" si="318"/>
        <v/>
      </c>
      <c r="EQ93" s="194" t="str">
        <f t="shared" si="319"/>
        <v/>
      </c>
      <c r="ER93" s="195">
        <f t="shared" si="320"/>
        <v>0</v>
      </c>
      <c r="ES93" s="195">
        <f t="shared" si="321"/>
        <v>0</v>
      </c>
      <c r="ET93" s="195">
        <f t="shared" si="322"/>
        <v>0</v>
      </c>
      <c r="EU93" s="195">
        <f t="shared" si="323"/>
        <v>0</v>
      </c>
      <c r="EV93" s="195">
        <f t="shared" si="324"/>
        <v>0</v>
      </c>
      <c r="EW93" s="195" t="str">
        <f t="shared" si="325"/>
        <v/>
      </c>
      <c r="EX93" s="196" t="str">
        <f t="shared" si="326"/>
        <v/>
      </c>
      <c r="EY93" s="197" t="str">
        <f>IF('Marks Entry'!BE93="","",'Marks Entry'!BE93)</f>
        <v/>
      </c>
      <c r="EZ93" s="197" t="str">
        <f>IF('Marks Entry'!BF93="","",'Marks Entry'!BF93)</f>
        <v/>
      </c>
      <c r="FA93" s="197" t="str">
        <f>IF('Marks Entry'!BG93="","",'Marks Entry'!BG93)</f>
        <v/>
      </c>
      <c r="FB93" s="596" t="str">
        <f t="shared" si="327"/>
        <v/>
      </c>
      <c r="FC93" s="197" t="str">
        <f>IF('Marks Entry'!BH93="","",'Marks Entry'!BH93)</f>
        <v/>
      </c>
      <c r="FD93" s="197" t="str">
        <f>IF('Marks Entry'!BI93="","",'Marks Entry'!BI93)</f>
        <v/>
      </c>
      <c r="FE93" s="198" t="str">
        <f t="shared" si="328"/>
        <v/>
      </c>
      <c r="FF93" s="199" t="str">
        <f t="shared" si="329"/>
        <v/>
      </c>
      <c r="FG93" s="200" t="str">
        <f>IF(AND(E93=""),"",IF('Student DATA Entry'!L89="","",'Student DATA Entry'!L89))</f>
        <v/>
      </c>
      <c r="FH93" s="201" t="str">
        <f>IF(AND(E93=""),"",IF('Student DATA Entry'!M89="","",'Student DATA Entry'!M89))</f>
        <v/>
      </c>
      <c r="FI93" s="202" t="str">
        <f t="shared" si="330"/>
        <v/>
      </c>
      <c r="FJ93" s="189" t="str">
        <f t="shared" si="331"/>
        <v/>
      </c>
      <c r="FK93" s="189" t="str">
        <f t="shared" si="332"/>
        <v/>
      </c>
      <c r="FL93" s="203" t="str">
        <f t="shared" si="201"/>
        <v/>
      </c>
      <c r="FM93" s="189" t="str">
        <f t="shared" si="333"/>
        <v/>
      </c>
      <c r="FN93" s="204" t="str">
        <f t="shared" si="334"/>
        <v/>
      </c>
      <c r="FO93" s="203" t="str">
        <f t="shared" si="202"/>
        <v/>
      </c>
      <c r="FP93" s="205" t="str">
        <f t="shared" si="335"/>
        <v/>
      </c>
      <c r="FQ93" s="189" t="str">
        <f t="shared" si="203"/>
        <v/>
      </c>
      <c r="FR93" s="189" t="str">
        <f t="shared" si="204"/>
        <v/>
      </c>
      <c r="FS93" s="189" t="str">
        <f t="shared" si="205"/>
        <v/>
      </c>
      <c r="FT93" s="189" t="str">
        <f t="shared" si="206"/>
        <v/>
      </c>
      <c r="FU93" s="189" t="str">
        <f t="shared" si="336"/>
        <v/>
      </c>
      <c r="FV93" s="206" t="str">
        <f t="shared" si="207"/>
        <v/>
      </c>
      <c r="FW93" s="205" t="str">
        <f t="shared" si="337"/>
        <v/>
      </c>
      <c r="FX93" s="189" t="str">
        <f t="shared" si="208"/>
        <v/>
      </c>
      <c r="FY93" s="189" t="str">
        <f t="shared" si="209"/>
        <v/>
      </c>
      <c r="FZ93" s="189" t="str">
        <f t="shared" si="210"/>
        <v/>
      </c>
      <c r="GA93" s="189" t="str">
        <f t="shared" si="211"/>
        <v/>
      </c>
      <c r="GB93" s="189" t="str">
        <f t="shared" si="338"/>
        <v/>
      </c>
      <c r="GC93" s="206" t="str">
        <f t="shared" si="212"/>
        <v/>
      </c>
      <c r="GD93" s="205" t="str">
        <f t="shared" si="339"/>
        <v/>
      </c>
      <c r="GE93" s="189" t="str">
        <f t="shared" si="213"/>
        <v/>
      </c>
      <c r="GF93" s="189" t="str">
        <f t="shared" si="214"/>
        <v/>
      </c>
      <c r="GG93" s="189" t="str">
        <f t="shared" si="215"/>
        <v/>
      </c>
      <c r="GH93" s="189" t="str">
        <f t="shared" si="216"/>
        <v/>
      </c>
      <c r="GI93" s="189" t="str">
        <f t="shared" si="340"/>
        <v/>
      </c>
      <c r="GJ93" s="206" t="str">
        <f t="shared" si="217"/>
        <v/>
      </c>
      <c r="GK93" s="205" t="str">
        <f t="shared" si="341"/>
        <v/>
      </c>
      <c r="GL93" s="189" t="str">
        <f t="shared" si="218"/>
        <v/>
      </c>
      <c r="GM93" s="189" t="str">
        <f t="shared" si="219"/>
        <v/>
      </c>
      <c r="GN93" s="189" t="str">
        <f t="shared" si="220"/>
        <v/>
      </c>
      <c r="GO93" s="189" t="str">
        <f t="shared" si="221"/>
        <v/>
      </c>
      <c r="GP93" s="189" t="str">
        <f t="shared" si="342"/>
        <v/>
      </c>
      <c r="GQ93" s="206" t="str">
        <f t="shared" si="222"/>
        <v/>
      </c>
      <c r="GR93" s="189" t="str">
        <f t="shared" si="343"/>
        <v/>
      </c>
      <c r="GS93" s="189" t="str">
        <f t="shared" si="344"/>
        <v/>
      </c>
      <c r="GT93" s="207" t="str">
        <f t="shared" si="345"/>
        <v xml:space="preserve">    </v>
      </c>
      <c r="GU93" s="207" t="str">
        <f t="shared" si="346"/>
        <v xml:space="preserve">    </v>
      </c>
      <c r="GV93" s="207" t="str">
        <f t="shared" si="347"/>
        <v xml:space="preserve">    </v>
      </c>
      <c r="GW93" s="207" t="str">
        <f t="shared" si="348"/>
        <v xml:space="preserve">       </v>
      </c>
      <c r="GX93" s="598" t="str">
        <f t="shared" si="349"/>
        <v xml:space="preserve">     </v>
      </c>
      <c r="GY93" s="208" t="str">
        <f t="shared" si="223"/>
        <v/>
      </c>
      <c r="GZ93" s="606" t="str">
        <f>IF(AND(Q93="",AE93="",AZ93="",BW93="",CT93=""),"",IF(AND('Master Sheet'!$D$19="YES",'Marks Entry'!$BA$1=1),SUM(Q93,AE93,AZ93,BW93,DT93),SUM(Q93,AE93,AZ93,BW93,CT93)))</f>
        <v/>
      </c>
      <c r="HA93" s="209" t="str">
        <f>IF(GZ93="","",IF(AND('Master Sheet'!$D$19="YES",'Marks Entry'!$BA$1=1),GZ93/((900)-DC93)*100,GZ93/((1000)-DC93)*100))</f>
        <v/>
      </c>
      <c r="HB93" s="611" t="str">
        <f t="shared" si="350"/>
        <v/>
      </c>
      <c r="HC93" s="609" t="str">
        <f t="shared" si="351"/>
        <v/>
      </c>
      <c r="HD93" s="610" t="str">
        <f t="shared" si="352"/>
        <v/>
      </c>
      <c r="HE93" s="210" t="str">
        <f>IFERROR(IF(OR(GY93="SUPPLEMENTARY",GY93="RE-EXAM"),'Supp. Result Entry'!AS92,""),"")</f>
        <v/>
      </c>
      <c r="HF93" s="613" t="str">
        <f t="shared" si="353"/>
        <v/>
      </c>
      <c r="HG93" s="598" t="str">
        <f t="shared" si="354"/>
        <v/>
      </c>
      <c r="HH93" s="598" t="str">
        <f>IF(AND(HE93="",HF93="",HG93=""),"",IF(OR(GY93="SUPPLEMENTARY",GY93="RE-EXAM"),'Supp. Result Entry'!AS92,GY93))</f>
        <v/>
      </c>
      <c r="HI93" s="180"/>
      <c r="HY93" s="212" t="str">
        <f>IF('Supp. Result Entry'!U92="","",'Supp. Result Entry'!$U$6)</f>
        <v/>
      </c>
      <c r="HZ93" s="213" t="str">
        <f>IF('Supp. Result Entry'!X92="","",'Supp. Result Entry'!$X$6)</f>
        <v/>
      </c>
      <c r="IA93" s="213" t="str">
        <f>IF('Supp. Result Entry'!AA92="","",'Supp. Result Entry'!$AA$6)</f>
        <v/>
      </c>
      <c r="IB93" s="213" t="str">
        <f>IF('Supp. Result Entry'!AD92="","",'Supp. Result Entry'!$AD$6)</f>
        <v/>
      </c>
      <c r="IC93" s="213" t="str">
        <f>IF('Supp. Result Entry'!AG92="","",'Supp. Result Entry'!$AG$6)</f>
        <v/>
      </c>
      <c r="ID93" s="213" t="str">
        <f>IF('Supp. Result Entry'!AJ92="","",'Supp. Result Entry'!$AJ$6)</f>
        <v/>
      </c>
      <c r="IE93" s="213" t="str">
        <f>IF('Supp. Result Entry'!V92="","",'Supp. Result Entry'!V92)</f>
        <v/>
      </c>
      <c r="IF93" s="213" t="str">
        <f>IF('Supp. Result Entry'!Y92="","",'Supp. Result Entry'!Y92)</f>
        <v/>
      </c>
      <c r="IG93" s="213" t="str">
        <f>IF('Supp. Result Entry'!AB92="","",'Supp. Result Entry'!AB92)</f>
        <v/>
      </c>
      <c r="IH93" s="213" t="str">
        <f>IF('Supp. Result Entry'!AE92="","",'Supp. Result Entry'!AE92)</f>
        <v/>
      </c>
      <c r="II93" s="213" t="str">
        <f>IF('Supp. Result Entry'!AH92="","",'Supp. Result Entry'!AH92)</f>
        <v/>
      </c>
      <c r="IJ93" s="213" t="str">
        <f>IF('Supp. Result Entry'!AK92="","",'Supp. Result Entry'!AK92)</f>
        <v/>
      </c>
      <c r="IK93" s="213" t="str">
        <f>IF('Supp. Result Entry'!W92="","",'Supp. Result Entry'!W92)</f>
        <v/>
      </c>
      <c r="IL93" s="213" t="str">
        <f>IF('Supp. Result Entry'!Z92="","",'Supp. Result Entry'!Z92)</f>
        <v/>
      </c>
      <c r="IM93" s="213" t="str">
        <f>IF('Supp. Result Entry'!AC92="","",'Supp. Result Entry'!AC92)</f>
        <v/>
      </c>
      <c r="IN93" s="213" t="str">
        <f>IF('Supp. Result Entry'!AF92="","",'Supp. Result Entry'!AF92)</f>
        <v/>
      </c>
      <c r="IO93" s="213" t="str">
        <f>IF('Supp. Result Entry'!AI92="","",'Supp. Result Entry'!AI92)</f>
        <v/>
      </c>
      <c r="IP93" s="213" t="str">
        <f>IF('Supp. Result Entry'!AL92="","",'Supp. Result Entry'!AL92)</f>
        <v/>
      </c>
      <c r="IQ93" s="213">
        <f>COUNTIF('Supp. Result Entry'!K92:Q92,"S")</f>
        <v>0</v>
      </c>
      <c r="IR93" s="213">
        <f t="shared" si="355"/>
        <v>0</v>
      </c>
      <c r="IS93" s="213">
        <f t="shared" si="356"/>
        <v>0</v>
      </c>
      <c r="IT93" s="213" t="str">
        <f t="shared" si="224"/>
        <v/>
      </c>
      <c r="IU93" s="213" t="str">
        <f t="shared" si="225"/>
        <v/>
      </c>
      <c r="IV93" s="213" t="str">
        <f t="shared" si="226"/>
        <v/>
      </c>
      <c r="IW93" s="213" t="str">
        <f t="shared" si="227"/>
        <v/>
      </c>
      <c r="IX93" s="213" t="str">
        <f t="shared" si="228"/>
        <v/>
      </c>
      <c r="IY93" s="213" t="str">
        <f t="shared" si="357"/>
        <v/>
      </c>
      <c r="IZ93" s="213" t="str">
        <f t="shared" si="358"/>
        <v/>
      </c>
      <c r="JA93" s="213" t="str">
        <f t="shared" si="229"/>
        <v/>
      </c>
      <c r="JB93" s="211" t="str">
        <f t="shared" si="359"/>
        <v/>
      </c>
    </row>
    <row r="94" spans="1:262" s="211" customFormat="1" ht="21" customHeight="1">
      <c r="A94" s="184">
        <v>87</v>
      </c>
      <c r="B94" s="185" t="str">
        <f>IF('Marks Entry'!B94="","",'Marks Entry'!B94)</f>
        <v/>
      </c>
      <c r="C94" s="186" t="str">
        <f>IF('Marks Entry'!D94="","",'Marks Entry'!D94)</f>
        <v/>
      </c>
      <c r="D94" s="187" t="str">
        <f>IF('Marks Entry'!E94="","",'Marks Entry'!E94)</f>
        <v/>
      </c>
      <c r="E94" s="188" t="str">
        <f>IF('Marks Entry'!F94="","",'Marks Entry'!F94)</f>
        <v/>
      </c>
      <c r="F94" s="188" t="str">
        <f>IF('Marks Entry'!G94="","",'Marks Entry'!G94)</f>
        <v/>
      </c>
      <c r="G94" s="188" t="str">
        <f>IF('Marks Entry'!H94="","",'Marks Entry'!H94)</f>
        <v/>
      </c>
      <c r="H94" s="189" t="str">
        <f>IF('Marks Entry'!I94="","",'Marks Entry'!I94)</f>
        <v/>
      </c>
      <c r="I94" s="190" t="str">
        <f>IF('Marks Entry'!J94="","",'Marks Entry'!J94)</f>
        <v/>
      </c>
      <c r="J94" s="545" t="str">
        <f>IF('Marks Entry'!K94="","",'Marks Entry'!K94)</f>
        <v/>
      </c>
      <c r="K94" s="545" t="str">
        <f>IF('Marks Entry'!L94="","",'Marks Entry'!L94)</f>
        <v/>
      </c>
      <c r="L94" s="545" t="str">
        <f>IF('Marks Entry'!M94="","",'Marks Entry'!M94)</f>
        <v/>
      </c>
      <c r="M94" s="546" t="str">
        <f t="shared" si="230"/>
        <v/>
      </c>
      <c r="N94" s="545" t="str">
        <f>IF('Marks Entry'!N94="","",'Marks Entry'!N94)</f>
        <v/>
      </c>
      <c r="O94" s="546" t="str">
        <f t="shared" si="231"/>
        <v/>
      </c>
      <c r="P94" s="545" t="str">
        <f>IF('Marks Entry'!O94="","",'Marks Entry'!O94)</f>
        <v/>
      </c>
      <c r="Q94" s="547" t="str">
        <f t="shared" si="232"/>
        <v/>
      </c>
      <c r="R94" s="153">
        <f t="shared" si="233"/>
        <v>0</v>
      </c>
      <c r="S94" s="153">
        <f t="shared" si="234"/>
        <v>0</v>
      </c>
      <c r="T94" s="154" t="str">
        <f t="shared" si="235"/>
        <v/>
      </c>
      <c r="U94" s="153" t="str">
        <f t="shared" si="236"/>
        <v/>
      </c>
      <c r="V94" s="153" t="str">
        <f t="shared" si="237"/>
        <v/>
      </c>
      <c r="W94" s="153" t="str">
        <f t="shared" si="238"/>
        <v/>
      </c>
      <c r="X94" s="545" t="str">
        <f>IF('Marks Entry'!P94="","",'Marks Entry'!P94)</f>
        <v/>
      </c>
      <c r="Y94" s="545" t="str">
        <f>IF('Marks Entry'!Q94="","",'Marks Entry'!Q94)</f>
        <v/>
      </c>
      <c r="Z94" s="545" t="str">
        <f>IF('Marks Entry'!R94="","",'Marks Entry'!R94)</f>
        <v/>
      </c>
      <c r="AA94" s="546" t="str">
        <f t="shared" si="239"/>
        <v/>
      </c>
      <c r="AB94" s="545" t="str">
        <f>IF('Marks Entry'!S94="","",'Marks Entry'!S94)</f>
        <v/>
      </c>
      <c r="AC94" s="546" t="str">
        <f t="shared" si="240"/>
        <v/>
      </c>
      <c r="AD94" s="545" t="str">
        <f>IF('Marks Entry'!T94="","",'Marks Entry'!T94)</f>
        <v/>
      </c>
      <c r="AE94" s="547" t="str">
        <f t="shared" si="241"/>
        <v/>
      </c>
      <c r="AF94" s="153">
        <f t="shared" si="242"/>
        <v>0</v>
      </c>
      <c r="AG94" s="153">
        <f t="shared" si="243"/>
        <v>0</v>
      </c>
      <c r="AH94" s="154" t="str">
        <f t="shared" si="244"/>
        <v/>
      </c>
      <c r="AI94" s="153" t="str">
        <f t="shared" si="245"/>
        <v/>
      </c>
      <c r="AJ94" s="153" t="str">
        <f t="shared" si="246"/>
        <v/>
      </c>
      <c r="AK94" s="153" t="str">
        <f t="shared" si="247"/>
        <v/>
      </c>
      <c r="AL94" s="573" t="str">
        <f>IF('Marks Entry'!U94="","",'Marks Entry'!U94)</f>
        <v/>
      </c>
      <c r="AM94" s="573" t="str">
        <f>IF('Marks Entry'!V94="","",'Marks Entry'!V94)</f>
        <v/>
      </c>
      <c r="AN94" s="573" t="str">
        <f>IF('Marks Entry'!W94="","",'Marks Entry'!W94)</f>
        <v/>
      </c>
      <c r="AO94" s="573" t="str">
        <f>IF('Marks Entry'!X94="","",'Marks Entry'!X94)</f>
        <v/>
      </c>
      <c r="AP94" s="572" t="str">
        <f t="shared" si="248"/>
        <v/>
      </c>
      <c r="AQ94" s="573" t="str">
        <f>IF('Marks Entry'!Y94="","",'Marks Entry'!Y94)</f>
        <v/>
      </c>
      <c r="AR94" s="573" t="str">
        <f>IF('Marks Entry'!Z94="","",'Marks Entry'!Z94)</f>
        <v/>
      </c>
      <c r="AS94" s="572" t="str">
        <f t="shared" si="249"/>
        <v/>
      </c>
      <c r="AT94" s="572" t="str">
        <f t="shared" si="250"/>
        <v/>
      </c>
      <c r="AU94" s="573" t="str">
        <f>IF('Marks Entry'!AA94="","",'Marks Entry'!AA94)</f>
        <v/>
      </c>
      <c r="AV94" s="573" t="str">
        <f>IF('Marks Entry'!AB94="","",'Marks Entry'!AB94)</f>
        <v/>
      </c>
      <c r="AW94" s="572" t="str">
        <f t="shared" si="251"/>
        <v/>
      </c>
      <c r="AX94" s="157" t="str">
        <f t="shared" si="252"/>
        <v/>
      </c>
      <c r="AY94" s="157" t="str">
        <f t="shared" si="253"/>
        <v/>
      </c>
      <c r="AZ94" s="192" t="str">
        <f t="shared" si="254"/>
        <v/>
      </c>
      <c r="BA94" s="153">
        <f t="shared" si="255"/>
        <v>0</v>
      </c>
      <c r="BB94" s="154">
        <f t="shared" si="256"/>
        <v>0</v>
      </c>
      <c r="BC94" s="154" t="str">
        <f t="shared" si="257"/>
        <v/>
      </c>
      <c r="BD94" s="154" t="str">
        <f t="shared" si="258"/>
        <v/>
      </c>
      <c r="BE94" s="154" t="str">
        <f t="shared" si="259"/>
        <v/>
      </c>
      <c r="BF94" s="153" t="str">
        <f t="shared" si="260"/>
        <v/>
      </c>
      <c r="BG94" s="154" t="str">
        <f t="shared" si="261"/>
        <v/>
      </c>
      <c r="BH94" s="153" t="str">
        <f t="shared" si="262"/>
        <v/>
      </c>
      <c r="BI94" s="580" t="str">
        <f>IF('Marks Entry'!AC94="","",'Marks Entry'!AC94)</f>
        <v/>
      </c>
      <c r="BJ94" s="580" t="str">
        <f>IF('Marks Entry'!AD94="","",'Marks Entry'!AD94)</f>
        <v/>
      </c>
      <c r="BK94" s="580" t="str">
        <f>IF('Marks Entry'!AE94="","",'Marks Entry'!AE94)</f>
        <v/>
      </c>
      <c r="BL94" s="580" t="str">
        <f>IF('Marks Entry'!AF94="","",'Marks Entry'!AF94)</f>
        <v/>
      </c>
      <c r="BM94" s="581" t="str">
        <f t="shared" si="263"/>
        <v/>
      </c>
      <c r="BN94" s="580" t="str">
        <f>IF('Marks Entry'!AG94="","",'Marks Entry'!AG94)</f>
        <v/>
      </c>
      <c r="BO94" s="580" t="str">
        <f>IF('Marks Entry'!AH94="","",'Marks Entry'!AH94)</f>
        <v/>
      </c>
      <c r="BP94" s="581" t="str">
        <f t="shared" si="264"/>
        <v/>
      </c>
      <c r="BQ94" s="581" t="str">
        <f t="shared" si="265"/>
        <v/>
      </c>
      <c r="BR94" s="580" t="str">
        <f>IF('Marks Entry'!AI94="","",'Marks Entry'!AI94)</f>
        <v/>
      </c>
      <c r="BS94" s="580" t="str">
        <f>IF('Marks Entry'!AJ94="","",'Marks Entry'!AJ94)</f>
        <v/>
      </c>
      <c r="BT94" s="581" t="str">
        <f t="shared" si="266"/>
        <v/>
      </c>
      <c r="BU94" s="157" t="str">
        <f t="shared" si="267"/>
        <v/>
      </c>
      <c r="BV94" s="157" t="str">
        <f t="shared" si="268"/>
        <v/>
      </c>
      <c r="BW94" s="192" t="str">
        <f t="shared" si="269"/>
        <v/>
      </c>
      <c r="BX94" s="153">
        <f t="shared" si="270"/>
        <v>0</v>
      </c>
      <c r="BY94" s="154">
        <f t="shared" si="271"/>
        <v>0</v>
      </c>
      <c r="BZ94" s="154" t="str">
        <f t="shared" si="272"/>
        <v/>
      </c>
      <c r="CA94" s="154" t="str">
        <f t="shared" si="273"/>
        <v/>
      </c>
      <c r="CB94" s="154" t="str">
        <f t="shared" si="274"/>
        <v/>
      </c>
      <c r="CC94" s="153" t="str">
        <f t="shared" si="275"/>
        <v/>
      </c>
      <c r="CD94" s="154" t="str">
        <f t="shared" si="276"/>
        <v/>
      </c>
      <c r="CE94" s="153" t="str">
        <f t="shared" si="277"/>
        <v/>
      </c>
      <c r="CF94" s="580" t="str">
        <f>IF('Marks Entry'!AK94="","",'Marks Entry'!AK94)</f>
        <v/>
      </c>
      <c r="CG94" s="580" t="str">
        <f>IF('Marks Entry'!AL94="","",'Marks Entry'!AL94)</f>
        <v/>
      </c>
      <c r="CH94" s="580" t="str">
        <f>IF('Marks Entry'!AM94="","",'Marks Entry'!AM94)</f>
        <v/>
      </c>
      <c r="CI94" s="580" t="str">
        <f>IF('Marks Entry'!AN94="","",'Marks Entry'!AN94)</f>
        <v/>
      </c>
      <c r="CJ94" s="581" t="str">
        <f t="shared" si="278"/>
        <v/>
      </c>
      <c r="CK94" s="580" t="str">
        <f>IF('Marks Entry'!AO94="","",'Marks Entry'!AO94)</f>
        <v/>
      </c>
      <c r="CL94" s="580" t="str">
        <f>IF('Marks Entry'!AP94="","",'Marks Entry'!AP94)</f>
        <v/>
      </c>
      <c r="CM94" s="581" t="str">
        <f t="shared" si="279"/>
        <v/>
      </c>
      <c r="CN94" s="581" t="str">
        <f t="shared" si="280"/>
        <v/>
      </c>
      <c r="CO94" s="580" t="str">
        <f>IF('Marks Entry'!AQ94="","",'Marks Entry'!AQ94)</f>
        <v/>
      </c>
      <c r="CP94" s="580" t="str">
        <f>IF('Marks Entry'!AR94="","",'Marks Entry'!AR94)</f>
        <v/>
      </c>
      <c r="CQ94" s="581" t="str">
        <f t="shared" si="281"/>
        <v/>
      </c>
      <c r="CR94" s="157" t="str">
        <f t="shared" si="282"/>
        <v/>
      </c>
      <c r="CS94" s="157" t="str">
        <f t="shared" si="283"/>
        <v/>
      </c>
      <c r="CT94" s="192" t="str">
        <f t="shared" si="284"/>
        <v/>
      </c>
      <c r="CU94" s="153">
        <f t="shared" si="285"/>
        <v>0</v>
      </c>
      <c r="CV94" s="154">
        <f t="shared" si="286"/>
        <v>0</v>
      </c>
      <c r="CW94" s="154" t="str">
        <f t="shared" si="287"/>
        <v/>
      </c>
      <c r="CX94" s="154" t="str">
        <f t="shared" si="288"/>
        <v/>
      </c>
      <c r="CY94" s="154" t="str">
        <f t="shared" si="289"/>
        <v/>
      </c>
      <c r="CZ94" s="153" t="str">
        <f t="shared" si="290"/>
        <v/>
      </c>
      <c r="DA94" s="154" t="str">
        <f t="shared" si="291"/>
        <v/>
      </c>
      <c r="DB94" s="153" t="str">
        <f t="shared" si="292"/>
        <v/>
      </c>
      <c r="DC94" s="154">
        <f t="shared" si="293"/>
        <v>0</v>
      </c>
      <c r="DD94" s="826" t="str">
        <f>IF('Marks Entry'!AS94="","",IF(OR('Master Sheet'!$D$19="YES",'Marks Entry'!$BA$1=1),'Marks Entry'!AS94,""))</f>
        <v/>
      </c>
      <c r="DE94" s="826" t="str">
        <f>IF('Marks Entry'!AT94="","",IF(OR('Master Sheet'!$D$19="YES",'Marks Entry'!$BA$1=1),'Marks Entry'!AT94,""))</f>
        <v/>
      </c>
      <c r="DF94" s="826" t="str">
        <f>IF('Marks Entry'!AU94="","",IF(OR('Master Sheet'!$D$19="YES",'Marks Entry'!$BA$1=1),'Marks Entry'!AU94,""))</f>
        <v/>
      </c>
      <c r="DG94" s="826" t="str">
        <f>IF('Marks Entry'!AV94="","",IF(OR('Master Sheet'!$D$19="YES",'Marks Entry'!$BA$1=1),'Marks Entry'!AV94,""))</f>
        <v/>
      </c>
      <c r="DH94" s="827" t="str">
        <f t="shared" si="294"/>
        <v/>
      </c>
      <c r="DI94" s="826" t="str">
        <f>IF('Marks Entry'!AW94="","",IF(OR('Master Sheet'!$D$19="YES",'Marks Entry'!$BA$1=1),'Marks Entry'!AW94,""))</f>
        <v/>
      </c>
      <c r="DJ94" s="826" t="str">
        <f>IF('Marks Entry'!AX94="","",IF(OR('Master Sheet'!$D$19="YES",'Marks Entry'!$BA$1=1),'Marks Entry'!AX94,""))</f>
        <v/>
      </c>
      <c r="DK94" s="827" t="str">
        <f t="shared" si="295"/>
        <v/>
      </c>
      <c r="DL94" s="827" t="str">
        <f t="shared" si="296"/>
        <v/>
      </c>
      <c r="DM94" s="826" t="str">
        <f>IF('Marks Entry'!AY94="","",IF(OR('Master Sheet'!$D$19="YES",'Marks Entry'!$BA$1=1),'Marks Entry'!AY94,""))</f>
        <v/>
      </c>
      <c r="DN94" s="826" t="str">
        <f>IF('Marks Entry'!AZ94="","",IF(OR('Master Sheet'!$D$19="YES",'Marks Entry'!$BA$1=1),'Marks Entry'!AZ94,""))</f>
        <v/>
      </c>
      <c r="DO94" s="826" t="str">
        <f>IF('Marks Entry'!BA94="","",IF(OR('Master Sheet'!$D$19="YES",'Marks Entry'!$BA$1=1),'Marks Entry'!BA94,""))</f>
        <v/>
      </c>
      <c r="DP94" s="827" t="str">
        <f t="shared" si="297"/>
        <v/>
      </c>
      <c r="DQ94" s="157" t="str">
        <f t="shared" si="298"/>
        <v/>
      </c>
      <c r="DR94" s="157" t="str">
        <f t="shared" si="299"/>
        <v/>
      </c>
      <c r="DS94" s="157" t="str">
        <f t="shared" si="300"/>
        <v/>
      </c>
      <c r="DT94" s="192" t="str">
        <f t="shared" si="301"/>
        <v/>
      </c>
      <c r="DU94" s="153">
        <f t="shared" si="302"/>
        <v>0</v>
      </c>
      <c r="DV94" s="154" t="e">
        <f t="shared" si="303"/>
        <v>#VALUE!</v>
      </c>
      <c r="DW94" s="154" t="str">
        <f t="shared" si="304"/>
        <v/>
      </c>
      <c r="DX94" s="154" t="str">
        <f>IF(OR($B94="NSO",$B94=0,DS94=""),"",IF(AND(DJ94="",DO94=""),"",IF('Master Sheet'!$D$19="YES",$DO$6-COUNTIF(DO94,"ML")*DO$6,DS$6-(COUNTIF(DJ94,"ML")*DJ$6)-(COUNTIF(DO94,"ML")*DO$6))))</f>
        <v/>
      </c>
      <c r="DY94" s="154" t="str">
        <f>IF(OR($B94="NSO",$B94=0),"",IF(AND(DH94="",DI94="",DM94=""),"",IF(AND('Master Sheet'!$D$19="YES",'Marks Entry'!$BA$1=1),100,IF(AND(DJ94="",DO94=""),SUM(($DQ$7+$DR$7)-(DU94+DV94)),SUM(($DQ$6+$DR$6)-(DU94+DV94))))))</f>
        <v/>
      </c>
      <c r="DZ94" s="153" t="str">
        <f t="shared" si="305"/>
        <v/>
      </c>
      <c r="EA94" s="154" t="str">
        <f t="shared" si="306"/>
        <v/>
      </c>
      <c r="EB94" s="153" t="str">
        <f t="shared" si="307"/>
        <v/>
      </c>
      <c r="EC94" s="584" t="str">
        <f>IF('Marks Entry'!BB94="","",'Marks Entry'!BB94)</f>
        <v/>
      </c>
      <c r="ED94" s="584" t="str">
        <f>IF('Marks Entry'!BC94="","",'Marks Entry'!BC94)</f>
        <v/>
      </c>
      <c r="EE94" s="584" t="str">
        <f>IF('Marks Entry'!BD94="","",'Marks Entry'!BD94)</f>
        <v/>
      </c>
      <c r="EF94" s="590" t="str">
        <f t="shared" si="308"/>
        <v/>
      </c>
      <c r="EG94" s="595">
        <f t="shared" si="309"/>
        <v>0</v>
      </c>
      <c r="EH94" s="595">
        <f t="shared" si="310"/>
        <v>0</v>
      </c>
      <c r="EI94" s="193" t="str">
        <f t="shared" si="311"/>
        <v/>
      </c>
      <c r="EJ94" s="595" t="str">
        <f t="shared" si="312"/>
        <v/>
      </c>
      <c r="EK94" s="595" t="str">
        <f t="shared" si="313"/>
        <v/>
      </c>
      <c r="EL94" s="194" t="str">
        <f t="shared" si="314"/>
        <v/>
      </c>
      <c r="EM94" s="194" t="str">
        <f t="shared" si="315"/>
        <v/>
      </c>
      <c r="EN94" s="194" t="str">
        <f t="shared" si="316"/>
        <v/>
      </c>
      <c r="EO94" s="194" t="str">
        <f t="shared" si="317"/>
        <v/>
      </c>
      <c r="EP94" s="194" t="str">
        <f t="shared" si="318"/>
        <v/>
      </c>
      <c r="EQ94" s="194" t="str">
        <f t="shared" si="319"/>
        <v/>
      </c>
      <c r="ER94" s="195">
        <f t="shared" si="320"/>
        <v>0</v>
      </c>
      <c r="ES94" s="195">
        <f t="shared" si="321"/>
        <v>0</v>
      </c>
      <c r="ET94" s="195">
        <f t="shared" si="322"/>
        <v>0</v>
      </c>
      <c r="EU94" s="195">
        <f t="shared" si="323"/>
        <v>0</v>
      </c>
      <c r="EV94" s="195">
        <f t="shared" si="324"/>
        <v>0</v>
      </c>
      <c r="EW94" s="195" t="str">
        <f t="shared" si="325"/>
        <v/>
      </c>
      <c r="EX94" s="196" t="str">
        <f t="shared" si="326"/>
        <v/>
      </c>
      <c r="EY94" s="197" t="str">
        <f>IF('Marks Entry'!BE94="","",'Marks Entry'!BE94)</f>
        <v/>
      </c>
      <c r="EZ94" s="197" t="str">
        <f>IF('Marks Entry'!BF94="","",'Marks Entry'!BF94)</f>
        <v/>
      </c>
      <c r="FA94" s="197" t="str">
        <f>IF('Marks Entry'!BG94="","",'Marks Entry'!BG94)</f>
        <v/>
      </c>
      <c r="FB94" s="596" t="str">
        <f t="shared" si="327"/>
        <v/>
      </c>
      <c r="FC94" s="197" t="str">
        <f>IF('Marks Entry'!BH94="","",'Marks Entry'!BH94)</f>
        <v/>
      </c>
      <c r="FD94" s="197" t="str">
        <f>IF('Marks Entry'!BI94="","",'Marks Entry'!BI94)</f>
        <v/>
      </c>
      <c r="FE94" s="198" t="str">
        <f t="shared" si="328"/>
        <v/>
      </c>
      <c r="FF94" s="199" t="str">
        <f t="shared" si="329"/>
        <v/>
      </c>
      <c r="FG94" s="200" t="str">
        <f>IF(AND(E94=""),"",IF('Student DATA Entry'!L90="","",'Student DATA Entry'!L90))</f>
        <v/>
      </c>
      <c r="FH94" s="201" t="str">
        <f>IF(AND(E94=""),"",IF('Student DATA Entry'!M90="","",'Student DATA Entry'!M90))</f>
        <v/>
      </c>
      <c r="FI94" s="202" t="str">
        <f t="shared" si="330"/>
        <v/>
      </c>
      <c r="FJ94" s="189" t="str">
        <f t="shared" si="331"/>
        <v/>
      </c>
      <c r="FK94" s="189" t="str">
        <f t="shared" si="332"/>
        <v/>
      </c>
      <c r="FL94" s="203" t="str">
        <f t="shared" si="201"/>
        <v/>
      </c>
      <c r="FM94" s="189" t="str">
        <f t="shared" si="333"/>
        <v/>
      </c>
      <c r="FN94" s="204" t="str">
        <f t="shared" si="334"/>
        <v/>
      </c>
      <c r="FO94" s="203" t="str">
        <f t="shared" si="202"/>
        <v/>
      </c>
      <c r="FP94" s="205" t="str">
        <f t="shared" si="335"/>
        <v/>
      </c>
      <c r="FQ94" s="189" t="str">
        <f t="shared" si="203"/>
        <v/>
      </c>
      <c r="FR94" s="189" t="str">
        <f t="shared" si="204"/>
        <v/>
      </c>
      <c r="FS94" s="189" t="str">
        <f t="shared" si="205"/>
        <v/>
      </c>
      <c r="FT94" s="189" t="str">
        <f t="shared" si="206"/>
        <v/>
      </c>
      <c r="FU94" s="189" t="str">
        <f t="shared" si="336"/>
        <v/>
      </c>
      <c r="FV94" s="206" t="str">
        <f t="shared" si="207"/>
        <v/>
      </c>
      <c r="FW94" s="205" t="str">
        <f t="shared" si="337"/>
        <v/>
      </c>
      <c r="FX94" s="189" t="str">
        <f t="shared" si="208"/>
        <v/>
      </c>
      <c r="FY94" s="189" t="str">
        <f t="shared" si="209"/>
        <v/>
      </c>
      <c r="FZ94" s="189" t="str">
        <f t="shared" si="210"/>
        <v/>
      </c>
      <c r="GA94" s="189" t="str">
        <f t="shared" si="211"/>
        <v/>
      </c>
      <c r="GB94" s="189" t="str">
        <f t="shared" si="338"/>
        <v/>
      </c>
      <c r="GC94" s="206" t="str">
        <f t="shared" si="212"/>
        <v/>
      </c>
      <c r="GD94" s="205" t="str">
        <f t="shared" si="339"/>
        <v/>
      </c>
      <c r="GE94" s="189" t="str">
        <f t="shared" si="213"/>
        <v/>
      </c>
      <c r="GF94" s="189" t="str">
        <f t="shared" si="214"/>
        <v/>
      </c>
      <c r="GG94" s="189" t="str">
        <f t="shared" si="215"/>
        <v/>
      </c>
      <c r="GH94" s="189" t="str">
        <f t="shared" si="216"/>
        <v/>
      </c>
      <c r="GI94" s="189" t="str">
        <f t="shared" si="340"/>
        <v/>
      </c>
      <c r="GJ94" s="206" t="str">
        <f t="shared" si="217"/>
        <v/>
      </c>
      <c r="GK94" s="205" t="str">
        <f t="shared" si="341"/>
        <v/>
      </c>
      <c r="GL94" s="189" t="str">
        <f t="shared" si="218"/>
        <v/>
      </c>
      <c r="GM94" s="189" t="str">
        <f t="shared" si="219"/>
        <v/>
      </c>
      <c r="GN94" s="189" t="str">
        <f t="shared" si="220"/>
        <v/>
      </c>
      <c r="GO94" s="189" t="str">
        <f t="shared" si="221"/>
        <v/>
      </c>
      <c r="GP94" s="189" t="str">
        <f t="shared" si="342"/>
        <v/>
      </c>
      <c r="GQ94" s="206" t="str">
        <f t="shared" si="222"/>
        <v/>
      </c>
      <c r="GR94" s="189" t="str">
        <f t="shared" si="343"/>
        <v/>
      </c>
      <c r="GS94" s="189" t="str">
        <f t="shared" si="344"/>
        <v/>
      </c>
      <c r="GT94" s="207" t="str">
        <f t="shared" si="345"/>
        <v xml:space="preserve">    </v>
      </c>
      <c r="GU94" s="207" t="str">
        <f t="shared" si="346"/>
        <v xml:space="preserve">    </v>
      </c>
      <c r="GV94" s="207" t="str">
        <f t="shared" si="347"/>
        <v xml:space="preserve">    </v>
      </c>
      <c r="GW94" s="207" t="str">
        <f t="shared" si="348"/>
        <v xml:space="preserve">       </v>
      </c>
      <c r="GX94" s="598" t="str">
        <f t="shared" si="349"/>
        <v xml:space="preserve">     </v>
      </c>
      <c r="GY94" s="208" t="str">
        <f t="shared" si="223"/>
        <v/>
      </c>
      <c r="GZ94" s="606" t="str">
        <f>IF(AND(Q94="",AE94="",AZ94="",BW94="",CT94=""),"",IF(AND('Master Sheet'!$D$19="YES",'Marks Entry'!$BA$1=1),SUM(Q94,AE94,AZ94,BW94,DT94),SUM(Q94,AE94,AZ94,BW94,CT94)))</f>
        <v/>
      </c>
      <c r="HA94" s="209" t="str">
        <f>IF(GZ94="","",IF(AND('Master Sheet'!$D$19="YES",'Marks Entry'!$BA$1=1),GZ94/((900)-DC94)*100,GZ94/((1000)-DC94)*100))</f>
        <v/>
      </c>
      <c r="HB94" s="611" t="str">
        <f t="shared" si="350"/>
        <v/>
      </c>
      <c r="HC94" s="609" t="str">
        <f t="shared" si="351"/>
        <v/>
      </c>
      <c r="HD94" s="610" t="str">
        <f t="shared" si="352"/>
        <v/>
      </c>
      <c r="HE94" s="210" t="str">
        <f>IFERROR(IF(OR(GY94="SUPPLEMENTARY",GY94="RE-EXAM"),'Supp. Result Entry'!AS93,""),"")</f>
        <v/>
      </c>
      <c r="HF94" s="613" t="str">
        <f t="shared" si="353"/>
        <v/>
      </c>
      <c r="HG94" s="598" t="str">
        <f t="shared" si="354"/>
        <v/>
      </c>
      <c r="HH94" s="598" t="str">
        <f>IF(AND(HE94="",HF94="",HG94=""),"",IF(OR(GY94="SUPPLEMENTARY",GY94="RE-EXAM"),'Supp. Result Entry'!AS93,GY94))</f>
        <v/>
      </c>
      <c r="HI94" s="180"/>
      <c r="HY94" s="212" t="str">
        <f>IF('Supp. Result Entry'!U93="","",'Supp. Result Entry'!$U$6)</f>
        <v/>
      </c>
      <c r="HZ94" s="213" t="str">
        <f>IF('Supp. Result Entry'!X93="","",'Supp. Result Entry'!$X$6)</f>
        <v/>
      </c>
      <c r="IA94" s="213" t="str">
        <f>IF('Supp. Result Entry'!AA93="","",'Supp. Result Entry'!$AA$6)</f>
        <v/>
      </c>
      <c r="IB94" s="213" t="str">
        <f>IF('Supp. Result Entry'!AD93="","",'Supp. Result Entry'!$AD$6)</f>
        <v/>
      </c>
      <c r="IC94" s="213" t="str">
        <f>IF('Supp. Result Entry'!AG93="","",'Supp. Result Entry'!$AG$6)</f>
        <v/>
      </c>
      <c r="ID94" s="213" t="str">
        <f>IF('Supp. Result Entry'!AJ93="","",'Supp. Result Entry'!$AJ$6)</f>
        <v/>
      </c>
      <c r="IE94" s="213" t="str">
        <f>IF('Supp. Result Entry'!V93="","",'Supp. Result Entry'!V93)</f>
        <v/>
      </c>
      <c r="IF94" s="213" t="str">
        <f>IF('Supp. Result Entry'!Y93="","",'Supp. Result Entry'!Y93)</f>
        <v/>
      </c>
      <c r="IG94" s="213" t="str">
        <f>IF('Supp. Result Entry'!AB93="","",'Supp. Result Entry'!AB93)</f>
        <v/>
      </c>
      <c r="IH94" s="213" t="str">
        <f>IF('Supp. Result Entry'!AE93="","",'Supp. Result Entry'!AE93)</f>
        <v/>
      </c>
      <c r="II94" s="213" t="str">
        <f>IF('Supp. Result Entry'!AH93="","",'Supp. Result Entry'!AH93)</f>
        <v/>
      </c>
      <c r="IJ94" s="213" t="str">
        <f>IF('Supp. Result Entry'!AK93="","",'Supp. Result Entry'!AK93)</f>
        <v/>
      </c>
      <c r="IK94" s="213" t="str">
        <f>IF('Supp. Result Entry'!W93="","",'Supp. Result Entry'!W93)</f>
        <v/>
      </c>
      <c r="IL94" s="213" t="str">
        <f>IF('Supp. Result Entry'!Z93="","",'Supp. Result Entry'!Z93)</f>
        <v/>
      </c>
      <c r="IM94" s="213" t="str">
        <f>IF('Supp. Result Entry'!AC93="","",'Supp. Result Entry'!AC93)</f>
        <v/>
      </c>
      <c r="IN94" s="213" t="str">
        <f>IF('Supp. Result Entry'!AF93="","",'Supp. Result Entry'!AF93)</f>
        <v/>
      </c>
      <c r="IO94" s="213" t="str">
        <f>IF('Supp. Result Entry'!AI93="","",'Supp. Result Entry'!AI93)</f>
        <v/>
      </c>
      <c r="IP94" s="213" t="str">
        <f>IF('Supp. Result Entry'!AL93="","",'Supp. Result Entry'!AL93)</f>
        <v/>
      </c>
      <c r="IQ94" s="213">
        <f>COUNTIF('Supp. Result Entry'!K93:Q93,"S")</f>
        <v>0</v>
      </c>
      <c r="IR94" s="213">
        <f t="shared" si="355"/>
        <v>0</v>
      </c>
      <c r="IS94" s="213">
        <f t="shared" si="356"/>
        <v>0</v>
      </c>
      <c r="IT94" s="213" t="str">
        <f t="shared" si="224"/>
        <v/>
      </c>
      <c r="IU94" s="213" t="str">
        <f t="shared" si="225"/>
        <v/>
      </c>
      <c r="IV94" s="213" t="str">
        <f t="shared" si="226"/>
        <v/>
      </c>
      <c r="IW94" s="213" t="str">
        <f t="shared" si="227"/>
        <v/>
      </c>
      <c r="IX94" s="213" t="str">
        <f t="shared" si="228"/>
        <v/>
      </c>
      <c r="IY94" s="213" t="str">
        <f t="shared" si="357"/>
        <v/>
      </c>
      <c r="IZ94" s="213" t="str">
        <f t="shared" si="358"/>
        <v/>
      </c>
      <c r="JA94" s="213" t="str">
        <f t="shared" si="229"/>
        <v/>
      </c>
      <c r="JB94" s="211" t="str">
        <f t="shared" si="359"/>
        <v/>
      </c>
    </row>
    <row r="95" spans="1:262" s="211" customFormat="1" ht="21" customHeight="1">
      <c r="A95" s="184">
        <v>88</v>
      </c>
      <c r="B95" s="185" t="str">
        <f>IF('Marks Entry'!B95="","",'Marks Entry'!B95)</f>
        <v/>
      </c>
      <c r="C95" s="186" t="str">
        <f>IF('Marks Entry'!D95="","",'Marks Entry'!D95)</f>
        <v/>
      </c>
      <c r="D95" s="187" t="str">
        <f>IF('Marks Entry'!E95="","",'Marks Entry'!E95)</f>
        <v/>
      </c>
      <c r="E95" s="188" t="str">
        <f>IF('Marks Entry'!F95="","",'Marks Entry'!F95)</f>
        <v/>
      </c>
      <c r="F95" s="188" t="str">
        <f>IF('Marks Entry'!G95="","",'Marks Entry'!G95)</f>
        <v/>
      </c>
      <c r="G95" s="188" t="str">
        <f>IF('Marks Entry'!H95="","",'Marks Entry'!H95)</f>
        <v/>
      </c>
      <c r="H95" s="189" t="str">
        <f>IF('Marks Entry'!I95="","",'Marks Entry'!I95)</f>
        <v/>
      </c>
      <c r="I95" s="190" t="str">
        <f>IF('Marks Entry'!J95="","",'Marks Entry'!J95)</f>
        <v/>
      </c>
      <c r="J95" s="545" t="str">
        <f>IF('Marks Entry'!K95="","",'Marks Entry'!K95)</f>
        <v/>
      </c>
      <c r="K95" s="545" t="str">
        <f>IF('Marks Entry'!L95="","",'Marks Entry'!L95)</f>
        <v/>
      </c>
      <c r="L95" s="545" t="str">
        <f>IF('Marks Entry'!M95="","",'Marks Entry'!M95)</f>
        <v/>
      </c>
      <c r="M95" s="546" t="str">
        <f t="shared" si="230"/>
        <v/>
      </c>
      <c r="N95" s="545" t="str">
        <f>IF('Marks Entry'!N95="","",'Marks Entry'!N95)</f>
        <v/>
      </c>
      <c r="O95" s="546" t="str">
        <f t="shared" si="231"/>
        <v/>
      </c>
      <c r="P95" s="545" t="str">
        <f>IF('Marks Entry'!O95="","",'Marks Entry'!O95)</f>
        <v/>
      </c>
      <c r="Q95" s="547" t="str">
        <f t="shared" si="232"/>
        <v/>
      </c>
      <c r="R95" s="153">
        <f t="shared" si="233"/>
        <v>0</v>
      </c>
      <c r="S95" s="153">
        <f t="shared" si="234"/>
        <v>0</v>
      </c>
      <c r="T95" s="154" t="str">
        <f t="shared" si="235"/>
        <v/>
      </c>
      <c r="U95" s="153" t="str">
        <f t="shared" si="236"/>
        <v/>
      </c>
      <c r="V95" s="153" t="str">
        <f t="shared" si="237"/>
        <v/>
      </c>
      <c r="W95" s="153" t="str">
        <f t="shared" si="238"/>
        <v/>
      </c>
      <c r="X95" s="545" t="str">
        <f>IF('Marks Entry'!P95="","",'Marks Entry'!P95)</f>
        <v/>
      </c>
      <c r="Y95" s="545" t="str">
        <f>IF('Marks Entry'!Q95="","",'Marks Entry'!Q95)</f>
        <v/>
      </c>
      <c r="Z95" s="545" t="str">
        <f>IF('Marks Entry'!R95="","",'Marks Entry'!R95)</f>
        <v/>
      </c>
      <c r="AA95" s="546" t="str">
        <f t="shared" si="239"/>
        <v/>
      </c>
      <c r="AB95" s="545" t="str">
        <f>IF('Marks Entry'!S95="","",'Marks Entry'!S95)</f>
        <v/>
      </c>
      <c r="AC95" s="546" t="str">
        <f t="shared" si="240"/>
        <v/>
      </c>
      <c r="AD95" s="545" t="str">
        <f>IF('Marks Entry'!T95="","",'Marks Entry'!T95)</f>
        <v/>
      </c>
      <c r="AE95" s="547" t="str">
        <f t="shared" si="241"/>
        <v/>
      </c>
      <c r="AF95" s="153">
        <f t="shared" si="242"/>
        <v>0</v>
      </c>
      <c r="AG95" s="153">
        <f t="shared" si="243"/>
        <v>0</v>
      </c>
      <c r="AH95" s="154" t="str">
        <f t="shared" si="244"/>
        <v/>
      </c>
      <c r="AI95" s="153" t="str">
        <f t="shared" si="245"/>
        <v/>
      </c>
      <c r="AJ95" s="153" t="str">
        <f t="shared" si="246"/>
        <v/>
      </c>
      <c r="AK95" s="153" t="str">
        <f t="shared" si="247"/>
        <v/>
      </c>
      <c r="AL95" s="573" t="str">
        <f>IF('Marks Entry'!U95="","",'Marks Entry'!U95)</f>
        <v/>
      </c>
      <c r="AM95" s="573" t="str">
        <f>IF('Marks Entry'!V95="","",'Marks Entry'!V95)</f>
        <v/>
      </c>
      <c r="AN95" s="573" t="str">
        <f>IF('Marks Entry'!W95="","",'Marks Entry'!W95)</f>
        <v/>
      </c>
      <c r="AO95" s="573" t="str">
        <f>IF('Marks Entry'!X95="","",'Marks Entry'!X95)</f>
        <v/>
      </c>
      <c r="AP95" s="572" t="str">
        <f t="shared" si="248"/>
        <v/>
      </c>
      <c r="AQ95" s="573" t="str">
        <f>IF('Marks Entry'!Y95="","",'Marks Entry'!Y95)</f>
        <v/>
      </c>
      <c r="AR95" s="573" t="str">
        <f>IF('Marks Entry'!Z95="","",'Marks Entry'!Z95)</f>
        <v/>
      </c>
      <c r="AS95" s="572" t="str">
        <f t="shared" si="249"/>
        <v/>
      </c>
      <c r="AT95" s="572" t="str">
        <f t="shared" si="250"/>
        <v/>
      </c>
      <c r="AU95" s="573" t="str">
        <f>IF('Marks Entry'!AA95="","",'Marks Entry'!AA95)</f>
        <v/>
      </c>
      <c r="AV95" s="573" t="str">
        <f>IF('Marks Entry'!AB95="","",'Marks Entry'!AB95)</f>
        <v/>
      </c>
      <c r="AW95" s="572" t="str">
        <f t="shared" si="251"/>
        <v/>
      </c>
      <c r="AX95" s="157" t="str">
        <f t="shared" si="252"/>
        <v/>
      </c>
      <c r="AY95" s="157" t="str">
        <f t="shared" si="253"/>
        <v/>
      </c>
      <c r="AZ95" s="192" t="str">
        <f t="shared" si="254"/>
        <v/>
      </c>
      <c r="BA95" s="153">
        <f t="shared" si="255"/>
        <v>0</v>
      </c>
      <c r="BB95" s="154">
        <f t="shared" si="256"/>
        <v>0</v>
      </c>
      <c r="BC95" s="154" t="str">
        <f t="shared" si="257"/>
        <v/>
      </c>
      <c r="BD95" s="154" t="str">
        <f t="shared" si="258"/>
        <v/>
      </c>
      <c r="BE95" s="154" t="str">
        <f t="shared" si="259"/>
        <v/>
      </c>
      <c r="BF95" s="153" t="str">
        <f t="shared" si="260"/>
        <v/>
      </c>
      <c r="BG95" s="154" t="str">
        <f t="shared" si="261"/>
        <v/>
      </c>
      <c r="BH95" s="153" t="str">
        <f t="shared" si="262"/>
        <v/>
      </c>
      <c r="BI95" s="580" t="str">
        <f>IF('Marks Entry'!AC95="","",'Marks Entry'!AC95)</f>
        <v/>
      </c>
      <c r="BJ95" s="580" t="str">
        <f>IF('Marks Entry'!AD95="","",'Marks Entry'!AD95)</f>
        <v/>
      </c>
      <c r="BK95" s="580" t="str">
        <f>IF('Marks Entry'!AE95="","",'Marks Entry'!AE95)</f>
        <v/>
      </c>
      <c r="BL95" s="580" t="str">
        <f>IF('Marks Entry'!AF95="","",'Marks Entry'!AF95)</f>
        <v/>
      </c>
      <c r="BM95" s="581" t="str">
        <f t="shared" si="263"/>
        <v/>
      </c>
      <c r="BN95" s="580" t="str">
        <f>IF('Marks Entry'!AG95="","",'Marks Entry'!AG95)</f>
        <v/>
      </c>
      <c r="BO95" s="580" t="str">
        <f>IF('Marks Entry'!AH95="","",'Marks Entry'!AH95)</f>
        <v/>
      </c>
      <c r="BP95" s="581" t="str">
        <f t="shared" si="264"/>
        <v/>
      </c>
      <c r="BQ95" s="581" t="str">
        <f t="shared" si="265"/>
        <v/>
      </c>
      <c r="BR95" s="580" t="str">
        <f>IF('Marks Entry'!AI95="","",'Marks Entry'!AI95)</f>
        <v/>
      </c>
      <c r="BS95" s="580" t="str">
        <f>IF('Marks Entry'!AJ95="","",'Marks Entry'!AJ95)</f>
        <v/>
      </c>
      <c r="BT95" s="581" t="str">
        <f t="shared" si="266"/>
        <v/>
      </c>
      <c r="BU95" s="157" t="str">
        <f t="shared" si="267"/>
        <v/>
      </c>
      <c r="BV95" s="157" t="str">
        <f t="shared" si="268"/>
        <v/>
      </c>
      <c r="BW95" s="192" t="str">
        <f t="shared" si="269"/>
        <v/>
      </c>
      <c r="BX95" s="153">
        <f t="shared" si="270"/>
        <v>0</v>
      </c>
      <c r="BY95" s="154">
        <f t="shared" si="271"/>
        <v>0</v>
      </c>
      <c r="BZ95" s="154" t="str">
        <f t="shared" si="272"/>
        <v/>
      </c>
      <c r="CA95" s="154" t="str">
        <f t="shared" si="273"/>
        <v/>
      </c>
      <c r="CB95" s="154" t="str">
        <f t="shared" si="274"/>
        <v/>
      </c>
      <c r="CC95" s="153" t="str">
        <f t="shared" si="275"/>
        <v/>
      </c>
      <c r="CD95" s="154" t="str">
        <f t="shared" si="276"/>
        <v/>
      </c>
      <c r="CE95" s="153" t="str">
        <f t="shared" si="277"/>
        <v/>
      </c>
      <c r="CF95" s="580" t="str">
        <f>IF('Marks Entry'!AK95="","",'Marks Entry'!AK95)</f>
        <v/>
      </c>
      <c r="CG95" s="580" t="str">
        <f>IF('Marks Entry'!AL95="","",'Marks Entry'!AL95)</f>
        <v/>
      </c>
      <c r="CH95" s="580" t="str">
        <f>IF('Marks Entry'!AM95="","",'Marks Entry'!AM95)</f>
        <v/>
      </c>
      <c r="CI95" s="580" t="str">
        <f>IF('Marks Entry'!AN95="","",'Marks Entry'!AN95)</f>
        <v/>
      </c>
      <c r="CJ95" s="581" t="str">
        <f t="shared" si="278"/>
        <v/>
      </c>
      <c r="CK95" s="580" t="str">
        <f>IF('Marks Entry'!AO95="","",'Marks Entry'!AO95)</f>
        <v/>
      </c>
      <c r="CL95" s="580" t="str">
        <f>IF('Marks Entry'!AP95="","",'Marks Entry'!AP95)</f>
        <v/>
      </c>
      <c r="CM95" s="581" t="str">
        <f t="shared" si="279"/>
        <v/>
      </c>
      <c r="CN95" s="581" t="str">
        <f t="shared" si="280"/>
        <v/>
      </c>
      <c r="CO95" s="580" t="str">
        <f>IF('Marks Entry'!AQ95="","",'Marks Entry'!AQ95)</f>
        <v/>
      </c>
      <c r="CP95" s="580" t="str">
        <f>IF('Marks Entry'!AR95="","",'Marks Entry'!AR95)</f>
        <v/>
      </c>
      <c r="CQ95" s="581" t="str">
        <f t="shared" si="281"/>
        <v/>
      </c>
      <c r="CR95" s="157" t="str">
        <f t="shared" si="282"/>
        <v/>
      </c>
      <c r="CS95" s="157" t="str">
        <f t="shared" si="283"/>
        <v/>
      </c>
      <c r="CT95" s="192" t="str">
        <f t="shared" si="284"/>
        <v/>
      </c>
      <c r="CU95" s="153">
        <f t="shared" si="285"/>
        <v>0</v>
      </c>
      <c r="CV95" s="154">
        <f t="shared" si="286"/>
        <v>0</v>
      </c>
      <c r="CW95" s="154" t="str">
        <f t="shared" si="287"/>
        <v/>
      </c>
      <c r="CX95" s="154" t="str">
        <f t="shared" si="288"/>
        <v/>
      </c>
      <c r="CY95" s="154" t="str">
        <f t="shared" si="289"/>
        <v/>
      </c>
      <c r="CZ95" s="153" t="str">
        <f t="shared" si="290"/>
        <v/>
      </c>
      <c r="DA95" s="154" t="str">
        <f t="shared" si="291"/>
        <v/>
      </c>
      <c r="DB95" s="153" t="str">
        <f t="shared" si="292"/>
        <v/>
      </c>
      <c r="DC95" s="154">
        <f t="shared" si="293"/>
        <v>0</v>
      </c>
      <c r="DD95" s="826" t="str">
        <f>IF('Marks Entry'!AS95="","",IF(OR('Master Sheet'!$D$19="YES",'Marks Entry'!$BA$1=1),'Marks Entry'!AS95,""))</f>
        <v/>
      </c>
      <c r="DE95" s="826" t="str">
        <f>IF('Marks Entry'!AT95="","",IF(OR('Master Sheet'!$D$19="YES",'Marks Entry'!$BA$1=1),'Marks Entry'!AT95,""))</f>
        <v/>
      </c>
      <c r="DF95" s="826" t="str">
        <f>IF('Marks Entry'!AU95="","",IF(OR('Master Sheet'!$D$19="YES",'Marks Entry'!$BA$1=1),'Marks Entry'!AU95,""))</f>
        <v/>
      </c>
      <c r="DG95" s="826" t="str">
        <f>IF('Marks Entry'!AV95="","",IF(OR('Master Sheet'!$D$19="YES",'Marks Entry'!$BA$1=1),'Marks Entry'!AV95,""))</f>
        <v/>
      </c>
      <c r="DH95" s="827" t="str">
        <f t="shared" si="294"/>
        <v/>
      </c>
      <c r="DI95" s="826" t="str">
        <f>IF('Marks Entry'!AW95="","",IF(OR('Master Sheet'!$D$19="YES",'Marks Entry'!$BA$1=1),'Marks Entry'!AW95,""))</f>
        <v/>
      </c>
      <c r="DJ95" s="826" t="str">
        <f>IF('Marks Entry'!AX95="","",IF(OR('Master Sheet'!$D$19="YES",'Marks Entry'!$BA$1=1),'Marks Entry'!AX95,""))</f>
        <v/>
      </c>
      <c r="DK95" s="827" t="str">
        <f t="shared" si="295"/>
        <v/>
      </c>
      <c r="DL95" s="827" t="str">
        <f t="shared" si="296"/>
        <v/>
      </c>
      <c r="DM95" s="826" t="str">
        <f>IF('Marks Entry'!AY95="","",IF(OR('Master Sheet'!$D$19="YES",'Marks Entry'!$BA$1=1),'Marks Entry'!AY95,""))</f>
        <v/>
      </c>
      <c r="DN95" s="826" t="str">
        <f>IF('Marks Entry'!AZ95="","",IF(OR('Master Sheet'!$D$19="YES",'Marks Entry'!$BA$1=1),'Marks Entry'!AZ95,""))</f>
        <v/>
      </c>
      <c r="DO95" s="826" t="str">
        <f>IF('Marks Entry'!BA95="","",IF(OR('Master Sheet'!$D$19="YES",'Marks Entry'!$BA$1=1),'Marks Entry'!BA95,""))</f>
        <v/>
      </c>
      <c r="DP95" s="827" t="str">
        <f t="shared" si="297"/>
        <v/>
      </c>
      <c r="DQ95" s="157" t="str">
        <f t="shared" si="298"/>
        <v/>
      </c>
      <c r="DR95" s="157" t="str">
        <f t="shared" si="299"/>
        <v/>
      </c>
      <c r="DS95" s="157" t="str">
        <f t="shared" si="300"/>
        <v/>
      </c>
      <c r="DT95" s="192" t="str">
        <f t="shared" si="301"/>
        <v/>
      </c>
      <c r="DU95" s="153">
        <f t="shared" si="302"/>
        <v>0</v>
      </c>
      <c r="DV95" s="154" t="e">
        <f t="shared" si="303"/>
        <v>#VALUE!</v>
      </c>
      <c r="DW95" s="154" t="str">
        <f t="shared" si="304"/>
        <v/>
      </c>
      <c r="DX95" s="154" t="str">
        <f>IF(OR($B95="NSO",$B95=0,DS95=""),"",IF(AND(DJ95="",DO95=""),"",IF('Master Sheet'!$D$19="YES",$DO$6-COUNTIF(DO95,"ML")*DO$6,DS$6-(COUNTIF(DJ95,"ML")*DJ$6)-(COUNTIF(DO95,"ML")*DO$6))))</f>
        <v/>
      </c>
      <c r="DY95" s="154" t="str">
        <f>IF(OR($B95="NSO",$B95=0),"",IF(AND(DH95="",DI95="",DM95=""),"",IF(AND('Master Sheet'!$D$19="YES",'Marks Entry'!$BA$1=1),100,IF(AND(DJ95="",DO95=""),SUM(($DQ$7+$DR$7)-(DU95+DV95)),SUM(($DQ$6+$DR$6)-(DU95+DV95))))))</f>
        <v/>
      </c>
      <c r="DZ95" s="153" t="str">
        <f t="shared" si="305"/>
        <v/>
      </c>
      <c r="EA95" s="154" t="str">
        <f t="shared" si="306"/>
        <v/>
      </c>
      <c r="EB95" s="153" t="str">
        <f t="shared" si="307"/>
        <v/>
      </c>
      <c r="EC95" s="584" t="str">
        <f>IF('Marks Entry'!BB95="","",'Marks Entry'!BB95)</f>
        <v/>
      </c>
      <c r="ED95" s="584" t="str">
        <f>IF('Marks Entry'!BC95="","",'Marks Entry'!BC95)</f>
        <v/>
      </c>
      <c r="EE95" s="584" t="str">
        <f>IF('Marks Entry'!BD95="","",'Marks Entry'!BD95)</f>
        <v/>
      </c>
      <c r="EF95" s="590" t="str">
        <f t="shared" si="308"/>
        <v/>
      </c>
      <c r="EG95" s="595">
        <f t="shared" si="309"/>
        <v>0</v>
      </c>
      <c r="EH95" s="595">
        <f t="shared" si="310"/>
        <v>0</v>
      </c>
      <c r="EI95" s="193" t="str">
        <f t="shared" si="311"/>
        <v/>
      </c>
      <c r="EJ95" s="595" t="str">
        <f t="shared" si="312"/>
        <v/>
      </c>
      <c r="EK95" s="595" t="str">
        <f t="shared" si="313"/>
        <v/>
      </c>
      <c r="EL95" s="194" t="str">
        <f t="shared" si="314"/>
        <v/>
      </c>
      <c r="EM95" s="194" t="str">
        <f t="shared" si="315"/>
        <v/>
      </c>
      <c r="EN95" s="194" t="str">
        <f t="shared" si="316"/>
        <v/>
      </c>
      <c r="EO95" s="194" t="str">
        <f t="shared" si="317"/>
        <v/>
      </c>
      <c r="EP95" s="194" t="str">
        <f t="shared" si="318"/>
        <v/>
      </c>
      <c r="EQ95" s="194" t="str">
        <f t="shared" si="319"/>
        <v/>
      </c>
      <c r="ER95" s="195">
        <f t="shared" si="320"/>
        <v>0</v>
      </c>
      <c r="ES95" s="195">
        <f t="shared" si="321"/>
        <v>0</v>
      </c>
      <c r="ET95" s="195">
        <f t="shared" si="322"/>
        <v>0</v>
      </c>
      <c r="EU95" s="195">
        <f t="shared" si="323"/>
        <v>0</v>
      </c>
      <c r="EV95" s="195">
        <f t="shared" si="324"/>
        <v>0</v>
      </c>
      <c r="EW95" s="195" t="str">
        <f t="shared" si="325"/>
        <v/>
      </c>
      <c r="EX95" s="196" t="str">
        <f t="shared" si="326"/>
        <v/>
      </c>
      <c r="EY95" s="197" t="str">
        <f>IF('Marks Entry'!BE95="","",'Marks Entry'!BE95)</f>
        <v/>
      </c>
      <c r="EZ95" s="197" t="str">
        <f>IF('Marks Entry'!BF95="","",'Marks Entry'!BF95)</f>
        <v/>
      </c>
      <c r="FA95" s="197" t="str">
        <f>IF('Marks Entry'!BG95="","",'Marks Entry'!BG95)</f>
        <v/>
      </c>
      <c r="FB95" s="596" t="str">
        <f t="shared" si="327"/>
        <v/>
      </c>
      <c r="FC95" s="197" t="str">
        <f>IF('Marks Entry'!BH95="","",'Marks Entry'!BH95)</f>
        <v/>
      </c>
      <c r="FD95" s="197" t="str">
        <f>IF('Marks Entry'!BI95="","",'Marks Entry'!BI95)</f>
        <v/>
      </c>
      <c r="FE95" s="198" t="str">
        <f t="shared" si="328"/>
        <v/>
      </c>
      <c r="FF95" s="199" t="str">
        <f t="shared" si="329"/>
        <v/>
      </c>
      <c r="FG95" s="200" t="str">
        <f>IF(AND(E95=""),"",IF('Student DATA Entry'!L91="","",'Student DATA Entry'!L91))</f>
        <v/>
      </c>
      <c r="FH95" s="201" t="str">
        <f>IF(AND(E95=""),"",IF('Student DATA Entry'!M91="","",'Student DATA Entry'!M91))</f>
        <v/>
      </c>
      <c r="FI95" s="202" t="str">
        <f t="shared" si="330"/>
        <v/>
      </c>
      <c r="FJ95" s="189" t="str">
        <f t="shared" si="331"/>
        <v/>
      </c>
      <c r="FK95" s="189" t="str">
        <f t="shared" si="332"/>
        <v/>
      </c>
      <c r="FL95" s="203" t="str">
        <f t="shared" si="201"/>
        <v/>
      </c>
      <c r="FM95" s="189" t="str">
        <f t="shared" si="333"/>
        <v/>
      </c>
      <c r="FN95" s="204" t="str">
        <f t="shared" si="334"/>
        <v/>
      </c>
      <c r="FO95" s="203" t="str">
        <f t="shared" si="202"/>
        <v/>
      </c>
      <c r="FP95" s="205" t="str">
        <f t="shared" si="335"/>
        <v/>
      </c>
      <c r="FQ95" s="189" t="str">
        <f t="shared" si="203"/>
        <v/>
      </c>
      <c r="FR95" s="189" t="str">
        <f t="shared" si="204"/>
        <v/>
      </c>
      <c r="FS95" s="189" t="str">
        <f t="shared" si="205"/>
        <v/>
      </c>
      <c r="FT95" s="189" t="str">
        <f t="shared" si="206"/>
        <v/>
      </c>
      <c r="FU95" s="189" t="str">
        <f t="shared" si="336"/>
        <v/>
      </c>
      <c r="FV95" s="206" t="str">
        <f t="shared" si="207"/>
        <v/>
      </c>
      <c r="FW95" s="205" t="str">
        <f t="shared" si="337"/>
        <v/>
      </c>
      <c r="FX95" s="189" t="str">
        <f t="shared" si="208"/>
        <v/>
      </c>
      <c r="FY95" s="189" t="str">
        <f t="shared" si="209"/>
        <v/>
      </c>
      <c r="FZ95" s="189" t="str">
        <f t="shared" si="210"/>
        <v/>
      </c>
      <c r="GA95" s="189" t="str">
        <f t="shared" si="211"/>
        <v/>
      </c>
      <c r="GB95" s="189" t="str">
        <f t="shared" si="338"/>
        <v/>
      </c>
      <c r="GC95" s="206" t="str">
        <f t="shared" si="212"/>
        <v/>
      </c>
      <c r="GD95" s="205" t="str">
        <f t="shared" si="339"/>
        <v/>
      </c>
      <c r="GE95" s="189" t="str">
        <f t="shared" si="213"/>
        <v/>
      </c>
      <c r="GF95" s="189" t="str">
        <f t="shared" si="214"/>
        <v/>
      </c>
      <c r="GG95" s="189" t="str">
        <f t="shared" si="215"/>
        <v/>
      </c>
      <c r="GH95" s="189" t="str">
        <f t="shared" si="216"/>
        <v/>
      </c>
      <c r="GI95" s="189" t="str">
        <f t="shared" si="340"/>
        <v/>
      </c>
      <c r="GJ95" s="206" t="str">
        <f t="shared" si="217"/>
        <v/>
      </c>
      <c r="GK95" s="205" t="str">
        <f t="shared" si="341"/>
        <v/>
      </c>
      <c r="GL95" s="189" t="str">
        <f t="shared" si="218"/>
        <v/>
      </c>
      <c r="GM95" s="189" t="str">
        <f t="shared" si="219"/>
        <v/>
      </c>
      <c r="GN95" s="189" t="str">
        <f t="shared" si="220"/>
        <v/>
      </c>
      <c r="GO95" s="189" t="str">
        <f t="shared" si="221"/>
        <v/>
      </c>
      <c r="GP95" s="189" t="str">
        <f t="shared" si="342"/>
        <v/>
      </c>
      <c r="GQ95" s="206" t="str">
        <f t="shared" si="222"/>
        <v/>
      </c>
      <c r="GR95" s="189" t="str">
        <f t="shared" si="343"/>
        <v/>
      </c>
      <c r="GS95" s="189" t="str">
        <f t="shared" si="344"/>
        <v/>
      </c>
      <c r="GT95" s="207" t="str">
        <f t="shared" si="345"/>
        <v xml:space="preserve">    </v>
      </c>
      <c r="GU95" s="207" t="str">
        <f t="shared" si="346"/>
        <v xml:space="preserve">    </v>
      </c>
      <c r="GV95" s="207" t="str">
        <f t="shared" si="347"/>
        <v xml:space="preserve">    </v>
      </c>
      <c r="GW95" s="207" t="str">
        <f t="shared" si="348"/>
        <v xml:space="preserve">       </v>
      </c>
      <c r="GX95" s="598" t="str">
        <f t="shared" si="349"/>
        <v xml:space="preserve">     </v>
      </c>
      <c r="GY95" s="208" t="str">
        <f t="shared" si="223"/>
        <v/>
      </c>
      <c r="GZ95" s="606" t="str">
        <f>IF(AND(Q95="",AE95="",AZ95="",BW95="",CT95=""),"",IF(AND('Master Sheet'!$D$19="YES",'Marks Entry'!$BA$1=1),SUM(Q95,AE95,AZ95,BW95,DT95),SUM(Q95,AE95,AZ95,BW95,CT95)))</f>
        <v/>
      </c>
      <c r="HA95" s="209" t="str">
        <f>IF(GZ95="","",IF(AND('Master Sheet'!$D$19="YES",'Marks Entry'!$BA$1=1),GZ95/((900)-DC95)*100,GZ95/((1000)-DC95)*100))</f>
        <v/>
      </c>
      <c r="HB95" s="611" t="str">
        <f t="shared" si="350"/>
        <v/>
      </c>
      <c r="HC95" s="609" t="str">
        <f t="shared" si="351"/>
        <v/>
      </c>
      <c r="HD95" s="610" t="str">
        <f t="shared" si="352"/>
        <v/>
      </c>
      <c r="HE95" s="210" t="str">
        <f>IFERROR(IF(OR(GY95="SUPPLEMENTARY",GY95="RE-EXAM"),'Supp. Result Entry'!AS94,""),"")</f>
        <v/>
      </c>
      <c r="HF95" s="613" t="str">
        <f t="shared" si="353"/>
        <v/>
      </c>
      <c r="HG95" s="598" t="str">
        <f t="shared" si="354"/>
        <v/>
      </c>
      <c r="HH95" s="598" t="str">
        <f>IF(AND(HE95="",HF95="",HG95=""),"",IF(OR(GY95="SUPPLEMENTARY",GY95="RE-EXAM"),'Supp. Result Entry'!AS94,GY95))</f>
        <v/>
      </c>
      <c r="HI95" s="180"/>
      <c r="HY95" s="212" t="str">
        <f>IF('Supp. Result Entry'!U94="","",'Supp. Result Entry'!$U$6)</f>
        <v/>
      </c>
      <c r="HZ95" s="213" t="str">
        <f>IF('Supp. Result Entry'!X94="","",'Supp. Result Entry'!$X$6)</f>
        <v/>
      </c>
      <c r="IA95" s="213" t="str">
        <f>IF('Supp. Result Entry'!AA94="","",'Supp. Result Entry'!$AA$6)</f>
        <v/>
      </c>
      <c r="IB95" s="213" t="str">
        <f>IF('Supp. Result Entry'!AD94="","",'Supp. Result Entry'!$AD$6)</f>
        <v/>
      </c>
      <c r="IC95" s="213" t="str">
        <f>IF('Supp. Result Entry'!AG94="","",'Supp. Result Entry'!$AG$6)</f>
        <v/>
      </c>
      <c r="ID95" s="213" t="str">
        <f>IF('Supp. Result Entry'!AJ94="","",'Supp. Result Entry'!$AJ$6)</f>
        <v/>
      </c>
      <c r="IE95" s="213" t="str">
        <f>IF('Supp. Result Entry'!V94="","",'Supp. Result Entry'!V94)</f>
        <v/>
      </c>
      <c r="IF95" s="213" t="str">
        <f>IF('Supp. Result Entry'!Y94="","",'Supp. Result Entry'!Y94)</f>
        <v/>
      </c>
      <c r="IG95" s="213" t="str">
        <f>IF('Supp. Result Entry'!AB94="","",'Supp. Result Entry'!AB94)</f>
        <v/>
      </c>
      <c r="IH95" s="213" t="str">
        <f>IF('Supp. Result Entry'!AE94="","",'Supp. Result Entry'!AE94)</f>
        <v/>
      </c>
      <c r="II95" s="213" t="str">
        <f>IF('Supp. Result Entry'!AH94="","",'Supp. Result Entry'!AH94)</f>
        <v/>
      </c>
      <c r="IJ95" s="213" t="str">
        <f>IF('Supp. Result Entry'!AK94="","",'Supp. Result Entry'!AK94)</f>
        <v/>
      </c>
      <c r="IK95" s="213" t="str">
        <f>IF('Supp. Result Entry'!W94="","",'Supp. Result Entry'!W94)</f>
        <v/>
      </c>
      <c r="IL95" s="213" t="str">
        <f>IF('Supp. Result Entry'!Z94="","",'Supp. Result Entry'!Z94)</f>
        <v/>
      </c>
      <c r="IM95" s="213" t="str">
        <f>IF('Supp. Result Entry'!AC94="","",'Supp. Result Entry'!AC94)</f>
        <v/>
      </c>
      <c r="IN95" s="213" t="str">
        <f>IF('Supp. Result Entry'!AF94="","",'Supp. Result Entry'!AF94)</f>
        <v/>
      </c>
      <c r="IO95" s="213" t="str">
        <f>IF('Supp. Result Entry'!AI94="","",'Supp. Result Entry'!AI94)</f>
        <v/>
      </c>
      <c r="IP95" s="213" t="str">
        <f>IF('Supp. Result Entry'!AL94="","",'Supp. Result Entry'!AL94)</f>
        <v/>
      </c>
      <c r="IQ95" s="213">
        <f>COUNTIF('Supp. Result Entry'!K94:Q94,"S")</f>
        <v>0</v>
      </c>
      <c r="IR95" s="213">
        <f t="shared" si="355"/>
        <v>0</v>
      </c>
      <c r="IS95" s="213">
        <f t="shared" si="356"/>
        <v>0</v>
      </c>
      <c r="IT95" s="213" t="str">
        <f t="shared" si="224"/>
        <v/>
      </c>
      <c r="IU95" s="213" t="str">
        <f t="shared" si="225"/>
        <v/>
      </c>
      <c r="IV95" s="213" t="str">
        <f t="shared" si="226"/>
        <v/>
      </c>
      <c r="IW95" s="213" t="str">
        <f t="shared" si="227"/>
        <v/>
      </c>
      <c r="IX95" s="213" t="str">
        <f t="shared" si="228"/>
        <v/>
      </c>
      <c r="IY95" s="213" t="str">
        <f t="shared" si="357"/>
        <v/>
      </c>
      <c r="IZ95" s="213" t="str">
        <f t="shared" si="358"/>
        <v/>
      </c>
      <c r="JA95" s="213" t="str">
        <f t="shared" si="229"/>
        <v/>
      </c>
      <c r="JB95" s="211" t="str">
        <f t="shared" si="359"/>
        <v/>
      </c>
    </row>
    <row r="96" spans="1:262" s="211" customFormat="1" ht="21" customHeight="1">
      <c r="A96" s="184">
        <v>89</v>
      </c>
      <c r="B96" s="185" t="str">
        <f>IF('Marks Entry'!B96="","",'Marks Entry'!B96)</f>
        <v/>
      </c>
      <c r="C96" s="186" t="str">
        <f>IF('Marks Entry'!D96="","",'Marks Entry'!D96)</f>
        <v/>
      </c>
      <c r="D96" s="187" t="str">
        <f>IF('Marks Entry'!E96="","",'Marks Entry'!E96)</f>
        <v/>
      </c>
      <c r="E96" s="188" t="str">
        <f>IF('Marks Entry'!F96="","",'Marks Entry'!F96)</f>
        <v/>
      </c>
      <c r="F96" s="188" t="str">
        <f>IF('Marks Entry'!G96="","",'Marks Entry'!G96)</f>
        <v/>
      </c>
      <c r="G96" s="188" t="str">
        <f>IF('Marks Entry'!H96="","",'Marks Entry'!H96)</f>
        <v/>
      </c>
      <c r="H96" s="189" t="str">
        <f>IF('Marks Entry'!I96="","",'Marks Entry'!I96)</f>
        <v/>
      </c>
      <c r="I96" s="190" t="str">
        <f>IF('Marks Entry'!J96="","",'Marks Entry'!J96)</f>
        <v/>
      </c>
      <c r="J96" s="545" t="str">
        <f>IF('Marks Entry'!K96="","",'Marks Entry'!K96)</f>
        <v/>
      </c>
      <c r="K96" s="545" t="str">
        <f>IF('Marks Entry'!L96="","",'Marks Entry'!L96)</f>
        <v/>
      </c>
      <c r="L96" s="545" t="str">
        <f>IF('Marks Entry'!M96="","",'Marks Entry'!M96)</f>
        <v/>
      </c>
      <c r="M96" s="546" t="str">
        <f t="shared" si="230"/>
        <v/>
      </c>
      <c r="N96" s="545" t="str">
        <f>IF('Marks Entry'!N96="","",'Marks Entry'!N96)</f>
        <v/>
      </c>
      <c r="O96" s="546" t="str">
        <f t="shared" si="231"/>
        <v/>
      </c>
      <c r="P96" s="545" t="str">
        <f>IF('Marks Entry'!O96="","",'Marks Entry'!O96)</f>
        <v/>
      </c>
      <c r="Q96" s="547" t="str">
        <f t="shared" si="232"/>
        <v/>
      </c>
      <c r="R96" s="153">
        <f t="shared" si="233"/>
        <v>0</v>
      </c>
      <c r="S96" s="153">
        <f t="shared" si="234"/>
        <v>0</v>
      </c>
      <c r="T96" s="154" t="str">
        <f t="shared" si="235"/>
        <v/>
      </c>
      <c r="U96" s="153" t="str">
        <f t="shared" si="236"/>
        <v/>
      </c>
      <c r="V96" s="153" t="str">
        <f t="shared" si="237"/>
        <v/>
      </c>
      <c r="W96" s="153" t="str">
        <f t="shared" si="238"/>
        <v/>
      </c>
      <c r="X96" s="545" t="str">
        <f>IF('Marks Entry'!P96="","",'Marks Entry'!P96)</f>
        <v/>
      </c>
      <c r="Y96" s="545" t="str">
        <f>IF('Marks Entry'!Q96="","",'Marks Entry'!Q96)</f>
        <v/>
      </c>
      <c r="Z96" s="545" t="str">
        <f>IF('Marks Entry'!R96="","",'Marks Entry'!R96)</f>
        <v/>
      </c>
      <c r="AA96" s="546" t="str">
        <f t="shared" si="239"/>
        <v/>
      </c>
      <c r="AB96" s="545" t="str">
        <f>IF('Marks Entry'!S96="","",'Marks Entry'!S96)</f>
        <v/>
      </c>
      <c r="AC96" s="546" t="str">
        <f t="shared" si="240"/>
        <v/>
      </c>
      <c r="AD96" s="545" t="str">
        <f>IF('Marks Entry'!T96="","",'Marks Entry'!T96)</f>
        <v/>
      </c>
      <c r="AE96" s="547" t="str">
        <f t="shared" si="241"/>
        <v/>
      </c>
      <c r="AF96" s="153">
        <f t="shared" si="242"/>
        <v>0</v>
      </c>
      <c r="AG96" s="153">
        <f t="shared" si="243"/>
        <v>0</v>
      </c>
      <c r="AH96" s="154" t="str">
        <f t="shared" si="244"/>
        <v/>
      </c>
      <c r="AI96" s="153" t="str">
        <f t="shared" si="245"/>
        <v/>
      </c>
      <c r="AJ96" s="153" t="str">
        <f t="shared" si="246"/>
        <v/>
      </c>
      <c r="AK96" s="153" t="str">
        <f t="shared" si="247"/>
        <v/>
      </c>
      <c r="AL96" s="573" t="str">
        <f>IF('Marks Entry'!U96="","",'Marks Entry'!U96)</f>
        <v/>
      </c>
      <c r="AM96" s="573" t="str">
        <f>IF('Marks Entry'!V96="","",'Marks Entry'!V96)</f>
        <v/>
      </c>
      <c r="AN96" s="573" t="str">
        <f>IF('Marks Entry'!W96="","",'Marks Entry'!W96)</f>
        <v/>
      </c>
      <c r="AO96" s="573" t="str">
        <f>IF('Marks Entry'!X96="","",'Marks Entry'!X96)</f>
        <v/>
      </c>
      <c r="AP96" s="572" t="str">
        <f t="shared" si="248"/>
        <v/>
      </c>
      <c r="AQ96" s="573" t="str">
        <f>IF('Marks Entry'!Y96="","",'Marks Entry'!Y96)</f>
        <v/>
      </c>
      <c r="AR96" s="573" t="str">
        <f>IF('Marks Entry'!Z96="","",'Marks Entry'!Z96)</f>
        <v/>
      </c>
      <c r="AS96" s="572" t="str">
        <f t="shared" si="249"/>
        <v/>
      </c>
      <c r="AT96" s="572" t="str">
        <f t="shared" si="250"/>
        <v/>
      </c>
      <c r="AU96" s="573" t="str">
        <f>IF('Marks Entry'!AA96="","",'Marks Entry'!AA96)</f>
        <v/>
      </c>
      <c r="AV96" s="573" t="str">
        <f>IF('Marks Entry'!AB96="","",'Marks Entry'!AB96)</f>
        <v/>
      </c>
      <c r="AW96" s="572" t="str">
        <f t="shared" si="251"/>
        <v/>
      </c>
      <c r="AX96" s="157" t="str">
        <f t="shared" si="252"/>
        <v/>
      </c>
      <c r="AY96" s="157" t="str">
        <f t="shared" si="253"/>
        <v/>
      </c>
      <c r="AZ96" s="192" t="str">
        <f t="shared" si="254"/>
        <v/>
      </c>
      <c r="BA96" s="153">
        <f t="shared" si="255"/>
        <v>0</v>
      </c>
      <c r="BB96" s="154">
        <f t="shared" si="256"/>
        <v>0</v>
      </c>
      <c r="BC96" s="154" t="str">
        <f t="shared" si="257"/>
        <v/>
      </c>
      <c r="BD96" s="154" t="str">
        <f t="shared" si="258"/>
        <v/>
      </c>
      <c r="BE96" s="154" t="str">
        <f t="shared" si="259"/>
        <v/>
      </c>
      <c r="BF96" s="153" t="str">
        <f t="shared" si="260"/>
        <v/>
      </c>
      <c r="BG96" s="154" t="str">
        <f t="shared" si="261"/>
        <v/>
      </c>
      <c r="BH96" s="153" t="str">
        <f t="shared" si="262"/>
        <v/>
      </c>
      <c r="BI96" s="580" t="str">
        <f>IF('Marks Entry'!AC96="","",'Marks Entry'!AC96)</f>
        <v/>
      </c>
      <c r="BJ96" s="580" t="str">
        <f>IF('Marks Entry'!AD96="","",'Marks Entry'!AD96)</f>
        <v/>
      </c>
      <c r="BK96" s="580" t="str">
        <f>IF('Marks Entry'!AE96="","",'Marks Entry'!AE96)</f>
        <v/>
      </c>
      <c r="BL96" s="580" t="str">
        <f>IF('Marks Entry'!AF96="","",'Marks Entry'!AF96)</f>
        <v/>
      </c>
      <c r="BM96" s="581" t="str">
        <f t="shared" si="263"/>
        <v/>
      </c>
      <c r="BN96" s="580" t="str">
        <f>IF('Marks Entry'!AG96="","",'Marks Entry'!AG96)</f>
        <v/>
      </c>
      <c r="BO96" s="580" t="str">
        <f>IF('Marks Entry'!AH96="","",'Marks Entry'!AH96)</f>
        <v/>
      </c>
      <c r="BP96" s="581" t="str">
        <f t="shared" si="264"/>
        <v/>
      </c>
      <c r="BQ96" s="581" t="str">
        <f t="shared" si="265"/>
        <v/>
      </c>
      <c r="BR96" s="580" t="str">
        <f>IF('Marks Entry'!AI96="","",'Marks Entry'!AI96)</f>
        <v/>
      </c>
      <c r="BS96" s="580" t="str">
        <f>IF('Marks Entry'!AJ96="","",'Marks Entry'!AJ96)</f>
        <v/>
      </c>
      <c r="BT96" s="581" t="str">
        <f t="shared" si="266"/>
        <v/>
      </c>
      <c r="BU96" s="157" t="str">
        <f t="shared" si="267"/>
        <v/>
      </c>
      <c r="BV96" s="157" t="str">
        <f t="shared" si="268"/>
        <v/>
      </c>
      <c r="BW96" s="192" t="str">
        <f t="shared" si="269"/>
        <v/>
      </c>
      <c r="BX96" s="153">
        <f t="shared" si="270"/>
        <v>0</v>
      </c>
      <c r="BY96" s="154">
        <f t="shared" si="271"/>
        <v>0</v>
      </c>
      <c r="BZ96" s="154" t="str">
        <f t="shared" si="272"/>
        <v/>
      </c>
      <c r="CA96" s="154" t="str">
        <f t="shared" si="273"/>
        <v/>
      </c>
      <c r="CB96" s="154" t="str">
        <f t="shared" si="274"/>
        <v/>
      </c>
      <c r="CC96" s="153" t="str">
        <f t="shared" si="275"/>
        <v/>
      </c>
      <c r="CD96" s="154" t="str">
        <f t="shared" si="276"/>
        <v/>
      </c>
      <c r="CE96" s="153" t="str">
        <f t="shared" si="277"/>
        <v/>
      </c>
      <c r="CF96" s="580" t="str">
        <f>IF('Marks Entry'!AK96="","",'Marks Entry'!AK96)</f>
        <v/>
      </c>
      <c r="CG96" s="580" t="str">
        <f>IF('Marks Entry'!AL96="","",'Marks Entry'!AL96)</f>
        <v/>
      </c>
      <c r="CH96" s="580" t="str">
        <f>IF('Marks Entry'!AM96="","",'Marks Entry'!AM96)</f>
        <v/>
      </c>
      <c r="CI96" s="580" t="str">
        <f>IF('Marks Entry'!AN96="","",'Marks Entry'!AN96)</f>
        <v/>
      </c>
      <c r="CJ96" s="581" t="str">
        <f t="shared" si="278"/>
        <v/>
      </c>
      <c r="CK96" s="580" t="str">
        <f>IF('Marks Entry'!AO96="","",'Marks Entry'!AO96)</f>
        <v/>
      </c>
      <c r="CL96" s="580" t="str">
        <f>IF('Marks Entry'!AP96="","",'Marks Entry'!AP96)</f>
        <v/>
      </c>
      <c r="CM96" s="581" t="str">
        <f t="shared" si="279"/>
        <v/>
      </c>
      <c r="CN96" s="581" t="str">
        <f t="shared" si="280"/>
        <v/>
      </c>
      <c r="CO96" s="580" t="str">
        <f>IF('Marks Entry'!AQ96="","",'Marks Entry'!AQ96)</f>
        <v/>
      </c>
      <c r="CP96" s="580" t="str">
        <f>IF('Marks Entry'!AR96="","",'Marks Entry'!AR96)</f>
        <v/>
      </c>
      <c r="CQ96" s="581" t="str">
        <f t="shared" si="281"/>
        <v/>
      </c>
      <c r="CR96" s="157" t="str">
        <f t="shared" si="282"/>
        <v/>
      </c>
      <c r="CS96" s="157" t="str">
        <f t="shared" si="283"/>
        <v/>
      </c>
      <c r="CT96" s="192" t="str">
        <f t="shared" si="284"/>
        <v/>
      </c>
      <c r="CU96" s="153">
        <f t="shared" si="285"/>
        <v>0</v>
      </c>
      <c r="CV96" s="154">
        <f t="shared" si="286"/>
        <v>0</v>
      </c>
      <c r="CW96" s="154" t="str">
        <f t="shared" si="287"/>
        <v/>
      </c>
      <c r="CX96" s="154" t="str">
        <f t="shared" si="288"/>
        <v/>
      </c>
      <c r="CY96" s="154" t="str">
        <f t="shared" si="289"/>
        <v/>
      </c>
      <c r="CZ96" s="153" t="str">
        <f t="shared" si="290"/>
        <v/>
      </c>
      <c r="DA96" s="154" t="str">
        <f t="shared" si="291"/>
        <v/>
      </c>
      <c r="DB96" s="153" t="str">
        <f t="shared" si="292"/>
        <v/>
      </c>
      <c r="DC96" s="154">
        <f t="shared" si="293"/>
        <v>0</v>
      </c>
      <c r="DD96" s="826" t="str">
        <f>IF('Marks Entry'!AS96="","",IF(OR('Master Sheet'!$D$19="YES",'Marks Entry'!$BA$1=1),'Marks Entry'!AS96,""))</f>
        <v/>
      </c>
      <c r="DE96" s="826" t="str">
        <f>IF('Marks Entry'!AT96="","",IF(OR('Master Sheet'!$D$19="YES",'Marks Entry'!$BA$1=1),'Marks Entry'!AT96,""))</f>
        <v/>
      </c>
      <c r="DF96" s="826" t="str">
        <f>IF('Marks Entry'!AU96="","",IF(OR('Master Sheet'!$D$19="YES",'Marks Entry'!$BA$1=1),'Marks Entry'!AU96,""))</f>
        <v/>
      </c>
      <c r="DG96" s="826" t="str">
        <f>IF('Marks Entry'!AV96="","",IF(OR('Master Sheet'!$D$19="YES",'Marks Entry'!$BA$1=1),'Marks Entry'!AV96,""))</f>
        <v/>
      </c>
      <c r="DH96" s="827" t="str">
        <f t="shared" si="294"/>
        <v/>
      </c>
      <c r="DI96" s="826" t="str">
        <f>IF('Marks Entry'!AW96="","",IF(OR('Master Sheet'!$D$19="YES",'Marks Entry'!$BA$1=1),'Marks Entry'!AW96,""))</f>
        <v/>
      </c>
      <c r="DJ96" s="826" t="str">
        <f>IF('Marks Entry'!AX96="","",IF(OR('Master Sheet'!$D$19="YES",'Marks Entry'!$BA$1=1),'Marks Entry'!AX96,""))</f>
        <v/>
      </c>
      <c r="DK96" s="827" t="str">
        <f t="shared" si="295"/>
        <v/>
      </c>
      <c r="DL96" s="827" t="str">
        <f t="shared" si="296"/>
        <v/>
      </c>
      <c r="DM96" s="826" t="str">
        <f>IF('Marks Entry'!AY96="","",IF(OR('Master Sheet'!$D$19="YES",'Marks Entry'!$BA$1=1),'Marks Entry'!AY96,""))</f>
        <v/>
      </c>
      <c r="DN96" s="826" t="str">
        <f>IF('Marks Entry'!AZ96="","",IF(OR('Master Sheet'!$D$19="YES",'Marks Entry'!$BA$1=1),'Marks Entry'!AZ96,""))</f>
        <v/>
      </c>
      <c r="DO96" s="826" t="str">
        <f>IF('Marks Entry'!BA96="","",IF(OR('Master Sheet'!$D$19="YES",'Marks Entry'!$BA$1=1),'Marks Entry'!BA96,""))</f>
        <v/>
      </c>
      <c r="DP96" s="827" t="str">
        <f t="shared" si="297"/>
        <v/>
      </c>
      <c r="DQ96" s="157" t="str">
        <f t="shared" si="298"/>
        <v/>
      </c>
      <c r="DR96" s="157" t="str">
        <f t="shared" si="299"/>
        <v/>
      </c>
      <c r="DS96" s="157" t="str">
        <f t="shared" si="300"/>
        <v/>
      </c>
      <c r="DT96" s="192" t="str">
        <f t="shared" si="301"/>
        <v/>
      </c>
      <c r="DU96" s="153">
        <f t="shared" si="302"/>
        <v>0</v>
      </c>
      <c r="DV96" s="154" t="e">
        <f t="shared" si="303"/>
        <v>#VALUE!</v>
      </c>
      <c r="DW96" s="154" t="str">
        <f t="shared" si="304"/>
        <v/>
      </c>
      <c r="DX96" s="154" t="str">
        <f>IF(OR($B96="NSO",$B96=0,DS96=""),"",IF(AND(DJ96="",DO96=""),"",IF('Master Sheet'!$D$19="YES",$DO$6-COUNTIF(DO96,"ML")*DO$6,DS$6-(COUNTIF(DJ96,"ML")*DJ$6)-(COUNTIF(DO96,"ML")*DO$6))))</f>
        <v/>
      </c>
      <c r="DY96" s="154" t="str">
        <f>IF(OR($B96="NSO",$B96=0),"",IF(AND(DH96="",DI96="",DM96=""),"",IF(AND('Master Sheet'!$D$19="YES",'Marks Entry'!$BA$1=1),100,IF(AND(DJ96="",DO96=""),SUM(($DQ$7+$DR$7)-(DU96+DV96)),SUM(($DQ$6+$DR$6)-(DU96+DV96))))))</f>
        <v/>
      </c>
      <c r="DZ96" s="153" t="str">
        <f t="shared" si="305"/>
        <v/>
      </c>
      <c r="EA96" s="154" t="str">
        <f t="shared" si="306"/>
        <v/>
      </c>
      <c r="EB96" s="153" t="str">
        <f t="shared" si="307"/>
        <v/>
      </c>
      <c r="EC96" s="584" t="str">
        <f>IF('Marks Entry'!BB96="","",'Marks Entry'!BB96)</f>
        <v/>
      </c>
      <c r="ED96" s="584" t="str">
        <f>IF('Marks Entry'!BC96="","",'Marks Entry'!BC96)</f>
        <v/>
      </c>
      <c r="EE96" s="584" t="str">
        <f>IF('Marks Entry'!BD96="","",'Marks Entry'!BD96)</f>
        <v/>
      </c>
      <c r="EF96" s="590" t="str">
        <f t="shared" si="308"/>
        <v/>
      </c>
      <c r="EG96" s="595">
        <f t="shared" si="309"/>
        <v>0</v>
      </c>
      <c r="EH96" s="595">
        <f t="shared" si="310"/>
        <v>0</v>
      </c>
      <c r="EI96" s="193" t="str">
        <f t="shared" si="311"/>
        <v/>
      </c>
      <c r="EJ96" s="595" t="str">
        <f t="shared" si="312"/>
        <v/>
      </c>
      <c r="EK96" s="595" t="str">
        <f t="shared" si="313"/>
        <v/>
      </c>
      <c r="EL96" s="194" t="str">
        <f t="shared" si="314"/>
        <v/>
      </c>
      <c r="EM96" s="194" t="str">
        <f t="shared" si="315"/>
        <v/>
      </c>
      <c r="EN96" s="194" t="str">
        <f t="shared" si="316"/>
        <v/>
      </c>
      <c r="EO96" s="194" t="str">
        <f t="shared" si="317"/>
        <v/>
      </c>
      <c r="EP96" s="194" t="str">
        <f t="shared" si="318"/>
        <v/>
      </c>
      <c r="EQ96" s="194" t="str">
        <f t="shared" si="319"/>
        <v/>
      </c>
      <c r="ER96" s="195">
        <f t="shared" si="320"/>
        <v>0</v>
      </c>
      <c r="ES96" s="195">
        <f t="shared" si="321"/>
        <v>0</v>
      </c>
      <c r="ET96" s="195">
        <f t="shared" si="322"/>
        <v>0</v>
      </c>
      <c r="EU96" s="195">
        <f t="shared" si="323"/>
        <v>0</v>
      </c>
      <c r="EV96" s="195">
        <f t="shared" si="324"/>
        <v>0</v>
      </c>
      <c r="EW96" s="195" t="str">
        <f t="shared" si="325"/>
        <v/>
      </c>
      <c r="EX96" s="196" t="str">
        <f t="shared" si="326"/>
        <v/>
      </c>
      <c r="EY96" s="197" t="str">
        <f>IF('Marks Entry'!BE96="","",'Marks Entry'!BE96)</f>
        <v/>
      </c>
      <c r="EZ96" s="197" t="str">
        <f>IF('Marks Entry'!BF96="","",'Marks Entry'!BF96)</f>
        <v/>
      </c>
      <c r="FA96" s="197" t="str">
        <f>IF('Marks Entry'!BG96="","",'Marks Entry'!BG96)</f>
        <v/>
      </c>
      <c r="FB96" s="596" t="str">
        <f t="shared" si="327"/>
        <v/>
      </c>
      <c r="FC96" s="197" t="str">
        <f>IF('Marks Entry'!BH96="","",'Marks Entry'!BH96)</f>
        <v/>
      </c>
      <c r="FD96" s="197" t="str">
        <f>IF('Marks Entry'!BI96="","",'Marks Entry'!BI96)</f>
        <v/>
      </c>
      <c r="FE96" s="198" t="str">
        <f t="shared" si="328"/>
        <v/>
      </c>
      <c r="FF96" s="199" t="str">
        <f t="shared" si="329"/>
        <v/>
      </c>
      <c r="FG96" s="200" t="str">
        <f>IF(AND(E96=""),"",IF('Student DATA Entry'!L92="","",'Student DATA Entry'!L92))</f>
        <v/>
      </c>
      <c r="FH96" s="201" t="str">
        <f>IF(AND(E96=""),"",IF('Student DATA Entry'!M92="","",'Student DATA Entry'!M92))</f>
        <v/>
      </c>
      <c r="FI96" s="202" t="str">
        <f t="shared" si="330"/>
        <v/>
      </c>
      <c r="FJ96" s="189" t="str">
        <f t="shared" si="331"/>
        <v/>
      </c>
      <c r="FK96" s="189" t="str">
        <f t="shared" si="332"/>
        <v/>
      </c>
      <c r="FL96" s="203" t="str">
        <f t="shared" si="201"/>
        <v/>
      </c>
      <c r="FM96" s="189" t="str">
        <f t="shared" si="333"/>
        <v/>
      </c>
      <c r="FN96" s="204" t="str">
        <f t="shared" si="334"/>
        <v/>
      </c>
      <c r="FO96" s="203" t="str">
        <f t="shared" si="202"/>
        <v/>
      </c>
      <c r="FP96" s="205" t="str">
        <f t="shared" si="335"/>
        <v/>
      </c>
      <c r="FQ96" s="189" t="str">
        <f t="shared" si="203"/>
        <v/>
      </c>
      <c r="FR96" s="189" t="str">
        <f t="shared" si="204"/>
        <v/>
      </c>
      <c r="FS96" s="189" t="str">
        <f t="shared" si="205"/>
        <v/>
      </c>
      <c r="FT96" s="189" t="str">
        <f t="shared" si="206"/>
        <v/>
      </c>
      <c r="FU96" s="189" t="str">
        <f t="shared" si="336"/>
        <v/>
      </c>
      <c r="FV96" s="206" t="str">
        <f t="shared" si="207"/>
        <v/>
      </c>
      <c r="FW96" s="205" t="str">
        <f t="shared" si="337"/>
        <v/>
      </c>
      <c r="FX96" s="189" t="str">
        <f t="shared" si="208"/>
        <v/>
      </c>
      <c r="FY96" s="189" t="str">
        <f t="shared" si="209"/>
        <v/>
      </c>
      <c r="FZ96" s="189" t="str">
        <f t="shared" si="210"/>
        <v/>
      </c>
      <c r="GA96" s="189" t="str">
        <f t="shared" si="211"/>
        <v/>
      </c>
      <c r="GB96" s="189" t="str">
        <f t="shared" si="338"/>
        <v/>
      </c>
      <c r="GC96" s="206" t="str">
        <f t="shared" si="212"/>
        <v/>
      </c>
      <c r="GD96" s="205" t="str">
        <f t="shared" si="339"/>
        <v/>
      </c>
      <c r="GE96" s="189" t="str">
        <f t="shared" si="213"/>
        <v/>
      </c>
      <c r="GF96" s="189" t="str">
        <f t="shared" si="214"/>
        <v/>
      </c>
      <c r="GG96" s="189" t="str">
        <f t="shared" si="215"/>
        <v/>
      </c>
      <c r="GH96" s="189" t="str">
        <f t="shared" si="216"/>
        <v/>
      </c>
      <c r="GI96" s="189" t="str">
        <f t="shared" si="340"/>
        <v/>
      </c>
      <c r="GJ96" s="206" t="str">
        <f t="shared" si="217"/>
        <v/>
      </c>
      <c r="GK96" s="205" t="str">
        <f t="shared" si="341"/>
        <v/>
      </c>
      <c r="GL96" s="189" t="str">
        <f t="shared" si="218"/>
        <v/>
      </c>
      <c r="GM96" s="189" t="str">
        <f t="shared" si="219"/>
        <v/>
      </c>
      <c r="GN96" s="189" t="str">
        <f t="shared" si="220"/>
        <v/>
      </c>
      <c r="GO96" s="189" t="str">
        <f t="shared" si="221"/>
        <v/>
      </c>
      <c r="GP96" s="189" t="str">
        <f t="shared" si="342"/>
        <v/>
      </c>
      <c r="GQ96" s="206" t="str">
        <f t="shared" si="222"/>
        <v/>
      </c>
      <c r="GR96" s="189" t="str">
        <f t="shared" si="343"/>
        <v/>
      </c>
      <c r="GS96" s="189" t="str">
        <f t="shared" si="344"/>
        <v/>
      </c>
      <c r="GT96" s="207" t="str">
        <f t="shared" si="345"/>
        <v xml:space="preserve">    </v>
      </c>
      <c r="GU96" s="207" t="str">
        <f t="shared" si="346"/>
        <v xml:space="preserve">    </v>
      </c>
      <c r="GV96" s="207" t="str">
        <f t="shared" si="347"/>
        <v xml:space="preserve">    </v>
      </c>
      <c r="GW96" s="207" t="str">
        <f t="shared" si="348"/>
        <v xml:space="preserve">       </v>
      </c>
      <c r="GX96" s="598" t="str">
        <f t="shared" si="349"/>
        <v xml:space="preserve">     </v>
      </c>
      <c r="GY96" s="208" t="str">
        <f t="shared" si="223"/>
        <v/>
      </c>
      <c r="GZ96" s="606" t="str">
        <f>IF(AND(Q96="",AE96="",AZ96="",BW96="",CT96=""),"",IF(AND('Master Sheet'!$D$19="YES",'Marks Entry'!$BA$1=1),SUM(Q96,AE96,AZ96,BW96,DT96),SUM(Q96,AE96,AZ96,BW96,CT96)))</f>
        <v/>
      </c>
      <c r="HA96" s="209" t="str">
        <f>IF(GZ96="","",IF(AND('Master Sheet'!$D$19="YES",'Marks Entry'!$BA$1=1),GZ96/((900)-DC96)*100,GZ96/((1000)-DC96)*100))</f>
        <v/>
      </c>
      <c r="HB96" s="611" t="str">
        <f t="shared" si="350"/>
        <v/>
      </c>
      <c r="HC96" s="609" t="str">
        <f t="shared" si="351"/>
        <v/>
      </c>
      <c r="HD96" s="610" t="str">
        <f t="shared" si="352"/>
        <v/>
      </c>
      <c r="HE96" s="210" t="str">
        <f>IFERROR(IF(OR(GY96="SUPPLEMENTARY",GY96="RE-EXAM"),'Supp. Result Entry'!AS95,""),"")</f>
        <v/>
      </c>
      <c r="HF96" s="613" t="str">
        <f t="shared" si="353"/>
        <v/>
      </c>
      <c r="HG96" s="598" t="str">
        <f t="shared" si="354"/>
        <v/>
      </c>
      <c r="HH96" s="598" t="str">
        <f>IF(AND(HE96="",HF96="",HG96=""),"",IF(OR(GY96="SUPPLEMENTARY",GY96="RE-EXAM"),'Supp. Result Entry'!AS95,GY96))</f>
        <v/>
      </c>
      <c r="HI96" s="180"/>
      <c r="HY96" s="212" t="str">
        <f>IF('Supp. Result Entry'!U95="","",'Supp. Result Entry'!$U$6)</f>
        <v/>
      </c>
      <c r="HZ96" s="213" t="str">
        <f>IF('Supp. Result Entry'!X95="","",'Supp. Result Entry'!$X$6)</f>
        <v/>
      </c>
      <c r="IA96" s="213" t="str">
        <f>IF('Supp. Result Entry'!AA95="","",'Supp. Result Entry'!$AA$6)</f>
        <v/>
      </c>
      <c r="IB96" s="213" t="str">
        <f>IF('Supp. Result Entry'!AD95="","",'Supp. Result Entry'!$AD$6)</f>
        <v/>
      </c>
      <c r="IC96" s="213" t="str">
        <f>IF('Supp. Result Entry'!AG95="","",'Supp. Result Entry'!$AG$6)</f>
        <v/>
      </c>
      <c r="ID96" s="213" t="str">
        <f>IF('Supp. Result Entry'!AJ95="","",'Supp. Result Entry'!$AJ$6)</f>
        <v/>
      </c>
      <c r="IE96" s="213" t="str">
        <f>IF('Supp. Result Entry'!V95="","",'Supp. Result Entry'!V95)</f>
        <v/>
      </c>
      <c r="IF96" s="213" t="str">
        <f>IF('Supp. Result Entry'!Y95="","",'Supp. Result Entry'!Y95)</f>
        <v/>
      </c>
      <c r="IG96" s="213" t="str">
        <f>IF('Supp. Result Entry'!AB95="","",'Supp. Result Entry'!AB95)</f>
        <v/>
      </c>
      <c r="IH96" s="213" t="str">
        <f>IF('Supp. Result Entry'!AE95="","",'Supp. Result Entry'!AE95)</f>
        <v/>
      </c>
      <c r="II96" s="213" t="str">
        <f>IF('Supp. Result Entry'!AH95="","",'Supp. Result Entry'!AH95)</f>
        <v/>
      </c>
      <c r="IJ96" s="213" t="str">
        <f>IF('Supp. Result Entry'!AK95="","",'Supp. Result Entry'!AK95)</f>
        <v/>
      </c>
      <c r="IK96" s="213" t="str">
        <f>IF('Supp. Result Entry'!W95="","",'Supp. Result Entry'!W95)</f>
        <v/>
      </c>
      <c r="IL96" s="213" t="str">
        <f>IF('Supp. Result Entry'!Z95="","",'Supp. Result Entry'!Z95)</f>
        <v/>
      </c>
      <c r="IM96" s="213" t="str">
        <f>IF('Supp. Result Entry'!AC95="","",'Supp. Result Entry'!AC95)</f>
        <v/>
      </c>
      <c r="IN96" s="213" t="str">
        <f>IF('Supp. Result Entry'!AF95="","",'Supp. Result Entry'!AF95)</f>
        <v/>
      </c>
      <c r="IO96" s="213" t="str">
        <f>IF('Supp. Result Entry'!AI95="","",'Supp. Result Entry'!AI95)</f>
        <v/>
      </c>
      <c r="IP96" s="213" t="str">
        <f>IF('Supp. Result Entry'!AL95="","",'Supp. Result Entry'!AL95)</f>
        <v/>
      </c>
      <c r="IQ96" s="213">
        <f>COUNTIF('Supp. Result Entry'!K95:Q95,"S")</f>
        <v>0</v>
      </c>
      <c r="IR96" s="213">
        <f t="shared" si="355"/>
        <v>0</v>
      </c>
      <c r="IS96" s="213">
        <f t="shared" si="356"/>
        <v>0</v>
      </c>
      <c r="IT96" s="213" t="str">
        <f t="shared" si="224"/>
        <v/>
      </c>
      <c r="IU96" s="213" t="str">
        <f t="shared" si="225"/>
        <v/>
      </c>
      <c r="IV96" s="213" t="str">
        <f t="shared" si="226"/>
        <v/>
      </c>
      <c r="IW96" s="213" t="str">
        <f t="shared" si="227"/>
        <v/>
      </c>
      <c r="IX96" s="213" t="str">
        <f t="shared" si="228"/>
        <v/>
      </c>
      <c r="IY96" s="213" t="str">
        <f t="shared" si="357"/>
        <v/>
      </c>
      <c r="IZ96" s="213" t="str">
        <f t="shared" si="358"/>
        <v/>
      </c>
      <c r="JA96" s="213" t="str">
        <f t="shared" si="229"/>
        <v/>
      </c>
      <c r="JB96" s="211" t="str">
        <f t="shared" si="359"/>
        <v/>
      </c>
    </row>
    <row r="97" spans="1:262" s="211" customFormat="1" ht="21" customHeight="1">
      <c r="A97" s="184">
        <v>90</v>
      </c>
      <c r="B97" s="185" t="str">
        <f>IF('Marks Entry'!B97="","",'Marks Entry'!B97)</f>
        <v/>
      </c>
      <c r="C97" s="186" t="str">
        <f>IF('Marks Entry'!D97="","",'Marks Entry'!D97)</f>
        <v/>
      </c>
      <c r="D97" s="187" t="str">
        <f>IF('Marks Entry'!E97="","",'Marks Entry'!E97)</f>
        <v/>
      </c>
      <c r="E97" s="188" t="str">
        <f>IF('Marks Entry'!F97="","",'Marks Entry'!F97)</f>
        <v/>
      </c>
      <c r="F97" s="188" t="str">
        <f>IF('Marks Entry'!G97="","",'Marks Entry'!G97)</f>
        <v/>
      </c>
      <c r="G97" s="188" t="str">
        <f>IF('Marks Entry'!H97="","",'Marks Entry'!H97)</f>
        <v/>
      </c>
      <c r="H97" s="189" t="str">
        <f>IF('Marks Entry'!I97="","",'Marks Entry'!I97)</f>
        <v/>
      </c>
      <c r="I97" s="190" t="str">
        <f>IF('Marks Entry'!J97="","",'Marks Entry'!J97)</f>
        <v/>
      </c>
      <c r="J97" s="545" t="str">
        <f>IF('Marks Entry'!K97="","",'Marks Entry'!K97)</f>
        <v/>
      </c>
      <c r="K97" s="545" t="str">
        <f>IF('Marks Entry'!L97="","",'Marks Entry'!L97)</f>
        <v/>
      </c>
      <c r="L97" s="545" t="str">
        <f>IF('Marks Entry'!M97="","",'Marks Entry'!M97)</f>
        <v/>
      </c>
      <c r="M97" s="546" t="str">
        <f t="shared" si="230"/>
        <v/>
      </c>
      <c r="N97" s="545" t="str">
        <f>IF('Marks Entry'!N97="","",'Marks Entry'!N97)</f>
        <v/>
      </c>
      <c r="O97" s="546" t="str">
        <f t="shared" si="231"/>
        <v/>
      </c>
      <c r="P97" s="545" t="str">
        <f>IF('Marks Entry'!O97="","",'Marks Entry'!O97)</f>
        <v/>
      </c>
      <c r="Q97" s="547" t="str">
        <f t="shared" si="232"/>
        <v/>
      </c>
      <c r="R97" s="153">
        <f t="shared" si="233"/>
        <v>0</v>
      </c>
      <c r="S97" s="153">
        <f t="shared" si="234"/>
        <v>0</v>
      </c>
      <c r="T97" s="154" t="str">
        <f t="shared" si="235"/>
        <v/>
      </c>
      <c r="U97" s="153" t="str">
        <f t="shared" si="236"/>
        <v/>
      </c>
      <c r="V97" s="153" t="str">
        <f t="shared" si="237"/>
        <v/>
      </c>
      <c r="W97" s="153" t="str">
        <f t="shared" si="238"/>
        <v/>
      </c>
      <c r="X97" s="545" t="str">
        <f>IF('Marks Entry'!P97="","",'Marks Entry'!P97)</f>
        <v/>
      </c>
      <c r="Y97" s="545" t="str">
        <f>IF('Marks Entry'!Q97="","",'Marks Entry'!Q97)</f>
        <v/>
      </c>
      <c r="Z97" s="545" t="str">
        <f>IF('Marks Entry'!R97="","",'Marks Entry'!R97)</f>
        <v/>
      </c>
      <c r="AA97" s="546" t="str">
        <f t="shared" si="239"/>
        <v/>
      </c>
      <c r="AB97" s="545" t="str">
        <f>IF('Marks Entry'!S97="","",'Marks Entry'!S97)</f>
        <v/>
      </c>
      <c r="AC97" s="546" t="str">
        <f t="shared" si="240"/>
        <v/>
      </c>
      <c r="AD97" s="545" t="str">
        <f>IF('Marks Entry'!T97="","",'Marks Entry'!T97)</f>
        <v/>
      </c>
      <c r="AE97" s="547" t="str">
        <f t="shared" si="241"/>
        <v/>
      </c>
      <c r="AF97" s="153">
        <f t="shared" si="242"/>
        <v>0</v>
      </c>
      <c r="AG97" s="153">
        <f t="shared" si="243"/>
        <v>0</v>
      </c>
      <c r="AH97" s="154" t="str">
        <f t="shared" si="244"/>
        <v/>
      </c>
      <c r="AI97" s="153" t="str">
        <f t="shared" si="245"/>
        <v/>
      </c>
      <c r="AJ97" s="153" t="str">
        <f t="shared" si="246"/>
        <v/>
      </c>
      <c r="AK97" s="153" t="str">
        <f t="shared" si="247"/>
        <v/>
      </c>
      <c r="AL97" s="573" t="str">
        <f>IF('Marks Entry'!U97="","",'Marks Entry'!U97)</f>
        <v/>
      </c>
      <c r="AM97" s="573" t="str">
        <f>IF('Marks Entry'!V97="","",'Marks Entry'!V97)</f>
        <v/>
      </c>
      <c r="AN97" s="573" t="str">
        <f>IF('Marks Entry'!W97="","",'Marks Entry'!W97)</f>
        <v/>
      </c>
      <c r="AO97" s="573" t="str">
        <f>IF('Marks Entry'!X97="","",'Marks Entry'!X97)</f>
        <v/>
      </c>
      <c r="AP97" s="572" t="str">
        <f t="shared" si="248"/>
        <v/>
      </c>
      <c r="AQ97" s="573" t="str">
        <f>IF('Marks Entry'!Y97="","",'Marks Entry'!Y97)</f>
        <v/>
      </c>
      <c r="AR97" s="573" t="str">
        <f>IF('Marks Entry'!Z97="","",'Marks Entry'!Z97)</f>
        <v/>
      </c>
      <c r="AS97" s="572" t="str">
        <f t="shared" si="249"/>
        <v/>
      </c>
      <c r="AT97" s="572" t="str">
        <f t="shared" si="250"/>
        <v/>
      </c>
      <c r="AU97" s="573" t="str">
        <f>IF('Marks Entry'!AA97="","",'Marks Entry'!AA97)</f>
        <v/>
      </c>
      <c r="AV97" s="573" t="str">
        <f>IF('Marks Entry'!AB97="","",'Marks Entry'!AB97)</f>
        <v/>
      </c>
      <c r="AW97" s="572" t="str">
        <f t="shared" si="251"/>
        <v/>
      </c>
      <c r="AX97" s="157" t="str">
        <f t="shared" si="252"/>
        <v/>
      </c>
      <c r="AY97" s="157" t="str">
        <f t="shared" si="253"/>
        <v/>
      </c>
      <c r="AZ97" s="192" t="str">
        <f t="shared" si="254"/>
        <v/>
      </c>
      <c r="BA97" s="153">
        <f t="shared" si="255"/>
        <v>0</v>
      </c>
      <c r="BB97" s="154">
        <f t="shared" si="256"/>
        <v>0</v>
      </c>
      <c r="BC97" s="154" t="str">
        <f t="shared" si="257"/>
        <v/>
      </c>
      <c r="BD97" s="154" t="str">
        <f t="shared" si="258"/>
        <v/>
      </c>
      <c r="BE97" s="154" t="str">
        <f t="shared" si="259"/>
        <v/>
      </c>
      <c r="BF97" s="153" t="str">
        <f t="shared" si="260"/>
        <v/>
      </c>
      <c r="BG97" s="154" t="str">
        <f t="shared" si="261"/>
        <v/>
      </c>
      <c r="BH97" s="153" t="str">
        <f t="shared" si="262"/>
        <v/>
      </c>
      <c r="BI97" s="580" t="str">
        <f>IF('Marks Entry'!AC97="","",'Marks Entry'!AC97)</f>
        <v/>
      </c>
      <c r="BJ97" s="580" t="str">
        <f>IF('Marks Entry'!AD97="","",'Marks Entry'!AD97)</f>
        <v/>
      </c>
      <c r="BK97" s="580" t="str">
        <f>IF('Marks Entry'!AE97="","",'Marks Entry'!AE97)</f>
        <v/>
      </c>
      <c r="BL97" s="580" t="str">
        <f>IF('Marks Entry'!AF97="","",'Marks Entry'!AF97)</f>
        <v/>
      </c>
      <c r="BM97" s="581" t="str">
        <f t="shared" si="263"/>
        <v/>
      </c>
      <c r="BN97" s="580" t="str">
        <f>IF('Marks Entry'!AG97="","",'Marks Entry'!AG97)</f>
        <v/>
      </c>
      <c r="BO97" s="580" t="str">
        <f>IF('Marks Entry'!AH97="","",'Marks Entry'!AH97)</f>
        <v/>
      </c>
      <c r="BP97" s="581" t="str">
        <f t="shared" si="264"/>
        <v/>
      </c>
      <c r="BQ97" s="581" t="str">
        <f t="shared" si="265"/>
        <v/>
      </c>
      <c r="BR97" s="580" t="str">
        <f>IF('Marks Entry'!AI97="","",'Marks Entry'!AI97)</f>
        <v/>
      </c>
      <c r="BS97" s="580" t="str">
        <f>IF('Marks Entry'!AJ97="","",'Marks Entry'!AJ97)</f>
        <v/>
      </c>
      <c r="BT97" s="581" t="str">
        <f t="shared" si="266"/>
        <v/>
      </c>
      <c r="BU97" s="157" t="str">
        <f t="shared" si="267"/>
        <v/>
      </c>
      <c r="BV97" s="157" t="str">
        <f t="shared" si="268"/>
        <v/>
      </c>
      <c r="BW97" s="192" t="str">
        <f t="shared" si="269"/>
        <v/>
      </c>
      <c r="BX97" s="153">
        <f t="shared" si="270"/>
        <v>0</v>
      </c>
      <c r="BY97" s="154">
        <f t="shared" si="271"/>
        <v>0</v>
      </c>
      <c r="BZ97" s="154" t="str">
        <f t="shared" si="272"/>
        <v/>
      </c>
      <c r="CA97" s="154" t="str">
        <f t="shared" si="273"/>
        <v/>
      </c>
      <c r="CB97" s="154" t="str">
        <f t="shared" si="274"/>
        <v/>
      </c>
      <c r="CC97" s="153" t="str">
        <f t="shared" si="275"/>
        <v/>
      </c>
      <c r="CD97" s="154" t="str">
        <f t="shared" si="276"/>
        <v/>
      </c>
      <c r="CE97" s="153" t="str">
        <f t="shared" si="277"/>
        <v/>
      </c>
      <c r="CF97" s="580" t="str">
        <f>IF('Marks Entry'!AK97="","",'Marks Entry'!AK97)</f>
        <v/>
      </c>
      <c r="CG97" s="580" t="str">
        <f>IF('Marks Entry'!AL97="","",'Marks Entry'!AL97)</f>
        <v/>
      </c>
      <c r="CH97" s="580" t="str">
        <f>IF('Marks Entry'!AM97="","",'Marks Entry'!AM97)</f>
        <v/>
      </c>
      <c r="CI97" s="580" t="str">
        <f>IF('Marks Entry'!AN97="","",'Marks Entry'!AN97)</f>
        <v/>
      </c>
      <c r="CJ97" s="581" t="str">
        <f t="shared" si="278"/>
        <v/>
      </c>
      <c r="CK97" s="580" t="str">
        <f>IF('Marks Entry'!AO97="","",'Marks Entry'!AO97)</f>
        <v/>
      </c>
      <c r="CL97" s="580" t="str">
        <f>IF('Marks Entry'!AP97="","",'Marks Entry'!AP97)</f>
        <v/>
      </c>
      <c r="CM97" s="581" t="str">
        <f t="shared" si="279"/>
        <v/>
      </c>
      <c r="CN97" s="581" t="str">
        <f t="shared" si="280"/>
        <v/>
      </c>
      <c r="CO97" s="580" t="str">
        <f>IF('Marks Entry'!AQ97="","",'Marks Entry'!AQ97)</f>
        <v/>
      </c>
      <c r="CP97" s="580" t="str">
        <f>IF('Marks Entry'!AR97="","",'Marks Entry'!AR97)</f>
        <v/>
      </c>
      <c r="CQ97" s="581" t="str">
        <f t="shared" si="281"/>
        <v/>
      </c>
      <c r="CR97" s="157" t="str">
        <f t="shared" si="282"/>
        <v/>
      </c>
      <c r="CS97" s="157" t="str">
        <f t="shared" si="283"/>
        <v/>
      </c>
      <c r="CT97" s="192" t="str">
        <f t="shared" si="284"/>
        <v/>
      </c>
      <c r="CU97" s="153">
        <f t="shared" si="285"/>
        <v>0</v>
      </c>
      <c r="CV97" s="154">
        <f t="shared" si="286"/>
        <v>0</v>
      </c>
      <c r="CW97" s="154" t="str">
        <f t="shared" si="287"/>
        <v/>
      </c>
      <c r="CX97" s="154" t="str">
        <f t="shared" si="288"/>
        <v/>
      </c>
      <c r="CY97" s="154" t="str">
        <f t="shared" si="289"/>
        <v/>
      </c>
      <c r="CZ97" s="153" t="str">
        <f t="shared" si="290"/>
        <v/>
      </c>
      <c r="DA97" s="154" t="str">
        <f t="shared" si="291"/>
        <v/>
      </c>
      <c r="DB97" s="153" t="str">
        <f t="shared" si="292"/>
        <v/>
      </c>
      <c r="DC97" s="154">
        <f t="shared" si="293"/>
        <v>0</v>
      </c>
      <c r="DD97" s="826" t="str">
        <f>IF('Marks Entry'!AS97="","",IF(OR('Master Sheet'!$D$19="YES",'Marks Entry'!$BA$1=1),'Marks Entry'!AS97,""))</f>
        <v/>
      </c>
      <c r="DE97" s="826" t="str">
        <f>IF('Marks Entry'!AT97="","",IF(OR('Master Sheet'!$D$19="YES",'Marks Entry'!$BA$1=1),'Marks Entry'!AT97,""))</f>
        <v/>
      </c>
      <c r="DF97" s="826" t="str">
        <f>IF('Marks Entry'!AU97="","",IF(OR('Master Sheet'!$D$19="YES",'Marks Entry'!$BA$1=1),'Marks Entry'!AU97,""))</f>
        <v/>
      </c>
      <c r="DG97" s="826" t="str">
        <f>IF('Marks Entry'!AV97="","",IF(OR('Master Sheet'!$D$19="YES",'Marks Entry'!$BA$1=1),'Marks Entry'!AV97,""))</f>
        <v/>
      </c>
      <c r="DH97" s="827" t="str">
        <f t="shared" si="294"/>
        <v/>
      </c>
      <c r="DI97" s="826" t="str">
        <f>IF('Marks Entry'!AW97="","",IF(OR('Master Sheet'!$D$19="YES",'Marks Entry'!$BA$1=1),'Marks Entry'!AW97,""))</f>
        <v/>
      </c>
      <c r="DJ97" s="826" t="str">
        <f>IF('Marks Entry'!AX97="","",IF(OR('Master Sheet'!$D$19="YES",'Marks Entry'!$BA$1=1),'Marks Entry'!AX97,""))</f>
        <v/>
      </c>
      <c r="DK97" s="827" t="str">
        <f t="shared" si="295"/>
        <v/>
      </c>
      <c r="DL97" s="827" t="str">
        <f t="shared" si="296"/>
        <v/>
      </c>
      <c r="DM97" s="826" t="str">
        <f>IF('Marks Entry'!AY97="","",IF(OR('Master Sheet'!$D$19="YES",'Marks Entry'!$BA$1=1),'Marks Entry'!AY97,""))</f>
        <v/>
      </c>
      <c r="DN97" s="826" t="str">
        <f>IF('Marks Entry'!AZ97="","",IF(OR('Master Sheet'!$D$19="YES",'Marks Entry'!$BA$1=1),'Marks Entry'!AZ97,""))</f>
        <v/>
      </c>
      <c r="DO97" s="826" t="str">
        <f>IF('Marks Entry'!BA97="","",IF(OR('Master Sheet'!$D$19="YES",'Marks Entry'!$BA$1=1),'Marks Entry'!BA97,""))</f>
        <v/>
      </c>
      <c r="DP97" s="827" t="str">
        <f t="shared" si="297"/>
        <v/>
      </c>
      <c r="DQ97" s="157" t="str">
        <f t="shared" si="298"/>
        <v/>
      </c>
      <c r="DR97" s="157" t="str">
        <f t="shared" si="299"/>
        <v/>
      </c>
      <c r="DS97" s="157" t="str">
        <f t="shared" si="300"/>
        <v/>
      </c>
      <c r="DT97" s="192" t="str">
        <f t="shared" si="301"/>
        <v/>
      </c>
      <c r="DU97" s="153">
        <f t="shared" si="302"/>
        <v>0</v>
      </c>
      <c r="DV97" s="154" t="e">
        <f t="shared" si="303"/>
        <v>#VALUE!</v>
      </c>
      <c r="DW97" s="154" t="str">
        <f t="shared" si="304"/>
        <v/>
      </c>
      <c r="DX97" s="154" t="str">
        <f>IF(OR($B97="NSO",$B97=0,DS97=""),"",IF(AND(DJ97="",DO97=""),"",IF('Master Sheet'!$D$19="YES",$DO$6-COUNTIF(DO97,"ML")*DO$6,DS$6-(COUNTIF(DJ97,"ML")*DJ$6)-(COUNTIF(DO97,"ML")*DO$6))))</f>
        <v/>
      </c>
      <c r="DY97" s="154" t="str">
        <f>IF(OR($B97="NSO",$B97=0),"",IF(AND(DH97="",DI97="",DM97=""),"",IF(AND('Master Sheet'!$D$19="YES",'Marks Entry'!$BA$1=1),100,IF(AND(DJ97="",DO97=""),SUM(($DQ$7+$DR$7)-(DU97+DV97)),SUM(($DQ$6+$DR$6)-(DU97+DV97))))))</f>
        <v/>
      </c>
      <c r="DZ97" s="153" t="str">
        <f t="shared" si="305"/>
        <v/>
      </c>
      <c r="EA97" s="154" t="str">
        <f t="shared" si="306"/>
        <v/>
      </c>
      <c r="EB97" s="153" t="str">
        <f t="shared" si="307"/>
        <v/>
      </c>
      <c r="EC97" s="584" t="str">
        <f>IF('Marks Entry'!BB97="","",'Marks Entry'!BB97)</f>
        <v/>
      </c>
      <c r="ED97" s="584" t="str">
        <f>IF('Marks Entry'!BC97="","",'Marks Entry'!BC97)</f>
        <v/>
      </c>
      <c r="EE97" s="584" t="str">
        <f>IF('Marks Entry'!BD97="","",'Marks Entry'!BD97)</f>
        <v/>
      </c>
      <c r="EF97" s="590" t="str">
        <f t="shared" si="308"/>
        <v/>
      </c>
      <c r="EG97" s="595">
        <f t="shared" si="309"/>
        <v>0</v>
      </c>
      <c r="EH97" s="595">
        <f t="shared" si="310"/>
        <v>0</v>
      </c>
      <c r="EI97" s="193" t="str">
        <f t="shared" si="311"/>
        <v/>
      </c>
      <c r="EJ97" s="595" t="str">
        <f t="shared" si="312"/>
        <v/>
      </c>
      <c r="EK97" s="595" t="str">
        <f t="shared" si="313"/>
        <v/>
      </c>
      <c r="EL97" s="194" t="str">
        <f t="shared" si="314"/>
        <v/>
      </c>
      <c r="EM97" s="194" t="str">
        <f t="shared" si="315"/>
        <v/>
      </c>
      <c r="EN97" s="194" t="str">
        <f t="shared" si="316"/>
        <v/>
      </c>
      <c r="EO97" s="194" t="str">
        <f t="shared" si="317"/>
        <v/>
      </c>
      <c r="EP97" s="194" t="str">
        <f t="shared" si="318"/>
        <v/>
      </c>
      <c r="EQ97" s="194" t="str">
        <f t="shared" si="319"/>
        <v/>
      </c>
      <c r="ER97" s="195">
        <f t="shared" si="320"/>
        <v>0</v>
      </c>
      <c r="ES97" s="195">
        <f t="shared" si="321"/>
        <v>0</v>
      </c>
      <c r="ET97" s="195">
        <f t="shared" si="322"/>
        <v>0</v>
      </c>
      <c r="EU97" s="195">
        <f t="shared" si="323"/>
        <v>0</v>
      </c>
      <c r="EV97" s="195">
        <f t="shared" si="324"/>
        <v>0</v>
      </c>
      <c r="EW97" s="195" t="str">
        <f t="shared" si="325"/>
        <v/>
      </c>
      <c r="EX97" s="196" t="str">
        <f t="shared" si="326"/>
        <v/>
      </c>
      <c r="EY97" s="197" t="str">
        <f>IF('Marks Entry'!BE97="","",'Marks Entry'!BE97)</f>
        <v/>
      </c>
      <c r="EZ97" s="197" t="str">
        <f>IF('Marks Entry'!BF97="","",'Marks Entry'!BF97)</f>
        <v/>
      </c>
      <c r="FA97" s="197" t="str">
        <f>IF('Marks Entry'!BG97="","",'Marks Entry'!BG97)</f>
        <v/>
      </c>
      <c r="FB97" s="596" t="str">
        <f t="shared" si="327"/>
        <v/>
      </c>
      <c r="FC97" s="197" t="str">
        <f>IF('Marks Entry'!BH97="","",'Marks Entry'!BH97)</f>
        <v/>
      </c>
      <c r="FD97" s="197" t="str">
        <f>IF('Marks Entry'!BI97="","",'Marks Entry'!BI97)</f>
        <v/>
      </c>
      <c r="FE97" s="198" t="str">
        <f t="shared" si="328"/>
        <v/>
      </c>
      <c r="FF97" s="199" t="str">
        <f t="shared" si="329"/>
        <v/>
      </c>
      <c r="FG97" s="200" t="str">
        <f>IF(AND(E97=""),"",IF('Student DATA Entry'!L93="","",'Student DATA Entry'!L93))</f>
        <v/>
      </c>
      <c r="FH97" s="201" t="str">
        <f>IF(AND(E97=""),"",IF('Student DATA Entry'!M93="","",'Student DATA Entry'!M93))</f>
        <v/>
      </c>
      <c r="FI97" s="202" t="str">
        <f t="shared" si="330"/>
        <v/>
      </c>
      <c r="FJ97" s="189" t="str">
        <f t="shared" si="331"/>
        <v/>
      </c>
      <c r="FK97" s="189" t="str">
        <f t="shared" si="332"/>
        <v/>
      </c>
      <c r="FL97" s="203" t="str">
        <f t="shared" si="201"/>
        <v/>
      </c>
      <c r="FM97" s="189" t="str">
        <f t="shared" si="333"/>
        <v/>
      </c>
      <c r="FN97" s="204" t="str">
        <f t="shared" si="334"/>
        <v/>
      </c>
      <c r="FO97" s="203" t="str">
        <f t="shared" si="202"/>
        <v/>
      </c>
      <c r="FP97" s="205" t="str">
        <f t="shared" si="335"/>
        <v/>
      </c>
      <c r="FQ97" s="189" t="str">
        <f t="shared" si="203"/>
        <v/>
      </c>
      <c r="FR97" s="189" t="str">
        <f t="shared" si="204"/>
        <v/>
      </c>
      <c r="FS97" s="189" t="str">
        <f t="shared" si="205"/>
        <v/>
      </c>
      <c r="FT97" s="189" t="str">
        <f t="shared" si="206"/>
        <v/>
      </c>
      <c r="FU97" s="189" t="str">
        <f t="shared" si="336"/>
        <v/>
      </c>
      <c r="FV97" s="206" t="str">
        <f t="shared" si="207"/>
        <v/>
      </c>
      <c r="FW97" s="205" t="str">
        <f t="shared" si="337"/>
        <v/>
      </c>
      <c r="FX97" s="189" t="str">
        <f t="shared" si="208"/>
        <v/>
      </c>
      <c r="FY97" s="189" t="str">
        <f t="shared" si="209"/>
        <v/>
      </c>
      <c r="FZ97" s="189" t="str">
        <f t="shared" si="210"/>
        <v/>
      </c>
      <c r="GA97" s="189" t="str">
        <f t="shared" si="211"/>
        <v/>
      </c>
      <c r="GB97" s="189" t="str">
        <f t="shared" si="338"/>
        <v/>
      </c>
      <c r="GC97" s="206" t="str">
        <f t="shared" si="212"/>
        <v/>
      </c>
      <c r="GD97" s="205" t="str">
        <f t="shared" si="339"/>
        <v/>
      </c>
      <c r="GE97" s="189" t="str">
        <f t="shared" si="213"/>
        <v/>
      </c>
      <c r="GF97" s="189" t="str">
        <f t="shared" si="214"/>
        <v/>
      </c>
      <c r="GG97" s="189" t="str">
        <f t="shared" si="215"/>
        <v/>
      </c>
      <c r="GH97" s="189" t="str">
        <f t="shared" si="216"/>
        <v/>
      </c>
      <c r="GI97" s="189" t="str">
        <f t="shared" si="340"/>
        <v/>
      </c>
      <c r="GJ97" s="206" t="str">
        <f t="shared" si="217"/>
        <v/>
      </c>
      <c r="GK97" s="205" t="str">
        <f t="shared" si="341"/>
        <v/>
      </c>
      <c r="GL97" s="189" t="str">
        <f t="shared" si="218"/>
        <v/>
      </c>
      <c r="GM97" s="189" t="str">
        <f t="shared" si="219"/>
        <v/>
      </c>
      <c r="GN97" s="189" t="str">
        <f t="shared" si="220"/>
        <v/>
      </c>
      <c r="GO97" s="189" t="str">
        <f t="shared" si="221"/>
        <v/>
      </c>
      <c r="GP97" s="189" t="str">
        <f t="shared" si="342"/>
        <v/>
      </c>
      <c r="GQ97" s="206" t="str">
        <f t="shared" si="222"/>
        <v/>
      </c>
      <c r="GR97" s="189" t="str">
        <f t="shared" si="343"/>
        <v/>
      </c>
      <c r="GS97" s="189" t="str">
        <f t="shared" si="344"/>
        <v/>
      </c>
      <c r="GT97" s="207" t="str">
        <f t="shared" si="345"/>
        <v xml:space="preserve">    </v>
      </c>
      <c r="GU97" s="207" t="str">
        <f t="shared" si="346"/>
        <v xml:space="preserve">    </v>
      </c>
      <c r="GV97" s="207" t="str">
        <f t="shared" si="347"/>
        <v xml:space="preserve">    </v>
      </c>
      <c r="GW97" s="207" t="str">
        <f t="shared" si="348"/>
        <v xml:space="preserve">       </v>
      </c>
      <c r="GX97" s="598" t="str">
        <f t="shared" si="349"/>
        <v xml:space="preserve">     </v>
      </c>
      <c r="GY97" s="208" t="str">
        <f t="shared" si="223"/>
        <v/>
      </c>
      <c r="GZ97" s="606" t="str">
        <f>IF(AND(Q97="",AE97="",AZ97="",BW97="",CT97=""),"",IF(AND('Master Sheet'!$D$19="YES",'Marks Entry'!$BA$1=1),SUM(Q97,AE97,AZ97,BW97,DT97),SUM(Q97,AE97,AZ97,BW97,CT97)))</f>
        <v/>
      </c>
      <c r="HA97" s="209" t="str">
        <f>IF(GZ97="","",IF(AND('Master Sheet'!$D$19="YES",'Marks Entry'!$BA$1=1),GZ97/((900)-DC97)*100,GZ97/((1000)-DC97)*100))</f>
        <v/>
      </c>
      <c r="HB97" s="611" t="str">
        <f t="shared" si="350"/>
        <v/>
      </c>
      <c r="HC97" s="609" t="str">
        <f t="shared" si="351"/>
        <v/>
      </c>
      <c r="HD97" s="610" t="str">
        <f t="shared" si="352"/>
        <v/>
      </c>
      <c r="HE97" s="210" t="str">
        <f>IFERROR(IF(OR(GY97="SUPPLEMENTARY",GY97="RE-EXAM"),'Supp. Result Entry'!AS96,""),"")</f>
        <v/>
      </c>
      <c r="HF97" s="613" t="str">
        <f t="shared" si="353"/>
        <v/>
      </c>
      <c r="HG97" s="598" t="str">
        <f t="shared" si="354"/>
        <v/>
      </c>
      <c r="HH97" s="598" t="str">
        <f>IF(AND(HE97="",HF97="",HG97=""),"",IF(OR(GY97="SUPPLEMENTARY",GY97="RE-EXAM"),'Supp. Result Entry'!AS96,GY97))</f>
        <v/>
      </c>
      <c r="HI97" s="180"/>
      <c r="HY97" s="212" t="str">
        <f>IF('Supp. Result Entry'!U96="","",'Supp. Result Entry'!$U$6)</f>
        <v/>
      </c>
      <c r="HZ97" s="213" t="str">
        <f>IF('Supp. Result Entry'!X96="","",'Supp. Result Entry'!$X$6)</f>
        <v/>
      </c>
      <c r="IA97" s="213" t="str">
        <f>IF('Supp. Result Entry'!AA96="","",'Supp. Result Entry'!$AA$6)</f>
        <v/>
      </c>
      <c r="IB97" s="213" t="str">
        <f>IF('Supp. Result Entry'!AD96="","",'Supp. Result Entry'!$AD$6)</f>
        <v/>
      </c>
      <c r="IC97" s="213" t="str">
        <f>IF('Supp. Result Entry'!AG96="","",'Supp. Result Entry'!$AG$6)</f>
        <v/>
      </c>
      <c r="ID97" s="213" t="str">
        <f>IF('Supp. Result Entry'!AJ96="","",'Supp. Result Entry'!$AJ$6)</f>
        <v/>
      </c>
      <c r="IE97" s="213" t="str">
        <f>IF('Supp. Result Entry'!V96="","",'Supp. Result Entry'!V96)</f>
        <v/>
      </c>
      <c r="IF97" s="213" t="str">
        <f>IF('Supp. Result Entry'!Y96="","",'Supp. Result Entry'!Y96)</f>
        <v/>
      </c>
      <c r="IG97" s="213" t="str">
        <f>IF('Supp. Result Entry'!AB96="","",'Supp. Result Entry'!AB96)</f>
        <v/>
      </c>
      <c r="IH97" s="213" t="str">
        <f>IF('Supp. Result Entry'!AE96="","",'Supp. Result Entry'!AE96)</f>
        <v/>
      </c>
      <c r="II97" s="213" t="str">
        <f>IF('Supp. Result Entry'!AH96="","",'Supp. Result Entry'!AH96)</f>
        <v/>
      </c>
      <c r="IJ97" s="213" t="str">
        <f>IF('Supp. Result Entry'!AK96="","",'Supp. Result Entry'!AK96)</f>
        <v/>
      </c>
      <c r="IK97" s="213" t="str">
        <f>IF('Supp. Result Entry'!W96="","",'Supp. Result Entry'!W96)</f>
        <v/>
      </c>
      <c r="IL97" s="213" t="str">
        <f>IF('Supp. Result Entry'!Z96="","",'Supp. Result Entry'!Z96)</f>
        <v/>
      </c>
      <c r="IM97" s="213" t="str">
        <f>IF('Supp. Result Entry'!AC96="","",'Supp. Result Entry'!AC96)</f>
        <v/>
      </c>
      <c r="IN97" s="213" t="str">
        <f>IF('Supp. Result Entry'!AF96="","",'Supp. Result Entry'!AF96)</f>
        <v/>
      </c>
      <c r="IO97" s="213" t="str">
        <f>IF('Supp. Result Entry'!AI96="","",'Supp. Result Entry'!AI96)</f>
        <v/>
      </c>
      <c r="IP97" s="213" t="str">
        <f>IF('Supp. Result Entry'!AL96="","",'Supp. Result Entry'!AL96)</f>
        <v/>
      </c>
      <c r="IQ97" s="213">
        <f>COUNTIF('Supp. Result Entry'!K96:Q96,"S")</f>
        <v>0</v>
      </c>
      <c r="IR97" s="213">
        <f t="shared" si="355"/>
        <v>0</v>
      </c>
      <c r="IS97" s="213">
        <f t="shared" si="356"/>
        <v>0</v>
      </c>
      <c r="IT97" s="213" t="str">
        <f t="shared" si="224"/>
        <v/>
      </c>
      <c r="IU97" s="213" t="str">
        <f t="shared" si="225"/>
        <v/>
      </c>
      <c r="IV97" s="213" t="str">
        <f t="shared" si="226"/>
        <v/>
      </c>
      <c r="IW97" s="213" t="str">
        <f t="shared" si="227"/>
        <v/>
      </c>
      <c r="IX97" s="213" t="str">
        <f t="shared" si="228"/>
        <v/>
      </c>
      <c r="IY97" s="213" t="str">
        <f t="shared" si="357"/>
        <v/>
      </c>
      <c r="IZ97" s="213" t="str">
        <f t="shared" si="358"/>
        <v/>
      </c>
      <c r="JA97" s="213" t="str">
        <f t="shared" si="229"/>
        <v/>
      </c>
      <c r="JB97" s="211" t="str">
        <f t="shared" si="359"/>
        <v/>
      </c>
    </row>
    <row r="98" spans="1:262" s="211" customFormat="1" ht="21" customHeight="1">
      <c r="A98" s="184">
        <v>91</v>
      </c>
      <c r="B98" s="185" t="str">
        <f>IF('Marks Entry'!B98="","",'Marks Entry'!B98)</f>
        <v/>
      </c>
      <c r="C98" s="186" t="str">
        <f>IF('Marks Entry'!D98="","",'Marks Entry'!D98)</f>
        <v/>
      </c>
      <c r="D98" s="187" t="str">
        <f>IF('Marks Entry'!E98="","",'Marks Entry'!E98)</f>
        <v/>
      </c>
      <c r="E98" s="188" t="str">
        <f>IF('Marks Entry'!F98="","",'Marks Entry'!F98)</f>
        <v/>
      </c>
      <c r="F98" s="188" t="str">
        <f>IF('Marks Entry'!G98="","",'Marks Entry'!G98)</f>
        <v/>
      </c>
      <c r="G98" s="188" t="str">
        <f>IF('Marks Entry'!H98="","",'Marks Entry'!H98)</f>
        <v/>
      </c>
      <c r="H98" s="189" t="str">
        <f>IF('Marks Entry'!I98="","",'Marks Entry'!I98)</f>
        <v/>
      </c>
      <c r="I98" s="190" t="str">
        <f>IF('Marks Entry'!J98="","",'Marks Entry'!J98)</f>
        <v/>
      </c>
      <c r="J98" s="545" t="str">
        <f>IF('Marks Entry'!K98="","",'Marks Entry'!K98)</f>
        <v/>
      </c>
      <c r="K98" s="545" t="str">
        <f>IF('Marks Entry'!L98="","",'Marks Entry'!L98)</f>
        <v/>
      </c>
      <c r="L98" s="545" t="str">
        <f>IF('Marks Entry'!M98="","",'Marks Entry'!M98)</f>
        <v/>
      </c>
      <c r="M98" s="546" t="str">
        <f t="shared" si="230"/>
        <v/>
      </c>
      <c r="N98" s="545" t="str">
        <f>IF('Marks Entry'!N98="","",'Marks Entry'!N98)</f>
        <v/>
      </c>
      <c r="O98" s="546" t="str">
        <f t="shared" si="231"/>
        <v/>
      </c>
      <c r="P98" s="545" t="str">
        <f>IF('Marks Entry'!O98="","",'Marks Entry'!O98)</f>
        <v/>
      </c>
      <c r="Q98" s="547" t="str">
        <f t="shared" si="232"/>
        <v/>
      </c>
      <c r="R98" s="153">
        <f t="shared" si="233"/>
        <v>0</v>
      </c>
      <c r="S98" s="153">
        <f t="shared" si="234"/>
        <v>0</v>
      </c>
      <c r="T98" s="154" t="str">
        <f t="shared" si="235"/>
        <v/>
      </c>
      <c r="U98" s="153" t="str">
        <f t="shared" si="236"/>
        <v/>
      </c>
      <c r="V98" s="153" t="str">
        <f t="shared" si="237"/>
        <v/>
      </c>
      <c r="W98" s="153" t="str">
        <f t="shared" si="238"/>
        <v/>
      </c>
      <c r="X98" s="545" t="str">
        <f>IF('Marks Entry'!P98="","",'Marks Entry'!P98)</f>
        <v/>
      </c>
      <c r="Y98" s="545" t="str">
        <f>IF('Marks Entry'!Q98="","",'Marks Entry'!Q98)</f>
        <v/>
      </c>
      <c r="Z98" s="545" t="str">
        <f>IF('Marks Entry'!R98="","",'Marks Entry'!R98)</f>
        <v/>
      </c>
      <c r="AA98" s="546" t="str">
        <f t="shared" si="239"/>
        <v/>
      </c>
      <c r="AB98" s="545" t="str">
        <f>IF('Marks Entry'!S98="","",'Marks Entry'!S98)</f>
        <v/>
      </c>
      <c r="AC98" s="546" t="str">
        <f t="shared" si="240"/>
        <v/>
      </c>
      <c r="AD98" s="545" t="str">
        <f>IF('Marks Entry'!T98="","",'Marks Entry'!T98)</f>
        <v/>
      </c>
      <c r="AE98" s="547" t="str">
        <f t="shared" si="241"/>
        <v/>
      </c>
      <c r="AF98" s="153">
        <f t="shared" si="242"/>
        <v>0</v>
      </c>
      <c r="AG98" s="153">
        <f t="shared" si="243"/>
        <v>0</v>
      </c>
      <c r="AH98" s="154" t="str">
        <f t="shared" si="244"/>
        <v/>
      </c>
      <c r="AI98" s="153" t="str">
        <f t="shared" si="245"/>
        <v/>
      </c>
      <c r="AJ98" s="153" t="str">
        <f t="shared" si="246"/>
        <v/>
      </c>
      <c r="AK98" s="153" t="str">
        <f t="shared" si="247"/>
        <v/>
      </c>
      <c r="AL98" s="573" t="str">
        <f>IF('Marks Entry'!U98="","",'Marks Entry'!U98)</f>
        <v/>
      </c>
      <c r="AM98" s="573" t="str">
        <f>IF('Marks Entry'!V98="","",'Marks Entry'!V98)</f>
        <v/>
      </c>
      <c r="AN98" s="573" t="str">
        <f>IF('Marks Entry'!W98="","",'Marks Entry'!W98)</f>
        <v/>
      </c>
      <c r="AO98" s="573" t="str">
        <f>IF('Marks Entry'!X98="","",'Marks Entry'!X98)</f>
        <v/>
      </c>
      <c r="AP98" s="572" t="str">
        <f t="shared" si="248"/>
        <v/>
      </c>
      <c r="AQ98" s="573" t="str">
        <f>IF('Marks Entry'!Y98="","",'Marks Entry'!Y98)</f>
        <v/>
      </c>
      <c r="AR98" s="573" t="str">
        <f>IF('Marks Entry'!Z98="","",'Marks Entry'!Z98)</f>
        <v/>
      </c>
      <c r="AS98" s="572" t="str">
        <f t="shared" si="249"/>
        <v/>
      </c>
      <c r="AT98" s="572" t="str">
        <f t="shared" si="250"/>
        <v/>
      </c>
      <c r="AU98" s="573" t="str">
        <f>IF('Marks Entry'!AA98="","",'Marks Entry'!AA98)</f>
        <v/>
      </c>
      <c r="AV98" s="573" t="str">
        <f>IF('Marks Entry'!AB98="","",'Marks Entry'!AB98)</f>
        <v/>
      </c>
      <c r="AW98" s="572" t="str">
        <f t="shared" si="251"/>
        <v/>
      </c>
      <c r="AX98" s="157" t="str">
        <f t="shared" si="252"/>
        <v/>
      </c>
      <c r="AY98" s="157" t="str">
        <f t="shared" si="253"/>
        <v/>
      </c>
      <c r="AZ98" s="192" t="str">
        <f t="shared" si="254"/>
        <v/>
      </c>
      <c r="BA98" s="153">
        <f t="shared" si="255"/>
        <v>0</v>
      </c>
      <c r="BB98" s="154">
        <f t="shared" si="256"/>
        <v>0</v>
      </c>
      <c r="BC98" s="154" t="str">
        <f t="shared" si="257"/>
        <v/>
      </c>
      <c r="BD98" s="154" t="str">
        <f t="shared" si="258"/>
        <v/>
      </c>
      <c r="BE98" s="154" t="str">
        <f t="shared" si="259"/>
        <v/>
      </c>
      <c r="BF98" s="153" t="str">
        <f t="shared" si="260"/>
        <v/>
      </c>
      <c r="BG98" s="154" t="str">
        <f t="shared" si="261"/>
        <v/>
      </c>
      <c r="BH98" s="153" t="str">
        <f t="shared" si="262"/>
        <v/>
      </c>
      <c r="BI98" s="580" t="str">
        <f>IF('Marks Entry'!AC98="","",'Marks Entry'!AC98)</f>
        <v/>
      </c>
      <c r="BJ98" s="580" t="str">
        <f>IF('Marks Entry'!AD98="","",'Marks Entry'!AD98)</f>
        <v/>
      </c>
      <c r="BK98" s="580" t="str">
        <f>IF('Marks Entry'!AE98="","",'Marks Entry'!AE98)</f>
        <v/>
      </c>
      <c r="BL98" s="580" t="str">
        <f>IF('Marks Entry'!AF98="","",'Marks Entry'!AF98)</f>
        <v/>
      </c>
      <c r="BM98" s="581" t="str">
        <f t="shared" si="263"/>
        <v/>
      </c>
      <c r="BN98" s="580" t="str">
        <f>IF('Marks Entry'!AG98="","",'Marks Entry'!AG98)</f>
        <v/>
      </c>
      <c r="BO98" s="580" t="str">
        <f>IF('Marks Entry'!AH98="","",'Marks Entry'!AH98)</f>
        <v/>
      </c>
      <c r="BP98" s="581" t="str">
        <f t="shared" si="264"/>
        <v/>
      </c>
      <c r="BQ98" s="581" t="str">
        <f t="shared" si="265"/>
        <v/>
      </c>
      <c r="BR98" s="580" t="str">
        <f>IF('Marks Entry'!AI98="","",'Marks Entry'!AI98)</f>
        <v/>
      </c>
      <c r="BS98" s="580" t="str">
        <f>IF('Marks Entry'!AJ98="","",'Marks Entry'!AJ98)</f>
        <v/>
      </c>
      <c r="BT98" s="581" t="str">
        <f t="shared" si="266"/>
        <v/>
      </c>
      <c r="BU98" s="157" t="str">
        <f t="shared" si="267"/>
        <v/>
      </c>
      <c r="BV98" s="157" t="str">
        <f t="shared" si="268"/>
        <v/>
      </c>
      <c r="BW98" s="192" t="str">
        <f t="shared" si="269"/>
        <v/>
      </c>
      <c r="BX98" s="153">
        <f t="shared" si="270"/>
        <v>0</v>
      </c>
      <c r="BY98" s="154">
        <f t="shared" si="271"/>
        <v>0</v>
      </c>
      <c r="BZ98" s="154" t="str">
        <f t="shared" si="272"/>
        <v/>
      </c>
      <c r="CA98" s="154" t="str">
        <f t="shared" si="273"/>
        <v/>
      </c>
      <c r="CB98" s="154" t="str">
        <f t="shared" si="274"/>
        <v/>
      </c>
      <c r="CC98" s="153" t="str">
        <f t="shared" si="275"/>
        <v/>
      </c>
      <c r="CD98" s="154" t="str">
        <f t="shared" si="276"/>
        <v/>
      </c>
      <c r="CE98" s="153" t="str">
        <f t="shared" si="277"/>
        <v/>
      </c>
      <c r="CF98" s="580" t="str">
        <f>IF('Marks Entry'!AK98="","",'Marks Entry'!AK98)</f>
        <v/>
      </c>
      <c r="CG98" s="580" t="str">
        <f>IF('Marks Entry'!AL98="","",'Marks Entry'!AL98)</f>
        <v/>
      </c>
      <c r="CH98" s="580" t="str">
        <f>IF('Marks Entry'!AM98="","",'Marks Entry'!AM98)</f>
        <v/>
      </c>
      <c r="CI98" s="580" t="str">
        <f>IF('Marks Entry'!AN98="","",'Marks Entry'!AN98)</f>
        <v/>
      </c>
      <c r="CJ98" s="581" t="str">
        <f t="shared" si="278"/>
        <v/>
      </c>
      <c r="CK98" s="580" t="str">
        <f>IF('Marks Entry'!AO98="","",'Marks Entry'!AO98)</f>
        <v/>
      </c>
      <c r="CL98" s="580" t="str">
        <f>IF('Marks Entry'!AP98="","",'Marks Entry'!AP98)</f>
        <v/>
      </c>
      <c r="CM98" s="581" t="str">
        <f t="shared" si="279"/>
        <v/>
      </c>
      <c r="CN98" s="581" t="str">
        <f t="shared" si="280"/>
        <v/>
      </c>
      <c r="CO98" s="580" t="str">
        <f>IF('Marks Entry'!AQ98="","",'Marks Entry'!AQ98)</f>
        <v/>
      </c>
      <c r="CP98" s="580" t="str">
        <f>IF('Marks Entry'!AR98="","",'Marks Entry'!AR98)</f>
        <v/>
      </c>
      <c r="CQ98" s="581" t="str">
        <f t="shared" si="281"/>
        <v/>
      </c>
      <c r="CR98" s="157" t="str">
        <f t="shared" si="282"/>
        <v/>
      </c>
      <c r="CS98" s="157" t="str">
        <f t="shared" si="283"/>
        <v/>
      </c>
      <c r="CT98" s="192" t="str">
        <f t="shared" si="284"/>
        <v/>
      </c>
      <c r="CU98" s="153">
        <f t="shared" si="285"/>
        <v>0</v>
      </c>
      <c r="CV98" s="154">
        <f t="shared" si="286"/>
        <v>0</v>
      </c>
      <c r="CW98" s="154" t="str">
        <f t="shared" si="287"/>
        <v/>
      </c>
      <c r="CX98" s="154" t="str">
        <f t="shared" si="288"/>
        <v/>
      </c>
      <c r="CY98" s="154" t="str">
        <f t="shared" si="289"/>
        <v/>
      </c>
      <c r="CZ98" s="153" t="str">
        <f t="shared" si="290"/>
        <v/>
      </c>
      <c r="DA98" s="154" t="str">
        <f t="shared" si="291"/>
        <v/>
      </c>
      <c r="DB98" s="153" t="str">
        <f t="shared" si="292"/>
        <v/>
      </c>
      <c r="DC98" s="154">
        <f t="shared" si="293"/>
        <v>0</v>
      </c>
      <c r="DD98" s="826" t="str">
        <f>IF('Marks Entry'!AS98="","",IF(OR('Master Sheet'!$D$19="YES",'Marks Entry'!$BA$1=1),'Marks Entry'!AS98,""))</f>
        <v/>
      </c>
      <c r="DE98" s="826" t="str">
        <f>IF('Marks Entry'!AT98="","",IF(OR('Master Sheet'!$D$19="YES",'Marks Entry'!$BA$1=1),'Marks Entry'!AT98,""))</f>
        <v/>
      </c>
      <c r="DF98" s="826" t="str">
        <f>IF('Marks Entry'!AU98="","",IF(OR('Master Sheet'!$D$19="YES",'Marks Entry'!$BA$1=1),'Marks Entry'!AU98,""))</f>
        <v/>
      </c>
      <c r="DG98" s="826" t="str">
        <f>IF('Marks Entry'!AV98="","",IF(OR('Master Sheet'!$D$19="YES",'Marks Entry'!$BA$1=1),'Marks Entry'!AV98,""))</f>
        <v/>
      </c>
      <c r="DH98" s="827" t="str">
        <f t="shared" si="294"/>
        <v/>
      </c>
      <c r="DI98" s="826" t="str">
        <f>IF('Marks Entry'!AW98="","",IF(OR('Master Sheet'!$D$19="YES",'Marks Entry'!$BA$1=1),'Marks Entry'!AW98,""))</f>
        <v/>
      </c>
      <c r="DJ98" s="826" t="str">
        <f>IF('Marks Entry'!AX98="","",IF(OR('Master Sheet'!$D$19="YES",'Marks Entry'!$BA$1=1),'Marks Entry'!AX98,""))</f>
        <v/>
      </c>
      <c r="DK98" s="827" t="str">
        <f t="shared" si="295"/>
        <v/>
      </c>
      <c r="DL98" s="827" t="str">
        <f t="shared" si="296"/>
        <v/>
      </c>
      <c r="DM98" s="826" t="str">
        <f>IF('Marks Entry'!AY98="","",IF(OR('Master Sheet'!$D$19="YES",'Marks Entry'!$BA$1=1),'Marks Entry'!AY98,""))</f>
        <v/>
      </c>
      <c r="DN98" s="826" t="str">
        <f>IF('Marks Entry'!AZ98="","",IF(OR('Master Sheet'!$D$19="YES",'Marks Entry'!$BA$1=1),'Marks Entry'!AZ98,""))</f>
        <v/>
      </c>
      <c r="DO98" s="826" t="str">
        <f>IF('Marks Entry'!BA98="","",IF(OR('Master Sheet'!$D$19="YES",'Marks Entry'!$BA$1=1),'Marks Entry'!BA98,""))</f>
        <v/>
      </c>
      <c r="DP98" s="827" t="str">
        <f t="shared" si="297"/>
        <v/>
      </c>
      <c r="DQ98" s="157" t="str">
        <f t="shared" si="298"/>
        <v/>
      </c>
      <c r="DR98" s="157" t="str">
        <f t="shared" si="299"/>
        <v/>
      </c>
      <c r="DS98" s="157" t="str">
        <f t="shared" si="300"/>
        <v/>
      </c>
      <c r="DT98" s="192" t="str">
        <f t="shared" si="301"/>
        <v/>
      </c>
      <c r="DU98" s="153">
        <f t="shared" si="302"/>
        <v>0</v>
      </c>
      <c r="DV98" s="154" t="e">
        <f t="shared" si="303"/>
        <v>#VALUE!</v>
      </c>
      <c r="DW98" s="154" t="str">
        <f t="shared" si="304"/>
        <v/>
      </c>
      <c r="DX98" s="154" t="str">
        <f>IF(OR($B98="NSO",$B98=0,DS98=""),"",IF(AND(DJ98="",DO98=""),"",IF('Master Sheet'!$D$19="YES",$DO$6-COUNTIF(DO98,"ML")*DO$6,DS$6-(COUNTIF(DJ98,"ML")*DJ$6)-(COUNTIF(DO98,"ML")*DO$6))))</f>
        <v/>
      </c>
      <c r="DY98" s="154" t="str">
        <f>IF(OR($B98="NSO",$B98=0),"",IF(AND(DH98="",DI98="",DM98=""),"",IF(AND('Master Sheet'!$D$19="YES",'Marks Entry'!$BA$1=1),100,IF(AND(DJ98="",DO98=""),SUM(($DQ$7+$DR$7)-(DU98+DV98)),SUM(($DQ$6+$DR$6)-(DU98+DV98))))))</f>
        <v/>
      </c>
      <c r="DZ98" s="153" t="str">
        <f t="shared" si="305"/>
        <v/>
      </c>
      <c r="EA98" s="154" t="str">
        <f t="shared" si="306"/>
        <v/>
      </c>
      <c r="EB98" s="153" t="str">
        <f t="shared" si="307"/>
        <v/>
      </c>
      <c r="EC98" s="584" t="str">
        <f>IF('Marks Entry'!BB98="","",'Marks Entry'!BB98)</f>
        <v/>
      </c>
      <c r="ED98" s="584" t="str">
        <f>IF('Marks Entry'!BC98="","",'Marks Entry'!BC98)</f>
        <v/>
      </c>
      <c r="EE98" s="584" t="str">
        <f>IF('Marks Entry'!BD98="","",'Marks Entry'!BD98)</f>
        <v/>
      </c>
      <c r="EF98" s="590" t="str">
        <f t="shared" si="308"/>
        <v/>
      </c>
      <c r="EG98" s="595">
        <f t="shared" si="309"/>
        <v>0</v>
      </c>
      <c r="EH98" s="595">
        <f t="shared" si="310"/>
        <v>0</v>
      </c>
      <c r="EI98" s="193" t="str">
        <f t="shared" si="311"/>
        <v/>
      </c>
      <c r="EJ98" s="595" t="str">
        <f t="shared" si="312"/>
        <v/>
      </c>
      <c r="EK98" s="595" t="str">
        <f t="shared" si="313"/>
        <v/>
      </c>
      <c r="EL98" s="194" t="str">
        <f t="shared" si="314"/>
        <v/>
      </c>
      <c r="EM98" s="194" t="str">
        <f t="shared" si="315"/>
        <v/>
      </c>
      <c r="EN98" s="194" t="str">
        <f t="shared" si="316"/>
        <v/>
      </c>
      <c r="EO98" s="194" t="str">
        <f t="shared" si="317"/>
        <v/>
      </c>
      <c r="EP98" s="194" t="str">
        <f t="shared" si="318"/>
        <v/>
      </c>
      <c r="EQ98" s="194" t="str">
        <f t="shared" si="319"/>
        <v/>
      </c>
      <c r="ER98" s="195">
        <f t="shared" si="320"/>
        <v>0</v>
      </c>
      <c r="ES98" s="195">
        <f t="shared" si="321"/>
        <v>0</v>
      </c>
      <c r="ET98" s="195">
        <f t="shared" si="322"/>
        <v>0</v>
      </c>
      <c r="EU98" s="195">
        <f t="shared" si="323"/>
        <v>0</v>
      </c>
      <c r="EV98" s="195">
        <f t="shared" si="324"/>
        <v>0</v>
      </c>
      <c r="EW98" s="195" t="str">
        <f t="shared" si="325"/>
        <v/>
      </c>
      <c r="EX98" s="196" t="str">
        <f t="shared" si="326"/>
        <v/>
      </c>
      <c r="EY98" s="197" t="str">
        <f>IF('Marks Entry'!BE98="","",'Marks Entry'!BE98)</f>
        <v/>
      </c>
      <c r="EZ98" s="197" t="str">
        <f>IF('Marks Entry'!BF98="","",'Marks Entry'!BF98)</f>
        <v/>
      </c>
      <c r="FA98" s="197" t="str">
        <f>IF('Marks Entry'!BG98="","",'Marks Entry'!BG98)</f>
        <v/>
      </c>
      <c r="FB98" s="596" t="str">
        <f t="shared" si="327"/>
        <v/>
      </c>
      <c r="FC98" s="197" t="str">
        <f>IF('Marks Entry'!BH98="","",'Marks Entry'!BH98)</f>
        <v/>
      </c>
      <c r="FD98" s="197" t="str">
        <f>IF('Marks Entry'!BI98="","",'Marks Entry'!BI98)</f>
        <v/>
      </c>
      <c r="FE98" s="198" t="str">
        <f t="shared" si="328"/>
        <v/>
      </c>
      <c r="FF98" s="199" t="str">
        <f t="shared" si="329"/>
        <v/>
      </c>
      <c r="FG98" s="200" t="str">
        <f>IF(AND(E98=""),"",IF('Student DATA Entry'!L94="","",'Student DATA Entry'!L94))</f>
        <v/>
      </c>
      <c r="FH98" s="201" t="str">
        <f>IF(AND(E98=""),"",IF('Student DATA Entry'!M94="","",'Student DATA Entry'!M94))</f>
        <v/>
      </c>
      <c r="FI98" s="202" t="str">
        <f t="shared" si="330"/>
        <v/>
      </c>
      <c r="FJ98" s="189" t="str">
        <f t="shared" si="331"/>
        <v/>
      </c>
      <c r="FK98" s="189" t="str">
        <f t="shared" si="332"/>
        <v/>
      </c>
      <c r="FL98" s="203" t="str">
        <f t="shared" si="201"/>
        <v/>
      </c>
      <c r="FM98" s="189" t="str">
        <f t="shared" si="333"/>
        <v/>
      </c>
      <c r="FN98" s="204" t="str">
        <f t="shared" si="334"/>
        <v/>
      </c>
      <c r="FO98" s="203" t="str">
        <f t="shared" si="202"/>
        <v/>
      </c>
      <c r="FP98" s="205" t="str">
        <f t="shared" si="335"/>
        <v/>
      </c>
      <c r="FQ98" s="189" t="str">
        <f t="shared" si="203"/>
        <v/>
      </c>
      <c r="FR98" s="189" t="str">
        <f t="shared" si="204"/>
        <v/>
      </c>
      <c r="FS98" s="189" t="str">
        <f t="shared" si="205"/>
        <v/>
      </c>
      <c r="FT98" s="189" t="str">
        <f t="shared" si="206"/>
        <v/>
      </c>
      <c r="FU98" s="189" t="str">
        <f t="shared" si="336"/>
        <v/>
      </c>
      <c r="FV98" s="206" t="str">
        <f t="shared" si="207"/>
        <v/>
      </c>
      <c r="FW98" s="205" t="str">
        <f t="shared" si="337"/>
        <v/>
      </c>
      <c r="FX98" s="189" t="str">
        <f t="shared" si="208"/>
        <v/>
      </c>
      <c r="FY98" s="189" t="str">
        <f t="shared" si="209"/>
        <v/>
      </c>
      <c r="FZ98" s="189" t="str">
        <f t="shared" si="210"/>
        <v/>
      </c>
      <c r="GA98" s="189" t="str">
        <f t="shared" si="211"/>
        <v/>
      </c>
      <c r="GB98" s="189" t="str">
        <f t="shared" si="338"/>
        <v/>
      </c>
      <c r="GC98" s="206" t="str">
        <f t="shared" si="212"/>
        <v/>
      </c>
      <c r="GD98" s="205" t="str">
        <f t="shared" si="339"/>
        <v/>
      </c>
      <c r="GE98" s="189" t="str">
        <f t="shared" si="213"/>
        <v/>
      </c>
      <c r="GF98" s="189" t="str">
        <f t="shared" si="214"/>
        <v/>
      </c>
      <c r="GG98" s="189" t="str">
        <f t="shared" si="215"/>
        <v/>
      </c>
      <c r="GH98" s="189" t="str">
        <f t="shared" si="216"/>
        <v/>
      </c>
      <c r="GI98" s="189" t="str">
        <f t="shared" si="340"/>
        <v/>
      </c>
      <c r="GJ98" s="206" t="str">
        <f t="shared" si="217"/>
        <v/>
      </c>
      <c r="GK98" s="205" t="str">
        <f t="shared" si="341"/>
        <v/>
      </c>
      <c r="GL98" s="189" t="str">
        <f t="shared" si="218"/>
        <v/>
      </c>
      <c r="GM98" s="189" t="str">
        <f t="shared" si="219"/>
        <v/>
      </c>
      <c r="GN98" s="189" t="str">
        <f t="shared" si="220"/>
        <v/>
      </c>
      <c r="GO98" s="189" t="str">
        <f t="shared" si="221"/>
        <v/>
      </c>
      <c r="GP98" s="189" t="str">
        <f t="shared" si="342"/>
        <v/>
      </c>
      <c r="GQ98" s="206" t="str">
        <f t="shared" si="222"/>
        <v/>
      </c>
      <c r="GR98" s="189" t="str">
        <f t="shared" si="343"/>
        <v/>
      </c>
      <c r="GS98" s="189" t="str">
        <f t="shared" si="344"/>
        <v/>
      </c>
      <c r="GT98" s="207" t="str">
        <f t="shared" si="345"/>
        <v xml:space="preserve">    </v>
      </c>
      <c r="GU98" s="207" t="str">
        <f t="shared" si="346"/>
        <v xml:space="preserve">    </v>
      </c>
      <c r="GV98" s="207" t="str">
        <f t="shared" si="347"/>
        <v xml:space="preserve">    </v>
      </c>
      <c r="GW98" s="207" t="str">
        <f t="shared" si="348"/>
        <v xml:space="preserve">       </v>
      </c>
      <c r="GX98" s="598" t="str">
        <f t="shared" si="349"/>
        <v xml:space="preserve">     </v>
      </c>
      <c r="GY98" s="208" t="str">
        <f t="shared" si="223"/>
        <v/>
      </c>
      <c r="GZ98" s="606" t="str">
        <f>IF(AND(Q98="",AE98="",AZ98="",BW98="",CT98=""),"",IF(AND('Master Sheet'!$D$19="YES",'Marks Entry'!$BA$1=1),SUM(Q98,AE98,AZ98,BW98,DT98),SUM(Q98,AE98,AZ98,BW98,CT98)))</f>
        <v/>
      </c>
      <c r="HA98" s="209" t="str">
        <f>IF(GZ98="","",IF(AND('Master Sheet'!$D$19="YES",'Marks Entry'!$BA$1=1),GZ98/((900)-DC98)*100,GZ98/((1000)-DC98)*100))</f>
        <v/>
      </c>
      <c r="HB98" s="611" t="str">
        <f t="shared" si="350"/>
        <v/>
      </c>
      <c r="HC98" s="609" t="str">
        <f t="shared" si="351"/>
        <v/>
      </c>
      <c r="HD98" s="610" t="str">
        <f t="shared" si="352"/>
        <v/>
      </c>
      <c r="HE98" s="210" t="str">
        <f>IFERROR(IF(OR(GY98="SUPPLEMENTARY",GY98="RE-EXAM"),'Supp. Result Entry'!AS97,""),"")</f>
        <v/>
      </c>
      <c r="HF98" s="613" t="str">
        <f t="shared" si="353"/>
        <v/>
      </c>
      <c r="HG98" s="598" t="str">
        <f t="shared" si="354"/>
        <v/>
      </c>
      <c r="HH98" s="598" t="str">
        <f>IF(AND(HE98="",HF98="",HG98=""),"",IF(OR(GY98="SUPPLEMENTARY",GY98="RE-EXAM"),'Supp. Result Entry'!AS97,GY98))</f>
        <v/>
      </c>
      <c r="HI98" s="180"/>
      <c r="HY98" s="212" t="str">
        <f>IF('Supp. Result Entry'!U97="","",'Supp. Result Entry'!$U$6)</f>
        <v/>
      </c>
      <c r="HZ98" s="213" t="str">
        <f>IF('Supp. Result Entry'!X97="","",'Supp. Result Entry'!$X$6)</f>
        <v/>
      </c>
      <c r="IA98" s="213" t="str">
        <f>IF('Supp. Result Entry'!AA97="","",'Supp. Result Entry'!$AA$6)</f>
        <v/>
      </c>
      <c r="IB98" s="213" t="str">
        <f>IF('Supp. Result Entry'!AD97="","",'Supp. Result Entry'!$AD$6)</f>
        <v/>
      </c>
      <c r="IC98" s="213" t="str">
        <f>IF('Supp. Result Entry'!AG97="","",'Supp. Result Entry'!$AG$6)</f>
        <v/>
      </c>
      <c r="ID98" s="213" t="str">
        <f>IF('Supp. Result Entry'!AJ97="","",'Supp. Result Entry'!$AJ$6)</f>
        <v/>
      </c>
      <c r="IE98" s="213" t="str">
        <f>IF('Supp. Result Entry'!V97="","",'Supp. Result Entry'!V97)</f>
        <v/>
      </c>
      <c r="IF98" s="213" t="str">
        <f>IF('Supp. Result Entry'!Y97="","",'Supp. Result Entry'!Y97)</f>
        <v/>
      </c>
      <c r="IG98" s="213" t="str">
        <f>IF('Supp. Result Entry'!AB97="","",'Supp. Result Entry'!AB97)</f>
        <v/>
      </c>
      <c r="IH98" s="213" t="str">
        <f>IF('Supp. Result Entry'!AE97="","",'Supp. Result Entry'!AE97)</f>
        <v/>
      </c>
      <c r="II98" s="213" t="str">
        <f>IF('Supp. Result Entry'!AH97="","",'Supp. Result Entry'!AH97)</f>
        <v/>
      </c>
      <c r="IJ98" s="213" t="str">
        <f>IF('Supp. Result Entry'!AK97="","",'Supp. Result Entry'!AK97)</f>
        <v/>
      </c>
      <c r="IK98" s="213" t="str">
        <f>IF('Supp. Result Entry'!W97="","",'Supp. Result Entry'!W97)</f>
        <v/>
      </c>
      <c r="IL98" s="213" t="str">
        <f>IF('Supp. Result Entry'!Z97="","",'Supp. Result Entry'!Z97)</f>
        <v/>
      </c>
      <c r="IM98" s="213" t="str">
        <f>IF('Supp. Result Entry'!AC97="","",'Supp. Result Entry'!AC97)</f>
        <v/>
      </c>
      <c r="IN98" s="213" t="str">
        <f>IF('Supp. Result Entry'!AF97="","",'Supp. Result Entry'!AF97)</f>
        <v/>
      </c>
      <c r="IO98" s="213" t="str">
        <f>IF('Supp. Result Entry'!AI97="","",'Supp. Result Entry'!AI97)</f>
        <v/>
      </c>
      <c r="IP98" s="213" t="str">
        <f>IF('Supp. Result Entry'!AL97="","",'Supp. Result Entry'!AL97)</f>
        <v/>
      </c>
      <c r="IQ98" s="213">
        <f>COUNTIF('Supp. Result Entry'!K97:Q97,"S")</f>
        <v>0</v>
      </c>
      <c r="IR98" s="213">
        <f t="shared" si="355"/>
        <v>0</v>
      </c>
      <c r="IS98" s="213">
        <f t="shared" si="356"/>
        <v>0</v>
      </c>
      <c r="IT98" s="213" t="str">
        <f t="shared" si="224"/>
        <v/>
      </c>
      <c r="IU98" s="213" t="str">
        <f t="shared" si="225"/>
        <v/>
      </c>
      <c r="IV98" s="213" t="str">
        <f t="shared" si="226"/>
        <v/>
      </c>
      <c r="IW98" s="213" t="str">
        <f t="shared" si="227"/>
        <v/>
      </c>
      <c r="IX98" s="213" t="str">
        <f t="shared" si="228"/>
        <v/>
      </c>
      <c r="IY98" s="213" t="str">
        <f t="shared" si="357"/>
        <v/>
      </c>
      <c r="IZ98" s="213" t="str">
        <f t="shared" si="358"/>
        <v/>
      </c>
      <c r="JA98" s="213" t="str">
        <f t="shared" si="229"/>
        <v/>
      </c>
      <c r="JB98" s="211" t="str">
        <f t="shared" si="359"/>
        <v/>
      </c>
    </row>
    <row r="99" spans="1:262" s="211" customFormat="1" ht="21" customHeight="1">
      <c r="A99" s="184">
        <v>92</v>
      </c>
      <c r="B99" s="185" t="str">
        <f>IF('Marks Entry'!B99="","",'Marks Entry'!B99)</f>
        <v/>
      </c>
      <c r="C99" s="186" t="str">
        <f>IF('Marks Entry'!D99="","",'Marks Entry'!D99)</f>
        <v/>
      </c>
      <c r="D99" s="187" t="str">
        <f>IF('Marks Entry'!E99="","",'Marks Entry'!E99)</f>
        <v/>
      </c>
      <c r="E99" s="188" t="str">
        <f>IF('Marks Entry'!F99="","",'Marks Entry'!F99)</f>
        <v/>
      </c>
      <c r="F99" s="188" t="str">
        <f>IF('Marks Entry'!G99="","",'Marks Entry'!G99)</f>
        <v/>
      </c>
      <c r="G99" s="188" t="str">
        <f>IF('Marks Entry'!H99="","",'Marks Entry'!H99)</f>
        <v/>
      </c>
      <c r="H99" s="189" t="str">
        <f>IF('Marks Entry'!I99="","",'Marks Entry'!I99)</f>
        <v/>
      </c>
      <c r="I99" s="190" t="str">
        <f>IF('Marks Entry'!J99="","",'Marks Entry'!J99)</f>
        <v/>
      </c>
      <c r="J99" s="545" t="str">
        <f>IF('Marks Entry'!K99="","",'Marks Entry'!K99)</f>
        <v/>
      </c>
      <c r="K99" s="545" t="str">
        <f>IF('Marks Entry'!L99="","",'Marks Entry'!L99)</f>
        <v/>
      </c>
      <c r="L99" s="545" t="str">
        <f>IF('Marks Entry'!M99="","",'Marks Entry'!M99)</f>
        <v/>
      </c>
      <c r="M99" s="546" t="str">
        <f t="shared" si="230"/>
        <v/>
      </c>
      <c r="N99" s="545" t="str">
        <f>IF('Marks Entry'!N99="","",'Marks Entry'!N99)</f>
        <v/>
      </c>
      <c r="O99" s="546" t="str">
        <f t="shared" si="231"/>
        <v/>
      </c>
      <c r="P99" s="545" t="str">
        <f>IF('Marks Entry'!O99="","",'Marks Entry'!O99)</f>
        <v/>
      </c>
      <c r="Q99" s="547" t="str">
        <f t="shared" si="232"/>
        <v/>
      </c>
      <c r="R99" s="153">
        <f t="shared" si="233"/>
        <v>0</v>
      </c>
      <c r="S99" s="153">
        <f t="shared" si="234"/>
        <v>0</v>
      </c>
      <c r="T99" s="154" t="str">
        <f t="shared" si="235"/>
        <v/>
      </c>
      <c r="U99" s="153" t="str">
        <f t="shared" si="236"/>
        <v/>
      </c>
      <c r="V99" s="153" t="str">
        <f t="shared" si="237"/>
        <v/>
      </c>
      <c r="W99" s="153" t="str">
        <f t="shared" si="238"/>
        <v/>
      </c>
      <c r="X99" s="545" t="str">
        <f>IF('Marks Entry'!P99="","",'Marks Entry'!P99)</f>
        <v/>
      </c>
      <c r="Y99" s="545" t="str">
        <f>IF('Marks Entry'!Q99="","",'Marks Entry'!Q99)</f>
        <v/>
      </c>
      <c r="Z99" s="545" t="str">
        <f>IF('Marks Entry'!R99="","",'Marks Entry'!R99)</f>
        <v/>
      </c>
      <c r="AA99" s="546" t="str">
        <f t="shared" si="239"/>
        <v/>
      </c>
      <c r="AB99" s="545" t="str">
        <f>IF('Marks Entry'!S99="","",'Marks Entry'!S99)</f>
        <v/>
      </c>
      <c r="AC99" s="546" t="str">
        <f t="shared" si="240"/>
        <v/>
      </c>
      <c r="AD99" s="545" t="str">
        <f>IF('Marks Entry'!T99="","",'Marks Entry'!T99)</f>
        <v/>
      </c>
      <c r="AE99" s="547" t="str">
        <f t="shared" si="241"/>
        <v/>
      </c>
      <c r="AF99" s="153">
        <f t="shared" si="242"/>
        <v>0</v>
      </c>
      <c r="AG99" s="153">
        <f t="shared" si="243"/>
        <v>0</v>
      </c>
      <c r="AH99" s="154" t="str">
        <f t="shared" si="244"/>
        <v/>
      </c>
      <c r="AI99" s="153" t="str">
        <f t="shared" si="245"/>
        <v/>
      </c>
      <c r="AJ99" s="153" t="str">
        <f t="shared" si="246"/>
        <v/>
      </c>
      <c r="AK99" s="153" t="str">
        <f t="shared" si="247"/>
        <v/>
      </c>
      <c r="AL99" s="573" t="str">
        <f>IF('Marks Entry'!U99="","",'Marks Entry'!U99)</f>
        <v/>
      </c>
      <c r="AM99" s="573" t="str">
        <f>IF('Marks Entry'!V99="","",'Marks Entry'!V99)</f>
        <v/>
      </c>
      <c r="AN99" s="573" t="str">
        <f>IF('Marks Entry'!W99="","",'Marks Entry'!W99)</f>
        <v/>
      </c>
      <c r="AO99" s="573" t="str">
        <f>IF('Marks Entry'!X99="","",'Marks Entry'!X99)</f>
        <v/>
      </c>
      <c r="AP99" s="572" t="str">
        <f t="shared" si="248"/>
        <v/>
      </c>
      <c r="AQ99" s="573" t="str">
        <f>IF('Marks Entry'!Y99="","",'Marks Entry'!Y99)</f>
        <v/>
      </c>
      <c r="AR99" s="573" t="str">
        <f>IF('Marks Entry'!Z99="","",'Marks Entry'!Z99)</f>
        <v/>
      </c>
      <c r="AS99" s="572" t="str">
        <f t="shared" si="249"/>
        <v/>
      </c>
      <c r="AT99" s="572" t="str">
        <f t="shared" si="250"/>
        <v/>
      </c>
      <c r="AU99" s="573" t="str">
        <f>IF('Marks Entry'!AA99="","",'Marks Entry'!AA99)</f>
        <v/>
      </c>
      <c r="AV99" s="573" t="str">
        <f>IF('Marks Entry'!AB99="","",'Marks Entry'!AB99)</f>
        <v/>
      </c>
      <c r="AW99" s="572" t="str">
        <f t="shared" si="251"/>
        <v/>
      </c>
      <c r="AX99" s="157" t="str">
        <f t="shared" si="252"/>
        <v/>
      </c>
      <c r="AY99" s="157" t="str">
        <f t="shared" si="253"/>
        <v/>
      </c>
      <c r="AZ99" s="192" t="str">
        <f t="shared" si="254"/>
        <v/>
      </c>
      <c r="BA99" s="153">
        <f t="shared" si="255"/>
        <v>0</v>
      </c>
      <c r="BB99" s="154">
        <f t="shared" si="256"/>
        <v>0</v>
      </c>
      <c r="BC99" s="154" t="str">
        <f t="shared" si="257"/>
        <v/>
      </c>
      <c r="BD99" s="154" t="str">
        <f t="shared" si="258"/>
        <v/>
      </c>
      <c r="BE99" s="154" t="str">
        <f t="shared" si="259"/>
        <v/>
      </c>
      <c r="BF99" s="153" t="str">
        <f t="shared" si="260"/>
        <v/>
      </c>
      <c r="BG99" s="154" t="str">
        <f t="shared" si="261"/>
        <v/>
      </c>
      <c r="BH99" s="153" t="str">
        <f t="shared" si="262"/>
        <v/>
      </c>
      <c r="BI99" s="580" t="str">
        <f>IF('Marks Entry'!AC99="","",'Marks Entry'!AC99)</f>
        <v/>
      </c>
      <c r="BJ99" s="580" t="str">
        <f>IF('Marks Entry'!AD99="","",'Marks Entry'!AD99)</f>
        <v/>
      </c>
      <c r="BK99" s="580" t="str">
        <f>IF('Marks Entry'!AE99="","",'Marks Entry'!AE99)</f>
        <v/>
      </c>
      <c r="BL99" s="580" t="str">
        <f>IF('Marks Entry'!AF99="","",'Marks Entry'!AF99)</f>
        <v/>
      </c>
      <c r="BM99" s="581" t="str">
        <f t="shared" si="263"/>
        <v/>
      </c>
      <c r="BN99" s="580" t="str">
        <f>IF('Marks Entry'!AG99="","",'Marks Entry'!AG99)</f>
        <v/>
      </c>
      <c r="BO99" s="580" t="str">
        <f>IF('Marks Entry'!AH99="","",'Marks Entry'!AH99)</f>
        <v/>
      </c>
      <c r="BP99" s="581" t="str">
        <f t="shared" si="264"/>
        <v/>
      </c>
      <c r="BQ99" s="581" t="str">
        <f t="shared" si="265"/>
        <v/>
      </c>
      <c r="BR99" s="580" t="str">
        <f>IF('Marks Entry'!AI99="","",'Marks Entry'!AI99)</f>
        <v/>
      </c>
      <c r="BS99" s="580" t="str">
        <f>IF('Marks Entry'!AJ99="","",'Marks Entry'!AJ99)</f>
        <v/>
      </c>
      <c r="BT99" s="581" t="str">
        <f t="shared" si="266"/>
        <v/>
      </c>
      <c r="BU99" s="157" t="str">
        <f t="shared" si="267"/>
        <v/>
      </c>
      <c r="BV99" s="157" t="str">
        <f t="shared" si="268"/>
        <v/>
      </c>
      <c r="BW99" s="192" t="str">
        <f t="shared" si="269"/>
        <v/>
      </c>
      <c r="BX99" s="153">
        <f t="shared" si="270"/>
        <v>0</v>
      </c>
      <c r="BY99" s="154">
        <f t="shared" si="271"/>
        <v>0</v>
      </c>
      <c r="BZ99" s="154" t="str">
        <f t="shared" si="272"/>
        <v/>
      </c>
      <c r="CA99" s="154" t="str">
        <f t="shared" si="273"/>
        <v/>
      </c>
      <c r="CB99" s="154" t="str">
        <f t="shared" si="274"/>
        <v/>
      </c>
      <c r="CC99" s="153" t="str">
        <f t="shared" si="275"/>
        <v/>
      </c>
      <c r="CD99" s="154" t="str">
        <f t="shared" si="276"/>
        <v/>
      </c>
      <c r="CE99" s="153" t="str">
        <f t="shared" si="277"/>
        <v/>
      </c>
      <c r="CF99" s="580" t="str">
        <f>IF('Marks Entry'!AK99="","",'Marks Entry'!AK99)</f>
        <v/>
      </c>
      <c r="CG99" s="580" t="str">
        <f>IF('Marks Entry'!AL99="","",'Marks Entry'!AL99)</f>
        <v/>
      </c>
      <c r="CH99" s="580" t="str">
        <f>IF('Marks Entry'!AM99="","",'Marks Entry'!AM99)</f>
        <v/>
      </c>
      <c r="CI99" s="580" t="str">
        <f>IF('Marks Entry'!AN99="","",'Marks Entry'!AN99)</f>
        <v/>
      </c>
      <c r="CJ99" s="581" t="str">
        <f t="shared" si="278"/>
        <v/>
      </c>
      <c r="CK99" s="580" t="str">
        <f>IF('Marks Entry'!AO99="","",'Marks Entry'!AO99)</f>
        <v/>
      </c>
      <c r="CL99" s="580" t="str">
        <f>IF('Marks Entry'!AP99="","",'Marks Entry'!AP99)</f>
        <v/>
      </c>
      <c r="CM99" s="581" t="str">
        <f t="shared" si="279"/>
        <v/>
      </c>
      <c r="CN99" s="581" t="str">
        <f t="shared" si="280"/>
        <v/>
      </c>
      <c r="CO99" s="580" t="str">
        <f>IF('Marks Entry'!AQ99="","",'Marks Entry'!AQ99)</f>
        <v/>
      </c>
      <c r="CP99" s="580" t="str">
        <f>IF('Marks Entry'!AR99="","",'Marks Entry'!AR99)</f>
        <v/>
      </c>
      <c r="CQ99" s="581" t="str">
        <f t="shared" si="281"/>
        <v/>
      </c>
      <c r="CR99" s="157" t="str">
        <f t="shared" si="282"/>
        <v/>
      </c>
      <c r="CS99" s="157" t="str">
        <f t="shared" si="283"/>
        <v/>
      </c>
      <c r="CT99" s="192" t="str">
        <f t="shared" si="284"/>
        <v/>
      </c>
      <c r="CU99" s="153">
        <f t="shared" si="285"/>
        <v>0</v>
      </c>
      <c r="CV99" s="154">
        <f t="shared" si="286"/>
        <v>0</v>
      </c>
      <c r="CW99" s="154" t="str">
        <f t="shared" si="287"/>
        <v/>
      </c>
      <c r="CX99" s="154" t="str">
        <f t="shared" si="288"/>
        <v/>
      </c>
      <c r="CY99" s="154" t="str">
        <f t="shared" si="289"/>
        <v/>
      </c>
      <c r="CZ99" s="153" t="str">
        <f t="shared" si="290"/>
        <v/>
      </c>
      <c r="DA99" s="154" t="str">
        <f t="shared" si="291"/>
        <v/>
      </c>
      <c r="DB99" s="153" t="str">
        <f t="shared" si="292"/>
        <v/>
      </c>
      <c r="DC99" s="154">
        <f t="shared" si="293"/>
        <v>0</v>
      </c>
      <c r="DD99" s="826" t="str">
        <f>IF('Marks Entry'!AS99="","",IF(OR('Master Sheet'!$D$19="YES",'Marks Entry'!$BA$1=1),'Marks Entry'!AS99,""))</f>
        <v/>
      </c>
      <c r="DE99" s="826" t="str">
        <f>IF('Marks Entry'!AT99="","",IF(OR('Master Sheet'!$D$19="YES",'Marks Entry'!$BA$1=1),'Marks Entry'!AT99,""))</f>
        <v/>
      </c>
      <c r="DF99" s="826" t="str">
        <f>IF('Marks Entry'!AU99="","",IF(OR('Master Sheet'!$D$19="YES",'Marks Entry'!$BA$1=1),'Marks Entry'!AU99,""))</f>
        <v/>
      </c>
      <c r="DG99" s="826" t="str">
        <f>IF('Marks Entry'!AV99="","",IF(OR('Master Sheet'!$D$19="YES",'Marks Entry'!$BA$1=1),'Marks Entry'!AV99,""))</f>
        <v/>
      </c>
      <c r="DH99" s="827" t="str">
        <f t="shared" si="294"/>
        <v/>
      </c>
      <c r="DI99" s="826" t="str">
        <f>IF('Marks Entry'!AW99="","",IF(OR('Master Sheet'!$D$19="YES",'Marks Entry'!$BA$1=1),'Marks Entry'!AW99,""))</f>
        <v/>
      </c>
      <c r="DJ99" s="826" t="str">
        <f>IF('Marks Entry'!AX99="","",IF(OR('Master Sheet'!$D$19="YES",'Marks Entry'!$BA$1=1),'Marks Entry'!AX99,""))</f>
        <v/>
      </c>
      <c r="DK99" s="827" t="str">
        <f t="shared" si="295"/>
        <v/>
      </c>
      <c r="DL99" s="827" t="str">
        <f t="shared" si="296"/>
        <v/>
      </c>
      <c r="DM99" s="826" t="str">
        <f>IF('Marks Entry'!AY99="","",IF(OR('Master Sheet'!$D$19="YES",'Marks Entry'!$BA$1=1),'Marks Entry'!AY99,""))</f>
        <v/>
      </c>
      <c r="DN99" s="826" t="str">
        <f>IF('Marks Entry'!AZ99="","",IF(OR('Master Sheet'!$D$19="YES",'Marks Entry'!$BA$1=1),'Marks Entry'!AZ99,""))</f>
        <v/>
      </c>
      <c r="DO99" s="826" t="str">
        <f>IF('Marks Entry'!BA99="","",IF(OR('Master Sheet'!$D$19="YES",'Marks Entry'!$BA$1=1),'Marks Entry'!BA99,""))</f>
        <v/>
      </c>
      <c r="DP99" s="827" t="str">
        <f t="shared" si="297"/>
        <v/>
      </c>
      <c r="DQ99" s="157" t="str">
        <f t="shared" si="298"/>
        <v/>
      </c>
      <c r="DR99" s="157" t="str">
        <f t="shared" si="299"/>
        <v/>
      </c>
      <c r="DS99" s="157" t="str">
        <f t="shared" si="300"/>
        <v/>
      </c>
      <c r="DT99" s="192" t="str">
        <f t="shared" si="301"/>
        <v/>
      </c>
      <c r="DU99" s="153">
        <f t="shared" si="302"/>
        <v>0</v>
      </c>
      <c r="DV99" s="154" t="e">
        <f t="shared" si="303"/>
        <v>#VALUE!</v>
      </c>
      <c r="DW99" s="154" t="str">
        <f t="shared" si="304"/>
        <v/>
      </c>
      <c r="DX99" s="154" t="str">
        <f>IF(OR($B99="NSO",$B99=0,DS99=""),"",IF(AND(DJ99="",DO99=""),"",IF('Master Sheet'!$D$19="YES",$DO$6-COUNTIF(DO99,"ML")*DO$6,DS$6-(COUNTIF(DJ99,"ML")*DJ$6)-(COUNTIF(DO99,"ML")*DO$6))))</f>
        <v/>
      </c>
      <c r="DY99" s="154" t="str">
        <f>IF(OR($B99="NSO",$B99=0),"",IF(AND(DH99="",DI99="",DM99=""),"",IF(AND('Master Sheet'!$D$19="YES",'Marks Entry'!$BA$1=1),100,IF(AND(DJ99="",DO99=""),SUM(($DQ$7+$DR$7)-(DU99+DV99)),SUM(($DQ$6+$DR$6)-(DU99+DV99))))))</f>
        <v/>
      </c>
      <c r="DZ99" s="153" t="str">
        <f t="shared" si="305"/>
        <v/>
      </c>
      <c r="EA99" s="154" t="str">
        <f t="shared" si="306"/>
        <v/>
      </c>
      <c r="EB99" s="153" t="str">
        <f t="shared" si="307"/>
        <v/>
      </c>
      <c r="EC99" s="584" t="str">
        <f>IF('Marks Entry'!BB99="","",'Marks Entry'!BB99)</f>
        <v/>
      </c>
      <c r="ED99" s="584" t="str">
        <f>IF('Marks Entry'!BC99="","",'Marks Entry'!BC99)</f>
        <v/>
      </c>
      <c r="EE99" s="584" t="str">
        <f>IF('Marks Entry'!BD99="","",'Marks Entry'!BD99)</f>
        <v/>
      </c>
      <c r="EF99" s="590" t="str">
        <f t="shared" si="308"/>
        <v/>
      </c>
      <c r="EG99" s="595">
        <f t="shared" si="309"/>
        <v>0</v>
      </c>
      <c r="EH99" s="595">
        <f t="shared" si="310"/>
        <v>0</v>
      </c>
      <c r="EI99" s="193" t="str">
        <f t="shared" si="311"/>
        <v/>
      </c>
      <c r="EJ99" s="595" t="str">
        <f t="shared" si="312"/>
        <v/>
      </c>
      <c r="EK99" s="595" t="str">
        <f t="shared" si="313"/>
        <v/>
      </c>
      <c r="EL99" s="194" t="str">
        <f t="shared" si="314"/>
        <v/>
      </c>
      <c r="EM99" s="194" t="str">
        <f t="shared" si="315"/>
        <v/>
      </c>
      <c r="EN99" s="194" t="str">
        <f t="shared" si="316"/>
        <v/>
      </c>
      <c r="EO99" s="194" t="str">
        <f t="shared" si="317"/>
        <v/>
      </c>
      <c r="EP99" s="194" t="str">
        <f t="shared" si="318"/>
        <v/>
      </c>
      <c r="EQ99" s="194" t="str">
        <f t="shared" si="319"/>
        <v/>
      </c>
      <c r="ER99" s="195">
        <f t="shared" si="320"/>
        <v>0</v>
      </c>
      <c r="ES99" s="195">
        <f t="shared" si="321"/>
        <v>0</v>
      </c>
      <c r="ET99" s="195">
        <f t="shared" si="322"/>
        <v>0</v>
      </c>
      <c r="EU99" s="195">
        <f t="shared" si="323"/>
        <v>0</v>
      </c>
      <c r="EV99" s="195">
        <f t="shared" si="324"/>
        <v>0</v>
      </c>
      <c r="EW99" s="195" t="str">
        <f t="shared" si="325"/>
        <v/>
      </c>
      <c r="EX99" s="196" t="str">
        <f t="shared" si="326"/>
        <v/>
      </c>
      <c r="EY99" s="197" t="str">
        <f>IF('Marks Entry'!BE99="","",'Marks Entry'!BE99)</f>
        <v/>
      </c>
      <c r="EZ99" s="197" t="str">
        <f>IF('Marks Entry'!BF99="","",'Marks Entry'!BF99)</f>
        <v/>
      </c>
      <c r="FA99" s="197" t="str">
        <f>IF('Marks Entry'!BG99="","",'Marks Entry'!BG99)</f>
        <v/>
      </c>
      <c r="FB99" s="596" t="str">
        <f t="shared" si="327"/>
        <v/>
      </c>
      <c r="FC99" s="197" t="str">
        <f>IF('Marks Entry'!BH99="","",'Marks Entry'!BH99)</f>
        <v/>
      </c>
      <c r="FD99" s="197" t="str">
        <f>IF('Marks Entry'!BI99="","",'Marks Entry'!BI99)</f>
        <v/>
      </c>
      <c r="FE99" s="198" t="str">
        <f t="shared" si="328"/>
        <v/>
      </c>
      <c r="FF99" s="199" t="str">
        <f t="shared" si="329"/>
        <v/>
      </c>
      <c r="FG99" s="200" t="str">
        <f>IF(AND(E99=""),"",IF('Student DATA Entry'!L95="","",'Student DATA Entry'!L95))</f>
        <v/>
      </c>
      <c r="FH99" s="201" t="str">
        <f>IF(AND(E99=""),"",IF('Student DATA Entry'!M95="","",'Student DATA Entry'!M95))</f>
        <v/>
      </c>
      <c r="FI99" s="202" t="str">
        <f t="shared" si="330"/>
        <v/>
      </c>
      <c r="FJ99" s="189" t="str">
        <f t="shared" si="331"/>
        <v/>
      </c>
      <c r="FK99" s="189" t="str">
        <f t="shared" si="332"/>
        <v/>
      </c>
      <c r="FL99" s="203" t="str">
        <f t="shared" si="201"/>
        <v/>
      </c>
      <c r="FM99" s="189" t="str">
        <f t="shared" si="333"/>
        <v/>
      </c>
      <c r="FN99" s="204" t="str">
        <f t="shared" si="334"/>
        <v/>
      </c>
      <c r="FO99" s="203" t="str">
        <f t="shared" si="202"/>
        <v/>
      </c>
      <c r="FP99" s="205" t="str">
        <f t="shared" si="335"/>
        <v/>
      </c>
      <c r="FQ99" s="189" t="str">
        <f t="shared" si="203"/>
        <v/>
      </c>
      <c r="FR99" s="189" t="str">
        <f t="shared" si="204"/>
        <v/>
      </c>
      <c r="FS99" s="189" t="str">
        <f t="shared" si="205"/>
        <v/>
      </c>
      <c r="FT99" s="189" t="str">
        <f t="shared" si="206"/>
        <v/>
      </c>
      <c r="FU99" s="189" t="str">
        <f t="shared" si="336"/>
        <v/>
      </c>
      <c r="FV99" s="206" t="str">
        <f t="shared" si="207"/>
        <v/>
      </c>
      <c r="FW99" s="205" t="str">
        <f t="shared" si="337"/>
        <v/>
      </c>
      <c r="FX99" s="189" t="str">
        <f t="shared" si="208"/>
        <v/>
      </c>
      <c r="FY99" s="189" t="str">
        <f t="shared" si="209"/>
        <v/>
      </c>
      <c r="FZ99" s="189" t="str">
        <f t="shared" si="210"/>
        <v/>
      </c>
      <c r="GA99" s="189" t="str">
        <f t="shared" si="211"/>
        <v/>
      </c>
      <c r="GB99" s="189" t="str">
        <f t="shared" si="338"/>
        <v/>
      </c>
      <c r="GC99" s="206" t="str">
        <f t="shared" si="212"/>
        <v/>
      </c>
      <c r="GD99" s="205" t="str">
        <f t="shared" si="339"/>
        <v/>
      </c>
      <c r="GE99" s="189" t="str">
        <f t="shared" si="213"/>
        <v/>
      </c>
      <c r="GF99" s="189" t="str">
        <f t="shared" si="214"/>
        <v/>
      </c>
      <c r="GG99" s="189" t="str">
        <f t="shared" si="215"/>
        <v/>
      </c>
      <c r="GH99" s="189" t="str">
        <f t="shared" si="216"/>
        <v/>
      </c>
      <c r="GI99" s="189" t="str">
        <f t="shared" si="340"/>
        <v/>
      </c>
      <c r="GJ99" s="206" t="str">
        <f t="shared" si="217"/>
        <v/>
      </c>
      <c r="GK99" s="205" t="str">
        <f t="shared" si="341"/>
        <v/>
      </c>
      <c r="GL99" s="189" t="str">
        <f t="shared" si="218"/>
        <v/>
      </c>
      <c r="GM99" s="189" t="str">
        <f t="shared" si="219"/>
        <v/>
      </c>
      <c r="GN99" s="189" t="str">
        <f t="shared" si="220"/>
        <v/>
      </c>
      <c r="GO99" s="189" t="str">
        <f t="shared" si="221"/>
        <v/>
      </c>
      <c r="GP99" s="189" t="str">
        <f t="shared" si="342"/>
        <v/>
      </c>
      <c r="GQ99" s="206" t="str">
        <f t="shared" si="222"/>
        <v/>
      </c>
      <c r="GR99" s="189" t="str">
        <f t="shared" si="343"/>
        <v/>
      </c>
      <c r="GS99" s="189" t="str">
        <f t="shared" si="344"/>
        <v/>
      </c>
      <c r="GT99" s="207" t="str">
        <f t="shared" si="345"/>
        <v xml:space="preserve">    </v>
      </c>
      <c r="GU99" s="207" t="str">
        <f t="shared" si="346"/>
        <v xml:space="preserve">    </v>
      </c>
      <c r="GV99" s="207" t="str">
        <f t="shared" si="347"/>
        <v xml:space="preserve">    </v>
      </c>
      <c r="GW99" s="207" t="str">
        <f t="shared" si="348"/>
        <v xml:space="preserve">       </v>
      </c>
      <c r="GX99" s="598" t="str">
        <f t="shared" si="349"/>
        <v xml:space="preserve">     </v>
      </c>
      <c r="GY99" s="208" t="str">
        <f t="shared" si="223"/>
        <v/>
      </c>
      <c r="GZ99" s="606" t="str">
        <f>IF(AND(Q99="",AE99="",AZ99="",BW99="",CT99=""),"",IF(AND('Master Sheet'!$D$19="YES",'Marks Entry'!$BA$1=1),SUM(Q99,AE99,AZ99,BW99,DT99),SUM(Q99,AE99,AZ99,BW99,CT99)))</f>
        <v/>
      </c>
      <c r="HA99" s="209" t="str">
        <f>IF(GZ99="","",IF(AND('Master Sheet'!$D$19="YES",'Marks Entry'!$BA$1=1),GZ99/((900)-DC99)*100,GZ99/((1000)-DC99)*100))</f>
        <v/>
      </c>
      <c r="HB99" s="611" t="str">
        <f t="shared" si="350"/>
        <v/>
      </c>
      <c r="HC99" s="609" t="str">
        <f t="shared" si="351"/>
        <v/>
      </c>
      <c r="HD99" s="610" t="str">
        <f t="shared" si="352"/>
        <v/>
      </c>
      <c r="HE99" s="210" t="str">
        <f>IFERROR(IF(OR(GY99="SUPPLEMENTARY",GY99="RE-EXAM"),'Supp. Result Entry'!AS98,""),"")</f>
        <v/>
      </c>
      <c r="HF99" s="613" t="str">
        <f t="shared" si="353"/>
        <v/>
      </c>
      <c r="HG99" s="598" t="str">
        <f t="shared" si="354"/>
        <v/>
      </c>
      <c r="HH99" s="598" t="str">
        <f>IF(AND(HE99="",HF99="",HG99=""),"",IF(OR(GY99="SUPPLEMENTARY",GY99="RE-EXAM"),'Supp. Result Entry'!AS98,GY99))</f>
        <v/>
      </c>
      <c r="HI99" s="180"/>
      <c r="HY99" s="212" t="str">
        <f>IF('Supp. Result Entry'!U98="","",'Supp. Result Entry'!$U$6)</f>
        <v/>
      </c>
      <c r="HZ99" s="213" t="str">
        <f>IF('Supp. Result Entry'!X98="","",'Supp. Result Entry'!$X$6)</f>
        <v/>
      </c>
      <c r="IA99" s="213" t="str">
        <f>IF('Supp. Result Entry'!AA98="","",'Supp. Result Entry'!$AA$6)</f>
        <v/>
      </c>
      <c r="IB99" s="213" t="str">
        <f>IF('Supp. Result Entry'!AD98="","",'Supp. Result Entry'!$AD$6)</f>
        <v/>
      </c>
      <c r="IC99" s="213" t="str">
        <f>IF('Supp. Result Entry'!AG98="","",'Supp. Result Entry'!$AG$6)</f>
        <v/>
      </c>
      <c r="ID99" s="213" t="str">
        <f>IF('Supp. Result Entry'!AJ98="","",'Supp. Result Entry'!$AJ$6)</f>
        <v/>
      </c>
      <c r="IE99" s="213" t="str">
        <f>IF('Supp. Result Entry'!V98="","",'Supp. Result Entry'!V98)</f>
        <v/>
      </c>
      <c r="IF99" s="213" t="str">
        <f>IF('Supp. Result Entry'!Y98="","",'Supp. Result Entry'!Y98)</f>
        <v/>
      </c>
      <c r="IG99" s="213" t="str">
        <f>IF('Supp. Result Entry'!AB98="","",'Supp. Result Entry'!AB98)</f>
        <v/>
      </c>
      <c r="IH99" s="213" t="str">
        <f>IF('Supp. Result Entry'!AE98="","",'Supp. Result Entry'!AE98)</f>
        <v/>
      </c>
      <c r="II99" s="213" t="str">
        <f>IF('Supp. Result Entry'!AH98="","",'Supp. Result Entry'!AH98)</f>
        <v/>
      </c>
      <c r="IJ99" s="213" t="str">
        <f>IF('Supp. Result Entry'!AK98="","",'Supp. Result Entry'!AK98)</f>
        <v/>
      </c>
      <c r="IK99" s="213" t="str">
        <f>IF('Supp. Result Entry'!W98="","",'Supp. Result Entry'!W98)</f>
        <v/>
      </c>
      <c r="IL99" s="213" t="str">
        <f>IF('Supp. Result Entry'!Z98="","",'Supp. Result Entry'!Z98)</f>
        <v/>
      </c>
      <c r="IM99" s="213" t="str">
        <f>IF('Supp. Result Entry'!AC98="","",'Supp. Result Entry'!AC98)</f>
        <v/>
      </c>
      <c r="IN99" s="213" t="str">
        <f>IF('Supp. Result Entry'!AF98="","",'Supp. Result Entry'!AF98)</f>
        <v/>
      </c>
      <c r="IO99" s="213" t="str">
        <f>IF('Supp. Result Entry'!AI98="","",'Supp. Result Entry'!AI98)</f>
        <v/>
      </c>
      <c r="IP99" s="213" t="str">
        <f>IF('Supp. Result Entry'!AL98="","",'Supp. Result Entry'!AL98)</f>
        <v/>
      </c>
      <c r="IQ99" s="213">
        <f>COUNTIF('Supp. Result Entry'!K98:Q98,"S")</f>
        <v>0</v>
      </c>
      <c r="IR99" s="213">
        <f t="shared" si="355"/>
        <v>0</v>
      </c>
      <c r="IS99" s="213">
        <f t="shared" si="356"/>
        <v>0</v>
      </c>
      <c r="IT99" s="213" t="str">
        <f t="shared" si="224"/>
        <v/>
      </c>
      <c r="IU99" s="213" t="str">
        <f t="shared" si="225"/>
        <v/>
      </c>
      <c r="IV99" s="213" t="str">
        <f t="shared" si="226"/>
        <v/>
      </c>
      <c r="IW99" s="213" t="str">
        <f t="shared" si="227"/>
        <v/>
      </c>
      <c r="IX99" s="213" t="str">
        <f t="shared" si="228"/>
        <v/>
      </c>
      <c r="IY99" s="213" t="str">
        <f t="shared" si="357"/>
        <v/>
      </c>
      <c r="IZ99" s="213" t="str">
        <f t="shared" si="358"/>
        <v/>
      </c>
      <c r="JA99" s="213" t="str">
        <f t="shared" si="229"/>
        <v/>
      </c>
      <c r="JB99" s="211" t="str">
        <f t="shared" si="359"/>
        <v/>
      </c>
    </row>
    <row r="100" spans="1:262" s="211" customFormat="1" ht="21" customHeight="1">
      <c r="A100" s="184">
        <v>93</v>
      </c>
      <c r="B100" s="185" t="str">
        <f>IF('Marks Entry'!B100="","",'Marks Entry'!B100)</f>
        <v/>
      </c>
      <c r="C100" s="186" t="str">
        <f>IF('Marks Entry'!D100="","",'Marks Entry'!D100)</f>
        <v/>
      </c>
      <c r="D100" s="187" t="str">
        <f>IF('Marks Entry'!E100="","",'Marks Entry'!E100)</f>
        <v/>
      </c>
      <c r="E100" s="188" t="str">
        <f>IF('Marks Entry'!F100="","",'Marks Entry'!F100)</f>
        <v/>
      </c>
      <c r="F100" s="188" t="str">
        <f>IF('Marks Entry'!G100="","",'Marks Entry'!G100)</f>
        <v/>
      </c>
      <c r="G100" s="188" t="str">
        <f>IF('Marks Entry'!H100="","",'Marks Entry'!H100)</f>
        <v/>
      </c>
      <c r="H100" s="189" t="str">
        <f>IF('Marks Entry'!I100="","",'Marks Entry'!I100)</f>
        <v/>
      </c>
      <c r="I100" s="190" t="str">
        <f>IF('Marks Entry'!J100="","",'Marks Entry'!J100)</f>
        <v/>
      </c>
      <c r="J100" s="545" t="str">
        <f>IF('Marks Entry'!K100="","",'Marks Entry'!K100)</f>
        <v/>
      </c>
      <c r="K100" s="545" t="str">
        <f>IF('Marks Entry'!L100="","",'Marks Entry'!L100)</f>
        <v/>
      </c>
      <c r="L100" s="545" t="str">
        <f>IF('Marks Entry'!M100="","",'Marks Entry'!M100)</f>
        <v/>
      </c>
      <c r="M100" s="546" t="str">
        <f t="shared" si="230"/>
        <v/>
      </c>
      <c r="N100" s="545" t="str">
        <f>IF('Marks Entry'!N100="","",'Marks Entry'!N100)</f>
        <v/>
      </c>
      <c r="O100" s="546" t="str">
        <f t="shared" si="231"/>
        <v/>
      </c>
      <c r="P100" s="545" t="str">
        <f>IF('Marks Entry'!O100="","",'Marks Entry'!O100)</f>
        <v/>
      </c>
      <c r="Q100" s="547" t="str">
        <f t="shared" si="232"/>
        <v/>
      </c>
      <c r="R100" s="153">
        <f t="shared" si="233"/>
        <v>0</v>
      </c>
      <c r="S100" s="153">
        <f t="shared" si="234"/>
        <v>0</v>
      </c>
      <c r="T100" s="154" t="str">
        <f t="shared" si="235"/>
        <v/>
      </c>
      <c r="U100" s="153" t="str">
        <f t="shared" si="236"/>
        <v/>
      </c>
      <c r="V100" s="153" t="str">
        <f t="shared" si="237"/>
        <v/>
      </c>
      <c r="W100" s="153" t="str">
        <f t="shared" si="238"/>
        <v/>
      </c>
      <c r="X100" s="545" t="str">
        <f>IF('Marks Entry'!P100="","",'Marks Entry'!P100)</f>
        <v/>
      </c>
      <c r="Y100" s="545" t="str">
        <f>IF('Marks Entry'!Q100="","",'Marks Entry'!Q100)</f>
        <v/>
      </c>
      <c r="Z100" s="545" t="str">
        <f>IF('Marks Entry'!R100="","",'Marks Entry'!R100)</f>
        <v/>
      </c>
      <c r="AA100" s="546" t="str">
        <f t="shared" si="239"/>
        <v/>
      </c>
      <c r="AB100" s="545" t="str">
        <f>IF('Marks Entry'!S100="","",'Marks Entry'!S100)</f>
        <v/>
      </c>
      <c r="AC100" s="546" t="str">
        <f t="shared" si="240"/>
        <v/>
      </c>
      <c r="AD100" s="545" t="str">
        <f>IF('Marks Entry'!T100="","",'Marks Entry'!T100)</f>
        <v/>
      </c>
      <c r="AE100" s="547" t="str">
        <f t="shared" si="241"/>
        <v/>
      </c>
      <c r="AF100" s="153">
        <f t="shared" si="242"/>
        <v>0</v>
      </c>
      <c r="AG100" s="153">
        <f t="shared" si="243"/>
        <v>0</v>
      </c>
      <c r="AH100" s="154" t="str">
        <f t="shared" si="244"/>
        <v/>
      </c>
      <c r="AI100" s="153" t="str">
        <f t="shared" si="245"/>
        <v/>
      </c>
      <c r="AJ100" s="153" t="str">
        <f t="shared" si="246"/>
        <v/>
      </c>
      <c r="AK100" s="153" t="str">
        <f t="shared" si="247"/>
        <v/>
      </c>
      <c r="AL100" s="573" t="str">
        <f>IF('Marks Entry'!U100="","",'Marks Entry'!U100)</f>
        <v/>
      </c>
      <c r="AM100" s="573" t="str">
        <f>IF('Marks Entry'!V100="","",'Marks Entry'!V100)</f>
        <v/>
      </c>
      <c r="AN100" s="573" t="str">
        <f>IF('Marks Entry'!W100="","",'Marks Entry'!W100)</f>
        <v/>
      </c>
      <c r="AO100" s="573" t="str">
        <f>IF('Marks Entry'!X100="","",'Marks Entry'!X100)</f>
        <v/>
      </c>
      <c r="AP100" s="572" t="str">
        <f t="shared" si="248"/>
        <v/>
      </c>
      <c r="AQ100" s="573" t="str">
        <f>IF('Marks Entry'!Y100="","",'Marks Entry'!Y100)</f>
        <v/>
      </c>
      <c r="AR100" s="573" t="str">
        <f>IF('Marks Entry'!Z100="","",'Marks Entry'!Z100)</f>
        <v/>
      </c>
      <c r="AS100" s="572" t="str">
        <f t="shared" si="249"/>
        <v/>
      </c>
      <c r="AT100" s="572" t="str">
        <f t="shared" si="250"/>
        <v/>
      </c>
      <c r="AU100" s="573" t="str">
        <f>IF('Marks Entry'!AA100="","",'Marks Entry'!AA100)</f>
        <v/>
      </c>
      <c r="AV100" s="573" t="str">
        <f>IF('Marks Entry'!AB100="","",'Marks Entry'!AB100)</f>
        <v/>
      </c>
      <c r="AW100" s="572" t="str">
        <f t="shared" si="251"/>
        <v/>
      </c>
      <c r="AX100" s="157" t="str">
        <f t="shared" si="252"/>
        <v/>
      </c>
      <c r="AY100" s="157" t="str">
        <f t="shared" si="253"/>
        <v/>
      </c>
      <c r="AZ100" s="192" t="str">
        <f t="shared" si="254"/>
        <v/>
      </c>
      <c r="BA100" s="153">
        <f t="shared" si="255"/>
        <v>0</v>
      </c>
      <c r="BB100" s="154">
        <f t="shared" si="256"/>
        <v>0</v>
      </c>
      <c r="BC100" s="154" t="str">
        <f t="shared" si="257"/>
        <v/>
      </c>
      <c r="BD100" s="154" t="str">
        <f t="shared" si="258"/>
        <v/>
      </c>
      <c r="BE100" s="154" t="str">
        <f t="shared" si="259"/>
        <v/>
      </c>
      <c r="BF100" s="153" t="str">
        <f t="shared" si="260"/>
        <v/>
      </c>
      <c r="BG100" s="154" t="str">
        <f t="shared" si="261"/>
        <v/>
      </c>
      <c r="BH100" s="153" t="str">
        <f t="shared" si="262"/>
        <v/>
      </c>
      <c r="BI100" s="580" t="str">
        <f>IF('Marks Entry'!AC100="","",'Marks Entry'!AC100)</f>
        <v/>
      </c>
      <c r="BJ100" s="580" t="str">
        <f>IF('Marks Entry'!AD100="","",'Marks Entry'!AD100)</f>
        <v/>
      </c>
      <c r="BK100" s="580" t="str">
        <f>IF('Marks Entry'!AE100="","",'Marks Entry'!AE100)</f>
        <v/>
      </c>
      <c r="BL100" s="580" t="str">
        <f>IF('Marks Entry'!AF100="","",'Marks Entry'!AF100)</f>
        <v/>
      </c>
      <c r="BM100" s="581" t="str">
        <f t="shared" si="263"/>
        <v/>
      </c>
      <c r="BN100" s="580" t="str">
        <f>IF('Marks Entry'!AG100="","",'Marks Entry'!AG100)</f>
        <v/>
      </c>
      <c r="BO100" s="580" t="str">
        <f>IF('Marks Entry'!AH100="","",'Marks Entry'!AH100)</f>
        <v/>
      </c>
      <c r="BP100" s="581" t="str">
        <f t="shared" si="264"/>
        <v/>
      </c>
      <c r="BQ100" s="581" t="str">
        <f t="shared" si="265"/>
        <v/>
      </c>
      <c r="BR100" s="580" t="str">
        <f>IF('Marks Entry'!AI100="","",'Marks Entry'!AI100)</f>
        <v/>
      </c>
      <c r="BS100" s="580" t="str">
        <f>IF('Marks Entry'!AJ100="","",'Marks Entry'!AJ100)</f>
        <v/>
      </c>
      <c r="BT100" s="581" t="str">
        <f t="shared" si="266"/>
        <v/>
      </c>
      <c r="BU100" s="157" t="str">
        <f t="shared" si="267"/>
        <v/>
      </c>
      <c r="BV100" s="157" t="str">
        <f t="shared" si="268"/>
        <v/>
      </c>
      <c r="BW100" s="192" t="str">
        <f t="shared" si="269"/>
        <v/>
      </c>
      <c r="BX100" s="153">
        <f t="shared" si="270"/>
        <v>0</v>
      </c>
      <c r="BY100" s="154">
        <f t="shared" si="271"/>
        <v>0</v>
      </c>
      <c r="BZ100" s="154" t="str">
        <f t="shared" si="272"/>
        <v/>
      </c>
      <c r="CA100" s="154" t="str">
        <f t="shared" si="273"/>
        <v/>
      </c>
      <c r="CB100" s="154" t="str">
        <f t="shared" si="274"/>
        <v/>
      </c>
      <c r="CC100" s="153" t="str">
        <f t="shared" si="275"/>
        <v/>
      </c>
      <c r="CD100" s="154" t="str">
        <f t="shared" si="276"/>
        <v/>
      </c>
      <c r="CE100" s="153" t="str">
        <f t="shared" si="277"/>
        <v/>
      </c>
      <c r="CF100" s="580" t="str">
        <f>IF('Marks Entry'!AK100="","",'Marks Entry'!AK100)</f>
        <v/>
      </c>
      <c r="CG100" s="580" t="str">
        <f>IF('Marks Entry'!AL100="","",'Marks Entry'!AL100)</f>
        <v/>
      </c>
      <c r="CH100" s="580" t="str">
        <f>IF('Marks Entry'!AM100="","",'Marks Entry'!AM100)</f>
        <v/>
      </c>
      <c r="CI100" s="580" t="str">
        <f>IF('Marks Entry'!AN100="","",'Marks Entry'!AN100)</f>
        <v/>
      </c>
      <c r="CJ100" s="581" t="str">
        <f t="shared" si="278"/>
        <v/>
      </c>
      <c r="CK100" s="580" t="str">
        <f>IF('Marks Entry'!AO100="","",'Marks Entry'!AO100)</f>
        <v/>
      </c>
      <c r="CL100" s="580" t="str">
        <f>IF('Marks Entry'!AP100="","",'Marks Entry'!AP100)</f>
        <v/>
      </c>
      <c r="CM100" s="581" t="str">
        <f t="shared" si="279"/>
        <v/>
      </c>
      <c r="CN100" s="581" t="str">
        <f t="shared" si="280"/>
        <v/>
      </c>
      <c r="CO100" s="580" t="str">
        <f>IF('Marks Entry'!AQ100="","",'Marks Entry'!AQ100)</f>
        <v/>
      </c>
      <c r="CP100" s="580" t="str">
        <f>IF('Marks Entry'!AR100="","",'Marks Entry'!AR100)</f>
        <v/>
      </c>
      <c r="CQ100" s="581" t="str">
        <f t="shared" si="281"/>
        <v/>
      </c>
      <c r="CR100" s="157" t="str">
        <f t="shared" si="282"/>
        <v/>
      </c>
      <c r="CS100" s="157" t="str">
        <f t="shared" si="283"/>
        <v/>
      </c>
      <c r="CT100" s="192" t="str">
        <f t="shared" si="284"/>
        <v/>
      </c>
      <c r="CU100" s="153">
        <f t="shared" si="285"/>
        <v>0</v>
      </c>
      <c r="CV100" s="154">
        <f t="shared" si="286"/>
        <v>0</v>
      </c>
      <c r="CW100" s="154" t="str">
        <f t="shared" si="287"/>
        <v/>
      </c>
      <c r="CX100" s="154" t="str">
        <f t="shared" si="288"/>
        <v/>
      </c>
      <c r="CY100" s="154" t="str">
        <f t="shared" si="289"/>
        <v/>
      </c>
      <c r="CZ100" s="153" t="str">
        <f t="shared" si="290"/>
        <v/>
      </c>
      <c r="DA100" s="154" t="str">
        <f t="shared" si="291"/>
        <v/>
      </c>
      <c r="DB100" s="153" t="str">
        <f t="shared" si="292"/>
        <v/>
      </c>
      <c r="DC100" s="154">
        <f t="shared" si="293"/>
        <v>0</v>
      </c>
      <c r="DD100" s="826" t="str">
        <f>IF('Marks Entry'!AS100="","",IF(OR('Master Sheet'!$D$19="YES",'Marks Entry'!$BA$1=1),'Marks Entry'!AS100,""))</f>
        <v/>
      </c>
      <c r="DE100" s="826" t="str">
        <f>IF('Marks Entry'!AT100="","",IF(OR('Master Sheet'!$D$19="YES",'Marks Entry'!$BA$1=1),'Marks Entry'!AT100,""))</f>
        <v/>
      </c>
      <c r="DF100" s="826" t="str">
        <f>IF('Marks Entry'!AU100="","",IF(OR('Master Sheet'!$D$19="YES",'Marks Entry'!$BA$1=1),'Marks Entry'!AU100,""))</f>
        <v/>
      </c>
      <c r="DG100" s="826" t="str">
        <f>IF('Marks Entry'!AV100="","",IF(OR('Master Sheet'!$D$19="YES",'Marks Entry'!$BA$1=1),'Marks Entry'!AV100,""))</f>
        <v/>
      </c>
      <c r="DH100" s="827" t="str">
        <f t="shared" si="294"/>
        <v/>
      </c>
      <c r="DI100" s="826" t="str">
        <f>IF('Marks Entry'!AW100="","",IF(OR('Master Sheet'!$D$19="YES",'Marks Entry'!$BA$1=1),'Marks Entry'!AW100,""))</f>
        <v/>
      </c>
      <c r="DJ100" s="826" t="str">
        <f>IF('Marks Entry'!AX100="","",IF(OR('Master Sheet'!$D$19="YES",'Marks Entry'!$BA$1=1),'Marks Entry'!AX100,""))</f>
        <v/>
      </c>
      <c r="DK100" s="827" t="str">
        <f t="shared" si="295"/>
        <v/>
      </c>
      <c r="DL100" s="827" t="str">
        <f t="shared" si="296"/>
        <v/>
      </c>
      <c r="DM100" s="826" t="str">
        <f>IF('Marks Entry'!AY100="","",IF(OR('Master Sheet'!$D$19="YES",'Marks Entry'!$BA$1=1),'Marks Entry'!AY100,""))</f>
        <v/>
      </c>
      <c r="DN100" s="826" t="str">
        <f>IF('Marks Entry'!AZ100="","",IF(OR('Master Sheet'!$D$19="YES",'Marks Entry'!$BA$1=1),'Marks Entry'!AZ100,""))</f>
        <v/>
      </c>
      <c r="DO100" s="826" t="str">
        <f>IF('Marks Entry'!BA100="","",IF(OR('Master Sheet'!$D$19="YES",'Marks Entry'!$BA$1=1),'Marks Entry'!BA100,""))</f>
        <v/>
      </c>
      <c r="DP100" s="827" t="str">
        <f t="shared" si="297"/>
        <v/>
      </c>
      <c r="DQ100" s="157" t="str">
        <f t="shared" si="298"/>
        <v/>
      </c>
      <c r="DR100" s="157" t="str">
        <f t="shared" si="299"/>
        <v/>
      </c>
      <c r="DS100" s="157" t="str">
        <f t="shared" si="300"/>
        <v/>
      </c>
      <c r="DT100" s="192" t="str">
        <f t="shared" si="301"/>
        <v/>
      </c>
      <c r="DU100" s="153">
        <f t="shared" si="302"/>
        <v>0</v>
      </c>
      <c r="DV100" s="154" t="e">
        <f t="shared" si="303"/>
        <v>#VALUE!</v>
      </c>
      <c r="DW100" s="154" t="str">
        <f t="shared" si="304"/>
        <v/>
      </c>
      <c r="DX100" s="154" t="str">
        <f>IF(OR($B100="NSO",$B100=0,DS100=""),"",IF(AND(DJ100="",DO100=""),"",IF('Master Sheet'!$D$19="YES",$DO$6-COUNTIF(DO100,"ML")*DO$6,DS$6-(COUNTIF(DJ100,"ML")*DJ$6)-(COUNTIF(DO100,"ML")*DO$6))))</f>
        <v/>
      </c>
      <c r="DY100" s="154" t="str">
        <f>IF(OR($B100="NSO",$B100=0),"",IF(AND(DH100="",DI100="",DM100=""),"",IF(AND('Master Sheet'!$D$19="YES",'Marks Entry'!$BA$1=1),100,IF(AND(DJ100="",DO100=""),SUM(($DQ$7+$DR$7)-(DU100+DV100)),SUM(($DQ$6+$DR$6)-(DU100+DV100))))))</f>
        <v/>
      </c>
      <c r="DZ100" s="153" t="str">
        <f t="shared" si="305"/>
        <v/>
      </c>
      <c r="EA100" s="154" t="str">
        <f t="shared" si="306"/>
        <v/>
      </c>
      <c r="EB100" s="153" t="str">
        <f t="shared" si="307"/>
        <v/>
      </c>
      <c r="EC100" s="584" t="str">
        <f>IF('Marks Entry'!BB100="","",'Marks Entry'!BB100)</f>
        <v/>
      </c>
      <c r="ED100" s="584" t="str">
        <f>IF('Marks Entry'!BC100="","",'Marks Entry'!BC100)</f>
        <v/>
      </c>
      <c r="EE100" s="584" t="str">
        <f>IF('Marks Entry'!BD100="","",'Marks Entry'!BD100)</f>
        <v/>
      </c>
      <c r="EF100" s="590" t="str">
        <f t="shared" si="308"/>
        <v/>
      </c>
      <c r="EG100" s="595">
        <f t="shared" si="309"/>
        <v>0</v>
      </c>
      <c r="EH100" s="595">
        <f t="shared" si="310"/>
        <v>0</v>
      </c>
      <c r="EI100" s="193" t="str">
        <f t="shared" si="311"/>
        <v/>
      </c>
      <c r="EJ100" s="595" t="str">
        <f t="shared" si="312"/>
        <v/>
      </c>
      <c r="EK100" s="595" t="str">
        <f t="shared" si="313"/>
        <v/>
      </c>
      <c r="EL100" s="194" t="str">
        <f t="shared" si="314"/>
        <v/>
      </c>
      <c r="EM100" s="194" t="str">
        <f t="shared" si="315"/>
        <v/>
      </c>
      <c r="EN100" s="194" t="str">
        <f t="shared" si="316"/>
        <v/>
      </c>
      <c r="EO100" s="194" t="str">
        <f t="shared" si="317"/>
        <v/>
      </c>
      <c r="EP100" s="194" t="str">
        <f t="shared" si="318"/>
        <v/>
      </c>
      <c r="EQ100" s="194" t="str">
        <f t="shared" si="319"/>
        <v/>
      </c>
      <c r="ER100" s="195">
        <f t="shared" si="320"/>
        <v>0</v>
      </c>
      <c r="ES100" s="195">
        <f t="shared" si="321"/>
        <v>0</v>
      </c>
      <c r="ET100" s="195">
        <f t="shared" si="322"/>
        <v>0</v>
      </c>
      <c r="EU100" s="195">
        <f t="shared" si="323"/>
        <v>0</v>
      </c>
      <c r="EV100" s="195">
        <f t="shared" si="324"/>
        <v>0</v>
      </c>
      <c r="EW100" s="195" t="str">
        <f t="shared" si="325"/>
        <v/>
      </c>
      <c r="EX100" s="196" t="str">
        <f t="shared" si="326"/>
        <v/>
      </c>
      <c r="EY100" s="197" t="str">
        <f>IF('Marks Entry'!BE100="","",'Marks Entry'!BE100)</f>
        <v/>
      </c>
      <c r="EZ100" s="197" t="str">
        <f>IF('Marks Entry'!BF100="","",'Marks Entry'!BF100)</f>
        <v/>
      </c>
      <c r="FA100" s="197" t="str">
        <f>IF('Marks Entry'!BG100="","",'Marks Entry'!BG100)</f>
        <v/>
      </c>
      <c r="FB100" s="596" t="str">
        <f t="shared" si="327"/>
        <v/>
      </c>
      <c r="FC100" s="197" t="str">
        <f>IF('Marks Entry'!BH100="","",'Marks Entry'!BH100)</f>
        <v/>
      </c>
      <c r="FD100" s="197" t="str">
        <f>IF('Marks Entry'!BI100="","",'Marks Entry'!BI100)</f>
        <v/>
      </c>
      <c r="FE100" s="198" t="str">
        <f t="shared" si="328"/>
        <v/>
      </c>
      <c r="FF100" s="199" t="str">
        <f t="shared" si="329"/>
        <v/>
      </c>
      <c r="FG100" s="200" t="str">
        <f>IF(AND(E100=""),"",IF('Student DATA Entry'!L96="","",'Student DATA Entry'!L96))</f>
        <v/>
      </c>
      <c r="FH100" s="201" t="str">
        <f>IF(AND(E100=""),"",IF('Student DATA Entry'!M96="","",'Student DATA Entry'!M96))</f>
        <v/>
      </c>
      <c r="FI100" s="202" t="str">
        <f t="shared" si="330"/>
        <v/>
      </c>
      <c r="FJ100" s="189" t="str">
        <f t="shared" si="331"/>
        <v/>
      </c>
      <c r="FK100" s="189" t="str">
        <f t="shared" si="332"/>
        <v/>
      </c>
      <c r="FL100" s="203" t="str">
        <f t="shared" si="201"/>
        <v/>
      </c>
      <c r="FM100" s="189" t="str">
        <f t="shared" si="333"/>
        <v/>
      </c>
      <c r="FN100" s="204" t="str">
        <f t="shared" si="334"/>
        <v/>
      </c>
      <c r="FO100" s="203" t="str">
        <f t="shared" si="202"/>
        <v/>
      </c>
      <c r="FP100" s="205" t="str">
        <f t="shared" si="335"/>
        <v/>
      </c>
      <c r="FQ100" s="189" t="str">
        <f t="shared" si="203"/>
        <v/>
      </c>
      <c r="FR100" s="189" t="str">
        <f t="shared" si="204"/>
        <v/>
      </c>
      <c r="FS100" s="189" t="str">
        <f t="shared" si="205"/>
        <v/>
      </c>
      <c r="FT100" s="189" t="str">
        <f t="shared" si="206"/>
        <v/>
      </c>
      <c r="FU100" s="189" t="str">
        <f t="shared" si="336"/>
        <v/>
      </c>
      <c r="FV100" s="206" t="str">
        <f t="shared" si="207"/>
        <v/>
      </c>
      <c r="FW100" s="205" t="str">
        <f t="shared" si="337"/>
        <v/>
      </c>
      <c r="FX100" s="189" t="str">
        <f t="shared" si="208"/>
        <v/>
      </c>
      <c r="FY100" s="189" t="str">
        <f t="shared" si="209"/>
        <v/>
      </c>
      <c r="FZ100" s="189" t="str">
        <f t="shared" si="210"/>
        <v/>
      </c>
      <c r="GA100" s="189" t="str">
        <f t="shared" si="211"/>
        <v/>
      </c>
      <c r="GB100" s="189" t="str">
        <f t="shared" si="338"/>
        <v/>
      </c>
      <c r="GC100" s="206" t="str">
        <f t="shared" si="212"/>
        <v/>
      </c>
      <c r="GD100" s="205" t="str">
        <f t="shared" si="339"/>
        <v/>
      </c>
      <c r="GE100" s="189" t="str">
        <f t="shared" si="213"/>
        <v/>
      </c>
      <c r="GF100" s="189" t="str">
        <f t="shared" si="214"/>
        <v/>
      </c>
      <c r="GG100" s="189" t="str">
        <f t="shared" si="215"/>
        <v/>
      </c>
      <c r="GH100" s="189" t="str">
        <f t="shared" si="216"/>
        <v/>
      </c>
      <c r="GI100" s="189" t="str">
        <f t="shared" si="340"/>
        <v/>
      </c>
      <c r="GJ100" s="206" t="str">
        <f t="shared" si="217"/>
        <v/>
      </c>
      <c r="GK100" s="205" t="str">
        <f t="shared" si="341"/>
        <v/>
      </c>
      <c r="GL100" s="189" t="str">
        <f t="shared" si="218"/>
        <v/>
      </c>
      <c r="GM100" s="189" t="str">
        <f t="shared" si="219"/>
        <v/>
      </c>
      <c r="GN100" s="189" t="str">
        <f t="shared" si="220"/>
        <v/>
      </c>
      <c r="GO100" s="189" t="str">
        <f t="shared" si="221"/>
        <v/>
      </c>
      <c r="GP100" s="189" t="str">
        <f t="shared" si="342"/>
        <v/>
      </c>
      <c r="GQ100" s="206" t="str">
        <f t="shared" si="222"/>
        <v/>
      </c>
      <c r="GR100" s="189" t="str">
        <f t="shared" si="343"/>
        <v/>
      </c>
      <c r="GS100" s="189" t="str">
        <f t="shared" si="344"/>
        <v/>
      </c>
      <c r="GT100" s="207" t="str">
        <f t="shared" si="345"/>
        <v xml:space="preserve">    </v>
      </c>
      <c r="GU100" s="207" t="str">
        <f t="shared" si="346"/>
        <v xml:space="preserve">    </v>
      </c>
      <c r="GV100" s="207" t="str">
        <f t="shared" si="347"/>
        <v xml:space="preserve">    </v>
      </c>
      <c r="GW100" s="207" t="str">
        <f t="shared" si="348"/>
        <v xml:space="preserve">       </v>
      </c>
      <c r="GX100" s="598" t="str">
        <f t="shared" si="349"/>
        <v xml:space="preserve">     </v>
      </c>
      <c r="GY100" s="208" t="str">
        <f t="shared" si="223"/>
        <v/>
      </c>
      <c r="GZ100" s="606" t="str">
        <f>IF(AND(Q100="",AE100="",AZ100="",BW100="",CT100=""),"",IF(AND('Master Sheet'!$D$19="YES",'Marks Entry'!$BA$1=1),SUM(Q100,AE100,AZ100,BW100,DT100),SUM(Q100,AE100,AZ100,BW100,CT100)))</f>
        <v/>
      </c>
      <c r="HA100" s="209" t="str">
        <f>IF(GZ100="","",IF(AND('Master Sheet'!$D$19="YES",'Marks Entry'!$BA$1=1),GZ100/((900)-DC100)*100,GZ100/((1000)-DC100)*100))</f>
        <v/>
      </c>
      <c r="HB100" s="611" t="str">
        <f t="shared" si="350"/>
        <v/>
      </c>
      <c r="HC100" s="609" t="str">
        <f t="shared" si="351"/>
        <v/>
      </c>
      <c r="HD100" s="610" t="str">
        <f t="shared" si="352"/>
        <v/>
      </c>
      <c r="HE100" s="210" t="str">
        <f>IFERROR(IF(OR(GY100="SUPPLEMENTARY",GY100="RE-EXAM"),'Supp. Result Entry'!AS99,""),"")</f>
        <v/>
      </c>
      <c r="HF100" s="613" t="str">
        <f t="shared" si="353"/>
        <v/>
      </c>
      <c r="HG100" s="598" t="str">
        <f t="shared" si="354"/>
        <v/>
      </c>
      <c r="HH100" s="598" t="str">
        <f>IF(AND(HE100="",HF100="",HG100=""),"",IF(OR(GY100="SUPPLEMENTARY",GY100="RE-EXAM"),'Supp. Result Entry'!AS99,GY100))</f>
        <v/>
      </c>
      <c r="HI100" s="180"/>
      <c r="HY100" s="212" t="str">
        <f>IF('Supp. Result Entry'!U99="","",'Supp. Result Entry'!$U$6)</f>
        <v/>
      </c>
      <c r="HZ100" s="213" t="str">
        <f>IF('Supp. Result Entry'!X99="","",'Supp. Result Entry'!$X$6)</f>
        <v/>
      </c>
      <c r="IA100" s="213" t="str">
        <f>IF('Supp. Result Entry'!AA99="","",'Supp. Result Entry'!$AA$6)</f>
        <v/>
      </c>
      <c r="IB100" s="213" t="str">
        <f>IF('Supp. Result Entry'!AD99="","",'Supp. Result Entry'!$AD$6)</f>
        <v/>
      </c>
      <c r="IC100" s="213" t="str">
        <f>IF('Supp. Result Entry'!AG99="","",'Supp. Result Entry'!$AG$6)</f>
        <v/>
      </c>
      <c r="ID100" s="213" t="str">
        <f>IF('Supp. Result Entry'!AJ99="","",'Supp. Result Entry'!$AJ$6)</f>
        <v/>
      </c>
      <c r="IE100" s="213" t="str">
        <f>IF('Supp. Result Entry'!V99="","",'Supp. Result Entry'!V99)</f>
        <v/>
      </c>
      <c r="IF100" s="213" t="str">
        <f>IF('Supp. Result Entry'!Y99="","",'Supp. Result Entry'!Y99)</f>
        <v/>
      </c>
      <c r="IG100" s="213" t="str">
        <f>IF('Supp. Result Entry'!AB99="","",'Supp. Result Entry'!AB99)</f>
        <v/>
      </c>
      <c r="IH100" s="213" t="str">
        <f>IF('Supp. Result Entry'!AE99="","",'Supp. Result Entry'!AE99)</f>
        <v/>
      </c>
      <c r="II100" s="213" t="str">
        <f>IF('Supp. Result Entry'!AH99="","",'Supp. Result Entry'!AH99)</f>
        <v/>
      </c>
      <c r="IJ100" s="213" t="str">
        <f>IF('Supp. Result Entry'!AK99="","",'Supp. Result Entry'!AK99)</f>
        <v/>
      </c>
      <c r="IK100" s="213" t="str">
        <f>IF('Supp. Result Entry'!W99="","",'Supp. Result Entry'!W99)</f>
        <v/>
      </c>
      <c r="IL100" s="213" t="str">
        <f>IF('Supp. Result Entry'!Z99="","",'Supp. Result Entry'!Z99)</f>
        <v/>
      </c>
      <c r="IM100" s="213" t="str">
        <f>IF('Supp. Result Entry'!AC99="","",'Supp. Result Entry'!AC99)</f>
        <v/>
      </c>
      <c r="IN100" s="213" t="str">
        <f>IF('Supp. Result Entry'!AF99="","",'Supp. Result Entry'!AF99)</f>
        <v/>
      </c>
      <c r="IO100" s="213" t="str">
        <f>IF('Supp. Result Entry'!AI99="","",'Supp. Result Entry'!AI99)</f>
        <v/>
      </c>
      <c r="IP100" s="213" t="str">
        <f>IF('Supp. Result Entry'!AL99="","",'Supp. Result Entry'!AL99)</f>
        <v/>
      </c>
      <c r="IQ100" s="213">
        <f>COUNTIF('Supp. Result Entry'!K99:Q99,"S")</f>
        <v>0</v>
      </c>
      <c r="IR100" s="213">
        <f t="shared" si="355"/>
        <v>0</v>
      </c>
      <c r="IS100" s="213">
        <f t="shared" si="356"/>
        <v>0</v>
      </c>
      <c r="IT100" s="213" t="str">
        <f t="shared" si="224"/>
        <v/>
      </c>
      <c r="IU100" s="213" t="str">
        <f t="shared" si="225"/>
        <v/>
      </c>
      <c r="IV100" s="213" t="str">
        <f t="shared" si="226"/>
        <v/>
      </c>
      <c r="IW100" s="213" t="str">
        <f t="shared" si="227"/>
        <v/>
      </c>
      <c r="IX100" s="213" t="str">
        <f t="shared" si="228"/>
        <v/>
      </c>
      <c r="IY100" s="213" t="str">
        <f t="shared" si="357"/>
        <v/>
      </c>
      <c r="IZ100" s="213" t="str">
        <f t="shared" si="358"/>
        <v/>
      </c>
      <c r="JA100" s="213" t="str">
        <f t="shared" si="229"/>
        <v/>
      </c>
      <c r="JB100" s="211" t="str">
        <f t="shared" si="359"/>
        <v/>
      </c>
    </row>
    <row r="101" spans="1:262" s="211" customFormat="1" ht="21" customHeight="1">
      <c r="A101" s="184">
        <v>94</v>
      </c>
      <c r="B101" s="185" t="str">
        <f>IF('Marks Entry'!B101="","",'Marks Entry'!B101)</f>
        <v/>
      </c>
      <c r="C101" s="186" t="str">
        <f>IF('Marks Entry'!D101="","",'Marks Entry'!D101)</f>
        <v/>
      </c>
      <c r="D101" s="187" t="str">
        <f>IF('Marks Entry'!E101="","",'Marks Entry'!E101)</f>
        <v/>
      </c>
      <c r="E101" s="188" t="str">
        <f>IF('Marks Entry'!F101="","",'Marks Entry'!F101)</f>
        <v/>
      </c>
      <c r="F101" s="188" t="str">
        <f>IF('Marks Entry'!G101="","",'Marks Entry'!G101)</f>
        <v/>
      </c>
      <c r="G101" s="188" t="str">
        <f>IF('Marks Entry'!H101="","",'Marks Entry'!H101)</f>
        <v/>
      </c>
      <c r="H101" s="189" t="str">
        <f>IF('Marks Entry'!I101="","",'Marks Entry'!I101)</f>
        <v/>
      </c>
      <c r="I101" s="190" t="str">
        <f>IF('Marks Entry'!J101="","",'Marks Entry'!J101)</f>
        <v/>
      </c>
      <c r="J101" s="545" t="str">
        <f>IF('Marks Entry'!K101="","",'Marks Entry'!K101)</f>
        <v/>
      </c>
      <c r="K101" s="545" t="str">
        <f>IF('Marks Entry'!L101="","",'Marks Entry'!L101)</f>
        <v/>
      </c>
      <c r="L101" s="545" t="str">
        <f>IF('Marks Entry'!M101="","",'Marks Entry'!M101)</f>
        <v/>
      </c>
      <c r="M101" s="546" t="str">
        <f t="shared" si="230"/>
        <v/>
      </c>
      <c r="N101" s="545" t="str">
        <f>IF('Marks Entry'!N101="","",'Marks Entry'!N101)</f>
        <v/>
      </c>
      <c r="O101" s="546" t="str">
        <f t="shared" si="231"/>
        <v/>
      </c>
      <c r="P101" s="545" t="str">
        <f>IF('Marks Entry'!O101="","",'Marks Entry'!O101)</f>
        <v/>
      </c>
      <c r="Q101" s="547" t="str">
        <f t="shared" si="232"/>
        <v/>
      </c>
      <c r="R101" s="153">
        <f t="shared" si="233"/>
        <v>0</v>
      </c>
      <c r="S101" s="153">
        <f t="shared" si="234"/>
        <v>0</v>
      </c>
      <c r="T101" s="154" t="str">
        <f t="shared" si="235"/>
        <v/>
      </c>
      <c r="U101" s="153" t="str">
        <f t="shared" si="236"/>
        <v/>
      </c>
      <c r="V101" s="153" t="str">
        <f t="shared" si="237"/>
        <v/>
      </c>
      <c r="W101" s="153" t="str">
        <f t="shared" si="238"/>
        <v/>
      </c>
      <c r="X101" s="545" t="str">
        <f>IF('Marks Entry'!P101="","",'Marks Entry'!P101)</f>
        <v/>
      </c>
      <c r="Y101" s="545" t="str">
        <f>IF('Marks Entry'!Q101="","",'Marks Entry'!Q101)</f>
        <v/>
      </c>
      <c r="Z101" s="545" t="str">
        <f>IF('Marks Entry'!R101="","",'Marks Entry'!R101)</f>
        <v/>
      </c>
      <c r="AA101" s="546" t="str">
        <f t="shared" si="239"/>
        <v/>
      </c>
      <c r="AB101" s="545" t="str">
        <f>IF('Marks Entry'!S101="","",'Marks Entry'!S101)</f>
        <v/>
      </c>
      <c r="AC101" s="546" t="str">
        <f t="shared" si="240"/>
        <v/>
      </c>
      <c r="AD101" s="545" t="str">
        <f>IF('Marks Entry'!T101="","",'Marks Entry'!T101)</f>
        <v/>
      </c>
      <c r="AE101" s="547" t="str">
        <f t="shared" si="241"/>
        <v/>
      </c>
      <c r="AF101" s="153">
        <f t="shared" si="242"/>
        <v>0</v>
      </c>
      <c r="AG101" s="153">
        <f t="shared" si="243"/>
        <v>0</v>
      </c>
      <c r="AH101" s="154" t="str">
        <f t="shared" si="244"/>
        <v/>
      </c>
      <c r="AI101" s="153" t="str">
        <f t="shared" si="245"/>
        <v/>
      </c>
      <c r="AJ101" s="153" t="str">
        <f t="shared" si="246"/>
        <v/>
      </c>
      <c r="AK101" s="153" t="str">
        <f t="shared" si="247"/>
        <v/>
      </c>
      <c r="AL101" s="573" t="str">
        <f>IF('Marks Entry'!U101="","",'Marks Entry'!U101)</f>
        <v/>
      </c>
      <c r="AM101" s="573" t="str">
        <f>IF('Marks Entry'!V101="","",'Marks Entry'!V101)</f>
        <v/>
      </c>
      <c r="AN101" s="573" t="str">
        <f>IF('Marks Entry'!W101="","",'Marks Entry'!W101)</f>
        <v/>
      </c>
      <c r="AO101" s="573" t="str">
        <f>IF('Marks Entry'!X101="","",'Marks Entry'!X101)</f>
        <v/>
      </c>
      <c r="AP101" s="572" t="str">
        <f t="shared" si="248"/>
        <v/>
      </c>
      <c r="AQ101" s="573" t="str">
        <f>IF('Marks Entry'!Y101="","",'Marks Entry'!Y101)</f>
        <v/>
      </c>
      <c r="AR101" s="573" t="str">
        <f>IF('Marks Entry'!Z101="","",'Marks Entry'!Z101)</f>
        <v/>
      </c>
      <c r="AS101" s="572" t="str">
        <f t="shared" si="249"/>
        <v/>
      </c>
      <c r="AT101" s="572" t="str">
        <f t="shared" si="250"/>
        <v/>
      </c>
      <c r="AU101" s="573" t="str">
        <f>IF('Marks Entry'!AA101="","",'Marks Entry'!AA101)</f>
        <v/>
      </c>
      <c r="AV101" s="573" t="str">
        <f>IF('Marks Entry'!AB101="","",'Marks Entry'!AB101)</f>
        <v/>
      </c>
      <c r="AW101" s="572" t="str">
        <f t="shared" si="251"/>
        <v/>
      </c>
      <c r="AX101" s="157" t="str">
        <f t="shared" si="252"/>
        <v/>
      </c>
      <c r="AY101" s="157" t="str">
        <f t="shared" si="253"/>
        <v/>
      </c>
      <c r="AZ101" s="192" t="str">
        <f t="shared" si="254"/>
        <v/>
      </c>
      <c r="BA101" s="153">
        <f t="shared" si="255"/>
        <v>0</v>
      </c>
      <c r="BB101" s="154">
        <f t="shared" si="256"/>
        <v>0</v>
      </c>
      <c r="BC101" s="154" t="str">
        <f t="shared" si="257"/>
        <v/>
      </c>
      <c r="BD101" s="154" t="str">
        <f t="shared" si="258"/>
        <v/>
      </c>
      <c r="BE101" s="154" t="str">
        <f t="shared" si="259"/>
        <v/>
      </c>
      <c r="BF101" s="153" t="str">
        <f t="shared" si="260"/>
        <v/>
      </c>
      <c r="BG101" s="154" t="str">
        <f t="shared" si="261"/>
        <v/>
      </c>
      <c r="BH101" s="153" t="str">
        <f t="shared" si="262"/>
        <v/>
      </c>
      <c r="BI101" s="580" t="str">
        <f>IF('Marks Entry'!AC101="","",'Marks Entry'!AC101)</f>
        <v/>
      </c>
      <c r="BJ101" s="580" t="str">
        <f>IF('Marks Entry'!AD101="","",'Marks Entry'!AD101)</f>
        <v/>
      </c>
      <c r="BK101" s="580" t="str">
        <f>IF('Marks Entry'!AE101="","",'Marks Entry'!AE101)</f>
        <v/>
      </c>
      <c r="BL101" s="580" t="str">
        <f>IF('Marks Entry'!AF101="","",'Marks Entry'!AF101)</f>
        <v/>
      </c>
      <c r="BM101" s="581" t="str">
        <f t="shared" si="263"/>
        <v/>
      </c>
      <c r="BN101" s="580" t="str">
        <f>IF('Marks Entry'!AG101="","",'Marks Entry'!AG101)</f>
        <v/>
      </c>
      <c r="BO101" s="580" t="str">
        <f>IF('Marks Entry'!AH101="","",'Marks Entry'!AH101)</f>
        <v/>
      </c>
      <c r="BP101" s="581" t="str">
        <f t="shared" si="264"/>
        <v/>
      </c>
      <c r="BQ101" s="581" t="str">
        <f t="shared" si="265"/>
        <v/>
      </c>
      <c r="BR101" s="580" t="str">
        <f>IF('Marks Entry'!AI101="","",'Marks Entry'!AI101)</f>
        <v/>
      </c>
      <c r="BS101" s="580" t="str">
        <f>IF('Marks Entry'!AJ101="","",'Marks Entry'!AJ101)</f>
        <v/>
      </c>
      <c r="BT101" s="581" t="str">
        <f t="shared" si="266"/>
        <v/>
      </c>
      <c r="BU101" s="157" t="str">
        <f t="shared" si="267"/>
        <v/>
      </c>
      <c r="BV101" s="157" t="str">
        <f t="shared" si="268"/>
        <v/>
      </c>
      <c r="BW101" s="192" t="str">
        <f t="shared" si="269"/>
        <v/>
      </c>
      <c r="BX101" s="153">
        <f t="shared" si="270"/>
        <v>0</v>
      </c>
      <c r="BY101" s="154">
        <f t="shared" si="271"/>
        <v>0</v>
      </c>
      <c r="BZ101" s="154" t="str">
        <f t="shared" si="272"/>
        <v/>
      </c>
      <c r="CA101" s="154" t="str">
        <f t="shared" si="273"/>
        <v/>
      </c>
      <c r="CB101" s="154" t="str">
        <f t="shared" si="274"/>
        <v/>
      </c>
      <c r="CC101" s="153" t="str">
        <f t="shared" si="275"/>
        <v/>
      </c>
      <c r="CD101" s="154" t="str">
        <f t="shared" si="276"/>
        <v/>
      </c>
      <c r="CE101" s="153" t="str">
        <f t="shared" si="277"/>
        <v/>
      </c>
      <c r="CF101" s="580" t="str">
        <f>IF('Marks Entry'!AK101="","",'Marks Entry'!AK101)</f>
        <v/>
      </c>
      <c r="CG101" s="580" t="str">
        <f>IF('Marks Entry'!AL101="","",'Marks Entry'!AL101)</f>
        <v/>
      </c>
      <c r="CH101" s="580" t="str">
        <f>IF('Marks Entry'!AM101="","",'Marks Entry'!AM101)</f>
        <v/>
      </c>
      <c r="CI101" s="580" t="str">
        <f>IF('Marks Entry'!AN101="","",'Marks Entry'!AN101)</f>
        <v/>
      </c>
      <c r="CJ101" s="581" t="str">
        <f t="shared" si="278"/>
        <v/>
      </c>
      <c r="CK101" s="580" t="str">
        <f>IF('Marks Entry'!AO101="","",'Marks Entry'!AO101)</f>
        <v/>
      </c>
      <c r="CL101" s="580" t="str">
        <f>IF('Marks Entry'!AP101="","",'Marks Entry'!AP101)</f>
        <v/>
      </c>
      <c r="CM101" s="581" t="str">
        <f t="shared" si="279"/>
        <v/>
      </c>
      <c r="CN101" s="581" t="str">
        <f t="shared" si="280"/>
        <v/>
      </c>
      <c r="CO101" s="580" t="str">
        <f>IF('Marks Entry'!AQ101="","",'Marks Entry'!AQ101)</f>
        <v/>
      </c>
      <c r="CP101" s="580" t="str">
        <f>IF('Marks Entry'!AR101="","",'Marks Entry'!AR101)</f>
        <v/>
      </c>
      <c r="CQ101" s="581" t="str">
        <f t="shared" si="281"/>
        <v/>
      </c>
      <c r="CR101" s="157" t="str">
        <f t="shared" si="282"/>
        <v/>
      </c>
      <c r="CS101" s="157" t="str">
        <f t="shared" si="283"/>
        <v/>
      </c>
      <c r="CT101" s="192" t="str">
        <f t="shared" si="284"/>
        <v/>
      </c>
      <c r="CU101" s="153">
        <f t="shared" si="285"/>
        <v>0</v>
      </c>
      <c r="CV101" s="154">
        <f t="shared" si="286"/>
        <v>0</v>
      </c>
      <c r="CW101" s="154" t="str">
        <f t="shared" si="287"/>
        <v/>
      </c>
      <c r="CX101" s="154" t="str">
        <f t="shared" si="288"/>
        <v/>
      </c>
      <c r="CY101" s="154" t="str">
        <f t="shared" si="289"/>
        <v/>
      </c>
      <c r="CZ101" s="153" t="str">
        <f t="shared" si="290"/>
        <v/>
      </c>
      <c r="DA101" s="154" t="str">
        <f t="shared" si="291"/>
        <v/>
      </c>
      <c r="DB101" s="153" t="str">
        <f t="shared" si="292"/>
        <v/>
      </c>
      <c r="DC101" s="154">
        <f t="shared" si="293"/>
        <v>0</v>
      </c>
      <c r="DD101" s="826" t="str">
        <f>IF('Marks Entry'!AS101="","",IF(OR('Master Sheet'!$D$19="YES",'Marks Entry'!$BA$1=1),'Marks Entry'!AS101,""))</f>
        <v/>
      </c>
      <c r="DE101" s="826" t="str">
        <f>IF('Marks Entry'!AT101="","",IF(OR('Master Sheet'!$D$19="YES",'Marks Entry'!$BA$1=1),'Marks Entry'!AT101,""))</f>
        <v/>
      </c>
      <c r="DF101" s="826" t="str">
        <f>IF('Marks Entry'!AU101="","",IF(OR('Master Sheet'!$D$19="YES",'Marks Entry'!$BA$1=1),'Marks Entry'!AU101,""))</f>
        <v/>
      </c>
      <c r="DG101" s="826" t="str">
        <f>IF('Marks Entry'!AV101="","",IF(OR('Master Sheet'!$D$19="YES",'Marks Entry'!$BA$1=1),'Marks Entry'!AV101,""))</f>
        <v/>
      </c>
      <c r="DH101" s="827" t="str">
        <f t="shared" si="294"/>
        <v/>
      </c>
      <c r="DI101" s="826" t="str">
        <f>IF('Marks Entry'!AW101="","",IF(OR('Master Sheet'!$D$19="YES",'Marks Entry'!$BA$1=1),'Marks Entry'!AW101,""))</f>
        <v/>
      </c>
      <c r="DJ101" s="826" t="str">
        <f>IF('Marks Entry'!AX101="","",IF(OR('Master Sheet'!$D$19="YES",'Marks Entry'!$BA$1=1),'Marks Entry'!AX101,""))</f>
        <v/>
      </c>
      <c r="DK101" s="827" t="str">
        <f t="shared" si="295"/>
        <v/>
      </c>
      <c r="DL101" s="827" t="str">
        <f t="shared" si="296"/>
        <v/>
      </c>
      <c r="DM101" s="826" t="str">
        <f>IF('Marks Entry'!AY101="","",IF(OR('Master Sheet'!$D$19="YES",'Marks Entry'!$BA$1=1),'Marks Entry'!AY101,""))</f>
        <v/>
      </c>
      <c r="DN101" s="826" t="str">
        <f>IF('Marks Entry'!AZ101="","",IF(OR('Master Sheet'!$D$19="YES",'Marks Entry'!$BA$1=1),'Marks Entry'!AZ101,""))</f>
        <v/>
      </c>
      <c r="DO101" s="826" t="str">
        <f>IF('Marks Entry'!BA101="","",IF(OR('Master Sheet'!$D$19="YES",'Marks Entry'!$BA$1=1),'Marks Entry'!BA101,""))</f>
        <v/>
      </c>
      <c r="DP101" s="827" t="str">
        <f t="shared" si="297"/>
        <v/>
      </c>
      <c r="DQ101" s="157" t="str">
        <f t="shared" si="298"/>
        <v/>
      </c>
      <c r="DR101" s="157" t="str">
        <f t="shared" si="299"/>
        <v/>
      </c>
      <c r="DS101" s="157" t="str">
        <f t="shared" si="300"/>
        <v/>
      </c>
      <c r="DT101" s="192" t="str">
        <f t="shared" si="301"/>
        <v/>
      </c>
      <c r="DU101" s="153">
        <f t="shared" si="302"/>
        <v>0</v>
      </c>
      <c r="DV101" s="154" t="e">
        <f t="shared" si="303"/>
        <v>#VALUE!</v>
      </c>
      <c r="DW101" s="154" t="str">
        <f t="shared" si="304"/>
        <v/>
      </c>
      <c r="DX101" s="154" t="str">
        <f>IF(OR($B101="NSO",$B101=0,DS101=""),"",IF(AND(DJ101="",DO101=""),"",IF('Master Sheet'!$D$19="YES",$DO$6-COUNTIF(DO101,"ML")*DO$6,DS$6-(COUNTIF(DJ101,"ML")*DJ$6)-(COUNTIF(DO101,"ML")*DO$6))))</f>
        <v/>
      </c>
      <c r="DY101" s="154" t="str">
        <f>IF(OR($B101="NSO",$B101=0),"",IF(AND(DH101="",DI101="",DM101=""),"",IF(AND('Master Sheet'!$D$19="YES",'Marks Entry'!$BA$1=1),100,IF(AND(DJ101="",DO101=""),SUM(($DQ$7+$DR$7)-(DU101+DV101)),SUM(($DQ$6+$DR$6)-(DU101+DV101))))))</f>
        <v/>
      </c>
      <c r="DZ101" s="153" t="str">
        <f t="shared" si="305"/>
        <v/>
      </c>
      <c r="EA101" s="154" t="str">
        <f t="shared" si="306"/>
        <v/>
      </c>
      <c r="EB101" s="153" t="str">
        <f t="shared" si="307"/>
        <v/>
      </c>
      <c r="EC101" s="584" t="str">
        <f>IF('Marks Entry'!BB101="","",'Marks Entry'!BB101)</f>
        <v/>
      </c>
      <c r="ED101" s="584" t="str">
        <f>IF('Marks Entry'!BC101="","",'Marks Entry'!BC101)</f>
        <v/>
      </c>
      <c r="EE101" s="584" t="str">
        <f>IF('Marks Entry'!BD101="","",'Marks Entry'!BD101)</f>
        <v/>
      </c>
      <c r="EF101" s="590" t="str">
        <f t="shared" si="308"/>
        <v/>
      </c>
      <c r="EG101" s="595">
        <f t="shared" si="309"/>
        <v>0</v>
      </c>
      <c r="EH101" s="595">
        <f t="shared" si="310"/>
        <v>0</v>
      </c>
      <c r="EI101" s="193" t="str">
        <f t="shared" si="311"/>
        <v/>
      </c>
      <c r="EJ101" s="595" t="str">
        <f t="shared" si="312"/>
        <v/>
      </c>
      <c r="EK101" s="595" t="str">
        <f t="shared" si="313"/>
        <v/>
      </c>
      <c r="EL101" s="194" t="str">
        <f t="shared" si="314"/>
        <v/>
      </c>
      <c r="EM101" s="194" t="str">
        <f t="shared" si="315"/>
        <v/>
      </c>
      <c r="EN101" s="194" t="str">
        <f t="shared" si="316"/>
        <v/>
      </c>
      <c r="EO101" s="194" t="str">
        <f t="shared" si="317"/>
        <v/>
      </c>
      <c r="EP101" s="194" t="str">
        <f t="shared" si="318"/>
        <v/>
      </c>
      <c r="EQ101" s="194" t="str">
        <f t="shared" si="319"/>
        <v/>
      </c>
      <c r="ER101" s="195">
        <f t="shared" si="320"/>
        <v>0</v>
      </c>
      <c r="ES101" s="195">
        <f t="shared" si="321"/>
        <v>0</v>
      </c>
      <c r="ET101" s="195">
        <f t="shared" si="322"/>
        <v>0</v>
      </c>
      <c r="EU101" s="195">
        <f t="shared" si="323"/>
        <v>0</v>
      </c>
      <c r="EV101" s="195">
        <f t="shared" si="324"/>
        <v>0</v>
      </c>
      <c r="EW101" s="195" t="str">
        <f t="shared" si="325"/>
        <v/>
      </c>
      <c r="EX101" s="196" t="str">
        <f t="shared" si="326"/>
        <v/>
      </c>
      <c r="EY101" s="197" t="str">
        <f>IF('Marks Entry'!BE101="","",'Marks Entry'!BE101)</f>
        <v/>
      </c>
      <c r="EZ101" s="197" t="str">
        <f>IF('Marks Entry'!BF101="","",'Marks Entry'!BF101)</f>
        <v/>
      </c>
      <c r="FA101" s="197" t="str">
        <f>IF('Marks Entry'!BG101="","",'Marks Entry'!BG101)</f>
        <v/>
      </c>
      <c r="FB101" s="596" t="str">
        <f t="shared" si="327"/>
        <v/>
      </c>
      <c r="FC101" s="197" t="str">
        <f>IF('Marks Entry'!BH101="","",'Marks Entry'!BH101)</f>
        <v/>
      </c>
      <c r="FD101" s="197" t="str">
        <f>IF('Marks Entry'!BI101="","",'Marks Entry'!BI101)</f>
        <v/>
      </c>
      <c r="FE101" s="198" t="str">
        <f t="shared" si="328"/>
        <v/>
      </c>
      <c r="FF101" s="199" t="str">
        <f t="shared" si="329"/>
        <v/>
      </c>
      <c r="FG101" s="200" t="str">
        <f>IF(AND(E101=""),"",IF('Student DATA Entry'!L97="","",'Student DATA Entry'!L97))</f>
        <v/>
      </c>
      <c r="FH101" s="201" t="str">
        <f>IF(AND(E101=""),"",IF('Student DATA Entry'!M97="","",'Student DATA Entry'!M97))</f>
        <v/>
      </c>
      <c r="FI101" s="202" t="str">
        <f t="shared" si="330"/>
        <v/>
      </c>
      <c r="FJ101" s="189" t="str">
        <f t="shared" si="331"/>
        <v/>
      </c>
      <c r="FK101" s="189" t="str">
        <f t="shared" si="332"/>
        <v/>
      </c>
      <c r="FL101" s="203" t="str">
        <f t="shared" si="201"/>
        <v/>
      </c>
      <c r="FM101" s="189" t="str">
        <f t="shared" si="333"/>
        <v/>
      </c>
      <c r="FN101" s="204" t="str">
        <f t="shared" si="334"/>
        <v/>
      </c>
      <c r="FO101" s="203" t="str">
        <f t="shared" si="202"/>
        <v/>
      </c>
      <c r="FP101" s="205" t="str">
        <f t="shared" si="335"/>
        <v/>
      </c>
      <c r="FQ101" s="189" t="str">
        <f t="shared" si="203"/>
        <v/>
      </c>
      <c r="FR101" s="189" t="str">
        <f t="shared" si="204"/>
        <v/>
      </c>
      <c r="FS101" s="189" t="str">
        <f t="shared" si="205"/>
        <v/>
      </c>
      <c r="FT101" s="189" t="str">
        <f t="shared" si="206"/>
        <v/>
      </c>
      <c r="FU101" s="189" t="str">
        <f t="shared" si="336"/>
        <v/>
      </c>
      <c r="FV101" s="206" t="str">
        <f t="shared" si="207"/>
        <v/>
      </c>
      <c r="FW101" s="205" t="str">
        <f t="shared" si="337"/>
        <v/>
      </c>
      <c r="FX101" s="189" t="str">
        <f t="shared" si="208"/>
        <v/>
      </c>
      <c r="FY101" s="189" t="str">
        <f t="shared" si="209"/>
        <v/>
      </c>
      <c r="FZ101" s="189" t="str">
        <f t="shared" si="210"/>
        <v/>
      </c>
      <c r="GA101" s="189" t="str">
        <f t="shared" si="211"/>
        <v/>
      </c>
      <c r="GB101" s="189" t="str">
        <f t="shared" si="338"/>
        <v/>
      </c>
      <c r="GC101" s="206" t="str">
        <f t="shared" si="212"/>
        <v/>
      </c>
      <c r="GD101" s="205" t="str">
        <f t="shared" si="339"/>
        <v/>
      </c>
      <c r="GE101" s="189" t="str">
        <f t="shared" si="213"/>
        <v/>
      </c>
      <c r="GF101" s="189" t="str">
        <f t="shared" si="214"/>
        <v/>
      </c>
      <c r="GG101" s="189" t="str">
        <f t="shared" si="215"/>
        <v/>
      </c>
      <c r="GH101" s="189" t="str">
        <f t="shared" si="216"/>
        <v/>
      </c>
      <c r="GI101" s="189" t="str">
        <f t="shared" si="340"/>
        <v/>
      </c>
      <c r="GJ101" s="206" t="str">
        <f t="shared" si="217"/>
        <v/>
      </c>
      <c r="GK101" s="205" t="str">
        <f t="shared" si="341"/>
        <v/>
      </c>
      <c r="GL101" s="189" t="str">
        <f t="shared" si="218"/>
        <v/>
      </c>
      <c r="GM101" s="189" t="str">
        <f t="shared" si="219"/>
        <v/>
      </c>
      <c r="GN101" s="189" t="str">
        <f t="shared" si="220"/>
        <v/>
      </c>
      <c r="GO101" s="189" t="str">
        <f t="shared" si="221"/>
        <v/>
      </c>
      <c r="GP101" s="189" t="str">
        <f t="shared" si="342"/>
        <v/>
      </c>
      <c r="GQ101" s="206" t="str">
        <f t="shared" si="222"/>
        <v/>
      </c>
      <c r="GR101" s="189" t="str">
        <f t="shared" si="343"/>
        <v/>
      </c>
      <c r="GS101" s="189" t="str">
        <f t="shared" si="344"/>
        <v/>
      </c>
      <c r="GT101" s="207" t="str">
        <f t="shared" si="345"/>
        <v xml:space="preserve">    </v>
      </c>
      <c r="GU101" s="207" t="str">
        <f t="shared" si="346"/>
        <v xml:space="preserve">    </v>
      </c>
      <c r="GV101" s="207" t="str">
        <f t="shared" si="347"/>
        <v xml:space="preserve">    </v>
      </c>
      <c r="GW101" s="207" t="str">
        <f t="shared" si="348"/>
        <v xml:space="preserve">       </v>
      </c>
      <c r="GX101" s="598" t="str">
        <f t="shared" si="349"/>
        <v xml:space="preserve">     </v>
      </c>
      <c r="GY101" s="208" t="str">
        <f t="shared" si="223"/>
        <v/>
      </c>
      <c r="GZ101" s="606" t="str">
        <f>IF(AND(Q101="",AE101="",AZ101="",BW101="",CT101=""),"",IF(AND('Master Sheet'!$D$19="YES",'Marks Entry'!$BA$1=1),SUM(Q101,AE101,AZ101,BW101,DT101),SUM(Q101,AE101,AZ101,BW101,CT101)))</f>
        <v/>
      </c>
      <c r="HA101" s="209" t="str">
        <f>IF(GZ101="","",IF(AND('Master Sheet'!$D$19="YES",'Marks Entry'!$BA$1=1),GZ101/((900)-DC101)*100,GZ101/((1000)-DC101)*100))</f>
        <v/>
      </c>
      <c r="HB101" s="611" t="str">
        <f t="shared" si="350"/>
        <v/>
      </c>
      <c r="HC101" s="609" t="str">
        <f t="shared" si="351"/>
        <v/>
      </c>
      <c r="HD101" s="610" t="str">
        <f t="shared" si="352"/>
        <v/>
      </c>
      <c r="HE101" s="210" t="str">
        <f>IFERROR(IF(OR(GY101="SUPPLEMENTARY",GY101="RE-EXAM"),'Supp. Result Entry'!AS100,""),"")</f>
        <v/>
      </c>
      <c r="HF101" s="613" t="str">
        <f t="shared" si="353"/>
        <v/>
      </c>
      <c r="HG101" s="598" t="str">
        <f t="shared" si="354"/>
        <v/>
      </c>
      <c r="HH101" s="598" t="str">
        <f>IF(AND(HE101="",HF101="",HG101=""),"",IF(OR(GY101="SUPPLEMENTARY",GY101="RE-EXAM"),'Supp. Result Entry'!AS100,GY101))</f>
        <v/>
      </c>
      <c r="HI101" s="180"/>
      <c r="HY101" s="212" t="str">
        <f>IF('Supp. Result Entry'!U100="","",'Supp. Result Entry'!$U$6)</f>
        <v/>
      </c>
      <c r="HZ101" s="213" t="str">
        <f>IF('Supp. Result Entry'!X100="","",'Supp. Result Entry'!$X$6)</f>
        <v/>
      </c>
      <c r="IA101" s="213" t="str">
        <f>IF('Supp. Result Entry'!AA100="","",'Supp. Result Entry'!$AA$6)</f>
        <v/>
      </c>
      <c r="IB101" s="213" t="str">
        <f>IF('Supp. Result Entry'!AD100="","",'Supp. Result Entry'!$AD$6)</f>
        <v/>
      </c>
      <c r="IC101" s="213" t="str">
        <f>IF('Supp. Result Entry'!AG100="","",'Supp. Result Entry'!$AG$6)</f>
        <v/>
      </c>
      <c r="ID101" s="213" t="str">
        <f>IF('Supp. Result Entry'!AJ100="","",'Supp. Result Entry'!$AJ$6)</f>
        <v/>
      </c>
      <c r="IE101" s="213" t="str">
        <f>IF('Supp. Result Entry'!V100="","",'Supp. Result Entry'!V100)</f>
        <v/>
      </c>
      <c r="IF101" s="213" t="str">
        <f>IF('Supp. Result Entry'!Y100="","",'Supp. Result Entry'!Y100)</f>
        <v/>
      </c>
      <c r="IG101" s="213" t="str">
        <f>IF('Supp. Result Entry'!AB100="","",'Supp. Result Entry'!AB100)</f>
        <v/>
      </c>
      <c r="IH101" s="213" t="str">
        <f>IF('Supp. Result Entry'!AE100="","",'Supp. Result Entry'!AE100)</f>
        <v/>
      </c>
      <c r="II101" s="213" t="str">
        <f>IF('Supp. Result Entry'!AH100="","",'Supp. Result Entry'!AH100)</f>
        <v/>
      </c>
      <c r="IJ101" s="213" t="str">
        <f>IF('Supp. Result Entry'!AK100="","",'Supp. Result Entry'!AK100)</f>
        <v/>
      </c>
      <c r="IK101" s="213" t="str">
        <f>IF('Supp. Result Entry'!W100="","",'Supp. Result Entry'!W100)</f>
        <v/>
      </c>
      <c r="IL101" s="213" t="str">
        <f>IF('Supp. Result Entry'!Z100="","",'Supp. Result Entry'!Z100)</f>
        <v/>
      </c>
      <c r="IM101" s="213" t="str">
        <f>IF('Supp. Result Entry'!AC100="","",'Supp. Result Entry'!AC100)</f>
        <v/>
      </c>
      <c r="IN101" s="213" t="str">
        <f>IF('Supp. Result Entry'!AF100="","",'Supp. Result Entry'!AF100)</f>
        <v/>
      </c>
      <c r="IO101" s="213" t="str">
        <f>IF('Supp. Result Entry'!AI100="","",'Supp. Result Entry'!AI100)</f>
        <v/>
      </c>
      <c r="IP101" s="213" t="str">
        <f>IF('Supp. Result Entry'!AL100="","",'Supp. Result Entry'!AL100)</f>
        <v/>
      </c>
      <c r="IQ101" s="213">
        <f>COUNTIF('Supp. Result Entry'!K100:Q100,"S")</f>
        <v>0</v>
      </c>
      <c r="IR101" s="213">
        <f t="shared" si="355"/>
        <v>0</v>
      </c>
      <c r="IS101" s="213">
        <f t="shared" si="356"/>
        <v>0</v>
      </c>
      <c r="IT101" s="213" t="str">
        <f t="shared" si="224"/>
        <v/>
      </c>
      <c r="IU101" s="213" t="str">
        <f t="shared" si="225"/>
        <v/>
      </c>
      <c r="IV101" s="213" t="str">
        <f t="shared" si="226"/>
        <v/>
      </c>
      <c r="IW101" s="213" t="str">
        <f t="shared" si="227"/>
        <v/>
      </c>
      <c r="IX101" s="213" t="str">
        <f t="shared" si="228"/>
        <v/>
      </c>
      <c r="IY101" s="213" t="str">
        <f t="shared" si="357"/>
        <v/>
      </c>
      <c r="IZ101" s="213" t="str">
        <f t="shared" si="358"/>
        <v/>
      </c>
      <c r="JA101" s="213" t="str">
        <f t="shared" si="229"/>
        <v/>
      </c>
      <c r="JB101" s="211" t="str">
        <f t="shared" si="359"/>
        <v/>
      </c>
    </row>
    <row r="102" spans="1:262" s="211" customFormat="1" ht="21" customHeight="1">
      <c r="A102" s="184">
        <v>95</v>
      </c>
      <c r="B102" s="185" t="str">
        <f>IF('Marks Entry'!B102="","",'Marks Entry'!B102)</f>
        <v/>
      </c>
      <c r="C102" s="186" t="str">
        <f>IF('Marks Entry'!D102="","",'Marks Entry'!D102)</f>
        <v/>
      </c>
      <c r="D102" s="187" t="str">
        <f>IF('Marks Entry'!E102="","",'Marks Entry'!E102)</f>
        <v/>
      </c>
      <c r="E102" s="188" t="str">
        <f>IF('Marks Entry'!F102="","",'Marks Entry'!F102)</f>
        <v/>
      </c>
      <c r="F102" s="188" t="str">
        <f>IF('Marks Entry'!G102="","",'Marks Entry'!G102)</f>
        <v/>
      </c>
      <c r="G102" s="188" t="str">
        <f>IF('Marks Entry'!H102="","",'Marks Entry'!H102)</f>
        <v/>
      </c>
      <c r="H102" s="189" t="str">
        <f>IF('Marks Entry'!I102="","",'Marks Entry'!I102)</f>
        <v/>
      </c>
      <c r="I102" s="190" t="str">
        <f>IF('Marks Entry'!J102="","",'Marks Entry'!J102)</f>
        <v/>
      </c>
      <c r="J102" s="545" t="str">
        <f>IF('Marks Entry'!K102="","",'Marks Entry'!K102)</f>
        <v/>
      </c>
      <c r="K102" s="545" t="str">
        <f>IF('Marks Entry'!L102="","",'Marks Entry'!L102)</f>
        <v/>
      </c>
      <c r="L102" s="545" t="str">
        <f>IF('Marks Entry'!M102="","",'Marks Entry'!M102)</f>
        <v/>
      </c>
      <c r="M102" s="546" t="str">
        <f t="shared" si="230"/>
        <v/>
      </c>
      <c r="N102" s="545" t="str">
        <f>IF('Marks Entry'!N102="","",'Marks Entry'!N102)</f>
        <v/>
      </c>
      <c r="O102" s="546" t="str">
        <f t="shared" si="231"/>
        <v/>
      </c>
      <c r="P102" s="545" t="str">
        <f>IF('Marks Entry'!O102="","",'Marks Entry'!O102)</f>
        <v/>
      </c>
      <c r="Q102" s="547" t="str">
        <f t="shared" si="232"/>
        <v/>
      </c>
      <c r="R102" s="153">
        <f t="shared" si="233"/>
        <v>0</v>
      </c>
      <c r="S102" s="153">
        <f t="shared" si="234"/>
        <v>0</v>
      </c>
      <c r="T102" s="154" t="str">
        <f t="shared" si="235"/>
        <v/>
      </c>
      <c r="U102" s="153" t="str">
        <f t="shared" si="236"/>
        <v/>
      </c>
      <c r="V102" s="153" t="str">
        <f t="shared" si="237"/>
        <v/>
      </c>
      <c r="W102" s="153" t="str">
        <f t="shared" si="238"/>
        <v/>
      </c>
      <c r="X102" s="545" t="str">
        <f>IF('Marks Entry'!P102="","",'Marks Entry'!P102)</f>
        <v/>
      </c>
      <c r="Y102" s="545" t="str">
        <f>IF('Marks Entry'!Q102="","",'Marks Entry'!Q102)</f>
        <v/>
      </c>
      <c r="Z102" s="545" t="str">
        <f>IF('Marks Entry'!R102="","",'Marks Entry'!R102)</f>
        <v/>
      </c>
      <c r="AA102" s="546" t="str">
        <f t="shared" si="239"/>
        <v/>
      </c>
      <c r="AB102" s="545" t="str">
        <f>IF('Marks Entry'!S102="","",'Marks Entry'!S102)</f>
        <v/>
      </c>
      <c r="AC102" s="546" t="str">
        <f t="shared" si="240"/>
        <v/>
      </c>
      <c r="AD102" s="545" t="str">
        <f>IF('Marks Entry'!T102="","",'Marks Entry'!T102)</f>
        <v/>
      </c>
      <c r="AE102" s="547" t="str">
        <f t="shared" si="241"/>
        <v/>
      </c>
      <c r="AF102" s="153">
        <f t="shared" si="242"/>
        <v>0</v>
      </c>
      <c r="AG102" s="153">
        <f t="shared" si="243"/>
        <v>0</v>
      </c>
      <c r="AH102" s="154" t="str">
        <f t="shared" si="244"/>
        <v/>
      </c>
      <c r="AI102" s="153" t="str">
        <f t="shared" si="245"/>
        <v/>
      </c>
      <c r="AJ102" s="153" t="str">
        <f t="shared" si="246"/>
        <v/>
      </c>
      <c r="AK102" s="153" t="str">
        <f t="shared" si="247"/>
        <v/>
      </c>
      <c r="AL102" s="573" t="str">
        <f>IF('Marks Entry'!U102="","",'Marks Entry'!U102)</f>
        <v/>
      </c>
      <c r="AM102" s="573" t="str">
        <f>IF('Marks Entry'!V102="","",'Marks Entry'!V102)</f>
        <v/>
      </c>
      <c r="AN102" s="573" t="str">
        <f>IF('Marks Entry'!W102="","",'Marks Entry'!W102)</f>
        <v/>
      </c>
      <c r="AO102" s="573" t="str">
        <f>IF('Marks Entry'!X102="","",'Marks Entry'!X102)</f>
        <v/>
      </c>
      <c r="AP102" s="572" t="str">
        <f t="shared" si="248"/>
        <v/>
      </c>
      <c r="AQ102" s="573" t="str">
        <f>IF('Marks Entry'!Y102="","",'Marks Entry'!Y102)</f>
        <v/>
      </c>
      <c r="AR102" s="573" t="str">
        <f>IF('Marks Entry'!Z102="","",'Marks Entry'!Z102)</f>
        <v/>
      </c>
      <c r="AS102" s="572" t="str">
        <f t="shared" si="249"/>
        <v/>
      </c>
      <c r="AT102" s="572" t="str">
        <f t="shared" si="250"/>
        <v/>
      </c>
      <c r="AU102" s="573" t="str">
        <f>IF('Marks Entry'!AA102="","",'Marks Entry'!AA102)</f>
        <v/>
      </c>
      <c r="AV102" s="573" t="str">
        <f>IF('Marks Entry'!AB102="","",'Marks Entry'!AB102)</f>
        <v/>
      </c>
      <c r="AW102" s="572" t="str">
        <f t="shared" si="251"/>
        <v/>
      </c>
      <c r="AX102" s="157" t="str">
        <f t="shared" si="252"/>
        <v/>
      </c>
      <c r="AY102" s="157" t="str">
        <f t="shared" si="253"/>
        <v/>
      </c>
      <c r="AZ102" s="192" t="str">
        <f t="shared" si="254"/>
        <v/>
      </c>
      <c r="BA102" s="153">
        <f t="shared" si="255"/>
        <v>0</v>
      </c>
      <c r="BB102" s="154">
        <f t="shared" si="256"/>
        <v>0</v>
      </c>
      <c r="BC102" s="154" t="str">
        <f t="shared" si="257"/>
        <v/>
      </c>
      <c r="BD102" s="154" t="str">
        <f t="shared" si="258"/>
        <v/>
      </c>
      <c r="BE102" s="154" t="str">
        <f t="shared" si="259"/>
        <v/>
      </c>
      <c r="BF102" s="153" t="str">
        <f t="shared" si="260"/>
        <v/>
      </c>
      <c r="BG102" s="154" t="str">
        <f t="shared" si="261"/>
        <v/>
      </c>
      <c r="BH102" s="153" t="str">
        <f t="shared" si="262"/>
        <v/>
      </c>
      <c r="BI102" s="580" t="str">
        <f>IF('Marks Entry'!AC102="","",'Marks Entry'!AC102)</f>
        <v/>
      </c>
      <c r="BJ102" s="580" t="str">
        <f>IF('Marks Entry'!AD102="","",'Marks Entry'!AD102)</f>
        <v/>
      </c>
      <c r="BK102" s="580" t="str">
        <f>IF('Marks Entry'!AE102="","",'Marks Entry'!AE102)</f>
        <v/>
      </c>
      <c r="BL102" s="580" t="str">
        <f>IF('Marks Entry'!AF102="","",'Marks Entry'!AF102)</f>
        <v/>
      </c>
      <c r="BM102" s="581" t="str">
        <f t="shared" si="263"/>
        <v/>
      </c>
      <c r="BN102" s="580" t="str">
        <f>IF('Marks Entry'!AG102="","",'Marks Entry'!AG102)</f>
        <v/>
      </c>
      <c r="BO102" s="580" t="str">
        <f>IF('Marks Entry'!AH102="","",'Marks Entry'!AH102)</f>
        <v/>
      </c>
      <c r="BP102" s="581" t="str">
        <f t="shared" si="264"/>
        <v/>
      </c>
      <c r="BQ102" s="581" t="str">
        <f t="shared" si="265"/>
        <v/>
      </c>
      <c r="BR102" s="580" t="str">
        <f>IF('Marks Entry'!AI102="","",'Marks Entry'!AI102)</f>
        <v/>
      </c>
      <c r="BS102" s="580" t="str">
        <f>IF('Marks Entry'!AJ102="","",'Marks Entry'!AJ102)</f>
        <v/>
      </c>
      <c r="BT102" s="581" t="str">
        <f t="shared" si="266"/>
        <v/>
      </c>
      <c r="BU102" s="157" t="str">
        <f t="shared" si="267"/>
        <v/>
      </c>
      <c r="BV102" s="157" t="str">
        <f t="shared" si="268"/>
        <v/>
      </c>
      <c r="BW102" s="192" t="str">
        <f t="shared" si="269"/>
        <v/>
      </c>
      <c r="BX102" s="153">
        <f t="shared" si="270"/>
        <v>0</v>
      </c>
      <c r="BY102" s="154">
        <f t="shared" si="271"/>
        <v>0</v>
      </c>
      <c r="BZ102" s="154" t="str">
        <f t="shared" si="272"/>
        <v/>
      </c>
      <c r="CA102" s="154" t="str">
        <f t="shared" si="273"/>
        <v/>
      </c>
      <c r="CB102" s="154" t="str">
        <f t="shared" si="274"/>
        <v/>
      </c>
      <c r="CC102" s="153" t="str">
        <f t="shared" si="275"/>
        <v/>
      </c>
      <c r="CD102" s="154" t="str">
        <f t="shared" si="276"/>
        <v/>
      </c>
      <c r="CE102" s="153" t="str">
        <f t="shared" si="277"/>
        <v/>
      </c>
      <c r="CF102" s="580" t="str">
        <f>IF('Marks Entry'!AK102="","",'Marks Entry'!AK102)</f>
        <v/>
      </c>
      <c r="CG102" s="580" t="str">
        <f>IF('Marks Entry'!AL102="","",'Marks Entry'!AL102)</f>
        <v/>
      </c>
      <c r="CH102" s="580" t="str">
        <f>IF('Marks Entry'!AM102="","",'Marks Entry'!AM102)</f>
        <v/>
      </c>
      <c r="CI102" s="580" t="str">
        <f>IF('Marks Entry'!AN102="","",'Marks Entry'!AN102)</f>
        <v/>
      </c>
      <c r="CJ102" s="581" t="str">
        <f t="shared" si="278"/>
        <v/>
      </c>
      <c r="CK102" s="580" t="str">
        <f>IF('Marks Entry'!AO102="","",'Marks Entry'!AO102)</f>
        <v/>
      </c>
      <c r="CL102" s="580" t="str">
        <f>IF('Marks Entry'!AP102="","",'Marks Entry'!AP102)</f>
        <v/>
      </c>
      <c r="CM102" s="581" t="str">
        <f t="shared" si="279"/>
        <v/>
      </c>
      <c r="CN102" s="581" t="str">
        <f t="shared" si="280"/>
        <v/>
      </c>
      <c r="CO102" s="580" t="str">
        <f>IF('Marks Entry'!AQ102="","",'Marks Entry'!AQ102)</f>
        <v/>
      </c>
      <c r="CP102" s="580" t="str">
        <f>IF('Marks Entry'!AR102="","",'Marks Entry'!AR102)</f>
        <v/>
      </c>
      <c r="CQ102" s="581" t="str">
        <f t="shared" si="281"/>
        <v/>
      </c>
      <c r="CR102" s="157" t="str">
        <f t="shared" si="282"/>
        <v/>
      </c>
      <c r="CS102" s="157" t="str">
        <f t="shared" si="283"/>
        <v/>
      </c>
      <c r="CT102" s="192" t="str">
        <f t="shared" si="284"/>
        <v/>
      </c>
      <c r="CU102" s="153">
        <f t="shared" si="285"/>
        <v>0</v>
      </c>
      <c r="CV102" s="154">
        <f t="shared" si="286"/>
        <v>0</v>
      </c>
      <c r="CW102" s="154" t="str">
        <f t="shared" si="287"/>
        <v/>
      </c>
      <c r="CX102" s="154" t="str">
        <f t="shared" si="288"/>
        <v/>
      </c>
      <c r="CY102" s="154" t="str">
        <f t="shared" si="289"/>
        <v/>
      </c>
      <c r="CZ102" s="153" t="str">
        <f t="shared" si="290"/>
        <v/>
      </c>
      <c r="DA102" s="154" t="str">
        <f t="shared" si="291"/>
        <v/>
      </c>
      <c r="DB102" s="153" t="str">
        <f t="shared" si="292"/>
        <v/>
      </c>
      <c r="DC102" s="154">
        <f t="shared" si="293"/>
        <v>0</v>
      </c>
      <c r="DD102" s="826" t="str">
        <f>IF('Marks Entry'!AS102="","",IF(OR('Master Sheet'!$D$19="YES",'Marks Entry'!$BA$1=1),'Marks Entry'!AS102,""))</f>
        <v/>
      </c>
      <c r="DE102" s="826" t="str">
        <f>IF('Marks Entry'!AT102="","",IF(OR('Master Sheet'!$D$19="YES",'Marks Entry'!$BA$1=1),'Marks Entry'!AT102,""))</f>
        <v/>
      </c>
      <c r="DF102" s="826" t="str">
        <f>IF('Marks Entry'!AU102="","",IF(OR('Master Sheet'!$D$19="YES",'Marks Entry'!$BA$1=1),'Marks Entry'!AU102,""))</f>
        <v/>
      </c>
      <c r="DG102" s="826" t="str">
        <f>IF('Marks Entry'!AV102="","",IF(OR('Master Sheet'!$D$19="YES",'Marks Entry'!$BA$1=1),'Marks Entry'!AV102,""))</f>
        <v/>
      </c>
      <c r="DH102" s="827" t="str">
        <f t="shared" si="294"/>
        <v/>
      </c>
      <c r="DI102" s="826" t="str">
        <f>IF('Marks Entry'!AW102="","",IF(OR('Master Sheet'!$D$19="YES",'Marks Entry'!$BA$1=1),'Marks Entry'!AW102,""))</f>
        <v/>
      </c>
      <c r="DJ102" s="826" t="str">
        <f>IF('Marks Entry'!AX102="","",IF(OR('Master Sheet'!$D$19="YES",'Marks Entry'!$BA$1=1),'Marks Entry'!AX102,""))</f>
        <v/>
      </c>
      <c r="DK102" s="827" t="str">
        <f t="shared" si="295"/>
        <v/>
      </c>
      <c r="DL102" s="827" t="str">
        <f t="shared" si="296"/>
        <v/>
      </c>
      <c r="DM102" s="826" t="str">
        <f>IF('Marks Entry'!AY102="","",IF(OR('Master Sheet'!$D$19="YES",'Marks Entry'!$BA$1=1),'Marks Entry'!AY102,""))</f>
        <v/>
      </c>
      <c r="DN102" s="826" t="str">
        <f>IF('Marks Entry'!AZ102="","",IF(OR('Master Sheet'!$D$19="YES",'Marks Entry'!$BA$1=1),'Marks Entry'!AZ102,""))</f>
        <v/>
      </c>
      <c r="DO102" s="826" t="str">
        <f>IF('Marks Entry'!BA102="","",IF(OR('Master Sheet'!$D$19="YES",'Marks Entry'!$BA$1=1),'Marks Entry'!BA102,""))</f>
        <v/>
      </c>
      <c r="DP102" s="827" t="str">
        <f t="shared" si="297"/>
        <v/>
      </c>
      <c r="DQ102" s="157" t="str">
        <f t="shared" si="298"/>
        <v/>
      </c>
      <c r="DR102" s="157" t="str">
        <f t="shared" si="299"/>
        <v/>
      </c>
      <c r="DS102" s="157" t="str">
        <f t="shared" si="300"/>
        <v/>
      </c>
      <c r="DT102" s="192" t="str">
        <f t="shared" si="301"/>
        <v/>
      </c>
      <c r="DU102" s="153">
        <f t="shared" si="302"/>
        <v>0</v>
      </c>
      <c r="DV102" s="154" t="e">
        <f t="shared" si="303"/>
        <v>#VALUE!</v>
      </c>
      <c r="DW102" s="154" t="str">
        <f t="shared" si="304"/>
        <v/>
      </c>
      <c r="DX102" s="154" t="str">
        <f>IF(OR($B102="NSO",$B102=0,DS102=""),"",IF(AND(DJ102="",DO102=""),"",IF('Master Sheet'!$D$19="YES",$DO$6-COUNTIF(DO102,"ML")*DO$6,DS$6-(COUNTIF(DJ102,"ML")*DJ$6)-(COUNTIF(DO102,"ML")*DO$6))))</f>
        <v/>
      </c>
      <c r="DY102" s="154" t="str">
        <f>IF(OR($B102="NSO",$B102=0),"",IF(AND(DH102="",DI102="",DM102=""),"",IF(AND('Master Sheet'!$D$19="YES",'Marks Entry'!$BA$1=1),100,IF(AND(DJ102="",DO102=""),SUM(($DQ$7+$DR$7)-(DU102+DV102)),SUM(($DQ$6+$DR$6)-(DU102+DV102))))))</f>
        <v/>
      </c>
      <c r="DZ102" s="153" t="str">
        <f t="shared" si="305"/>
        <v/>
      </c>
      <c r="EA102" s="154" t="str">
        <f t="shared" si="306"/>
        <v/>
      </c>
      <c r="EB102" s="153" t="str">
        <f t="shared" si="307"/>
        <v/>
      </c>
      <c r="EC102" s="584" t="str">
        <f>IF('Marks Entry'!BB102="","",'Marks Entry'!BB102)</f>
        <v/>
      </c>
      <c r="ED102" s="584" t="str">
        <f>IF('Marks Entry'!BC102="","",'Marks Entry'!BC102)</f>
        <v/>
      </c>
      <c r="EE102" s="584" t="str">
        <f>IF('Marks Entry'!BD102="","",'Marks Entry'!BD102)</f>
        <v/>
      </c>
      <c r="EF102" s="590" t="str">
        <f t="shared" si="308"/>
        <v/>
      </c>
      <c r="EG102" s="595">
        <f t="shared" si="309"/>
        <v>0</v>
      </c>
      <c r="EH102" s="595">
        <f t="shared" si="310"/>
        <v>0</v>
      </c>
      <c r="EI102" s="193" t="str">
        <f t="shared" si="311"/>
        <v/>
      </c>
      <c r="EJ102" s="595" t="str">
        <f t="shared" si="312"/>
        <v/>
      </c>
      <c r="EK102" s="595" t="str">
        <f t="shared" si="313"/>
        <v/>
      </c>
      <c r="EL102" s="194" t="str">
        <f t="shared" si="314"/>
        <v/>
      </c>
      <c r="EM102" s="194" t="str">
        <f t="shared" si="315"/>
        <v/>
      </c>
      <c r="EN102" s="194" t="str">
        <f t="shared" si="316"/>
        <v/>
      </c>
      <c r="EO102" s="194" t="str">
        <f t="shared" si="317"/>
        <v/>
      </c>
      <c r="EP102" s="194" t="str">
        <f t="shared" si="318"/>
        <v/>
      </c>
      <c r="EQ102" s="194" t="str">
        <f t="shared" si="319"/>
        <v/>
      </c>
      <c r="ER102" s="195">
        <f t="shared" si="320"/>
        <v>0</v>
      </c>
      <c r="ES102" s="195">
        <f t="shared" si="321"/>
        <v>0</v>
      </c>
      <c r="ET102" s="195">
        <f t="shared" si="322"/>
        <v>0</v>
      </c>
      <c r="EU102" s="195">
        <f t="shared" si="323"/>
        <v>0</v>
      </c>
      <c r="EV102" s="195">
        <f t="shared" si="324"/>
        <v>0</v>
      </c>
      <c r="EW102" s="195" t="str">
        <f t="shared" si="325"/>
        <v/>
      </c>
      <c r="EX102" s="196" t="str">
        <f t="shared" si="326"/>
        <v/>
      </c>
      <c r="EY102" s="197" t="str">
        <f>IF('Marks Entry'!BE102="","",'Marks Entry'!BE102)</f>
        <v/>
      </c>
      <c r="EZ102" s="197" t="str">
        <f>IF('Marks Entry'!BF102="","",'Marks Entry'!BF102)</f>
        <v/>
      </c>
      <c r="FA102" s="197" t="str">
        <f>IF('Marks Entry'!BG102="","",'Marks Entry'!BG102)</f>
        <v/>
      </c>
      <c r="FB102" s="596" t="str">
        <f t="shared" si="327"/>
        <v/>
      </c>
      <c r="FC102" s="197" t="str">
        <f>IF('Marks Entry'!BH102="","",'Marks Entry'!BH102)</f>
        <v/>
      </c>
      <c r="FD102" s="197" t="str">
        <f>IF('Marks Entry'!BI102="","",'Marks Entry'!BI102)</f>
        <v/>
      </c>
      <c r="FE102" s="198" t="str">
        <f t="shared" si="328"/>
        <v/>
      </c>
      <c r="FF102" s="199" t="str">
        <f t="shared" si="329"/>
        <v/>
      </c>
      <c r="FG102" s="200" t="str">
        <f>IF(AND(E102=""),"",IF('Student DATA Entry'!L98="","",'Student DATA Entry'!L98))</f>
        <v/>
      </c>
      <c r="FH102" s="201" t="str">
        <f>IF(AND(E102=""),"",IF('Student DATA Entry'!M98="","",'Student DATA Entry'!M98))</f>
        <v/>
      </c>
      <c r="FI102" s="202" t="str">
        <f t="shared" si="330"/>
        <v/>
      </c>
      <c r="FJ102" s="189" t="str">
        <f t="shared" si="331"/>
        <v/>
      </c>
      <c r="FK102" s="189" t="str">
        <f t="shared" si="332"/>
        <v/>
      </c>
      <c r="FL102" s="203" t="str">
        <f t="shared" si="201"/>
        <v/>
      </c>
      <c r="FM102" s="189" t="str">
        <f t="shared" si="333"/>
        <v/>
      </c>
      <c r="FN102" s="204" t="str">
        <f t="shared" si="334"/>
        <v/>
      </c>
      <c r="FO102" s="203" t="str">
        <f t="shared" si="202"/>
        <v/>
      </c>
      <c r="FP102" s="205" t="str">
        <f t="shared" si="335"/>
        <v/>
      </c>
      <c r="FQ102" s="189" t="str">
        <f t="shared" si="203"/>
        <v/>
      </c>
      <c r="FR102" s="189" t="str">
        <f t="shared" si="204"/>
        <v/>
      </c>
      <c r="FS102" s="189" t="str">
        <f t="shared" si="205"/>
        <v/>
      </c>
      <c r="FT102" s="189" t="str">
        <f t="shared" si="206"/>
        <v/>
      </c>
      <c r="FU102" s="189" t="str">
        <f t="shared" si="336"/>
        <v/>
      </c>
      <c r="FV102" s="206" t="str">
        <f t="shared" si="207"/>
        <v/>
      </c>
      <c r="FW102" s="205" t="str">
        <f t="shared" si="337"/>
        <v/>
      </c>
      <c r="FX102" s="189" t="str">
        <f t="shared" si="208"/>
        <v/>
      </c>
      <c r="FY102" s="189" t="str">
        <f t="shared" si="209"/>
        <v/>
      </c>
      <c r="FZ102" s="189" t="str">
        <f t="shared" si="210"/>
        <v/>
      </c>
      <c r="GA102" s="189" t="str">
        <f t="shared" si="211"/>
        <v/>
      </c>
      <c r="GB102" s="189" t="str">
        <f t="shared" si="338"/>
        <v/>
      </c>
      <c r="GC102" s="206" t="str">
        <f t="shared" si="212"/>
        <v/>
      </c>
      <c r="GD102" s="205" t="str">
        <f t="shared" si="339"/>
        <v/>
      </c>
      <c r="GE102" s="189" t="str">
        <f t="shared" si="213"/>
        <v/>
      </c>
      <c r="GF102" s="189" t="str">
        <f t="shared" si="214"/>
        <v/>
      </c>
      <c r="GG102" s="189" t="str">
        <f t="shared" si="215"/>
        <v/>
      </c>
      <c r="GH102" s="189" t="str">
        <f t="shared" si="216"/>
        <v/>
      </c>
      <c r="GI102" s="189" t="str">
        <f t="shared" si="340"/>
        <v/>
      </c>
      <c r="GJ102" s="206" t="str">
        <f t="shared" si="217"/>
        <v/>
      </c>
      <c r="GK102" s="205" t="str">
        <f t="shared" si="341"/>
        <v/>
      </c>
      <c r="GL102" s="189" t="str">
        <f t="shared" si="218"/>
        <v/>
      </c>
      <c r="GM102" s="189" t="str">
        <f t="shared" si="219"/>
        <v/>
      </c>
      <c r="GN102" s="189" t="str">
        <f t="shared" si="220"/>
        <v/>
      </c>
      <c r="GO102" s="189" t="str">
        <f t="shared" si="221"/>
        <v/>
      </c>
      <c r="GP102" s="189" t="str">
        <f t="shared" si="342"/>
        <v/>
      </c>
      <c r="GQ102" s="206" t="str">
        <f t="shared" si="222"/>
        <v/>
      </c>
      <c r="GR102" s="189" t="str">
        <f t="shared" si="343"/>
        <v/>
      </c>
      <c r="GS102" s="189" t="str">
        <f t="shared" si="344"/>
        <v/>
      </c>
      <c r="GT102" s="207" t="str">
        <f t="shared" si="345"/>
        <v xml:space="preserve">    </v>
      </c>
      <c r="GU102" s="207" t="str">
        <f t="shared" si="346"/>
        <v xml:space="preserve">    </v>
      </c>
      <c r="GV102" s="207" t="str">
        <f t="shared" si="347"/>
        <v xml:space="preserve">    </v>
      </c>
      <c r="GW102" s="207" t="str">
        <f t="shared" si="348"/>
        <v xml:space="preserve">       </v>
      </c>
      <c r="GX102" s="598" t="str">
        <f t="shared" si="349"/>
        <v xml:space="preserve">     </v>
      </c>
      <c r="GY102" s="208" t="str">
        <f t="shared" si="223"/>
        <v/>
      </c>
      <c r="GZ102" s="606" t="str">
        <f>IF(AND(Q102="",AE102="",AZ102="",BW102="",CT102=""),"",IF(AND('Master Sheet'!$D$19="YES",'Marks Entry'!$BA$1=1),SUM(Q102,AE102,AZ102,BW102,DT102),SUM(Q102,AE102,AZ102,BW102,CT102)))</f>
        <v/>
      </c>
      <c r="HA102" s="209" t="str">
        <f>IF(GZ102="","",IF(AND('Master Sheet'!$D$19="YES",'Marks Entry'!$BA$1=1),GZ102/((900)-DC102)*100,GZ102/((1000)-DC102)*100))</f>
        <v/>
      </c>
      <c r="HB102" s="611" t="str">
        <f t="shared" si="350"/>
        <v/>
      </c>
      <c r="HC102" s="609" t="str">
        <f t="shared" si="351"/>
        <v/>
      </c>
      <c r="HD102" s="610" t="str">
        <f t="shared" si="352"/>
        <v/>
      </c>
      <c r="HE102" s="210" t="str">
        <f>IFERROR(IF(OR(GY102="SUPPLEMENTARY",GY102="RE-EXAM"),'Supp. Result Entry'!AS101,""),"")</f>
        <v/>
      </c>
      <c r="HF102" s="613" t="str">
        <f t="shared" si="353"/>
        <v/>
      </c>
      <c r="HG102" s="598" t="str">
        <f t="shared" si="354"/>
        <v/>
      </c>
      <c r="HH102" s="598" t="str">
        <f>IF(AND(HE102="",HF102="",HG102=""),"",IF(OR(GY102="SUPPLEMENTARY",GY102="RE-EXAM"),'Supp. Result Entry'!AS101,GY102))</f>
        <v/>
      </c>
      <c r="HI102" s="180"/>
      <c r="HY102" s="212" t="str">
        <f>IF('Supp. Result Entry'!U101="","",'Supp. Result Entry'!$U$6)</f>
        <v/>
      </c>
      <c r="HZ102" s="213" t="str">
        <f>IF('Supp. Result Entry'!X101="","",'Supp. Result Entry'!$X$6)</f>
        <v/>
      </c>
      <c r="IA102" s="213" t="str">
        <f>IF('Supp. Result Entry'!AA101="","",'Supp. Result Entry'!$AA$6)</f>
        <v/>
      </c>
      <c r="IB102" s="213" t="str">
        <f>IF('Supp. Result Entry'!AD101="","",'Supp. Result Entry'!$AD$6)</f>
        <v/>
      </c>
      <c r="IC102" s="213" t="str">
        <f>IF('Supp. Result Entry'!AG101="","",'Supp. Result Entry'!$AG$6)</f>
        <v/>
      </c>
      <c r="ID102" s="213" t="str">
        <f>IF('Supp. Result Entry'!AJ101="","",'Supp. Result Entry'!$AJ$6)</f>
        <v/>
      </c>
      <c r="IE102" s="213" t="str">
        <f>IF('Supp. Result Entry'!V101="","",'Supp. Result Entry'!V101)</f>
        <v/>
      </c>
      <c r="IF102" s="213" t="str">
        <f>IF('Supp. Result Entry'!Y101="","",'Supp. Result Entry'!Y101)</f>
        <v/>
      </c>
      <c r="IG102" s="213" t="str">
        <f>IF('Supp. Result Entry'!AB101="","",'Supp. Result Entry'!AB101)</f>
        <v/>
      </c>
      <c r="IH102" s="213" t="str">
        <f>IF('Supp. Result Entry'!AE101="","",'Supp. Result Entry'!AE101)</f>
        <v/>
      </c>
      <c r="II102" s="213" t="str">
        <f>IF('Supp. Result Entry'!AH101="","",'Supp. Result Entry'!AH101)</f>
        <v/>
      </c>
      <c r="IJ102" s="213" t="str">
        <f>IF('Supp. Result Entry'!AK101="","",'Supp. Result Entry'!AK101)</f>
        <v/>
      </c>
      <c r="IK102" s="213" t="str">
        <f>IF('Supp. Result Entry'!W101="","",'Supp. Result Entry'!W101)</f>
        <v/>
      </c>
      <c r="IL102" s="213" t="str">
        <f>IF('Supp. Result Entry'!Z101="","",'Supp. Result Entry'!Z101)</f>
        <v/>
      </c>
      <c r="IM102" s="213" t="str">
        <f>IF('Supp. Result Entry'!AC101="","",'Supp. Result Entry'!AC101)</f>
        <v/>
      </c>
      <c r="IN102" s="213" t="str">
        <f>IF('Supp. Result Entry'!AF101="","",'Supp. Result Entry'!AF101)</f>
        <v/>
      </c>
      <c r="IO102" s="213" t="str">
        <f>IF('Supp. Result Entry'!AI101="","",'Supp. Result Entry'!AI101)</f>
        <v/>
      </c>
      <c r="IP102" s="213" t="str">
        <f>IF('Supp. Result Entry'!AL101="","",'Supp. Result Entry'!AL101)</f>
        <v/>
      </c>
      <c r="IQ102" s="213">
        <f>COUNTIF('Supp. Result Entry'!K101:Q101,"S")</f>
        <v>0</v>
      </c>
      <c r="IR102" s="213">
        <f t="shared" si="355"/>
        <v>0</v>
      </c>
      <c r="IS102" s="213">
        <f t="shared" si="356"/>
        <v>0</v>
      </c>
      <c r="IT102" s="213" t="str">
        <f t="shared" si="224"/>
        <v/>
      </c>
      <c r="IU102" s="213" t="str">
        <f t="shared" si="225"/>
        <v/>
      </c>
      <c r="IV102" s="213" t="str">
        <f t="shared" si="226"/>
        <v/>
      </c>
      <c r="IW102" s="213" t="str">
        <f t="shared" si="227"/>
        <v/>
      </c>
      <c r="IX102" s="213" t="str">
        <f t="shared" si="228"/>
        <v/>
      </c>
      <c r="IY102" s="213" t="str">
        <f t="shared" si="357"/>
        <v/>
      </c>
      <c r="IZ102" s="213" t="str">
        <f t="shared" si="358"/>
        <v/>
      </c>
      <c r="JA102" s="213" t="str">
        <f t="shared" si="229"/>
        <v/>
      </c>
      <c r="JB102" s="211" t="str">
        <f t="shared" si="359"/>
        <v/>
      </c>
    </row>
    <row r="103" spans="1:262" s="211" customFormat="1" ht="21" customHeight="1">
      <c r="A103" s="184">
        <v>96</v>
      </c>
      <c r="B103" s="185" t="str">
        <f>IF('Marks Entry'!B103="","",'Marks Entry'!B103)</f>
        <v/>
      </c>
      <c r="C103" s="186" t="str">
        <f>IF('Marks Entry'!D103="","",'Marks Entry'!D103)</f>
        <v/>
      </c>
      <c r="D103" s="187" t="str">
        <f>IF('Marks Entry'!E103="","",'Marks Entry'!E103)</f>
        <v/>
      </c>
      <c r="E103" s="188" t="str">
        <f>IF('Marks Entry'!F103="","",'Marks Entry'!F103)</f>
        <v/>
      </c>
      <c r="F103" s="188" t="str">
        <f>IF('Marks Entry'!G103="","",'Marks Entry'!G103)</f>
        <v/>
      </c>
      <c r="G103" s="188" t="str">
        <f>IF('Marks Entry'!H103="","",'Marks Entry'!H103)</f>
        <v/>
      </c>
      <c r="H103" s="189" t="str">
        <f>IF('Marks Entry'!I103="","",'Marks Entry'!I103)</f>
        <v/>
      </c>
      <c r="I103" s="190" t="str">
        <f>IF('Marks Entry'!J103="","",'Marks Entry'!J103)</f>
        <v/>
      </c>
      <c r="J103" s="545" t="str">
        <f>IF('Marks Entry'!K103="","",'Marks Entry'!K103)</f>
        <v/>
      </c>
      <c r="K103" s="545" t="str">
        <f>IF('Marks Entry'!L103="","",'Marks Entry'!L103)</f>
        <v/>
      </c>
      <c r="L103" s="545" t="str">
        <f>IF('Marks Entry'!M103="","",'Marks Entry'!M103)</f>
        <v/>
      </c>
      <c r="M103" s="546" t="str">
        <f t="shared" si="230"/>
        <v/>
      </c>
      <c r="N103" s="545" t="str">
        <f>IF('Marks Entry'!N103="","",'Marks Entry'!N103)</f>
        <v/>
      </c>
      <c r="O103" s="546" t="str">
        <f t="shared" si="231"/>
        <v/>
      </c>
      <c r="P103" s="545" t="str">
        <f>IF('Marks Entry'!O103="","",'Marks Entry'!O103)</f>
        <v/>
      </c>
      <c r="Q103" s="547" t="str">
        <f t="shared" si="232"/>
        <v/>
      </c>
      <c r="R103" s="153">
        <f t="shared" si="233"/>
        <v>0</v>
      </c>
      <c r="S103" s="153">
        <f t="shared" si="234"/>
        <v>0</v>
      </c>
      <c r="T103" s="154" t="str">
        <f t="shared" si="235"/>
        <v/>
      </c>
      <c r="U103" s="153" t="str">
        <f t="shared" si="236"/>
        <v/>
      </c>
      <c r="V103" s="153" t="str">
        <f t="shared" si="237"/>
        <v/>
      </c>
      <c r="W103" s="153" t="str">
        <f t="shared" si="238"/>
        <v/>
      </c>
      <c r="X103" s="545" t="str">
        <f>IF('Marks Entry'!P103="","",'Marks Entry'!P103)</f>
        <v/>
      </c>
      <c r="Y103" s="545" t="str">
        <f>IF('Marks Entry'!Q103="","",'Marks Entry'!Q103)</f>
        <v/>
      </c>
      <c r="Z103" s="545" t="str">
        <f>IF('Marks Entry'!R103="","",'Marks Entry'!R103)</f>
        <v/>
      </c>
      <c r="AA103" s="546" t="str">
        <f t="shared" si="239"/>
        <v/>
      </c>
      <c r="AB103" s="545" t="str">
        <f>IF('Marks Entry'!S103="","",'Marks Entry'!S103)</f>
        <v/>
      </c>
      <c r="AC103" s="546" t="str">
        <f t="shared" si="240"/>
        <v/>
      </c>
      <c r="AD103" s="545" t="str">
        <f>IF('Marks Entry'!T103="","",'Marks Entry'!T103)</f>
        <v/>
      </c>
      <c r="AE103" s="547" t="str">
        <f t="shared" si="241"/>
        <v/>
      </c>
      <c r="AF103" s="153">
        <f t="shared" si="242"/>
        <v>0</v>
      </c>
      <c r="AG103" s="153">
        <f t="shared" si="243"/>
        <v>0</v>
      </c>
      <c r="AH103" s="154" t="str">
        <f t="shared" si="244"/>
        <v/>
      </c>
      <c r="AI103" s="153" t="str">
        <f t="shared" si="245"/>
        <v/>
      </c>
      <c r="AJ103" s="153" t="str">
        <f t="shared" si="246"/>
        <v/>
      </c>
      <c r="AK103" s="153" t="str">
        <f t="shared" si="247"/>
        <v/>
      </c>
      <c r="AL103" s="573" t="str">
        <f>IF('Marks Entry'!U103="","",'Marks Entry'!U103)</f>
        <v/>
      </c>
      <c r="AM103" s="573" t="str">
        <f>IF('Marks Entry'!V103="","",'Marks Entry'!V103)</f>
        <v/>
      </c>
      <c r="AN103" s="573" t="str">
        <f>IF('Marks Entry'!W103="","",'Marks Entry'!W103)</f>
        <v/>
      </c>
      <c r="AO103" s="573" t="str">
        <f>IF('Marks Entry'!X103="","",'Marks Entry'!X103)</f>
        <v/>
      </c>
      <c r="AP103" s="572" t="str">
        <f t="shared" si="248"/>
        <v/>
      </c>
      <c r="AQ103" s="573" t="str">
        <f>IF('Marks Entry'!Y103="","",'Marks Entry'!Y103)</f>
        <v/>
      </c>
      <c r="AR103" s="573" t="str">
        <f>IF('Marks Entry'!Z103="","",'Marks Entry'!Z103)</f>
        <v/>
      </c>
      <c r="AS103" s="572" t="str">
        <f t="shared" si="249"/>
        <v/>
      </c>
      <c r="AT103" s="572" t="str">
        <f t="shared" si="250"/>
        <v/>
      </c>
      <c r="AU103" s="573" t="str">
        <f>IF('Marks Entry'!AA103="","",'Marks Entry'!AA103)</f>
        <v/>
      </c>
      <c r="AV103" s="573" t="str">
        <f>IF('Marks Entry'!AB103="","",'Marks Entry'!AB103)</f>
        <v/>
      </c>
      <c r="AW103" s="572" t="str">
        <f t="shared" si="251"/>
        <v/>
      </c>
      <c r="AX103" s="157" t="str">
        <f t="shared" si="252"/>
        <v/>
      </c>
      <c r="AY103" s="157" t="str">
        <f t="shared" si="253"/>
        <v/>
      </c>
      <c r="AZ103" s="192" t="str">
        <f t="shared" si="254"/>
        <v/>
      </c>
      <c r="BA103" s="153">
        <f t="shared" si="255"/>
        <v>0</v>
      </c>
      <c r="BB103" s="154">
        <f t="shared" si="256"/>
        <v>0</v>
      </c>
      <c r="BC103" s="154" t="str">
        <f t="shared" si="257"/>
        <v/>
      </c>
      <c r="BD103" s="154" t="str">
        <f t="shared" si="258"/>
        <v/>
      </c>
      <c r="BE103" s="154" t="str">
        <f t="shared" si="259"/>
        <v/>
      </c>
      <c r="BF103" s="153" t="str">
        <f t="shared" si="260"/>
        <v/>
      </c>
      <c r="BG103" s="154" t="str">
        <f t="shared" si="261"/>
        <v/>
      </c>
      <c r="BH103" s="153" t="str">
        <f t="shared" si="262"/>
        <v/>
      </c>
      <c r="BI103" s="580" t="str">
        <f>IF('Marks Entry'!AC103="","",'Marks Entry'!AC103)</f>
        <v/>
      </c>
      <c r="BJ103" s="580" t="str">
        <f>IF('Marks Entry'!AD103="","",'Marks Entry'!AD103)</f>
        <v/>
      </c>
      <c r="BK103" s="580" t="str">
        <f>IF('Marks Entry'!AE103="","",'Marks Entry'!AE103)</f>
        <v/>
      </c>
      <c r="BL103" s="580" t="str">
        <f>IF('Marks Entry'!AF103="","",'Marks Entry'!AF103)</f>
        <v/>
      </c>
      <c r="BM103" s="581" t="str">
        <f t="shared" si="263"/>
        <v/>
      </c>
      <c r="BN103" s="580" t="str">
        <f>IF('Marks Entry'!AG103="","",'Marks Entry'!AG103)</f>
        <v/>
      </c>
      <c r="BO103" s="580" t="str">
        <f>IF('Marks Entry'!AH103="","",'Marks Entry'!AH103)</f>
        <v/>
      </c>
      <c r="BP103" s="581" t="str">
        <f t="shared" si="264"/>
        <v/>
      </c>
      <c r="BQ103" s="581" t="str">
        <f t="shared" si="265"/>
        <v/>
      </c>
      <c r="BR103" s="580" t="str">
        <f>IF('Marks Entry'!AI103="","",'Marks Entry'!AI103)</f>
        <v/>
      </c>
      <c r="BS103" s="580" t="str">
        <f>IF('Marks Entry'!AJ103="","",'Marks Entry'!AJ103)</f>
        <v/>
      </c>
      <c r="BT103" s="581" t="str">
        <f t="shared" si="266"/>
        <v/>
      </c>
      <c r="BU103" s="157" t="str">
        <f t="shared" si="267"/>
        <v/>
      </c>
      <c r="BV103" s="157" t="str">
        <f t="shared" si="268"/>
        <v/>
      </c>
      <c r="BW103" s="192" t="str">
        <f t="shared" si="269"/>
        <v/>
      </c>
      <c r="BX103" s="153">
        <f t="shared" si="270"/>
        <v>0</v>
      </c>
      <c r="BY103" s="154">
        <f t="shared" si="271"/>
        <v>0</v>
      </c>
      <c r="BZ103" s="154" t="str">
        <f t="shared" si="272"/>
        <v/>
      </c>
      <c r="CA103" s="154" t="str">
        <f t="shared" si="273"/>
        <v/>
      </c>
      <c r="CB103" s="154" t="str">
        <f t="shared" si="274"/>
        <v/>
      </c>
      <c r="CC103" s="153" t="str">
        <f t="shared" si="275"/>
        <v/>
      </c>
      <c r="CD103" s="154" t="str">
        <f t="shared" si="276"/>
        <v/>
      </c>
      <c r="CE103" s="153" t="str">
        <f t="shared" si="277"/>
        <v/>
      </c>
      <c r="CF103" s="580" t="str">
        <f>IF('Marks Entry'!AK103="","",'Marks Entry'!AK103)</f>
        <v/>
      </c>
      <c r="CG103" s="580" t="str">
        <f>IF('Marks Entry'!AL103="","",'Marks Entry'!AL103)</f>
        <v/>
      </c>
      <c r="CH103" s="580" t="str">
        <f>IF('Marks Entry'!AM103="","",'Marks Entry'!AM103)</f>
        <v/>
      </c>
      <c r="CI103" s="580" t="str">
        <f>IF('Marks Entry'!AN103="","",'Marks Entry'!AN103)</f>
        <v/>
      </c>
      <c r="CJ103" s="581" t="str">
        <f t="shared" si="278"/>
        <v/>
      </c>
      <c r="CK103" s="580" t="str">
        <f>IF('Marks Entry'!AO103="","",'Marks Entry'!AO103)</f>
        <v/>
      </c>
      <c r="CL103" s="580" t="str">
        <f>IF('Marks Entry'!AP103="","",'Marks Entry'!AP103)</f>
        <v/>
      </c>
      <c r="CM103" s="581" t="str">
        <f t="shared" si="279"/>
        <v/>
      </c>
      <c r="CN103" s="581" t="str">
        <f t="shared" si="280"/>
        <v/>
      </c>
      <c r="CO103" s="580" t="str">
        <f>IF('Marks Entry'!AQ103="","",'Marks Entry'!AQ103)</f>
        <v/>
      </c>
      <c r="CP103" s="580" t="str">
        <f>IF('Marks Entry'!AR103="","",'Marks Entry'!AR103)</f>
        <v/>
      </c>
      <c r="CQ103" s="581" t="str">
        <f t="shared" si="281"/>
        <v/>
      </c>
      <c r="CR103" s="157" t="str">
        <f t="shared" si="282"/>
        <v/>
      </c>
      <c r="CS103" s="157" t="str">
        <f t="shared" si="283"/>
        <v/>
      </c>
      <c r="CT103" s="192" t="str">
        <f t="shared" si="284"/>
        <v/>
      </c>
      <c r="CU103" s="153">
        <f t="shared" si="285"/>
        <v>0</v>
      </c>
      <c r="CV103" s="154">
        <f t="shared" si="286"/>
        <v>0</v>
      </c>
      <c r="CW103" s="154" t="str">
        <f t="shared" si="287"/>
        <v/>
      </c>
      <c r="CX103" s="154" t="str">
        <f t="shared" si="288"/>
        <v/>
      </c>
      <c r="CY103" s="154" t="str">
        <f t="shared" si="289"/>
        <v/>
      </c>
      <c r="CZ103" s="153" t="str">
        <f t="shared" si="290"/>
        <v/>
      </c>
      <c r="DA103" s="154" t="str">
        <f t="shared" si="291"/>
        <v/>
      </c>
      <c r="DB103" s="153" t="str">
        <f t="shared" si="292"/>
        <v/>
      </c>
      <c r="DC103" s="154">
        <f t="shared" si="293"/>
        <v>0</v>
      </c>
      <c r="DD103" s="826" t="str">
        <f>IF('Marks Entry'!AS103="","",IF(OR('Master Sheet'!$D$19="YES",'Marks Entry'!$BA$1=1),'Marks Entry'!AS103,""))</f>
        <v/>
      </c>
      <c r="DE103" s="826" t="str">
        <f>IF('Marks Entry'!AT103="","",IF(OR('Master Sheet'!$D$19="YES",'Marks Entry'!$BA$1=1),'Marks Entry'!AT103,""))</f>
        <v/>
      </c>
      <c r="DF103" s="826" t="str">
        <f>IF('Marks Entry'!AU103="","",IF(OR('Master Sheet'!$D$19="YES",'Marks Entry'!$BA$1=1),'Marks Entry'!AU103,""))</f>
        <v/>
      </c>
      <c r="DG103" s="826" t="str">
        <f>IF('Marks Entry'!AV103="","",IF(OR('Master Sheet'!$D$19="YES",'Marks Entry'!$BA$1=1),'Marks Entry'!AV103,""))</f>
        <v/>
      </c>
      <c r="DH103" s="827" t="str">
        <f t="shared" si="294"/>
        <v/>
      </c>
      <c r="DI103" s="826" t="str">
        <f>IF('Marks Entry'!AW103="","",IF(OR('Master Sheet'!$D$19="YES",'Marks Entry'!$BA$1=1),'Marks Entry'!AW103,""))</f>
        <v/>
      </c>
      <c r="DJ103" s="826" t="str">
        <f>IF('Marks Entry'!AX103="","",IF(OR('Master Sheet'!$D$19="YES",'Marks Entry'!$BA$1=1),'Marks Entry'!AX103,""))</f>
        <v/>
      </c>
      <c r="DK103" s="827" t="str">
        <f t="shared" si="295"/>
        <v/>
      </c>
      <c r="DL103" s="827" t="str">
        <f t="shared" si="296"/>
        <v/>
      </c>
      <c r="DM103" s="826" t="str">
        <f>IF('Marks Entry'!AY103="","",IF(OR('Master Sheet'!$D$19="YES",'Marks Entry'!$BA$1=1),'Marks Entry'!AY103,""))</f>
        <v/>
      </c>
      <c r="DN103" s="826" t="str">
        <f>IF('Marks Entry'!AZ103="","",IF(OR('Master Sheet'!$D$19="YES",'Marks Entry'!$BA$1=1),'Marks Entry'!AZ103,""))</f>
        <v/>
      </c>
      <c r="DO103" s="826" t="str">
        <f>IF('Marks Entry'!BA103="","",IF(OR('Master Sheet'!$D$19="YES",'Marks Entry'!$BA$1=1),'Marks Entry'!BA103,""))</f>
        <v/>
      </c>
      <c r="DP103" s="827" t="str">
        <f t="shared" si="297"/>
        <v/>
      </c>
      <c r="DQ103" s="157" t="str">
        <f t="shared" si="298"/>
        <v/>
      </c>
      <c r="DR103" s="157" t="str">
        <f t="shared" si="299"/>
        <v/>
      </c>
      <c r="DS103" s="157" t="str">
        <f t="shared" si="300"/>
        <v/>
      </c>
      <c r="DT103" s="192" t="str">
        <f t="shared" si="301"/>
        <v/>
      </c>
      <c r="DU103" s="153">
        <f t="shared" si="302"/>
        <v>0</v>
      </c>
      <c r="DV103" s="154" t="e">
        <f t="shared" si="303"/>
        <v>#VALUE!</v>
      </c>
      <c r="DW103" s="154" t="str">
        <f t="shared" si="304"/>
        <v/>
      </c>
      <c r="DX103" s="154" t="str">
        <f>IF(OR($B103="NSO",$B103=0,DS103=""),"",IF(AND(DJ103="",DO103=""),"",IF('Master Sheet'!$D$19="YES",$DO$6-COUNTIF(DO103,"ML")*DO$6,DS$6-(COUNTIF(DJ103,"ML")*DJ$6)-(COUNTIF(DO103,"ML")*DO$6))))</f>
        <v/>
      </c>
      <c r="DY103" s="154" t="str">
        <f>IF(OR($B103="NSO",$B103=0),"",IF(AND(DH103="",DI103="",DM103=""),"",IF(AND('Master Sheet'!$D$19="YES",'Marks Entry'!$BA$1=1),100,IF(AND(DJ103="",DO103=""),SUM(($DQ$7+$DR$7)-(DU103+DV103)),SUM(($DQ$6+$DR$6)-(DU103+DV103))))))</f>
        <v/>
      </c>
      <c r="DZ103" s="153" t="str">
        <f t="shared" si="305"/>
        <v/>
      </c>
      <c r="EA103" s="154" t="str">
        <f t="shared" si="306"/>
        <v/>
      </c>
      <c r="EB103" s="153" t="str">
        <f t="shared" si="307"/>
        <v/>
      </c>
      <c r="EC103" s="584" t="str">
        <f>IF('Marks Entry'!BB103="","",'Marks Entry'!BB103)</f>
        <v/>
      </c>
      <c r="ED103" s="584" t="str">
        <f>IF('Marks Entry'!BC103="","",'Marks Entry'!BC103)</f>
        <v/>
      </c>
      <c r="EE103" s="584" t="str">
        <f>IF('Marks Entry'!BD103="","",'Marks Entry'!BD103)</f>
        <v/>
      </c>
      <c r="EF103" s="590" t="str">
        <f t="shared" si="308"/>
        <v/>
      </c>
      <c r="EG103" s="595">
        <f t="shared" si="309"/>
        <v>0</v>
      </c>
      <c r="EH103" s="595">
        <f t="shared" si="310"/>
        <v>0</v>
      </c>
      <c r="EI103" s="193" t="str">
        <f t="shared" si="311"/>
        <v/>
      </c>
      <c r="EJ103" s="595" t="str">
        <f t="shared" si="312"/>
        <v/>
      </c>
      <c r="EK103" s="595" t="str">
        <f t="shared" si="313"/>
        <v/>
      </c>
      <c r="EL103" s="194" t="str">
        <f t="shared" si="314"/>
        <v/>
      </c>
      <c r="EM103" s="194" t="str">
        <f t="shared" si="315"/>
        <v/>
      </c>
      <c r="EN103" s="194" t="str">
        <f t="shared" si="316"/>
        <v/>
      </c>
      <c r="EO103" s="194" t="str">
        <f t="shared" si="317"/>
        <v/>
      </c>
      <c r="EP103" s="194" t="str">
        <f t="shared" si="318"/>
        <v/>
      </c>
      <c r="EQ103" s="194" t="str">
        <f t="shared" si="319"/>
        <v/>
      </c>
      <c r="ER103" s="195">
        <f t="shared" si="320"/>
        <v>0</v>
      </c>
      <c r="ES103" s="195">
        <f t="shared" si="321"/>
        <v>0</v>
      </c>
      <c r="ET103" s="195">
        <f t="shared" si="322"/>
        <v>0</v>
      </c>
      <c r="EU103" s="195">
        <f t="shared" si="323"/>
        <v>0</v>
      </c>
      <c r="EV103" s="195">
        <f t="shared" si="324"/>
        <v>0</v>
      </c>
      <c r="EW103" s="195" t="str">
        <f t="shared" si="325"/>
        <v/>
      </c>
      <c r="EX103" s="196" t="str">
        <f t="shared" si="326"/>
        <v/>
      </c>
      <c r="EY103" s="197" t="str">
        <f>IF('Marks Entry'!BE103="","",'Marks Entry'!BE103)</f>
        <v/>
      </c>
      <c r="EZ103" s="197" t="str">
        <f>IF('Marks Entry'!BF103="","",'Marks Entry'!BF103)</f>
        <v/>
      </c>
      <c r="FA103" s="197" t="str">
        <f>IF('Marks Entry'!BG103="","",'Marks Entry'!BG103)</f>
        <v/>
      </c>
      <c r="FB103" s="596" t="str">
        <f t="shared" si="327"/>
        <v/>
      </c>
      <c r="FC103" s="197" t="str">
        <f>IF('Marks Entry'!BH103="","",'Marks Entry'!BH103)</f>
        <v/>
      </c>
      <c r="FD103" s="197" t="str">
        <f>IF('Marks Entry'!BI103="","",'Marks Entry'!BI103)</f>
        <v/>
      </c>
      <c r="FE103" s="198" t="str">
        <f t="shared" si="328"/>
        <v/>
      </c>
      <c r="FF103" s="199" t="str">
        <f t="shared" si="329"/>
        <v/>
      </c>
      <c r="FG103" s="200" t="str">
        <f>IF(AND(E103=""),"",IF('Student DATA Entry'!L99="","",'Student DATA Entry'!L99))</f>
        <v/>
      </c>
      <c r="FH103" s="201" t="str">
        <f>IF(AND(E103=""),"",IF('Student DATA Entry'!M99="","",'Student DATA Entry'!M99))</f>
        <v/>
      </c>
      <c r="FI103" s="202" t="str">
        <f t="shared" si="330"/>
        <v/>
      </c>
      <c r="FJ103" s="189" t="str">
        <f t="shared" si="331"/>
        <v/>
      </c>
      <c r="FK103" s="189" t="str">
        <f t="shared" si="332"/>
        <v/>
      </c>
      <c r="FL103" s="203" t="str">
        <f t="shared" si="201"/>
        <v/>
      </c>
      <c r="FM103" s="189" t="str">
        <f t="shared" si="333"/>
        <v/>
      </c>
      <c r="FN103" s="204" t="str">
        <f t="shared" si="334"/>
        <v/>
      </c>
      <c r="FO103" s="203" t="str">
        <f t="shared" si="202"/>
        <v/>
      </c>
      <c r="FP103" s="205" t="str">
        <f t="shared" si="335"/>
        <v/>
      </c>
      <c r="FQ103" s="189" t="str">
        <f t="shared" si="203"/>
        <v/>
      </c>
      <c r="FR103" s="189" t="str">
        <f t="shared" si="204"/>
        <v/>
      </c>
      <c r="FS103" s="189" t="str">
        <f t="shared" si="205"/>
        <v/>
      </c>
      <c r="FT103" s="189" t="str">
        <f t="shared" si="206"/>
        <v/>
      </c>
      <c r="FU103" s="189" t="str">
        <f t="shared" si="336"/>
        <v/>
      </c>
      <c r="FV103" s="206" t="str">
        <f t="shared" si="207"/>
        <v/>
      </c>
      <c r="FW103" s="205" t="str">
        <f t="shared" si="337"/>
        <v/>
      </c>
      <c r="FX103" s="189" t="str">
        <f t="shared" si="208"/>
        <v/>
      </c>
      <c r="FY103" s="189" t="str">
        <f t="shared" si="209"/>
        <v/>
      </c>
      <c r="FZ103" s="189" t="str">
        <f t="shared" si="210"/>
        <v/>
      </c>
      <c r="GA103" s="189" t="str">
        <f t="shared" si="211"/>
        <v/>
      </c>
      <c r="GB103" s="189" t="str">
        <f t="shared" si="338"/>
        <v/>
      </c>
      <c r="GC103" s="206" t="str">
        <f t="shared" si="212"/>
        <v/>
      </c>
      <c r="GD103" s="205" t="str">
        <f t="shared" si="339"/>
        <v/>
      </c>
      <c r="GE103" s="189" t="str">
        <f t="shared" si="213"/>
        <v/>
      </c>
      <c r="GF103" s="189" t="str">
        <f t="shared" si="214"/>
        <v/>
      </c>
      <c r="GG103" s="189" t="str">
        <f t="shared" si="215"/>
        <v/>
      </c>
      <c r="GH103" s="189" t="str">
        <f t="shared" si="216"/>
        <v/>
      </c>
      <c r="GI103" s="189" t="str">
        <f t="shared" si="340"/>
        <v/>
      </c>
      <c r="GJ103" s="206" t="str">
        <f t="shared" si="217"/>
        <v/>
      </c>
      <c r="GK103" s="205" t="str">
        <f t="shared" si="341"/>
        <v/>
      </c>
      <c r="GL103" s="189" t="str">
        <f t="shared" si="218"/>
        <v/>
      </c>
      <c r="GM103" s="189" t="str">
        <f t="shared" si="219"/>
        <v/>
      </c>
      <c r="GN103" s="189" t="str">
        <f t="shared" si="220"/>
        <v/>
      </c>
      <c r="GO103" s="189" t="str">
        <f t="shared" si="221"/>
        <v/>
      </c>
      <c r="GP103" s="189" t="str">
        <f t="shared" si="342"/>
        <v/>
      </c>
      <c r="GQ103" s="206" t="str">
        <f t="shared" si="222"/>
        <v/>
      </c>
      <c r="GR103" s="189" t="str">
        <f t="shared" si="343"/>
        <v/>
      </c>
      <c r="GS103" s="189" t="str">
        <f t="shared" si="344"/>
        <v/>
      </c>
      <c r="GT103" s="207" t="str">
        <f t="shared" si="345"/>
        <v xml:space="preserve">    </v>
      </c>
      <c r="GU103" s="207" t="str">
        <f t="shared" si="346"/>
        <v xml:space="preserve">    </v>
      </c>
      <c r="GV103" s="207" t="str">
        <f t="shared" si="347"/>
        <v xml:space="preserve">    </v>
      </c>
      <c r="GW103" s="207" t="str">
        <f t="shared" si="348"/>
        <v xml:space="preserve">       </v>
      </c>
      <c r="GX103" s="598" t="str">
        <f t="shared" si="349"/>
        <v xml:space="preserve">     </v>
      </c>
      <c r="GY103" s="208" t="str">
        <f t="shared" si="223"/>
        <v/>
      </c>
      <c r="GZ103" s="606" t="str">
        <f>IF(AND(Q103="",AE103="",AZ103="",BW103="",CT103=""),"",IF(AND('Master Sheet'!$D$19="YES",'Marks Entry'!$BA$1=1),SUM(Q103,AE103,AZ103,BW103,DT103),SUM(Q103,AE103,AZ103,BW103,CT103)))</f>
        <v/>
      </c>
      <c r="HA103" s="209" t="str">
        <f>IF(GZ103="","",IF(AND('Master Sheet'!$D$19="YES",'Marks Entry'!$BA$1=1),GZ103/((900)-DC103)*100,GZ103/((1000)-DC103)*100))</f>
        <v/>
      </c>
      <c r="HB103" s="611" t="str">
        <f t="shared" si="350"/>
        <v/>
      </c>
      <c r="HC103" s="609" t="str">
        <f t="shared" si="351"/>
        <v/>
      </c>
      <c r="HD103" s="610" t="str">
        <f t="shared" si="352"/>
        <v/>
      </c>
      <c r="HE103" s="210" t="str">
        <f>IFERROR(IF(OR(GY103="SUPPLEMENTARY",GY103="RE-EXAM"),'Supp. Result Entry'!AS102,""),"")</f>
        <v/>
      </c>
      <c r="HF103" s="613" t="str">
        <f t="shared" si="353"/>
        <v/>
      </c>
      <c r="HG103" s="598" t="str">
        <f t="shared" si="354"/>
        <v/>
      </c>
      <c r="HH103" s="598" t="str">
        <f>IF(AND(HE103="",HF103="",HG103=""),"",IF(OR(GY103="SUPPLEMENTARY",GY103="RE-EXAM"),'Supp. Result Entry'!AS102,GY103))</f>
        <v/>
      </c>
      <c r="HI103" s="180"/>
      <c r="HY103" s="212" t="str">
        <f>IF('Supp. Result Entry'!U102="","",'Supp. Result Entry'!$U$6)</f>
        <v/>
      </c>
      <c r="HZ103" s="213" t="str">
        <f>IF('Supp. Result Entry'!X102="","",'Supp. Result Entry'!$X$6)</f>
        <v/>
      </c>
      <c r="IA103" s="213" t="str">
        <f>IF('Supp. Result Entry'!AA102="","",'Supp. Result Entry'!$AA$6)</f>
        <v/>
      </c>
      <c r="IB103" s="213" t="str">
        <f>IF('Supp. Result Entry'!AD102="","",'Supp. Result Entry'!$AD$6)</f>
        <v/>
      </c>
      <c r="IC103" s="213" t="str">
        <f>IF('Supp. Result Entry'!AG102="","",'Supp. Result Entry'!$AG$6)</f>
        <v/>
      </c>
      <c r="ID103" s="213" t="str">
        <f>IF('Supp. Result Entry'!AJ102="","",'Supp. Result Entry'!$AJ$6)</f>
        <v/>
      </c>
      <c r="IE103" s="213" t="str">
        <f>IF('Supp. Result Entry'!V102="","",'Supp. Result Entry'!V102)</f>
        <v/>
      </c>
      <c r="IF103" s="213" t="str">
        <f>IF('Supp. Result Entry'!Y102="","",'Supp. Result Entry'!Y102)</f>
        <v/>
      </c>
      <c r="IG103" s="213" t="str">
        <f>IF('Supp. Result Entry'!AB102="","",'Supp. Result Entry'!AB102)</f>
        <v/>
      </c>
      <c r="IH103" s="213" t="str">
        <f>IF('Supp. Result Entry'!AE102="","",'Supp. Result Entry'!AE102)</f>
        <v/>
      </c>
      <c r="II103" s="213" t="str">
        <f>IF('Supp. Result Entry'!AH102="","",'Supp. Result Entry'!AH102)</f>
        <v/>
      </c>
      <c r="IJ103" s="213" t="str">
        <f>IF('Supp. Result Entry'!AK102="","",'Supp. Result Entry'!AK102)</f>
        <v/>
      </c>
      <c r="IK103" s="213" t="str">
        <f>IF('Supp. Result Entry'!W102="","",'Supp. Result Entry'!W102)</f>
        <v/>
      </c>
      <c r="IL103" s="213" t="str">
        <f>IF('Supp. Result Entry'!Z102="","",'Supp. Result Entry'!Z102)</f>
        <v/>
      </c>
      <c r="IM103" s="213" t="str">
        <f>IF('Supp. Result Entry'!AC102="","",'Supp. Result Entry'!AC102)</f>
        <v/>
      </c>
      <c r="IN103" s="213" t="str">
        <f>IF('Supp. Result Entry'!AF102="","",'Supp. Result Entry'!AF102)</f>
        <v/>
      </c>
      <c r="IO103" s="213" t="str">
        <f>IF('Supp. Result Entry'!AI102="","",'Supp. Result Entry'!AI102)</f>
        <v/>
      </c>
      <c r="IP103" s="213" t="str">
        <f>IF('Supp. Result Entry'!AL102="","",'Supp. Result Entry'!AL102)</f>
        <v/>
      </c>
      <c r="IQ103" s="213">
        <f>COUNTIF('Supp. Result Entry'!K102:Q102,"S")</f>
        <v>0</v>
      </c>
      <c r="IR103" s="213">
        <f t="shared" si="355"/>
        <v>0</v>
      </c>
      <c r="IS103" s="213">
        <f t="shared" si="356"/>
        <v>0</v>
      </c>
      <c r="IT103" s="213" t="str">
        <f t="shared" si="224"/>
        <v/>
      </c>
      <c r="IU103" s="213" t="str">
        <f t="shared" si="225"/>
        <v/>
      </c>
      <c r="IV103" s="213" t="str">
        <f t="shared" si="226"/>
        <v/>
      </c>
      <c r="IW103" s="213" t="str">
        <f t="shared" si="227"/>
        <v/>
      </c>
      <c r="IX103" s="213" t="str">
        <f t="shared" si="228"/>
        <v/>
      </c>
      <c r="IY103" s="213" t="str">
        <f t="shared" si="357"/>
        <v/>
      </c>
      <c r="IZ103" s="213" t="str">
        <f t="shared" si="358"/>
        <v/>
      </c>
      <c r="JA103" s="213" t="str">
        <f t="shared" si="229"/>
        <v/>
      </c>
      <c r="JB103" s="211" t="str">
        <f t="shared" si="359"/>
        <v/>
      </c>
    </row>
    <row r="104" spans="1:262" s="211" customFormat="1" ht="21" customHeight="1">
      <c r="A104" s="184">
        <v>97</v>
      </c>
      <c r="B104" s="185" t="str">
        <f>IF('Marks Entry'!B104="","",'Marks Entry'!B104)</f>
        <v/>
      </c>
      <c r="C104" s="186" t="str">
        <f>IF('Marks Entry'!D104="","",'Marks Entry'!D104)</f>
        <v/>
      </c>
      <c r="D104" s="187" t="str">
        <f>IF('Marks Entry'!E104="","",'Marks Entry'!E104)</f>
        <v/>
      </c>
      <c r="E104" s="188" t="str">
        <f>IF('Marks Entry'!F104="","",'Marks Entry'!F104)</f>
        <v/>
      </c>
      <c r="F104" s="188" t="str">
        <f>IF('Marks Entry'!G104="","",'Marks Entry'!G104)</f>
        <v/>
      </c>
      <c r="G104" s="188" t="str">
        <f>IF('Marks Entry'!H104="","",'Marks Entry'!H104)</f>
        <v/>
      </c>
      <c r="H104" s="189" t="str">
        <f>IF('Marks Entry'!I104="","",'Marks Entry'!I104)</f>
        <v/>
      </c>
      <c r="I104" s="190" t="str">
        <f>IF('Marks Entry'!J104="","",'Marks Entry'!J104)</f>
        <v/>
      </c>
      <c r="J104" s="545" t="str">
        <f>IF('Marks Entry'!K104="","",'Marks Entry'!K104)</f>
        <v/>
      </c>
      <c r="K104" s="545" t="str">
        <f>IF('Marks Entry'!L104="","",'Marks Entry'!L104)</f>
        <v/>
      </c>
      <c r="L104" s="545" t="str">
        <f>IF('Marks Entry'!M104="","",'Marks Entry'!M104)</f>
        <v/>
      </c>
      <c r="M104" s="546" t="str">
        <f t="shared" si="230"/>
        <v/>
      </c>
      <c r="N104" s="545" t="str">
        <f>IF('Marks Entry'!N104="","",'Marks Entry'!N104)</f>
        <v/>
      </c>
      <c r="O104" s="546" t="str">
        <f t="shared" si="231"/>
        <v/>
      </c>
      <c r="P104" s="545" t="str">
        <f>IF('Marks Entry'!O104="","",'Marks Entry'!O104)</f>
        <v/>
      </c>
      <c r="Q104" s="547" t="str">
        <f t="shared" si="232"/>
        <v/>
      </c>
      <c r="R104" s="153">
        <f t="shared" si="233"/>
        <v>0</v>
      </c>
      <c r="S104" s="153">
        <f t="shared" si="234"/>
        <v>0</v>
      </c>
      <c r="T104" s="154" t="str">
        <f t="shared" si="235"/>
        <v/>
      </c>
      <c r="U104" s="153" t="str">
        <f t="shared" si="236"/>
        <v/>
      </c>
      <c r="V104" s="153" t="str">
        <f t="shared" si="237"/>
        <v/>
      </c>
      <c r="W104" s="153" t="str">
        <f t="shared" si="238"/>
        <v/>
      </c>
      <c r="X104" s="545" t="str">
        <f>IF('Marks Entry'!P104="","",'Marks Entry'!P104)</f>
        <v/>
      </c>
      <c r="Y104" s="545" t="str">
        <f>IF('Marks Entry'!Q104="","",'Marks Entry'!Q104)</f>
        <v/>
      </c>
      <c r="Z104" s="545" t="str">
        <f>IF('Marks Entry'!R104="","",'Marks Entry'!R104)</f>
        <v/>
      </c>
      <c r="AA104" s="546" t="str">
        <f t="shared" si="239"/>
        <v/>
      </c>
      <c r="AB104" s="545" t="str">
        <f>IF('Marks Entry'!S104="","",'Marks Entry'!S104)</f>
        <v/>
      </c>
      <c r="AC104" s="546" t="str">
        <f t="shared" si="240"/>
        <v/>
      </c>
      <c r="AD104" s="545" t="str">
        <f>IF('Marks Entry'!T104="","",'Marks Entry'!T104)</f>
        <v/>
      </c>
      <c r="AE104" s="547" t="str">
        <f t="shared" si="241"/>
        <v/>
      </c>
      <c r="AF104" s="153">
        <f t="shared" si="242"/>
        <v>0</v>
      </c>
      <c r="AG104" s="153">
        <f t="shared" si="243"/>
        <v>0</v>
      </c>
      <c r="AH104" s="154" t="str">
        <f t="shared" si="244"/>
        <v/>
      </c>
      <c r="AI104" s="153" t="str">
        <f t="shared" si="245"/>
        <v/>
      </c>
      <c r="AJ104" s="153" t="str">
        <f t="shared" si="246"/>
        <v/>
      </c>
      <c r="AK104" s="153" t="str">
        <f t="shared" si="247"/>
        <v/>
      </c>
      <c r="AL104" s="573" t="str">
        <f>IF('Marks Entry'!U104="","",'Marks Entry'!U104)</f>
        <v/>
      </c>
      <c r="AM104" s="573" t="str">
        <f>IF('Marks Entry'!V104="","",'Marks Entry'!V104)</f>
        <v/>
      </c>
      <c r="AN104" s="573" t="str">
        <f>IF('Marks Entry'!W104="","",'Marks Entry'!W104)</f>
        <v/>
      </c>
      <c r="AO104" s="573" t="str">
        <f>IF('Marks Entry'!X104="","",'Marks Entry'!X104)</f>
        <v/>
      </c>
      <c r="AP104" s="572" t="str">
        <f t="shared" si="248"/>
        <v/>
      </c>
      <c r="AQ104" s="573" t="str">
        <f>IF('Marks Entry'!Y104="","",'Marks Entry'!Y104)</f>
        <v/>
      </c>
      <c r="AR104" s="573" t="str">
        <f>IF('Marks Entry'!Z104="","",'Marks Entry'!Z104)</f>
        <v/>
      </c>
      <c r="AS104" s="572" t="str">
        <f t="shared" si="249"/>
        <v/>
      </c>
      <c r="AT104" s="572" t="str">
        <f t="shared" si="250"/>
        <v/>
      </c>
      <c r="AU104" s="573" t="str">
        <f>IF('Marks Entry'!AA104="","",'Marks Entry'!AA104)</f>
        <v/>
      </c>
      <c r="AV104" s="573" t="str">
        <f>IF('Marks Entry'!AB104="","",'Marks Entry'!AB104)</f>
        <v/>
      </c>
      <c r="AW104" s="572" t="str">
        <f t="shared" si="251"/>
        <v/>
      </c>
      <c r="AX104" s="157" t="str">
        <f t="shared" si="252"/>
        <v/>
      </c>
      <c r="AY104" s="157" t="str">
        <f t="shared" si="253"/>
        <v/>
      </c>
      <c r="AZ104" s="192" t="str">
        <f t="shared" si="254"/>
        <v/>
      </c>
      <c r="BA104" s="153">
        <f t="shared" si="255"/>
        <v>0</v>
      </c>
      <c r="BB104" s="154">
        <f t="shared" si="256"/>
        <v>0</v>
      </c>
      <c r="BC104" s="154" t="str">
        <f t="shared" si="257"/>
        <v/>
      </c>
      <c r="BD104" s="154" t="str">
        <f t="shared" si="258"/>
        <v/>
      </c>
      <c r="BE104" s="154" t="str">
        <f t="shared" si="259"/>
        <v/>
      </c>
      <c r="BF104" s="153" t="str">
        <f t="shared" si="260"/>
        <v/>
      </c>
      <c r="BG104" s="154" t="str">
        <f t="shared" si="261"/>
        <v/>
      </c>
      <c r="BH104" s="153" t="str">
        <f t="shared" si="262"/>
        <v/>
      </c>
      <c r="BI104" s="580" t="str">
        <f>IF('Marks Entry'!AC104="","",'Marks Entry'!AC104)</f>
        <v/>
      </c>
      <c r="BJ104" s="580" t="str">
        <f>IF('Marks Entry'!AD104="","",'Marks Entry'!AD104)</f>
        <v/>
      </c>
      <c r="BK104" s="580" t="str">
        <f>IF('Marks Entry'!AE104="","",'Marks Entry'!AE104)</f>
        <v/>
      </c>
      <c r="BL104" s="580" t="str">
        <f>IF('Marks Entry'!AF104="","",'Marks Entry'!AF104)</f>
        <v/>
      </c>
      <c r="BM104" s="581" t="str">
        <f t="shared" si="263"/>
        <v/>
      </c>
      <c r="BN104" s="580" t="str">
        <f>IF('Marks Entry'!AG104="","",'Marks Entry'!AG104)</f>
        <v/>
      </c>
      <c r="BO104" s="580" t="str">
        <f>IF('Marks Entry'!AH104="","",'Marks Entry'!AH104)</f>
        <v/>
      </c>
      <c r="BP104" s="581" t="str">
        <f t="shared" si="264"/>
        <v/>
      </c>
      <c r="BQ104" s="581" t="str">
        <f t="shared" si="265"/>
        <v/>
      </c>
      <c r="BR104" s="580" t="str">
        <f>IF('Marks Entry'!AI104="","",'Marks Entry'!AI104)</f>
        <v/>
      </c>
      <c r="BS104" s="580" t="str">
        <f>IF('Marks Entry'!AJ104="","",'Marks Entry'!AJ104)</f>
        <v/>
      </c>
      <c r="BT104" s="581" t="str">
        <f t="shared" si="266"/>
        <v/>
      </c>
      <c r="BU104" s="157" t="str">
        <f t="shared" si="267"/>
        <v/>
      </c>
      <c r="BV104" s="157" t="str">
        <f t="shared" si="268"/>
        <v/>
      </c>
      <c r="BW104" s="192" t="str">
        <f t="shared" si="269"/>
        <v/>
      </c>
      <c r="BX104" s="153">
        <f t="shared" si="270"/>
        <v>0</v>
      </c>
      <c r="BY104" s="154">
        <f t="shared" si="271"/>
        <v>0</v>
      </c>
      <c r="BZ104" s="154" t="str">
        <f t="shared" si="272"/>
        <v/>
      </c>
      <c r="CA104" s="154" t="str">
        <f t="shared" si="273"/>
        <v/>
      </c>
      <c r="CB104" s="154" t="str">
        <f t="shared" si="274"/>
        <v/>
      </c>
      <c r="CC104" s="153" t="str">
        <f t="shared" si="275"/>
        <v/>
      </c>
      <c r="CD104" s="154" t="str">
        <f t="shared" si="276"/>
        <v/>
      </c>
      <c r="CE104" s="153" t="str">
        <f t="shared" si="277"/>
        <v/>
      </c>
      <c r="CF104" s="580" t="str">
        <f>IF('Marks Entry'!AK104="","",'Marks Entry'!AK104)</f>
        <v/>
      </c>
      <c r="CG104" s="580" t="str">
        <f>IF('Marks Entry'!AL104="","",'Marks Entry'!AL104)</f>
        <v/>
      </c>
      <c r="CH104" s="580" t="str">
        <f>IF('Marks Entry'!AM104="","",'Marks Entry'!AM104)</f>
        <v/>
      </c>
      <c r="CI104" s="580" t="str">
        <f>IF('Marks Entry'!AN104="","",'Marks Entry'!AN104)</f>
        <v/>
      </c>
      <c r="CJ104" s="581" t="str">
        <f t="shared" si="278"/>
        <v/>
      </c>
      <c r="CK104" s="580" t="str">
        <f>IF('Marks Entry'!AO104="","",'Marks Entry'!AO104)</f>
        <v/>
      </c>
      <c r="CL104" s="580" t="str">
        <f>IF('Marks Entry'!AP104="","",'Marks Entry'!AP104)</f>
        <v/>
      </c>
      <c r="CM104" s="581" t="str">
        <f t="shared" si="279"/>
        <v/>
      </c>
      <c r="CN104" s="581" t="str">
        <f t="shared" si="280"/>
        <v/>
      </c>
      <c r="CO104" s="580" t="str">
        <f>IF('Marks Entry'!AQ104="","",'Marks Entry'!AQ104)</f>
        <v/>
      </c>
      <c r="CP104" s="580" t="str">
        <f>IF('Marks Entry'!AR104="","",'Marks Entry'!AR104)</f>
        <v/>
      </c>
      <c r="CQ104" s="581" t="str">
        <f t="shared" si="281"/>
        <v/>
      </c>
      <c r="CR104" s="157" t="str">
        <f t="shared" si="282"/>
        <v/>
      </c>
      <c r="CS104" s="157" t="str">
        <f t="shared" si="283"/>
        <v/>
      </c>
      <c r="CT104" s="192" t="str">
        <f t="shared" si="284"/>
        <v/>
      </c>
      <c r="CU104" s="153">
        <f t="shared" si="285"/>
        <v>0</v>
      </c>
      <c r="CV104" s="154">
        <f t="shared" si="286"/>
        <v>0</v>
      </c>
      <c r="CW104" s="154" t="str">
        <f t="shared" si="287"/>
        <v/>
      </c>
      <c r="CX104" s="154" t="str">
        <f t="shared" si="288"/>
        <v/>
      </c>
      <c r="CY104" s="154" t="str">
        <f t="shared" si="289"/>
        <v/>
      </c>
      <c r="CZ104" s="153" t="str">
        <f t="shared" si="290"/>
        <v/>
      </c>
      <c r="DA104" s="154" t="str">
        <f t="shared" si="291"/>
        <v/>
      </c>
      <c r="DB104" s="153" t="str">
        <f t="shared" si="292"/>
        <v/>
      </c>
      <c r="DC104" s="154">
        <f t="shared" si="293"/>
        <v>0</v>
      </c>
      <c r="DD104" s="826" t="str">
        <f>IF('Marks Entry'!AS104="","",IF(OR('Master Sheet'!$D$19="YES",'Marks Entry'!$BA$1=1),'Marks Entry'!AS104,""))</f>
        <v/>
      </c>
      <c r="DE104" s="826" t="str">
        <f>IF('Marks Entry'!AT104="","",IF(OR('Master Sheet'!$D$19="YES",'Marks Entry'!$BA$1=1),'Marks Entry'!AT104,""))</f>
        <v/>
      </c>
      <c r="DF104" s="826" t="str">
        <f>IF('Marks Entry'!AU104="","",IF(OR('Master Sheet'!$D$19="YES",'Marks Entry'!$BA$1=1),'Marks Entry'!AU104,""))</f>
        <v/>
      </c>
      <c r="DG104" s="826" t="str">
        <f>IF('Marks Entry'!AV104="","",IF(OR('Master Sheet'!$D$19="YES",'Marks Entry'!$BA$1=1),'Marks Entry'!AV104,""))</f>
        <v/>
      </c>
      <c r="DH104" s="827" t="str">
        <f t="shared" si="294"/>
        <v/>
      </c>
      <c r="DI104" s="826" t="str">
        <f>IF('Marks Entry'!AW104="","",IF(OR('Master Sheet'!$D$19="YES",'Marks Entry'!$BA$1=1),'Marks Entry'!AW104,""))</f>
        <v/>
      </c>
      <c r="DJ104" s="826" t="str">
        <f>IF('Marks Entry'!AX104="","",IF(OR('Master Sheet'!$D$19="YES",'Marks Entry'!$BA$1=1),'Marks Entry'!AX104,""))</f>
        <v/>
      </c>
      <c r="DK104" s="827" t="str">
        <f t="shared" si="295"/>
        <v/>
      </c>
      <c r="DL104" s="827" t="str">
        <f t="shared" si="296"/>
        <v/>
      </c>
      <c r="DM104" s="826" t="str">
        <f>IF('Marks Entry'!AY104="","",IF(OR('Master Sheet'!$D$19="YES",'Marks Entry'!$BA$1=1),'Marks Entry'!AY104,""))</f>
        <v/>
      </c>
      <c r="DN104" s="826" t="str">
        <f>IF('Marks Entry'!AZ104="","",IF(OR('Master Sheet'!$D$19="YES",'Marks Entry'!$BA$1=1),'Marks Entry'!AZ104,""))</f>
        <v/>
      </c>
      <c r="DO104" s="826" t="str">
        <f>IF('Marks Entry'!BA104="","",IF(OR('Master Sheet'!$D$19="YES",'Marks Entry'!$BA$1=1),'Marks Entry'!BA104,""))</f>
        <v/>
      </c>
      <c r="DP104" s="827" t="str">
        <f t="shared" si="297"/>
        <v/>
      </c>
      <c r="DQ104" s="157" t="str">
        <f t="shared" si="298"/>
        <v/>
      </c>
      <c r="DR104" s="157" t="str">
        <f t="shared" si="299"/>
        <v/>
      </c>
      <c r="DS104" s="157" t="str">
        <f t="shared" si="300"/>
        <v/>
      </c>
      <c r="DT104" s="192" t="str">
        <f t="shared" si="301"/>
        <v/>
      </c>
      <c r="DU104" s="153">
        <f t="shared" si="302"/>
        <v>0</v>
      </c>
      <c r="DV104" s="154" t="e">
        <f t="shared" si="303"/>
        <v>#VALUE!</v>
      </c>
      <c r="DW104" s="154" t="str">
        <f t="shared" si="304"/>
        <v/>
      </c>
      <c r="DX104" s="154" t="str">
        <f>IF(OR($B104="NSO",$B104=0,DS104=""),"",IF(AND(DJ104="",DO104=""),"",IF('Master Sheet'!$D$19="YES",$DO$6-COUNTIF(DO104,"ML")*DO$6,DS$6-(COUNTIF(DJ104,"ML")*DJ$6)-(COUNTIF(DO104,"ML")*DO$6))))</f>
        <v/>
      </c>
      <c r="DY104" s="154" t="str">
        <f>IF(OR($B104="NSO",$B104=0),"",IF(AND(DH104="",DI104="",DM104=""),"",IF(AND('Master Sheet'!$D$19="YES",'Marks Entry'!$BA$1=1),100,IF(AND(DJ104="",DO104=""),SUM(($DQ$7+$DR$7)-(DU104+DV104)),SUM(($DQ$6+$DR$6)-(DU104+DV104))))))</f>
        <v/>
      </c>
      <c r="DZ104" s="153" t="str">
        <f t="shared" si="305"/>
        <v/>
      </c>
      <c r="EA104" s="154" t="str">
        <f t="shared" si="306"/>
        <v/>
      </c>
      <c r="EB104" s="153" t="str">
        <f t="shared" si="307"/>
        <v/>
      </c>
      <c r="EC104" s="584" t="str">
        <f>IF('Marks Entry'!BB104="","",'Marks Entry'!BB104)</f>
        <v/>
      </c>
      <c r="ED104" s="584" t="str">
        <f>IF('Marks Entry'!BC104="","",'Marks Entry'!BC104)</f>
        <v/>
      </c>
      <c r="EE104" s="584" t="str">
        <f>IF('Marks Entry'!BD104="","",'Marks Entry'!BD104)</f>
        <v/>
      </c>
      <c r="EF104" s="590" t="str">
        <f t="shared" si="308"/>
        <v/>
      </c>
      <c r="EG104" s="595">
        <f t="shared" si="309"/>
        <v>0</v>
      </c>
      <c r="EH104" s="595">
        <f t="shared" si="310"/>
        <v>0</v>
      </c>
      <c r="EI104" s="193" t="str">
        <f t="shared" si="311"/>
        <v/>
      </c>
      <c r="EJ104" s="595" t="str">
        <f t="shared" si="312"/>
        <v/>
      </c>
      <c r="EK104" s="595" t="str">
        <f t="shared" si="313"/>
        <v/>
      </c>
      <c r="EL104" s="194" t="str">
        <f t="shared" si="314"/>
        <v/>
      </c>
      <c r="EM104" s="194" t="str">
        <f t="shared" si="315"/>
        <v/>
      </c>
      <c r="EN104" s="194" t="str">
        <f t="shared" si="316"/>
        <v/>
      </c>
      <c r="EO104" s="194" t="str">
        <f t="shared" si="317"/>
        <v/>
      </c>
      <c r="EP104" s="194" t="str">
        <f t="shared" si="318"/>
        <v/>
      </c>
      <c r="EQ104" s="194" t="str">
        <f t="shared" si="319"/>
        <v/>
      </c>
      <c r="ER104" s="195">
        <f t="shared" si="320"/>
        <v>0</v>
      </c>
      <c r="ES104" s="195">
        <f t="shared" si="321"/>
        <v>0</v>
      </c>
      <c r="ET104" s="195">
        <f t="shared" si="322"/>
        <v>0</v>
      </c>
      <c r="EU104" s="195">
        <f t="shared" si="323"/>
        <v>0</v>
      </c>
      <c r="EV104" s="195">
        <f t="shared" si="324"/>
        <v>0</v>
      </c>
      <c r="EW104" s="195" t="str">
        <f t="shared" si="325"/>
        <v/>
      </c>
      <c r="EX104" s="196" t="str">
        <f t="shared" si="326"/>
        <v/>
      </c>
      <c r="EY104" s="197" t="str">
        <f>IF('Marks Entry'!BE104="","",'Marks Entry'!BE104)</f>
        <v/>
      </c>
      <c r="EZ104" s="197" t="str">
        <f>IF('Marks Entry'!BF104="","",'Marks Entry'!BF104)</f>
        <v/>
      </c>
      <c r="FA104" s="197" t="str">
        <f>IF('Marks Entry'!BG104="","",'Marks Entry'!BG104)</f>
        <v/>
      </c>
      <c r="FB104" s="596" t="str">
        <f t="shared" si="327"/>
        <v/>
      </c>
      <c r="FC104" s="197" t="str">
        <f>IF('Marks Entry'!BH104="","",'Marks Entry'!BH104)</f>
        <v/>
      </c>
      <c r="FD104" s="197" t="str">
        <f>IF('Marks Entry'!BI104="","",'Marks Entry'!BI104)</f>
        <v/>
      </c>
      <c r="FE104" s="198" t="str">
        <f t="shared" si="328"/>
        <v/>
      </c>
      <c r="FF104" s="199" t="str">
        <f t="shared" si="329"/>
        <v/>
      </c>
      <c r="FG104" s="200" t="str">
        <f>IF(AND(E104=""),"",IF('Student DATA Entry'!L100="","",'Student DATA Entry'!L100))</f>
        <v/>
      </c>
      <c r="FH104" s="201" t="str">
        <f>IF(AND(E104=""),"",IF('Student DATA Entry'!M100="","",'Student DATA Entry'!M100))</f>
        <v/>
      </c>
      <c r="FI104" s="202" t="str">
        <f t="shared" si="330"/>
        <v/>
      </c>
      <c r="FJ104" s="189" t="str">
        <f t="shared" si="331"/>
        <v/>
      </c>
      <c r="FK104" s="189" t="str">
        <f t="shared" si="332"/>
        <v/>
      </c>
      <c r="FL104" s="203" t="str">
        <f t="shared" ref="FL104:FL135" si="360">IF(FJ104="G",ROUNDUP(36%*T104-Q104,0),"")</f>
        <v/>
      </c>
      <c r="FM104" s="189" t="str">
        <f t="shared" si="333"/>
        <v/>
      </c>
      <c r="FN104" s="204" t="str">
        <f t="shared" si="334"/>
        <v/>
      </c>
      <c r="FO104" s="203" t="str">
        <f t="shared" ref="FO104:FO135" si="361">IF(FM104="G",ROUNDUP(36%*AH104-AE104,0),"")</f>
        <v/>
      </c>
      <c r="FP104" s="205" t="str">
        <f t="shared" si="335"/>
        <v/>
      </c>
      <c r="FQ104" s="189" t="str">
        <f t="shared" ref="FQ104:FQ135" si="362">IF(AL104="A",FP104,"")</f>
        <v/>
      </c>
      <c r="FR104" s="189" t="str">
        <f t="shared" ref="FR104:FR135" si="363">IF(AL104="B",FP104,"")</f>
        <v/>
      </c>
      <c r="FS104" s="189" t="str">
        <f t="shared" ref="FS104:FS135" si="364">IF(AL104="C",FP104,"")</f>
        <v/>
      </c>
      <c r="FT104" s="189" t="str">
        <f t="shared" ref="FT104:FT135" si="365">IF(AL104="D",FP104,"")</f>
        <v/>
      </c>
      <c r="FU104" s="189" t="str">
        <f t="shared" si="336"/>
        <v/>
      </c>
      <c r="FV104" s="206" t="str">
        <f t="shared" ref="FV104:FV135" si="366">IF(FP104="G",ROUNDUP(36%*BE104-AX104,0),"")</f>
        <v/>
      </c>
      <c r="FW104" s="205" t="str">
        <f t="shared" si="337"/>
        <v/>
      </c>
      <c r="FX104" s="189" t="str">
        <f t="shared" ref="FX104:FX135" si="367">IF(BI104="A",FW104,"")</f>
        <v/>
      </c>
      <c r="FY104" s="189" t="str">
        <f t="shared" ref="FY104:FY135" si="368">IF(BI104="B",FW104,"")</f>
        <v/>
      </c>
      <c r="FZ104" s="189" t="str">
        <f t="shared" ref="FZ104:FZ135" si="369">IF(BI104="C",FW104,"")</f>
        <v/>
      </c>
      <c r="GA104" s="189" t="str">
        <f t="shared" ref="GA104:GA135" si="370">IF(BI104="D",FW104,"")</f>
        <v/>
      </c>
      <c r="GB104" s="189" t="str">
        <f t="shared" si="338"/>
        <v/>
      </c>
      <c r="GC104" s="206" t="str">
        <f t="shared" ref="GC104:GC135" si="371">IF(FW104="G",ROUNDUP(36%*CB104-BU104,0),"")</f>
        <v/>
      </c>
      <c r="GD104" s="205" t="str">
        <f t="shared" si="339"/>
        <v/>
      </c>
      <c r="GE104" s="189" t="str">
        <f t="shared" ref="GE104:GE135" si="372">IF(CF104="A",GD104,"")</f>
        <v/>
      </c>
      <c r="GF104" s="189" t="str">
        <f t="shared" ref="GF104:GF135" si="373">IF(CF104="B",GD104,"")</f>
        <v/>
      </c>
      <c r="GG104" s="189" t="str">
        <f t="shared" ref="GG104:GG135" si="374">IF(CF104="C",GD104,"")</f>
        <v/>
      </c>
      <c r="GH104" s="189" t="str">
        <f t="shared" ref="GH104:GH135" si="375">IF(CF104="D",GD104,"")</f>
        <v/>
      </c>
      <c r="GI104" s="189" t="str">
        <f t="shared" si="340"/>
        <v/>
      </c>
      <c r="GJ104" s="206" t="str">
        <f t="shared" ref="GJ104:GJ135" si="376">IF(GD104="G",ROUNDUP(36%*CY104-CR104,0),"")</f>
        <v/>
      </c>
      <c r="GK104" s="205" t="str">
        <f t="shared" si="341"/>
        <v/>
      </c>
      <c r="GL104" s="189" t="str">
        <f t="shared" ref="GL104:GL135" si="377">IF(DD104="A",GK104,"")</f>
        <v/>
      </c>
      <c r="GM104" s="189" t="str">
        <f t="shared" ref="GM104:GM135" si="378">IF(DD104="B",GK104,"")</f>
        <v/>
      </c>
      <c r="GN104" s="189" t="str">
        <f t="shared" ref="GN104:GN135" si="379">IF(DD104="C",GK104,"")</f>
        <v/>
      </c>
      <c r="GO104" s="189" t="str">
        <f t="shared" ref="GO104:GO135" si="380">IF(DD104="D",GK104,"")</f>
        <v/>
      </c>
      <c r="GP104" s="189" t="str">
        <f t="shared" si="342"/>
        <v/>
      </c>
      <c r="GQ104" s="206" t="str">
        <f t="shared" ref="GQ104:GQ135" si="381">IF(GK104="G",ROUNDUP(36%*DY104-DQ104,0),"")</f>
        <v/>
      </c>
      <c r="GR104" s="189" t="str">
        <f t="shared" si="343"/>
        <v/>
      </c>
      <c r="GS104" s="189" t="str">
        <f t="shared" si="344"/>
        <v/>
      </c>
      <c r="GT104" s="207" t="str">
        <f t="shared" si="345"/>
        <v xml:space="preserve">    </v>
      </c>
      <c r="GU104" s="207" t="str">
        <f t="shared" si="346"/>
        <v xml:space="preserve">    </v>
      </c>
      <c r="GV104" s="207" t="str">
        <f t="shared" si="347"/>
        <v xml:space="preserve">    </v>
      </c>
      <c r="GW104" s="207" t="str">
        <f t="shared" si="348"/>
        <v xml:space="preserve">       </v>
      </c>
      <c r="GX104" s="598" t="str">
        <f t="shared" si="349"/>
        <v xml:space="preserve">     </v>
      </c>
      <c r="GY104" s="208" t="str">
        <f t="shared" ref="GY104:GY135" si="382">IF(B104="NSO","NSO",IF(AND(OR(EX104="PASS",EX104="BY GRACE PASS",EX104="RE-EXAM"),EW104="F"),"FAIL",IF(AND(OR(EX104="PASS",EX104="BY GRACE PASS"),EW104="RE"),"RE-EXAM",EX104)))</f>
        <v/>
      </c>
      <c r="GZ104" s="606" t="str">
        <f>IF(AND(Q104="",AE104="",AZ104="",BW104="",CT104=""),"",IF(AND('Master Sheet'!$D$19="YES",'Marks Entry'!$BA$1=1),SUM(Q104,AE104,AZ104,BW104,DT104),SUM(Q104,AE104,AZ104,BW104,CT104)))</f>
        <v/>
      </c>
      <c r="HA104" s="209" t="str">
        <f>IF(GZ104="","",IF(AND('Master Sheet'!$D$19="YES",'Marks Entry'!$BA$1=1),GZ104/((900)-DC104)*100,GZ104/((1000)-DC104)*100))</f>
        <v/>
      </c>
      <c r="HB104" s="611" t="str">
        <f t="shared" si="350"/>
        <v/>
      </c>
      <c r="HC104" s="609" t="str">
        <f t="shared" si="351"/>
        <v/>
      </c>
      <c r="HD104" s="610" t="str">
        <f t="shared" si="352"/>
        <v/>
      </c>
      <c r="HE104" s="210" t="str">
        <f>IFERROR(IF(OR(GY104="SUPPLEMENTARY",GY104="RE-EXAM"),'Supp. Result Entry'!AS103,""),"")</f>
        <v/>
      </c>
      <c r="HF104" s="613" t="str">
        <f t="shared" si="353"/>
        <v/>
      </c>
      <c r="HG104" s="598" t="str">
        <f t="shared" si="354"/>
        <v/>
      </c>
      <c r="HH104" s="598" t="str">
        <f>IF(AND(HE104="",HF104="",HG104=""),"",IF(OR(GY104="SUPPLEMENTARY",GY104="RE-EXAM"),'Supp. Result Entry'!AS103,GY104))</f>
        <v/>
      </c>
      <c r="HI104" s="180"/>
      <c r="HY104" s="212" t="str">
        <f>IF('Supp. Result Entry'!U103="","",'Supp. Result Entry'!$U$6)</f>
        <v/>
      </c>
      <c r="HZ104" s="213" t="str">
        <f>IF('Supp. Result Entry'!X103="","",'Supp. Result Entry'!$X$6)</f>
        <v/>
      </c>
      <c r="IA104" s="213" t="str">
        <f>IF('Supp. Result Entry'!AA103="","",'Supp. Result Entry'!$AA$6)</f>
        <v/>
      </c>
      <c r="IB104" s="213" t="str">
        <f>IF('Supp. Result Entry'!AD103="","",'Supp. Result Entry'!$AD$6)</f>
        <v/>
      </c>
      <c r="IC104" s="213" t="str">
        <f>IF('Supp. Result Entry'!AG103="","",'Supp. Result Entry'!$AG$6)</f>
        <v/>
      </c>
      <c r="ID104" s="213" t="str">
        <f>IF('Supp. Result Entry'!AJ103="","",'Supp. Result Entry'!$AJ$6)</f>
        <v/>
      </c>
      <c r="IE104" s="213" t="str">
        <f>IF('Supp. Result Entry'!V103="","",'Supp. Result Entry'!V103)</f>
        <v/>
      </c>
      <c r="IF104" s="213" t="str">
        <f>IF('Supp. Result Entry'!Y103="","",'Supp. Result Entry'!Y103)</f>
        <v/>
      </c>
      <c r="IG104" s="213" t="str">
        <f>IF('Supp. Result Entry'!AB103="","",'Supp. Result Entry'!AB103)</f>
        <v/>
      </c>
      <c r="IH104" s="213" t="str">
        <f>IF('Supp. Result Entry'!AE103="","",'Supp. Result Entry'!AE103)</f>
        <v/>
      </c>
      <c r="II104" s="213" t="str">
        <f>IF('Supp. Result Entry'!AH103="","",'Supp. Result Entry'!AH103)</f>
        <v/>
      </c>
      <c r="IJ104" s="213" t="str">
        <f>IF('Supp. Result Entry'!AK103="","",'Supp. Result Entry'!AK103)</f>
        <v/>
      </c>
      <c r="IK104" s="213" t="str">
        <f>IF('Supp. Result Entry'!W103="","",'Supp. Result Entry'!W103)</f>
        <v/>
      </c>
      <c r="IL104" s="213" t="str">
        <f>IF('Supp. Result Entry'!Z103="","",'Supp. Result Entry'!Z103)</f>
        <v/>
      </c>
      <c r="IM104" s="213" t="str">
        <f>IF('Supp. Result Entry'!AC103="","",'Supp. Result Entry'!AC103)</f>
        <v/>
      </c>
      <c r="IN104" s="213" t="str">
        <f>IF('Supp. Result Entry'!AF103="","",'Supp. Result Entry'!AF103)</f>
        <v/>
      </c>
      <c r="IO104" s="213" t="str">
        <f>IF('Supp. Result Entry'!AI103="","",'Supp. Result Entry'!AI103)</f>
        <v/>
      </c>
      <c r="IP104" s="213" t="str">
        <f>IF('Supp. Result Entry'!AL103="","",'Supp. Result Entry'!AL103)</f>
        <v/>
      </c>
      <c r="IQ104" s="213">
        <f>COUNTIF('Supp. Result Entry'!K103:Q103,"S")</f>
        <v>0</v>
      </c>
      <c r="IR104" s="213">
        <f t="shared" si="355"/>
        <v>0</v>
      </c>
      <c r="IS104" s="213">
        <f t="shared" si="356"/>
        <v>0</v>
      </c>
      <c r="IT104" s="213" t="str">
        <f t="shared" si="224"/>
        <v/>
      </c>
      <c r="IU104" s="213" t="str">
        <f t="shared" si="225"/>
        <v/>
      </c>
      <c r="IV104" s="213" t="str">
        <f t="shared" si="226"/>
        <v/>
      </c>
      <c r="IW104" s="213" t="str">
        <f t="shared" si="227"/>
        <v/>
      </c>
      <c r="IX104" s="213" t="str">
        <f t="shared" si="228"/>
        <v/>
      </c>
      <c r="IY104" s="213" t="str">
        <f t="shared" si="357"/>
        <v/>
      </c>
      <c r="IZ104" s="213" t="str">
        <f t="shared" si="358"/>
        <v/>
      </c>
      <c r="JA104" s="213" t="str">
        <f t="shared" si="229"/>
        <v/>
      </c>
      <c r="JB104" s="211" t="str">
        <f t="shared" si="359"/>
        <v/>
      </c>
    </row>
    <row r="105" spans="1:262" s="211" customFormat="1" ht="21" customHeight="1">
      <c r="A105" s="184">
        <v>98</v>
      </c>
      <c r="B105" s="185" t="str">
        <f>IF('Marks Entry'!B105="","",'Marks Entry'!B105)</f>
        <v/>
      </c>
      <c r="C105" s="186" t="str">
        <f>IF('Marks Entry'!D105="","",'Marks Entry'!D105)</f>
        <v/>
      </c>
      <c r="D105" s="187" t="str">
        <f>IF('Marks Entry'!E105="","",'Marks Entry'!E105)</f>
        <v/>
      </c>
      <c r="E105" s="188" t="str">
        <f>IF('Marks Entry'!F105="","",'Marks Entry'!F105)</f>
        <v/>
      </c>
      <c r="F105" s="188" t="str">
        <f>IF('Marks Entry'!G105="","",'Marks Entry'!G105)</f>
        <v/>
      </c>
      <c r="G105" s="188" t="str">
        <f>IF('Marks Entry'!H105="","",'Marks Entry'!H105)</f>
        <v/>
      </c>
      <c r="H105" s="189" t="str">
        <f>IF('Marks Entry'!I105="","",'Marks Entry'!I105)</f>
        <v/>
      </c>
      <c r="I105" s="190" t="str">
        <f>IF('Marks Entry'!J105="","",'Marks Entry'!J105)</f>
        <v/>
      </c>
      <c r="J105" s="545" t="str">
        <f>IF('Marks Entry'!K105="","",'Marks Entry'!K105)</f>
        <v/>
      </c>
      <c r="K105" s="545" t="str">
        <f>IF('Marks Entry'!L105="","",'Marks Entry'!L105)</f>
        <v/>
      </c>
      <c r="L105" s="545" t="str">
        <f>IF('Marks Entry'!M105="","",'Marks Entry'!M105)</f>
        <v/>
      </c>
      <c r="M105" s="546" t="str">
        <f t="shared" si="230"/>
        <v/>
      </c>
      <c r="N105" s="545" t="str">
        <f>IF('Marks Entry'!N105="","",'Marks Entry'!N105)</f>
        <v/>
      </c>
      <c r="O105" s="546" t="str">
        <f t="shared" si="231"/>
        <v/>
      </c>
      <c r="P105" s="545" t="str">
        <f>IF('Marks Entry'!O105="","",'Marks Entry'!O105)</f>
        <v/>
      </c>
      <c r="Q105" s="547" t="str">
        <f t="shared" si="232"/>
        <v/>
      </c>
      <c r="R105" s="153">
        <f t="shared" si="233"/>
        <v>0</v>
      </c>
      <c r="S105" s="153">
        <f t="shared" si="234"/>
        <v>0</v>
      </c>
      <c r="T105" s="154" t="str">
        <f t="shared" si="235"/>
        <v/>
      </c>
      <c r="U105" s="153" t="str">
        <f t="shared" si="236"/>
        <v/>
      </c>
      <c r="V105" s="153" t="str">
        <f t="shared" si="237"/>
        <v/>
      </c>
      <c r="W105" s="153" t="str">
        <f t="shared" si="238"/>
        <v/>
      </c>
      <c r="X105" s="545" t="str">
        <f>IF('Marks Entry'!P105="","",'Marks Entry'!P105)</f>
        <v/>
      </c>
      <c r="Y105" s="545" t="str">
        <f>IF('Marks Entry'!Q105="","",'Marks Entry'!Q105)</f>
        <v/>
      </c>
      <c r="Z105" s="545" t="str">
        <f>IF('Marks Entry'!R105="","",'Marks Entry'!R105)</f>
        <v/>
      </c>
      <c r="AA105" s="546" t="str">
        <f t="shared" si="239"/>
        <v/>
      </c>
      <c r="AB105" s="545" t="str">
        <f>IF('Marks Entry'!S105="","",'Marks Entry'!S105)</f>
        <v/>
      </c>
      <c r="AC105" s="546" t="str">
        <f t="shared" si="240"/>
        <v/>
      </c>
      <c r="AD105" s="545" t="str">
        <f>IF('Marks Entry'!T105="","",'Marks Entry'!T105)</f>
        <v/>
      </c>
      <c r="AE105" s="547" t="str">
        <f t="shared" si="241"/>
        <v/>
      </c>
      <c r="AF105" s="153">
        <f t="shared" si="242"/>
        <v>0</v>
      </c>
      <c r="AG105" s="153">
        <f t="shared" si="243"/>
        <v>0</v>
      </c>
      <c r="AH105" s="154" t="str">
        <f t="shared" si="244"/>
        <v/>
      </c>
      <c r="AI105" s="153" t="str">
        <f t="shared" si="245"/>
        <v/>
      </c>
      <c r="AJ105" s="153" t="str">
        <f t="shared" si="246"/>
        <v/>
      </c>
      <c r="AK105" s="153" t="str">
        <f t="shared" si="247"/>
        <v/>
      </c>
      <c r="AL105" s="573" t="str">
        <f>IF('Marks Entry'!U105="","",'Marks Entry'!U105)</f>
        <v/>
      </c>
      <c r="AM105" s="573" t="str">
        <f>IF('Marks Entry'!V105="","",'Marks Entry'!V105)</f>
        <v/>
      </c>
      <c r="AN105" s="573" t="str">
        <f>IF('Marks Entry'!W105="","",'Marks Entry'!W105)</f>
        <v/>
      </c>
      <c r="AO105" s="573" t="str">
        <f>IF('Marks Entry'!X105="","",'Marks Entry'!X105)</f>
        <v/>
      </c>
      <c r="AP105" s="572" t="str">
        <f t="shared" si="248"/>
        <v/>
      </c>
      <c r="AQ105" s="573" t="str">
        <f>IF('Marks Entry'!Y105="","",'Marks Entry'!Y105)</f>
        <v/>
      </c>
      <c r="AR105" s="573" t="str">
        <f>IF('Marks Entry'!Z105="","",'Marks Entry'!Z105)</f>
        <v/>
      </c>
      <c r="AS105" s="572" t="str">
        <f t="shared" si="249"/>
        <v/>
      </c>
      <c r="AT105" s="572" t="str">
        <f t="shared" si="250"/>
        <v/>
      </c>
      <c r="AU105" s="573" t="str">
        <f>IF('Marks Entry'!AA105="","",'Marks Entry'!AA105)</f>
        <v/>
      </c>
      <c r="AV105" s="573" t="str">
        <f>IF('Marks Entry'!AB105="","",'Marks Entry'!AB105)</f>
        <v/>
      </c>
      <c r="AW105" s="572" t="str">
        <f t="shared" si="251"/>
        <v/>
      </c>
      <c r="AX105" s="157" t="str">
        <f t="shared" si="252"/>
        <v/>
      </c>
      <c r="AY105" s="157" t="str">
        <f t="shared" si="253"/>
        <v/>
      </c>
      <c r="AZ105" s="192" t="str">
        <f t="shared" si="254"/>
        <v/>
      </c>
      <c r="BA105" s="153">
        <f t="shared" si="255"/>
        <v>0</v>
      </c>
      <c r="BB105" s="154">
        <f t="shared" si="256"/>
        <v>0</v>
      </c>
      <c r="BC105" s="154" t="str">
        <f t="shared" si="257"/>
        <v/>
      </c>
      <c r="BD105" s="154" t="str">
        <f t="shared" si="258"/>
        <v/>
      </c>
      <c r="BE105" s="154" t="str">
        <f t="shared" si="259"/>
        <v/>
      </c>
      <c r="BF105" s="153" t="str">
        <f t="shared" si="260"/>
        <v/>
      </c>
      <c r="BG105" s="154" t="str">
        <f t="shared" si="261"/>
        <v/>
      </c>
      <c r="BH105" s="153" t="str">
        <f t="shared" si="262"/>
        <v/>
      </c>
      <c r="BI105" s="580" t="str">
        <f>IF('Marks Entry'!AC105="","",'Marks Entry'!AC105)</f>
        <v/>
      </c>
      <c r="BJ105" s="580" t="str">
        <f>IF('Marks Entry'!AD105="","",'Marks Entry'!AD105)</f>
        <v/>
      </c>
      <c r="BK105" s="580" t="str">
        <f>IF('Marks Entry'!AE105="","",'Marks Entry'!AE105)</f>
        <v/>
      </c>
      <c r="BL105" s="580" t="str">
        <f>IF('Marks Entry'!AF105="","",'Marks Entry'!AF105)</f>
        <v/>
      </c>
      <c r="BM105" s="581" t="str">
        <f t="shared" si="263"/>
        <v/>
      </c>
      <c r="BN105" s="580" t="str">
        <f>IF('Marks Entry'!AG105="","",'Marks Entry'!AG105)</f>
        <v/>
      </c>
      <c r="BO105" s="580" t="str">
        <f>IF('Marks Entry'!AH105="","",'Marks Entry'!AH105)</f>
        <v/>
      </c>
      <c r="BP105" s="581" t="str">
        <f t="shared" si="264"/>
        <v/>
      </c>
      <c r="BQ105" s="581" t="str">
        <f t="shared" si="265"/>
        <v/>
      </c>
      <c r="BR105" s="580" t="str">
        <f>IF('Marks Entry'!AI105="","",'Marks Entry'!AI105)</f>
        <v/>
      </c>
      <c r="BS105" s="580" t="str">
        <f>IF('Marks Entry'!AJ105="","",'Marks Entry'!AJ105)</f>
        <v/>
      </c>
      <c r="BT105" s="581" t="str">
        <f t="shared" si="266"/>
        <v/>
      </c>
      <c r="BU105" s="157" t="str">
        <f t="shared" si="267"/>
        <v/>
      </c>
      <c r="BV105" s="157" t="str">
        <f t="shared" si="268"/>
        <v/>
      </c>
      <c r="BW105" s="192" t="str">
        <f t="shared" si="269"/>
        <v/>
      </c>
      <c r="BX105" s="153">
        <f t="shared" si="270"/>
        <v>0</v>
      </c>
      <c r="BY105" s="154">
        <f t="shared" si="271"/>
        <v>0</v>
      </c>
      <c r="BZ105" s="154" t="str">
        <f t="shared" si="272"/>
        <v/>
      </c>
      <c r="CA105" s="154" t="str">
        <f t="shared" si="273"/>
        <v/>
      </c>
      <c r="CB105" s="154" t="str">
        <f t="shared" si="274"/>
        <v/>
      </c>
      <c r="CC105" s="153" t="str">
        <f t="shared" si="275"/>
        <v/>
      </c>
      <c r="CD105" s="154" t="str">
        <f t="shared" si="276"/>
        <v/>
      </c>
      <c r="CE105" s="153" t="str">
        <f t="shared" si="277"/>
        <v/>
      </c>
      <c r="CF105" s="580" t="str">
        <f>IF('Marks Entry'!AK105="","",'Marks Entry'!AK105)</f>
        <v/>
      </c>
      <c r="CG105" s="580" t="str">
        <f>IF('Marks Entry'!AL105="","",'Marks Entry'!AL105)</f>
        <v/>
      </c>
      <c r="CH105" s="580" t="str">
        <f>IF('Marks Entry'!AM105="","",'Marks Entry'!AM105)</f>
        <v/>
      </c>
      <c r="CI105" s="580" t="str">
        <f>IF('Marks Entry'!AN105="","",'Marks Entry'!AN105)</f>
        <v/>
      </c>
      <c r="CJ105" s="581" t="str">
        <f t="shared" si="278"/>
        <v/>
      </c>
      <c r="CK105" s="580" t="str">
        <f>IF('Marks Entry'!AO105="","",'Marks Entry'!AO105)</f>
        <v/>
      </c>
      <c r="CL105" s="580" t="str">
        <f>IF('Marks Entry'!AP105="","",'Marks Entry'!AP105)</f>
        <v/>
      </c>
      <c r="CM105" s="581" t="str">
        <f t="shared" si="279"/>
        <v/>
      </c>
      <c r="CN105" s="581" t="str">
        <f t="shared" si="280"/>
        <v/>
      </c>
      <c r="CO105" s="580" t="str">
        <f>IF('Marks Entry'!AQ105="","",'Marks Entry'!AQ105)</f>
        <v/>
      </c>
      <c r="CP105" s="580" t="str">
        <f>IF('Marks Entry'!AR105="","",'Marks Entry'!AR105)</f>
        <v/>
      </c>
      <c r="CQ105" s="581" t="str">
        <f t="shared" si="281"/>
        <v/>
      </c>
      <c r="CR105" s="157" t="str">
        <f t="shared" si="282"/>
        <v/>
      </c>
      <c r="CS105" s="157" t="str">
        <f t="shared" si="283"/>
        <v/>
      </c>
      <c r="CT105" s="192" t="str">
        <f t="shared" si="284"/>
        <v/>
      </c>
      <c r="CU105" s="153">
        <f t="shared" si="285"/>
        <v>0</v>
      </c>
      <c r="CV105" s="154">
        <f t="shared" si="286"/>
        <v>0</v>
      </c>
      <c r="CW105" s="154" t="str">
        <f t="shared" si="287"/>
        <v/>
      </c>
      <c r="CX105" s="154" t="str">
        <f t="shared" si="288"/>
        <v/>
      </c>
      <c r="CY105" s="154" t="str">
        <f t="shared" si="289"/>
        <v/>
      </c>
      <c r="CZ105" s="153" t="str">
        <f t="shared" si="290"/>
        <v/>
      </c>
      <c r="DA105" s="154" t="str">
        <f t="shared" si="291"/>
        <v/>
      </c>
      <c r="DB105" s="153" t="str">
        <f t="shared" si="292"/>
        <v/>
      </c>
      <c r="DC105" s="154">
        <f t="shared" si="293"/>
        <v>0</v>
      </c>
      <c r="DD105" s="826" t="str">
        <f>IF('Marks Entry'!AS105="","",IF(OR('Master Sheet'!$D$19="YES",'Marks Entry'!$BA$1=1),'Marks Entry'!AS105,""))</f>
        <v/>
      </c>
      <c r="DE105" s="826" t="str">
        <f>IF('Marks Entry'!AT105="","",IF(OR('Master Sheet'!$D$19="YES",'Marks Entry'!$BA$1=1),'Marks Entry'!AT105,""))</f>
        <v/>
      </c>
      <c r="DF105" s="826" t="str">
        <f>IF('Marks Entry'!AU105="","",IF(OR('Master Sheet'!$D$19="YES",'Marks Entry'!$BA$1=1),'Marks Entry'!AU105,""))</f>
        <v/>
      </c>
      <c r="DG105" s="826" t="str">
        <f>IF('Marks Entry'!AV105="","",IF(OR('Master Sheet'!$D$19="YES",'Marks Entry'!$BA$1=1),'Marks Entry'!AV105,""))</f>
        <v/>
      </c>
      <c r="DH105" s="827" t="str">
        <f t="shared" si="294"/>
        <v/>
      </c>
      <c r="DI105" s="826" t="str">
        <f>IF('Marks Entry'!AW105="","",IF(OR('Master Sheet'!$D$19="YES",'Marks Entry'!$BA$1=1),'Marks Entry'!AW105,""))</f>
        <v/>
      </c>
      <c r="DJ105" s="826" t="str">
        <f>IF('Marks Entry'!AX105="","",IF(OR('Master Sheet'!$D$19="YES",'Marks Entry'!$BA$1=1),'Marks Entry'!AX105,""))</f>
        <v/>
      </c>
      <c r="DK105" s="827" t="str">
        <f t="shared" si="295"/>
        <v/>
      </c>
      <c r="DL105" s="827" t="str">
        <f t="shared" si="296"/>
        <v/>
      </c>
      <c r="DM105" s="826" t="str">
        <f>IF('Marks Entry'!AY105="","",IF(OR('Master Sheet'!$D$19="YES",'Marks Entry'!$BA$1=1),'Marks Entry'!AY105,""))</f>
        <v/>
      </c>
      <c r="DN105" s="826" t="str">
        <f>IF('Marks Entry'!AZ105="","",IF(OR('Master Sheet'!$D$19="YES",'Marks Entry'!$BA$1=1),'Marks Entry'!AZ105,""))</f>
        <v/>
      </c>
      <c r="DO105" s="826" t="str">
        <f>IF('Marks Entry'!BA105="","",IF(OR('Master Sheet'!$D$19="YES",'Marks Entry'!$BA$1=1),'Marks Entry'!BA105,""))</f>
        <v/>
      </c>
      <c r="DP105" s="827" t="str">
        <f t="shared" si="297"/>
        <v/>
      </c>
      <c r="DQ105" s="157" t="str">
        <f t="shared" si="298"/>
        <v/>
      </c>
      <c r="DR105" s="157" t="str">
        <f t="shared" si="299"/>
        <v/>
      </c>
      <c r="DS105" s="157" t="str">
        <f t="shared" si="300"/>
        <v/>
      </c>
      <c r="DT105" s="192" t="str">
        <f t="shared" si="301"/>
        <v/>
      </c>
      <c r="DU105" s="153">
        <f t="shared" si="302"/>
        <v>0</v>
      </c>
      <c r="DV105" s="154" t="e">
        <f t="shared" si="303"/>
        <v>#VALUE!</v>
      </c>
      <c r="DW105" s="154" t="str">
        <f t="shared" si="304"/>
        <v/>
      </c>
      <c r="DX105" s="154" t="str">
        <f>IF(OR($B105="NSO",$B105=0,DS105=""),"",IF(AND(DJ105="",DO105=""),"",IF('Master Sheet'!$D$19="YES",$DO$6-COUNTIF(DO105,"ML")*DO$6,DS$6-(COUNTIF(DJ105,"ML")*DJ$6)-(COUNTIF(DO105,"ML")*DO$6))))</f>
        <v/>
      </c>
      <c r="DY105" s="154" t="str">
        <f>IF(OR($B105="NSO",$B105=0),"",IF(AND(DH105="",DI105="",DM105=""),"",IF(AND('Master Sheet'!$D$19="YES",'Marks Entry'!$BA$1=1),100,IF(AND(DJ105="",DO105=""),SUM(($DQ$7+$DR$7)-(DU105+DV105)),SUM(($DQ$6+$DR$6)-(DU105+DV105))))))</f>
        <v/>
      </c>
      <c r="DZ105" s="153" t="str">
        <f t="shared" si="305"/>
        <v/>
      </c>
      <c r="EA105" s="154" t="str">
        <f t="shared" si="306"/>
        <v/>
      </c>
      <c r="EB105" s="153" t="str">
        <f t="shared" si="307"/>
        <v/>
      </c>
      <c r="EC105" s="584" t="str">
        <f>IF('Marks Entry'!BB105="","",'Marks Entry'!BB105)</f>
        <v/>
      </c>
      <c r="ED105" s="584" t="str">
        <f>IF('Marks Entry'!BC105="","",'Marks Entry'!BC105)</f>
        <v/>
      </c>
      <c r="EE105" s="584" t="str">
        <f>IF('Marks Entry'!BD105="","",'Marks Entry'!BD105)</f>
        <v/>
      </c>
      <c r="EF105" s="590" t="str">
        <f t="shared" si="308"/>
        <v/>
      </c>
      <c r="EG105" s="595">
        <f t="shared" si="309"/>
        <v>0</v>
      </c>
      <c r="EH105" s="595">
        <f t="shared" si="310"/>
        <v>0</v>
      </c>
      <c r="EI105" s="193" t="str">
        <f t="shared" si="311"/>
        <v/>
      </c>
      <c r="EJ105" s="595" t="str">
        <f t="shared" si="312"/>
        <v/>
      </c>
      <c r="EK105" s="595" t="str">
        <f t="shared" si="313"/>
        <v/>
      </c>
      <c r="EL105" s="194" t="str">
        <f t="shared" si="314"/>
        <v/>
      </c>
      <c r="EM105" s="194" t="str">
        <f t="shared" si="315"/>
        <v/>
      </c>
      <c r="EN105" s="194" t="str">
        <f t="shared" si="316"/>
        <v/>
      </c>
      <c r="EO105" s="194" t="str">
        <f t="shared" si="317"/>
        <v/>
      </c>
      <c r="EP105" s="194" t="str">
        <f t="shared" si="318"/>
        <v/>
      </c>
      <c r="EQ105" s="194" t="str">
        <f t="shared" si="319"/>
        <v/>
      </c>
      <c r="ER105" s="195">
        <f t="shared" si="320"/>
        <v>0</v>
      </c>
      <c r="ES105" s="195">
        <f t="shared" si="321"/>
        <v>0</v>
      </c>
      <c r="ET105" s="195">
        <f t="shared" si="322"/>
        <v>0</v>
      </c>
      <c r="EU105" s="195">
        <f t="shared" si="323"/>
        <v>0</v>
      </c>
      <c r="EV105" s="195">
        <f t="shared" si="324"/>
        <v>0</v>
      </c>
      <c r="EW105" s="195" t="str">
        <f t="shared" si="325"/>
        <v/>
      </c>
      <c r="EX105" s="196" t="str">
        <f t="shared" si="326"/>
        <v/>
      </c>
      <c r="EY105" s="197" t="str">
        <f>IF('Marks Entry'!BE105="","",'Marks Entry'!BE105)</f>
        <v/>
      </c>
      <c r="EZ105" s="197" t="str">
        <f>IF('Marks Entry'!BF105="","",'Marks Entry'!BF105)</f>
        <v/>
      </c>
      <c r="FA105" s="197" t="str">
        <f>IF('Marks Entry'!BG105="","",'Marks Entry'!BG105)</f>
        <v/>
      </c>
      <c r="FB105" s="596" t="str">
        <f t="shared" si="327"/>
        <v/>
      </c>
      <c r="FC105" s="197" t="str">
        <f>IF('Marks Entry'!BH105="","",'Marks Entry'!BH105)</f>
        <v/>
      </c>
      <c r="FD105" s="197" t="str">
        <f>IF('Marks Entry'!BI105="","",'Marks Entry'!BI105)</f>
        <v/>
      </c>
      <c r="FE105" s="198" t="str">
        <f t="shared" si="328"/>
        <v/>
      </c>
      <c r="FF105" s="199" t="str">
        <f t="shared" si="329"/>
        <v/>
      </c>
      <c r="FG105" s="200" t="str">
        <f>IF(AND(E105=""),"",IF('Student DATA Entry'!L101="","",'Student DATA Entry'!L101))</f>
        <v/>
      </c>
      <c r="FH105" s="201" t="str">
        <f>IF(AND(E105=""),"",IF('Student DATA Entry'!M101="","",'Student DATA Entry'!M101))</f>
        <v/>
      </c>
      <c r="FI105" s="202" t="str">
        <f t="shared" si="330"/>
        <v/>
      </c>
      <c r="FJ105" s="189" t="str">
        <f t="shared" si="331"/>
        <v/>
      </c>
      <c r="FK105" s="189" t="str">
        <f t="shared" si="332"/>
        <v/>
      </c>
      <c r="FL105" s="203" t="str">
        <f t="shared" si="360"/>
        <v/>
      </c>
      <c r="FM105" s="189" t="str">
        <f t="shared" si="333"/>
        <v/>
      </c>
      <c r="FN105" s="204" t="str">
        <f t="shared" si="334"/>
        <v/>
      </c>
      <c r="FO105" s="203" t="str">
        <f t="shared" si="361"/>
        <v/>
      </c>
      <c r="FP105" s="205" t="str">
        <f t="shared" si="335"/>
        <v/>
      </c>
      <c r="FQ105" s="189" t="str">
        <f t="shared" si="362"/>
        <v/>
      </c>
      <c r="FR105" s="189" t="str">
        <f t="shared" si="363"/>
        <v/>
      </c>
      <c r="FS105" s="189" t="str">
        <f t="shared" si="364"/>
        <v/>
      </c>
      <c r="FT105" s="189" t="str">
        <f t="shared" si="365"/>
        <v/>
      </c>
      <c r="FU105" s="189" t="str">
        <f t="shared" si="336"/>
        <v/>
      </c>
      <c r="FV105" s="206" t="str">
        <f t="shared" si="366"/>
        <v/>
      </c>
      <c r="FW105" s="205" t="str">
        <f t="shared" si="337"/>
        <v/>
      </c>
      <c r="FX105" s="189" t="str">
        <f t="shared" si="367"/>
        <v/>
      </c>
      <c r="FY105" s="189" t="str">
        <f t="shared" si="368"/>
        <v/>
      </c>
      <c r="FZ105" s="189" t="str">
        <f t="shared" si="369"/>
        <v/>
      </c>
      <c r="GA105" s="189" t="str">
        <f t="shared" si="370"/>
        <v/>
      </c>
      <c r="GB105" s="189" t="str">
        <f t="shared" si="338"/>
        <v/>
      </c>
      <c r="GC105" s="206" t="str">
        <f t="shared" si="371"/>
        <v/>
      </c>
      <c r="GD105" s="205" t="str">
        <f t="shared" si="339"/>
        <v/>
      </c>
      <c r="GE105" s="189" t="str">
        <f t="shared" si="372"/>
        <v/>
      </c>
      <c r="GF105" s="189" t="str">
        <f t="shared" si="373"/>
        <v/>
      </c>
      <c r="GG105" s="189" t="str">
        <f t="shared" si="374"/>
        <v/>
      </c>
      <c r="GH105" s="189" t="str">
        <f t="shared" si="375"/>
        <v/>
      </c>
      <c r="GI105" s="189" t="str">
        <f t="shared" si="340"/>
        <v/>
      </c>
      <c r="GJ105" s="206" t="str">
        <f t="shared" si="376"/>
        <v/>
      </c>
      <c r="GK105" s="205" t="str">
        <f t="shared" si="341"/>
        <v/>
      </c>
      <c r="GL105" s="189" t="str">
        <f t="shared" si="377"/>
        <v/>
      </c>
      <c r="GM105" s="189" t="str">
        <f t="shared" si="378"/>
        <v/>
      </c>
      <c r="GN105" s="189" t="str">
        <f t="shared" si="379"/>
        <v/>
      </c>
      <c r="GO105" s="189" t="str">
        <f t="shared" si="380"/>
        <v/>
      </c>
      <c r="GP105" s="189" t="str">
        <f t="shared" si="342"/>
        <v/>
      </c>
      <c r="GQ105" s="206" t="str">
        <f t="shared" si="381"/>
        <v/>
      </c>
      <c r="GR105" s="189" t="str">
        <f t="shared" si="343"/>
        <v/>
      </c>
      <c r="GS105" s="189" t="str">
        <f t="shared" si="344"/>
        <v/>
      </c>
      <c r="GT105" s="207" t="str">
        <f t="shared" si="345"/>
        <v xml:space="preserve">    </v>
      </c>
      <c r="GU105" s="207" t="str">
        <f t="shared" si="346"/>
        <v xml:space="preserve">    </v>
      </c>
      <c r="GV105" s="207" t="str">
        <f t="shared" si="347"/>
        <v xml:space="preserve">    </v>
      </c>
      <c r="GW105" s="207" t="str">
        <f t="shared" si="348"/>
        <v xml:space="preserve">       </v>
      </c>
      <c r="GX105" s="598" t="str">
        <f t="shared" si="349"/>
        <v xml:space="preserve">     </v>
      </c>
      <c r="GY105" s="208" t="str">
        <f t="shared" si="382"/>
        <v/>
      </c>
      <c r="GZ105" s="606" t="str">
        <f>IF(AND(Q105="",AE105="",AZ105="",BW105="",CT105=""),"",IF(AND('Master Sheet'!$D$19="YES",'Marks Entry'!$BA$1=1),SUM(Q105,AE105,AZ105,BW105,DT105),SUM(Q105,AE105,AZ105,BW105,CT105)))</f>
        <v/>
      </c>
      <c r="HA105" s="209" t="str">
        <f>IF(GZ105="","",IF(AND('Master Sheet'!$D$19="YES",'Marks Entry'!$BA$1=1),GZ105/((900)-DC105)*100,GZ105/((1000)-DC105)*100))</f>
        <v/>
      </c>
      <c r="HB105" s="611" t="str">
        <f t="shared" si="350"/>
        <v/>
      </c>
      <c r="HC105" s="609" t="str">
        <f t="shared" si="351"/>
        <v/>
      </c>
      <c r="HD105" s="610" t="str">
        <f t="shared" si="352"/>
        <v/>
      </c>
      <c r="HE105" s="210" t="str">
        <f>IFERROR(IF(OR(GY105="SUPPLEMENTARY",GY105="RE-EXAM"),'Supp. Result Entry'!AS104,""),"")</f>
        <v/>
      </c>
      <c r="HF105" s="613" t="str">
        <f t="shared" si="353"/>
        <v/>
      </c>
      <c r="HG105" s="598" t="str">
        <f t="shared" si="354"/>
        <v/>
      </c>
      <c r="HH105" s="598" t="str">
        <f>IF(AND(HE105="",HF105="",HG105=""),"",IF(OR(GY105="SUPPLEMENTARY",GY105="RE-EXAM"),'Supp. Result Entry'!AS104,GY105))</f>
        <v/>
      </c>
      <c r="HI105" s="180"/>
      <c r="HY105" s="212" t="str">
        <f>IF('Supp. Result Entry'!U104="","",'Supp. Result Entry'!$U$6)</f>
        <v/>
      </c>
      <c r="HZ105" s="213" t="str">
        <f>IF('Supp. Result Entry'!X104="","",'Supp. Result Entry'!$X$6)</f>
        <v/>
      </c>
      <c r="IA105" s="213" t="str">
        <f>IF('Supp. Result Entry'!AA104="","",'Supp. Result Entry'!$AA$6)</f>
        <v/>
      </c>
      <c r="IB105" s="213" t="str">
        <f>IF('Supp. Result Entry'!AD104="","",'Supp. Result Entry'!$AD$6)</f>
        <v/>
      </c>
      <c r="IC105" s="213" t="str">
        <f>IF('Supp. Result Entry'!AG104="","",'Supp. Result Entry'!$AG$6)</f>
        <v/>
      </c>
      <c r="ID105" s="213" t="str">
        <f>IF('Supp. Result Entry'!AJ104="","",'Supp. Result Entry'!$AJ$6)</f>
        <v/>
      </c>
      <c r="IE105" s="213" t="str">
        <f>IF('Supp. Result Entry'!V104="","",'Supp. Result Entry'!V104)</f>
        <v/>
      </c>
      <c r="IF105" s="213" t="str">
        <f>IF('Supp. Result Entry'!Y104="","",'Supp. Result Entry'!Y104)</f>
        <v/>
      </c>
      <c r="IG105" s="213" t="str">
        <f>IF('Supp. Result Entry'!AB104="","",'Supp. Result Entry'!AB104)</f>
        <v/>
      </c>
      <c r="IH105" s="213" t="str">
        <f>IF('Supp. Result Entry'!AE104="","",'Supp. Result Entry'!AE104)</f>
        <v/>
      </c>
      <c r="II105" s="213" t="str">
        <f>IF('Supp. Result Entry'!AH104="","",'Supp. Result Entry'!AH104)</f>
        <v/>
      </c>
      <c r="IJ105" s="213" t="str">
        <f>IF('Supp. Result Entry'!AK104="","",'Supp. Result Entry'!AK104)</f>
        <v/>
      </c>
      <c r="IK105" s="213" t="str">
        <f>IF('Supp. Result Entry'!W104="","",'Supp. Result Entry'!W104)</f>
        <v/>
      </c>
      <c r="IL105" s="213" t="str">
        <f>IF('Supp. Result Entry'!Z104="","",'Supp. Result Entry'!Z104)</f>
        <v/>
      </c>
      <c r="IM105" s="213" t="str">
        <f>IF('Supp. Result Entry'!AC104="","",'Supp. Result Entry'!AC104)</f>
        <v/>
      </c>
      <c r="IN105" s="213" t="str">
        <f>IF('Supp. Result Entry'!AF104="","",'Supp. Result Entry'!AF104)</f>
        <v/>
      </c>
      <c r="IO105" s="213" t="str">
        <f>IF('Supp. Result Entry'!AI104="","",'Supp. Result Entry'!AI104)</f>
        <v/>
      </c>
      <c r="IP105" s="213" t="str">
        <f>IF('Supp. Result Entry'!AL104="","",'Supp. Result Entry'!AL104)</f>
        <v/>
      </c>
      <c r="IQ105" s="213">
        <f>COUNTIF('Supp. Result Entry'!K104:Q104,"S")</f>
        <v>0</v>
      </c>
      <c r="IR105" s="213">
        <f t="shared" si="355"/>
        <v>0</v>
      </c>
      <c r="IS105" s="213">
        <f t="shared" si="356"/>
        <v>0</v>
      </c>
      <c r="IT105" s="213" t="str">
        <f t="shared" si="224"/>
        <v/>
      </c>
      <c r="IU105" s="213" t="str">
        <f t="shared" si="225"/>
        <v/>
      </c>
      <c r="IV105" s="213" t="str">
        <f t="shared" si="226"/>
        <v/>
      </c>
      <c r="IW105" s="213" t="str">
        <f t="shared" si="227"/>
        <v/>
      </c>
      <c r="IX105" s="213" t="str">
        <f t="shared" si="228"/>
        <v/>
      </c>
      <c r="IY105" s="213" t="str">
        <f t="shared" si="357"/>
        <v/>
      </c>
      <c r="IZ105" s="213" t="str">
        <f t="shared" si="358"/>
        <v/>
      </c>
      <c r="JA105" s="213" t="str">
        <f t="shared" si="229"/>
        <v/>
      </c>
      <c r="JB105" s="211" t="str">
        <f t="shared" si="359"/>
        <v/>
      </c>
    </row>
    <row r="106" spans="1:262" s="211" customFormat="1" ht="21" customHeight="1">
      <c r="A106" s="184">
        <v>99</v>
      </c>
      <c r="B106" s="185" t="str">
        <f>IF('Marks Entry'!B106="","",'Marks Entry'!B106)</f>
        <v/>
      </c>
      <c r="C106" s="186" t="str">
        <f>IF('Marks Entry'!D106="","",'Marks Entry'!D106)</f>
        <v/>
      </c>
      <c r="D106" s="187" t="str">
        <f>IF('Marks Entry'!E106="","",'Marks Entry'!E106)</f>
        <v/>
      </c>
      <c r="E106" s="188" t="str">
        <f>IF('Marks Entry'!F106="","",'Marks Entry'!F106)</f>
        <v/>
      </c>
      <c r="F106" s="188" t="str">
        <f>IF('Marks Entry'!G106="","",'Marks Entry'!G106)</f>
        <v/>
      </c>
      <c r="G106" s="188" t="str">
        <f>IF('Marks Entry'!H106="","",'Marks Entry'!H106)</f>
        <v/>
      </c>
      <c r="H106" s="189" t="str">
        <f>IF('Marks Entry'!I106="","",'Marks Entry'!I106)</f>
        <v/>
      </c>
      <c r="I106" s="190" t="str">
        <f>IF('Marks Entry'!J106="","",'Marks Entry'!J106)</f>
        <v/>
      </c>
      <c r="J106" s="545" t="str">
        <f>IF('Marks Entry'!K106="","",'Marks Entry'!K106)</f>
        <v/>
      </c>
      <c r="K106" s="545" t="str">
        <f>IF('Marks Entry'!L106="","",'Marks Entry'!L106)</f>
        <v/>
      </c>
      <c r="L106" s="545" t="str">
        <f>IF('Marks Entry'!M106="","",'Marks Entry'!M106)</f>
        <v/>
      </c>
      <c r="M106" s="546" t="str">
        <f t="shared" si="230"/>
        <v/>
      </c>
      <c r="N106" s="545" t="str">
        <f>IF('Marks Entry'!N106="","",'Marks Entry'!N106)</f>
        <v/>
      </c>
      <c r="O106" s="546" t="str">
        <f t="shared" si="231"/>
        <v/>
      </c>
      <c r="P106" s="545" t="str">
        <f>IF('Marks Entry'!O106="","",'Marks Entry'!O106)</f>
        <v/>
      </c>
      <c r="Q106" s="547" t="str">
        <f t="shared" si="232"/>
        <v/>
      </c>
      <c r="R106" s="153">
        <f t="shared" si="233"/>
        <v>0</v>
      </c>
      <c r="S106" s="153">
        <f t="shared" si="234"/>
        <v>0</v>
      </c>
      <c r="T106" s="154" t="str">
        <f t="shared" si="235"/>
        <v/>
      </c>
      <c r="U106" s="153" t="str">
        <f t="shared" si="236"/>
        <v/>
      </c>
      <c r="V106" s="153" t="str">
        <f t="shared" si="237"/>
        <v/>
      </c>
      <c r="W106" s="153" t="str">
        <f t="shared" si="238"/>
        <v/>
      </c>
      <c r="X106" s="545" t="str">
        <f>IF('Marks Entry'!P106="","",'Marks Entry'!P106)</f>
        <v/>
      </c>
      <c r="Y106" s="545" t="str">
        <f>IF('Marks Entry'!Q106="","",'Marks Entry'!Q106)</f>
        <v/>
      </c>
      <c r="Z106" s="545" t="str">
        <f>IF('Marks Entry'!R106="","",'Marks Entry'!R106)</f>
        <v/>
      </c>
      <c r="AA106" s="546" t="str">
        <f t="shared" si="239"/>
        <v/>
      </c>
      <c r="AB106" s="545" t="str">
        <f>IF('Marks Entry'!S106="","",'Marks Entry'!S106)</f>
        <v/>
      </c>
      <c r="AC106" s="546" t="str">
        <f t="shared" si="240"/>
        <v/>
      </c>
      <c r="AD106" s="545" t="str">
        <f>IF('Marks Entry'!T106="","",'Marks Entry'!T106)</f>
        <v/>
      </c>
      <c r="AE106" s="547" t="str">
        <f t="shared" si="241"/>
        <v/>
      </c>
      <c r="AF106" s="153">
        <f t="shared" si="242"/>
        <v>0</v>
      </c>
      <c r="AG106" s="153">
        <f t="shared" si="243"/>
        <v>0</v>
      </c>
      <c r="AH106" s="154" t="str">
        <f t="shared" si="244"/>
        <v/>
      </c>
      <c r="AI106" s="153" t="str">
        <f t="shared" si="245"/>
        <v/>
      </c>
      <c r="AJ106" s="153" t="str">
        <f t="shared" si="246"/>
        <v/>
      </c>
      <c r="AK106" s="153" t="str">
        <f t="shared" si="247"/>
        <v/>
      </c>
      <c r="AL106" s="573" t="str">
        <f>IF('Marks Entry'!U106="","",'Marks Entry'!U106)</f>
        <v/>
      </c>
      <c r="AM106" s="573" t="str">
        <f>IF('Marks Entry'!V106="","",'Marks Entry'!V106)</f>
        <v/>
      </c>
      <c r="AN106" s="573" t="str">
        <f>IF('Marks Entry'!W106="","",'Marks Entry'!W106)</f>
        <v/>
      </c>
      <c r="AO106" s="573" t="str">
        <f>IF('Marks Entry'!X106="","",'Marks Entry'!X106)</f>
        <v/>
      </c>
      <c r="AP106" s="572" t="str">
        <f t="shared" si="248"/>
        <v/>
      </c>
      <c r="AQ106" s="573" t="str">
        <f>IF('Marks Entry'!Y106="","",'Marks Entry'!Y106)</f>
        <v/>
      </c>
      <c r="AR106" s="573" t="str">
        <f>IF('Marks Entry'!Z106="","",'Marks Entry'!Z106)</f>
        <v/>
      </c>
      <c r="AS106" s="572" t="str">
        <f t="shared" si="249"/>
        <v/>
      </c>
      <c r="AT106" s="572" t="str">
        <f t="shared" si="250"/>
        <v/>
      </c>
      <c r="AU106" s="573" t="str">
        <f>IF('Marks Entry'!AA106="","",'Marks Entry'!AA106)</f>
        <v/>
      </c>
      <c r="AV106" s="573" t="str">
        <f>IF('Marks Entry'!AB106="","",'Marks Entry'!AB106)</f>
        <v/>
      </c>
      <c r="AW106" s="572" t="str">
        <f t="shared" si="251"/>
        <v/>
      </c>
      <c r="AX106" s="157" t="str">
        <f t="shared" si="252"/>
        <v/>
      </c>
      <c r="AY106" s="157" t="str">
        <f t="shared" si="253"/>
        <v/>
      </c>
      <c r="AZ106" s="192" t="str">
        <f t="shared" si="254"/>
        <v/>
      </c>
      <c r="BA106" s="153">
        <f t="shared" si="255"/>
        <v>0</v>
      </c>
      <c r="BB106" s="154">
        <f t="shared" si="256"/>
        <v>0</v>
      </c>
      <c r="BC106" s="154" t="str">
        <f t="shared" si="257"/>
        <v/>
      </c>
      <c r="BD106" s="154" t="str">
        <f t="shared" si="258"/>
        <v/>
      </c>
      <c r="BE106" s="154" t="str">
        <f t="shared" si="259"/>
        <v/>
      </c>
      <c r="BF106" s="153" t="str">
        <f t="shared" si="260"/>
        <v/>
      </c>
      <c r="BG106" s="154" t="str">
        <f t="shared" si="261"/>
        <v/>
      </c>
      <c r="BH106" s="153" t="str">
        <f t="shared" si="262"/>
        <v/>
      </c>
      <c r="BI106" s="580" t="str">
        <f>IF('Marks Entry'!AC106="","",'Marks Entry'!AC106)</f>
        <v/>
      </c>
      <c r="BJ106" s="580" t="str">
        <f>IF('Marks Entry'!AD106="","",'Marks Entry'!AD106)</f>
        <v/>
      </c>
      <c r="BK106" s="580" t="str">
        <f>IF('Marks Entry'!AE106="","",'Marks Entry'!AE106)</f>
        <v/>
      </c>
      <c r="BL106" s="580" t="str">
        <f>IF('Marks Entry'!AF106="","",'Marks Entry'!AF106)</f>
        <v/>
      </c>
      <c r="BM106" s="581" t="str">
        <f t="shared" si="263"/>
        <v/>
      </c>
      <c r="BN106" s="580" t="str">
        <f>IF('Marks Entry'!AG106="","",'Marks Entry'!AG106)</f>
        <v/>
      </c>
      <c r="BO106" s="580" t="str">
        <f>IF('Marks Entry'!AH106="","",'Marks Entry'!AH106)</f>
        <v/>
      </c>
      <c r="BP106" s="581" t="str">
        <f t="shared" si="264"/>
        <v/>
      </c>
      <c r="BQ106" s="581" t="str">
        <f t="shared" si="265"/>
        <v/>
      </c>
      <c r="BR106" s="580" t="str">
        <f>IF('Marks Entry'!AI106="","",'Marks Entry'!AI106)</f>
        <v/>
      </c>
      <c r="BS106" s="580" t="str">
        <f>IF('Marks Entry'!AJ106="","",'Marks Entry'!AJ106)</f>
        <v/>
      </c>
      <c r="BT106" s="581" t="str">
        <f t="shared" si="266"/>
        <v/>
      </c>
      <c r="BU106" s="157" t="str">
        <f t="shared" si="267"/>
        <v/>
      </c>
      <c r="BV106" s="157" t="str">
        <f t="shared" si="268"/>
        <v/>
      </c>
      <c r="BW106" s="192" t="str">
        <f t="shared" si="269"/>
        <v/>
      </c>
      <c r="BX106" s="153">
        <f t="shared" si="270"/>
        <v>0</v>
      </c>
      <c r="BY106" s="154">
        <f t="shared" si="271"/>
        <v>0</v>
      </c>
      <c r="BZ106" s="154" t="str">
        <f t="shared" si="272"/>
        <v/>
      </c>
      <c r="CA106" s="154" t="str">
        <f t="shared" si="273"/>
        <v/>
      </c>
      <c r="CB106" s="154" t="str">
        <f t="shared" si="274"/>
        <v/>
      </c>
      <c r="CC106" s="153" t="str">
        <f t="shared" si="275"/>
        <v/>
      </c>
      <c r="CD106" s="154" t="str">
        <f t="shared" si="276"/>
        <v/>
      </c>
      <c r="CE106" s="153" t="str">
        <f t="shared" si="277"/>
        <v/>
      </c>
      <c r="CF106" s="580" t="str">
        <f>IF('Marks Entry'!AK106="","",'Marks Entry'!AK106)</f>
        <v/>
      </c>
      <c r="CG106" s="580" t="str">
        <f>IF('Marks Entry'!AL106="","",'Marks Entry'!AL106)</f>
        <v/>
      </c>
      <c r="CH106" s="580" t="str">
        <f>IF('Marks Entry'!AM106="","",'Marks Entry'!AM106)</f>
        <v/>
      </c>
      <c r="CI106" s="580" t="str">
        <f>IF('Marks Entry'!AN106="","",'Marks Entry'!AN106)</f>
        <v/>
      </c>
      <c r="CJ106" s="581" t="str">
        <f t="shared" si="278"/>
        <v/>
      </c>
      <c r="CK106" s="580" t="str">
        <f>IF('Marks Entry'!AO106="","",'Marks Entry'!AO106)</f>
        <v/>
      </c>
      <c r="CL106" s="580" t="str">
        <f>IF('Marks Entry'!AP106="","",'Marks Entry'!AP106)</f>
        <v/>
      </c>
      <c r="CM106" s="581" t="str">
        <f t="shared" si="279"/>
        <v/>
      </c>
      <c r="CN106" s="581" t="str">
        <f t="shared" si="280"/>
        <v/>
      </c>
      <c r="CO106" s="580" t="str">
        <f>IF('Marks Entry'!AQ106="","",'Marks Entry'!AQ106)</f>
        <v/>
      </c>
      <c r="CP106" s="580" t="str">
        <f>IF('Marks Entry'!AR106="","",'Marks Entry'!AR106)</f>
        <v/>
      </c>
      <c r="CQ106" s="581" t="str">
        <f t="shared" si="281"/>
        <v/>
      </c>
      <c r="CR106" s="157" t="str">
        <f t="shared" si="282"/>
        <v/>
      </c>
      <c r="CS106" s="157" t="str">
        <f t="shared" si="283"/>
        <v/>
      </c>
      <c r="CT106" s="192" t="str">
        <f t="shared" si="284"/>
        <v/>
      </c>
      <c r="CU106" s="153">
        <f t="shared" si="285"/>
        <v>0</v>
      </c>
      <c r="CV106" s="154">
        <f t="shared" si="286"/>
        <v>0</v>
      </c>
      <c r="CW106" s="154" t="str">
        <f t="shared" si="287"/>
        <v/>
      </c>
      <c r="CX106" s="154" t="str">
        <f t="shared" si="288"/>
        <v/>
      </c>
      <c r="CY106" s="154" t="str">
        <f t="shared" si="289"/>
        <v/>
      </c>
      <c r="CZ106" s="153" t="str">
        <f t="shared" si="290"/>
        <v/>
      </c>
      <c r="DA106" s="154" t="str">
        <f t="shared" si="291"/>
        <v/>
      </c>
      <c r="DB106" s="153" t="str">
        <f t="shared" si="292"/>
        <v/>
      </c>
      <c r="DC106" s="154">
        <f t="shared" si="293"/>
        <v>0</v>
      </c>
      <c r="DD106" s="826" t="str">
        <f>IF('Marks Entry'!AS106="","",IF(OR('Master Sheet'!$D$19="YES",'Marks Entry'!$BA$1=1),'Marks Entry'!AS106,""))</f>
        <v/>
      </c>
      <c r="DE106" s="826" t="str">
        <f>IF('Marks Entry'!AT106="","",IF(OR('Master Sheet'!$D$19="YES",'Marks Entry'!$BA$1=1),'Marks Entry'!AT106,""))</f>
        <v/>
      </c>
      <c r="DF106" s="826" t="str">
        <f>IF('Marks Entry'!AU106="","",IF(OR('Master Sheet'!$D$19="YES",'Marks Entry'!$BA$1=1),'Marks Entry'!AU106,""))</f>
        <v/>
      </c>
      <c r="DG106" s="826" t="str">
        <f>IF('Marks Entry'!AV106="","",IF(OR('Master Sheet'!$D$19="YES",'Marks Entry'!$BA$1=1),'Marks Entry'!AV106,""))</f>
        <v/>
      </c>
      <c r="DH106" s="827" t="str">
        <f t="shared" si="294"/>
        <v/>
      </c>
      <c r="DI106" s="826" t="str">
        <f>IF('Marks Entry'!AW106="","",IF(OR('Master Sheet'!$D$19="YES",'Marks Entry'!$BA$1=1),'Marks Entry'!AW106,""))</f>
        <v/>
      </c>
      <c r="DJ106" s="826" t="str">
        <f>IF('Marks Entry'!AX106="","",IF(OR('Master Sheet'!$D$19="YES",'Marks Entry'!$BA$1=1),'Marks Entry'!AX106,""))</f>
        <v/>
      </c>
      <c r="DK106" s="827" t="str">
        <f t="shared" si="295"/>
        <v/>
      </c>
      <c r="DL106" s="827" t="str">
        <f t="shared" si="296"/>
        <v/>
      </c>
      <c r="DM106" s="826" t="str">
        <f>IF('Marks Entry'!AY106="","",IF(OR('Master Sheet'!$D$19="YES",'Marks Entry'!$BA$1=1),'Marks Entry'!AY106,""))</f>
        <v/>
      </c>
      <c r="DN106" s="826" t="str">
        <f>IF('Marks Entry'!AZ106="","",IF(OR('Master Sheet'!$D$19="YES",'Marks Entry'!$BA$1=1),'Marks Entry'!AZ106,""))</f>
        <v/>
      </c>
      <c r="DO106" s="826" t="str">
        <f>IF('Marks Entry'!BA106="","",IF(OR('Master Sheet'!$D$19="YES",'Marks Entry'!$BA$1=1),'Marks Entry'!BA106,""))</f>
        <v/>
      </c>
      <c r="DP106" s="827" t="str">
        <f t="shared" si="297"/>
        <v/>
      </c>
      <c r="DQ106" s="157" t="str">
        <f t="shared" si="298"/>
        <v/>
      </c>
      <c r="DR106" s="157" t="str">
        <f t="shared" si="299"/>
        <v/>
      </c>
      <c r="DS106" s="157" t="str">
        <f t="shared" si="300"/>
        <v/>
      </c>
      <c r="DT106" s="192" t="str">
        <f t="shared" si="301"/>
        <v/>
      </c>
      <c r="DU106" s="153">
        <f t="shared" si="302"/>
        <v>0</v>
      </c>
      <c r="DV106" s="154" t="e">
        <f t="shared" si="303"/>
        <v>#VALUE!</v>
      </c>
      <c r="DW106" s="154" t="str">
        <f t="shared" si="304"/>
        <v/>
      </c>
      <c r="DX106" s="154" t="str">
        <f>IF(OR($B106="NSO",$B106=0,DS106=""),"",IF(AND(DJ106="",DO106=""),"",IF('Master Sheet'!$D$19="YES",$DO$6-COUNTIF(DO106,"ML")*DO$6,DS$6-(COUNTIF(DJ106,"ML")*DJ$6)-(COUNTIF(DO106,"ML")*DO$6))))</f>
        <v/>
      </c>
      <c r="DY106" s="154" t="str">
        <f>IF(OR($B106="NSO",$B106=0),"",IF(AND(DH106="",DI106="",DM106=""),"",IF(AND('Master Sheet'!$D$19="YES",'Marks Entry'!$BA$1=1),100,IF(AND(DJ106="",DO106=""),SUM(($DQ$7+$DR$7)-(DU106+DV106)),SUM(($DQ$6+$DR$6)-(DU106+DV106))))))</f>
        <v/>
      </c>
      <c r="DZ106" s="153" t="str">
        <f t="shared" si="305"/>
        <v/>
      </c>
      <c r="EA106" s="154" t="str">
        <f t="shared" si="306"/>
        <v/>
      </c>
      <c r="EB106" s="153" t="str">
        <f t="shared" si="307"/>
        <v/>
      </c>
      <c r="EC106" s="584" t="str">
        <f>IF('Marks Entry'!BB106="","",'Marks Entry'!BB106)</f>
        <v/>
      </c>
      <c r="ED106" s="584" t="str">
        <f>IF('Marks Entry'!BC106="","",'Marks Entry'!BC106)</f>
        <v/>
      </c>
      <c r="EE106" s="584" t="str">
        <f>IF('Marks Entry'!BD106="","",'Marks Entry'!BD106)</f>
        <v/>
      </c>
      <c r="EF106" s="590" t="str">
        <f t="shared" si="308"/>
        <v/>
      </c>
      <c r="EG106" s="595">
        <f t="shared" si="309"/>
        <v>0</v>
      </c>
      <c r="EH106" s="595">
        <f t="shared" si="310"/>
        <v>0</v>
      </c>
      <c r="EI106" s="193" t="str">
        <f t="shared" si="311"/>
        <v/>
      </c>
      <c r="EJ106" s="595" t="str">
        <f t="shared" si="312"/>
        <v/>
      </c>
      <c r="EK106" s="595" t="str">
        <f t="shared" si="313"/>
        <v/>
      </c>
      <c r="EL106" s="194" t="str">
        <f t="shared" si="314"/>
        <v/>
      </c>
      <c r="EM106" s="194" t="str">
        <f t="shared" si="315"/>
        <v/>
      </c>
      <c r="EN106" s="194" t="str">
        <f t="shared" si="316"/>
        <v/>
      </c>
      <c r="EO106" s="194" t="str">
        <f t="shared" si="317"/>
        <v/>
      </c>
      <c r="EP106" s="194" t="str">
        <f t="shared" si="318"/>
        <v/>
      </c>
      <c r="EQ106" s="194" t="str">
        <f t="shared" si="319"/>
        <v/>
      </c>
      <c r="ER106" s="195">
        <f t="shared" si="320"/>
        <v>0</v>
      </c>
      <c r="ES106" s="195">
        <f t="shared" si="321"/>
        <v>0</v>
      </c>
      <c r="ET106" s="195">
        <f t="shared" si="322"/>
        <v>0</v>
      </c>
      <c r="EU106" s="195">
        <f t="shared" si="323"/>
        <v>0</v>
      </c>
      <c r="EV106" s="195">
        <f t="shared" si="324"/>
        <v>0</v>
      </c>
      <c r="EW106" s="195" t="str">
        <f t="shared" si="325"/>
        <v/>
      </c>
      <c r="EX106" s="196" t="str">
        <f t="shared" si="326"/>
        <v/>
      </c>
      <c r="EY106" s="197" t="str">
        <f>IF('Marks Entry'!BE106="","",'Marks Entry'!BE106)</f>
        <v/>
      </c>
      <c r="EZ106" s="197" t="str">
        <f>IF('Marks Entry'!BF106="","",'Marks Entry'!BF106)</f>
        <v/>
      </c>
      <c r="FA106" s="197" t="str">
        <f>IF('Marks Entry'!BG106="","",'Marks Entry'!BG106)</f>
        <v/>
      </c>
      <c r="FB106" s="596" t="str">
        <f t="shared" si="327"/>
        <v/>
      </c>
      <c r="FC106" s="197" t="str">
        <f>IF('Marks Entry'!BH106="","",'Marks Entry'!BH106)</f>
        <v/>
      </c>
      <c r="FD106" s="197" t="str">
        <f>IF('Marks Entry'!BI106="","",'Marks Entry'!BI106)</f>
        <v/>
      </c>
      <c r="FE106" s="198" t="str">
        <f t="shared" si="328"/>
        <v/>
      </c>
      <c r="FF106" s="199" t="str">
        <f t="shared" si="329"/>
        <v/>
      </c>
      <c r="FG106" s="200" t="str">
        <f>IF(AND(E106=""),"",IF('Student DATA Entry'!L102="","",'Student DATA Entry'!L102))</f>
        <v/>
      </c>
      <c r="FH106" s="201" t="str">
        <f>IF(AND(E106=""),"",IF('Student DATA Entry'!M102="","",'Student DATA Entry'!M102))</f>
        <v/>
      </c>
      <c r="FI106" s="202" t="str">
        <f t="shared" si="330"/>
        <v/>
      </c>
      <c r="FJ106" s="189" t="str">
        <f t="shared" si="331"/>
        <v/>
      </c>
      <c r="FK106" s="189" t="str">
        <f t="shared" si="332"/>
        <v/>
      </c>
      <c r="FL106" s="203" t="str">
        <f t="shared" si="360"/>
        <v/>
      </c>
      <c r="FM106" s="189" t="str">
        <f t="shared" si="333"/>
        <v/>
      </c>
      <c r="FN106" s="204" t="str">
        <f t="shared" si="334"/>
        <v/>
      </c>
      <c r="FO106" s="203" t="str">
        <f t="shared" si="361"/>
        <v/>
      </c>
      <c r="FP106" s="205" t="str">
        <f t="shared" si="335"/>
        <v/>
      </c>
      <c r="FQ106" s="189" t="str">
        <f t="shared" si="362"/>
        <v/>
      </c>
      <c r="FR106" s="189" t="str">
        <f t="shared" si="363"/>
        <v/>
      </c>
      <c r="FS106" s="189" t="str">
        <f t="shared" si="364"/>
        <v/>
      </c>
      <c r="FT106" s="189" t="str">
        <f t="shared" si="365"/>
        <v/>
      </c>
      <c r="FU106" s="189" t="str">
        <f t="shared" si="336"/>
        <v/>
      </c>
      <c r="FV106" s="206" t="str">
        <f t="shared" si="366"/>
        <v/>
      </c>
      <c r="FW106" s="205" t="str">
        <f t="shared" si="337"/>
        <v/>
      </c>
      <c r="FX106" s="189" t="str">
        <f t="shared" si="367"/>
        <v/>
      </c>
      <c r="FY106" s="189" t="str">
        <f t="shared" si="368"/>
        <v/>
      </c>
      <c r="FZ106" s="189" t="str">
        <f t="shared" si="369"/>
        <v/>
      </c>
      <c r="GA106" s="189" t="str">
        <f t="shared" si="370"/>
        <v/>
      </c>
      <c r="GB106" s="189" t="str">
        <f t="shared" si="338"/>
        <v/>
      </c>
      <c r="GC106" s="206" t="str">
        <f t="shared" si="371"/>
        <v/>
      </c>
      <c r="GD106" s="205" t="str">
        <f t="shared" si="339"/>
        <v/>
      </c>
      <c r="GE106" s="189" t="str">
        <f t="shared" si="372"/>
        <v/>
      </c>
      <c r="GF106" s="189" t="str">
        <f t="shared" si="373"/>
        <v/>
      </c>
      <c r="GG106" s="189" t="str">
        <f t="shared" si="374"/>
        <v/>
      </c>
      <c r="GH106" s="189" t="str">
        <f t="shared" si="375"/>
        <v/>
      </c>
      <c r="GI106" s="189" t="str">
        <f t="shared" si="340"/>
        <v/>
      </c>
      <c r="GJ106" s="206" t="str">
        <f t="shared" si="376"/>
        <v/>
      </c>
      <c r="GK106" s="205" t="str">
        <f t="shared" si="341"/>
        <v/>
      </c>
      <c r="GL106" s="189" t="str">
        <f t="shared" si="377"/>
        <v/>
      </c>
      <c r="GM106" s="189" t="str">
        <f t="shared" si="378"/>
        <v/>
      </c>
      <c r="GN106" s="189" t="str">
        <f t="shared" si="379"/>
        <v/>
      </c>
      <c r="GO106" s="189" t="str">
        <f t="shared" si="380"/>
        <v/>
      </c>
      <c r="GP106" s="189" t="str">
        <f t="shared" si="342"/>
        <v/>
      </c>
      <c r="GQ106" s="206" t="str">
        <f t="shared" si="381"/>
        <v/>
      </c>
      <c r="GR106" s="189" t="str">
        <f t="shared" si="343"/>
        <v/>
      </c>
      <c r="GS106" s="189" t="str">
        <f t="shared" si="344"/>
        <v/>
      </c>
      <c r="GT106" s="207" t="str">
        <f t="shared" si="345"/>
        <v xml:space="preserve">    </v>
      </c>
      <c r="GU106" s="207" t="str">
        <f t="shared" si="346"/>
        <v xml:space="preserve">    </v>
      </c>
      <c r="GV106" s="207" t="str">
        <f t="shared" si="347"/>
        <v xml:space="preserve">    </v>
      </c>
      <c r="GW106" s="207" t="str">
        <f t="shared" si="348"/>
        <v xml:space="preserve">       </v>
      </c>
      <c r="GX106" s="598" t="str">
        <f t="shared" si="349"/>
        <v xml:space="preserve">     </v>
      </c>
      <c r="GY106" s="208" t="str">
        <f t="shared" si="382"/>
        <v/>
      </c>
      <c r="GZ106" s="606" t="str">
        <f>IF(AND(Q106="",AE106="",AZ106="",BW106="",CT106=""),"",IF(AND('Master Sheet'!$D$19="YES",'Marks Entry'!$BA$1=1),SUM(Q106,AE106,AZ106,BW106,DT106),SUM(Q106,AE106,AZ106,BW106,CT106)))</f>
        <v/>
      </c>
      <c r="HA106" s="209" t="str">
        <f>IF(GZ106="","",IF(AND('Master Sheet'!$D$19="YES",'Marks Entry'!$BA$1=1),GZ106/((900)-DC106)*100,GZ106/((1000)-DC106)*100))</f>
        <v/>
      </c>
      <c r="HB106" s="611" t="str">
        <f t="shared" si="350"/>
        <v/>
      </c>
      <c r="HC106" s="609" t="str">
        <f t="shared" si="351"/>
        <v/>
      </c>
      <c r="HD106" s="610" t="str">
        <f t="shared" si="352"/>
        <v/>
      </c>
      <c r="HE106" s="210" t="str">
        <f>IFERROR(IF(OR(GY106="SUPPLEMENTARY",GY106="RE-EXAM"),'Supp. Result Entry'!AS105,""),"")</f>
        <v/>
      </c>
      <c r="HF106" s="613" t="str">
        <f t="shared" si="353"/>
        <v/>
      </c>
      <c r="HG106" s="598" t="str">
        <f t="shared" si="354"/>
        <v/>
      </c>
      <c r="HH106" s="598" t="str">
        <f>IF(AND(HE106="",HF106="",HG106=""),"",IF(OR(GY106="SUPPLEMENTARY",GY106="RE-EXAM"),'Supp. Result Entry'!AS105,GY106))</f>
        <v/>
      </c>
      <c r="HI106" s="180"/>
      <c r="HY106" s="212" t="str">
        <f>IF('Supp. Result Entry'!U105="","",'Supp. Result Entry'!$U$6)</f>
        <v/>
      </c>
      <c r="HZ106" s="213" t="str">
        <f>IF('Supp. Result Entry'!X105="","",'Supp. Result Entry'!$X$6)</f>
        <v/>
      </c>
      <c r="IA106" s="213" t="str">
        <f>IF('Supp. Result Entry'!AA105="","",'Supp. Result Entry'!$AA$6)</f>
        <v/>
      </c>
      <c r="IB106" s="213" t="str">
        <f>IF('Supp. Result Entry'!AD105="","",'Supp. Result Entry'!$AD$6)</f>
        <v/>
      </c>
      <c r="IC106" s="213" t="str">
        <f>IF('Supp. Result Entry'!AG105="","",'Supp. Result Entry'!$AG$6)</f>
        <v/>
      </c>
      <c r="ID106" s="213" t="str">
        <f>IF('Supp. Result Entry'!AJ105="","",'Supp. Result Entry'!$AJ$6)</f>
        <v/>
      </c>
      <c r="IE106" s="213" t="str">
        <f>IF('Supp. Result Entry'!V105="","",'Supp. Result Entry'!V105)</f>
        <v/>
      </c>
      <c r="IF106" s="213" t="str">
        <f>IF('Supp. Result Entry'!Y105="","",'Supp. Result Entry'!Y105)</f>
        <v/>
      </c>
      <c r="IG106" s="213" t="str">
        <f>IF('Supp. Result Entry'!AB105="","",'Supp. Result Entry'!AB105)</f>
        <v/>
      </c>
      <c r="IH106" s="213" t="str">
        <f>IF('Supp. Result Entry'!AE105="","",'Supp. Result Entry'!AE105)</f>
        <v/>
      </c>
      <c r="II106" s="213" t="str">
        <f>IF('Supp. Result Entry'!AH105="","",'Supp. Result Entry'!AH105)</f>
        <v/>
      </c>
      <c r="IJ106" s="213" t="str">
        <f>IF('Supp. Result Entry'!AK105="","",'Supp. Result Entry'!AK105)</f>
        <v/>
      </c>
      <c r="IK106" s="213" t="str">
        <f>IF('Supp. Result Entry'!W105="","",'Supp. Result Entry'!W105)</f>
        <v/>
      </c>
      <c r="IL106" s="213" t="str">
        <f>IF('Supp. Result Entry'!Z105="","",'Supp. Result Entry'!Z105)</f>
        <v/>
      </c>
      <c r="IM106" s="213" t="str">
        <f>IF('Supp. Result Entry'!AC105="","",'Supp. Result Entry'!AC105)</f>
        <v/>
      </c>
      <c r="IN106" s="213" t="str">
        <f>IF('Supp. Result Entry'!AF105="","",'Supp. Result Entry'!AF105)</f>
        <v/>
      </c>
      <c r="IO106" s="213" t="str">
        <f>IF('Supp. Result Entry'!AI105="","",'Supp. Result Entry'!AI105)</f>
        <v/>
      </c>
      <c r="IP106" s="213" t="str">
        <f>IF('Supp. Result Entry'!AL105="","",'Supp. Result Entry'!AL105)</f>
        <v/>
      </c>
      <c r="IQ106" s="213">
        <f>COUNTIF('Supp. Result Entry'!K105:Q105,"S")</f>
        <v>0</v>
      </c>
      <c r="IR106" s="213">
        <f t="shared" si="355"/>
        <v>0</v>
      </c>
      <c r="IS106" s="213">
        <f t="shared" si="356"/>
        <v>0</v>
      </c>
      <c r="IT106" s="213" t="str">
        <f t="shared" si="224"/>
        <v/>
      </c>
      <c r="IU106" s="213" t="str">
        <f t="shared" si="225"/>
        <v/>
      </c>
      <c r="IV106" s="213" t="str">
        <f t="shared" si="226"/>
        <v/>
      </c>
      <c r="IW106" s="213" t="str">
        <f t="shared" si="227"/>
        <v/>
      </c>
      <c r="IX106" s="213" t="str">
        <f t="shared" si="228"/>
        <v/>
      </c>
      <c r="IY106" s="213" t="str">
        <f t="shared" si="357"/>
        <v/>
      </c>
      <c r="IZ106" s="213" t="str">
        <f t="shared" si="358"/>
        <v/>
      </c>
      <c r="JA106" s="213" t="str">
        <f t="shared" si="229"/>
        <v/>
      </c>
      <c r="JB106" s="211" t="str">
        <f t="shared" si="359"/>
        <v/>
      </c>
    </row>
    <row r="107" spans="1:262" s="211" customFormat="1" ht="21" customHeight="1">
      <c r="A107" s="184">
        <v>100</v>
      </c>
      <c r="B107" s="185" t="str">
        <f>IF('Marks Entry'!B107="","",'Marks Entry'!B107)</f>
        <v/>
      </c>
      <c r="C107" s="186" t="str">
        <f>IF('Marks Entry'!D107="","",'Marks Entry'!D107)</f>
        <v/>
      </c>
      <c r="D107" s="187" t="str">
        <f>IF('Marks Entry'!E107="","",'Marks Entry'!E107)</f>
        <v/>
      </c>
      <c r="E107" s="188" t="str">
        <f>IF('Marks Entry'!F107="","",'Marks Entry'!F107)</f>
        <v/>
      </c>
      <c r="F107" s="188" t="str">
        <f>IF('Marks Entry'!G107="","",'Marks Entry'!G107)</f>
        <v/>
      </c>
      <c r="G107" s="188" t="str">
        <f>IF('Marks Entry'!H107="","",'Marks Entry'!H107)</f>
        <v/>
      </c>
      <c r="H107" s="189" t="str">
        <f>IF('Marks Entry'!I107="","",'Marks Entry'!I107)</f>
        <v/>
      </c>
      <c r="I107" s="190" t="str">
        <f>IF('Marks Entry'!J107="","",'Marks Entry'!J107)</f>
        <v/>
      </c>
      <c r="J107" s="545" t="str">
        <f>IF('Marks Entry'!K107="","",'Marks Entry'!K107)</f>
        <v/>
      </c>
      <c r="K107" s="545" t="str">
        <f>IF('Marks Entry'!L107="","",'Marks Entry'!L107)</f>
        <v/>
      </c>
      <c r="L107" s="545" t="str">
        <f>IF('Marks Entry'!M107="","",'Marks Entry'!M107)</f>
        <v/>
      </c>
      <c r="M107" s="546" t="str">
        <f t="shared" si="230"/>
        <v/>
      </c>
      <c r="N107" s="545" t="str">
        <f>IF('Marks Entry'!N107="","",'Marks Entry'!N107)</f>
        <v/>
      </c>
      <c r="O107" s="546" t="str">
        <f t="shared" si="231"/>
        <v/>
      </c>
      <c r="P107" s="545" t="str">
        <f>IF('Marks Entry'!O107="","",'Marks Entry'!O107)</f>
        <v/>
      </c>
      <c r="Q107" s="547" t="str">
        <f t="shared" si="232"/>
        <v/>
      </c>
      <c r="R107" s="153">
        <f t="shared" si="233"/>
        <v>0</v>
      </c>
      <c r="S107" s="153">
        <f t="shared" si="234"/>
        <v>0</v>
      </c>
      <c r="T107" s="154" t="str">
        <f t="shared" si="235"/>
        <v/>
      </c>
      <c r="U107" s="153" t="str">
        <f t="shared" si="236"/>
        <v/>
      </c>
      <c r="V107" s="153" t="str">
        <f t="shared" si="237"/>
        <v/>
      </c>
      <c r="W107" s="153" t="str">
        <f t="shared" si="238"/>
        <v/>
      </c>
      <c r="X107" s="545" t="str">
        <f>IF('Marks Entry'!P107="","",'Marks Entry'!P107)</f>
        <v/>
      </c>
      <c r="Y107" s="545" t="str">
        <f>IF('Marks Entry'!Q107="","",'Marks Entry'!Q107)</f>
        <v/>
      </c>
      <c r="Z107" s="545" t="str">
        <f>IF('Marks Entry'!R107="","",'Marks Entry'!R107)</f>
        <v/>
      </c>
      <c r="AA107" s="546" t="str">
        <f t="shared" si="239"/>
        <v/>
      </c>
      <c r="AB107" s="545" t="str">
        <f>IF('Marks Entry'!S107="","",'Marks Entry'!S107)</f>
        <v/>
      </c>
      <c r="AC107" s="546" t="str">
        <f t="shared" si="240"/>
        <v/>
      </c>
      <c r="AD107" s="545" t="str">
        <f>IF('Marks Entry'!T107="","",'Marks Entry'!T107)</f>
        <v/>
      </c>
      <c r="AE107" s="547" t="str">
        <f t="shared" si="241"/>
        <v/>
      </c>
      <c r="AF107" s="153">
        <f t="shared" si="242"/>
        <v>0</v>
      </c>
      <c r="AG107" s="153">
        <f t="shared" si="243"/>
        <v>0</v>
      </c>
      <c r="AH107" s="154" t="str">
        <f t="shared" si="244"/>
        <v/>
      </c>
      <c r="AI107" s="153" t="str">
        <f t="shared" si="245"/>
        <v/>
      </c>
      <c r="AJ107" s="153" t="str">
        <f t="shared" si="246"/>
        <v/>
      </c>
      <c r="AK107" s="153" t="str">
        <f t="shared" si="247"/>
        <v/>
      </c>
      <c r="AL107" s="573" t="str">
        <f>IF('Marks Entry'!U107="","",'Marks Entry'!U107)</f>
        <v/>
      </c>
      <c r="AM107" s="573" t="str">
        <f>IF('Marks Entry'!V107="","",'Marks Entry'!V107)</f>
        <v/>
      </c>
      <c r="AN107" s="573" t="str">
        <f>IF('Marks Entry'!W107="","",'Marks Entry'!W107)</f>
        <v/>
      </c>
      <c r="AO107" s="573" t="str">
        <f>IF('Marks Entry'!X107="","",'Marks Entry'!X107)</f>
        <v/>
      </c>
      <c r="AP107" s="572" t="str">
        <f t="shared" si="248"/>
        <v/>
      </c>
      <c r="AQ107" s="573" t="str">
        <f>IF('Marks Entry'!Y107="","",'Marks Entry'!Y107)</f>
        <v/>
      </c>
      <c r="AR107" s="573" t="str">
        <f>IF('Marks Entry'!Z107="","",'Marks Entry'!Z107)</f>
        <v/>
      </c>
      <c r="AS107" s="572" t="str">
        <f t="shared" si="249"/>
        <v/>
      </c>
      <c r="AT107" s="572" t="str">
        <f t="shared" si="250"/>
        <v/>
      </c>
      <c r="AU107" s="573" t="str">
        <f>IF('Marks Entry'!AA107="","",'Marks Entry'!AA107)</f>
        <v/>
      </c>
      <c r="AV107" s="573" t="str">
        <f>IF('Marks Entry'!AB107="","",'Marks Entry'!AB107)</f>
        <v/>
      </c>
      <c r="AW107" s="572" t="str">
        <f t="shared" si="251"/>
        <v/>
      </c>
      <c r="AX107" s="157" t="str">
        <f t="shared" si="252"/>
        <v/>
      </c>
      <c r="AY107" s="157" t="str">
        <f t="shared" si="253"/>
        <v/>
      </c>
      <c r="AZ107" s="192" t="str">
        <f t="shared" si="254"/>
        <v/>
      </c>
      <c r="BA107" s="153">
        <f t="shared" si="255"/>
        <v>0</v>
      </c>
      <c r="BB107" s="154">
        <f t="shared" si="256"/>
        <v>0</v>
      </c>
      <c r="BC107" s="154" t="str">
        <f t="shared" si="257"/>
        <v/>
      </c>
      <c r="BD107" s="154" t="str">
        <f t="shared" si="258"/>
        <v/>
      </c>
      <c r="BE107" s="154" t="str">
        <f t="shared" si="259"/>
        <v/>
      </c>
      <c r="BF107" s="153" t="str">
        <f t="shared" si="260"/>
        <v/>
      </c>
      <c r="BG107" s="154" t="str">
        <f t="shared" si="261"/>
        <v/>
      </c>
      <c r="BH107" s="153" t="str">
        <f t="shared" si="262"/>
        <v/>
      </c>
      <c r="BI107" s="580" t="str">
        <f>IF('Marks Entry'!AC107="","",'Marks Entry'!AC107)</f>
        <v/>
      </c>
      <c r="BJ107" s="580" t="str">
        <f>IF('Marks Entry'!AD107="","",'Marks Entry'!AD107)</f>
        <v/>
      </c>
      <c r="BK107" s="580" t="str">
        <f>IF('Marks Entry'!AE107="","",'Marks Entry'!AE107)</f>
        <v/>
      </c>
      <c r="BL107" s="580" t="str">
        <f>IF('Marks Entry'!AF107="","",'Marks Entry'!AF107)</f>
        <v/>
      </c>
      <c r="BM107" s="581" t="str">
        <f t="shared" si="263"/>
        <v/>
      </c>
      <c r="BN107" s="580" t="str">
        <f>IF('Marks Entry'!AG107="","",'Marks Entry'!AG107)</f>
        <v/>
      </c>
      <c r="BO107" s="580" t="str">
        <f>IF('Marks Entry'!AH107="","",'Marks Entry'!AH107)</f>
        <v/>
      </c>
      <c r="BP107" s="581" t="str">
        <f t="shared" si="264"/>
        <v/>
      </c>
      <c r="BQ107" s="581" t="str">
        <f t="shared" si="265"/>
        <v/>
      </c>
      <c r="BR107" s="580" t="str">
        <f>IF('Marks Entry'!AI107="","",'Marks Entry'!AI107)</f>
        <v/>
      </c>
      <c r="BS107" s="580" t="str">
        <f>IF('Marks Entry'!AJ107="","",'Marks Entry'!AJ107)</f>
        <v/>
      </c>
      <c r="BT107" s="581" t="str">
        <f t="shared" si="266"/>
        <v/>
      </c>
      <c r="BU107" s="157" t="str">
        <f t="shared" si="267"/>
        <v/>
      </c>
      <c r="BV107" s="157" t="str">
        <f t="shared" si="268"/>
        <v/>
      </c>
      <c r="BW107" s="192" t="str">
        <f t="shared" si="269"/>
        <v/>
      </c>
      <c r="BX107" s="153">
        <f t="shared" si="270"/>
        <v>0</v>
      </c>
      <c r="BY107" s="154">
        <f t="shared" si="271"/>
        <v>0</v>
      </c>
      <c r="BZ107" s="154" t="str">
        <f t="shared" si="272"/>
        <v/>
      </c>
      <c r="CA107" s="154" t="str">
        <f t="shared" si="273"/>
        <v/>
      </c>
      <c r="CB107" s="154" t="str">
        <f t="shared" si="274"/>
        <v/>
      </c>
      <c r="CC107" s="153" t="str">
        <f t="shared" si="275"/>
        <v/>
      </c>
      <c r="CD107" s="154" t="str">
        <f t="shared" si="276"/>
        <v/>
      </c>
      <c r="CE107" s="153" t="str">
        <f t="shared" si="277"/>
        <v/>
      </c>
      <c r="CF107" s="580" t="str">
        <f>IF('Marks Entry'!AK107="","",'Marks Entry'!AK107)</f>
        <v/>
      </c>
      <c r="CG107" s="580" t="str">
        <f>IF('Marks Entry'!AL107="","",'Marks Entry'!AL107)</f>
        <v/>
      </c>
      <c r="CH107" s="580" t="str">
        <f>IF('Marks Entry'!AM107="","",'Marks Entry'!AM107)</f>
        <v/>
      </c>
      <c r="CI107" s="580" t="str">
        <f>IF('Marks Entry'!AN107="","",'Marks Entry'!AN107)</f>
        <v/>
      </c>
      <c r="CJ107" s="581" t="str">
        <f t="shared" si="278"/>
        <v/>
      </c>
      <c r="CK107" s="580" t="str">
        <f>IF('Marks Entry'!AO107="","",'Marks Entry'!AO107)</f>
        <v/>
      </c>
      <c r="CL107" s="580" t="str">
        <f>IF('Marks Entry'!AP107="","",'Marks Entry'!AP107)</f>
        <v/>
      </c>
      <c r="CM107" s="581" t="str">
        <f t="shared" si="279"/>
        <v/>
      </c>
      <c r="CN107" s="581" t="str">
        <f t="shared" si="280"/>
        <v/>
      </c>
      <c r="CO107" s="580" t="str">
        <f>IF('Marks Entry'!AQ107="","",'Marks Entry'!AQ107)</f>
        <v/>
      </c>
      <c r="CP107" s="580" t="str">
        <f>IF('Marks Entry'!AR107="","",'Marks Entry'!AR107)</f>
        <v/>
      </c>
      <c r="CQ107" s="581" t="str">
        <f t="shared" si="281"/>
        <v/>
      </c>
      <c r="CR107" s="157" t="str">
        <f t="shared" si="282"/>
        <v/>
      </c>
      <c r="CS107" s="157" t="str">
        <f t="shared" si="283"/>
        <v/>
      </c>
      <c r="CT107" s="192" t="str">
        <f t="shared" si="284"/>
        <v/>
      </c>
      <c r="CU107" s="153">
        <f t="shared" si="285"/>
        <v>0</v>
      </c>
      <c r="CV107" s="154">
        <f t="shared" si="286"/>
        <v>0</v>
      </c>
      <c r="CW107" s="154" t="str">
        <f t="shared" si="287"/>
        <v/>
      </c>
      <c r="CX107" s="154" t="str">
        <f t="shared" si="288"/>
        <v/>
      </c>
      <c r="CY107" s="154" t="str">
        <f t="shared" si="289"/>
        <v/>
      </c>
      <c r="CZ107" s="153" t="str">
        <f t="shared" si="290"/>
        <v/>
      </c>
      <c r="DA107" s="154" t="str">
        <f t="shared" si="291"/>
        <v/>
      </c>
      <c r="DB107" s="153" t="str">
        <f t="shared" si="292"/>
        <v/>
      </c>
      <c r="DC107" s="154">
        <f t="shared" si="293"/>
        <v>0</v>
      </c>
      <c r="DD107" s="826" t="str">
        <f>IF('Marks Entry'!AS107="","",IF(OR('Master Sheet'!$D$19="YES",'Marks Entry'!$BA$1=1),'Marks Entry'!AS107,""))</f>
        <v/>
      </c>
      <c r="DE107" s="826" t="str">
        <f>IF('Marks Entry'!AT107="","",IF(OR('Master Sheet'!$D$19="YES",'Marks Entry'!$BA$1=1),'Marks Entry'!AT107,""))</f>
        <v/>
      </c>
      <c r="DF107" s="826" t="str">
        <f>IF('Marks Entry'!AU107="","",IF(OR('Master Sheet'!$D$19="YES",'Marks Entry'!$BA$1=1),'Marks Entry'!AU107,""))</f>
        <v/>
      </c>
      <c r="DG107" s="826" t="str">
        <f>IF('Marks Entry'!AV107="","",IF(OR('Master Sheet'!$D$19="YES",'Marks Entry'!$BA$1=1),'Marks Entry'!AV107,""))</f>
        <v/>
      </c>
      <c r="DH107" s="827" t="str">
        <f t="shared" si="294"/>
        <v/>
      </c>
      <c r="DI107" s="826" t="str">
        <f>IF('Marks Entry'!AW107="","",IF(OR('Master Sheet'!$D$19="YES",'Marks Entry'!$BA$1=1),'Marks Entry'!AW107,""))</f>
        <v/>
      </c>
      <c r="DJ107" s="826" t="str">
        <f>IF('Marks Entry'!AX107="","",IF(OR('Master Sheet'!$D$19="YES",'Marks Entry'!$BA$1=1),'Marks Entry'!AX107,""))</f>
        <v/>
      </c>
      <c r="DK107" s="827" t="str">
        <f t="shared" si="295"/>
        <v/>
      </c>
      <c r="DL107" s="827" t="str">
        <f t="shared" si="296"/>
        <v/>
      </c>
      <c r="DM107" s="826" t="str">
        <f>IF('Marks Entry'!AY107="","",IF(OR('Master Sheet'!$D$19="YES",'Marks Entry'!$BA$1=1),'Marks Entry'!AY107,""))</f>
        <v/>
      </c>
      <c r="DN107" s="826" t="str">
        <f>IF('Marks Entry'!AZ107="","",IF(OR('Master Sheet'!$D$19="YES",'Marks Entry'!$BA$1=1),'Marks Entry'!AZ107,""))</f>
        <v/>
      </c>
      <c r="DO107" s="826" t="str">
        <f>IF('Marks Entry'!BA107="","",IF(OR('Master Sheet'!$D$19="YES",'Marks Entry'!$BA$1=1),'Marks Entry'!BA107,""))</f>
        <v/>
      </c>
      <c r="DP107" s="827" t="str">
        <f t="shared" si="297"/>
        <v/>
      </c>
      <c r="DQ107" s="157" t="str">
        <f t="shared" si="298"/>
        <v/>
      </c>
      <c r="DR107" s="157" t="str">
        <f t="shared" si="299"/>
        <v/>
      </c>
      <c r="DS107" s="157" t="str">
        <f t="shared" si="300"/>
        <v/>
      </c>
      <c r="DT107" s="192" t="str">
        <f t="shared" si="301"/>
        <v/>
      </c>
      <c r="DU107" s="153">
        <f t="shared" si="302"/>
        <v>0</v>
      </c>
      <c r="DV107" s="154" t="e">
        <f t="shared" si="303"/>
        <v>#VALUE!</v>
      </c>
      <c r="DW107" s="154" t="str">
        <f t="shared" si="304"/>
        <v/>
      </c>
      <c r="DX107" s="154" t="str">
        <f>IF(OR($B107="NSO",$B107=0,DS107=""),"",IF(AND(DJ107="",DO107=""),"",IF('Master Sheet'!$D$19="YES",$DO$6-COUNTIF(DO107,"ML")*DO$6,DS$6-(COUNTIF(DJ107,"ML")*DJ$6)-(COUNTIF(DO107,"ML")*DO$6))))</f>
        <v/>
      </c>
      <c r="DY107" s="154" t="str">
        <f>IF(OR($B107="NSO",$B107=0),"",IF(AND(DH107="",DI107="",DM107=""),"",IF(AND('Master Sheet'!$D$19="YES",'Marks Entry'!$BA$1=1),100,IF(AND(DJ107="",DO107=""),SUM(($DQ$7+$DR$7)-(DU107+DV107)),SUM(($DQ$6+$DR$6)-(DU107+DV107))))))</f>
        <v/>
      </c>
      <c r="DZ107" s="153" t="str">
        <f t="shared" si="305"/>
        <v/>
      </c>
      <c r="EA107" s="154" t="str">
        <f t="shared" si="306"/>
        <v/>
      </c>
      <c r="EB107" s="153" t="str">
        <f t="shared" si="307"/>
        <v/>
      </c>
      <c r="EC107" s="584" t="str">
        <f>IF('Marks Entry'!BB107="","",'Marks Entry'!BB107)</f>
        <v/>
      </c>
      <c r="ED107" s="584" t="str">
        <f>IF('Marks Entry'!BC107="","",'Marks Entry'!BC107)</f>
        <v/>
      </c>
      <c r="EE107" s="584" t="str">
        <f>IF('Marks Entry'!BD107="","",'Marks Entry'!BD107)</f>
        <v/>
      </c>
      <c r="EF107" s="590" t="str">
        <f t="shared" si="308"/>
        <v/>
      </c>
      <c r="EG107" s="595">
        <f t="shared" si="309"/>
        <v>0</v>
      </c>
      <c r="EH107" s="595">
        <f t="shared" si="310"/>
        <v>0</v>
      </c>
      <c r="EI107" s="193" t="str">
        <f t="shared" si="311"/>
        <v/>
      </c>
      <c r="EJ107" s="595" t="str">
        <f t="shared" si="312"/>
        <v/>
      </c>
      <c r="EK107" s="595" t="str">
        <f t="shared" si="313"/>
        <v/>
      </c>
      <c r="EL107" s="194" t="str">
        <f t="shared" si="314"/>
        <v/>
      </c>
      <c r="EM107" s="194" t="str">
        <f t="shared" si="315"/>
        <v/>
      </c>
      <c r="EN107" s="194" t="str">
        <f t="shared" si="316"/>
        <v/>
      </c>
      <c r="EO107" s="194" t="str">
        <f t="shared" si="317"/>
        <v/>
      </c>
      <c r="EP107" s="194" t="str">
        <f t="shared" si="318"/>
        <v/>
      </c>
      <c r="EQ107" s="194" t="str">
        <f t="shared" si="319"/>
        <v/>
      </c>
      <c r="ER107" s="195">
        <f t="shared" si="320"/>
        <v>0</v>
      </c>
      <c r="ES107" s="195">
        <f t="shared" si="321"/>
        <v>0</v>
      </c>
      <c r="ET107" s="195">
        <f t="shared" si="322"/>
        <v>0</v>
      </c>
      <c r="EU107" s="195">
        <f t="shared" si="323"/>
        <v>0</v>
      </c>
      <c r="EV107" s="195">
        <f t="shared" si="324"/>
        <v>0</v>
      </c>
      <c r="EW107" s="195" t="str">
        <f t="shared" si="325"/>
        <v/>
      </c>
      <c r="EX107" s="196" t="str">
        <f t="shared" si="326"/>
        <v/>
      </c>
      <c r="EY107" s="197" t="str">
        <f>IF('Marks Entry'!BE107="","",'Marks Entry'!BE107)</f>
        <v/>
      </c>
      <c r="EZ107" s="197" t="str">
        <f>IF('Marks Entry'!BF107="","",'Marks Entry'!BF107)</f>
        <v/>
      </c>
      <c r="FA107" s="197" t="str">
        <f>IF('Marks Entry'!BG107="","",'Marks Entry'!BG107)</f>
        <v/>
      </c>
      <c r="FB107" s="596" t="str">
        <f t="shared" si="327"/>
        <v/>
      </c>
      <c r="FC107" s="197" t="str">
        <f>IF('Marks Entry'!BH107="","",'Marks Entry'!BH107)</f>
        <v/>
      </c>
      <c r="FD107" s="197" t="str">
        <f>IF('Marks Entry'!BI107="","",'Marks Entry'!BI107)</f>
        <v/>
      </c>
      <c r="FE107" s="198" t="str">
        <f t="shared" si="328"/>
        <v/>
      </c>
      <c r="FF107" s="199" t="str">
        <f t="shared" si="329"/>
        <v/>
      </c>
      <c r="FG107" s="200" t="str">
        <f>IF(AND(E107=""),"",IF('Student DATA Entry'!L103="","",'Student DATA Entry'!L103))</f>
        <v/>
      </c>
      <c r="FH107" s="201" t="str">
        <f>IF(AND(E107=""),"",IF('Student DATA Entry'!M103="","",'Student DATA Entry'!M103))</f>
        <v/>
      </c>
      <c r="FI107" s="202" t="str">
        <f t="shared" si="330"/>
        <v/>
      </c>
      <c r="FJ107" s="189" t="str">
        <f t="shared" si="331"/>
        <v/>
      </c>
      <c r="FK107" s="189" t="str">
        <f t="shared" si="332"/>
        <v/>
      </c>
      <c r="FL107" s="203" t="str">
        <f t="shared" si="360"/>
        <v/>
      </c>
      <c r="FM107" s="189" t="str">
        <f t="shared" si="333"/>
        <v/>
      </c>
      <c r="FN107" s="204" t="str">
        <f t="shared" si="334"/>
        <v/>
      </c>
      <c r="FO107" s="203" t="str">
        <f t="shared" si="361"/>
        <v/>
      </c>
      <c r="FP107" s="205" t="str">
        <f t="shared" si="335"/>
        <v/>
      </c>
      <c r="FQ107" s="189" t="str">
        <f t="shared" si="362"/>
        <v/>
      </c>
      <c r="FR107" s="189" t="str">
        <f t="shared" si="363"/>
        <v/>
      </c>
      <c r="FS107" s="189" t="str">
        <f t="shared" si="364"/>
        <v/>
      </c>
      <c r="FT107" s="189" t="str">
        <f t="shared" si="365"/>
        <v/>
      </c>
      <c r="FU107" s="189" t="str">
        <f t="shared" si="336"/>
        <v/>
      </c>
      <c r="FV107" s="206" t="str">
        <f t="shared" si="366"/>
        <v/>
      </c>
      <c r="FW107" s="205" t="str">
        <f t="shared" si="337"/>
        <v/>
      </c>
      <c r="FX107" s="189" t="str">
        <f t="shared" si="367"/>
        <v/>
      </c>
      <c r="FY107" s="189" t="str">
        <f t="shared" si="368"/>
        <v/>
      </c>
      <c r="FZ107" s="189" t="str">
        <f t="shared" si="369"/>
        <v/>
      </c>
      <c r="GA107" s="189" t="str">
        <f t="shared" si="370"/>
        <v/>
      </c>
      <c r="GB107" s="189" t="str">
        <f t="shared" si="338"/>
        <v/>
      </c>
      <c r="GC107" s="206" t="str">
        <f t="shared" si="371"/>
        <v/>
      </c>
      <c r="GD107" s="205" t="str">
        <f t="shared" si="339"/>
        <v/>
      </c>
      <c r="GE107" s="189" t="str">
        <f t="shared" si="372"/>
        <v/>
      </c>
      <c r="GF107" s="189" t="str">
        <f t="shared" si="373"/>
        <v/>
      </c>
      <c r="GG107" s="189" t="str">
        <f t="shared" si="374"/>
        <v/>
      </c>
      <c r="GH107" s="189" t="str">
        <f t="shared" si="375"/>
        <v/>
      </c>
      <c r="GI107" s="189" t="str">
        <f t="shared" si="340"/>
        <v/>
      </c>
      <c r="GJ107" s="206" t="str">
        <f t="shared" si="376"/>
        <v/>
      </c>
      <c r="GK107" s="205" t="str">
        <f t="shared" si="341"/>
        <v/>
      </c>
      <c r="GL107" s="189" t="str">
        <f t="shared" si="377"/>
        <v/>
      </c>
      <c r="GM107" s="189" t="str">
        <f t="shared" si="378"/>
        <v/>
      </c>
      <c r="GN107" s="189" t="str">
        <f t="shared" si="379"/>
        <v/>
      </c>
      <c r="GO107" s="189" t="str">
        <f t="shared" si="380"/>
        <v/>
      </c>
      <c r="GP107" s="189" t="str">
        <f t="shared" si="342"/>
        <v/>
      </c>
      <c r="GQ107" s="206" t="str">
        <f t="shared" si="381"/>
        <v/>
      </c>
      <c r="GR107" s="189" t="str">
        <f t="shared" si="343"/>
        <v/>
      </c>
      <c r="GS107" s="189" t="str">
        <f t="shared" si="344"/>
        <v/>
      </c>
      <c r="GT107" s="207" t="str">
        <f t="shared" si="345"/>
        <v xml:space="preserve">    </v>
      </c>
      <c r="GU107" s="207" t="str">
        <f t="shared" si="346"/>
        <v xml:space="preserve">    </v>
      </c>
      <c r="GV107" s="207" t="str">
        <f t="shared" si="347"/>
        <v xml:space="preserve">    </v>
      </c>
      <c r="GW107" s="207" t="str">
        <f t="shared" si="348"/>
        <v xml:space="preserve">       </v>
      </c>
      <c r="GX107" s="598" t="str">
        <f t="shared" si="349"/>
        <v xml:space="preserve">     </v>
      </c>
      <c r="GY107" s="208" t="str">
        <f t="shared" si="382"/>
        <v/>
      </c>
      <c r="GZ107" s="606" t="str">
        <f>IF(AND(Q107="",AE107="",AZ107="",BW107="",CT107=""),"",IF(AND('Master Sheet'!$D$19="YES",'Marks Entry'!$BA$1=1),SUM(Q107,AE107,AZ107,BW107,DT107),SUM(Q107,AE107,AZ107,BW107,CT107)))</f>
        <v/>
      </c>
      <c r="HA107" s="209" t="str">
        <f>IF(GZ107="","",IF(AND('Master Sheet'!$D$19="YES",'Marks Entry'!$BA$1=1),GZ107/((900)-DC107)*100,GZ107/((1000)-DC107)*100))</f>
        <v/>
      </c>
      <c r="HB107" s="611" t="str">
        <f t="shared" si="350"/>
        <v/>
      </c>
      <c r="HC107" s="609" t="str">
        <f t="shared" si="351"/>
        <v/>
      </c>
      <c r="HD107" s="610" t="str">
        <f t="shared" si="352"/>
        <v/>
      </c>
      <c r="HE107" s="210" t="str">
        <f>IFERROR(IF(OR(GY107="SUPPLEMENTARY",GY107="RE-EXAM"),'Supp. Result Entry'!AS106,""),"")</f>
        <v/>
      </c>
      <c r="HF107" s="613" t="str">
        <f t="shared" si="353"/>
        <v/>
      </c>
      <c r="HG107" s="598" t="str">
        <f t="shared" si="354"/>
        <v/>
      </c>
      <c r="HH107" s="598" t="str">
        <f>IF(AND(HE107="",HF107="",HG107=""),"",IF(OR(GY107="SUPPLEMENTARY",GY107="RE-EXAM"),'Supp. Result Entry'!AS106,GY107))</f>
        <v/>
      </c>
      <c r="HI107" s="180"/>
      <c r="HY107" s="212" t="str">
        <f>IF('Supp. Result Entry'!U106="","",'Supp. Result Entry'!$U$6)</f>
        <v/>
      </c>
      <c r="HZ107" s="213" t="str">
        <f>IF('Supp. Result Entry'!X106="","",'Supp. Result Entry'!$X$6)</f>
        <v/>
      </c>
      <c r="IA107" s="213" t="str">
        <f>IF('Supp. Result Entry'!AA106="","",'Supp. Result Entry'!$AA$6)</f>
        <v/>
      </c>
      <c r="IB107" s="213" t="str">
        <f>IF('Supp. Result Entry'!AD106="","",'Supp. Result Entry'!$AD$6)</f>
        <v/>
      </c>
      <c r="IC107" s="213" t="str">
        <f>IF('Supp. Result Entry'!AG106="","",'Supp. Result Entry'!$AG$6)</f>
        <v/>
      </c>
      <c r="ID107" s="213" t="str">
        <f>IF('Supp. Result Entry'!AJ106="","",'Supp. Result Entry'!$AJ$6)</f>
        <v/>
      </c>
      <c r="IE107" s="213" t="str">
        <f>IF('Supp. Result Entry'!V106="","",'Supp. Result Entry'!V106)</f>
        <v/>
      </c>
      <c r="IF107" s="213" t="str">
        <f>IF('Supp. Result Entry'!Y106="","",'Supp. Result Entry'!Y106)</f>
        <v/>
      </c>
      <c r="IG107" s="213" t="str">
        <f>IF('Supp. Result Entry'!AB106="","",'Supp. Result Entry'!AB106)</f>
        <v/>
      </c>
      <c r="IH107" s="213" t="str">
        <f>IF('Supp. Result Entry'!AE106="","",'Supp. Result Entry'!AE106)</f>
        <v/>
      </c>
      <c r="II107" s="213" t="str">
        <f>IF('Supp. Result Entry'!AH106="","",'Supp. Result Entry'!AH106)</f>
        <v/>
      </c>
      <c r="IJ107" s="213" t="str">
        <f>IF('Supp. Result Entry'!AK106="","",'Supp. Result Entry'!AK106)</f>
        <v/>
      </c>
      <c r="IK107" s="213" t="str">
        <f>IF('Supp. Result Entry'!W106="","",'Supp. Result Entry'!W106)</f>
        <v/>
      </c>
      <c r="IL107" s="213" t="str">
        <f>IF('Supp. Result Entry'!Z106="","",'Supp. Result Entry'!Z106)</f>
        <v/>
      </c>
      <c r="IM107" s="213" t="str">
        <f>IF('Supp. Result Entry'!AC106="","",'Supp. Result Entry'!AC106)</f>
        <v/>
      </c>
      <c r="IN107" s="213" t="str">
        <f>IF('Supp. Result Entry'!AF106="","",'Supp. Result Entry'!AF106)</f>
        <v/>
      </c>
      <c r="IO107" s="213" t="str">
        <f>IF('Supp. Result Entry'!AI106="","",'Supp. Result Entry'!AI106)</f>
        <v/>
      </c>
      <c r="IP107" s="213" t="str">
        <f>IF('Supp. Result Entry'!AL106="","",'Supp. Result Entry'!AL106)</f>
        <v/>
      </c>
      <c r="IQ107" s="213">
        <f>COUNTIF('Supp. Result Entry'!K106:Q106,"S")</f>
        <v>0</v>
      </c>
      <c r="IR107" s="213">
        <f t="shared" si="355"/>
        <v>0</v>
      </c>
      <c r="IS107" s="213">
        <f t="shared" si="356"/>
        <v>0</v>
      </c>
      <c r="IT107" s="213" t="str">
        <f t="shared" si="224"/>
        <v/>
      </c>
      <c r="IU107" s="213" t="str">
        <f t="shared" si="225"/>
        <v/>
      </c>
      <c r="IV107" s="213" t="str">
        <f t="shared" si="226"/>
        <v/>
      </c>
      <c r="IW107" s="213" t="str">
        <f t="shared" si="227"/>
        <v/>
      </c>
      <c r="IX107" s="213" t="str">
        <f t="shared" si="228"/>
        <v/>
      </c>
      <c r="IY107" s="213" t="str">
        <f t="shared" si="357"/>
        <v/>
      </c>
      <c r="IZ107" s="213" t="str">
        <f t="shared" si="358"/>
        <v/>
      </c>
      <c r="JA107" s="213" t="str">
        <f t="shared" si="229"/>
        <v/>
      </c>
      <c r="JB107" s="211" t="str">
        <f t="shared" si="359"/>
        <v/>
      </c>
    </row>
    <row r="108" spans="1:262" s="211" customFormat="1" ht="21" customHeight="1">
      <c r="A108" s="184">
        <v>101</v>
      </c>
      <c r="B108" s="185" t="str">
        <f>IF('Marks Entry'!B108="","",'Marks Entry'!B108)</f>
        <v/>
      </c>
      <c r="C108" s="186" t="str">
        <f>IF('Marks Entry'!D108="","",'Marks Entry'!D108)</f>
        <v/>
      </c>
      <c r="D108" s="187" t="str">
        <f>IF('Marks Entry'!E108="","",'Marks Entry'!E108)</f>
        <v/>
      </c>
      <c r="E108" s="188" t="str">
        <f>IF('Marks Entry'!F108="","",'Marks Entry'!F108)</f>
        <v/>
      </c>
      <c r="F108" s="188" t="str">
        <f>IF('Marks Entry'!G108="","",'Marks Entry'!G108)</f>
        <v/>
      </c>
      <c r="G108" s="188" t="str">
        <f>IF('Marks Entry'!H108="","",'Marks Entry'!H108)</f>
        <v/>
      </c>
      <c r="H108" s="189" t="str">
        <f>IF('Marks Entry'!I108="","",'Marks Entry'!I108)</f>
        <v/>
      </c>
      <c r="I108" s="190" t="str">
        <f>IF('Marks Entry'!J108="","",'Marks Entry'!J108)</f>
        <v/>
      </c>
      <c r="J108" s="545" t="str">
        <f>IF('Marks Entry'!K108="","",'Marks Entry'!K108)</f>
        <v/>
      </c>
      <c r="K108" s="545" t="str">
        <f>IF('Marks Entry'!L108="","",'Marks Entry'!L108)</f>
        <v/>
      </c>
      <c r="L108" s="545" t="str">
        <f>IF('Marks Entry'!M108="","",'Marks Entry'!M108)</f>
        <v/>
      </c>
      <c r="M108" s="546" t="str">
        <f t="shared" si="230"/>
        <v/>
      </c>
      <c r="N108" s="545" t="str">
        <f>IF('Marks Entry'!N108="","",'Marks Entry'!N108)</f>
        <v/>
      </c>
      <c r="O108" s="546" t="str">
        <f t="shared" si="231"/>
        <v/>
      </c>
      <c r="P108" s="545" t="str">
        <f>IF('Marks Entry'!O108="","",'Marks Entry'!O108)</f>
        <v/>
      </c>
      <c r="Q108" s="547" t="str">
        <f t="shared" si="232"/>
        <v/>
      </c>
      <c r="R108" s="153">
        <f t="shared" si="233"/>
        <v>0</v>
      </c>
      <c r="S108" s="153">
        <f t="shared" si="234"/>
        <v>0</v>
      </c>
      <c r="T108" s="154" t="str">
        <f t="shared" si="235"/>
        <v/>
      </c>
      <c r="U108" s="153" t="str">
        <f t="shared" si="236"/>
        <v/>
      </c>
      <c r="V108" s="153" t="str">
        <f t="shared" si="237"/>
        <v/>
      </c>
      <c r="W108" s="153" t="str">
        <f t="shared" si="238"/>
        <v/>
      </c>
      <c r="X108" s="545" t="str">
        <f>IF('Marks Entry'!P108="","",'Marks Entry'!P108)</f>
        <v/>
      </c>
      <c r="Y108" s="545" t="str">
        <f>IF('Marks Entry'!Q108="","",'Marks Entry'!Q108)</f>
        <v/>
      </c>
      <c r="Z108" s="545" t="str">
        <f>IF('Marks Entry'!R108="","",'Marks Entry'!R108)</f>
        <v/>
      </c>
      <c r="AA108" s="546" t="str">
        <f t="shared" si="239"/>
        <v/>
      </c>
      <c r="AB108" s="545" t="str">
        <f>IF('Marks Entry'!S108="","",'Marks Entry'!S108)</f>
        <v/>
      </c>
      <c r="AC108" s="546" t="str">
        <f t="shared" si="240"/>
        <v/>
      </c>
      <c r="AD108" s="545" t="str">
        <f>IF('Marks Entry'!T108="","",'Marks Entry'!T108)</f>
        <v/>
      </c>
      <c r="AE108" s="547" t="str">
        <f t="shared" si="241"/>
        <v/>
      </c>
      <c r="AF108" s="153">
        <f t="shared" si="242"/>
        <v>0</v>
      </c>
      <c r="AG108" s="153">
        <f t="shared" si="243"/>
        <v>0</v>
      </c>
      <c r="AH108" s="154" t="str">
        <f t="shared" si="244"/>
        <v/>
      </c>
      <c r="AI108" s="153" t="str">
        <f t="shared" si="245"/>
        <v/>
      </c>
      <c r="AJ108" s="153" t="str">
        <f t="shared" si="246"/>
        <v/>
      </c>
      <c r="AK108" s="153" t="str">
        <f t="shared" si="247"/>
        <v/>
      </c>
      <c r="AL108" s="573" t="str">
        <f>IF('Marks Entry'!U108="","",'Marks Entry'!U108)</f>
        <v/>
      </c>
      <c r="AM108" s="573" t="str">
        <f>IF('Marks Entry'!V108="","",'Marks Entry'!V108)</f>
        <v/>
      </c>
      <c r="AN108" s="573" t="str">
        <f>IF('Marks Entry'!W108="","",'Marks Entry'!W108)</f>
        <v/>
      </c>
      <c r="AO108" s="573" t="str">
        <f>IF('Marks Entry'!X108="","",'Marks Entry'!X108)</f>
        <v/>
      </c>
      <c r="AP108" s="572" t="str">
        <f t="shared" si="248"/>
        <v/>
      </c>
      <c r="AQ108" s="573" t="str">
        <f>IF('Marks Entry'!Y108="","",'Marks Entry'!Y108)</f>
        <v/>
      </c>
      <c r="AR108" s="573" t="str">
        <f>IF('Marks Entry'!Z108="","",'Marks Entry'!Z108)</f>
        <v/>
      </c>
      <c r="AS108" s="572" t="str">
        <f t="shared" si="249"/>
        <v/>
      </c>
      <c r="AT108" s="572" t="str">
        <f t="shared" si="250"/>
        <v/>
      </c>
      <c r="AU108" s="573" t="str">
        <f>IF('Marks Entry'!AA108="","",'Marks Entry'!AA108)</f>
        <v/>
      </c>
      <c r="AV108" s="573" t="str">
        <f>IF('Marks Entry'!AB108="","",'Marks Entry'!AB108)</f>
        <v/>
      </c>
      <c r="AW108" s="572" t="str">
        <f t="shared" si="251"/>
        <v/>
      </c>
      <c r="AX108" s="157" t="str">
        <f t="shared" si="252"/>
        <v/>
      </c>
      <c r="AY108" s="157" t="str">
        <f t="shared" si="253"/>
        <v/>
      </c>
      <c r="AZ108" s="192" t="str">
        <f t="shared" si="254"/>
        <v/>
      </c>
      <c r="BA108" s="153">
        <f t="shared" si="255"/>
        <v>0</v>
      </c>
      <c r="BB108" s="154">
        <f t="shared" si="256"/>
        <v>0</v>
      </c>
      <c r="BC108" s="154" t="str">
        <f t="shared" si="257"/>
        <v/>
      </c>
      <c r="BD108" s="154" t="str">
        <f t="shared" si="258"/>
        <v/>
      </c>
      <c r="BE108" s="154" t="str">
        <f t="shared" si="259"/>
        <v/>
      </c>
      <c r="BF108" s="153" t="str">
        <f t="shared" si="260"/>
        <v/>
      </c>
      <c r="BG108" s="154" t="str">
        <f t="shared" si="261"/>
        <v/>
      </c>
      <c r="BH108" s="153" t="str">
        <f t="shared" si="262"/>
        <v/>
      </c>
      <c r="BI108" s="580" t="str">
        <f>IF('Marks Entry'!AC108="","",'Marks Entry'!AC108)</f>
        <v/>
      </c>
      <c r="BJ108" s="580" t="str">
        <f>IF('Marks Entry'!AD108="","",'Marks Entry'!AD108)</f>
        <v/>
      </c>
      <c r="BK108" s="580" t="str">
        <f>IF('Marks Entry'!AE108="","",'Marks Entry'!AE108)</f>
        <v/>
      </c>
      <c r="BL108" s="580" t="str">
        <f>IF('Marks Entry'!AF108="","",'Marks Entry'!AF108)</f>
        <v/>
      </c>
      <c r="BM108" s="581" t="str">
        <f t="shared" si="263"/>
        <v/>
      </c>
      <c r="BN108" s="580" t="str">
        <f>IF('Marks Entry'!AG108="","",'Marks Entry'!AG108)</f>
        <v/>
      </c>
      <c r="BO108" s="580" t="str">
        <f>IF('Marks Entry'!AH108="","",'Marks Entry'!AH108)</f>
        <v/>
      </c>
      <c r="BP108" s="581" t="str">
        <f t="shared" si="264"/>
        <v/>
      </c>
      <c r="BQ108" s="581" t="str">
        <f t="shared" si="265"/>
        <v/>
      </c>
      <c r="BR108" s="580" t="str">
        <f>IF('Marks Entry'!AI108="","",'Marks Entry'!AI108)</f>
        <v/>
      </c>
      <c r="BS108" s="580" t="str">
        <f>IF('Marks Entry'!AJ108="","",'Marks Entry'!AJ108)</f>
        <v/>
      </c>
      <c r="BT108" s="581" t="str">
        <f t="shared" si="266"/>
        <v/>
      </c>
      <c r="BU108" s="157" t="str">
        <f t="shared" si="267"/>
        <v/>
      </c>
      <c r="BV108" s="157" t="str">
        <f t="shared" si="268"/>
        <v/>
      </c>
      <c r="BW108" s="192" t="str">
        <f t="shared" si="269"/>
        <v/>
      </c>
      <c r="BX108" s="153">
        <f t="shared" si="270"/>
        <v>0</v>
      </c>
      <c r="BY108" s="154">
        <f t="shared" si="271"/>
        <v>0</v>
      </c>
      <c r="BZ108" s="154" t="str">
        <f t="shared" si="272"/>
        <v/>
      </c>
      <c r="CA108" s="154" t="str">
        <f t="shared" si="273"/>
        <v/>
      </c>
      <c r="CB108" s="154" t="str">
        <f t="shared" si="274"/>
        <v/>
      </c>
      <c r="CC108" s="153" t="str">
        <f t="shared" si="275"/>
        <v/>
      </c>
      <c r="CD108" s="154" t="str">
        <f t="shared" si="276"/>
        <v/>
      </c>
      <c r="CE108" s="153" t="str">
        <f t="shared" si="277"/>
        <v/>
      </c>
      <c r="CF108" s="580" t="str">
        <f>IF('Marks Entry'!AK108="","",'Marks Entry'!AK108)</f>
        <v/>
      </c>
      <c r="CG108" s="580" t="str">
        <f>IF('Marks Entry'!AL108="","",'Marks Entry'!AL108)</f>
        <v/>
      </c>
      <c r="CH108" s="580" t="str">
        <f>IF('Marks Entry'!AM108="","",'Marks Entry'!AM108)</f>
        <v/>
      </c>
      <c r="CI108" s="580" t="str">
        <f>IF('Marks Entry'!AN108="","",'Marks Entry'!AN108)</f>
        <v/>
      </c>
      <c r="CJ108" s="581" t="str">
        <f t="shared" si="278"/>
        <v/>
      </c>
      <c r="CK108" s="580" t="str">
        <f>IF('Marks Entry'!AO108="","",'Marks Entry'!AO108)</f>
        <v/>
      </c>
      <c r="CL108" s="580" t="str">
        <f>IF('Marks Entry'!AP108="","",'Marks Entry'!AP108)</f>
        <v/>
      </c>
      <c r="CM108" s="581" t="str">
        <f t="shared" si="279"/>
        <v/>
      </c>
      <c r="CN108" s="581" t="str">
        <f t="shared" si="280"/>
        <v/>
      </c>
      <c r="CO108" s="580" t="str">
        <f>IF('Marks Entry'!AQ108="","",'Marks Entry'!AQ108)</f>
        <v/>
      </c>
      <c r="CP108" s="580" t="str">
        <f>IF('Marks Entry'!AR108="","",'Marks Entry'!AR108)</f>
        <v/>
      </c>
      <c r="CQ108" s="581" t="str">
        <f t="shared" si="281"/>
        <v/>
      </c>
      <c r="CR108" s="157" t="str">
        <f t="shared" si="282"/>
        <v/>
      </c>
      <c r="CS108" s="157" t="str">
        <f t="shared" si="283"/>
        <v/>
      </c>
      <c r="CT108" s="192" t="str">
        <f t="shared" si="284"/>
        <v/>
      </c>
      <c r="CU108" s="153">
        <f t="shared" si="285"/>
        <v>0</v>
      </c>
      <c r="CV108" s="154">
        <f t="shared" si="286"/>
        <v>0</v>
      </c>
      <c r="CW108" s="154" t="str">
        <f t="shared" si="287"/>
        <v/>
      </c>
      <c r="CX108" s="154" t="str">
        <f t="shared" si="288"/>
        <v/>
      </c>
      <c r="CY108" s="154" t="str">
        <f t="shared" si="289"/>
        <v/>
      </c>
      <c r="CZ108" s="153" t="str">
        <f t="shared" si="290"/>
        <v/>
      </c>
      <c r="DA108" s="154" t="str">
        <f t="shared" si="291"/>
        <v/>
      </c>
      <c r="DB108" s="153" t="str">
        <f t="shared" si="292"/>
        <v/>
      </c>
      <c r="DC108" s="154">
        <f t="shared" si="293"/>
        <v>0</v>
      </c>
      <c r="DD108" s="826" t="str">
        <f>IF('Marks Entry'!AS108="","",IF(OR('Master Sheet'!$D$19="YES",'Marks Entry'!$BA$1=1),'Marks Entry'!AS108,""))</f>
        <v/>
      </c>
      <c r="DE108" s="826" t="str">
        <f>IF('Marks Entry'!AT108="","",IF(OR('Master Sheet'!$D$19="YES",'Marks Entry'!$BA$1=1),'Marks Entry'!AT108,""))</f>
        <v/>
      </c>
      <c r="DF108" s="826" t="str">
        <f>IF('Marks Entry'!AU108="","",IF(OR('Master Sheet'!$D$19="YES",'Marks Entry'!$BA$1=1),'Marks Entry'!AU108,""))</f>
        <v/>
      </c>
      <c r="DG108" s="826" t="str">
        <f>IF('Marks Entry'!AV108="","",IF(OR('Master Sheet'!$D$19="YES",'Marks Entry'!$BA$1=1),'Marks Entry'!AV108,""))</f>
        <v/>
      </c>
      <c r="DH108" s="827" t="str">
        <f t="shared" si="294"/>
        <v/>
      </c>
      <c r="DI108" s="826" t="str">
        <f>IF('Marks Entry'!AW108="","",IF(OR('Master Sheet'!$D$19="YES",'Marks Entry'!$BA$1=1),'Marks Entry'!AW108,""))</f>
        <v/>
      </c>
      <c r="DJ108" s="826" t="str">
        <f>IF('Marks Entry'!AX108="","",IF(OR('Master Sheet'!$D$19="YES",'Marks Entry'!$BA$1=1),'Marks Entry'!AX108,""))</f>
        <v/>
      </c>
      <c r="DK108" s="827" t="str">
        <f t="shared" si="295"/>
        <v/>
      </c>
      <c r="DL108" s="827" t="str">
        <f t="shared" si="296"/>
        <v/>
      </c>
      <c r="DM108" s="826" t="str">
        <f>IF('Marks Entry'!AY108="","",IF(OR('Master Sheet'!$D$19="YES",'Marks Entry'!$BA$1=1),'Marks Entry'!AY108,""))</f>
        <v/>
      </c>
      <c r="DN108" s="826" t="str">
        <f>IF('Marks Entry'!AZ108="","",IF(OR('Master Sheet'!$D$19="YES",'Marks Entry'!$BA$1=1),'Marks Entry'!AZ108,""))</f>
        <v/>
      </c>
      <c r="DO108" s="826" t="str">
        <f>IF('Marks Entry'!BA108="","",IF(OR('Master Sheet'!$D$19="YES",'Marks Entry'!$BA$1=1),'Marks Entry'!BA108,""))</f>
        <v/>
      </c>
      <c r="DP108" s="827" t="str">
        <f t="shared" si="297"/>
        <v/>
      </c>
      <c r="DQ108" s="157" t="str">
        <f t="shared" si="298"/>
        <v/>
      </c>
      <c r="DR108" s="157" t="str">
        <f t="shared" si="299"/>
        <v/>
      </c>
      <c r="DS108" s="157" t="str">
        <f t="shared" si="300"/>
        <v/>
      </c>
      <c r="DT108" s="192" t="str">
        <f t="shared" si="301"/>
        <v/>
      </c>
      <c r="DU108" s="153">
        <f t="shared" si="302"/>
        <v>0</v>
      </c>
      <c r="DV108" s="154" t="e">
        <f t="shared" si="303"/>
        <v>#VALUE!</v>
      </c>
      <c r="DW108" s="154" t="str">
        <f t="shared" si="304"/>
        <v/>
      </c>
      <c r="DX108" s="154" t="str">
        <f>IF(OR($B108="NSO",$B108=0,DS108=""),"",IF(AND(DJ108="",DO108=""),"",IF('Master Sheet'!$D$19="YES",$DO$6-COUNTIF(DO108,"ML")*DO$6,DS$6-(COUNTIF(DJ108,"ML")*DJ$6)-(COUNTIF(DO108,"ML")*DO$6))))</f>
        <v/>
      </c>
      <c r="DY108" s="154" t="str">
        <f>IF(OR($B108="NSO",$B108=0),"",IF(AND(DH108="",DI108="",DM108=""),"",IF(AND('Master Sheet'!$D$19="YES",'Marks Entry'!$BA$1=1),100,IF(AND(DJ108="",DO108=""),SUM(($DQ$7+$DR$7)-(DU108+DV108)),SUM(($DQ$6+$DR$6)-(DU108+DV108))))))</f>
        <v/>
      </c>
      <c r="DZ108" s="153" t="str">
        <f t="shared" si="305"/>
        <v/>
      </c>
      <c r="EA108" s="154" t="str">
        <f t="shared" si="306"/>
        <v/>
      </c>
      <c r="EB108" s="153" t="str">
        <f t="shared" si="307"/>
        <v/>
      </c>
      <c r="EC108" s="584" t="str">
        <f>IF('Marks Entry'!BB108="","",'Marks Entry'!BB108)</f>
        <v/>
      </c>
      <c r="ED108" s="584" t="str">
        <f>IF('Marks Entry'!BC108="","",'Marks Entry'!BC108)</f>
        <v/>
      </c>
      <c r="EE108" s="584" t="str">
        <f>IF('Marks Entry'!BD108="","",'Marks Entry'!BD108)</f>
        <v/>
      </c>
      <c r="EF108" s="590" t="str">
        <f t="shared" si="308"/>
        <v/>
      </c>
      <c r="EG108" s="595">
        <f t="shared" si="309"/>
        <v>0</v>
      </c>
      <c r="EH108" s="595">
        <f t="shared" si="310"/>
        <v>0</v>
      </c>
      <c r="EI108" s="193" t="str">
        <f t="shared" si="311"/>
        <v/>
      </c>
      <c r="EJ108" s="595" t="str">
        <f t="shared" si="312"/>
        <v/>
      </c>
      <c r="EK108" s="595" t="str">
        <f t="shared" si="313"/>
        <v/>
      </c>
      <c r="EL108" s="194" t="str">
        <f t="shared" si="314"/>
        <v/>
      </c>
      <c r="EM108" s="194" t="str">
        <f t="shared" si="315"/>
        <v/>
      </c>
      <c r="EN108" s="194" t="str">
        <f t="shared" si="316"/>
        <v/>
      </c>
      <c r="EO108" s="194" t="str">
        <f t="shared" si="317"/>
        <v/>
      </c>
      <c r="EP108" s="194" t="str">
        <f t="shared" si="318"/>
        <v/>
      </c>
      <c r="EQ108" s="194" t="str">
        <f t="shared" si="319"/>
        <v/>
      </c>
      <c r="ER108" s="195">
        <f t="shared" si="320"/>
        <v>0</v>
      </c>
      <c r="ES108" s="195">
        <f t="shared" si="321"/>
        <v>0</v>
      </c>
      <c r="ET108" s="195">
        <f t="shared" si="322"/>
        <v>0</v>
      </c>
      <c r="EU108" s="195">
        <f t="shared" si="323"/>
        <v>0</v>
      </c>
      <c r="EV108" s="195">
        <f t="shared" si="324"/>
        <v>0</v>
      </c>
      <c r="EW108" s="195" t="str">
        <f t="shared" si="325"/>
        <v/>
      </c>
      <c r="EX108" s="196" t="str">
        <f t="shared" si="326"/>
        <v/>
      </c>
      <c r="EY108" s="197" t="str">
        <f>IF('Marks Entry'!BE108="","",'Marks Entry'!BE108)</f>
        <v/>
      </c>
      <c r="EZ108" s="197" t="str">
        <f>IF('Marks Entry'!BF108="","",'Marks Entry'!BF108)</f>
        <v/>
      </c>
      <c r="FA108" s="197" t="str">
        <f>IF('Marks Entry'!BG108="","",'Marks Entry'!BG108)</f>
        <v/>
      </c>
      <c r="FB108" s="596" t="str">
        <f t="shared" si="327"/>
        <v/>
      </c>
      <c r="FC108" s="197" t="str">
        <f>IF('Marks Entry'!BH108="","",'Marks Entry'!BH108)</f>
        <v/>
      </c>
      <c r="FD108" s="197" t="str">
        <f>IF('Marks Entry'!BI108="","",'Marks Entry'!BI108)</f>
        <v/>
      </c>
      <c r="FE108" s="198" t="str">
        <f t="shared" si="328"/>
        <v/>
      </c>
      <c r="FF108" s="199" t="str">
        <f t="shared" si="329"/>
        <v/>
      </c>
      <c r="FG108" s="200" t="str">
        <f>IF(AND(E108=""),"",IF('Student DATA Entry'!L104="","",'Student DATA Entry'!L104))</f>
        <v/>
      </c>
      <c r="FH108" s="201" t="str">
        <f>IF(AND(E108=""),"",IF('Student DATA Entry'!M104="","",'Student DATA Entry'!M104))</f>
        <v/>
      </c>
      <c r="FI108" s="202" t="str">
        <f t="shared" si="330"/>
        <v/>
      </c>
      <c r="FJ108" s="189" t="str">
        <f t="shared" si="331"/>
        <v/>
      </c>
      <c r="FK108" s="189" t="str">
        <f t="shared" si="332"/>
        <v/>
      </c>
      <c r="FL108" s="203" t="str">
        <f t="shared" si="360"/>
        <v/>
      </c>
      <c r="FM108" s="189" t="str">
        <f t="shared" si="333"/>
        <v/>
      </c>
      <c r="FN108" s="204" t="str">
        <f t="shared" si="334"/>
        <v/>
      </c>
      <c r="FO108" s="203" t="str">
        <f t="shared" si="361"/>
        <v/>
      </c>
      <c r="FP108" s="205" t="str">
        <f t="shared" si="335"/>
        <v/>
      </c>
      <c r="FQ108" s="189" t="str">
        <f t="shared" si="362"/>
        <v/>
      </c>
      <c r="FR108" s="189" t="str">
        <f t="shared" si="363"/>
        <v/>
      </c>
      <c r="FS108" s="189" t="str">
        <f t="shared" si="364"/>
        <v/>
      </c>
      <c r="FT108" s="189" t="str">
        <f t="shared" si="365"/>
        <v/>
      </c>
      <c r="FU108" s="189" t="str">
        <f t="shared" si="336"/>
        <v/>
      </c>
      <c r="FV108" s="206" t="str">
        <f t="shared" si="366"/>
        <v/>
      </c>
      <c r="FW108" s="205" t="str">
        <f t="shared" si="337"/>
        <v/>
      </c>
      <c r="FX108" s="189" t="str">
        <f t="shared" si="367"/>
        <v/>
      </c>
      <c r="FY108" s="189" t="str">
        <f t="shared" si="368"/>
        <v/>
      </c>
      <c r="FZ108" s="189" t="str">
        <f t="shared" si="369"/>
        <v/>
      </c>
      <c r="GA108" s="189" t="str">
        <f t="shared" si="370"/>
        <v/>
      </c>
      <c r="GB108" s="189" t="str">
        <f t="shared" si="338"/>
        <v/>
      </c>
      <c r="GC108" s="206" t="str">
        <f t="shared" si="371"/>
        <v/>
      </c>
      <c r="GD108" s="205" t="str">
        <f t="shared" si="339"/>
        <v/>
      </c>
      <c r="GE108" s="189" t="str">
        <f t="shared" si="372"/>
        <v/>
      </c>
      <c r="GF108" s="189" t="str">
        <f t="shared" si="373"/>
        <v/>
      </c>
      <c r="GG108" s="189" t="str">
        <f t="shared" si="374"/>
        <v/>
      </c>
      <c r="GH108" s="189" t="str">
        <f t="shared" si="375"/>
        <v/>
      </c>
      <c r="GI108" s="189" t="str">
        <f t="shared" si="340"/>
        <v/>
      </c>
      <c r="GJ108" s="206" t="str">
        <f t="shared" si="376"/>
        <v/>
      </c>
      <c r="GK108" s="205" t="str">
        <f t="shared" si="341"/>
        <v/>
      </c>
      <c r="GL108" s="189" t="str">
        <f t="shared" si="377"/>
        <v/>
      </c>
      <c r="GM108" s="189" t="str">
        <f t="shared" si="378"/>
        <v/>
      </c>
      <c r="GN108" s="189" t="str">
        <f t="shared" si="379"/>
        <v/>
      </c>
      <c r="GO108" s="189" t="str">
        <f t="shared" si="380"/>
        <v/>
      </c>
      <c r="GP108" s="189" t="str">
        <f t="shared" si="342"/>
        <v/>
      </c>
      <c r="GQ108" s="206" t="str">
        <f t="shared" si="381"/>
        <v/>
      </c>
      <c r="GR108" s="189" t="str">
        <f t="shared" si="343"/>
        <v/>
      </c>
      <c r="GS108" s="189" t="str">
        <f t="shared" si="344"/>
        <v/>
      </c>
      <c r="GT108" s="207" t="str">
        <f t="shared" si="345"/>
        <v xml:space="preserve">    </v>
      </c>
      <c r="GU108" s="207" t="str">
        <f t="shared" si="346"/>
        <v xml:space="preserve">    </v>
      </c>
      <c r="GV108" s="207" t="str">
        <f t="shared" si="347"/>
        <v xml:space="preserve">    </v>
      </c>
      <c r="GW108" s="207" t="str">
        <f t="shared" si="348"/>
        <v xml:space="preserve">       </v>
      </c>
      <c r="GX108" s="598" t="str">
        <f t="shared" si="349"/>
        <v xml:space="preserve">     </v>
      </c>
      <c r="GY108" s="208" t="str">
        <f t="shared" si="382"/>
        <v/>
      </c>
      <c r="GZ108" s="606" t="str">
        <f>IF(AND(Q108="",AE108="",AZ108="",BW108="",CT108=""),"",IF(AND('Master Sheet'!$D$19="YES",'Marks Entry'!$BA$1=1),SUM(Q108,AE108,AZ108,BW108,DT108),SUM(Q108,AE108,AZ108,BW108,CT108)))</f>
        <v/>
      </c>
      <c r="HA108" s="209" t="str">
        <f>IF(GZ108="","",IF(AND('Master Sheet'!$D$19="YES",'Marks Entry'!$BA$1=1),GZ108/((900)-DC108)*100,GZ108/((1000)-DC108)*100))</f>
        <v/>
      </c>
      <c r="HB108" s="611" t="str">
        <f t="shared" si="350"/>
        <v/>
      </c>
      <c r="HC108" s="609" t="str">
        <f t="shared" si="351"/>
        <v/>
      </c>
      <c r="HD108" s="610" t="str">
        <f t="shared" si="352"/>
        <v/>
      </c>
      <c r="HE108" s="210" t="str">
        <f>IFERROR(IF(OR(GY108="SUPPLEMENTARY",GY108="RE-EXAM"),'Supp. Result Entry'!AS107,""),"")</f>
        <v/>
      </c>
      <c r="HF108" s="613" t="str">
        <f t="shared" si="353"/>
        <v/>
      </c>
      <c r="HG108" s="598" t="str">
        <f t="shared" si="354"/>
        <v/>
      </c>
      <c r="HH108" s="598" t="str">
        <f>IF(AND(HE108="",HF108="",HG108=""),"",IF(OR(GY108="SUPPLEMENTARY",GY108="RE-EXAM"),'Supp. Result Entry'!AS107,GY108))</f>
        <v/>
      </c>
      <c r="HI108" s="180"/>
      <c r="HY108" s="212" t="str">
        <f>IF('Supp. Result Entry'!U107="","",'Supp. Result Entry'!$U$6)</f>
        <v/>
      </c>
      <c r="HZ108" s="213" t="str">
        <f>IF('Supp. Result Entry'!X107="","",'Supp. Result Entry'!$X$6)</f>
        <v/>
      </c>
      <c r="IA108" s="213" t="str">
        <f>IF('Supp. Result Entry'!AA107="","",'Supp. Result Entry'!$AA$6)</f>
        <v/>
      </c>
      <c r="IB108" s="213" t="str">
        <f>IF('Supp. Result Entry'!AD107="","",'Supp. Result Entry'!$AD$6)</f>
        <v/>
      </c>
      <c r="IC108" s="213" t="str">
        <f>IF('Supp. Result Entry'!AG107="","",'Supp. Result Entry'!$AG$6)</f>
        <v/>
      </c>
      <c r="ID108" s="213" t="str">
        <f>IF('Supp. Result Entry'!AJ107="","",'Supp. Result Entry'!$AJ$6)</f>
        <v/>
      </c>
      <c r="IE108" s="213" t="str">
        <f>IF('Supp. Result Entry'!V107="","",'Supp. Result Entry'!V107)</f>
        <v/>
      </c>
      <c r="IF108" s="213" t="str">
        <f>IF('Supp. Result Entry'!Y107="","",'Supp. Result Entry'!Y107)</f>
        <v/>
      </c>
      <c r="IG108" s="213" t="str">
        <f>IF('Supp. Result Entry'!AB107="","",'Supp. Result Entry'!AB107)</f>
        <v/>
      </c>
      <c r="IH108" s="213" t="str">
        <f>IF('Supp. Result Entry'!AE107="","",'Supp. Result Entry'!AE107)</f>
        <v/>
      </c>
      <c r="II108" s="213" t="str">
        <f>IF('Supp. Result Entry'!AH107="","",'Supp. Result Entry'!AH107)</f>
        <v/>
      </c>
      <c r="IJ108" s="213" t="str">
        <f>IF('Supp. Result Entry'!AK107="","",'Supp. Result Entry'!AK107)</f>
        <v/>
      </c>
      <c r="IK108" s="213" t="str">
        <f>IF('Supp. Result Entry'!W107="","",'Supp. Result Entry'!W107)</f>
        <v/>
      </c>
      <c r="IL108" s="213" t="str">
        <f>IF('Supp. Result Entry'!Z107="","",'Supp. Result Entry'!Z107)</f>
        <v/>
      </c>
      <c r="IM108" s="213" t="str">
        <f>IF('Supp. Result Entry'!AC107="","",'Supp. Result Entry'!AC107)</f>
        <v/>
      </c>
      <c r="IN108" s="213" t="str">
        <f>IF('Supp. Result Entry'!AF107="","",'Supp. Result Entry'!AF107)</f>
        <v/>
      </c>
      <c r="IO108" s="213" t="str">
        <f>IF('Supp. Result Entry'!AI107="","",'Supp. Result Entry'!AI107)</f>
        <v/>
      </c>
      <c r="IP108" s="213" t="str">
        <f>IF('Supp. Result Entry'!AL107="","",'Supp. Result Entry'!AL107)</f>
        <v/>
      </c>
      <c r="IQ108" s="213">
        <f>COUNTIF('Supp. Result Entry'!K107:Q107,"S")</f>
        <v>0</v>
      </c>
      <c r="IR108" s="213">
        <f t="shared" si="355"/>
        <v>0</v>
      </c>
      <c r="IS108" s="213">
        <f t="shared" si="356"/>
        <v>0</v>
      </c>
      <c r="IT108" s="213" t="str">
        <f t="shared" si="224"/>
        <v/>
      </c>
      <c r="IU108" s="213" t="str">
        <f t="shared" si="225"/>
        <v/>
      </c>
      <c r="IV108" s="213" t="str">
        <f t="shared" si="226"/>
        <v/>
      </c>
      <c r="IW108" s="213" t="str">
        <f t="shared" si="227"/>
        <v/>
      </c>
      <c r="IX108" s="213" t="str">
        <f t="shared" si="228"/>
        <v/>
      </c>
      <c r="IY108" s="213" t="str">
        <f t="shared" si="357"/>
        <v/>
      </c>
      <c r="IZ108" s="213" t="str">
        <f t="shared" si="358"/>
        <v/>
      </c>
      <c r="JA108" s="213" t="str">
        <f t="shared" si="229"/>
        <v/>
      </c>
      <c r="JB108" s="211" t="str">
        <f t="shared" si="359"/>
        <v/>
      </c>
    </row>
    <row r="109" spans="1:262" s="211" customFormat="1" ht="21" customHeight="1">
      <c r="A109" s="184">
        <v>102</v>
      </c>
      <c r="B109" s="185" t="str">
        <f>IF('Marks Entry'!B109="","",'Marks Entry'!B109)</f>
        <v/>
      </c>
      <c r="C109" s="186" t="str">
        <f>IF('Marks Entry'!D109="","",'Marks Entry'!D109)</f>
        <v/>
      </c>
      <c r="D109" s="187" t="str">
        <f>IF('Marks Entry'!E109="","",'Marks Entry'!E109)</f>
        <v/>
      </c>
      <c r="E109" s="188" t="str">
        <f>IF('Marks Entry'!F109="","",'Marks Entry'!F109)</f>
        <v/>
      </c>
      <c r="F109" s="188" t="str">
        <f>IF('Marks Entry'!G109="","",'Marks Entry'!G109)</f>
        <v/>
      </c>
      <c r="G109" s="188" t="str">
        <f>IF('Marks Entry'!H109="","",'Marks Entry'!H109)</f>
        <v/>
      </c>
      <c r="H109" s="189" t="str">
        <f>IF('Marks Entry'!I109="","",'Marks Entry'!I109)</f>
        <v/>
      </c>
      <c r="I109" s="190" t="str">
        <f>IF('Marks Entry'!J109="","",'Marks Entry'!J109)</f>
        <v/>
      </c>
      <c r="J109" s="545" t="str">
        <f>IF('Marks Entry'!K109="","",'Marks Entry'!K109)</f>
        <v/>
      </c>
      <c r="K109" s="545" t="str">
        <f>IF('Marks Entry'!L109="","",'Marks Entry'!L109)</f>
        <v/>
      </c>
      <c r="L109" s="545" t="str">
        <f>IF('Marks Entry'!M109="","",'Marks Entry'!M109)</f>
        <v/>
      </c>
      <c r="M109" s="546" t="str">
        <f t="shared" si="230"/>
        <v/>
      </c>
      <c r="N109" s="545" t="str">
        <f>IF('Marks Entry'!N109="","",'Marks Entry'!N109)</f>
        <v/>
      </c>
      <c r="O109" s="546" t="str">
        <f t="shared" si="231"/>
        <v/>
      </c>
      <c r="P109" s="545" t="str">
        <f>IF('Marks Entry'!O109="","",'Marks Entry'!O109)</f>
        <v/>
      </c>
      <c r="Q109" s="547" t="str">
        <f t="shared" si="232"/>
        <v/>
      </c>
      <c r="R109" s="153">
        <f t="shared" si="233"/>
        <v>0</v>
      </c>
      <c r="S109" s="153">
        <f t="shared" si="234"/>
        <v>0</v>
      </c>
      <c r="T109" s="154" t="str">
        <f t="shared" si="235"/>
        <v/>
      </c>
      <c r="U109" s="153" t="str">
        <f t="shared" si="236"/>
        <v/>
      </c>
      <c r="V109" s="153" t="str">
        <f t="shared" si="237"/>
        <v/>
      </c>
      <c r="W109" s="153" t="str">
        <f t="shared" si="238"/>
        <v/>
      </c>
      <c r="X109" s="545" t="str">
        <f>IF('Marks Entry'!P109="","",'Marks Entry'!P109)</f>
        <v/>
      </c>
      <c r="Y109" s="545" t="str">
        <f>IF('Marks Entry'!Q109="","",'Marks Entry'!Q109)</f>
        <v/>
      </c>
      <c r="Z109" s="545" t="str">
        <f>IF('Marks Entry'!R109="","",'Marks Entry'!R109)</f>
        <v/>
      </c>
      <c r="AA109" s="546" t="str">
        <f t="shared" si="239"/>
        <v/>
      </c>
      <c r="AB109" s="545" t="str">
        <f>IF('Marks Entry'!S109="","",'Marks Entry'!S109)</f>
        <v/>
      </c>
      <c r="AC109" s="546" t="str">
        <f t="shared" si="240"/>
        <v/>
      </c>
      <c r="AD109" s="545" t="str">
        <f>IF('Marks Entry'!T109="","",'Marks Entry'!T109)</f>
        <v/>
      </c>
      <c r="AE109" s="547" t="str">
        <f t="shared" si="241"/>
        <v/>
      </c>
      <c r="AF109" s="153">
        <f t="shared" si="242"/>
        <v>0</v>
      </c>
      <c r="AG109" s="153">
        <f t="shared" si="243"/>
        <v>0</v>
      </c>
      <c r="AH109" s="154" t="str">
        <f t="shared" si="244"/>
        <v/>
      </c>
      <c r="AI109" s="153" t="str">
        <f t="shared" si="245"/>
        <v/>
      </c>
      <c r="AJ109" s="153" t="str">
        <f t="shared" si="246"/>
        <v/>
      </c>
      <c r="AK109" s="153" t="str">
        <f t="shared" si="247"/>
        <v/>
      </c>
      <c r="AL109" s="573" t="str">
        <f>IF('Marks Entry'!U109="","",'Marks Entry'!U109)</f>
        <v/>
      </c>
      <c r="AM109" s="573" t="str">
        <f>IF('Marks Entry'!V109="","",'Marks Entry'!V109)</f>
        <v/>
      </c>
      <c r="AN109" s="573" t="str">
        <f>IF('Marks Entry'!W109="","",'Marks Entry'!W109)</f>
        <v/>
      </c>
      <c r="AO109" s="573" t="str">
        <f>IF('Marks Entry'!X109="","",'Marks Entry'!X109)</f>
        <v/>
      </c>
      <c r="AP109" s="572" t="str">
        <f t="shared" si="248"/>
        <v/>
      </c>
      <c r="AQ109" s="573" t="str">
        <f>IF('Marks Entry'!Y109="","",'Marks Entry'!Y109)</f>
        <v/>
      </c>
      <c r="AR109" s="573" t="str">
        <f>IF('Marks Entry'!Z109="","",'Marks Entry'!Z109)</f>
        <v/>
      </c>
      <c r="AS109" s="572" t="str">
        <f t="shared" si="249"/>
        <v/>
      </c>
      <c r="AT109" s="572" t="str">
        <f t="shared" si="250"/>
        <v/>
      </c>
      <c r="AU109" s="573" t="str">
        <f>IF('Marks Entry'!AA109="","",'Marks Entry'!AA109)</f>
        <v/>
      </c>
      <c r="AV109" s="573" t="str">
        <f>IF('Marks Entry'!AB109="","",'Marks Entry'!AB109)</f>
        <v/>
      </c>
      <c r="AW109" s="572" t="str">
        <f t="shared" si="251"/>
        <v/>
      </c>
      <c r="AX109" s="157" t="str">
        <f t="shared" si="252"/>
        <v/>
      </c>
      <c r="AY109" s="157" t="str">
        <f t="shared" si="253"/>
        <v/>
      </c>
      <c r="AZ109" s="192" t="str">
        <f t="shared" si="254"/>
        <v/>
      </c>
      <c r="BA109" s="153">
        <f t="shared" si="255"/>
        <v>0</v>
      </c>
      <c r="BB109" s="154">
        <f t="shared" si="256"/>
        <v>0</v>
      </c>
      <c r="BC109" s="154" t="str">
        <f t="shared" si="257"/>
        <v/>
      </c>
      <c r="BD109" s="154" t="str">
        <f t="shared" si="258"/>
        <v/>
      </c>
      <c r="BE109" s="154" t="str">
        <f t="shared" si="259"/>
        <v/>
      </c>
      <c r="BF109" s="153" t="str">
        <f t="shared" si="260"/>
        <v/>
      </c>
      <c r="BG109" s="154" t="str">
        <f t="shared" si="261"/>
        <v/>
      </c>
      <c r="BH109" s="153" t="str">
        <f t="shared" si="262"/>
        <v/>
      </c>
      <c r="BI109" s="580" t="str">
        <f>IF('Marks Entry'!AC109="","",'Marks Entry'!AC109)</f>
        <v/>
      </c>
      <c r="BJ109" s="580" t="str">
        <f>IF('Marks Entry'!AD109="","",'Marks Entry'!AD109)</f>
        <v/>
      </c>
      <c r="BK109" s="580" t="str">
        <f>IF('Marks Entry'!AE109="","",'Marks Entry'!AE109)</f>
        <v/>
      </c>
      <c r="BL109" s="580" t="str">
        <f>IF('Marks Entry'!AF109="","",'Marks Entry'!AF109)</f>
        <v/>
      </c>
      <c r="BM109" s="581" t="str">
        <f t="shared" si="263"/>
        <v/>
      </c>
      <c r="BN109" s="580" t="str">
        <f>IF('Marks Entry'!AG109="","",'Marks Entry'!AG109)</f>
        <v/>
      </c>
      <c r="BO109" s="580" t="str">
        <f>IF('Marks Entry'!AH109="","",'Marks Entry'!AH109)</f>
        <v/>
      </c>
      <c r="BP109" s="581" t="str">
        <f t="shared" si="264"/>
        <v/>
      </c>
      <c r="BQ109" s="581" t="str">
        <f t="shared" si="265"/>
        <v/>
      </c>
      <c r="BR109" s="580" t="str">
        <f>IF('Marks Entry'!AI109="","",'Marks Entry'!AI109)</f>
        <v/>
      </c>
      <c r="BS109" s="580" t="str">
        <f>IF('Marks Entry'!AJ109="","",'Marks Entry'!AJ109)</f>
        <v/>
      </c>
      <c r="BT109" s="581" t="str">
        <f t="shared" si="266"/>
        <v/>
      </c>
      <c r="BU109" s="157" t="str">
        <f t="shared" si="267"/>
        <v/>
      </c>
      <c r="BV109" s="157" t="str">
        <f t="shared" si="268"/>
        <v/>
      </c>
      <c r="BW109" s="192" t="str">
        <f t="shared" si="269"/>
        <v/>
      </c>
      <c r="BX109" s="153">
        <f t="shared" si="270"/>
        <v>0</v>
      </c>
      <c r="BY109" s="154">
        <f t="shared" si="271"/>
        <v>0</v>
      </c>
      <c r="BZ109" s="154" t="str">
        <f t="shared" si="272"/>
        <v/>
      </c>
      <c r="CA109" s="154" t="str">
        <f t="shared" si="273"/>
        <v/>
      </c>
      <c r="CB109" s="154" t="str">
        <f t="shared" si="274"/>
        <v/>
      </c>
      <c r="CC109" s="153" t="str">
        <f t="shared" si="275"/>
        <v/>
      </c>
      <c r="CD109" s="154" t="str">
        <f t="shared" si="276"/>
        <v/>
      </c>
      <c r="CE109" s="153" t="str">
        <f t="shared" si="277"/>
        <v/>
      </c>
      <c r="CF109" s="580" t="str">
        <f>IF('Marks Entry'!AK109="","",'Marks Entry'!AK109)</f>
        <v/>
      </c>
      <c r="CG109" s="580" t="str">
        <f>IF('Marks Entry'!AL109="","",'Marks Entry'!AL109)</f>
        <v/>
      </c>
      <c r="CH109" s="580" t="str">
        <f>IF('Marks Entry'!AM109="","",'Marks Entry'!AM109)</f>
        <v/>
      </c>
      <c r="CI109" s="580" t="str">
        <f>IF('Marks Entry'!AN109="","",'Marks Entry'!AN109)</f>
        <v/>
      </c>
      <c r="CJ109" s="581" t="str">
        <f t="shared" si="278"/>
        <v/>
      </c>
      <c r="CK109" s="580" t="str">
        <f>IF('Marks Entry'!AO109="","",'Marks Entry'!AO109)</f>
        <v/>
      </c>
      <c r="CL109" s="580" t="str">
        <f>IF('Marks Entry'!AP109="","",'Marks Entry'!AP109)</f>
        <v/>
      </c>
      <c r="CM109" s="581" t="str">
        <f t="shared" si="279"/>
        <v/>
      </c>
      <c r="CN109" s="581" t="str">
        <f t="shared" si="280"/>
        <v/>
      </c>
      <c r="CO109" s="580" t="str">
        <f>IF('Marks Entry'!AQ109="","",'Marks Entry'!AQ109)</f>
        <v/>
      </c>
      <c r="CP109" s="580" t="str">
        <f>IF('Marks Entry'!AR109="","",'Marks Entry'!AR109)</f>
        <v/>
      </c>
      <c r="CQ109" s="581" t="str">
        <f t="shared" si="281"/>
        <v/>
      </c>
      <c r="CR109" s="157" t="str">
        <f t="shared" si="282"/>
        <v/>
      </c>
      <c r="CS109" s="157" t="str">
        <f t="shared" si="283"/>
        <v/>
      </c>
      <c r="CT109" s="192" t="str">
        <f t="shared" si="284"/>
        <v/>
      </c>
      <c r="CU109" s="153">
        <f t="shared" si="285"/>
        <v>0</v>
      </c>
      <c r="CV109" s="154">
        <f t="shared" si="286"/>
        <v>0</v>
      </c>
      <c r="CW109" s="154" t="str">
        <f t="shared" si="287"/>
        <v/>
      </c>
      <c r="CX109" s="154" t="str">
        <f t="shared" si="288"/>
        <v/>
      </c>
      <c r="CY109" s="154" t="str">
        <f t="shared" si="289"/>
        <v/>
      </c>
      <c r="CZ109" s="153" t="str">
        <f t="shared" si="290"/>
        <v/>
      </c>
      <c r="DA109" s="154" t="str">
        <f t="shared" si="291"/>
        <v/>
      </c>
      <c r="DB109" s="153" t="str">
        <f t="shared" si="292"/>
        <v/>
      </c>
      <c r="DC109" s="154">
        <f t="shared" si="293"/>
        <v>0</v>
      </c>
      <c r="DD109" s="826" t="str">
        <f>IF('Marks Entry'!AS109="","",IF(OR('Master Sheet'!$D$19="YES",'Marks Entry'!$BA$1=1),'Marks Entry'!AS109,""))</f>
        <v/>
      </c>
      <c r="DE109" s="826" t="str">
        <f>IF('Marks Entry'!AT109="","",IF(OR('Master Sheet'!$D$19="YES",'Marks Entry'!$BA$1=1),'Marks Entry'!AT109,""))</f>
        <v/>
      </c>
      <c r="DF109" s="826" t="str">
        <f>IF('Marks Entry'!AU109="","",IF(OR('Master Sheet'!$D$19="YES",'Marks Entry'!$BA$1=1),'Marks Entry'!AU109,""))</f>
        <v/>
      </c>
      <c r="DG109" s="826" t="str">
        <f>IF('Marks Entry'!AV109="","",IF(OR('Master Sheet'!$D$19="YES",'Marks Entry'!$BA$1=1),'Marks Entry'!AV109,""))</f>
        <v/>
      </c>
      <c r="DH109" s="827" t="str">
        <f t="shared" si="294"/>
        <v/>
      </c>
      <c r="DI109" s="826" t="str">
        <f>IF('Marks Entry'!AW109="","",IF(OR('Master Sheet'!$D$19="YES",'Marks Entry'!$BA$1=1),'Marks Entry'!AW109,""))</f>
        <v/>
      </c>
      <c r="DJ109" s="826" t="str">
        <f>IF('Marks Entry'!AX109="","",IF(OR('Master Sheet'!$D$19="YES",'Marks Entry'!$BA$1=1),'Marks Entry'!AX109,""))</f>
        <v/>
      </c>
      <c r="DK109" s="827" t="str">
        <f t="shared" si="295"/>
        <v/>
      </c>
      <c r="DL109" s="827" t="str">
        <f t="shared" si="296"/>
        <v/>
      </c>
      <c r="DM109" s="826" t="str">
        <f>IF('Marks Entry'!AY109="","",IF(OR('Master Sheet'!$D$19="YES",'Marks Entry'!$BA$1=1),'Marks Entry'!AY109,""))</f>
        <v/>
      </c>
      <c r="DN109" s="826" t="str">
        <f>IF('Marks Entry'!AZ109="","",IF(OR('Master Sheet'!$D$19="YES",'Marks Entry'!$BA$1=1),'Marks Entry'!AZ109,""))</f>
        <v/>
      </c>
      <c r="DO109" s="826" t="str">
        <f>IF('Marks Entry'!BA109="","",IF(OR('Master Sheet'!$D$19="YES",'Marks Entry'!$BA$1=1),'Marks Entry'!BA109,""))</f>
        <v/>
      </c>
      <c r="DP109" s="827" t="str">
        <f t="shared" si="297"/>
        <v/>
      </c>
      <c r="DQ109" s="157" t="str">
        <f t="shared" si="298"/>
        <v/>
      </c>
      <c r="DR109" s="157" t="str">
        <f t="shared" si="299"/>
        <v/>
      </c>
      <c r="DS109" s="157" t="str">
        <f t="shared" si="300"/>
        <v/>
      </c>
      <c r="DT109" s="192" t="str">
        <f t="shared" si="301"/>
        <v/>
      </c>
      <c r="DU109" s="153">
        <f t="shared" si="302"/>
        <v>0</v>
      </c>
      <c r="DV109" s="154" t="e">
        <f t="shared" si="303"/>
        <v>#VALUE!</v>
      </c>
      <c r="DW109" s="154" t="str">
        <f t="shared" si="304"/>
        <v/>
      </c>
      <c r="DX109" s="154" t="str">
        <f>IF(OR($B109="NSO",$B109=0,DS109=""),"",IF(AND(DJ109="",DO109=""),"",IF('Master Sheet'!$D$19="YES",$DO$6-COUNTIF(DO109,"ML")*DO$6,DS$6-(COUNTIF(DJ109,"ML")*DJ$6)-(COUNTIF(DO109,"ML")*DO$6))))</f>
        <v/>
      </c>
      <c r="DY109" s="154" t="str">
        <f>IF(OR($B109="NSO",$B109=0),"",IF(AND(DH109="",DI109="",DM109=""),"",IF(AND('Master Sheet'!$D$19="YES",'Marks Entry'!$BA$1=1),100,IF(AND(DJ109="",DO109=""),SUM(($DQ$7+$DR$7)-(DU109+DV109)),SUM(($DQ$6+$DR$6)-(DU109+DV109))))))</f>
        <v/>
      </c>
      <c r="DZ109" s="153" t="str">
        <f t="shared" si="305"/>
        <v/>
      </c>
      <c r="EA109" s="154" t="str">
        <f t="shared" si="306"/>
        <v/>
      </c>
      <c r="EB109" s="153" t="str">
        <f t="shared" si="307"/>
        <v/>
      </c>
      <c r="EC109" s="584" t="str">
        <f>IF('Marks Entry'!BB109="","",'Marks Entry'!BB109)</f>
        <v/>
      </c>
      <c r="ED109" s="584" t="str">
        <f>IF('Marks Entry'!BC109="","",'Marks Entry'!BC109)</f>
        <v/>
      </c>
      <c r="EE109" s="584" t="str">
        <f>IF('Marks Entry'!BD109="","",'Marks Entry'!BD109)</f>
        <v/>
      </c>
      <c r="EF109" s="590" t="str">
        <f t="shared" si="308"/>
        <v/>
      </c>
      <c r="EG109" s="595">
        <f t="shared" si="309"/>
        <v>0</v>
      </c>
      <c r="EH109" s="595">
        <f t="shared" si="310"/>
        <v>0</v>
      </c>
      <c r="EI109" s="193" t="str">
        <f t="shared" si="311"/>
        <v/>
      </c>
      <c r="EJ109" s="595" t="str">
        <f t="shared" si="312"/>
        <v/>
      </c>
      <c r="EK109" s="595" t="str">
        <f t="shared" si="313"/>
        <v/>
      </c>
      <c r="EL109" s="194" t="str">
        <f t="shared" si="314"/>
        <v/>
      </c>
      <c r="EM109" s="194" t="str">
        <f t="shared" si="315"/>
        <v/>
      </c>
      <c r="EN109" s="194" t="str">
        <f t="shared" si="316"/>
        <v/>
      </c>
      <c r="EO109" s="194" t="str">
        <f t="shared" si="317"/>
        <v/>
      </c>
      <c r="EP109" s="194" t="str">
        <f t="shared" si="318"/>
        <v/>
      </c>
      <c r="EQ109" s="194" t="str">
        <f t="shared" si="319"/>
        <v/>
      </c>
      <c r="ER109" s="195">
        <f t="shared" si="320"/>
        <v>0</v>
      </c>
      <c r="ES109" s="195">
        <f t="shared" si="321"/>
        <v>0</v>
      </c>
      <c r="ET109" s="195">
        <f t="shared" si="322"/>
        <v>0</v>
      </c>
      <c r="EU109" s="195">
        <f t="shared" si="323"/>
        <v>0</v>
      </c>
      <c r="EV109" s="195">
        <f t="shared" si="324"/>
        <v>0</v>
      </c>
      <c r="EW109" s="195" t="str">
        <f t="shared" si="325"/>
        <v/>
      </c>
      <c r="EX109" s="196" t="str">
        <f t="shared" si="326"/>
        <v/>
      </c>
      <c r="EY109" s="197" t="str">
        <f>IF('Marks Entry'!BE109="","",'Marks Entry'!BE109)</f>
        <v/>
      </c>
      <c r="EZ109" s="197" t="str">
        <f>IF('Marks Entry'!BF109="","",'Marks Entry'!BF109)</f>
        <v/>
      </c>
      <c r="FA109" s="197" t="str">
        <f>IF('Marks Entry'!BG109="","",'Marks Entry'!BG109)</f>
        <v/>
      </c>
      <c r="FB109" s="596" t="str">
        <f t="shared" si="327"/>
        <v/>
      </c>
      <c r="FC109" s="197" t="str">
        <f>IF('Marks Entry'!BH109="","",'Marks Entry'!BH109)</f>
        <v/>
      </c>
      <c r="FD109" s="197" t="str">
        <f>IF('Marks Entry'!BI109="","",'Marks Entry'!BI109)</f>
        <v/>
      </c>
      <c r="FE109" s="198" t="str">
        <f t="shared" si="328"/>
        <v/>
      </c>
      <c r="FF109" s="199" t="str">
        <f t="shared" si="329"/>
        <v/>
      </c>
      <c r="FG109" s="200" t="str">
        <f>IF(AND(E109=""),"",IF('Student DATA Entry'!L105="","",'Student DATA Entry'!L105))</f>
        <v/>
      </c>
      <c r="FH109" s="201" t="str">
        <f>IF(AND(E109=""),"",IF('Student DATA Entry'!M105="","",'Student DATA Entry'!M105))</f>
        <v/>
      </c>
      <c r="FI109" s="202" t="str">
        <f t="shared" si="330"/>
        <v/>
      </c>
      <c r="FJ109" s="189" t="str">
        <f t="shared" si="331"/>
        <v/>
      </c>
      <c r="FK109" s="189" t="str">
        <f t="shared" si="332"/>
        <v/>
      </c>
      <c r="FL109" s="203" t="str">
        <f t="shared" si="360"/>
        <v/>
      </c>
      <c r="FM109" s="189" t="str">
        <f t="shared" si="333"/>
        <v/>
      </c>
      <c r="FN109" s="204" t="str">
        <f t="shared" si="334"/>
        <v/>
      </c>
      <c r="FO109" s="203" t="str">
        <f t="shared" si="361"/>
        <v/>
      </c>
      <c r="FP109" s="205" t="str">
        <f t="shared" si="335"/>
        <v/>
      </c>
      <c r="FQ109" s="189" t="str">
        <f t="shared" si="362"/>
        <v/>
      </c>
      <c r="FR109" s="189" t="str">
        <f t="shared" si="363"/>
        <v/>
      </c>
      <c r="FS109" s="189" t="str">
        <f t="shared" si="364"/>
        <v/>
      </c>
      <c r="FT109" s="189" t="str">
        <f t="shared" si="365"/>
        <v/>
      </c>
      <c r="FU109" s="189" t="str">
        <f t="shared" si="336"/>
        <v/>
      </c>
      <c r="FV109" s="206" t="str">
        <f t="shared" si="366"/>
        <v/>
      </c>
      <c r="FW109" s="205" t="str">
        <f t="shared" si="337"/>
        <v/>
      </c>
      <c r="FX109" s="189" t="str">
        <f t="shared" si="367"/>
        <v/>
      </c>
      <c r="FY109" s="189" t="str">
        <f t="shared" si="368"/>
        <v/>
      </c>
      <c r="FZ109" s="189" t="str">
        <f t="shared" si="369"/>
        <v/>
      </c>
      <c r="GA109" s="189" t="str">
        <f t="shared" si="370"/>
        <v/>
      </c>
      <c r="GB109" s="189" t="str">
        <f t="shared" si="338"/>
        <v/>
      </c>
      <c r="GC109" s="206" t="str">
        <f t="shared" si="371"/>
        <v/>
      </c>
      <c r="GD109" s="205" t="str">
        <f t="shared" si="339"/>
        <v/>
      </c>
      <c r="GE109" s="189" t="str">
        <f t="shared" si="372"/>
        <v/>
      </c>
      <c r="GF109" s="189" t="str">
        <f t="shared" si="373"/>
        <v/>
      </c>
      <c r="GG109" s="189" t="str">
        <f t="shared" si="374"/>
        <v/>
      </c>
      <c r="GH109" s="189" t="str">
        <f t="shared" si="375"/>
        <v/>
      </c>
      <c r="GI109" s="189" t="str">
        <f t="shared" si="340"/>
        <v/>
      </c>
      <c r="GJ109" s="206" t="str">
        <f t="shared" si="376"/>
        <v/>
      </c>
      <c r="GK109" s="205" t="str">
        <f t="shared" si="341"/>
        <v/>
      </c>
      <c r="GL109" s="189" t="str">
        <f t="shared" si="377"/>
        <v/>
      </c>
      <c r="GM109" s="189" t="str">
        <f t="shared" si="378"/>
        <v/>
      </c>
      <c r="GN109" s="189" t="str">
        <f t="shared" si="379"/>
        <v/>
      </c>
      <c r="GO109" s="189" t="str">
        <f t="shared" si="380"/>
        <v/>
      </c>
      <c r="GP109" s="189" t="str">
        <f t="shared" si="342"/>
        <v/>
      </c>
      <c r="GQ109" s="206" t="str">
        <f t="shared" si="381"/>
        <v/>
      </c>
      <c r="GR109" s="189" t="str">
        <f t="shared" si="343"/>
        <v/>
      </c>
      <c r="GS109" s="189" t="str">
        <f t="shared" si="344"/>
        <v/>
      </c>
      <c r="GT109" s="207" t="str">
        <f t="shared" si="345"/>
        <v xml:space="preserve">    </v>
      </c>
      <c r="GU109" s="207" t="str">
        <f t="shared" si="346"/>
        <v xml:space="preserve">    </v>
      </c>
      <c r="GV109" s="207" t="str">
        <f t="shared" si="347"/>
        <v xml:space="preserve">    </v>
      </c>
      <c r="GW109" s="207" t="str">
        <f t="shared" si="348"/>
        <v xml:space="preserve">       </v>
      </c>
      <c r="GX109" s="598" t="str">
        <f t="shared" si="349"/>
        <v xml:space="preserve">     </v>
      </c>
      <c r="GY109" s="208" t="str">
        <f t="shared" si="382"/>
        <v/>
      </c>
      <c r="GZ109" s="606" t="str">
        <f>IF(AND(Q109="",AE109="",AZ109="",BW109="",CT109=""),"",IF(AND('Master Sheet'!$D$19="YES",'Marks Entry'!$BA$1=1),SUM(Q109,AE109,AZ109,BW109,DT109),SUM(Q109,AE109,AZ109,BW109,CT109)))</f>
        <v/>
      </c>
      <c r="HA109" s="209" t="str">
        <f>IF(GZ109="","",IF(AND('Master Sheet'!$D$19="YES",'Marks Entry'!$BA$1=1),GZ109/((900)-DC109)*100,GZ109/((1000)-DC109)*100))</f>
        <v/>
      </c>
      <c r="HB109" s="611" t="str">
        <f t="shared" si="350"/>
        <v/>
      </c>
      <c r="HC109" s="609" t="str">
        <f t="shared" si="351"/>
        <v/>
      </c>
      <c r="HD109" s="610" t="str">
        <f t="shared" si="352"/>
        <v/>
      </c>
      <c r="HE109" s="210" t="str">
        <f>IFERROR(IF(OR(GY109="SUPPLEMENTARY",GY109="RE-EXAM"),'Supp. Result Entry'!AS108,""),"")</f>
        <v/>
      </c>
      <c r="HF109" s="613" t="str">
        <f t="shared" si="353"/>
        <v/>
      </c>
      <c r="HG109" s="598" t="str">
        <f t="shared" si="354"/>
        <v/>
      </c>
      <c r="HH109" s="598" t="str">
        <f>IF(AND(HE109="",HF109="",HG109=""),"",IF(OR(GY109="SUPPLEMENTARY",GY109="RE-EXAM"),'Supp. Result Entry'!AS108,GY109))</f>
        <v/>
      </c>
      <c r="HI109" s="180"/>
      <c r="HY109" s="212" t="str">
        <f>IF('Supp. Result Entry'!U108="","",'Supp. Result Entry'!$U$6)</f>
        <v/>
      </c>
      <c r="HZ109" s="213" t="str">
        <f>IF('Supp. Result Entry'!X108="","",'Supp. Result Entry'!$X$6)</f>
        <v/>
      </c>
      <c r="IA109" s="213" t="str">
        <f>IF('Supp. Result Entry'!AA108="","",'Supp. Result Entry'!$AA$6)</f>
        <v/>
      </c>
      <c r="IB109" s="213" t="str">
        <f>IF('Supp. Result Entry'!AD108="","",'Supp. Result Entry'!$AD$6)</f>
        <v/>
      </c>
      <c r="IC109" s="213" t="str">
        <f>IF('Supp. Result Entry'!AG108="","",'Supp. Result Entry'!$AG$6)</f>
        <v/>
      </c>
      <c r="ID109" s="213" t="str">
        <f>IF('Supp. Result Entry'!AJ108="","",'Supp. Result Entry'!$AJ$6)</f>
        <v/>
      </c>
      <c r="IE109" s="213" t="str">
        <f>IF('Supp. Result Entry'!V108="","",'Supp. Result Entry'!V108)</f>
        <v/>
      </c>
      <c r="IF109" s="213" t="str">
        <f>IF('Supp. Result Entry'!Y108="","",'Supp. Result Entry'!Y108)</f>
        <v/>
      </c>
      <c r="IG109" s="213" t="str">
        <f>IF('Supp. Result Entry'!AB108="","",'Supp. Result Entry'!AB108)</f>
        <v/>
      </c>
      <c r="IH109" s="213" t="str">
        <f>IF('Supp. Result Entry'!AE108="","",'Supp. Result Entry'!AE108)</f>
        <v/>
      </c>
      <c r="II109" s="213" t="str">
        <f>IF('Supp. Result Entry'!AH108="","",'Supp. Result Entry'!AH108)</f>
        <v/>
      </c>
      <c r="IJ109" s="213" t="str">
        <f>IF('Supp. Result Entry'!AK108="","",'Supp. Result Entry'!AK108)</f>
        <v/>
      </c>
      <c r="IK109" s="213" t="str">
        <f>IF('Supp. Result Entry'!W108="","",'Supp. Result Entry'!W108)</f>
        <v/>
      </c>
      <c r="IL109" s="213" t="str">
        <f>IF('Supp. Result Entry'!Z108="","",'Supp. Result Entry'!Z108)</f>
        <v/>
      </c>
      <c r="IM109" s="213" t="str">
        <f>IF('Supp. Result Entry'!AC108="","",'Supp. Result Entry'!AC108)</f>
        <v/>
      </c>
      <c r="IN109" s="213" t="str">
        <f>IF('Supp. Result Entry'!AF108="","",'Supp. Result Entry'!AF108)</f>
        <v/>
      </c>
      <c r="IO109" s="213" t="str">
        <f>IF('Supp. Result Entry'!AI108="","",'Supp. Result Entry'!AI108)</f>
        <v/>
      </c>
      <c r="IP109" s="213" t="str">
        <f>IF('Supp. Result Entry'!AL108="","",'Supp. Result Entry'!AL108)</f>
        <v/>
      </c>
      <c r="IQ109" s="213">
        <f>COUNTIF('Supp. Result Entry'!K108:Q108,"S")</f>
        <v>0</v>
      </c>
      <c r="IR109" s="213">
        <f t="shared" si="355"/>
        <v>0</v>
      </c>
      <c r="IS109" s="213">
        <f t="shared" si="356"/>
        <v>0</v>
      </c>
      <c r="IT109" s="213" t="str">
        <f t="shared" si="224"/>
        <v/>
      </c>
      <c r="IU109" s="213" t="str">
        <f t="shared" si="225"/>
        <v/>
      </c>
      <c r="IV109" s="213" t="str">
        <f t="shared" si="226"/>
        <v/>
      </c>
      <c r="IW109" s="213" t="str">
        <f t="shared" si="227"/>
        <v/>
      </c>
      <c r="IX109" s="213" t="str">
        <f t="shared" si="228"/>
        <v/>
      </c>
      <c r="IY109" s="213" t="str">
        <f t="shared" si="357"/>
        <v/>
      </c>
      <c r="IZ109" s="213" t="str">
        <f t="shared" si="358"/>
        <v/>
      </c>
      <c r="JA109" s="213" t="str">
        <f t="shared" si="229"/>
        <v/>
      </c>
      <c r="JB109" s="211" t="str">
        <f t="shared" si="359"/>
        <v/>
      </c>
    </row>
    <row r="110" spans="1:262" s="211" customFormat="1" ht="21" customHeight="1">
      <c r="A110" s="184">
        <v>103</v>
      </c>
      <c r="B110" s="185" t="str">
        <f>IF('Marks Entry'!B110="","",'Marks Entry'!B110)</f>
        <v/>
      </c>
      <c r="C110" s="186" t="str">
        <f>IF('Marks Entry'!D110="","",'Marks Entry'!D110)</f>
        <v/>
      </c>
      <c r="D110" s="187" t="str">
        <f>IF('Marks Entry'!E110="","",'Marks Entry'!E110)</f>
        <v/>
      </c>
      <c r="E110" s="188" t="str">
        <f>IF('Marks Entry'!F110="","",'Marks Entry'!F110)</f>
        <v/>
      </c>
      <c r="F110" s="188" t="str">
        <f>IF('Marks Entry'!G110="","",'Marks Entry'!G110)</f>
        <v/>
      </c>
      <c r="G110" s="188" t="str">
        <f>IF('Marks Entry'!H110="","",'Marks Entry'!H110)</f>
        <v/>
      </c>
      <c r="H110" s="189" t="str">
        <f>IF('Marks Entry'!I110="","",'Marks Entry'!I110)</f>
        <v/>
      </c>
      <c r="I110" s="190" t="str">
        <f>IF('Marks Entry'!J110="","",'Marks Entry'!J110)</f>
        <v/>
      </c>
      <c r="J110" s="545" t="str">
        <f>IF('Marks Entry'!K110="","",'Marks Entry'!K110)</f>
        <v/>
      </c>
      <c r="K110" s="545" t="str">
        <f>IF('Marks Entry'!L110="","",'Marks Entry'!L110)</f>
        <v/>
      </c>
      <c r="L110" s="545" t="str">
        <f>IF('Marks Entry'!M110="","",'Marks Entry'!M110)</f>
        <v/>
      </c>
      <c r="M110" s="546" t="str">
        <f t="shared" si="230"/>
        <v/>
      </c>
      <c r="N110" s="545" t="str">
        <f>IF('Marks Entry'!N110="","",'Marks Entry'!N110)</f>
        <v/>
      </c>
      <c r="O110" s="546" t="str">
        <f t="shared" si="231"/>
        <v/>
      </c>
      <c r="P110" s="545" t="str">
        <f>IF('Marks Entry'!O110="","",'Marks Entry'!O110)</f>
        <v/>
      </c>
      <c r="Q110" s="547" t="str">
        <f t="shared" si="232"/>
        <v/>
      </c>
      <c r="R110" s="153">
        <f t="shared" si="233"/>
        <v>0</v>
      </c>
      <c r="S110" s="153">
        <f t="shared" si="234"/>
        <v>0</v>
      </c>
      <c r="T110" s="154" t="str">
        <f t="shared" si="235"/>
        <v/>
      </c>
      <c r="U110" s="153" t="str">
        <f t="shared" si="236"/>
        <v/>
      </c>
      <c r="V110" s="153" t="str">
        <f t="shared" si="237"/>
        <v/>
      </c>
      <c r="W110" s="153" t="str">
        <f t="shared" si="238"/>
        <v/>
      </c>
      <c r="X110" s="545" t="str">
        <f>IF('Marks Entry'!P110="","",'Marks Entry'!P110)</f>
        <v/>
      </c>
      <c r="Y110" s="545" t="str">
        <f>IF('Marks Entry'!Q110="","",'Marks Entry'!Q110)</f>
        <v/>
      </c>
      <c r="Z110" s="545" t="str">
        <f>IF('Marks Entry'!R110="","",'Marks Entry'!R110)</f>
        <v/>
      </c>
      <c r="AA110" s="546" t="str">
        <f t="shared" si="239"/>
        <v/>
      </c>
      <c r="AB110" s="545" t="str">
        <f>IF('Marks Entry'!S110="","",'Marks Entry'!S110)</f>
        <v/>
      </c>
      <c r="AC110" s="546" t="str">
        <f t="shared" si="240"/>
        <v/>
      </c>
      <c r="AD110" s="545" t="str">
        <f>IF('Marks Entry'!T110="","",'Marks Entry'!T110)</f>
        <v/>
      </c>
      <c r="AE110" s="547" t="str">
        <f t="shared" si="241"/>
        <v/>
      </c>
      <c r="AF110" s="153">
        <f t="shared" si="242"/>
        <v>0</v>
      </c>
      <c r="AG110" s="153">
        <f t="shared" si="243"/>
        <v>0</v>
      </c>
      <c r="AH110" s="154" t="str">
        <f t="shared" si="244"/>
        <v/>
      </c>
      <c r="AI110" s="153" t="str">
        <f t="shared" si="245"/>
        <v/>
      </c>
      <c r="AJ110" s="153" t="str">
        <f t="shared" si="246"/>
        <v/>
      </c>
      <c r="AK110" s="153" t="str">
        <f t="shared" si="247"/>
        <v/>
      </c>
      <c r="AL110" s="573" t="str">
        <f>IF('Marks Entry'!U110="","",'Marks Entry'!U110)</f>
        <v/>
      </c>
      <c r="AM110" s="573" t="str">
        <f>IF('Marks Entry'!V110="","",'Marks Entry'!V110)</f>
        <v/>
      </c>
      <c r="AN110" s="573" t="str">
        <f>IF('Marks Entry'!W110="","",'Marks Entry'!W110)</f>
        <v/>
      </c>
      <c r="AO110" s="573" t="str">
        <f>IF('Marks Entry'!X110="","",'Marks Entry'!X110)</f>
        <v/>
      </c>
      <c r="AP110" s="572" t="str">
        <f t="shared" si="248"/>
        <v/>
      </c>
      <c r="AQ110" s="573" t="str">
        <f>IF('Marks Entry'!Y110="","",'Marks Entry'!Y110)</f>
        <v/>
      </c>
      <c r="AR110" s="573" t="str">
        <f>IF('Marks Entry'!Z110="","",'Marks Entry'!Z110)</f>
        <v/>
      </c>
      <c r="AS110" s="572" t="str">
        <f t="shared" si="249"/>
        <v/>
      </c>
      <c r="AT110" s="572" t="str">
        <f t="shared" si="250"/>
        <v/>
      </c>
      <c r="AU110" s="573" t="str">
        <f>IF('Marks Entry'!AA110="","",'Marks Entry'!AA110)</f>
        <v/>
      </c>
      <c r="AV110" s="573" t="str">
        <f>IF('Marks Entry'!AB110="","",'Marks Entry'!AB110)</f>
        <v/>
      </c>
      <c r="AW110" s="572" t="str">
        <f t="shared" si="251"/>
        <v/>
      </c>
      <c r="AX110" s="157" t="str">
        <f t="shared" si="252"/>
        <v/>
      </c>
      <c r="AY110" s="157" t="str">
        <f t="shared" si="253"/>
        <v/>
      </c>
      <c r="AZ110" s="192" t="str">
        <f t="shared" si="254"/>
        <v/>
      </c>
      <c r="BA110" s="153">
        <f t="shared" si="255"/>
        <v>0</v>
      </c>
      <c r="BB110" s="154">
        <f t="shared" si="256"/>
        <v>0</v>
      </c>
      <c r="BC110" s="154" t="str">
        <f t="shared" si="257"/>
        <v/>
      </c>
      <c r="BD110" s="154" t="str">
        <f t="shared" si="258"/>
        <v/>
      </c>
      <c r="BE110" s="154" t="str">
        <f t="shared" si="259"/>
        <v/>
      </c>
      <c r="BF110" s="153" t="str">
        <f t="shared" si="260"/>
        <v/>
      </c>
      <c r="BG110" s="154" t="str">
        <f t="shared" si="261"/>
        <v/>
      </c>
      <c r="BH110" s="153" t="str">
        <f t="shared" si="262"/>
        <v/>
      </c>
      <c r="BI110" s="580" t="str">
        <f>IF('Marks Entry'!AC110="","",'Marks Entry'!AC110)</f>
        <v/>
      </c>
      <c r="BJ110" s="580" t="str">
        <f>IF('Marks Entry'!AD110="","",'Marks Entry'!AD110)</f>
        <v/>
      </c>
      <c r="BK110" s="580" t="str">
        <f>IF('Marks Entry'!AE110="","",'Marks Entry'!AE110)</f>
        <v/>
      </c>
      <c r="BL110" s="580" t="str">
        <f>IF('Marks Entry'!AF110="","",'Marks Entry'!AF110)</f>
        <v/>
      </c>
      <c r="BM110" s="581" t="str">
        <f t="shared" si="263"/>
        <v/>
      </c>
      <c r="BN110" s="580" t="str">
        <f>IF('Marks Entry'!AG110="","",'Marks Entry'!AG110)</f>
        <v/>
      </c>
      <c r="BO110" s="580" t="str">
        <f>IF('Marks Entry'!AH110="","",'Marks Entry'!AH110)</f>
        <v/>
      </c>
      <c r="BP110" s="581" t="str">
        <f t="shared" si="264"/>
        <v/>
      </c>
      <c r="BQ110" s="581" t="str">
        <f t="shared" si="265"/>
        <v/>
      </c>
      <c r="BR110" s="580" t="str">
        <f>IF('Marks Entry'!AI110="","",'Marks Entry'!AI110)</f>
        <v/>
      </c>
      <c r="BS110" s="580" t="str">
        <f>IF('Marks Entry'!AJ110="","",'Marks Entry'!AJ110)</f>
        <v/>
      </c>
      <c r="BT110" s="581" t="str">
        <f t="shared" si="266"/>
        <v/>
      </c>
      <c r="BU110" s="157" t="str">
        <f t="shared" si="267"/>
        <v/>
      </c>
      <c r="BV110" s="157" t="str">
        <f t="shared" si="268"/>
        <v/>
      </c>
      <c r="BW110" s="192" t="str">
        <f t="shared" si="269"/>
        <v/>
      </c>
      <c r="BX110" s="153">
        <f t="shared" si="270"/>
        <v>0</v>
      </c>
      <c r="BY110" s="154">
        <f t="shared" si="271"/>
        <v>0</v>
      </c>
      <c r="BZ110" s="154" t="str">
        <f t="shared" si="272"/>
        <v/>
      </c>
      <c r="CA110" s="154" t="str">
        <f t="shared" si="273"/>
        <v/>
      </c>
      <c r="CB110" s="154" t="str">
        <f t="shared" si="274"/>
        <v/>
      </c>
      <c r="CC110" s="153" t="str">
        <f t="shared" si="275"/>
        <v/>
      </c>
      <c r="CD110" s="154" t="str">
        <f t="shared" si="276"/>
        <v/>
      </c>
      <c r="CE110" s="153" t="str">
        <f t="shared" si="277"/>
        <v/>
      </c>
      <c r="CF110" s="580" t="str">
        <f>IF('Marks Entry'!AK110="","",'Marks Entry'!AK110)</f>
        <v/>
      </c>
      <c r="CG110" s="580" t="str">
        <f>IF('Marks Entry'!AL110="","",'Marks Entry'!AL110)</f>
        <v/>
      </c>
      <c r="CH110" s="580" t="str">
        <f>IF('Marks Entry'!AM110="","",'Marks Entry'!AM110)</f>
        <v/>
      </c>
      <c r="CI110" s="580" t="str">
        <f>IF('Marks Entry'!AN110="","",'Marks Entry'!AN110)</f>
        <v/>
      </c>
      <c r="CJ110" s="581" t="str">
        <f t="shared" si="278"/>
        <v/>
      </c>
      <c r="CK110" s="580" t="str">
        <f>IF('Marks Entry'!AO110="","",'Marks Entry'!AO110)</f>
        <v/>
      </c>
      <c r="CL110" s="580" t="str">
        <f>IF('Marks Entry'!AP110="","",'Marks Entry'!AP110)</f>
        <v/>
      </c>
      <c r="CM110" s="581" t="str">
        <f t="shared" si="279"/>
        <v/>
      </c>
      <c r="CN110" s="581" t="str">
        <f t="shared" si="280"/>
        <v/>
      </c>
      <c r="CO110" s="580" t="str">
        <f>IF('Marks Entry'!AQ110="","",'Marks Entry'!AQ110)</f>
        <v/>
      </c>
      <c r="CP110" s="580" t="str">
        <f>IF('Marks Entry'!AR110="","",'Marks Entry'!AR110)</f>
        <v/>
      </c>
      <c r="CQ110" s="581" t="str">
        <f t="shared" si="281"/>
        <v/>
      </c>
      <c r="CR110" s="157" t="str">
        <f t="shared" si="282"/>
        <v/>
      </c>
      <c r="CS110" s="157" t="str">
        <f t="shared" si="283"/>
        <v/>
      </c>
      <c r="CT110" s="192" t="str">
        <f t="shared" si="284"/>
        <v/>
      </c>
      <c r="CU110" s="153">
        <f t="shared" si="285"/>
        <v>0</v>
      </c>
      <c r="CV110" s="154">
        <f t="shared" si="286"/>
        <v>0</v>
      </c>
      <c r="CW110" s="154" t="str">
        <f t="shared" si="287"/>
        <v/>
      </c>
      <c r="CX110" s="154" t="str">
        <f t="shared" si="288"/>
        <v/>
      </c>
      <c r="CY110" s="154" t="str">
        <f t="shared" si="289"/>
        <v/>
      </c>
      <c r="CZ110" s="153" t="str">
        <f t="shared" si="290"/>
        <v/>
      </c>
      <c r="DA110" s="154" t="str">
        <f t="shared" si="291"/>
        <v/>
      </c>
      <c r="DB110" s="153" t="str">
        <f t="shared" si="292"/>
        <v/>
      </c>
      <c r="DC110" s="154">
        <f t="shared" si="293"/>
        <v>0</v>
      </c>
      <c r="DD110" s="826" t="str">
        <f>IF('Marks Entry'!AS110="","",IF(OR('Master Sheet'!$D$19="YES",'Marks Entry'!$BA$1=1),'Marks Entry'!AS110,""))</f>
        <v/>
      </c>
      <c r="DE110" s="826" t="str">
        <f>IF('Marks Entry'!AT110="","",IF(OR('Master Sheet'!$D$19="YES",'Marks Entry'!$BA$1=1),'Marks Entry'!AT110,""))</f>
        <v/>
      </c>
      <c r="DF110" s="826" t="str">
        <f>IF('Marks Entry'!AU110="","",IF(OR('Master Sheet'!$D$19="YES",'Marks Entry'!$BA$1=1),'Marks Entry'!AU110,""))</f>
        <v/>
      </c>
      <c r="DG110" s="826" t="str">
        <f>IF('Marks Entry'!AV110="","",IF(OR('Master Sheet'!$D$19="YES",'Marks Entry'!$BA$1=1),'Marks Entry'!AV110,""))</f>
        <v/>
      </c>
      <c r="DH110" s="827" t="str">
        <f t="shared" si="294"/>
        <v/>
      </c>
      <c r="DI110" s="826" t="str">
        <f>IF('Marks Entry'!AW110="","",IF(OR('Master Sheet'!$D$19="YES",'Marks Entry'!$BA$1=1),'Marks Entry'!AW110,""))</f>
        <v/>
      </c>
      <c r="DJ110" s="826" t="str">
        <f>IF('Marks Entry'!AX110="","",IF(OR('Master Sheet'!$D$19="YES",'Marks Entry'!$BA$1=1),'Marks Entry'!AX110,""))</f>
        <v/>
      </c>
      <c r="DK110" s="827" t="str">
        <f t="shared" si="295"/>
        <v/>
      </c>
      <c r="DL110" s="827" t="str">
        <f t="shared" si="296"/>
        <v/>
      </c>
      <c r="DM110" s="826" t="str">
        <f>IF('Marks Entry'!AY110="","",IF(OR('Master Sheet'!$D$19="YES",'Marks Entry'!$BA$1=1),'Marks Entry'!AY110,""))</f>
        <v/>
      </c>
      <c r="DN110" s="826" t="str">
        <f>IF('Marks Entry'!AZ110="","",IF(OR('Master Sheet'!$D$19="YES",'Marks Entry'!$BA$1=1),'Marks Entry'!AZ110,""))</f>
        <v/>
      </c>
      <c r="DO110" s="826" t="str">
        <f>IF('Marks Entry'!BA110="","",IF(OR('Master Sheet'!$D$19="YES",'Marks Entry'!$BA$1=1),'Marks Entry'!BA110,""))</f>
        <v/>
      </c>
      <c r="DP110" s="827" t="str">
        <f t="shared" si="297"/>
        <v/>
      </c>
      <c r="DQ110" s="157" t="str">
        <f t="shared" si="298"/>
        <v/>
      </c>
      <c r="DR110" s="157" t="str">
        <f t="shared" si="299"/>
        <v/>
      </c>
      <c r="DS110" s="157" t="str">
        <f t="shared" si="300"/>
        <v/>
      </c>
      <c r="DT110" s="192" t="str">
        <f t="shared" si="301"/>
        <v/>
      </c>
      <c r="DU110" s="153">
        <f t="shared" si="302"/>
        <v>0</v>
      </c>
      <c r="DV110" s="154" t="e">
        <f t="shared" si="303"/>
        <v>#VALUE!</v>
      </c>
      <c r="DW110" s="154" t="str">
        <f t="shared" si="304"/>
        <v/>
      </c>
      <c r="DX110" s="154" t="str">
        <f>IF(OR($B110="NSO",$B110=0,DS110=""),"",IF(AND(DJ110="",DO110=""),"",IF('Master Sheet'!$D$19="YES",$DO$6-COUNTIF(DO110,"ML")*DO$6,DS$6-(COUNTIF(DJ110,"ML")*DJ$6)-(COUNTIF(DO110,"ML")*DO$6))))</f>
        <v/>
      </c>
      <c r="DY110" s="154" t="str">
        <f>IF(OR($B110="NSO",$B110=0),"",IF(AND(DH110="",DI110="",DM110=""),"",IF(AND('Master Sheet'!$D$19="YES",'Marks Entry'!$BA$1=1),100,IF(AND(DJ110="",DO110=""),SUM(($DQ$7+$DR$7)-(DU110+DV110)),SUM(($DQ$6+$DR$6)-(DU110+DV110))))))</f>
        <v/>
      </c>
      <c r="DZ110" s="153" t="str">
        <f t="shared" si="305"/>
        <v/>
      </c>
      <c r="EA110" s="154" t="str">
        <f t="shared" si="306"/>
        <v/>
      </c>
      <c r="EB110" s="153" t="str">
        <f t="shared" si="307"/>
        <v/>
      </c>
      <c r="EC110" s="584" t="str">
        <f>IF('Marks Entry'!BB110="","",'Marks Entry'!BB110)</f>
        <v/>
      </c>
      <c r="ED110" s="584" t="str">
        <f>IF('Marks Entry'!BC110="","",'Marks Entry'!BC110)</f>
        <v/>
      </c>
      <c r="EE110" s="584" t="str">
        <f>IF('Marks Entry'!BD110="","",'Marks Entry'!BD110)</f>
        <v/>
      </c>
      <c r="EF110" s="590" t="str">
        <f t="shared" si="308"/>
        <v/>
      </c>
      <c r="EG110" s="595">
        <f t="shared" si="309"/>
        <v>0</v>
      </c>
      <c r="EH110" s="595">
        <f t="shared" si="310"/>
        <v>0</v>
      </c>
      <c r="EI110" s="193" t="str">
        <f t="shared" si="311"/>
        <v/>
      </c>
      <c r="EJ110" s="595" t="str">
        <f t="shared" si="312"/>
        <v/>
      </c>
      <c r="EK110" s="595" t="str">
        <f t="shared" si="313"/>
        <v/>
      </c>
      <c r="EL110" s="194" t="str">
        <f t="shared" si="314"/>
        <v/>
      </c>
      <c r="EM110" s="194" t="str">
        <f t="shared" si="315"/>
        <v/>
      </c>
      <c r="EN110" s="194" t="str">
        <f t="shared" si="316"/>
        <v/>
      </c>
      <c r="EO110" s="194" t="str">
        <f t="shared" si="317"/>
        <v/>
      </c>
      <c r="EP110" s="194" t="str">
        <f t="shared" si="318"/>
        <v/>
      </c>
      <c r="EQ110" s="194" t="str">
        <f t="shared" si="319"/>
        <v/>
      </c>
      <c r="ER110" s="195">
        <f t="shared" si="320"/>
        <v>0</v>
      </c>
      <c r="ES110" s="195">
        <f t="shared" si="321"/>
        <v>0</v>
      </c>
      <c r="ET110" s="195">
        <f t="shared" si="322"/>
        <v>0</v>
      </c>
      <c r="EU110" s="195">
        <f t="shared" si="323"/>
        <v>0</v>
      </c>
      <c r="EV110" s="195">
        <f t="shared" si="324"/>
        <v>0</v>
      </c>
      <c r="EW110" s="195" t="str">
        <f t="shared" si="325"/>
        <v/>
      </c>
      <c r="EX110" s="196" t="str">
        <f t="shared" si="326"/>
        <v/>
      </c>
      <c r="EY110" s="197" t="str">
        <f>IF('Marks Entry'!BE110="","",'Marks Entry'!BE110)</f>
        <v/>
      </c>
      <c r="EZ110" s="197" t="str">
        <f>IF('Marks Entry'!BF110="","",'Marks Entry'!BF110)</f>
        <v/>
      </c>
      <c r="FA110" s="197" t="str">
        <f>IF('Marks Entry'!BG110="","",'Marks Entry'!BG110)</f>
        <v/>
      </c>
      <c r="FB110" s="596" t="str">
        <f t="shared" si="327"/>
        <v/>
      </c>
      <c r="FC110" s="197" t="str">
        <f>IF('Marks Entry'!BH110="","",'Marks Entry'!BH110)</f>
        <v/>
      </c>
      <c r="FD110" s="197" t="str">
        <f>IF('Marks Entry'!BI110="","",'Marks Entry'!BI110)</f>
        <v/>
      </c>
      <c r="FE110" s="198" t="str">
        <f t="shared" si="328"/>
        <v/>
      </c>
      <c r="FF110" s="199" t="str">
        <f t="shared" si="329"/>
        <v/>
      </c>
      <c r="FG110" s="200" t="str">
        <f>IF(AND(E110=""),"",IF('Student DATA Entry'!L106="","",'Student DATA Entry'!L106))</f>
        <v/>
      </c>
      <c r="FH110" s="201" t="str">
        <f>IF(AND(E110=""),"",IF('Student DATA Entry'!M106="","",'Student DATA Entry'!M106))</f>
        <v/>
      </c>
      <c r="FI110" s="202" t="str">
        <f t="shared" si="330"/>
        <v/>
      </c>
      <c r="FJ110" s="189" t="str">
        <f t="shared" si="331"/>
        <v/>
      </c>
      <c r="FK110" s="189" t="str">
        <f t="shared" si="332"/>
        <v/>
      </c>
      <c r="FL110" s="203" t="str">
        <f t="shared" si="360"/>
        <v/>
      </c>
      <c r="FM110" s="189" t="str">
        <f t="shared" si="333"/>
        <v/>
      </c>
      <c r="FN110" s="204" t="str">
        <f t="shared" si="334"/>
        <v/>
      </c>
      <c r="FO110" s="203" t="str">
        <f t="shared" si="361"/>
        <v/>
      </c>
      <c r="FP110" s="205" t="str">
        <f t="shared" si="335"/>
        <v/>
      </c>
      <c r="FQ110" s="189" t="str">
        <f t="shared" si="362"/>
        <v/>
      </c>
      <c r="FR110" s="189" t="str">
        <f t="shared" si="363"/>
        <v/>
      </c>
      <c r="FS110" s="189" t="str">
        <f t="shared" si="364"/>
        <v/>
      </c>
      <c r="FT110" s="189" t="str">
        <f t="shared" si="365"/>
        <v/>
      </c>
      <c r="FU110" s="189" t="str">
        <f t="shared" si="336"/>
        <v/>
      </c>
      <c r="FV110" s="206" t="str">
        <f t="shared" si="366"/>
        <v/>
      </c>
      <c r="FW110" s="205" t="str">
        <f t="shared" si="337"/>
        <v/>
      </c>
      <c r="FX110" s="189" t="str">
        <f t="shared" si="367"/>
        <v/>
      </c>
      <c r="FY110" s="189" t="str">
        <f t="shared" si="368"/>
        <v/>
      </c>
      <c r="FZ110" s="189" t="str">
        <f t="shared" si="369"/>
        <v/>
      </c>
      <c r="GA110" s="189" t="str">
        <f t="shared" si="370"/>
        <v/>
      </c>
      <c r="GB110" s="189" t="str">
        <f t="shared" si="338"/>
        <v/>
      </c>
      <c r="GC110" s="206" t="str">
        <f t="shared" si="371"/>
        <v/>
      </c>
      <c r="GD110" s="205" t="str">
        <f t="shared" si="339"/>
        <v/>
      </c>
      <c r="GE110" s="189" t="str">
        <f t="shared" si="372"/>
        <v/>
      </c>
      <c r="GF110" s="189" t="str">
        <f t="shared" si="373"/>
        <v/>
      </c>
      <c r="GG110" s="189" t="str">
        <f t="shared" si="374"/>
        <v/>
      </c>
      <c r="GH110" s="189" t="str">
        <f t="shared" si="375"/>
        <v/>
      </c>
      <c r="GI110" s="189" t="str">
        <f t="shared" si="340"/>
        <v/>
      </c>
      <c r="GJ110" s="206" t="str">
        <f t="shared" si="376"/>
        <v/>
      </c>
      <c r="GK110" s="205" t="str">
        <f t="shared" si="341"/>
        <v/>
      </c>
      <c r="GL110" s="189" t="str">
        <f t="shared" si="377"/>
        <v/>
      </c>
      <c r="GM110" s="189" t="str">
        <f t="shared" si="378"/>
        <v/>
      </c>
      <c r="GN110" s="189" t="str">
        <f t="shared" si="379"/>
        <v/>
      </c>
      <c r="GO110" s="189" t="str">
        <f t="shared" si="380"/>
        <v/>
      </c>
      <c r="GP110" s="189" t="str">
        <f t="shared" si="342"/>
        <v/>
      </c>
      <c r="GQ110" s="206" t="str">
        <f t="shared" si="381"/>
        <v/>
      </c>
      <c r="GR110" s="189" t="str">
        <f t="shared" si="343"/>
        <v/>
      </c>
      <c r="GS110" s="189" t="str">
        <f t="shared" si="344"/>
        <v/>
      </c>
      <c r="GT110" s="207" t="str">
        <f t="shared" si="345"/>
        <v xml:space="preserve">    </v>
      </c>
      <c r="GU110" s="207" t="str">
        <f t="shared" si="346"/>
        <v xml:space="preserve">    </v>
      </c>
      <c r="GV110" s="207" t="str">
        <f t="shared" si="347"/>
        <v xml:space="preserve">    </v>
      </c>
      <c r="GW110" s="207" t="str">
        <f t="shared" si="348"/>
        <v xml:space="preserve">       </v>
      </c>
      <c r="GX110" s="598" t="str">
        <f t="shared" si="349"/>
        <v xml:space="preserve">     </v>
      </c>
      <c r="GY110" s="208" t="str">
        <f t="shared" si="382"/>
        <v/>
      </c>
      <c r="GZ110" s="606" t="str">
        <f>IF(AND(Q110="",AE110="",AZ110="",BW110="",CT110=""),"",IF(AND('Master Sheet'!$D$19="YES",'Marks Entry'!$BA$1=1),SUM(Q110,AE110,AZ110,BW110,DT110),SUM(Q110,AE110,AZ110,BW110,CT110)))</f>
        <v/>
      </c>
      <c r="HA110" s="209" t="str">
        <f>IF(GZ110="","",IF(AND('Master Sheet'!$D$19="YES",'Marks Entry'!$BA$1=1),GZ110/((900)-DC110)*100,GZ110/((1000)-DC110)*100))</f>
        <v/>
      </c>
      <c r="HB110" s="611" t="str">
        <f t="shared" si="350"/>
        <v/>
      </c>
      <c r="HC110" s="609" t="str">
        <f t="shared" si="351"/>
        <v/>
      </c>
      <c r="HD110" s="610" t="str">
        <f t="shared" si="352"/>
        <v/>
      </c>
      <c r="HE110" s="210" t="str">
        <f>IFERROR(IF(OR(GY110="SUPPLEMENTARY",GY110="RE-EXAM"),'Supp. Result Entry'!AS109,""),"")</f>
        <v/>
      </c>
      <c r="HF110" s="613" t="str">
        <f t="shared" si="353"/>
        <v/>
      </c>
      <c r="HG110" s="598" t="str">
        <f t="shared" si="354"/>
        <v/>
      </c>
      <c r="HH110" s="598" t="str">
        <f>IF(AND(HE110="",HF110="",HG110=""),"",IF(OR(GY110="SUPPLEMENTARY",GY110="RE-EXAM"),'Supp. Result Entry'!AS109,GY110))</f>
        <v/>
      </c>
      <c r="HI110" s="180"/>
      <c r="HY110" s="212" t="str">
        <f>IF('Supp. Result Entry'!U109="","",'Supp. Result Entry'!$U$6)</f>
        <v/>
      </c>
      <c r="HZ110" s="213" t="str">
        <f>IF('Supp. Result Entry'!X109="","",'Supp. Result Entry'!$X$6)</f>
        <v/>
      </c>
      <c r="IA110" s="213" t="str">
        <f>IF('Supp. Result Entry'!AA109="","",'Supp. Result Entry'!$AA$6)</f>
        <v/>
      </c>
      <c r="IB110" s="213" t="str">
        <f>IF('Supp. Result Entry'!AD109="","",'Supp. Result Entry'!$AD$6)</f>
        <v/>
      </c>
      <c r="IC110" s="213" t="str">
        <f>IF('Supp. Result Entry'!AG109="","",'Supp. Result Entry'!$AG$6)</f>
        <v/>
      </c>
      <c r="ID110" s="213" t="str">
        <f>IF('Supp. Result Entry'!AJ109="","",'Supp. Result Entry'!$AJ$6)</f>
        <v/>
      </c>
      <c r="IE110" s="213" t="str">
        <f>IF('Supp. Result Entry'!V109="","",'Supp. Result Entry'!V109)</f>
        <v/>
      </c>
      <c r="IF110" s="213" t="str">
        <f>IF('Supp. Result Entry'!Y109="","",'Supp. Result Entry'!Y109)</f>
        <v/>
      </c>
      <c r="IG110" s="213" t="str">
        <f>IF('Supp. Result Entry'!AB109="","",'Supp. Result Entry'!AB109)</f>
        <v/>
      </c>
      <c r="IH110" s="213" t="str">
        <f>IF('Supp. Result Entry'!AE109="","",'Supp. Result Entry'!AE109)</f>
        <v/>
      </c>
      <c r="II110" s="213" t="str">
        <f>IF('Supp. Result Entry'!AH109="","",'Supp. Result Entry'!AH109)</f>
        <v/>
      </c>
      <c r="IJ110" s="213" t="str">
        <f>IF('Supp. Result Entry'!AK109="","",'Supp. Result Entry'!AK109)</f>
        <v/>
      </c>
      <c r="IK110" s="213" t="str">
        <f>IF('Supp. Result Entry'!W109="","",'Supp. Result Entry'!W109)</f>
        <v/>
      </c>
      <c r="IL110" s="213" t="str">
        <f>IF('Supp. Result Entry'!Z109="","",'Supp. Result Entry'!Z109)</f>
        <v/>
      </c>
      <c r="IM110" s="213" t="str">
        <f>IF('Supp. Result Entry'!AC109="","",'Supp. Result Entry'!AC109)</f>
        <v/>
      </c>
      <c r="IN110" s="213" t="str">
        <f>IF('Supp. Result Entry'!AF109="","",'Supp. Result Entry'!AF109)</f>
        <v/>
      </c>
      <c r="IO110" s="213" t="str">
        <f>IF('Supp. Result Entry'!AI109="","",'Supp. Result Entry'!AI109)</f>
        <v/>
      </c>
      <c r="IP110" s="213" t="str">
        <f>IF('Supp. Result Entry'!AL109="","",'Supp. Result Entry'!AL109)</f>
        <v/>
      </c>
      <c r="IQ110" s="213">
        <f>COUNTIF('Supp. Result Entry'!K109:Q109,"S")</f>
        <v>0</v>
      </c>
      <c r="IR110" s="213">
        <f t="shared" si="355"/>
        <v>0</v>
      </c>
      <c r="IS110" s="213">
        <f t="shared" si="356"/>
        <v>0</v>
      </c>
      <c r="IT110" s="213" t="str">
        <f t="shared" si="224"/>
        <v/>
      </c>
      <c r="IU110" s="213" t="str">
        <f t="shared" si="225"/>
        <v/>
      </c>
      <c r="IV110" s="213" t="str">
        <f t="shared" si="226"/>
        <v/>
      </c>
      <c r="IW110" s="213" t="str">
        <f t="shared" si="227"/>
        <v/>
      </c>
      <c r="IX110" s="213" t="str">
        <f t="shared" si="228"/>
        <v/>
      </c>
      <c r="IY110" s="213" t="str">
        <f t="shared" si="357"/>
        <v/>
      </c>
      <c r="IZ110" s="213" t="str">
        <f t="shared" si="358"/>
        <v/>
      </c>
      <c r="JA110" s="213" t="str">
        <f t="shared" si="229"/>
        <v/>
      </c>
      <c r="JB110" s="211" t="str">
        <f t="shared" si="359"/>
        <v/>
      </c>
    </row>
    <row r="111" spans="1:262" s="211" customFormat="1" ht="21" customHeight="1">
      <c r="A111" s="184">
        <v>104</v>
      </c>
      <c r="B111" s="185" t="str">
        <f>IF('Marks Entry'!B111="","",'Marks Entry'!B111)</f>
        <v/>
      </c>
      <c r="C111" s="186" t="str">
        <f>IF('Marks Entry'!D111="","",'Marks Entry'!D111)</f>
        <v/>
      </c>
      <c r="D111" s="187" t="str">
        <f>IF('Marks Entry'!E111="","",'Marks Entry'!E111)</f>
        <v/>
      </c>
      <c r="E111" s="188" t="str">
        <f>IF('Marks Entry'!F111="","",'Marks Entry'!F111)</f>
        <v/>
      </c>
      <c r="F111" s="188" t="str">
        <f>IF('Marks Entry'!G111="","",'Marks Entry'!G111)</f>
        <v/>
      </c>
      <c r="G111" s="188" t="str">
        <f>IF('Marks Entry'!H111="","",'Marks Entry'!H111)</f>
        <v/>
      </c>
      <c r="H111" s="189" t="str">
        <f>IF('Marks Entry'!I111="","",'Marks Entry'!I111)</f>
        <v/>
      </c>
      <c r="I111" s="190" t="str">
        <f>IF('Marks Entry'!J111="","",'Marks Entry'!J111)</f>
        <v/>
      </c>
      <c r="J111" s="545" t="str">
        <f>IF('Marks Entry'!K111="","",'Marks Entry'!K111)</f>
        <v/>
      </c>
      <c r="K111" s="545" t="str">
        <f>IF('Marks Entry'!L111="","",'Marks Entry'!L111)</f>
        <v/>
      </c>
      <c r="L111" s="545" t="str">
        <f>IF('Marks Entry'!M111="","",'Marks Entry'!M111)</f>
        <v/>
      </c>
      <c r="M111" s="546" t="str">
        <f t="shared" si="230"/>
        <v/>
      </c>
      <c r="N111" s="545" t="str">
        <f>IF('Marks Entry'!N111="","",'Marks Entry'!N111)</f>
        <v/>
      </c>
      <c r="O111" s="546" t="str">
        <f t="shared" si="231"/>
        <v/>
      </c>
      <c r="P111" s="545" t="str">
        <f>IF('Marks Entry'!O111="","",'Marks Entry'!O111)</f>
        <v/>
      </c>
      <c r="Q111" s="547" t="str">
        <f t="shared" si="232"/>
        <v/>
      </c>
      <c r="R111" s="153">
        <f t="shared" si="233"/>
        <v>0</v>
      </c>
      <c r="S111" s="153">
        <f t="shared" si="234"/>
        <v>0</v>
      </c>
      <c r="T111" s="154" t="str">
        <f t="shared" si="235"/>
        <v/>
      </c>
      <c r="U111" s="153" t="str">
        <f t="shared" si="236"/>
        <v/>
      </c>
      <c r="V111" s="153" t="str">
        <f t="shared" si="237"/>
        <v/>
      </c>
      <c r="W111" s="153" t="str">
        <f t="shared" si="238"/>
        <v/>
      </c>
      <c r="X111" s="545" t="str">
        <f>IF('Marks Entry'!P111="","",'Marks Entry'!P111)</f>
        <v/>
      </c>
      <c r="Y111" s="545" t="str">
        <f>IF('Marks Entry'!Q111="","",'Marks Entry'!Q111)</f>
        <v/>
      </c>
      <c r="Z111" s="545" t="str">
        <f>IF('Marks Entry'!R111="","",'Marks Entry'!R111)</f>
        <v/>
      </c>
      <c r="AA111" s="546" t="str">
        <f t="shared" si="239"/>
        <v/>
      </c>
      <c r="AB111" s="545" t="str">
        <f>IF('Marks Entry'!S111="","",'Marks Entry'!S111)</f>
        <v/>
      </c>
      <c r="AC111" s="546" t="str">
        <f t="shared" si="240"/>
        <v/>
      </c>
      <c r="AD111" s="545" t="str">
        <f>IF('Marks Entry'!T111="","",'Marks Entry'!T111)</f>
        <v/>
      </c>
      <c r="AE111" s="547" t="str">
        <f t="shared" si="241"/>
        <v/>
      </c>
      <c r="AF111" s="153">
        <f t="shared" si="242"/>
        <v>0</v>
      </c>
      <c r="AG111" s="153">
        <f t="shared" si="243"/>
        <v>0</v>
      </c>
      <c r="AH111" s="154" t="str">
        <f t="shared" si="244"/>
        <v/>
      </c>
      <c r="AI111" s="153" t="str">
        <f t="shared" si="245"/>
        <v/>
      </c>
      <c r="AJ111" s="153" t="str">
        <f t="shared" si="246"/>
        <v/>
      </c>
      <c r="AK111" s="153" t="str">
        <f t="shared" si="247"/>
        <v/>
      </c>
      <c r="AL111" s="573" t="str">
        <f>IF('Marks Entry'!U111="","",'Marks Entry'!U111)</f>
        <v/>
      </c>
      <c r="AM111" s="573" t="str">
        <f>IF('Marks Entry'!V111="","",'Marks Entry'!V111)</f>
        <v/>
      </c>
      <c r="AN111" s="573" t="str">
        <f>IF('Marks Entry'!W111="","",'Marks Entry'!W111)</f>
        <v/>
      </c>
      <c r="AO111" s="573" t="str">
        <f>IF('Marks Entry'!X111="","",'Marks Entry'!X111)</f>
        <v/>
      </c>
      <c r="AP111" s="572" t="str">
        <f t="shared" si="248"/>
        <v/>
      </c>
      <c r="AQ111" s="573" t="str">
        <f>IF('Marks Entry'!Y111="","",'Marks Entry'!Y111)</f>
        <v/>
      </c>
      <c r="AR111" s="573" t="str">
        <f>IF('Marks Entry'!Z111="","",'Marks Entry'!Z111)</f>
        <v/>
      </c>
      <c r="AS111" s="572" t="str">
        <f t="shared" si="249"/>
        <v/>
      </c>
      <c r="AT111" s="572" t="str">
        <f t="shared" si="250"/>
        <v/>
      </c>
      <c r="AU111" s="573" t="str">
        <f>IF('Marks Entry'!AA111="","",'Marks Entry'!AA111)</f>
        <v/>
      </c>
      <c r="AV111" s="573" t="str">
        <f>IF('Marks Entry'!AB111="","",'Marks Entry'!AB111)</f>
        <v/>
      </c>
      <c r="AW111" s="572" t="str">
        <f t="shared" si="251"/>
        <v/>
      </c>
      <c r="AX111" s="157" t="str">
        <f t="shared" si="252"/>
        <v/>
      </c>
      <c r="AY111" s="157" t="str">
        <f t="shared" si="253"/>
        <v/>
      </c>
      <c r="AZ111" s="192" t="str">
        <f t="shared" si="254"/>
        <v/>
      </c>
      <c r="BA111" s="153">
        <f t="shared" si="255"/>
        <v>0</v>
      </c>
      <c r="BB111" s="154">
        <f t="shared" si="256"/>
        <v>0</v>
      </c>
      <c r="BC111" s="154" t="str">
        <f t="shared" si="257"/>
        <v/>
      </c>
      <c r="BD111" s="154" t="str">
        <f t="shared" si="258"/>
        <v/>
      </c>
      <c r="BE111" s="154" t="str">
        <f t="shared" si="259"/>
        <v/>
      </c>
      <c r="BF111" s="153" t="str">
        <f t="shared" si="260"/>
        <v/>
      </c>
      <c r="BG111" s="154" t="str">
        <f t="shared" si="261"/>
        <v/>
      </c>
      <c r="BH111" s="153" t="str">
        <f t="shared" si="262"/>
        <v/>
      </c>
      <c r="BI111" s="580" t="str">
        <f>IF('Marks Entry'!AC111="","",'Marks Entry'!AC111)</f>
        <v/>
      </c>
      <c r="BJ111" s="580" t="str">
        <f>IF('Marks Entry'!AD111="","",'Marks Entry'!AD111)</f>
        <v/>
      </c>
      <c r="BK111" s="580" t="str">
        <f>IF('Marks Entry'!AE111="","",'Marks Entry'!AE111)</f>
        <v/>
      </c>
      <c r="BL111" s="580" t="str">
        <f>IF('Marks Entry'!AF111="","",'Marks Entry'!AF111)</f>
        <v/>
      </c>
      <c r="BM111" s="581" t="str">
        <f t="shared" si="263"/>
        <v/>
      </c>
      <c r="BN111" s="580" t="str">
        <f>IF('Marks Entry'!AG111="","",'Marks Entry'!AG111)</f>
        <v/>
      </c>
      <c r="BO111" s="580" t="str">
        <f>IF('Marks Entry'!AH111="","",'Marks Entry'!AH111)</f>
        <v/>
      </c>
      <c r="BP111" s="581" t="str">
        <f t="shared" si="264"/>
        <v/>
      </c>
      <c r="BQ111" s="581" t="str">
        <f t="shared" si="265"/>
        <v/>
      </c>
      <c r="BR111" s="580" t="str">
        <f>IF('Marks Entry'!AI111="","",'Marks Entry'!AI111)</f>
        <v/>
      </c>
      <c r="BS111" s="580" t="str">
        <f>IF('Marks Entry'!AJ111="","",'Marks Entry'!AJ111)</f>
        <v/>
      </c>
      <c r="BT111" s="581" t="str">
        <f t="shared" si="266"/>
        <v/>
      </c>
      <c r="BU111" s="157" t="str">
        <f t="shared" si="267"/>
        <v/>
      </c>
      <c r="BV111" s="157" t="str">
        <f t="shared" si="268"/>
        <v/>
      </c>
      <c r="BW111" s="192" t="str">
        <f t="shared" si="269"/>
        <v/>
      </c>
      <c r="BX111" s="153">
        <f t="shared" si="270"/>
        <v>0</v>
      </c>
      <c r="BY111" s="154">
        <f t="shared" si="271"/>
        <v>0</v>
      </c>
      <c r="BZ111" s="154" t="str">
        <f t="shared" si="272"/>
        <v/>
      </c>
      <c r="CA111" s="154" t="str">
        <f t="shared" si="273"/>
        <v/>
      </c>
      <c r="CB111" s="154" t="str">
        <f t="shared" si="274"/>
        <v/>
      </c>
      <c r="CC111" s="153" t="str">
        <f t="shared" si="275"/>
        <v/>
      </c>
      <c r="CD111" s="154" t="str">
        <f t="shared" si="276"/>
        <v/>
      </c>
      <c r="CE111" s="153" t="str">
        <f t="shared" si="277"/>
        <v/>
      </c>
      <c r="CF111" s="580" t="str">
        <f>IF('Marks Entry'!AK111="","",'Marks Entry'!AK111)</f>
        <v/>
      </c>
      <c r="CG111" s="580" t="str">
        <f>IF('Marks Entry'!AL111="","",'Marks Entry'!AL111)</f>
        <v/>
      </c>
      <c r="CH111" s="580" t="str">
        <f>IF('Marks Entry'!AM111="","",'Marks Entry'!AM111)</f>
        <v/>
      </c>
      <c r="CI111" s="580" t="str">
        <f>IF('Marks Entry'!AN111="","",'Marks Entry'!AN111)</f>
        <v/>
      </c>
      <c r="CJ111" s="581" t="str">
        <f t="shared" si="278"/>
        <v/>
      </c>
      <c r="CK111" s="580" t="str">
        <f>IF('Marks Entry'!AO111="","",'Marks Entry'!AO111)</f>
        <v/>
      </c>
      <c r="CL111" s="580" t="str">
        <f>IF('Marks Entry'!AP111="","",'Marks Entry'!AP111)</f>
        <v/>
      </c>
      <c r="CM111" s="581" t="str">
        <f t="shared" si="279"/>
        <v/>
      </c>
      <c r="CN111" s="581" t="str">
        <f t="shared" si="280"/>
        <v/>
      </c>
      <c r="CO111" s="580" t="str">
        <f>IF('Marks Entry'!AQ111="","",'Marks Entry'!AQ111)</f>
        <v/>
      </c>
      <c r="CP111" s="580" t="str">
        <f>IF('Marks Entry'!AR111="","",'Marks Entry'!AR111)</f>
        <v/>
      </c>
      <c r="CQ111" s="581" t="str">
        <f t="shared" si="281"/>
        <v/>
      </c>
      <c r="CR111" s="157" t="str">
        <f t="shared" si="282"/>
        <v/>
      </c>
      <c r="CS111" s="157" t="str">
        <f t="shared" si="283"/>
        <v/>
      </c>
      <c r="CT111" s="192" t="str">
        <f t="shared" si="284"/>
        <v/>
      </c>
      <c r="CU111" s="153">
        <f t="shared" si="285"/>
        <v>0</v>
      </c>
      <c r="CV111" s="154">
        <f t="shared" si="286"/>
        <v>0</v>
      </c>
      <c r="CW111" s="154" t="str">
        <f t="shared" si="287"/>
        <v/>
      </c>
      <c r="CX111" s="154" t="str">
        <f t="shared" si="288"/>
        <v/>
      </c>
      <c r="CY111" s="154" t="str">
        <f t="shared" si="289"/>
        <v/>
      </c>
      <c r="CZ111" s="153" t="str">
        <f t="shared" si="290"/>
        <v/>
      </c>
      <c r="DA111" s="154" t="str">
        <f t="shared" si="291"/>
        <v/>
      </c>
      <c r="DB111" s="153" t="str">
        <f t="shared" si="292"/>
        <v/>
      </c>
      <c r="DC111" s="154">
        <f t="shared" si="293"/>
        <v>0</v>
      </c>
      <c r="DD111" s="826" t="str">
        <f>IF('Marks Entry'!AS111="","",IF(OR('Master Sheet'!$D$19="YES",'Marks Entry'!$BA$1=1),'Marks Entry'!AS111,""))</f>
        <v/>
      </c>
      <c r="DE111" s="826" t="str">
        <f>IF('Marks Entry'!AT111="","",IF(OR('Master Sheet'!$D$19="YES",'Marks Entry'!$BA$1=1),'Marks Entry'!AT111,""))</f>
        <v/>
      </c>
      <c r="DF111" s="826" t="str">
        <f>IF('Marks Entry'!AU111="","",IF(OR('Master Sheet'!$D$19="YES",'Marks Entry'!$BA$1=1),'Marks Entry'!AU111,""))</f>
        <v/>
      </c>
      <c r="DG111" s="826" t="str">
        <f>IF('Marks Entry'!AV111="","",IF(OR('Master Sheet'!$D$19="YES",'Marks Entry'!$BA$1=1),'Marks Entry'!AV111,""))</f>
        <v/>
      </c>
      <c r="DH111" s="827" t="str">
        <f t="shared" si="294"/>
        <v/>
      </c>
      <c r="DI111" s="826" t="str">
        <f>IF('Marks Entry'!AW111="","",IF(OR('Master Sheet'!$D$19="YES",'Marks Entry'!$BA$1=1),'Marks Entry'!AW111,""))</f>
        <v/>
      </c>
      <c r="DJ111" s="826" t="str">
        <f>IF('Marks Entry'!AX111="","",IF(OR('Master Sheet'!$D$19="YES",'Marks Entry'!$BA$1=1),'Marks Entry'!AX111,""))</f>
        <v/>
      </c>
      <c r="DK111" s="827" t="str">
        <f t="shared" si="295"/>
        <v/>
      </c>
      <c r="DL111" s="827" t="str">
        <f t="shared" si="296"/>
        <v/>
      </c>
      <c r="DM111" s="826" t="str">
        <f>IF('Marks Entry'!AY111="","",IF(OR('Master Sheet'!$D$19="YES",'Marks Entry'!$BA$1=1),'Marks Entry'!AY111,""))</f>
        <v/>
      </c>
      <c r="DN111" s="826" t="str">
        <f>IF('Marks Entry'!AZ111="","",IF(OR('Master Sheet'!$D$19="YES",'Marks Entry'!$BA$1=1),'Marks Entry'!AZ111,""))</f>
        <v/>
      </c>
      <c r="DO111" s="826" t="str">
        <f>IF('Marks Entry'!BA111="","",IF(OR('Master Sheet'!$D$19="YES",'Marks Entry'!$BA$1=1),'Marks Entry'!BA111,""))</f>
        <v/>
      </c>
      <c r="DP111" s="827" t="str">
        <f t="shared" si="297"/>
        <v/>
      </c>
      <c r="DQ111" s="157" t="str">
        <f t="shared" si="298"/>
        <v/>
      </c>
      <c r="DR111" s="157" t="str">
        <f t="shared" si="299"/>
        <v/>
      </c>
      <c r="DS111" s="157" t="str">
        <f t="shared" si="300"/>
        <v/>
      </c>
      <c r="DT111" s="192" t="str">
        <f t="shared" si="301"/>
        <v/>
      </c>
      <c r="DU111" s="153">
        <f t="shared" si="302"/>
        <v>0</v>
      </c>
      <c r="DV111" s="154" t="e">
        <f t="shared" si="303"/>
        <v>#VALUE!</v>
      </c>
      <c r="DW111" s="154" t="str">
        <f t="shared" si="304"/>
        <v/>
      </c>
      <c r="DX111" s="154" t="str">
        <f>IF(OR($B111="NSO",$B111=0,DS111=""),"",IF(AND(DJ111="",DO111=""),"",IF('Master Sheet'!$D$19="YES",$DO$6-COUNTIF(DO111,"ML")*DO$6,DS$6-(COUNTIF(DJ111,"ML")*DJ$6)-(COUNTIF(DO111,"ML")*DO$6))))</f>
        <v/>
      </c>
      <c r="DY111" s="154" t="str">
        <f>IF(OR($B111="NSO",$B111=0),"",IF(AND(DH111="",DI111="",DM111=""),"",IF(AND('Master Sheet'!$D$19="YES",'Marks Entry'!$BA$1=1),100,IF(AND(DJ111="",DO111=""),SUM(($DQ$7+$DR$7)-(DU111+DV111)),SUM(($DQ$6+$DR$6)-(DU111+DV111))))))</f>
        <v/>
      </c>
      <c r="DZ111" s="153" t="str">
        <f t="shared" si="305"/>
        <v/>
      </c>
      <c r="EA111" s="154" t="str">
        <f t="shared" si="306"/>
        <v/>
      </c>
      <c r="EB111" s="153" t="str">
        <f t="shared" si="307"/>
        <v/>
      </c>
      <c r="EC111" s="584" t="str">
        <f>IF('Marks Entry'!BB111="","",'Marks Entry'!BB111)</f>
        <v/>
      </c>
      <c r="ED111" s="584" t="str">
        <f>IF('Marks Entry'!BC111="","",'Marks Entry'!BC111)</f>
        <v/>
      </c>
      <c r="EE111" s="584" t="str">
        <f>IF('Marks Entry'!BD111="","",'Marks Entry'!BD111)</f>
        <v/>
      </c>
      <c r="EF111" s="590" t="str">
        <f t="shared" si="308"/>
        <v/>
      </c>
      <c r="EG111" s="595">
        <f t="shared" si="309"/>
        <v>0</v>
      </c>
      <c r="EH111" s="595">
        <f t="shared" si="310"/>
        <v>0</v>
      </c>
      <c r="EI111" s="193" t="str">
        <f t="shared" si="311"/>
        <v/>
      </c>
      <c r="EJ111" s="595" t="str">
        <f t="shared" si="312"/>
        <v/>
      </c>
      <c r="EK111" s="595" t="str">
        <f t="shared" si="313"/>
        <v/>
      </c>
      <c r="EL111" s="194" t="str">
        <f t="shared" si="314"/>
        <v/>
      </c>
      <c r="EM111" s="194" t="str">
        <f t="shared" si="315"/>
        <v/>
      </c>
      <c r="EN111" s="194" t="str">
        <f t="shared" si="316"/>
        <v/>
      </c>
      <c r="EO111" s="194" t="str">
        <f t="shared" si="317"/>
        <v/>
      </c>
      <c r="EP111" s="194" t="str">
        <f t="shared" si="318"/>
        <v/>
      </c>
      <c r="EQ111" s="194" t="str">
        <f t="shared" si="319"/>
        <v/>
      </c>
      <c r="ER111" s="195">
        <f t="shared" si="320"/>
        <v>0</v>
      </c>
      <c r="ES111" s="195">
        <f t="shared" si="321"/>
        <v>0</v>
      </c>
      <c r="ET111" s="195">
        <f t="shared" si="322"/>
        <v>0</v>
      </c>
      <c r="EU111" s="195">
        <f t="shared" si="323"/>
        <v>0</v>
      </c>
      <c r="EV111" s="195">
        <f t="shared" si="324"/>
        <v>0</v>
      </c>
      <c r="EW111" s="195" t="str">
        <f t="shared" si="325"/>
        <v/>
      </c>
      <c r="EX111" s="196" t="str">
        <f t="shared" si="326"/>
        <v/>
      </c>
      <c r="EY111" s="197" t="str">
        <f>IF('Marks Entry'!BE111="","",'Marks Entry'!BE111)</f>
        <v/>
      </c>
      <c r="EZ111" s="197" t="str">
        <f>IF('Marks Entry'!BF111="","",'Marks Entry'!BF111)</f>
        <v/>
      </c>
      <c r="FA111" s="197" t="str">
        <f>IF('Marks Entry'!BG111="","",'Marks Entry'!BG111)</f>
        <v/>
      </c>
      <c r="FB111" s="596" t="str">
        <f t="shared" si="327"/>
        <v/>
      </c>
      <c r="FC111" s="197" t="str">
        <f>IF('Marks Entry'!BH111="","",'Marks Entry'!BH111)</f>
        <v/>
      </c>
      <c r="FD111" s="197" t="str">
        <f>IF('Marks Entry'!BI111="","",'Marks Entry'!BI111)</f>
        <v/>
      </c>
      <c r="FE111" s="198" t="str">
        <f t="shared" si="328"/>
        <v/>
      </c>
      <c r="FF111" s="199" t="str">
        <f t="shared" si="329"/>
        <v/>
      </c>
      <c r="FG111" s="200" t="str">
        <f>IF(AND(E111=""),"",IF('Student DATA Entry'!L107="","",'Student DATA Entry'!L107))</f>
        <v/>
      </c>
      <c r="FH111" s="201" t="str">
        <f>IF(AND(E111=""),"",IF('Student DATA Entry'!M107="","",'Student DATA Entry'!M107))</f>
        <v/>
      </c>
      <c r="FI111" s="202" t="str">
        <f t="shared" si="330"/>
        <v/>
      </c>
      <c r="FJ111" s="189" t="str">
        <f t="shared" si="331"/>
        <v/>
      </c>
      <c r="FK111" s="189" t="str">
        <f t="shared" si="332"/>
        <v/>
      </c>
      <c r="FL111" s="203" t="str">
        <f t="shared" si="360"/>
        <v/>
      </c>
      <c r="FM111" s="189" t="str">
        <f t="shared" si="333"/>
        <v/>
      </c>
      <c r="FN111" s="204" t="str">
        <f t="shared" si="334"/>
        <v/>
      </c>
      <c r="FO111" s="203" t="str">
        <f t="shared" si="361"/>
        <v/>
      </c>
      <c r="FP111" s="205" t="str">
        <f t="shared" si="335"/>
        <v/>
      </c>
      <c r="FQ111" s="189" t="str">
        <f t="shared" si="362"/>
        <v/>
      </c>
      <c r="FR111" s="189" t="str">
        <f t="shared" si="363"/>
        <v/>
      </c>
      <c r="FS111" s="189" t="str">
        <f t="shared" si="364"/>
        <v/>
      </c>
      <c r="FT111" s="189" t="str">
        <f t="shared" si="365"/>
        <v/>
      </c>
      <c r="FU111" s="189" t="str">
        <f t="shared" si="336"/>
        <v/>
      </c>
      <c r="FV111" s="206" t="str">
        <f t="shared" si="366"/>
        <v/>
      </c>
      <c r="FW111" s="205" t="str">
        <f t="shared" si="337"/>
        <v/>
      </c>
      <c r="FX111" s="189" t="str">
        <f t="shared" si="367"/>
        <v/>
      </c>
      <c r="FY111" s="189" t="str">
        <f t="shared" si="368"/>
        <v/>
      </c>
      <c r="FZ111" s="189" t="str">
        <f t="shared" si="369"/>
        <v/>
      </c>
      <c r="GA111" s="189" t="str">
        <f t="shared" si="370"/>
        <v/>
      </c>
      <c r="GB111" s="189" t="str">
        <f t="shared" si="338"/>
        <v/>
      </c>
      <c r="GC111" s="206" t="str">
        <f t="shared" si="371"/>
        <v/>
      </c>
      <c r="GD111" s="205" t="str">
        <f t="shared" si="339"/>
        <v/>
      </c>
      <c r="GE111" s="189" t="str">
        <f t="shared" si="372"/>
        <v/>
      </c>
      <c r="GF111" s="189" t="str">
        <f t="shared" si="373"/>
        <v/>
      </c>
      <c r="GG111" s="189" t="str">
        <f t="shared" si="374"/>
        <v/>
      </c>
      <c r="GH111" s="189" t="str">
        <f t="shared" si="375"/>
        <v/>
      </c>
      <c r="GI111" s="189" t="str">
        <f t="shared" si="340"/>
        <v/>
      </c>
      <c r="GJ111" s="206" t="str">
        <f t="shared" si="376"/>
        <v/>
      </c>
      <c r="GK111" s="205" t="str">
        <f t="shared" si="341"/>
        <v/>
      </c>
      <c r="GL111" s="189" t="str">
        <f t="shared" si="377"/>
        <v/>
      </c>
      <c r="GM111" s="189" t="str">
        <f t="shared" si="378"/>
        <v/>
      </c>
      <c r="GN111" s="189" t="str">
        <f t="shared" si="379"/>
        <v/>
      </c>
      <c r="GO111" s="189" t="str">
        <f t="shared" si="380"/>
        <v/>
      </c>
      <c r="GP111" s="189" t="str">
        <f t="shared" si="342"/>
        <v/>
      </c>
      <c r="GQ111" s="206" t="str">
        <f t="shared" si="381"/>
        <v/>
      </c>
      <c r="GR111" s="189" t="str">
        <f t="shared" si="343"/>
        <v/>
      </c>
      <c r="GS111" s="189" t="str">
        <f t="shared" si="344"/>
        <v/>
      </c>
      <c r="GT111" s="207" t="str">
        <f t="shared" si="345"/>
        <v xml:space="preserve">    </v>
      </c>
      <c r="GU111" s="207" t="str">
        <f t="shared" si="346"/>
        <v xml:space="preserve">    </v>
      </c>
      <c r="GV111" s="207" t="str">
        <f t="shared" si="347"/>
        <v xml:space="preserve">    </v>
      </c>
      <c r="GW111" s="207" t="str">
        <f t="shared" si="348"/>
        <v xml:space="preserve">       </v>
      </c>
      <c r="GX111" s="598" t="str">
        <f t="shared" si="349"/>
        <v xml:space="preserve">     </v>
      </c>
      <c r="GY111" s="208" t="str">
        <f t="shared" si="382"/>
        <v/>
      </c>
      <c r="GZ111" s="606" t="str">
        <f>IF(AND(Q111="",AE111="",AZ111="",BW111="",CT111=""),"",IF(AND('Master Sheet'!$D$19="YES",'Marks Entry'!$BA$1=1),SUM(Q111,AE111,AZ111,BW111,DT111),SUM(Q111,AE111,AZ111,BW111,CT111)))</f>
        <v/>
      </c>
      <c r="HA111" s="209" t="str">
        <f>IF(GZ111="","",IF(AND('Master Sheet'!$D$19="YES",'Marks Entry'!$BA$1=1),GZ111/((900)-DC111)*100,GZ111/((1000)-DC111)*100))</f>
        <v/>
      </c>
      <c r="HB111" s="611" t="str">
        <f t="shared" si="350"/>
        <v/>
      </c>
      <c r="HC111" s="609" t="str">
        <f t="shared" si="351"/>
        <v/>
      </c>
      <c r="HD111" s="610" t="str">
        <f t="shared" si="352"/>
        <v/>
      </c>
      <c r="HE111" s="210" t="str">
        <f>IFERROR(IF(OR(GY111="SUPPLEMENTARY",GY111="RE-EXAM"),'Supp. Result Entry'!AS110,""),"")</f>
        <v/>
      </c>
      <c r="HF111" s="613" t="str">
        <f t="shared" si="353"/>
        <v/>
      </c>
      <c r="HG111" s="598" t="str">
        <f t="shared" si="354"/>
        <v/>
      </c>
      <c r="HH111" s="598" t="str">
        <f>IF(AND(HE111="",HF111="",HG111=""),"",IF(OR(GY111="SUPPLEMENTARY",GY111="RE-EXAM"),'Supp. Result Entry'!AS110,GY111))</f>
        <v/>
      </c>
      <c r="HI111" s="180"/>
      <c r="HY111" s="212" t="str">
        <f>IF('Supp. Result Entry'!U110="","",'Supp. Result Entry'!$U$6)</f>
        <v/>
      </c>
      <c r="HZ111" s="213" t="str">
        <f>IF('Supp. Result Entry'!X110="","",'Supp. Result Entry'!$X$6)</f>
        <v/>
      </c>
      <c r="IA111" s="213" t="str">
        <f>IF('Supp. Result Entry'!AA110="","",'Supp. Result Entry'!$AA$6)</f>
        <v/>
      </c>
      <c r="IB111" s="213" t="str">
        <f>IF('Supp. Result Entry'!AD110="","",'Supp. Result Entry'!$AD$6)</f>
        <v/>
      </c>
      <c r="IC111" s="213" t="str">
        <f>IF('Supp. Result Entry'!AG110="","",'Supp. Result Entry'!$AG$6)</f>
        <v/>
      </c>
      <c r="ID111" s="213" t="str">
        <f>IF('Supp. Result Entry'!AJ110="","",'Supp. Result Entry'!$AJ$6)</f>
        <v/>
      </c>
      <c r="IE111" s="213" t="str">
        <f>IF('Supp. Result Entry'!V110="","",'Supp. Result Entry'!V110)</f>
        <v/>
      </c>
      <c r="IF111" s="213" t="str">
        <f>IF('Supp. Result Entry'!Y110="","",'Supp. Result Entry'!Y110)</f>
        <v/>
      </c>
      <c r="IG111" s="213" t="str">
        <f>IF('Supp. Result Entry'!AB110="","",'Supp. Result Entry'!AB110)</f>
        <v/>
      </c>
      <c r="IH111" s="213" t="str">
        <f>IF('Supp. Result Entry'!AE110="","",'Supp. Result Entry'!AE110)</f>
        <v/>
      </c>
      <c r="II111" s="213" t="str">
        <f>IF('Supp. Result Entry'!AH110="","",'Supp. Result Entry'!AH110)</f>
        <v/>
      </c>
      <c r="IJ111" s="213" t="str">
        <f>IF('Supp. Result Entry'!AK110="","",'Supp. Result Entry'!AK110)</f>
        <v/>
      </c>
      <c r="IK111" s="213" t="str">
        <f>IF('Supp. Result Entry'!W110="","",'Supp. Result Entry'!W110)</f>
        <v/>
      </c>
      <c r="IL111" s="213" t="str">
        <f>IF('Supp. Result Entry'!Z110="","",'Supp. Result Entry'!Z110)</f>
        <v/>
      </c>
      <c r="IM111" s="213" t="str">
        <f>IF('Supp. Result Entry'!AC110="","",'Supp. Result Entry'!AC110)</f>
        <v/>
      </c>
      <c r="IN111" s="213" t="str">
        <f>IF('Supp. Result Entry'!AF110="","",'Supp. Result Entry'!AF110)</f>
        <v/>
      </c>
      <c r="IO111" s="213" t="str">
        <f>IF('Supp. Result Entry'!AI110="","",'Supp. Result Entry'!AI110)</f>
        <v/>
      </c>
      <c r="IP111" s="213" t="str">
        <f>IF('Supp. Result Entry'!AL110="","",'Supp. Result Entry'!AL110)</f>
        <v/>
      </c>
      <c r="IQ111" s="213">
        <f>COUNTIF('Supp. Result Entry'!K110:Q110,"S")</f>
        <v>0</v>
      </c>
      <c r="IR111" s="213">
        <f t="shared" si="355"/>
        <v>0</v>
      </c>
      <c r="IS111" s="213">
        <f t="shared" si="356"/>
        <v>0</v>
      </c>
      <c r="IT111" s="213" t="str">
        <f t="shared" si="224"/>
        <v/>
      </c>
      <c r="IU111" s="213" t="str">
        <f t="shared" si="225"/>
        <v/>
      </c>
      <c r="IV111" s="213" t="str">
        <f t="shared" si="226"/>
        <v/>
      </c>
      <c r="IW111" s="213" t="str">
        <f t="shared" si="227"/>
        <v/>
      </c>
      <c r="IX111" s="213" t="str">
        <f t="shared" si="228"/>
        <v/>
      </c>
      <c r="IY111" s="213" t="str">
        <f t="shared" si="357"/>
        <v/>
      </c>
      <c r="IZ111" s="213" t="str">
        <f t="shared" si="358"/>
        <v/>
      </c>
      <c r="JA111" s="213" t="str">
        <f t="shared" si="229"/>
        <v/>
      </c>
      <c r="JB111" s="211" t="str">
        <f t="shared" si="359"/>
        <v/>
      </c>
    </row>
    <row r="112" spans="1:262" s="211" customFormat="1" ht="21" customHeight="1">
      <c r="A112" s="184">
        <v>105</v>
      </c>
      <c r="B112" s="185" t="str">
        <f>IF('Marks Entry'!B112="","",'Marks Entry'!B112)</f>
        <v/>
      </c>
      <c r="C112" s="186" t="str">
        <f>IF('Marks Entry'!D112="","",'Marks Entry'!D112)</f>
        <v/>
      </c>
      <c r="D112" s="187" t="str">
        <f>IF('Marks Entry'!E112="","",'Marks Entry'!E112)</f>
        <v/>
      </c>
      <c r="E112" s="188" t="str">
        <f>IF('Marks Entry'!F112="","",'Marks Entry'!F112)</f>
        <v/>
      </c>
      <c r="F112" s="188" t="str">
        <f>IF('Marks Entry'!G112="","",'Marks Entry'!G112)</f>
        <v/>
      </c>
      <c r="G112" s="188" t="str">
        <f>IF('Marks Entry'!H112="","",'Marks Entry'!H112)</f>
        <v/>
      </c>
      <c r="H112" s="189" t="str">
        <f>IF('Marks Entry'!I112="","",'Marks Entry'!I112)</f>
        <v/>
      </c>
      <c r="I112" s="190" t="str">
        <f>IF('Marks Entry'!J112="","",'Marks Entry'!J112)</f>
        <v/>
      </c>
      <c r="J112" s="545" t="str">
        <f>IF('Marks Entry'!K112="","",'Marks Entry'!K112)</f>
        <v/>
      </c>
      <c r="K112" s="545" t="str">
        <f>IF('Marks Entry'!L112="","",'Marks Entry'!L112)</f>
        <v/>
      </c>
      <c r="L112" s="545" t="str">
        <f>IF('Marks Entry'!M112="","",'Marks Entry'!M112)</f>
        <v/>
      </c>
      <c r="M112" s="546" t="str">
        <f t="shared" si="230"/>
        <v/>
      </c>
      <c r="N112" s="545" t="str">
        <f>IF('Marks Entry'!N112="","",'Marks Entry'!N112)</f>
        <v/>
      </c>
      <c r="O112" s="546" t="str">
        <f t="shared" si="231"/>
        <v/>
      </c>
      <c r="P112" s="545" t="str">
        <f>IF('Marks Entry'!O112="","",'Marks Entry'!O112)</f>
        <v/>
      </c>
      <c r="Q112" s="547" t="str">
        <f t="shared" si="232"/>
        <v/>
      </c>
      <c r="R112" s="153">
        <f t="shared" si="233"/>
        <v>0</v>
      </c>
      <c r="S112" s="153">
        <f t="shared" si="234"/>
        <v>0</v>
      </c>
      <c r="T112" s="154" t="str">
        <f t="shared" si="235"/>
        <v/>
      </c>
      <c r="U112" s="153" t="str">
        <f t="shared" si="236"/>
        <v/>
      </c>
      <c r="V112" s="153" t="str">
        <f t="shared" si="237"/>
        <v/>
      </c>
      <c r="W112" s="153" t="str">
        <f t="shared" si="238"/>
        <v/>
      </c>
      <c r="X112" s="545" t="str">
        <f>IF('Marks Entry'!P112="","",'Marks Entry'!P112)</f>
        <v/>
      </c>
      <c r="Y112" s="545" t="str">
        <f>IF('Marks Entry'!Q112="","",'Marks Entry'!Q112)</f>
        <v/>
      </c>
      <c r="Z112" s="545" t="str">
        <f>IF('Marks Entry'!R112="","",'Marks Entry'!R112)</f>
        <v/>
      </c>
      <c r="AA112" s="546" t="str">
        <f t="shared" si="239"/>
        <v/>
      </c>
      <c r="AB112" s="545" t="str">
        <f>IF('Marks Entry'!S112="","",'Marks Entry'!S112)</f>
        <v/>
      </c>
      <c r="AC112" s="546" t="str">
        <f t="shared" si="240"/>
        <v/>
      </c>
      <c r="AD112" s="545" t="str">
        <f>IF('Marks Entry'!T112="","",'Marks Entry'!T112)</f>
        <v/>
      </c>
      <c r="AE112" s="547" t="str">
        <f t="shared" si="241"/>
        <v/>
      </c>
      <c r="AF112" s="153">
        <f t="shared" si="242"/>
        <v>0</v>
      </c>
      <c r="AG112" s="153">
        <f t="shared" si="243"/>
        <v>0</v>
      </c>
      <c r="AH112" s="154" t="str">
        <f t="shared" si="244"/>
        <v/>
      </c>
      <c r="AI112" s="153" t="str">
        <f t="shared" si="245"/>
        <v/>
      </c>
      <c r="AJ112" s="153" t="str">
        <f t="shared" si="246"/>
        <v/>
      </c>
      <c r="AK112" s="153" t="str">
        <f t="shared" si="247"/>
        <v/>
      </c>
      <c r="AL112" s="573" t="str">
        <f>IF('Marks Entry'!U112="","",'Marks Entry'!U112)</f>
        <v/>
      </c>
      <c r="AM112" s="573" t="str">
        <f>IF('Marks Entry'!V112="","",'Marks Entry'!V112)</f>
        <v/>
      </c>
      <c r="AN112" s="573" t="str">
        <f>IF('Marks Entry'!W112="","",'Marks Entry'!W112)</f>
        <v/>
      </c>
      <c r="AO112" s="573" t="str">
        <f>IF('Marks Entry'!X112="","",'Marks Entry'!X112)</f>
        <v/>
      </c>
      <c r="AP112" s="572" t="str">
        <f t="shared" si="248"/>
        <v/>
      </c>
      <c r="AQ112" s="573" t="str">
        <f>IF('Marks Entry'!Y112="","",'Marks Entry'!Y112)</f>
        <v/>
      </c>
      <c r="AR112" s="573" t="str">
        <f>IF('Marks Entry'!Z112="","",'Marks Entry'!Z112)</f>
        <v/>
      </c>
      <c r="AS112" s="572" t="str">
        <f t="shared" si="249"/>
        <v/>
      </c>
      <c r="AT112" s="572" t="str">
        <f t="shared" si="250"/>
        <v/>
      </c>
      <c r="AU112" s="573" t="str">
        <f>IF('Marks Entry'!AA112="","",'Marks Entry'!AA112)</f>
        <v/>
      </c>
      <c r="AV112" s="573" t="str">
        <f>IF('Marks Entry'!AB112="","",'Marks Entry'!AB112)</f>
        <v/>
      </c>
      <c r="AW112" s="572" t="str">
        <f t="shared" si="251"/>
        <v/>
      </c>
      <c r="AX112" s="157" t="str">
        <f t="shared" si="252"/>
        <v/>
      </c>
      <c r="AY112" s="157" t="str">
        <f t="shared" si="253"/>
        <v/>
      </c>
      <c r="AZ112" s="192" t="str">
        <f t="shared" si="254"/>
        <v/>
      </c>
      <c r="BA112" s="153">
        <f t="shared" si="255"/>
        <v>0</v>
      </c>
      <c r="BB112" s="154">
        <f t="shared" si="256"/>
        <v>0</v>
      </c>
      <c r="BC112" s="154" t="str">
        <f t="shared" si="257"/>
        <v/>
      </c>
      <c r="BD112" s="154" t="str">
        <f t="shared" si="258"/>
        <v/>
      </c>
      <c r="BE112" s="154" t="str">
        <f t="shared" si="259"/>
        <v/>
      </c>
      <c r="BF112" s="153" t="str">
        <f t="shared" si="260"/>
        <v/>
      </c>
      <c r="BG112" s="154" t="str">
        <f t="shared" si="261"/>
        <v/>
      </c>
      <c r="BH112" s="153" t="str">
        <f t="shared" si="262"/>
        <v/>
      </c>
      <c r="BI112" s="580" t="str">
        <f>IF('Marks Entry'!AC112="","",'Marks Entry'!AC112)</f>
        <v/>
      </c>
      <c r="BJ112" s="580" t="str">
        <f>IF('Marks Entry'!AD112="","",'Marks Entry'!AD112)</f>
        <v/>
      </c>
      <c r="BK112" s="580" t="str">
        <f>IF('Marks Entry'!AE112="","",'Marks Entry'!AE112)</f>
        <v/>
      </c>
      <c r="BL112" s="580" t="str">
        <f>IF('Marks Entry'!AF112="","",'Marks Entry'!AF112)</f>
        <v/>
      </c>
      <c r="BM112" s="581" t="str">
        <f t="shared" si="263"/>
        <v/>
      </c>
      <c r="BN112" s="580" t="str">
        <f>IF('Marks Entry'!AG112="","",'Marks Entry'!AG112)</f>
        <v/>
      </c>
      <c r="BO112" s="580" t="str">
        <f>IF('Marks Entry'!AH112="","",'Marks Entry'!AH112)</f>
        <v/>
      </c>
      <c r="BP112" s="581" t="str">
        <f t="shared" si="264"/>
        <v/>
      </c>
      <c r="BQ112" s="581" t="str">
        <f t="shared" si="265"/>
        <v/>
      </c>
      <c r="BR112" s="580" t="str">
        <f>IF('Marks Entry'!AI112="","",'Marks Entry'!AI112)</f>
        <v/>
      </c>
      <c r="BS112" s="580" t="str">
        <f>IF('Marks Entry'!AJ112="","",'Marks Entry'!AJ112)</f>
        <v/>
      </c>
      <c r="BT112" s="581" t="str">
        <f t="shared" si="266"/>
        <v/>
      </c>
      <c r="BU112" s="157" t="str">
        <f t="shared" si="267"/>
        <v/>
      </c>
      <c r="BV112" s="157" t="str">
        <f t="shared" si="268"/>
        <v/>
      </c>
      <c r="BW112" s="192" t="str">
        <f t="shared" si="269"/>
        <v/>
      </c>
      <c r="BX112" s="153">
        <f t="shared" si="270"/>
        <v>0</v>
      </c>
      <c r="BY112" s="154">
        <f t="shared" si="271"/>
        <v>0</v>
      </c>
      <c r="BZ112" s="154" t="str">
        <f t="shared" si="272"/>
        <v/>
      </c>
      <c r="CA112" s="154" t="str">
        <f t="shared" si="273"/>
        <v/>
      </c>
      <c r="CB112" s="154" t="str">
        <f t="shared" si="274"/>
        <v/>
      </c>
      <c r="CC112" s="153" t="str">
        <f t="shared" si="275"/>
        <v/>
      </c>
      <c r="CD112" s="154" t="str">
        <f t="shared" si="276"/>
        <v/>
      </c>
      <c r="CE112" s="153" t="str">
        <f t="shared" si="277"/>
        <v/>
      </c>
      <c r="CF112" s="580" t="str">
        <f>IF('Marks Entry'!AK112="","",'Marks Entry'!AK112)</f>
        <v/>
      </c>
      <c r="CG112" s="580" t="str">
        <f>IF('Marks Entry'!AL112="","",'Marks Entry'!AL112)</f>
        <v/>
      </c>
      <c r="CH112" s="580" t="str">
        <f>IF('Marks Entry'!AM112="","",'Marks Entry'!AM112)</f>
        <v/>
      </c>
      <c r="CI112" s="580" t="str">
        <f>IF('Marks Entry'!AN112="","",'Marks Entry'!AN112)</f>
        <v/>
      </c>
      <c r="CJ112" s="581" t="str">
        <f t="shared" si="278"/>
        <v/>
      </c>
      <c r="CK112" s="580" t="str">
        <f>IF('Marks Entry'!AO112="","",'Marks Entry'!AO112)</f>
        <v/>
      </c>
      <c r="CL112" s="580" t="str">
        <f>IF('Marks Entry'!AP112="","",'Marks Entry'!AP112)</f>
        <v/>
      </c>
      <c r="CM112" s="581" t="str">
        <f t="shared" si="279"/>
        <v/>
      </c>
      <c r="CN112" s="581" t="str">
        <f t="shared" si="280"/>
        <v/>
      </c>
      <c r="CO112" s="580" t="str">
        <f>IF('Marks Entry'!AQ112="","",'Marks Entry'!AQ112)</f>
        <v/>
      </c>
      <c r="CP112" s="580" t="str">
        <f>IF('Marks Entry'!AR112="","",'Marks Entry'!AR112)</f>
        <v/>
      </c>
      <c r="CQ112" s="581" t="str">
        <f t="shared" si="281"/>
        <v/>
      </c>
      <c r="CR112" s="157" t="str">
        <f t="shared" si="282"/>
        <v/>
      </c>
      <c r="CS112" s="157" t="str">
        <f t="shared" si="283"/>
        <v/>
      </c>
      <c r="CT112" s="192" t="str">
        <f t="shared" si="284"/>
        <v/>
      </c>
      <c r="CU112" s="153">
        <f t="shared" si="285"/>
        <v>0</v>
      </c>
      <c r="CV112" s="154">
        <f t="shared" si="286"/>
        <v>0</v>
      </c>
      <c r="CW112" s="154" t="str">
        <f t="shared" si="287"/>
        <v/>
      </c>
      <c r="CX112" s="154" t="str">
        <f t="shared" si="288"/>
        <v/>
      </c>
      <c r="CY112" s="154" t="str">
        <f t="shared" si="289"/>
        <v/>
      </c>
      <c r="CZ112" s="153" t="str">
        <f t="shared" si="290"/>
        <v/>
      </c>
      <c r="DA112" s="154" t="str">
        <f t="shared" si="291"/>
        <v/>
      </c>
      <c r="DB112" s="153" t="str">
        <f t="shared" si="292"/>
        <v/>
      </c>
      <c r="DC112" s="154">
        <f t="shared" si="293"/>
        <v>0</v>
      </c>
      <c r="DD112" s="826" t="str">
        <f>IF('Marks Entry'!AS112="","",IF(OR('Master Sheet'!$D$19="YES",'Marks Entry'!$BA$1=1),'Marks Entry'!AS112,""))</f>
        <v/>
      </c>
      <c r="DE112" s="826" t="str">
        <f>IF('Marks Entry'!AT112="","",IF(OR('Master Sheet'!$D$19="YES",'Marks Entry'!$BA$1=1),'Marks Entry'!AT112,""))</f>
        <v/>
      </c>
      <c r="DF112" s="826" t="str">
        <f>IF('Marks Entry'!AU112="","",IF(OR('Master Sheet'!$D$19="YES",'Marks Entry'!$BA$1=1),'Marks Entry'!AU112,""))</f>
        <v/>
      </c>
      <c r="DG112" s="826" t="str">
        <f>IF('Marks Entry'!AV112="","",IF(OR('Master Sheet'!$D$19="YES",'Marks Entry'!$BA$1=1),'Marks Entry'!AV112,""))</f>
        <v/>
      </c>
      <c r="DH112" s="827" t="str">
        <f t="shared" si="294"/>
        <v/>
      </c>
      <c r="DI112" s="826" t="str">
        <f>IF('Marks Entry'!AW112="","",IF(OR('Master Sheet'!$D$19="YES",'Marks Entry'!$BA$1=1),'Marks Entry'!AW112,""))</f>
        <v/>
      </c>
      <c r="DJ112" s="826" t="str">
        <f>IF('Marks Entry'!AX112="","",IF(OR('Master Sheet'!$D$19="YES",'Marks Entry'!$BA$1=1),'Marks Entry'!AX112,""))</f>
        <v/>
      </c>
      <c r="DK112" s="827" t="str">
        <f t="shared" si="295"/>
        <v/>
      </c>
      <c r="DL112" s="827" t="str">
        <f t="shared" si="296"/>
        <v/>
      </c>
      <c r="DM112" s="826" t="str">
        <f>IF('Marks Entry'!AY112="","",IF(OR('Master Sheet'!$D$19="YES",'Marks Entry'!$BA$1=1),'Marks Entry'!AY112,""))</f>
        <v/>
      </c>
      <c r="DN112" s="826" t="str">
        <f>IF('Marks Entry'!AZ112="","",IF(OR('Master Sheet'!$D$19="YES",'Marks Entry'!$BA$1=1),'Marks Entry'!AZ112,""))</f>
        <v/>
      </c>
      <c r="DO112" s="826" t="str">
        <f>IF('Marks Entry'!BA112="","",IF(OR('Master Sheet'!$D$19="YES",'Marks Entry'!$BA$1=1),'Marks Entry'!BA112,""))</f>
        <v/>
      </c>
      <c r="DP112" s="827" t="str">
        <f t="shared" si="297"/>
        <v/>
      </c>
      <c r="DQ112" s="157" t="str">
        <f t="shared" si="298"/>
        <v/>
      </c>
      <c r="DR112" s="157" t="str">
        <f t="shared" si="299"/>
        <v/>
      </c>
      <c r="DS112" s="157" t="str">
        <f t="shared" si="300"/>
        <v/>
      </c>
      <c r="DT112" s="192" t="str">
        <f t="shared" si="301"/>
        <v/>
      </c>
      <c r="DU112" s="153">
        <f t="shared" si="302"/>
        <v>0</v>
      </c>
      <c r="DV112" s="154" t="e">
        <f t="shared" si="303"/>
        <v>#VALUE!</v>
      </c>
      <c r="DW112" s="154" t="str">
        <f t="shared" si="304"/>
        <v/>
      </c>
      <c r="DX112" s="154" t="str">
        <f>IF(OR($B112="NSO",$B112=0,DS112=""),"",IF(AND(DJ112="",DO112=""),"",IF('Master Sheet'!$D$19="YES",$DO$6-COUNTIF(DO112,"ML")*DO$6,DS$6-(COUNTIF(DJ112,"ML")*DJ$6)-(COUNTIF(DO112,"ML")*DO$6))))</f>
        <v/>
      </c>
      <c r="DY112" s="154" t="str">
        <f>IF(OR($B112="NSO",$B112=0),"",IF(AND(DH112="",DI112="",DM112=""),"",IF(AND('Master Sheet'!$D$19="YES",'Marks Entry'!$BA$1=1),100,IF(AND(DJ112="",DO112=""),SUM(($DQ$7+$DR$7)-(DU112+DV112)),SUM(($DQ$6+$DR$6)-(DU112+DV112))))))</f>
        <v/>
      </c>
      <c r="DZ112" s="153" t="str">
        <f t="shared" si="305"/>
        <v/>
      </c>
      <c r="EA112" s="154" t="str">
        <f t="shared" si="306"/>
        <v/>
      </c>
      <c r="EB112" s="153" t="str">
        <f t="shared" si="307"/>
        <v/>
      </c>
      <c r="EC112" s="584" t="str">
        <f>IF('Marks Entry'!BB112="","",'Marks Entry'!BB112)</f>
        <v/>
      </c>
      <c r="ED112" s="584" t="str">
        <f>IF('Marks Entry'!BC112="","",'Marks Entry'!BC112)</f>
        <v/>
      </c>
      <c r="EE112" s="584" t="str">
        <f>IF('Marks Entry'!BD112="","",'Marks Entry'!BD112)</f>
        <v/>
      </c>
      <c r="EF112" s="590" t="str">
        <f t="shared" si="308"/>
        <v/>
      </c>
      <c r="EG112" s="595">
        <f t="shared" si="309"/>
        <v>0</v>
      </c>
      <c r="EH112" s="595">
        <f t="shared" si="310"/>
        <v>0</v>
      </c>
      <c r="EI112" s="193" t="str">
        <f t="shared" si="311"/>
        <v/>
      </c>
      <c r="EJ112" s="595" t="str">
        <f t="shared" si="312"/>
        <v/>
      </c>
      <c r="EK112" s="595" t="str">
        <f t="shared" si="313"/>
        <v/>
      </c>
      <c r="EL112" s="194" t="str">
        <f t="shared" si="314"/>
        <v/>
      </c>
      <c r="EM112" s="194" t="str">
        <f t="shared" si="315"/>
        <v/>
      </c>
      <c r="EN112" s="194" t="str">
        <f t="shared" si="316"/>
        <v/>
      </c>
      <c r="EO112" s="194" t="str">
        <f t="shared" si="317"/>
        <v/>
      </c>
      <c r="EP112" s="194" t="str">
        <f t="shared" si="318"/>
        <v/>
      </c>
      <c r="EQ112" s="194" t="str">
        <f t="shared" si="319"/>
        <v/>
      </c>
      <c r="ER112" s="195">
        <f t="shared" si="320"/>
        <v>0</v>
      </c>
      <c r="ES112" s="195">
        <f t="shared" si="321"/>
        <v>0</v>
      </c>
      <c r="ET112" s="195">
        <f t="shared" si="322"/>
        <v>0</v>
      </c>
      <c r="EU112" s="195">
        <f t="shared" si="323"/>
        <v>0</v>
      </c>
      <c r="EV112" s="195">
        <f t="shared" si="324"/>
        <v>0</v>
      </c>
      <c r="EW112" s="195" t="str">
        <f t="shared" si="325"/>
        <v/>
      </c>
      <c r="EX112" s="196" t="str">
        <f t="shared" si="326"/>
        <v/>
      </c>
      <c r="EY112" s="197" t="str">
        <f>IF('Marks Entry'!BE112="","",'Marks Entry'!BE112)</f>
        <v/>
      </c>
      <c r="EZ112" s="197" t="str">
        <f>IF('Marks Entry'!BF112="","",'Marks Entry'!BF112)</f>
        <v/>
      </c>
      <c r="FA112" s="197" t="str">
        <f>IF('Marks Entry'!BG112="","",'Marks Entry'!BG112)</f>
        <v/>
      </c>
      <c r="FB112" s="596" t="str">
        <f t="shared" si="327"/>
        <v/>
      </c>
      <c r="FC112" s="197" t="str">
        <f>IF('Marks Entry'!BH112="","",'Marks Entry'!BH112)</f>
        <v/>
      </c>
      <c r="FD112" s="197" t="str">
        <f>IF('Marks Entry'!BI112="","",'Marks Entry'!BI112)</f>
        <v/>
      </c>
      <c r="FE112" s="198" t="str">
        <f t="shared" si="328"/>
        <v/>
      </c>
      <c r="FF112" s="199" t="str">
        <f t="shared" si="329"/>
        <v/>
      </c>
      <c r="FG112" s="200" t="str">
        <f>IF(AND(E112=""),"",IF('Student DATA Entry'!L108="","",'Student DATA Entry'!L108))</f>
        <v/>
      </c>
      <c r="FH112" s="201" t="str">
        <f>IF(AND(E112=""),"",IF('Student DATA Entry'!M108="","",'Student DATA Entry'!M108))</f>
        <v/>
      </c>
      <c r="FI112" s="202" t="str">
        <f t="shared" si="330"/>
        <v/>
      </c>
      <c r="FJ112" s="189" t="str">
        <f t="shared" si="331"/>
        <v/>
      </c>
      <c r="FK112" s="189" t="str">
        <f t="shared" si="332"/>
        <v/>
      </c>
      <c r="FL112" s="203" t="str">
        <f t="shared" si="360"/>
        <v/>
      </c>
      <c r="FM112" s="189" t="str">
        <f t="shared" si="333"/>
        <v/>
      </c>
      <c r="FN112" s="204" t="str">
        <f t="shared" si="334"/>
        <v/>
      </c>
      <c r="FO112" s="203" t="str">
        <f t="shared" si="361"/>
        <v/>
      </c>
      <c r="FP112" s="205" t="str">
        <f t="shared" si="335"/>
        <v/>
      </c>
      <c r="FQ112" s="189" t="str">
        <f t="shared" si="362"/>
        <v/>
      </c>
      <c r="FR112" s="189" t="str">
        <f t="shared" si="363"/>
        <v/>
      </c>
      <c r="FS112" s="189" t="str">
        <f t="shared" si="364"/>
        <v/>
      </c>
      <c r="FT112" s="189" t="str">
        <f t="shared" si="365"/>
        <v/>
      </c>
      <c r="FU112" s="189" t="str">
        <f t="shared" si="336"/>
        <v/>
      </c>
      <c r="FV112" s="206" t="str">
        <f t="shared" si="366"/>
        <v/>
      </c>
      <c r="FW112" s="205" t="str">
        <f t="shared" si="337"/>
        <v/>
      </c>
      <c r="FX112" s="189" t="str">
        <f t="shared" si="367"/>
        <v/>
      </c>
      <c r="FY112" s="189" t="str">
        <f t="shared" si="368"/>
        <v/>
      </c>
      <c r="FZ112" s="189" t="str">
        <f t="shared" si="369"/>
        <v/>
      </c>
      <c r="GA112" s="189" t="str">
        <f t="shared" si="370"/>
        <v/>
      </c>
      <c r="GB112" s="189" t="str">
        <f t="shared" si="338"/>
        <v/>
      </c>
      <c r="GC112" s="206" t="str">
        <f t="shared" si="371"/>
        <v/>
      </c>
      <c r="GD112" s="205" t="str">
        <f t="shared" si="339"/>
        <v/>
      </c>
      <c r="GE112" s="189" t="str">
        <f t="shared" si="372"/>
        <v/>
      </c>
      <c r="GF112" s="189" t="str">
        <f t="shared" si="373"/>
        <v/>
      </c>
      <c r="GG112" s="189" t="str">
        <f t="shared" si="374"/>
        <v/>
      </c>
      <c r="GH112" s="189" t="str">
        <f t="shared" si="375"/>
        <v/>
      </c>
      <c r="GI112" s="189" t="str">
        <f t="shared" si="340"/>
        <v/>
      </c>
      <c r="GJ112" s="206" t="str">
        <f t="shared" si="376"/>
        <v/>
      </c>
      <c r="GK112" s="205" t="str">
        <f t="shared" si="341"/>
        <v/>
      </c>
      <c r="GL112" s="189" t="str">
        <f t="shared" si="377"/>
        <v/>
      </c>
      <c r="GM112" s="189" t="str">
        <f t="shared" si="378"/>
        <v/>
      </c>
      <c r="GN112" s="189" t="str">
        <f t="shared" si="379"/>
        <v/>
      </c>
      <c r="GO112" s="189" t="str">
        <f t="shared" si="380"/>
        <v/>
      </c>
      <c r="GP112" s="189" t="str">
        <f t="shared" si="342"/>
        <v/>
      </c>
      <c r="GQ112" s="206" t="str">
        <f t="shared" si="381"/>
        <v/>
      </c>
      <c r="GR112" s="189" t="str">
        <f t="shared" si="343"/>
        <v/>
      </c>
      <c r="GS112" s="189" t="str">
        <f t="shared" si="344"/>
        <v/>
      </c>
      <c r="GT112" s="207" t="str">
        <f t="shared" si="345"/>
        <v xml:space="preserve">    </v>
      </c>
      <c r="GU112" s="207" t="str">
        <f t="shared" si="346"/>
        <v xml:space="preserve">    </v>
      </c>
      <c r="GV112" s="207" t="str">
        <f t="shared" si="347"/>
        <v xml:space="preserve">    </v>
      </c>
      <c r="GW112" s="207" t="str">
        <f t="shared" si="348"/>
        <v xml:space="preserve">       </v>
      </c>
      <c r="GX112" s="598" t="str">
        <f t="shared" si="349"/>
        <v xml:space="preserve">     </v>
      </c>
      <c r="GY112" s="208" t="str">
        <f t="shared" si="382"/>
        <v/>
      </c>
      <c r="GZ112" s="606" t="str">
        <f>IF(AND(Q112="",AE112="",AZ112="",BW112="",CT112=""),"",IF(AND('Master Sheet'!$D$19="YES",'Marks Entry'!$BA$1=1),SUM(Q112,AE112,AZ112,BW112,DT112),SUM(Q112,AE112,AZ112,BW112,CT112)))</f>
        <v/>
      </c>
      <c r="HA112" s="209" t="str">
        <f>IF(GZ112="","",IF(AND('Master Sheet'!$D$19="YES",'Marks Entry'!$BA$1=1),GZ112/((900)-DC112)*100,GZ112/((1000)-DC112)*100))</f>
        <v/>
      </c>
      <c r="HB112" s="611" t="str">
        <f t="shared" si="350"/>
        <v/>
      </c>
      <c r="HC112" s="609" t="str">
        <f t="shared" si="351"/>
        <v/>
      </c>
      <c r="HD112" s="610" t="str">
        <f t="shared" si="352"/>
        <v/>
      </c>
      <c r="HE112" s="210" t="str">
        <f>IFERROR(IF(OR(GY112="SUPPLEMENTARY",GY112="RE-EXAM"),'Supp. Result Entry'!AS111,""),"")</f>
        <v/>
      </c>
      <c r="HF112" s="613" t="str">
        <f t="shared" si="353"/>
        <v/>
      </c>
      <c r="HG112" s="598" t="str">
        <f t="shared" si="354"/>
        <v/>
      </c>
      <c r="HH112" s="598" t="str">
        <f>IF(AND(HE112="",HF112="",HG112=""),"",IF(OR(GY112="SUPPLEMENTARY",GY112="RE-EXAM"),'Supp. Result Entry'!AS111,GY112))</f>
        <v/>
      </c>
      <c r="HI112" s="180"/>
      <c r="HY112" s="212" t="str">
        <f>IF('Supp. Result Entry'!U111="","",'Supp. Result Entry'!$U$6)</f>
        <v/>
      </c>
      <c r="HZ112" s="213" t="str">
        <f>IF('Supp. Result Entry'!X111="","",'Supp. Result Entry'!$X$6)</f>
        <v/>
      </c>
      <c r="IA112" s="213" t="str">
        <f>IF('Supp. Result Entry'!AA111="","",'Supp. Result Entry'!$AA$6)</f>
        <v/>
      </c>
      <c r="IB112" s="213" t="str">
        <f>IF('Supp. Result Entry'!AD111="","",'Supp. Result Entry'!$AD$6)</f>
        <v/>
      </c>
      <c r="IC112" s="213" t="str">
        <f>IF('Supp. Result Entry'!AG111="","",'Supp. Result Entry'!$AG$6)</f>
        <v/>
      </c>
      <c r="ID112" s="213" t="str">
        <f>IF('Supp. Result Entry'!AJ111="","",'Supp. Result Entry'!$AJ$6)</f>
        <v/>
      </c>
      <c r="IE112" s="213" t="str">
        <f>IF('Supp. Result Entry'!V111="","",'Supp. Result Entry'!V111)</f>
        <v/>
      </c>
      <c r="IF112" s="213" t="str">
        <f>IF('Supp. Result Entry'!Y111="","",'Supp. Result Entry'!Y111)</f>
        <v/>
      </c>
      <c r="IG112" s="213" t="str">
        <f>IF('Supp. Result Entry'!AB111="","",'Supp. Result Entry'!AB111)</f>
        <v/>
      </c>
      <c r="IH112" s="213" t="str">
        <f>IF('Supp. Result Entry'!AE111="","",'Supp. Result Entry'!AE111)</f>
        <v/>
      </c>
      <c r="II112" s="213" t="str">
        <f>IF('Supp. Result Entry'!AH111="","",'Supp. Result Entry'!AH111)</f>
        <v/>
      </c>
      <c r="IJ112" s="213" t="str">
        <f>IF('Supp. Result Entry'!AK111="","",'Supp. Result Entry'!AK111)</f>
        <v/>
      </c>
      <c r="IK112" s="213" t="str">
        <f>IF('Supp. Result Entry'!W111="","",'Supp. Result Entry'!W111)</f>
        <v/>
      </c>
      <c r="IL112" s="213" t="str">
        <f>IF('Supp. Result Entry'!Z111="","",'Supp. Result Entry'!Z111)</f>
        <v/>
      </c>
      <c r="IM112" s="213" t="str">
        <f>IF('Supp. Result Entry'!AC111="","",'Supp. Result Entry'!AC111)</f>
        <v/>
      </c>
      <c r="IN112" s="213" t="str">
        <f>IF('Supp. Result Entry'!AF111="","",'Supp. Result Entry'!AF111)</f>
        <v/>
      </c>
      <c r="IO112" s="213" t="str">
        <f>IF('Supp. Result Entry'!AI111="","",'Supp. Result Entry'!AI111)</f>
        <v/>
      </c>
      <c r="IP112" s="213" t="str">
        <f>IF('Supp. Result Entry'!AL111="","",'Supp. Result Entry'!AL111)</f>
        <v/>
      </c>
      <c r="IQ112" s="213">
        <f>COUNTIF('Supp. Result Entry'!K111:Q111,"S")</f>
        <v>0</v>
      </c>
      <c r="IR112" s="213">
        <f t="shared" si="355"/>
        <v>0</v>
      </c>
      <c r="IS112" s="213">
        <f t="shared" si="356"/>
        <v>0</v>
      </c>
      <c r="IT112" s="213" t="str">
        <f t="shared" si="224"/>
        <v/>
      </c>
      <c r="IU112" s="213" t="str">
        <f t="shared" si="225"/>
        <v/>
      </c>
      <c r="IV112" s="213" t="str">
        <f t="shared" si="226"/>
        <v/>
      </c>
      <c r="IW112" s="213" t="str">
        <f t="shared" si="227"/>
        <v/>
      </c>
      <c r="IX112" s="213" t="str">
        <f t="shared" si="228"/>
        <v/>
      </c>
      <c r="IY112" s="213" t="str">
        <f t="shared" si="357"/>
        <v/>
      </c>
      <c r="IZ112" s="213" t="str">
        <f t="shared" si="358"/>
        <v/>
      </c>
      <c r="JA112" s="213" t="str">
        <f t="shared" si="229"/>
        <v/>
      </c>
      <c r="JB112" s="211" t="str">
        <f t="shared" si="359"/>
        <v/>
      </c>
    </row>
    <row r="113" spans="1:262" s="211" customFormat="1" ht="21" customHeight="1">
      <c r="A113" s="184">
        <v>106</v>
      </c>
      <c r="B113" s="185" t="str">
        <f>IF('Marks Entry'!B113="","",'Marks Entry'!B113)</f>
        <v/>
      </c>
      <c r="C113" s="186" t="str">
        <f>IF('Marks Entry'!D113="","",'Marks Entry'!D113)</f>
        <v/>
      </c>
      <c r="D113" s="187" t="str">
        <f>IF('Marks Entry'!E113="","",'Marks Entry'!E113)</f>
        <v/>
      </c>
      <c r="E113" s="188" t="str">
        <f>IF('Marks Entry'!F113="","",'Marks Entry'!F113)</f>
        <v/>
      </c>
      <c r="F113" s="188" t="str">
        <f>IF('Marks Entry'!G113="","",'Marks Entry'!G113)</f>
        <v/>
      </c>
      <c r="G113" s="188" t="str">
        <f>IF('Marks Entry'!H113="","",'Marks Entry'!H113)</f>
        <v/>
      </c>
      <c r="H113" s="189" t="str">
        <f>IF('Marks Entry'!I113="","",'Marks Entry'!I113)</f>
        <v/>
      </c>
      <c r="I113" s="190" t="str">
        <f>IF('Marks Entry'!J113="","",'Marks Entry'!J113)</f>
        <v/>
      </c>
      <c r="J113" s="545" t="str">
        <f>IF('Marks Entry'!K113="","",'Marks Entry'!K113)</f>
        <v/>
      </c>
      <c r="K113" s="545" t="str">
        <f>IF('Marks Entry'!L113="","",'Marks Entry'!L113)</f>
        <v/>
      </c>
      <c r="L113" s="545" t="str">
        <f>IF('Marks Entry'!M113="","",'Marks Entry'!M113)</f>
        <v/>
      </c>
      <c r="M113" s="546" t="str">
        <f t="shared" si="230"/>
        <v/>
      </c>
      <c r="N113" s="545" t="str">
        <f>IF('Marks Entry'!N113="","",'Marks Entry'!N113)</f>
        <v/>
      </c>
      <c r="O113" s="546" t="str">
        <f t="shared" si="231"/>
        <v/>
      </c>
      <c r="P113" s="545" t="str">
        <f>IF('Marks Entry'!O113="","",'Marks Entry'!O113)</f>
        <v/>
      </c>
      <c r="Q113" s="547" t="str">
        <f t="shared" si="232"/>
        <v/>
      </c>
      <c r="R113" s="153">
        <f t="shared" si="233"/>
        <v>0</v>
      </c>
      <c r="S113" s="153">
        <f t="shared" si="234"/>
        <v>0</v>
      </c>
      <c r="T113" s="154" t="str">
        <f t="shared" si="235"/>
        <v/>
      </c>
      <c r="U113" s="153" t="str">
        <f t="shared" si="236"/>
        <v/>
      </c>
      <c r="V113" s="153" t="str">
        <f t="shared" si="237"/>
        <v/>
      </c>
      <c r="W113" s="153" t="str">
        <f t="shared" si="238"/>
        <v/>
      </c>
      <c r="X113" s="545" t="str">
        <f>IF('Marks Entry'!P113="","",'Marks Entry'!P113)</f>
        <v/>
      </c>
      <c r="Y113" s="545" t="str">
        <f>IF('Marks Entry'!Q113="","",'Marks Entry'!Q113)</f>
        <v/>
      </c>
      <c r="Z113" s="545" t="str">
        <f>IF('Marks Entry'!R113="","",'Marks Entry'!R113)</f>
        <v/>
      </c>
      <c r="AA113" s="546" t="str">
        <f t="shared" si="239"/>
        <v/>
      </c>
      <c r="AB113" s="545" t="str">
        <f>IF('Marks Entry'!S113="","",'Marks Entry'!S113)</f>
        <v/>
      </c>
      <c r="AC113" s="546" t="str">
        <f t="shared" si="240"/>
        <v/>
      </c>
      <c r="AD113" s="545" t="str">
        <f>IF('Marks Entry'!T113="","",'Marks Entry'!T113)</f>
        <v/>
      </c>
      <c r="AE113" s="547" t="str">
        <f t="shared" si="241"/>
        <v/>
      </c>
      <c r="AF113" s="153">
        <f t="shared" si="242"/>
        <v>0</v>
      </c>
      <c r="AG113" s="153">
        <f t="shared" si="243"/>
        <v>0</v>
      </c>
      <c r="AH113" s="154" t="str">
        <f t="shared" si="244"/>
        <v/>
      </c>
      <c r="AI113" s="153" t="str">
        <f t="shared" si="245"/>
        <v/>
      </c>
      <c r="AJ113" s="153" t="str">
        <f t="shared" si="246"/>
        <v/>
      </c>
      <c r="AK113" s="153" t="str">
        <f t="shared" si="247"/>
        <v/>
      </c>
      <c r="AL113" s="573" t="str">
        <f>IF('Marks Entry'!U113="","",'Marks Entry'!U113)</f>
        <v/>
      </c>
      <c r="AM113" s="573" t="str">
        <f>IF('Marks Entry'!V113="","",'Marks Entry'!V113)</f>
        <v/>
      </c>
      <c r="AN113" s="573" t="str">
        <f>IF('Marks Entry'!W113="","",'Marks Entry'!W113)</f>
        <v/>
      </c>
      <c r="AO113" s="573" t="str">
        <f>IF('Marks Entry'!X113="","",'Marks Entry'!X113)</f>
        <v/>
      </c>
      <c r="AP113" s="572" t="str">
        <f t="shared" si="248"/>
        <v/>
      </c>
      <c r="AQ113" s="573" t="str">
        <f>IF('Marks Entry'!Y113="","",'Marks Entry'!Y113)</f>
        <v/>
      </c>
      <c r="AR113" s="573" t="str">
        <f>IF('Marks Entry'!Z113="","",'Marks Entry'!Z113)</f>
        <v/>
      </c>
      <c r="AS113" s="572" t="str">
        <f t="shared" si="249"/>
        <v/>
      </c>
      <c r="AT113" s="572" t="str">
        <f t="shared" si="250"/>
        <v/>
      </c>
      <c r="AU113" s="573" t="str">
        <f>IF('Marks Entry'!AA113="","",'Marks Entry'!AA113)</f>
        <v/>
      </c>
      <c r="AV113" s="573" t="str">
        <f>IF('Marks Entry'!AB113="","",'Marks Entry'!AB113)</f>
        <v/>
      </c>
      <c r="AW113" s="572" t="str">
        <f t="shared" si="251"/>
        <v/>
      </c>
      <c r="AX113" s="157" t="str">
        <f t="shared" si="252"/>
        <v/>
      </c>
      <c r="AY113" s="157" t="str">
        <f t="shared" si="253"/>
        <v/>
      </c>
      <c r="AZ113" s="192" t="str">
        <f t="shared" si="254"/>
        <v/>
      </c>
      <c r="BA113" s="153">
        <f t="shared" si="255"/>
        <v>0</v>
      </c>
      <c r="BB113" s="154">
        <f t="shared" si="256"/>
        <v>0</v>
      </c>
      <c r="BC113" s="154" t="str">
        <f t="shared" si="257"/>
        <v/>
      </c>
      <c r="BD113" s="154" t="str">
        <f t="shared" si="258"/>
        <v/>
      </c>
      <c r="BE113" s="154" t="str">
        <f t="shared" si="259"/>
        <v/>
      </c>
      <c r="BF113" s="153" t="str">
        <f t="shared" si="260"/>
        <v/>
      </c>
      <c r="BG113" s="154" t="str">
        <f t="shared" si="261"/>
        <v/>
      </c>
      <c r="BH113" s="153" t="str">
        <f t="shared" si="262"/>
        <v/>
      </c>
      <c r="BI113" s="580" t="str">
        <f>IF('Marks Entry'!AC113="","",'Marks Entry'!AC113)</f>
        <v/>
      </c>
      <c r="BJ113" s="580" t="str">
        <f>IF('Marks Entry'!AD113="","",'Marks Entry'!AD113)</f>
        <v/>
      </c>
      <c r="BK113" s="580" t="str">
        <f>IF('Marks Entry'!AE113="","",'Marks Entry'!AE113)</f>
        <v/>
      </c>
      <c r="BL113" s="580" t="str">
        <f>IF('Marks Entry'!AF113="","",'Marks Entry'!AF113)</f>
        <v/>
      </c>
      <c r="BM113" s="581" t="str">
        <f t="shared" si="263"/>
        <v/>
      </c>
      <c r="BN113" s="580" t="str">
        <f>IF('Marks Entry'!AG113="","",'Marks Entry'!AG113)</f>
        <v/>
      </c>
      <c r="BO113" s="580" t="str">
        <f>IF('Marks Entry'!AH113="","",'Marks Entry'!AH113)</f>
        <v/>
      </c>
      <c r="BP113" s="581" t="str">
        <f t="shared" si="264"/>
        <v/>
      </c>
      <c r="BQ113" s="581" t="str">
        <f t="shared" si="265"/>
        <v/>
      </c>
      <c r="BR113" s="580" t="str">
        <f>IF('Marks Entry'!AI113="","",'Marks Entry'!AI113)</f>
        <v/>
      </c>
      <c r="BS113" s="580" t="str">
        <f>IF('Marks Entry'!AJ113="","",'Marks Entry'!AJ113)</f>
        <v/>
      </c>
      <c r="BT113" s="581" t="str">
        <f t="shared" si="266"/>
        <v/>
      </c>
      <c r="BU113" s="157" t="str">
        <f t="shared" si="267"/>
        <v/>
      </c>
      <c r="BV113" s="157" t="str">
        <f t="shared" si="268"/>
        <v/>
      </c>
      <c r="BW113" s="192" t="str">
        <f t="shared" si="269"/>
        <v/>
      </c>
      <c r="BX113" s="153">
        <f t="shared" si="270"/>
        <v>0</v>
      </c>
      <c r="BY113" s="154">
        <f t="shared" si="271"/>
        <v>0</v>
      </c>
      <c r="BZ113" s="154" t="str">
        <f t="shared" si="272"/>
        <v/>
      </c>
      <c r="CA113" s="154" t="str">
        <f t="shared" si="273"/>
        <v/>
      </c>
      <c r="CB113" s="154" t="str">
        <f t="shared" si="274"/>
        <v/>
      </c>
      <c r="CC113" s="153" t="str">
        <f t="shared" si="275"/>
        <v/>
      </c>
      <c r="CD113" s="154" t="str">
        <f t="shared" si="276"/>
        <v/>
      </c>
      <c r="CE113" s="153" t="str">
        <f t="shared" si="277"/>
        <v/>
      </c>
      <c r="CF113" s="580" t="str">
        <f>IF('Marks Entry'!AK113="","",'Marks Entry'!AK113)</f>
        <v/>
      </c>
      <c r="CG113" s="580" t="str">
        <f>IF('Marks Entry'!AL113="","",'Marks Entry'!AL113)</f>
        <v/>
      </c>
      <c r="CH113" s="580" t="str">
        <f>IF('Marks Entry'!AM113="","",'Marks Entry'!AM113)</f>
        <v/>
      </c>
      <c r="CI113" s="580" t="str">
        <f>IF('Marks Entry'!AN113="","",'Marks Entry'!AN113)</f>
        <v/>
      </c>
      <c r="CJ113" s="581" t="str">
        <f t="shared" si="278"/>
        <v/>
      </c>
      <c r="CK113" s="580" t="str">
        <f>IF('Marks Entry'!AO113="","",'Marks Entry'!AO113)</f>
        <v/>
      </c>
      <c r="CL113" s="580" t="str">
        <f>IF('Marks Entry'!AP113="","",'Marks Entry'!AP113)</f>
        <v/>
      </c>
      <c r="CM113" s="581" t="str">
        <f t="shared" si="279"/>
        <v/>
      </c>
      <c r="CN113" s="581" t="str">
        <f t="shared" si="280"/>
        <v/>
      </c>
      <c r="CO113" s="580" t="str">
        <f>IF('Marks Entry'!AQ113="","",'Marks Entry'!AQ113)</f>
        <v/>
      </c>
      <c r="CP113" s="580" t="str">
        <f>IF('Marks Entry'!AR113="","",'Marks Entry'!AR113)</f>
        <v/>
      </c>
      <c r="CQ113" s="581" t="str">
        <f t="shared" si="281"/>
        <v/>
      </c>
      <c r="CR113" s="157" t="str">
        <f t="shared" si="282"/>
        <v/>
      </c>
      <c r="CS113" s="157" t="str">
        <f t="shared" si="283"/>
        <v/>
      </c>
      <c r="CT113" s="192" t="str">
        <f t="shared" si="284"/>
        <v/>
      </c>
      <c r="CU113" s="153">
        <f t="shared" si="285"/>
        <v>0</v>
      </c>
      <c r="CV113" s="154">
        <f t="shared" si="286"/>
        <v>0</v>
      </c>
      <c r="CW113" s="154" t="str">
        <f t="shared" si="287"/>
        <v/>
      </c>
      <c r="CX113" s="154" t="str">
        <f t="shared" si="288"/>
        <v/>
      </c>
      <c r="CY113" s="154" t="str">
        <f t="shared" si="289"/>
        <v/>
      </c>
      <c r="CZ113" s="153" t="str">
        <f t="shared" si="290"/>
        <v/>
      </c>
      <c r="DA113" s="154" t="str">
        <f t="shared" si="291"/>
        <v/>
      </c>
      <c r="DB113" s="153" t="str">
        <f t="shared" si="292"/>
        <v/>
      </c>
      <c r="DC113" s="154">
        <f t="shared" si="293"/>
        <v>0</v>
      </c>
      <c r="DD113" s="826" t="str">
        <f>IF('Marks Entry'!AS113="","",IF(OR('Master Sheet'!$D$19="YES",'Marks Entry'!$BA$1=1),'Marks Entry'!AS113,""))</f>
        <v/>
      </c>
      <c r="DE113" s="826" t="str">
        <f>IF('Marks Entry'!AT113="","",IF(OR('Master Sheet'!$D$19="YES",'Marks Entry'!$BA$1=1),'Marks Entry'!AT113,""))</f>
        <v/>
      </c>
      <c r="DF113" s="826" t="str">
        <f>IF('Marks Entry'!AU113="","",IF(OR('Master Sheet'!$D$19="YES",'Marks Entry'!$BA$1=1),'Marks Entry'!AU113,""))</f>
        <v/>
      </c>
      <c r="DG113" s="826" t="str">
        <f>IF('Marks Entry'!AV113="","",IF(OR('Master Sheet'!$D$19="YES",'Marks Entry'!$BA$1=1),'Marks Entry'!AV113,""))</f>
        <v/>
      </c>
      <c r="DH113" s="827" t="str">
        <f t="shared" si="294"/>
        <v/>
      </c>
      <c r="DI113" s="826" t="str">
        <f>IF('Marks Entry'!AW113="","",IF(OR('Master Sheet'!$D$19="YES",'Marks Entry'!$BA$1=1),'Marks Entry'!AW113,""))</f>
        <v/>
      </c>
      <c r="DJ113" s="826" t="str">
        <f>IF('Marks Entry'!AX113="","",IF(OR('Master Sheet'!$D$19="YES",'Marks Entry'!$BA$1=1),'Marks Entry'!AX113,""))</f>
        <v/>
      </c>
      <c r="DK113" s="827" t="str">
        <f t="shared" si="295"/>
        <v/>
      </c>
      <c r="DL113" s="827" t="str">
        <f t="shared" si="296"/>
        <v/>
      </c>
      <c r="DM113" s="826" t="str">
        <f>IF('Marks Entry'!AY113="","",IF(OR('Master Sheet'!$D$19="YES",'Marks Entry'!$BA$1=1),'Marks Entry'!AY113,""))</f>
        <v/>
      </c>
      <c r="DN113" s="826" t="str">
        <f>IF('Marks Entry'!AZ113="","",IF(OR('Master Sheet'!$D$19="YES",'Marks Entry'!$BA$1=1),'Marks Entry'!AZ113,""))</f>
        <v/>
      </c>
      <c r="DO113" s="826" t="str">
        <f>IF('Marks Entry'!BA113="","",IF(OR('Master Sheet'!$D$19="YES",'Marks Entry'!$BA$1=1),'Marks Entry'!BA113,""))</f>
        <v/>
      </c>
      <c r="DP113" s="827" t="str">
        <f t="shared" si="297"/>
        <v/>
      </c>
      <c r="DQ113" s="157" t="str">
        <f t="shared" si="298"/>
        <v/>
      </c>
      <c r="DR113" s="157" t="str">
        <f t="shared" si="299"/>
        <v/>
      </c>
      <c r="DS113" s="157" t="str">
        <f t="shared" si="300"/>
        <v/>
      </c>
      <c r="DT113" s="192" t="str">
        <f t="shared" si="301"/>
        <v/>
      </c>
      <c r="DU113" s="153">
        <f t="shared" si="302"/>
        <v>0</v>
      </c>
      <c r="DV113" s="154" t="e">
        <f t="shared" si="303"/>
        <v>#VALUE!</v>
      </c>
      <c r="DW113" s="154" t="str">
        <f t="shared" si="304"/>
        <v/>
      </c>
      <c r="DX113" s="154" t="str">
        <f>IF(OR($B113="NSO",$B113=0,DS113=""),"",IF(AND(DJ113="",DO113=""),"",IF('Master Sheet'!$D$19="YES",$DO$6-COUNTIF(DO113,"ML")*DO$6,DS$6-(COUNTIF(DJ113,"ML")*DJ$6)-(COUNTIF(DO113,"ML")*DO$6))))</f>
        <v/>
      </c>
      <c r="DY113" s="154" t="str">
        <f>IF(OR($B113="NSO",$B113=0),"",IF(AND(DH113="",DI113="",DM113=""),"",IF(AND('Master Sheet'!$D$19="YES",'Marks Entry'!$BA$1=1),100,IF(AND(DJ113="",DO113=""),SUM(($DQ$7+$DR$7)-(DU113+DV113)),SUM(($DQ$6+$DR$6)-(DU113+DV113))))))</f>
        <v/>
      </c>
      <c r="DZ113" s="153" t="str">
        <f t="shared" si="305"/>
        <v/>
      </c>
      <c r="EA113" s="154" t="str">
        <f t="shared" si="306"/>
        <v/>
      </c>
      <c r="EB113" s="153" t="str">
        <f t="shared" si="307"/>
        <v/>
      </c>
      <c r="EC113" s="584" t="str">
        <f>IF('Marks Entry'!BB113="","",'Marks Entry'!BB113)</f>
        <v/>
      </c>
      <c r="ED113" s="584" t="str">
        <f>IF('Marks Entry'!BC113="","",'Marks Entry'!BC113)</f>
        <v/>
      </c>
      <c r="EE113" s="584" t="str">
        <f>IF('Marks Entry'!BD113="","",'Marks Entry'!BD113)</f>
        <v/>
      </c>
      <c r="EF113" s="590" t="str">
        <f t="shared" si="308"/>
        <v/>
      </c>
      <c r="EG113" s="595">
        <f t="shared" si="309"/>
        <v>0</v>
      </c>
      <c r="EH113" s="595">
        <f t="shared" si="310"/>
        <v>0</v>
      </c>
      <c r="EI113" s="193" t="str">
        <f t="shared" si="311"/>
        <v/>
      </c>
      <c r="EJ113" s="595" t="str">
        <f t="shared" si="312"/>
        <v/>
      </c>
      <c r="EK113" s="595" t="str">
        <f t="shared" si="313"/>
        <v/>
      </c>
      <c r="EL113" s="194" t="str">
        <f t="shared" si="314"/>
        <v/>
      </c>
      <c r="EM113" s="194" t="str">
        <f t="shared" si="315"/>
        <v/>
      </c>
      <c r="EN113" s="194" t="str">
        <f t="shared" si="316"/>
        <v/>
      </c>
      <c r="EO113" s="194" t="str">
        <f t="shared" si="317"/>
        <v/>
      </c>
      <c r="EP113" s="194" t="str">
        <f t="shared" si="318"/>
        <v/>
      </c>
      <c r="EQ113" s="194" t="str">
        <f t="shared" si="319"/>
        <v/>
      </c>
      <c r="ER113" s="195">
        <f t="shared" si="320"/>
        <v>0</v>
      </c>
      <c r="ES113" s="195">
        <f t="shared" si="321"/>
        <v>0</v>
      </c>
      <c r="ET113" s="195">
        <f t="shared" si="322"/>
        <v>0</v>
      </c>
      <c r="EU113" s="195">
        <f t="shared" si="323"/>
        <v>0</v>
      </c>
      <c r="EV113" s="195">
        <f t="shared" si="324"/>
        <v>0</v>
      </c>
      <c r="EW113" s="195" t="str">
        <f t="shared" si="325"/>
        <v/>
      </c>
      <c r="EX113" s="196" t="str">
        <f t="shared" si="326"/>
        <v/>
      </c>
      <c r="EY113" s="197" t="str">
        <f>IF('Marks Entry'!BE113="","",'Marks Entry'!BE113)</f>
        <v/>
      </c>
      <c r="EZ113" s="197" t="str">
        <f>IF('Marks Entry'!BF113="","",'Marks Entry'!BF113)</f>
        <v/>
      </c>
      <c r="FA113" s="197" t="str">
        <f>IF('Marks Entry'!BG113="","",'Marks Entry'!BG113)</f>
        <v/>
      </c>
      <c r="FB113" s="596" t="str">
        <f t="shared" si="327"/>
        <v/>
      </c>
      <c r="FC113" s="197" t="str">
        <f>IF('Marks Entry'!BH113="","",'Marks Entry'!BH113)</f>
        <v/>
      </c>
      <c r="FD113" s="197" t="str">
        <f>IF('Marks Entry'!BI113="","",'Marks Entry'!BI113)</f>
        <v/>
      </c>
      <c r="FE113" s="198" t="str">
        <f t="shared" si="328"/>
        <v/>
      </c>
      <c r="FF113" s="199" t="str">
        <f t="shared" si="329"/>
        <v/>
      </c>
      <c r="FG113" s="200" t="str">
        <f>IF(AND(E113=""),"",IF('Student DATA Entry'!L109="","",'Student DATA Entry'!L109))</f>
        <v/>
      </c>
      <c r="FH113" s="201" t="str">
        <f>IF(AND(E113=""),"",IF('Student DATA Entry'!M109="","",'Student DATA Entry'!M109))</f>
        <v/>
      </c>
      <c r="FI113" s="202" t="str">
        <f t="shared" si="330"/>
        <v/>
      </c>
      <c r="FJ113" s="189" t="str">
        <f t="shared" si="331"/>
        <v/>
      </c>
      <c r="FK113" s="189" t="str">
        <f t="shared" si="332"/>
        <v/>
      </c>
      <c r="FL113" s="203" t="str">
        <f t="shared" si="360"/>
        <v/>
      </c>
      <c r="FM113" s="189" t="str">
        <f t="shared" si="333"/>
        <v/>
      </c>
      <c r="FN113" s="204" t="str">
        <f t="shared" si="334"/>
        <v/>
      </c>
      <c r="FO113" s="203" t="str">
        <f t="shared" si="361"/>
        <v/>
      </c>
      <c r="FP113" s="205" t="str">
        <f t="shared" si="335"/>
        <v/>
      </c>
      <c r="FQ113" s="189" t="str">
        <f t="shared" si="362"/>
        <v/>
      </c>
      <c r="FR113" s="189" t="str">
        <f t="shared" si="363"/>
        <v/>
      </c>
      <c r="FS113" s="189" t="str">
        <f t="shared" si="364"/>
        <v/>
      </c>
      <c r="FT113" s="189" t="str">
        <f t="shared" si="365"/>
        <v/>
      </c>
      <c r="FU113" s="189" t="str">
        <f t="shared" si="336"/>
        <v/>
      </c>
      <c r="FV113" s="206" t="str">
        <f t="shared" si="366"/>
        <v/>
      </c>
      <c r="FW113" s="205" t="str">
        <f t="shared" si="337"/>
        <v/>
      </c>
      <c r="FX113" s="189" t="str">
        <f t="shared" si="367"/>
        <v/>
      </c>
      <c r="FY113" s="189" t="str">
        <f t="shared" si="368"/>
        <v/>
      </c>
      <c r="FZ113" s="189" t="str">
        <f t="shared" si="369"/>
        <v/>
      </c>
      <c r="GA113" s="189" t="str">
        <f t="shared" si="370"/>
        <v/>
      </c>
      <c r="GB113" s="189" t="str">
        <f t="shared" si="338"/>
        <v/>
      </c>
      <c r="GC113" s="206" t="str">
        <f t="shared" si="371"/>
        <v/>
      </c>
      <c r="GD113" s="205" t="str">
        <f t="shared" si="339"/>
        <v/>
      </c>
      <c r="GE113" s="189" t="str">
        <f t="shared" si="372"/>
        <v/>
      </c>
      <c r="GF113" s="189" t="str">
        <f t="shared" si="373"/>
        <v/>
      </c>
      <c r="GG113" s="189" t="str">
        <f t="shared" si="374"/>
        <v/>
      </c>
      <c r="GH113" s="189" t="str">
        <f t="shared" si="375"/>
        <v/>
      </c>
      <c r="GI113" s="189" t="str">
        <f t="shared" si="340"/>
        <v/>
      </c>
      <c r="GJ113" s="206" t="str">
        <f t="shared" si="376"/>
        <v/>
      </c>
      <c r="GK113" s="205" t="str">
        <f t="shared" si="341"/>
        <v/>
      </c>
      <c r="GL113" s="189" t="str">
        <f t="shared" si="377"/>
        <v/>
      </c>
      <c r="GM113" s="189" t="str">
        <f t="shared" si="378"/>
        <v/>
      </c>
      <c r="GN113" s="189" t="str">
        <f t="shared" si="379"/>
        <v/>
      </c>
      <c r="GO113" s="189" t="str">
        <f t="shared" si="380"/>
        <v/>
      </c>
      <c r="GP113" s="189" t="str">
        <f t="shared" si="342"/>
        <v/>
      </c>
      <c r="GQ113" s="206" t="str">
        <f t="shared" si="381"/>
        <v/>
      </c>
      <c r="GR113" s="189" t="str">
        <f t="shared" si="343"/>
        <v/>
      </c>
      <c r="GS113" s="189" t="str">
        <f t="shared" si="344"/>
        <v/>
      </c>
      <c r="GT113" s="207" t="str">
        <f t="shared" si="345"/>
        <v xml:space="preserve">    </v>
      </c>
      <c r="GU113" s="207" t="str">
        <f t="shared" si="346"/>
        <v xml:space="preserve">    </v>
      </c>
      <c r="GV113" s="207" t="str">
        <f t="shared" si="347"/>
        <v xml:space="preserve">    </v>
      </c>
      <c r="GW113" s="207" t="str">
        <f t="shared" si="348"/>
        <v xml:space="preserve">       </v>
      </c>
      <c r="GX113" s="598" t="str">
        <f t="shared" si="349"/>
        <v xml:space="preserve">     </v>
      </c>
      <c r="GY113" s="208" t="str">
        <f t="shared" si="382"/>
        <v/>
      </c>
      <c r="GZ113" s="606" t="str">
        <f>IF(AND(Q113="",AE113="",AZ113="",BW113="",CT113=""),"",IF(AND('Master Sheet'!$D$19="YES",'Marks Entry'!$BA$1=1),SUM(Q113,AE113,AZ113,BW113,DT113),SUM(Q113,AE113,AZ113,BW113,CT113)))</f>
        <v/>
      </c>
      <c r="HA113" s="209" t="str">
        <f>IF(GZ113="","",IF(AND('Master Sheet'!$D$19="YES",'Marks Entry'!$BA$1=1),GZ113/((900)-DC113)*100,GZ113/((1000)-DC113)*100))</f>
        <v/>
      </c>
      <c r="HB113" s="611" t="str">
        <f t="shared" si="350"/>
        <v/>
      </c>
      <c r="HC113" s="609" t="str">
        <f t="shared" si="351"/>
        <v/>
      </c>
      <c r="HD113" s="610" t="str">
        <f t="shared" si="352"/>
        <v/>
      </c>
      <c r="HE113" s="210" t="str">
        <f>IFERROR(IF(OR(GY113="SUPPLEMENTARY",GY113="RE-EXAM"),'Supp. Result Entry'!AS112,""),"")</f>
        <v/>
      </c>
      <c r="HF113" s="613" t="str">
        <f t="shared" si="353"/>
        <v/>
      </c>
      <c r="HG113" s="598" t="str">
        <f t="shared" si="354"/>
        <v/>
      </c>
      <c r="HH113" s="598" t="str">
        <f>IF(AND(HE113="",HF113="",HG113=""),"",IF(OR(GY113="SUPPLEMENTARY",GY113="RE-EXAM"),'Supp. Result Entry'!AS112,GY113))</f>
        <v/>
      </c>
      <c r="HI113" s="180"/>
      <c r="HY113" s="212" t="str">
        <f>IF('Supp. Result Entry'!U112="","",'Supp. Result Entry'!$U$6)</f>
        <v/>
      </c>
      <c r="HZ113" s="213" t="str">
        <f>IF('Supp. Result Entry'!X112="","",'Supp. Result Entry'!$X$6)</f>
        <v/>
      </c>
      <c r="IA113" s="213" t="str">
        <f>IF('Supp. Result Entry'!AA112="","",'Supp. Result Entry'!$AA$6)</f>
        <v/>
      </c>
      <c r="IB113" s="213" t="str">
        <f>IF('Supp. Result Entry'!AD112="","",'Supp. Result Entry'!$AD$6)</f>
        <v/>
      </c>
      <c r="IC113" s="213" t="str">
        <f>IF('Supp. Result Entry'!AG112="","",'Supp. Result Entry'!$AG$6)</f>
        <v/>
      </c>
      <c r="ID113" s="213" t="str">
        <f>IF('Supp. Result Entry'!AJ112="","",'Supp. Result Entry'!$AJ$6)</f>
        <v/>
      </c>
      <c r="IE113" s="213" t="str">
        <f>IF('Supp. Result Entry'!V112="","",'Supp. Result Entry'!V112)</f>
        <v/>
      </c>
      <c r="IF113" s="213" t="str">
        <f>IF('Supp. Result Entry'!Y112="","",'Supp. Result Entry'!Y112)</f>
        <v/>
      </c>
      <c r="IG113" s="213" t="str">
        <f>IF('Supp. Result Entry'!AB112="","",'Supp. Result Entry'!AB112)</f>
        <v/>
      </c>
      <c r="IH113" s="213" t="str">
        <f>IF('Supp. Result Entry'!AE112="","",'Supp. Result Entry'!AE112)</f>
        <v/>
      </c>
      <c r="II113" s="213" t="str">
        <f>IF('Supp. Result Entry'!AH112="","",'Supp. Result Entry'!AH112)</f>
        <v/>
      </c>
      <c r="IJ113" s="213" t="str">
        <f>IF('Supp. Result Entry'!AK112="","",'Supp. Result Entry'!AK112)</f>
        <v/>
      </c>
      <c r="IK113" s="213" t="str">
        <f>IF('Supp. Result Entry'!W112="","",'Supp. Result Entry'!W112)</f>
        <v/>
      </c>
      <c r="IL113" s="213" t="str">
        <f>IF('Supp. Result Entry'!Z112="","",'Supp. Result Entry'!Z112)</f>
        <v/>
      </c>
      <c r="IM113" s="213" t="str">
        <f>IF('Supp. Result Entry'!AC112="","",'Supp. Result Entry'!AC112)</f>
        <v/>
      </c>
      <c r="IN113" s="213" t="str">
        <f>IF('Supp. Result Entry'!AF112="","",'Supp. Result Entry'!AF112)</f>
        <v/>
      </c>
      <c r="IO113" s="213" t="str">
        <f>IF('Supp. Result Entry'!AI112="","",'Supp. Result Entry'!AI112)</f>
        <v/>
      </c>
      <c r="IP113" s="213" t="str">
        <f>IF('Supp. Result Entry'!AL112="","",'Supp. Result Entry'!AL112)</f>
        <v/>
      </c>
      <c r="IQ113" s="213">
        <f>COUNTIF('Supp. Result Entry'!K112:Q112,"S")</f>
        <v>0</v>
      </c>
      <c r="IR113" s="213">
        <f t="shared" si="355"/>
        <v>0</v>
      </c>
      <c r="IS113" s="213">
        <f t="shared" si="356"/>
        <v>0</v>
      </c>
      <c r="IT113" s="213" t="str">
        <f t="shared" si="224"/>
        <v/>
      </c>
      <c r="IU113" s="213" t="str">
        <f t="shared" si="225"/>
        <v/>
      </c>
      <c r="IV113" s="213" t="str">
        <f t="shared" si="226"/>
        <v/>
      </c>
      <c r="IW113" s="213" t="str">
        <f t="shared" si="227"/>
        <v/>
      </c>
      <c r="IX113" s="213" t="str">
        <f t="shared" si="228"/>
        <v/>
      </c>
      <c r="IY113" s="213" t="str">
        <f t="shared" si="357"/>
        <v/>
      </c>
      <c r="IZ113" s="213" t="str">
        <f t="shared" si="358"/>
        <v/>
      </c>
      <c r="JA113" s="213" t="str">
        <f t="shared" si="229"/>
        <v/>
      </c>
      <c r="JB113" s="211" t="str">
        <f t="shared" si="359"/>
        <v/>
      </c>
    </row>
    <row r="114" spans="1:262" s="211" customFormat="1" ht="21" customHeight="1">
      <c r="A114" s="184">
        <v>107</v>
      </c>
      <c r="B114" s="185" t="str">
        <f>IF('Marks Entry'!B114="","",'Marks Entry'!B114)</f>
        <v/>
      </c>
      <c r="C114" s="186" t="str">
        <f>IF('Marks Entry'!D114="","",'Marks Entry'!D114)</f>
        <v/>
      </c>
      <c r="D114" s="187" t="str">
        <f>IF('Marks Entry'!E114="","",'Marks Entry'!E114)</f>
        <v/>
      </c>
      <c r="E114" s="188" t="str">
        <f>IF('Marks Entry'!F114="","",'Marks Entry'!F114)</f>
        <v/>
      </c>
      <c r="F114" s="188" t="str">
        <f>IF('Marks Entry'!G114="","",'Marks Entry'!G114)</f>
        <v/>
      </c>
      <c r="G114" s="188" t="str">
        <f>IF('Marks Entry'!H114="","",'Marks Entry'!H114)</f>
        <v/>
      </c>
      <c r="H114" s="189" t="str">
        <f>IF('Marks Entry'!I114="","",'Marks Entry'!I114)</f>
        <v/>
      </c>
      <c r="I114" s="190" t="str">
        <f>IF('Marks Entry'!J114="","",'Marks Entry'!J114)</f>
        <v/>
      </c>
      <c r="J114" s="545" t="str">
        <f>IF('Marks Entry'!K114="","",'Marks Entry'!K114)</f>
        <v/>
      </c>
      <c r="K114" s="545" t="str">
        <f>IF('Marks Entry'!L114="","",'Marks Entry'!L114)</f>
        <v/>
      </c>
      <c r="L114" s="545" t="str">
        <f>IF('Marks Entry'!M114="","",'Marks Entry'!M114)</f>
        <v/>
      </c>
      <c r="M114" s="546" t="str">
        <f t="shared" si="230"/>
        <v/>
      </c>
      <c r="N114" s="545" t="str">
        <f>IF('Marks Entry'!N114="","",'Marks Entry'!N114)</f>
        <v/>
      </c>
      <c r="O114" s="546" t="str">
        <f t="shared" si="231"/>
        <v/>
      </c>
      <c r="P114" s="545" t="str">
        <f>IF('Marks Entry'!O114="","",'Marks Entry'!O114)</f>
        <v/>
      </c>
      <c r="Q114" s="547" t="str">
        <f t="shared" si="232"/>
        <v/>
      </c>
      <c r="R114" s="153">
        <f t="shared" si="233"/>
        <v>0</v>
      </c>
      <c r="S114" s="153">
        <f t="shared" si="234"/>
        <v>0</v>
      </c>
      <c r="T114" s="154" t="str">
        <f t="shared" si="235"/>
        <v/>
      </c>
      <c r="U114" s="153" t="str">
        <f t="shared" si="236"/>
        <v/>
      </c>
      <c r="V114" s="153" t="str">
        <f t="shared" si="237"/>
        <v/>
      </c>
      <c r="W114" s="153" t="str">
        <f t="shared" si="238"/>
        <v/>
      </c>
      <c r="X114" s="545" t="str">
        <f>IF('Marks Entry'!P114="","",'Marks Entry'!P114)</f>
        <v/>
      </c>
      <c r="Y114" s="545" t="str">
        <f>IF('Marks Entry'!Q114="","",'Marks Entry'!Q114)</f>
        <v/>
      </c>
      <c r="Z114" s="545" t="str">
        <f>IF('Marks Entry'!R114="","",'Marks Entry'!R114)</f>
        <v/>
      </c>
      <c r="AA114" s="546" t="str">
        <f t="shared" si="239"/>
        <v/>
      </c>
      <c r="AB114" s="545" t="str">
        <f>IF('Marks Entry'!S114="","",'Marks Entry'!S114)</f>
        <v/>
      </c>
      <c r="AC114" s="546" t="str">
        <f t="shared" si="240"/>
        <v/>
      </c>
      <c r="AD114" s="545" t="str">
        <f>IF('Marks Entry'!T114="","",'Marks Entry'!T114)</f>
        <v/>
      </c>
      <c r="AE114" s="547" t="str">
        <f t="shared" si="241"/>
        <v/>
      </c>
      <c r="AF114" s="153">
        <f t="shared" si="242"/>
        <v>0</v>
      </c>
      <c r="AG114" s="153">
        <f t="shared" si="243"/>
        <v>0</v>
      </c>
      <c r="AH114" s="154" t="str">
        <f t="shared" si="244"/>
        <v/>
      </c>
      <c r="AI114" s="153" t="str">
        <f t="shared" si="245"/>
        <v/>
      </c>
      <c r="AJ114" s="153" t="str">
        <f t="shared" si="246"/>
        <v/>
      </c>
      <c r="AK114" s="153" t="str">
        <f t="shared" si="247"/>
        <v/>
      </c>
      <c r="AL114" s="573" t="str">
        <f>IF('Marks Entry'!U114="","",'Marks Entry'!U114)</f>
        <v/>
      </c>
      <c r="AM114" s="573" t="str">
        <f>IF('Marks Entry'!V114="","",'Marks Entry'!V114)</f>
        <v/>
      </c>
      <c r="AN114" s="573" t="str">
        <f>IF('Marks Entry'!W114="","",'Marks Entry'!W114)</f>
        <v/>
      </c>
      <c r="AO114" s="573" t="str">
        <f>IF('Marks Entry'!X114="","",'Marks Entry'!X114)</f>
        <v/>
      </c>
      <c r="AP114" s="572" t="str">
        <f t="shared" si="248"/>
        <v/>
      </c>
      <c r="AQ114" s="573" t="str">
        <f>IF('Marks Entry'!Y114="","",'Marks Entry'!Y114)</f>
        <v/>
      </c>
      <c r="AR114" s="573" t="str">
        <f>IF('Marks Entry'!Z114="","",'Marks Entry'!Z114)</f>
        <v/>
      </c>
      <c r="AS114" s="572" t="str">
        <f t="shared" si="249"/>
        <v/>
      </c>
      <c r="AT114" s="572" t="str">
        <f t="shared" si="250"/>
        <v/>
      </c>
      <c r="AU114" s="573" t="str">
        <f>IF('Marks Entry'!AA114="","",'Marks Entry'!AA114)</f>
        <v/>
      </c>
      <c r="AV114" s="573" t="str">
        <f>IF('Marks Entry'!AB114="","",'Marks Entry'!AB114)</f>
        <v/>
      </c>
      <c r="AW114" s="572" t="str">
        <f t="shared" si="251"/>
        <v/>
      </c>
      <c r="AX114" s="157" t="str">
        <f t="shared" si="252"/>
        <v/>
      </c>
      <c r="AY114" s="157" t="str">
        <f t="shared" si="253"/>
        <v/>
      </c>
      <c r="AZ114" s="192" t="str">
        <f t="shared" si="254"/>
        <v/>
      </c>
      <c r="BA114" s="153">
        <f t="shared" si="255"/>
        <v>0</v>
      </c>
      <c r="BB114" s="154">
        <f t="shared" si="256"/>
        <v>0</v>
      </c>
      <c r="BC114" s="154" t="str">
        <f t="shared" si="257"/>
        <v/>
      </c>
      <c r="BD114" s="154" t="str">
        <f t="shared" si="258"/>
        <v/>
      </c>
      <c r="BE114" s="154" t="str">
        <f t="shared" si="259"/>
        <v/>
      </c>
      <c r="BF114" s="153" t="str">
        <f t="shared" si="260"/>
        <v/>
      </c>
      <c r="BG114" s="154" t="str">
        <f t="shared" si="261"/>
        <v/>
      </c>
      <c r="BH114" s="153" t="str">
        <f t="shared" si="262"/>
        <v/>
      </c>
      <c r="BI114" s="580" t="str">
        <f>IF('Marks Entry'!AC114="","",'Marks Entry'!AC114)</f>
        <v/>
      </c>
      <c r="BJ114" s="580" t="str">
        <f>IF('Marks Entry'!AD114="","",'Marks Entry'!AD114)</f>
        <v/>
      </c>
      <c r="BK114" s="580" t="str">
        <f>IF('Marks Entry'!AE114="","",'Marks Entry'!AE114)</f>
        <v/>
      </c>
      <c r="BL114" s="580" t="str">
        <f>IF('Marks Entry'!AF114="","",'Marks Entry'!AF114)</f>
        <v/>
      </c>
      <c r="BM114" s="581" t="str">
        <f t="shared" si="263"/>
        <v/>
      </c>
      <c r="BN114" s="580" t="str">
        <f>IF('Marks Entry'!AG114="","",'Marks Entry'!AG114)</f>
        <v/>
      </c>
      <c r="BO114" s="580" t="str">
        <f>IF('Marks Entry'!AH114="","",'Marks Entry'!AH114)</f>
        <v/>
      </c>
      <c r="BP114" s="581" t="str">
        <f t="shared" si="264"/>
        <v/>
      </c>
      <c r="BQ114" s="581" t="str">
        <f t="shared" si="265"/>
        <v/>
      </c>
      <c r="BR114" s="580" t="str">
        <f>IF('Marks Entry'!AI114="","",'Marks Entry'!AI114)</f>
        <v/>
      </c>
      <c r="BS114" s="580" t="str">
        <f>IF('Marks Entry'!AJ114="","",'Marks Entry'!AJ114)</f>
        <v/>
      </c>
      <c r="BT114" s="581" t="str">
        <f t="shared" si="266"/>
        <v/>
      </c>
      <c r="BU114" s="157" t="str">
        <f t="shared" si="267"/>
        <v/>
      </c>
      <c r="BV114" s="157" t="str">
        <f t="shared" si="268"/>
        <v/>
      </c>
      <c r="BW114" s="192" t="str">
        <f t="shared" si="269"/>
        <v/>
      </c>
      <c r="BX114" s="153">
        <f t="shared" si="270"/>
        <v>0</v>
      </c>
      <c r="BY114" s="154">
        <f t="shared" si="271"/>
        <v>0</v>
      </c>
      <c r="BZ114" s="154" t="str">
        <f t="shared" si="272"/>
        <v/>
      </c>
      <c r="CA114" s="154" t="str">
        <f t="shared" si="273"/>
        <v/>
      </c>
      <c r="CB114" s="154" t="str">
        <f t="shared" si="274"/>
        <v/>
      </c>
      <c r="CC114" s="153" t="str">
        <f t="shared" si="275"/>
        <v/>
      </c>
      <c r="CD114" s="154" t="str">
        <f t="shared" si="276"/>
        <v/>
      </c>
      <c r="CE114" s="153" t="str">
        <f t="shared" si="277"/>
        <v/>
      </c>
      <c r="CF114" s="580" t="str">
        <f>IF('Marks Entry'!AK114="","",'Marks Entry'!AK114)</f>
        <v/>
      </c>
      <c r="CG114" s="580" t="str">
        <f>IF('Marks Entry'!AL114="","",'Marks Entry'!AL114)</f>
        <v/>
      </c>
      <c r="CH114" s="580" t="str">
        <f>IF('Marks Entry'!AM114="","",'Marks Entry'!AM114)</f>
        <v/>
      </c>
      <c r="CI114" s="580" t="str">
        <f>IF('Marks Entry'!AN114="","",'Marks Entry'!AN114)</f>
        <v/>
      </c>
      <c r="CJ114" s="581" t="str">
        <f t="shared" si="278"/>
        <v/>
      </c>
      <c r="CK114" s="580" t="str">
        <f>IF('Marks Entry'!AO114="","",'Marks Entry'!AO114)</f>
        <v/>
      </c>
      <c r="CL114" s="580" t="str">
        <f>IF('Marks Entry'!AP114="","",'Marks Entry'!AP114)</f>
        <v/>
      </c>
      <c r="CM114" s="581" t="str">
        <f t="shared" si="279"/>
        <v/>
      </c>
      <c r="CN114" s="581" t="str">
        <f t="shared" si="280"/>
        <v/>
      </c>
      <c r="CO114" s="580" t="str">
        <f>IF('Marks Entry'!AQ114="","",'Marks Entry'!AQ114)</f>
        <v/>
      </c>
      <c r="CP114" s="580" t="str">
        <f>IF('Marks Entry'!AR114="","",'Marks Entry'!AR114)</f>
        <v/>
      </c>
      <c r="CQ114" s="581" t="str">
        <f t="shared" si="281"/>
        <v/>
      </c>
      <c r="CR114" s="157" t="str">
        <f t="shared" si="282"/>
        <v/>
      </c>
      <c r="CS114" s="157" t="str">
        <f t="shared" si="283"/>
        <v/>
      </c>
      <c r="CT114" s="192" t="str">
        <f t="shared" si="284"/>
        <v/>
      </c>
      <c r="CU114" s="153">
        <f t="shared" si="285"/>
        <v>0</v>
      </c>
      <c r="CV114" s="154">
        <f t="shared" si="286"/>
        <v>0</v>
      </c>
      <c r="CW114" s="154" t="str">
        <f t="shared" si="287"/>
        <v/>
      </c>
      <c r="CX114" s="154" t="str">
        <f t="shared" si="288"/>
        <v/>
      </c>
      <c r="CY114" s="154" t="str">
        <f t="shared" si="289"/>
        <v/>
      </c>
      <c r="CZ114" s="153" t="str">
        <f t="shared" si="290"/>
        <v/>
      </c>
      <c r="DA114" s="154" t="str">
        <f t="shared" si="291"/>
        <v/>
      </c>
      <c r="DB114" s="153" t="str">
        <f t="shared" si="292"/>
        <v/>
      </c>
      <c r="DC114" s="154">
        <f t="shared" si="293"/>
        <v>0</v>
      </c>
      <c r="DD114" s="826" t="str">
        <f>IF('Marks Entry'!AS114="","",IF(OR('Master Sheet'!$D$19="YES",'Marks Entry'!$BA$1=1),'Marks Entry'!AS114,""))</f>
        <v/>
      </c>
      <c r="DE114" s="826" t="str">
        <f>IF('Marks Entry'!AT114="","",IF(OR('Master Sheet'!$D$19="YES",'Marks Entry'!$BA$1=1),'Marks Entry'!AT114,""))</f>
        <v/>
      </c>
      <c r="DF114" s="826" t="str">
        <f>IF('Marks Entry'!AU114="","",IF(OR('Master Sheet'!$D$19="YES",'Marks Entry'!$BA$1=1),'Marks Entry'!AU114,""))</f>
        <v/>
      </c>
      <c r="DG114" s="826" t="str">
        <f>IF('Marks Entry'!AV114="","",IF(OR('Master Sheet'!$D$19="YES",'Marks Entry'!$BA$1=1),'Marks Entry'!AV114,""))</f>
        <v/>
      </c>
      <c r="DH114" s="827" t="str">
        <f t="shared" si="294"/>
        <v/>
      </c>
      <c r="DI114" s="826" t="str">
        <f>IF('Marks Entry'!AW114="","",IF(OR('Master Sheet'!$D$19="YES",'Marks Entry'!$BA$1=1),'Marks Entry'!AW114,""))</f>
        <v/>
      </c>
      <c r="DJ114" s="826" t="str">
        <f>IF('Marks Entry'!AX114="","",IF(OR('Master Sheet'!$D$19="YES",'Marks Entry'!$BA$1=1),'Marks Entry'!AX114,""))</f>
        <v/>
      </c>
      <c r="DK114" s="827" t="str">
        <f t="shared" si="295"/>
        <v/>
      </c>
      <c r="DL114" s="827" t="str">
        <f t="shared" si="296"/>
        <v/>
      </c>
      <c r="DM114" s="826" t="str">
        <f>IF('Marks Entry'!AY114="","",IF(OR('Master Sheet'!$D$19="YES",'Marks Entry'!$BA$1=1),'Marks Entry'!AY114,""))</f>
        <v/>
      </c>
      <c r="DN114" s="826" t="str">
        <f>IF('Marks Entry'!AZ114="","",IF(OR('Master Sheet'!$D$19="YES",'Marks Entry'!$BA$1=1),'Marks Entry'!AZ114,""))</f>
        <v/>
      </c>
      <c r="DO114" s="826" t="str">
        <f>IF('Marks Entry'!BA114="","",IF(OR('Master Sheet'!$D$19="YES",'Marks Entry'!$BA$1=1),'Marks Entry'!BA114,""))</f>
        <v/>
      </c>
      <c r="DP114" s="827" t="str">
        <f t="shared" si="297"/>
        <v/>
      </c>
      <c r="DQ114" s="157" t="str">
        <f t="shared" si="298"/>
        <v/>
      </c>
      <c r="DR114" s="157" t="str">
        <f t="shared" si="299"/>
        <v/>
      </c>
      <c r="DS114" s="157" t="str">
        <f t="shared" si="300"/>
        <v/>
      </c>
      <c r="DT114" s="192" t="str">
        <f t="shared" si="301"/>
        <v/>
      </c>
      <c r="DU114" s="153">
        <f t="shared" si="302"/>
        <v>0</v>
      </c>
      <c r="DV114" s="154" t="e">
        <f t="shared" si="303"/>
        <v>#VALUE!</v>
      </c>
      <c r="DW114" s="154" t="str">
        <f t="shared" si="304"/>
        <v/>
      </c>
      <c r="DX114" s="154" t="str">
        <f>IF(OR($B114="NSO",$B114=0,DS114=""),"",IF(AND(DJ114="",DO114=""),"",IF('Master Sheet'!$D$19="YES",$DO$6-COUNTIF(DO114,"ML")*DO$6,DS$6-(COUNTIF(DJ114,"ML")*DJ$6)-(COUNTIF(DO114,"ML")*DO$6))))</f>
        <v/>
      </c>
      <c r="DY114" s="154" t="str">
        <f>IF(OR($B114="NSO",$B114=0),"",IF(AND(DH114="",DI114="",DM114=""),"",IF(AND('Master Sheet'!$D$19="YES",'Marks Entry'!$BA$1=1),100,IF(AND(DJ114="",DO114=""),SUM(($DQ$7+$DR$7)-(DU114+DV114)),SUM(($DQ$6+$DR$6)-(DU114+DV114))))))</f>
        <v/>
      </c>
      <c r="DZ114" s="153" t="str">
        <f t="shared" si="305"/>
        <v/>
      </c>
      <c r="EA114" s="154" t="str">
        <f t="shared" si="306"/>
        <v/>
      </c>
      <c r="EB114" s="153" t="str">
        <f t="shared" si="307"/>
        <v/>
      </c>
      <c r="EC114" s="584" t="str">
        <f>IF('Marks Entry'!BB114="","",'Marks Entry'!BB114)</f>
        <v/>
      </c>
      <c r="ED114" s="584" t="str">
        <f>IF('Marks Entry'!BC114="","",'Marks Entry'!BC114)</f>
        <v/>
      </c>
      <c r="EE114" s="584" t="str">
        <f>IF('Marks Entry'!BD114="","",'Marks Entry'!BD114)</f>
        <v/>
      </c>
      <c r="EF114" s="590" t="str">
        <f t="shared" si="308"/>
        <v/>
      </c>
      <c r="EG114" s="595">
        <f t="shared" si="309"/>
        <v>0</v>
      </c>
      <c r="EH114" s="595">
        <f t="shared" si="310"/>
        <v>0</v>
      </c>
      <c r="EI114" s="193" t="str">
        <f t="shared" si="311"/>
        <v/>
      </c>
      <c r="EJ114" s="595" t="str">
        <f t="shared" si="312"/>
        <v/>
      </c>
      <c r="EK114" s="595" t="str">
        <f t="shared" si="313"/>
        <v/>
      </c>
      <c r="EL114" s="194" t="str">
        <f t="shared" si="314"/>
        <v/>
      </c>
      <c r="EM114" s="194" t="str">
        <f t="shared" si="315"/>
        <v/>
      </c>
      <c r="EN114" s="194" t="str">
        <f t="shared" si="316"/>
        <v/>
      </c>
      <c r="EO114" s="194" t="str">
        <f t="shared" si="317"/>
        <v/>
      </c>
      <c r="EP114" s="194" t="str">
        <f t="shared" si="318"/>
        <v/>
      </c>
      <c r="EQ114" s="194" t="str">
        <f t="shared" si="319"/>
        <v/>
      </c>
      <c r="ER114" s="195">
        <f t="shared" si="320"/>
        <v>0</v>
      </c>
      <c r="ES114" s="195">
        <f t="shared" si="321"/>
        <v>0</v>
      </c>
      <c r="ET114" s="195">
        <f t="shared" si="322"/>
        <v>0</v>
      </c>
      <c r="EU114" s="195">
        <f t="shared" si="323"/>
        <v>0</v>
      </c>
      <c r="EV114" s="195">
        <f t="shared" si="324"/>
        <v>0</v>
      </c>
      <c r="EW114" s="195" t="str">
        <f t="shared" si="325"/>
        <v/>
      </c>
      <c r="EX114" s="196" t="str">
        <f t="shared" si="326"/>
        <v/>
      </c>
      <c r="EY114" s="197" t="str">
        <f>IF('Marks Entry'!BE114="","",'Marks Entry'!BE114)</f>
        <v/>
      </c>
      <c r="EZ114" s="197" t="str">
        <f>IF('Marks Entry'!BF114="","",'Marks Entry'!BF114)</f>
        <v/>
      </c>
      <c r="FA114" s="197" t="str">
        <f>IF('Marks Entry'!BG114="","",'Marks Entry'!BG114)</f>
        <v/>
      </c>
      <c r="FB114" s="596" t="str">
        <f t="shared" si="327"/>
        <v/>
      </c>
      <c r="FC114" s="197" t="str">
        <f>IF('Marks Entry'!BH114="","",'Marks Entry'!BH114)</f>
        <v/>
      </c>
      <c r="FD114" s="197" t="str">
        <f>IF('Marks Entry'!BI114="","",'Marks Entry'!BI114)</f>
        <v/>
      </c>
      <c r="FE114" s="198" t="str">
        <f t="shared" si="328"/>
        <v/>
      </c>
      <c r="FF114" s="199" t="str">
        <f t="shared" si="329"/>
        <v/>
      </c>
      <c r="FG114" s="200" t="str">
        <f>IF(AND(E114=""),"",IF('Student DATA Entry'!L110="","",'Student DATA Entry'!L110))</f>
        <v/>
      </c>
      <c r="FH114" s="201" t="str">
        <f>IF(AND(E114=""),"",IF('Student DATA Entry'!M110="","",'Student DATA Entry'!M110))</f>
        <v/>
      </c>
      <c r="FI114" s="202" t="str">
        <f t="shared" si="330"/>
        <v/>
      </c>
      <c r="FJ114" s="189" t="str">
        <f t="shared" si="331"/>
        <v/>
      </c>
      <c r="FK114" s="189" t="str">
        <f t="shared" si="332"/>
        <v/>
      </c>
      <c r="FL114" s="203" t="str">
        <f t="shared" si="360"/>
        <v/>
      </c>
      <c r="FM114" s="189" t="str">
        <f t="shared" si="333"/>
        <v/>
      </c>
      <c r="FN114" s="204" t="str">
        <f t="shared" si="334"/>
        <v/>
      </c>
      <c r="FO114" s="203" t="str">
        <f t="shared" si="361"/>
        <v/>
      </c>
      <c r="FP114" s="205" t="str">
        <f t="shared" si="335"/>
        <v/>
      </c>
      <c r="FQ114" s="189" t="str">
        <f t="shared" si="362"/>
        <v/>
      </c>
      <c r="FR114" s="189" t="str">
        <f t="shared" si="363"/>
        <v/>
      </c>
      <c r="FS114" s="189" t="str">
        <f t="shared" si="364"/>
        <v/>
      </c>
      <c r="FT114" s="189" t="str">
        <f t="shared" si="365"/>
        <v/>
      </c>
      <c r="FU114" s="189" t="str">
        <f t="shared" si="336"/>
        <v/>
      </c>
      <c r="FV114" s="206" t="str">
        <f t="shared" si="366"/>
        <v/>
      </c>
      <c r="FW114" s="205" t="str">
        <f t="shared" si="337"/>
        <v/>
      </c>
      <c r="FX114" s="189" t="str">
        <f t="shared" si="367"/>
        <v/>
      </c>
      <c r="FY114" s="189" t="str">
        <f t="shared" si="368"/>
        <v/>
      </c>
      <c r="FZ114" s="189" t="str">
        <f t="shared" si="369"/>
        <v/>
      </c>
      <c r="GA114" s="189" t="str">
        <f t="shared" si="370"/>
        <v/>
      </c>
      <c r="GB114" s="189" t="str">
        <f t="shared" si="338"/>
        <v/>
      </c>
      <c r="GC114" s="206" t="str">
        <f t="shared" si="371"/>
        <v/>
      </c>
      <c r="GD114" s="205" t="str">
        <f t="shared" si="339"/>
        <v/>
      </c>
      <c r="GE114" s="189" t="str">
        <f t="shared" si="372"/>
        <v/>
      </c>
      <c r="GF114" s="189" t="str">
        <f t="shared" si="373"/>
        <v/>
      </c>
      <c r="GG114" s="189" t="str">
        <f t="shared" si="374"/>
        <v/>
      </c>
      <c r="GH114" s="189" t="str">
        <f t="shared" si="375"/>
        <v/>
      </c>
      <c r="GI114" s="189" t="str">
        <f t="shared" si="340"/>
        <v/>
      </c>
      <c r="GJ114" s="206" t="str">
        <f t="shared" si="376"/>
        <v/>
      </c>
      <c r="GK114" s="205" t="str">
        <f t="shared" si="341"/>
        <v/>
      </c>
      <c r="GL114" s="189" t="str">
        <f t="shared" si="377"/>
        <v/>
      </c>
      <c r="GM114" s="189" t="str">
        <f t="shared" si="378"/>
        <v/>
      </c>
      <c r="GN114" s="189" t="str">
        <f t="shared" si="379"/>
        <v/>
      </c>
      <c r="GO114" s="189" t="str">
        <f t="shared" si="380"/>
        <v/>
      </c>
      <c r="GP114" s="189" t="str">
        <f t="shared" si="342"/>
        <v/>
      </c>
      <c r="GQ114" s="206" t="str">
        <f t="shared" si="381"/>
        <v/>
      </c>
      <c r="GR114" s="189" t="str">
        <f t="shared" si="343"/>
        <v/>
      </c>
      <c r="GS114" s="189" t="str">
        <f t="shared" si="344"/>
        <v/>
      </c>
      <c r="GT114" s="207" t="str">
        <f t="shared" si="345"/>
        <v xml:space="preserve">    </v>
      </c>
      <c r="GU114" s="207" t="str">
        <f t="shared" si="346"/>
        <v xml:space="preserve">    </v>
      </c>
      <c r="GV114" s="207" t="str">
        <f t="shared" si="347"/>
        <v xml:space="preserve">    </v>
      </c>
      <c r="GW114" s="207" t="str">
        <f t="shared" si="348"/>
        <v xml:space="preserve">       </v>
      </c>
      <c r="GX114" s="598" t="str">
        <f t="shared" si="349"/>
        <v xml:space="preserve">     </v>
      </c>
      <c r="GY114" s="208" t="str">
        <f t="shared" si="382"/>
        <v/>
      </c>
      <c r="GZ114" s="606" t="str">
        <f>IF(AND(Q114="",AE114="",AZ114="",BW114="",CT114=""),"",IF(AND('Master Sheet'!$D$19="YES",'Marks Entry'!$BA$1=1),SUM(Q114,AE114,AZ114,BW114,DT114),SUM(Q114,AE114,AZ114,BW114,CT114)))</f>
        <v/>
      </c>
      <c r="HA114" s="209" t="str">
        <f>IF(GZ114="","",IF(AND('Master Sheet'!$D$19="YES",'Marks Entry'!$BA$1=1),GZ114/((900)-DC114)*100,GZ114/((1000)-DC114)*100))</f>
        <v/>
      </c>
      <c r="HB114" s="611" t="str">
        <f t="shared" si="350"/>
        <v/>
      </c>
      <c r="HC114" s="609" t="str">
        <f t="shared" si="351"/>
        <v/>
      </c>
      <c r="HD114" s="610" t="str">
        <f t="shared" si="352"/>
        <v/>
      </c>
      <c r="HE114" s="210" t="str">
        <f>IFERROR(IF(OR(GY114="SUPPLEMENTARY",GY114="RE-EXAM"),'Supp. Result Entry'!AS113,""),"")</f>
        <v/>
      </c>
      <c r="HF114" s="613" t="str">
        <f t="shared" si="353"/>
        <v/>
      </c>
      <c r="HG114" s="598" t="str">
        <f t="shared" si="354"/>
        <v/>
      </c>
      <c r="HH114" s="598" t="str">
        <f>IF(AND(HE114="",HF114="",HG114=""),"",IF(OR(GY114="SUPPLEMENTARY",GY114="RE-EXAM"),'Supp. Result Entry'!AS113,GY114))</f>
        <v/>
      </c>
      <c r="HI114" s="180"/>
      <c r="HY114" s="212" t="str">
        <f>IF('Supp. Result Entry'!U113="","",'Supp. Result Entry'!$U$6)</f>
        <v/>
      </c>
      <c r="HZ114" s="213" t="str">
        <f>IF('Supp. Result Entry'!X113="","",'Supp. Result Entry'!$X$6)</f>
        <v/>
      </c>
      <c r="IA114" s="213" t="str">
        <f>IF('Supp. Result Entry'!AA113="","",'Supp. Result Entry'!$AA$6)</f>
        <v/>
      </c>
      <c r="IB114" s="213" t="str">
        <f>IF('Supp. Result Entry'!AD113="","",'Supp. Result Entry'!$AD$6)</f>
        <v/>
      </c>
      <c r="IC114" s="213" t="str">
        <f>IF('Supp. Result Entry'!AG113="","",'Supp. Result Entry'!$AG$6)</f>
        <v/>
      </c>
      <c r="ID114" s="213" t="str">
        <f>IF('Supp. Result Entry'!AJ113="","",'Supp. Result Entry'!$AJ$6)</f>
        <v/>
      </c>
      <c r="IE114" s="213" t="str">
        <f>IF('Supp. Result Entry'!V113="","",'Supp. Result Entry'!V113)</f>
        <v/>
      </c>
      <c r="IF114" s="213" t="str">
        <f>IF('Supp. Result Entry'!Y113="","",'Supp. Result Entry'!Y113)</f>
        <v/>
      </c>
      <c r="IG114" s="213" t="str">
        <f>IF('Supp. Result Entry'!AB113="","",'Supp. Result Entry'!AB113)</f>
        <v/>
      </c>
      <c r="IH114" s="213" t="str">
        <f>IF('Supp. Result Entry'!AE113="","",'Supp. Result Entry'!AE113)</f>
        <v/>
      </c>
      <c r="II114" s="213" t="str">
        <f>IF('Supp. Result Entry'!AH113="","",'Supp. Result Entry'!AH113)</f>
        <v/>
      </c>
      <c r="IJ114" s="213" t="str">
        <f>IF('Supp. Result Entry'!AK113="","",'Supp. Result Entry'!AK113)</f>
        <v/>
      </c>
      <c r="IK114" s="213" t="str">
        <f>IF('Supp. Result Entry'!W113="","",'Supp. Result Entry'!W113)</f>
        <v/>
      </c>
      <c r="IL114" s="213" t="str">
        <f>IF('Supp. Result Entry'!Z113="","",'Supp. Result Entry'!Z113)</f>
        <v/>
      </c>
      <c r="IM114" s="213" t="str">
        <f>IF('Supp. Result Entry'!AC113="","",'Supp. Result Entry'!AC113)</f>
        <v/>
      </c>
      <c r="IN114" s="213" t="str">
        <f>IF('Supp. Result Entry'!AF113="","",'Supp. Result Entry'!AF113)</f>
        <v/>
      </c>
      <c r="IO114" s="213" t="str">
        <f>IF('Supp. Result Entry'!AI113="","",'Supp. Result Entry'!AI113)</f>
        <v/>
      </c>
      <c r="IP114" s="213" t="str">
        <f>IF('Supp. Result Entry'!AL113="","",'Supp. Result Entry'!AL113)</f>
        <v/>
      </c>
      <c r="IQ114" s="213">
        <f>COUNTIF('Supp. Result Entry'!K113:Q113,"S")</f>
        <v>0</v>
      </c>
      <c r="IR114" s="213">
        <f t="shared" si="355"/>
        <v>0</v>
      </c>
      <c r="IS114" s="213">
        <f t="shared" si="356"/>
        <v>0</v>
      </c>
      <c r="IT114" s="213" t="str">
        <f t="shared" si="224"/>
        <v/>
      </c>
      <c r="IU114" s="213" t="str">
        <f t="shared" si="225"/>
        <v/>
      </c>
      <c r="IV114" s="213" t="str">
        <f t="shared" si="226"/>
        <v/>
      </c>
      <c r="IW114" s="213" t="str">
        <f t="shared" si="227"/>
        <v/>
      </c>
      <c r="IX114" s="213" t="str">
        <f t="shared" si="228"/>
        <v/>
      </c>
      <c r="IY114" s="213" t="str">
        <f t="shared" si="357"/>
        <v/>
      </c>
      <c r="IZ114" s="213" t="str">
        <f t="shared" si="358"/>
        <v/>
      </c>
      <c r="JA114" s="213" t="str">
        <f t="shared" si="229"/>
        <v/>
      </c>
      <c r="JB114" s="211" t="str">
        <f t="shared" si="359"/>
        <v/>
      </c>
    </row>
    <row r="115" spans="1:262" s="211" customFormat="1" ht="21" customHeight="1">
      <c r="A115" s="184">
        <v>108</v>
      </c>
      <c r="B115" s="185" t="str">
        <f>IF('Marks Entry'!B115="","",'Marks Entry'!B115)</f>
        <v/>
      </c>
      <c r="C115" s="186" t="str">
        <f>IF('Marks Entry'!D115="","",'Marks Entry'!D115)</f>
        <v/>
      </c>
      <c r="D115" s="187" t="str">
        <f>IF('Marks Entry'!E115="","",'Marks Entry'!E115)</f>
        <v/>
      </c>
      <c r="E115" s="188" t="str">
        <f>IF('Marks Entry'!F115="","",'Marks Entry'!F115)</f>
        <v/>
      </c>
      <c r="F115" s="188" t="str">
        <f>IF('Marks Entry'!G115="","",'Marks Entry'!G115)</f>
        <v/>
      </c>
      <c r="G115" s="188" t="str">
        <f>IF('Marks Entry'!H115="","",'Marks Entry'!H115)</f>
        <v/>
      </c>
      <c r="H115" s="189" t="str">
        <f>IF('Marks Entry'!I115="","",'Marks Entry'!I115)</f>
        <v/>
      </c>
      <c r="I115" s="190" t="str">
        <f>IF('Marks Entry'!J115="","",'Marks Entry'!J115)</f>
        <v/>
      </c>
      <c r="J115" s="545" t="str">
        <f>IF('Marks Entry'!K115="","",'Marks Entry'!K115)</f>
        <v/>
      </c>
      <c r="K115" s="545" t="str">
        <f>IF('Marks Entry'!L115="","",'Marks Entry'!L115)</f>
        <v/>
      </c>
      <c r="L115" s="545" t="str">
        <f>IF('Marks Entry'!M115="","",'Marks Entry'!M115)</f>
        <v/>
      </c>
      <c r="M115" s="546" t="str">
        <f t="shared" si="230"/>
        <v/>
      </c>
      <c r="N115" s="545" t="str">
        <f>IF('Marks Entry'!N115="","",'Marks Entry'!N115)</f>
        <v/>
      </c>
      <c r="O115" s="546" t="str">
        <f t="shared" si="231"/>
        <v/>
      </c>
      <c r="P115" s="545" t="str">
        <f>IF('Marks Entry'!O115="","",'Marks Entry'!O115)</f>
        <v/>
      </c>
      <c r="Q115" s="547" t="str">
        <f t="shared" si="232"/>
        <v/>
      </c>
      <c r="R115" s="153">
        <f t="shared" si="233"/>
        <v>0</v>
      </c>
      <c r="S115" s="153">
        <f t="shared" si="234"/>
        <v>0</v>
      </c>
      <c r="T115" s="154" t="str">
        <f t="shared" si="235"/>
        <v/>
      </c>
      <c r="U115" s="153" t="str">
        <f t="shared" si="236"/>
        <v/>
      </c>
      <c r="V115" s="153" t="str">
        <f t="shared" si="237"/>
        <v/>
      </c>
      <c r="W115" s="153" t="str">
        <f t="shared" si="238"/>
        <v/>
      </c>
      <c r="X115" s="545" t="str">
        <f>IF('Marks Entry'!P115="","",'Marks Entry'!P115)</f>
        <v/>
      </c>
      <c r="Y115" s="545" t="str">
        <f>IF('Marks Entry'!Q115="","",'Marks Entry'!Q115)</f>
        <v/>
      </c>
      <c r="Z115" s="545" t="str">
        <f>IF('Marks Entry'!R115="","",'Marks Entry'!R115)</f>
        <v/>
      </c>
      <c r="AA115" s="546" t="str">
        <f t="shared" si="239"/>
        <v/>
      </c>
      <c r="AB115" s="545" t="str">
        <f>IF('Marks Entry'!S115="","",'Marks Entry'!S115)</f>
        <v/>
      </c>
      <c r="AC115" s="546" t="str">
        <f t="shared" si="240"/>
        <v/>
      </c>
      <c r="AD115" s="545" t="str">
        <f>IF('Marks Entry'!T115="","",'Marks Entry'!T115)</f>
        <v/>
      </c>
      <c r="AE115" s="547" t="str">
        <f t="shared" si="241"/>
        <v/>
      </c>
      <c r="AF115" s="153">
        <f t="shared" si="242"/>
        <v>0</v>
      </c>
      <c r="AG115" s="153">
        <f t="shared" si="243"/>
        <v>0</v>
      </c>
      <c r="AH115" s="154" t="str">
        <f t="shared" si="244"/>
        <v/>
      </c>
      <c r="AI115" s="153" t="str">
        <f t="shared" si="245"/>
        <v/>
      </c>
      <c r="AJ115" s="153" t="str">
        <f t="shared" si="246"/>
        <v/>
      </c>
      <c r="AK115" s="153" t="str">
        <f t="shared" si="247"/>
        <v/>
      </c>
      <c r="AL115" s="573" t="str">
        <f>IF('Marks Entry'!U115="","",'Marks Entry'!U115)</f>
        <v/>
      </c>
      <c r="AM115" s="573" t="str">
        <f>IF('Marks Entry'!V115="","",'Marks Entry'!V115)</f>
        <v/>
      </c>
      <c r="AN115" s="573" t="str">
        <f>IF('Marks Entry'!W115="","",'Marks Entry'!W115)</f>
        <v/>
      </c>
      <c r="AO115" s="573" t="str">
        <f>IF('Marks Entry'!X115="","",'Marks Entry'!X115)</f>
        <v/>
      </c>
      <c r="AP115" s="572" t="str">
        <f t="shared" si="248"/>
        <v/>
      </c>
      <c r="AQ115" s="573" t="str">
        <f>IF('Marks Entry'!Y115="","",'Marks Entry'!Y115)</f>
        <v/>
      </c>
      <c r="AR115" s="573" t="str">
        <f>IF('Marks Entry'!Z115="","",'Marks Entry'!Z115)</f>
        <v/>
      </c>
      <c r="AS115" s="572" t="str">
        <f t="shared" si="249"/>
        <v/>
      </c>
      <c r="AT115" s="572" t="str">
        <f t="shared" si="250"/>
        <v/>
      </c>
      <c r="AU115" s="573" t="str">
        <f>IF('Marks Entry'!AA115="","",'Marks Entry'!AA115)</f>
        <v/>
      </c>
      <c r="AV115" s="573" t="str">
        <f>IF('Marks Entry'!AB115="","",'Marks Entry'!AB115)</f>
        <v/>
      </c>
      <c r="AW115" s="572" t="str">
        <f t="shared" si="251"/>
        <v/>
      </c>
      <c r="AX115" s="157" t="str">
        <f t="shared" si="252"/>
        <v/>
      </c>
      <c r="AY115" s="157" t="str">
        <f t="shared" si="253"/>
        <v/>
      </c>
      <c r="AZ115" s="192" t="str">
        <f t="shared" si="254"/>
        <v/>
      </c>
      <c r="BA115" s="153">
        <f t="shared" si="255"/>
        <v>0</v>
      </c>
      <c r="BB115" s="154">
        <f t="shared" si="256"/>
        <v>0</v>
      </c>
      <c r="BC115" s="154" t="str">
        <f t="shared" si="257"/>
        <v/>
      </c>
      <c r="BD115" s="154" t="str">
        <f t="shared" si="258"/>
        <v/>
      </c>
      <c r="BE115" s="154" t="str">
        <f t="shared" si="259"/>
        <v/>
      </c>
      <c r="BF115" s="153" t="str">
        <f t="shared" si="260"/>
        <v/>
      </c>
      <c r="BG115" s="154" t="str">
        <f t="shared" si="261"/>
        <v/>
      </c>
      <c r="BH115" s="153" t="str">
        <f t="shared" si="262"/>
        <v/>
      </c>
      <c r="BI115" s="580" t="str">
        <f>IF('Marks Entry'!AC115="","",'Marks Entry'!AC115)</f>
        <v/>
      </c>
      <c r="BJ115" s="580" t="str">
        <f>IF('Marks Entry'!AD115="","",'Marks Entry'!AD115)</f>
        <v/>
      </c>
      <c r="BK115" s="580" t="str">
        <f>IF('Marks Entry'!AE115="","",'Marks Entry'!AE115)</f>
        <v/>
      </c>
      <c r="BL115" s="580" t="str">
        <f>IF('Marks Entry'!AF115="","",'Marks Entry'!AF115)</f>
        <v/>
      </c>
      <c r="BM115" s="581" t="str">
        <f t="shared" si="263"/>
        <v/>
      </c>
      <c r="BN115" s="580" t="str">
        <f>IF('Marks Entry'!AG115="","",'Marks Entry'!AG115)</f>
        <v/>
      </c>
      <c r="BO115" s="580" t="str">
        <f>IF('Marks Entry'!AH115="","",'Marks Entry'!AH115)</f>
        <v/>
      </c>
      <c r="BP115" s="581" t="str">
        <f t="shared" si="264"/>
        <v/>
      </c>
      <c r="BQ115" s="581" t="str">
        <f t="shared" si="265"/>
        <v/>
      </c>
      <c r="BR115" s="580" t="str">
        <f>IF('Marks Entry'!AI115="","",'Marks Entry'!AI115)</f>
        <v/>
      </c>
      <c r="BS115" s="580" t="str">
        <f>IF('Marks Entry'!AJ115="","",'Marks Entry'!AJ115)</f>
        <v/>
      </c>
      <c r="BT115" s="581" t="str">
        <f t="shared" si="266"/>
        <v/>
      </c>
      <c r="BU115" s="157" t="str">
        <f t="shared" si="267"/>
        <v/>
      </c>
      <c r="BV115" s="157" t="str">
        <f t="shared" si="268"/>
        <v/>
      </c>
      <c r="BW115" s="192" t="str">
        <f t="shared" si="269"/>
        <v/>
      </c>
      <c r="BX115" s="153">
        <f t="shared" si="270"/>
        <v>0</v>
      </c>
      <c r="BY115" s="154">
        <f t="shared" si="271"/>
        <v>0</v>
      </c>
      <c r="BZ115" s="154" t="str">
        <f t="shared" si="272"/>
        <v/>
      </c>
      <c r="CA115" s="154" t="str">
        <f t="shared" si="273"/>
        <v/>
      </c>
      <c r="CB115" s="154" t="str">
        <f t="shared" si="274"/>
        <v/>
      </c>
      <c r="CC115" s="153" t="str">
        <f t="shared" si="275"/>
        <v/>
      </c>
      <c r="CD115" s="154" t="str">
        <f t="shared" si="276"/>
        <v/>
      </c>
      <c r="CE115" s="153" t="str">
        <f t="shared" si="277"/>
        <v/>
      </c>
      <c r="CF115" s="580" t="str">
        <f>IF('Marks Entry'!AK115="","",'Marks Entry'!AK115)</f>
        <v/>
      </c>
      <c r="CG115" s="580" t="str">
        <f>IF('Marks Entry'!AL115="","",'Marks Entry'!AL115)</f>
        <v/>
      </c>
      <c r="CH115" s="580" t="str">
        <f>IF('Marks Entry'!AM115="","",'Marks Entry'!AM115)</f>
        <v/>
      </c>
      <c r="CI115" s="580" t="str">
        <f>IF('Marks Entry'!AN115="","",'Marks Entry'!AN115)</f>
        <v/>
      </c>
      <c r="CJ115" s="581" t="str">
        <f t="shared" si="278"/>
        <v/>
      </c>
      <c r="CK115" s="580" t="str">
        <f>IF('Marks Entry'!AO115="","",'Marks Entry'!AO115)</f>
        <v/>
      </c>
      <c r="CL115" s="580" t="str">
        <f>IF('Marks Entry'!AP115="","",'Marks Entry'!AP115)</f>
        <v/>
      </c>
      <c r="CM115" s="581" t="str">
        <f t="shared" si="279"/>
        <v/>
      </c>
      <c r="CN115" s="581" t="str">
        <f t="shared" si="280"/>
        <v/>
      </c>
      <c r="CO115" s="580" t="str">
        <f>IF('Marks Entry'!AQ115="","",'Marks Entry'!AQ115)</f>
        <v/>
      </c>
      <c r="CP115" s="580" t="str">
        <f>IF('Marks Entry'!AR115="","",'Marks Entry'!AR115)</f>
        <v/>
      </c>
      <c r="CQ115" s="581" t="str">
        <f t="shared" si="281"/>
        <v/>
      </c>
      <c r="CR115" s="157" t="str">
        <f t="shared" si="282"/>
        <v/>
      </c>
      <c r="CS115" s="157" t="str">
        <f t="shared" si="283"/>
        <v/>
      </c>
      <c r="CT115" s="192" t="str">
        <f t="shared" si="284"/>
        <v/>
      </c>
      <c r="CU115" s="153">
        <f t="shared" si="285"/>
        <v>0</v>
      </c>
      <c r="CV115" s="154">
        <f t="shared" si="286"/>
        <v>0</v>
      </c>
      <c r="CW115" s="154" t="str">
        <f t="shared" si="287"/>
        <v/>
      </c>
      <c r="CX115" s="154" t="str">
        <f t="shared" si="288"/>
        <v/>
      </c>
      <c r="CY115" s="154" t="str">
        <f t="shared" si="289"/>
        <v/>
      </c>
      <c r="CZ115" s="153" t="str">
        <f t="shared" si="290"/>
        <v/>
      </c>
      <c r="DA115" s="154" t="str">
        <f t="shared" si="291"/>
        <v/>
      </c>
      <c r="DB115" s="153" t="str">
        <f t="shared" si="292"/>
        <v/>
      </c>
      <c r="DC115" s="154">
        <f t="shared" si="293"/>
        <v>0</v>
      </c>
      <c r="DD115" s="826" t="str">
        <f>IF('Marks Entry'!AS115="","",IF(OR('Master Sheet'!$D$19="YES",'Marks Entry'!$BA$1=1),'Marks Entry'!AS115,""))</f>
        <v/>
      </c>
      <c r="DE115" s="826" t="str">
        <f>IF('Marks Entry'!AT115="","",IF(OR('Master Sheet'!$D$19="YES",'Marks Entry'!$BA$1=1),'Marks Entry'!AT115,""))</f>
        <v/>
      </c>
      <c r="DF115" s="826" t="str">
        <f>IF('Marks Entry'!AU115="","",IF(OR('Master Sheet'!$D$19="YES",'Marks Entry'!$BA$1=1),'Marks Entry'!AU115,""))</f>
        <v/>
      </c>
      <c r="DG115" s="826" t="str">
        <f>IF('Marks Entry'!AV115="","",IF(OR('Master Sheet'!$D$19="YES",'Marks Entry'!$BA$1=1),'Marks Entry'!AV115,""))</f>
        <v/>
      </c>
      <c r="DH115" s="827" t="str">
        <f t="shared" si="294"/>
        <v/>
      </c>
      <c r="DI115" s="826" t="str">
        <f>IF('Marks Entry'!AW115="","",IF(OR('Master Sheet'!$D$19="YES",'Marks Entry'!$BA$1=1),'Marks Entry'!AW115,""))</f>
        <v/>
      </c>
      <c r="DJ115" s="826" t="str">
        <f>IF('Marks Entry'!AX115="","",IF(OR('Master Sheet'!$D$19="YES",'Marks Entry'!$BA$1=1),'Marks Entry'!AX115,""))</f>
        <v/>
      </c>
      <c r="DK115" s="827" t="str">
        <f t="shared" si="295"/>
        <v/>
      </c>
      <c r="DL115" s="827" t="str">
        <f t="shared" si="296"/>
        <v/>
      </c>
      <c r="DM115" s="826" t="str">
        <f>IF('Marks Entry'!AY115="","",IF(OR('Master Sheet'!$D$19="YES",'Marks Entry'!$BA$1=1),'Marks Entry'!AY115,""))</f>
        <v/>
      </c>
      <c r="DN115" s="826" t="str">
        <f>IF('Marks Entry'!AZ115="","",IF(OR('Master Sheet'!$D$19="YES",'Marks Entry'!$BA$1=1),'Marks Entry'!AZ115,""))</f>
        <v/>
      </c>
      <c r="DO115" s="826" t="str">
        <f>IF('Marks Entry'!BA115="","",IF(OR('Master Sheet'!$D$19="YES",'Marks Entry'!$BA$1=1),'Marks Entry'!BA115,""))</f>
        <v/>
      </c>
      <c r="DP115" s="827" t="str">
        <f t="shared" si="297"/>
        <v/>
      </c>
      <c r="DQ115" s="157" t="str">
        <f t="shared" si="298"/>
        <v/>
      </c>
      <c r="DR115" s="157" t="str">
        <f t="shared" si="299"/>
        <v/>
      </c>
      <c r="DS115" s="157" t="str">
        <f t="shared" si="300"/>
        <v/>
      </c>
      <c r="DT115" s="192" t="str">
        <f t="shared" si="301"/>
        <v/>
      </c>
      <c r="DU115" s="153">
        <f t="shared" si="302"/>
        <v>0</v>
      </c>
      <c r="DV115" s="154" t="e">
        <f t="shared" si="303"/>
        <v>#VALUE!</v>
      </c>
      <c r="DW115" s="154" t="str">
        <f t="shared" si="304"/>
        <v/>
      </c>
      <c r="DX115" s="154" t="str">
        <f>IF(OR($B115="NSO",$B115=0,DS115=""),"",IF(AND(DJ115="",DO115=""),"",IF('Master Sheet'!$D$19="YES",$DO$6-COUNTIF(DO115,"ML")*DO$6,DS$6-(COUNTIF(DJ115,"ML")*DJ$6)-(COUNTIF(DO115,"ML")*DO$6))))</f>
        <v/>
      </c>
      <c r="DY115" s="154" t="str">
        <f>IF(OR($B115="NSO",$B115=0),"",IF(AND(DH115="",DI115="",DM115=""),"",IF(AND('Master Sheet'!$D$19="YES",'Marks Entry'!$BA$1=1),100,IF(AND(DJ115="",DO115=""),SUM(($DQ$7+$DR$7)-(DU115+DV115)),SUM(($DQ$6+$DR$6)-(DU115+DV115))))))</f>
        <v/>
      </c>
      <c r="DZ115" s="153" t="str">
        <f t="shared" si="305"/>
        <v/>
      </c>
      <c r="EA115" s="154" t="str">
        <f t="shared" si="306"/>
        <v/>
      </c>
      <c r="EB115" s="153" t="str">
        <f t="shared" si="307"/>
        <v/>
      </c>
      <c r="EC115" s="584" t="str">
        <f>IF('Marks Entry'!BB115="","",'Marks Entry'!BB115)</f>
        <v/>
      </c>
      <c r="ED115" s="584" t="str">
        <f>IF('Marks Entry'!BC115="","",'Marks Entry'!BC115)</f>
        <v/>
      </c>
      <c r="EE115" s="584" t="str">
        <f>IF('Marks Entry'!BD115="","",'Marks Entry'!BD115)</f>
        <v/>
      </c>
      <c r="EF115" s="590" t="str">
        <f t="shared" si="308"/>
        <v/>
      </c>
      <c r="EG115" s="595">
        <f t="shared" si="309"/>
        <v>0</v>
      </c>
      <c r="EH115" s="595">
        <f t="shared" si="310"/>
        <v>0</v>
      </c>
      <c r="EI115" s="193" t="str">
        <f t="shared" si="311"/>
        <v/>
      </c>
      <c r="EJ115" s="595" t="str">
        <f t="shared" si="312"/>
        <v/>
      </c>
      <c r="EK115" s="595" t="str">
        <f t="shared" si="313"/>
        <v/>
      </c>
      <c r="EL115" s="194" t="str">
        <f t="shared" si="314"/>
        <v/>
      </c>
      <c r="EM115" s="194" t="str">
        <f t="shared" si="315"/>
        <v/>
      </c>
      <c r="EN115" s="194" t="str">
        <f t="shared" si="316"/>
        <v/>
      </c>
      <c r="EO115" s="194" t="str">
        <f t="shared" si="317"/>
        <v/>
      </c>
      <c r="EP115" s="194" t="str">
        <f t="shared" si="318"/>
        <v/>
      </c>
      <c r="EQ115" s="194" t="str">
        <f t="shared" si="319"/>
        <v/>
      </c>
      <c r="ER115" s="195">
        <f t="shared" si="320"/>
        <v>0</v>
      </c>
      <c r="ES115" s="195">
        <f t="shared" si="321"/>
        <v>0</v>
      </c>
      <c r="ET115" s="195">
        <f t="shared" si="322"/>
        <v>0</v>
      </c>
      <c r="EU115" s="195">
        <f t="shared" si="323"/>
        <v>0</v>
      </c>
      <c r="EV115" s="195">
        <f t="shared" si="324"/>
        <v>0</v>
      </c>
      <c r="EW115" s="195" t="str">
        <f t="shared" si="325"/>
        <v/>
      </c>
      <c r="EX115" s="196" t="str">
        <f t="shared" si="326"/>
        <v/>
      </c>
      <c r="EY115" s="197" t="str">
        <f>IF('Marks Entry'!BE115="","",'Marks Entry'!BE115)</f>
        <v/>
      </c>
      <c r="EZ115" s="197" t="str">
        <f>IF('Marks Entry'!BF115="","",'Marks Entry'!BF115)</f>
        <v/>
      </c>
      <c r="FA115" s="197" t="str">
        <f>IF('Marks Entry'!BG115="","",'Marks Entry'!BG115)</f>
        <v/>
      </c>
      <c r="FB115" s="596" t="str">
        <f t="shared" si="327"/>
        <v/>
      </c>
      <c r="FC115" s="197" t="str">
        <f>IF('Marks Entry'!BH115="","",'Marks Entry'!BH115)</f>
        <v/>
      </c>
      <c r="FD115" s="197" t="str">
        <f>IF('Marks Entry'!BI115="","",'Marks Entry'!BI115)</f>
        <v/>
      </c>
      <c r="FE115" s="198" t="str">
        <f t="shared" si="328"/>
        <v/>
      </c>
      <c r="FF115" s="199" t="str">
        <f t="shared" si="329"/>
        <v/>
      </c>
      <c r="FG115" s="200" t="str">
        <f>IF(AND(E115=""),"",IF('Student DATA Entry'!L111="","",'Student DATA Entry'!L111))</f>
        <v/>
      </c>
      <c r="FH115" s="201" t="str">
        <f>IF(AND(E115=""),"",IF('Student DATA Entry'!M111="","",'Student DATA Entry'!M111))</f>
        <v/>
      </c>
      <c r="FI115" s="202" t="str">
        <f t="shared" si="330"/>
        <v/>
      </c>
      <c r="FJ115" s="189" t="str">
        <f t="shared" si="331"/>
        <v/>
      </c>
      <c r="FK115" s="189" t="str">
        <f t="shared" si="332"/>
        <v/>
      </c>
      <c r="FL115" s="203" t="str">
        <f t="shared" si="360"/>
        <v/>
      </c>
      <c r="FM115" s="189" t="str">
        <f t="shared" si="333"/>
        <v/>
      </c>
      <c r="FN115" s="204" t="str">
        <f t="shared" si="334"/>
        <v/>
      </c>
      <c r="FO115" s="203" t="str">
        <f t="shared" si="361"/>
        <v/>
      </c>
      <c r="FP115" s="205" t="str">
        <f t="shared" si="335"/>
        <v/>
      </c>
      <c r="FQ115" s="189" t="str">
        <f t="shared" si="362"/>
        <v/>
      </c>
      <c r="FR115" s="189" t="str">
        <f t="shared" si="363"/>
        <v/>
      </c>
      <c r="FS115" s="189" t="str">
        <f t="shared" si="364"/>
        <v/>
      </c>
      <c r="FT115" s="189" t="str">
        <f t="shared" si="365"/>
        <v/>
      </c>
      <c r="FU115" s="189" t="str">
        <f t="shared" si="336"/>
        <v/>
      </c>
      <c r="FV115" s="206" t="str">
        <f t="shared" si="366"/>
        <v/>
      </c>
      <c r="FW115" s="205" t="str">
        <f t="shared" si="337"/>
        <v/>
      </c>
      <c r="FX115" s="189" t="str">
        <f t="shared" si="367"/>
        <v/>
      </c>
      <c r="FY115" s="189" t="str">
        <f t="shared" si="368"/>
        <v/>
      </c>
      <c r="FZ115" s="189" t="str">
        <f t="shared" si="369"/>
        <v/>
      </c>
      <c r="GA115" s="189" t="str">
        <f t="shared" si="370"/>
        <v/>
      </c>
      <c r="GB115" s="189" t="str">
        <f t="shared" si="338"/>
        <v/>
      </c>
      <c r="GC115" s="206" t="str">
        <f t="shared" si="371"/>
        <v/>
      </c>
      <c r="GD115" s="205" t="str">
        <f t="shared" si="339"/>
        <v/>
      </c>
      <c r="GE115" s="189" t="str">
        <f t="shared" si="372"/>
        <v/>
      </c>
      <c r="GF115" s="189" t="str">
        <f t="shared" si="373"/>
        <v/>
      </c>
      <c r="GG115" s="189" t="str">
        <f t="shared" si="374"/>
        <v/>
      </c>
      <c r="GH115" s="189" t="str">
        <f t="shared" si="375"/>
        <v/>
      </c>
      <c r="GI115" s="189" t="str">
        <f t="shared" si="340"/>
        <v/>
      </c>
      <c r="GJ115" s="206" t="str">
        <f t="shared" si="376"/>
        <v/>
      </c>
      <c r="GK115" s="205" t="str">
        <f t="shared" si="341"/>
        <v/>
      </c>
      <c r="GL115" s="189" t="str">
        <f t="shared" si="377"/>
        <v/>
      </c>
      <c r="GM115" s="189" t="str">
        <f t="shared" si="378"/>
        <v/>
      </c>
      <c r="GN115" s="189" t="str">
        <f t="shared" si="379"/>
        <v/>
      </c>
      <c r="GO115" s="189" t="str">
        <f t="shared" si="380"/>
        <v/>
      </c>
      <c r="GP115" s="189" t="str">
        <f t="shared" si="342"/>
        <v/>
      </c>
      <c r="GQ115" s="206" t="str">
        <f t="shared" si="381"/>
        <v/>
      </c>
      <c r="GR115" s="189" t="str">
        <f t="shared" si="343"/>
        <v/>
      </c>
      <c r="GS115" s="189" t="str">
        <f t="shared" si="344"/>
        <v/>
      </c>
      <c r="GT115" s="207" t="str">
        <f t="shared" si="345"/>
        <v xml:space="preserve">    </v>
      </c>
      <c r="GU115" s="207" t="str">
        <f t="shared" si="346"/>
        <v xml:space="preserve">    </v>
      </c>
      <c r="GV115" s="207" t="str">
        <f t="shared" si="347"/>
        <v xml:space="preserve">    </v>
      </c>
      <c r="GW115" s="207" t="str">
        <f t="shared" si="348"/>
        <v xml:space="preserve">       </v>
      </c>
      <c r="GX115" s="598" t="str">
        <f t="shared" si="349"/>
        <v xml:space="preserve">     </v>
      </c>
      <c r="GY115" s="208" t="str">
        <f t="shared" si="382"/>
        <v/>
      </c>
      <c r="GZ115" s="606" t="str">
        <f>IF(AND(Q115="",AE115="",AZ115="",BW115="",CT115=""),"",IF(AND('Master Sheet'!$D$19="YES",'Marks Entry'!$BA$1=1),SUM(Q115,AE115,AZ115,BW115,DT115),SUM(Q115,AE115,AZ115,BW115,CT115)))</f>
        <v/>
      </c>
      <c r="HA115" s="209" t="str">
        <f>IF(GZ115="","",IF(AND('Master Sheet'!$D$19="YES",'Marks Entry'!$BA$1=1),GZ115/((900)-DC115)*100,GZ115/((1000)-DC115)*100))</f>
        <v/>
      </c>
      <c r="HB115" s="611" t="str">
        <f t="shared" si="350"/>
        <v/>
      </c>
      <c r="HC115" s="609" t="str">
        <f t="shared" si="351"/>
        <v/>
      </c>
      <c r="HD115" s="610" t="str">
        <f t="shared" si="352"/>
        <v/>
      </c>
      <c r="HE115" s="210" t="str">
        <f>IFERROR(IF(OR(GY115="SUPPLEMENTARY",GY115="RE-EXAM"),'Supp. Result Entry'!AS114,""),"")</f>
        <v/>
      </c>
      <c r="HF115" s="613" t="str">
        <f t="shared" si="353"/>
        <v/>
      </c>
      <c r="HG115" s="598" t="str">
        <f t="shared" si="354"/>
        <v/>
      </c>
      <c r="HH115" s="598" t="str">
        <f>IF(AND(HE115="",HF115="",HG115=""),"",IF(OR(GY115="SUPPLEMENTARY",GY115="RE-EXAM"),'Supp. Result Entry'!AS114,GY115))</f>
        <v/>
      </c>
      <c r="HI115" s="180"/>
      <c r="HY115" s="212" t="str">
        <f>IF('Supp. Result Entry'!U114="","",'Supp. Result Entry'!$U$6)</f>
        <v/>
      </c>
      <c r="HZ115" s="213" t="str">
        <f>IF('Supp. Result Entry'!X114="","",'Supp. Result Entry'!$X$6)</f>
        <v/>
      </c>
      <c r="IA115" s="213" t="str">
        <f>IF('Supp. Result Entry'!AA114="","",'Supp. Result Entry'!$AA$6)</f>
        <v/>
      </c>
      <c r="IB115" s="213" t="str">
        <f>IF('Supp. Result Entry'!AD114="","",'Supp. Result Entry'!$AD$6)</f>
        <v/>
      </c>
      <c r="IC115" s="213" t="str">
        <f>IF('Supp. Result Entry'!AG114="","",'Supp. Result Entry'!$AG$6)</f>
        <v/>
      </c>
      <c r="ID115" s="213" t="str">
        <f>IF('Supp. Result Entry'!AJ114="","",'Supp. Result Entry'!$AJ$6)</f>
        <v/>
      </c>
      <c r="IE115" s="213" t="str">
        <f>IF('Supp. Result Entry'!V114="","",'Supp. Result Entry'!V114)</f>
        <v/>
      </c>
      <c r="IF115" s="213" t="str">
        <f>IF('Supp. Result Entry'!Y114="","",'Supp. Result Entry'!Y114)</f>
        <v/>
      </c>
      <c r="IG115" s="213" t="str">
        <f>IF('Supp. Result Entry'!AB114="","",'Supp. Result Entry'!AB114)</f>
        <v/>
      </c>
      <c r="IH115" s="213" t="str">
        <f>IF('Supp. Result Entry'!AE114="","",'Supp. Result Entry'!AE114)</f>
        <v/>
      </c>
      <c r="II115" s="213" t="str">
        <f>IF('Supp. Result Entry'!AH114="","",'Supp. Result Entry'!AH114)</f>
        <v/>
      </c>
      <c r="IJ115" s="213" t="str">
        <f>IF('Supp. Result Entry'!AK114="","",'Supp. Result Entry'!AK114)</f>
        <v/>
      </c>
      <c r="IK115" s="213" t="str">
        <f>IF('Supp. Result Entry'!W114="","",'Supp. Result Entry'!W114)</f>
        <v/>
      </c>
      <c r="IL115" s="213" t="str">
        <f>IF('Supp. Result Entry'!Z114="","",'Supp. Result Entry'!Z114)</f>
        <v/>
      </c>
      <c r="IM115" s="213" t="str">
        <f>IF('Supp. Result Entry'!AC114="","",'Supp. Result Entry'!AC114)</f>
        <v/>
      </c>
      <c r="IN115" s="213" t="str">
        <f>IF('Supp. Result Entry'!AF114="","",'Supp. Result Entry'!AF114)</f>
        <v/>
      </c>
      <c r="IO115" s="213" t="str">
        <f>IF('Supp. Result Entry'!AI114="","",'Supp. Result Entry'!AI114)</f>
        <v/>
      </c>
      <c r="IP115" s="213" t="str">
        <f>IF('Supp. Result Entry'!AL114="","",'Supp. Result Entry'!AL114)</f>
        <v/>
      </c>
      <c r="IQ115" s="213">
        <f>COUNTIF('Supp. Result Entry'!K114:Q114,"S")</f>
        <v>0</v>
      </c>
      <c r="IR115" s="213">
        <f t="shared" si="355"/>
        <v>0</v>
      </c>
      <c r="IS115" s="213">
        <f t="shared" si="356"/>
        <v>0</v>
      </c>
      <c r="IT115" s="213" t="str">
        <f t="shared" si="224"/>
        <v/>
      </c>
      <c r="IU115" s="213" t="str">
        <f t="shared" si="225"/>
        <v/>
      </c>
      <c r="IV115" s="213" t="str">
        <f t="shared" si="226"/>
        <v/>
      </c>
      <c r="IW115" s="213" t="str">
        <f t="shared" si="227"/>
        <v/>
      </c>
      <c r="IX115" s="213" t="str">
        <f t="shared" si="228"/>
        <v/>
      </c>
      <c r="IY115" s="213" t="str">
        <f t="shared" si="357"/>
        <v/>
      </c>
      <c r="IZ115" s="213" t="str">
        <f t="shared" si="358"/>
        <v/>
      </c>
      <c r="JA115" s="213" t="str">
        <f t="shared" si="229"/>
        <v/>
      </c>
      <c r="JB115" s="211" t="str">
        <f t="shared" si="359"/>
        <v/>
      </c>
    </row>
    <row r="116" spans="1:262" s="211" customFormat="1" ht="21" customHeight="1">
      <c r="A116" s="184">
        <v>109</v>
      </c>
      <c r="B116" s="185" t="str">
        <f>IF('Marks Entry'!B116="","",'Marks Entry'!B116)</f>
        <v/>
      </c>
      <c r="C116" s="186" t="str">
        <f>IF('Marks Entry'!D116="","",'Marks Entry'!D116)</f>
        <v/>
      </c>
      <c r="D116" s="187" t="str">
        <f>IF('Marks Entry'!E116="","",'Marks Entry'!E116)</f>
        <v/>
      </c>
      <c r="E116" s="188" t="str">
        <f>IF('Marks Entry'!F116="","",'Marks Entry'!F116)</f>
        <v/>
      </c>
      <c r="F116" s="188" t="str">
        <f>IF('Marks Entry'!G116="","",'Marks Entry'!G116)</f>
        <v/>
      </c>
      <c r="G116" s="188" t="str">
        <f>IF('Marks Entry'!H116="","",'Marks Entry'!H116)</f>
        <v/>
      </c>
      <c r="H116" s="189" t="str">
        <f>IF('Marks Entry'!I116="","",'Marks Entry'!I116)</f>
        <v/>
      </c>
      <c r="I116" s="190" t="str">
        <f>IF('Marks Entry'!J116="","",'Marks Entry'!J116)</f>
        <v/>
      </c>
      <c r="J116" s="545" t="str">
        <f>IF('Marks Entry'!K116="","",'Marks Entry'!K116)</f>
        <v/>
      </c>
      <c r="K116" s="545" t="str">
        <f>IF('Marks Entry'!L116="","",'Marks Entry'!L116)</f>
        <v/>
      </c>
      <c r="L116" s="545" t="str">
        <f>IF('Marks Entry'!M116="","",'Marks Entry'!M116)</f>
        <v/>
      </c>
      <c r="M116" s="546" t="str">
        <f t="shared" si="230"/>
        <v/>
      </c>
      <c r="N116" s="545" t="str">
        <f>IF('Marks Entry'!N116="","",'Marks Entry'!N116)</f>
        <v/>
      </c>
      <c r="O116" s="546" t="str">
        <f t="shared" si="231"/>
        <v/>
      </c>
      <c r="P116" s="545" t="str">
        <f>IF('Marks Entry'!O116="","",'Marks Entry'!O116)</f>
        <v/>
      </c>
      <c r="Q116" s="547" t="str">
        <f t="shared" si="232"/>
        <v/>
      </c>
      <c r="R116" s="153">
        <f t="shared" si="233"/>
        <v>0</v>
      </c>
      <c r="S116" s="153">
        <f t="shared" si="234"/>
        <v>0</v>
      </c>
      <c r="T116" s="154" t="str">
        <f t="shared" si="235"/>
        <v/>
      </c>
      <c r="U116" s="153" t="str">
        <f t="shared" si="236"/>
        <v/>
      </c>
      <c r="V116" s="153" t="str">
        <f t="shared" si="237"/>
        <v/>
      </c>
      <c r="W116" s="153" t="str">
        <f t="shared" si="238"/>
        <v/>
      </c>
      <c r="X116" s="545" t="str">
        <f>IF('Marks Entry'!P116="","",'Marks Entry'!P116)</f>
        <v/>
      </c>
      <c r="Y116" s="545" t="str">
        <f>IF('Marks Entry'!Q116="","",'Marks Entry'!Q116)</f>
        <v/>
      </c>
      <c r="Z116" s="545" t="str">
        <f>IF('Marks Entry'!R116="","",'Marks Entry'!R116)</f>
        <v/>
      </c>
      <c r="AA116" s="546" t="str">
        <f t="shared" si="239"/>
        <v/>
      </c>
      <c r="AB116" s="545" t="str">
        <f>IF('Marks Entry'!S116="","",'Marks Entry'!S116)</f>
        <v/>
      </c>
      <c r="AC116" s="546" t="str">
        <f t="shared" si="240"/>
        <v/>
      </c>
      <c r="AD116" s="545" t="str">
        <f>IF('Marks Entry'!T116="","",'Marks Entry'!T116)</f>
        <v/>
      </c>
      <c r="AE116" s="547" t="str">
        <f t="shared" si="241"/>
        <v/>
      </c>
      <c r="AF116" s="153">
        <f t="shared" si="242"/>
        <v>0</v>
      </c>
      <c r="AG116" s="153">
        <f t="shared" si="243"/>
        <v>0</v>
      </c>
      <c r="AH116" s="154" t="str">
        <f t="shared" si="244"/>
        <v/>
      </c>
      <c r="AI116" s="153" t="str">
        <f t="shared" si="245"/>
        <v/>
      </c>
      <c r="AJ116" s="153" t="str">
        <f t="shared" si="246"/>
        <v/>
      </c>
      <c r="AK116" s="153" t="str">
        <f t="shared" si="247"/>
        <v/>
      </c>
      <c r="AL116" s="573" t="str">
        <f>IF('Marks Entry'!U116="","",'Marks Entry'!U116)</f>
        <v/>
      </c>
      <c r="AM116" s="573" t="str">
        <f>IF('Marks Entry'!V116="","",'Marks Entry'!V116)</f>
        <v/>
      </c>
      <c r="AN116" s="573" t="str">
        <f>IF('Marks Entry'!W116="","",'Marks Entry'!W116)</f>
        <v/>
      </c>
      <c r="AO116" s="573" t="str">
        <f>IF('Marks Entry'!X116="","",'Marks Entry'!X116)</f>
        <v/>
      </c>
      <c r="AP116" s="572" t="str">
        <f t="shared" si="248"/>
        <v/>
      </c>
      <c r="AQ116" s="573" t="str">
        <f>IF('Marks Entry'!Y116="","",'Marks Entry'!Y116)</f>
        <v/>
      </c>
      <c r="AR116" s="573" t="str">
        <f>IF('Marks Entry'!Z116="","",'Marks Entry'!Z116)</f>
        <v/>
      </c>
      <c r="AS116" s="572" t="str">
        <f t="shared" si="249"/>
        <v/>
      </c>
      <c r="AT116" s="572" t="str">
        <f t="shared" si="250"/>
        <v/>
      </c>
      <c r="AU116" s="573" t="str">
        <f>IF('Marks Entry'!AA116="","",'Marks Entry'!AA116)</f>
        <v/>
      </c>
      <c r="AV116" s="573" t="str">
        <f>IF('Marks Entry'!AB116="","",'Marks Entry'!AB116)</f>
        <v/>
      </c>
      <c r="AW116" s="572" t="str">
        <f t="shared" si="251"/>
        <v/>
      </c>
      <c r="AX116" s="157" t="str">
        <f t="shared" si="252"/>
        <v/>
      </c>
      <c r="AY116" s="157" t="str">
        <f t="shared" si="253"/>
        <v/>
      </c>
      <c r="AZ116" s="192" t="str">
        <f t="shared" si="254"/>
        <v/>
      </c>
      <c r="BA116" s="153">
        <f t="shared" si="255"/>
        <v>0</v>
      </c>
      <c r="BB116" s="154">
        <f t="shared" si="256"/>
        <v>0</v>
      </c>
      <c r="BC116" s="154" t="str">
        <f t="shared" si="257"/>
        <v/>
      </c>
      <c r="BD116" s="154" t="str">
        <f t="shared" si="258"/>
        <v/>
      </c>
      <c r="BE116" s="154" t="str">
        <f t="shared" si="259"/>
        <v/>
      </c>
      <c r="BF116" s="153" t="str">
        <f t="shared" si="260"/>
        <v/>
      </c>
      <c r="BG116" s="154" t="str">
        <f t="shared" si="261"/>
        <v/>
      </c>
      <c r="BH116" s="153" t="str">
        <f t="shared" si="262"/>
        <v/>
      </c>
      <c r="BI116" s="580" t="str">
        <f>IF('Marks Entry'!AC116="","",'Marks Entry'!AC116)</f>
        <v/>
      </c>
      <c r="BJ116" s="580" t="str">
        <f>IF('Marks Entry'!AD116="","",'Marks Entry'!AD116)</f>
        <v/>
      </c>
      <c r="BK116" s="580" t="str">
        <f>IF('Marks Entry'!AE116="","",'Marks Entry'!AE116)</f>
        <v/>
      </c>
      <c r="BL116" s="580" t="str">
        <f>IF('Marks Entry'!AF116="","",'Marks Entry'!AF116)</f>
        <v/>
      </c>
      <c r="BM116" s="581" t="str">
        <f t="shared" si="263"/>
        <v/>
      </c>
      <c r="BN116" s="580" t="str">
        <f>IF('Marks Entry'!AG116="","",'Marks Entry'!AG116)</f>
        <v/>
      </c>
      <c r="BO116" s="580" t="str">
        <f>IF('Marks Entry'!AH116="","",'Marks Entry'!AH116)</f>
        <v/>
      </c>
      <c r="BP116" s="581" t="str">
        <f t="shared" si="264"/>
        <v/>
      </c>
      <c r="BQ116" s="581" t="str">
        <f t="shared" si="265"/>
        <v/>
      </c>
      <c r="BR116" s="580" t="str">
        <f>IF('Marks Entry'!AI116="","",'Marks Entry'!AI116)</f>
        <v/>
      </c>
      <c r="BS116" s="580" t="str">
        <f>IF('Marks Entry'!AJ116="","",'Marks Entry'!AJ116)</f>
        <v/>
      </c>
      <c r="BT116" s="581" t="str">
        <f t="shared" si="266"/>
        <v/>
      </c>
      <c r="BU116" s="157" t="str">
        <f t="shared" si="267"/>
        <v/>
      </c>
      <c r="BV116" s="157" t="str">
        <f t="shared" si="268"/>
        <v/>
      </c>
      <c r="BW116" s="192" t="str">
        <f t="shared" si="269"/>
        <v/>
      </c>
      <c r="BX116" s="153">
        <f t="shared" si="270"/>
        <v>0</v>
      </c>
      <c r="BY116" s="154">
        <f t="shared" si="271"/>
        <v>0</v>
      </c>
      <c r="BZ116" s="154" t="str">
        <f t="shared" si="272"/>
        <v/>
      </c>
      <c r="CA116" s="154" t="str">
        <f t="shared" si="273"/>
        <v/>
      </c>
      <c r="CB116" s="154" t="str">
        <f t="shared" si="274"/>
        <v/>
      </c>
      <c r="CC116" s="153" t="str">
        <f t="shared" si="275"/>
        <v/>
      </c>
      <c r="CD116" s="154" t="str">
        <f t="shared" si="276"/>
        <v/>
      </c>
      <c r="CE116" s="153" t="str">
        <f t="shared" si="277"/>
        <v/>
      </c>
      <c r="CF116" s="580" t="str">
        <f>IF('Marks Entry'!AK116="","",'Marks Entry'!AK116)</f>
        <v/>
      </c>
      <c r="CG116" s="580" t="str">
        <f>IF('Marks Entry'!AL116="","",'Marks Entry'!AL116)</f>
        <v/>
      </c>
      <c r="CH116" s="580" t="str">
        <f>IF('Marks Entry'!AM116="","",'Marks Entry'!AM116)</f>
        <v/>
      </c>
      <c r="CI116" s="580" t="str">
        <f>IF('Marks Entry'!AN116="","",'Marks Entry'!AN116)</f>
        <v/>
      </c>
      <c r="CJ116" s="581" t="str">
        <f t="shared" si="278"/>
        <v/>
      </c>
      <c r="CK116" s="580" t="str">
        <f>IF('Marks Entry'!AO116="","",'Marks Entry'!AO116)</f>
        <v/>
      </c>
      <c r="CL116" s="580" t="str">
        <f>IF('Marks Entry'!AP116="","",'Marks Entry'!AP116)</f>
        <v/>
      </c>
      <c r="CM116" s="581" t="str">
        <f t="shared" si="279"/>
        <v/>
      </c>
      <c r="CN116" s="581" t="str">
        <f t="shared" si="280"/>
        <v/>
      </c>
      <c r="CO116" s="580" t="str">
        <f>IF('Marks Entry'!AQ116="","",'Marks Entry'!AQ116)</f>
        <v/>
      </c>
      <c r="CP116" s="580" t="str">
        <f>IF('Marks Entry'!AR116="","",'Marks Entry'!AR116)</f>
        <v/>
      </c>
      <c r="CQ116" s="581" t="str">
        <f t="shared" si="281"/>
        <v/>
      </c>
      <c r="CR116" s="157" t="str">
        <f t="shared" si="282"/>
        <v/>
      </c>
      <c r="CS116" s="157" t="str">
        <f t="shared" si="283"/>
        <v/>
      </c>
      <c r="CT116" s="192" t="str">
        <f t="shared" si="284"/>
        <v/>
      </c>
      <c r="CU116" s="153">
        <f t="shared" si="285"/>
        <v>0</v>
      </c>
      <c r="CV116" s="154">
        <f t="shared" si="286"/>
        <v>0</v>
      </c>
      <c r="CW116" s="154" t="str">
        <f t="shared" si="287"/>
        <v/>
      </c>
      <c r="CX116" s="154" t="str">
        <f t="shared" si="288"/>
        <v/>
      </c>
      <c r="CY116" s="154" t="str">
        <f t="shared" si="289"/>
        <v/>
      </c>
      <c r="CZ116" s="153" t="str">
        <f t="shared" si="290"/>
        <v/>
      </c>
      <c r="DA116" s="154" t="str">
        <f t="shared" si="291"/>
        <v/>
      </c>
      <c r="DB116" s="153" t="str">
        <f t="shared" si="292"/>
        <v/>
      </c>
      <c r="DC116" s="154">
        <f t="shared" si="293"/>
        <v>0</v>
      </c>
      <c r="DD116" s="826" t="str">
        <f>IF('Marks Entry'!AS116="","",IF(OR('Master Sheet'!$D$19="YES",'Marks Entry'!$BA$1=1),'Marks Entry'!AS116,""))</f>
        <v/>
      </c>
      <c r="DE116" s="826" t="str">
        <f>IF('Marks Entry'!AT116="","",IF(OR('Master Sheet'!$D$19="YES",'Marks Entry'!$BA$1=1),'Marks Entry'!AT116,""))</f>
        <v/>
      </c>
      <c r="DF116" s="826" t="str">
        <f>IF('Marks Entry'!AU116="","",IF(OR('Master Sheet'!$D$19="YES",'Marks Entry'!$BA$1=1),'Marks Entry'!AU116,""))</f>
        <v/>
      </c>
      <c r="DG116" s="826" t="str">
        <f>IF('Marks Entry'!AV116="","",IF(OR('Master Sheet'!$D$19="YES",'Marks Entry'!$BA$1=1),'Marks Entry'!AV116,""))</f>
        <v/>
      </c>
      <c r="DH116" s="827" t="str">
        <f t="shared" si="294"/>
        <v/>
      </c>
      <c r="DI116" s="826" t="str">
        <f>IF('Marks Entry'!AW116="","",IF(OR('Master Sheet'!$D$19="YES",'Marks Entry'!$BA$1=1),'Marks Entry'!AW116,""))</f>
        <v/>
      </c>
      <c r="DJ116" s="826" t="str">
        <f>IF('Marks Entry'!AX116="","",IF(OR('Master Sheet'!$D$19="YES",'Marks Entry'!$BA$1=1),'Marks Entry'!AX116,""))</f>
        <v/>
      </c>
      <c r="DK116" s="827" t="str">
        <f t="shared" si="295"/>
        <v/>
      </c>
      <c r="DL116" s="827" t="str">
        <f t="shared" si="296"/>
        <v/>
      </c>
      <c r="DM116" s="826" t="str">
        <f>IF('Marks Entry'!AY116="","",IF(OR('Master Sheet'!$D$19="YES",'Marks Entry'!$BA$1=1),'Marks Entry'!AY116,""))</f>
        <v/>
      </c>
      <c r="DN116" s="826" t="str">
        <f>IF('Marks Entry'!AZ116="","",IF(OR('Master Sheet'!$D$19="YES",'Marks Entry'!$BA$1=1),'Marks Entry'!AZ116,""))</f>
        <v/>
      </c>
      <c r="DO116" s="826" t="str">
        <f>IF('Marks Entry'!BA116="","",IF(OR('Master Sheet'!$D$19="YES",'Marks Entry'!$BA$1=1),'Marks Entry'!BA116,""))</f>
        <v/>
      </c>
      <c r="DP116" s="827" t="str">
        <f t="shared" si="297"/>
        <v/>
      </c>
      <c r="DQ116" s="157" t="str">
        <f t="shared" si="298"/>
        <v/>
      </c>
      <c r="DR116" s="157" t="str">
        <f t="shared" si="299"/>
        <v/>
      </c>
      <c r="DS116" s="157" t="str">
        <f t="shared" si="300"/>
        <v/>
      </c>
      <c r="DT116" s="192" t="str">
        <f t="shared" si="301"/>
        <v/>
      </c>
      <c r="DU116" s="153">
        <f t="shared" si="302"/>
        <v>0</v>
      </c>
      <c r="DV116" s="154" t="e">
        <f t="shared" si="303"/>
        <v>#VALUE!</v>
      </c>
      <c r="DW116" s="154" t="str">
        <f t="shared" si="304"/>
        <v/>
      </c>
      <c r="DX116" s="154" t="str">
        <f>IF(OR($B116="NSO",$B116=0,DS116=""),"",IF(AND(DJ116="",DO116=""),"",IF('Master Sheet'!$D$19="YES",$DO$6-COUNTIF(DO116,"ML")*DO$6,DS$6-(COUNTIF(DJ116,"ML")*DJ$6)-(COUNTIF(DO116,"ML")*DO$6))))</f>
        <v/>
      </c>
      <c r="DY116" s="154" t="str">
        <f>IF(OR($B116="NSO",$B116=0),"",IF(AND(DH116="",DI116="",DM116=""),"",IF(AND('Master Sheet'!$D$19="YES",'Marks Entry'!$BA$1=1),100,IF(AND(DJ116="",DO116=""),SUM(($DQ$7+$DR$7)-(DU116+DV116)),SUM(($DQ$6+$DR$6)-(DU116+DV116))))))</f>
        <v/>
      </c>
      <c r="DZ116" s="153" t="str">
        <f t="shared" si="305"/>
        <v/>
      </c>
      <c r="EA116" s="154" t="str">
        <f t="shared" si="306"/>
        <v/>
      </c>
      <c r="EB116" s="153" t="str">
        <f t="shared" si="307"/>
        <v/>
      </c>
      <c r="EC116" s="584" t="str">
        <f>IF('Marks Entry'!BB116="","",'Marks Entry'!BB116)</f>
        <v/>
      </c>
      <c r="ED116" s="584" t="str">
        <f>IF('Marks Entry'!BC116="","",'Marks Entry'!BC116)</f>
        <v/>
      </c>
      <c r="EE116" s="584" t="str">
        <f>IF('Marks Entry'!BD116="","",'Marks Entry'!BD116)</f>
        <v/>
      </c>
      <c r="EF116" s="590" t="str">
        <f t="shared" si="308"/>
        <v/>
      </c>
      <c r="EG116" s="595">
        <f t="shared" si="309"/>
        <v>0</v>
      </c>
      <c r="EH116" s="595">
        <f t="shared" si="310"/>
        <v>0</v>
      </c>
      <c r="EI116" s="193" t="str">
        <f t="shared" si="311"/>
        <v/>
      </c>
      <c r="EJ116" s="595" t="str">
        <f t="shared" si="312"/>
        <v/>
      </c>
      <c r="EK116" s="595" t="str">
        <f t="shared" si="313"/>
        <v/>
      </c>
      <c r="EL116" s="194" t="str">
        <f t="shared" si="314"/>
        <v/>
      </c>
      <c r="EM116" s="194" t="str">
        <f t="shared" si="315"/>
        <v/>
      </c>
      <c r="EN116" s="194" t="str">
        <f t="shared" si="316"/>
        <v/>
      </c>
      <c r="EO116" s="194" t="str">
        <f t="shared" si="317"/>
        <v/>
      </c>
      <c r="EP116" s="194" t="str">
        <f t="shared" si="318"/>
        <v/>
      </c>
      <c r="EQ116" s="194" t="str">
        <f t="shared" si="319"/>
        <v/>
      </c>
      <c r="ER116" s="195">
        <f t="shared" si="320"/>
        <v>0</v>
      </c>
      <c r="ES116" s="195">
        <f t="shared" si="321"/>
        <v>0</v>
      </c>
      <c r="ET116" s="195">
        <f t="shared" si="322"/>
        <v>0</v>
      </c>
      <c r="EU116" s="195">
        <f t="shared" si="323"/>
        <v>0</v>
      </c>
      <c r="EV116" s="195">
        <f t="shared" si="324"/>
        <v>0</v>
      </c>
      <c r="EW116" s="195" t="str">
        <f t="shared" si="325"/>
        <v/>
      </c>
      <c r="EX116" s="196" t="str">
        <f t="shared" si="326"/>
        <v/>
      </c>
      <c r="EY116" s="197" t="str">
        <f>IF('Marks Entry'!BE116="","",'Marks Entry'!BE116)</f>
        <v/>
      </c>
      <c r="EZ116" s="197" t="str">
        <f>IF('Marks Entry'!BF116="","",'Marks Entry'!BF116)</f>
        <v/>
      </c>
      <c r="FA116" s="197" t="str">
        <f>IF('Marks Entry'!BG116="","",'Marks Entry'!BG116)</f>
        <v/>
      </c>
      <c r="FB116" s="596" t="str">
        <f t="shared" si="327"/>
        <v/>
      </c>
      <c r="FC116" s="197" t="str">
        <f>IF('Marks Entry'!BH116="","",'Marks Entry'!BH116)</f>
        <v/>
      </c>
      <c r="FD116" s="197" t="str">
        <f>IF('Marks Entry'!BI116="","",'Marks Entry'!BI116)</f>
        <v/>
      </c>
      <c r="FE116" s="198" t="str">
        <f t="shared" si="328"/>
        <v/>
      </c>
      <c r="FF116" s="199" t="str">
        <f t="shared" si="329"/>
        <v/>
      </c>
      <c r="FG116" s="200" t="str">
        <f>IF(AND(E116=""),"",IF('Student DATA Entry'!L112="","",'Student DATA Entry'!L112))</f>
        <v/>
      </c>
      <c r="FH116" s="201" t="str">
        <f>IF(AND(E116=""),"",IF('Student DATA Entry'!M112="","",'Student DATA Entry'!M112))</f>
        <v/>
      </c>
      <c r="FI116" s="202" t="str">
        <f t="shared" si="330"/>
        <v/>
      </c>
      <c r="FJ116" s="189" t="str">
        <f t="shared" si="331"/>
        <v/>
      </c>
      <c r="FK116" s="189" t="str">
        <f t="shared" si="332"/>
        <v/>
      </c>
      <c r="FL116" s="203" t="str">
        <f t="shared" si="360"/>
        <v/>
      </c>
      <c r="FM116" s="189" t="str">
        <f t="shared" si="333"/>
        <v/>
      </c>
      <c r="FN116" s="204" t="str">
        <f t="shared" si="334"/>
        <v/>
      </c>
      <c r="FO116" s="203" t="str">
        <f t="shared" si="361"/>
        <v/>
      </c>
      <c r="FP116" s="205" t="str">
        <f t="shared" si="335"/>
        <v/>
      </c>
      <c r="FQ116" s="189" t="str">
        <f t="shared" si="362"/>
        <v/>
      </c>
      <c r="FR116" s="189" t="str">
        <f t="shared" si="363"/>
        <v/>
      </c>
      <c r="FS116" s="189" t="str">
        <f t="shared" si="364"/>
        <v/>
      </c>
      <c r="FT116" s="189" t="str">
        <f t="shared" si="365"/>
        <v/>
      </c>
      <c r="FU116" s="189" t="str">
        <f t="shared" si="336"/>
        <v/>
      </c>
      <c r="FV116" s="206" t="str">
        <f t="shared" si="366"/>
        <v/>
      </c>
      <c r="FW116" s="205" t="str">
        <f t="shared" si="337"/>
        <v/>
      </c>
      <c r="FX116" s="189" t="str">
        <f t="shared" si="367"/>
        <v/>
      </c>
      <c r="FY116" s="189" t="str">
        <f t="shared" si="368"/>
        <v/>
      </c>
      <c r="FZ116" s="189" t="str">
        <f t="shared" si="369"/>
        <v/>
      </c>
      <c r="GA116" s="189" t="str">
        <f t="shared" si="370"/>
        <v/>
      </c>
      <c r="GB116" s="189" t="str">
        <f t="shared" si="338"/>
        <v/>
      </c>
      <c r="GC116" s="206" t="str">
        <f t="shared" si="371"/>
        <v/>
      </c>
      <c r="GD116" s="205" t="str">
        <f t="shared" si="339"/>
        <v/>
      </c>
      <c r="GE116" s="189" t="str">
        <f t="shared" si="372"/>
        <v/>
      </c>
      <c r="GF116" s="189" t="str">
        <f t="shared" si="373"/>
        <v/>
      </c>
      <c r="GG116" s="189" t="str">
        <f t="shared" si="374"/>
        <v/>
      </c>
      <c r="GH116" s="189" t="str">
        <f t="shared" si="375"/>
        <v/>
      </c>
      <c r="GI116" s="189" t="str">
        <f t="shared" si="340"/>
        <v/>
      </c>
      <c r="GJ116" s="206" t="str">
        <f t="shared" si="376"/>
        <v/>
      </c>
      <c r="GK116" s="205" t="str">
        <f t="shared" si="341"/>
        <v/>
      </c>
      <c r="GL116" s="189" t="str">
        <f t="shared" si="377"/>
        <v/>
      </c>
      <c r="GM116" s="189" t="str">
        <f t="shared" si="378"/>
        <v/>
      </c>
      <c r="GN116" s="189" t="str">
        <f t="shared" si="379"/>
        <v/>
      </c>
      <c r="GO116" s="189" t="str">
        <f t="shared" si="380"/>
        <v/>
      </c>
      <c r="GP116" s="189" t="str">
        <f t="shared" si="342"/>
        <v/>
      </c>
      <c r="GQ116" s="206" t="str">
        <f t="shared" si="381"/>
        <v/>
      </c>
      <c r="GR116" s="189" t="str">
        <f t="shared" si="343"/>
        <v/>
      </c>
      <c r="GS116" s="189" t="str">
        <f t="shared" si="344"/>
        <v/>
      </c>
      <c r="GT116" s="207" t="str">
        <f t="shared" si="345"/>
        <v xml:space="preserve">    </v>
      </c>
      <c r="GU116" s="207" t="str">
        <f t="shared" si="346"/>
        <v xml:space="preserve">    </v>
      </c>
      <c r="GV116" s="207" t="str">
        <f t="shared" si="347"/>
        <v xml:space="preserve">    </v>
      </c>
      <c r="GW116" s="207" t="str">
        <f t="shared" si="348"/>
        <v xml:space="preserve">       </v>
      </c>
      <c r="GX116" s="598" t="str">
        <f t="shared" si="349"/>
        <v xml:space="preserve">     </v>
      </c>
      <c r="GY116" s="208" t="str">
        <f t="shared" si="382"/>
        <v/>
      </c>
      <c r="GZ116" s="606" t="str">
        <f>IF(AND(Q116="",AE116="",AZ116="",BW116="",CT116=""),"",IF(AND('Master Sheet'!$D$19="YES",'Marks Entry'!$BA$1=1),SUM(Q116,AE116,AZ116,BW116,DT116),SUM(Q116,AE116,AZ116,BW116,CT116)))</f>
        <v/>
      </c>
      <c r="HA116" s="209" t="str">
        <f>IF(GZ116="","",IF(AND('Master Sheet'!$D$19="YES",'Marks Entry'!$BA$1=1),GZ116/((900)-DC116)*100,GZ116/((1000)-DC116)*100))</f>
        <v/>
      </c>
      <c r="HB116" s="611" t="str">
        <f t="shared" si="350"/>
        <v/>
      </c>
      <c r="HC116" s="609" t="str">
        <f t="shared" si="351"/>
        <v/>
      </c>
      <c r="HD116" s="610" t="str">
        <f t="shared" si="352"/>
        <v/>
      </c>
      <c r="HE116" s="210" t="str">
        <f>IFERROR(IF(OR(GY116="SUPPLEMENTARY",GY116="RE-EXAM"),'Supp. Result Entry'!AS115,""),"")</f>
        <v/>
      </c>
      <c r="HF116" s="613" t="str">
        <f t="shared" si="353"/>
        <v/>
      </c>
      <c r="HG116" s="598" t="str">
        <f t="shared" si="354"/>
        <v/>
      </c>
      <c r="HH116" s="598" t="str">
        <f>IF(AND(HE116="",HF116="",HG116=""),"",IF(OR(GY116="SUPPLEMENTARY",GY116="RE-EXAM"),'Supp. Result Entry'!AS115,GY116))</f>
        <v/>
      </c>
      <c r="HI116" s="180"/>
      <c r="HY116" s="212" t="str">
        <f>IF('Supp. Result Entry'!U115="","",'Supp. Result Entry'!$U$6)</f>
        <v/>
      </c>
      <c r="HZ116" s="213" t="str">
        <f>IF('Supp. Result Entry'!X115="","",'Supp. Result Entry'!$X$6)</f>
        <v/>
      </c>
      <c r="IA116" s="213" t="str">
        <f>IF('Supp. Result Entry'!AA115="","",'Supp. Result Entry'!$AA$6)</f>
        <v/>
      </c>
      <c r="IB116" s="213" t="str">
        <f>IF('Supp. Result Entry'!AD115="","",'Supp. Result Entry'!$AD$6)</f>
        <v/>
      </c>
      <c r="IC116" s="213" t="str">
        <f>IF('Supp. Result Entry'!AG115="","",'Supp. Result Entry'!$AG$6)</f>
        <v/>
      </c>
      <c r="ID116" s="213" t="str">
        <f>IF('Supp. Result Entry'!AJ115="","",'Supp. Result Entry'!$AJ$6)</f>
        <v/>
      </c>
      <c r="IE116" s="213" t="str">
        <f>IF('Supp. Result Entry'!V115="","",'Supp. Result Entry'!V115)</f>
        <v/>
      </c>
      <c r="IF116" s="213" t="str">
        <f>IF('Supp. Result Entry'!Y115="","",'Supp. Result Entry'!Y115)</f>
        <v/>
      </c>
      <c r="IG116" s="213" t="str">
        <f>IF('Supp. Result Entry'!AB115="","",'Supp. Result Entry'!AB115)</f>
        <v/>
      </c>
      <c r="IH116" s="213" t="str">
        <f>IF('Supp. Result Entry'!AE115="","",'Supp. Result Entry'!AE115)</f>
        <v/>
      </c>
      <c r="II116" s="213" t="str">
        <f>IF('Supp. Result Entry'!AH115="","",'Supp. Result Entry'!AH115)</f>
        <v/>
      </c>
      <c r="IJ116" s="213" t="str">
        <f>IF('Supp. Result Entry'!AK115="","",'Supp. Result Entry'!AK115)</f>
        <v/>
      </c>
      <c r="IK116" s="213" t="str">
        <f>IF('Supp. Result Entry'!W115="","",'Supp. Result Entry'!W115)</f>
        <v/>
      </c>
      <c r="IL116" s="213" t="str">
        <f>IF('Supp. Result Entry'!Z115="","",'Supp. Result Entry'!Z115)</f>
        <v/>
      </c>
      <c r="IM116" s="213" t="str">
        <f>IF('Supp. Result Entry'!AC115="","",'Supp. Result Entry'!AC115)</f>
        <v/>
      </c>
      <c r="IN116" s="213" t="str">
        <f>IF('Supp. Result Entry'!AF115="","",'Supp. Result Entry'!AF115)</f>
        <v/>
      </c>
      <c r="IO116" s="213" t="str">
        <f>IF('Supp. Result Entry'!AI115="","",'Supp. Result Entry'!AI115)</f>
        <v/>
      </c>
      <c r="IP116" s="213" t="str">
        <f>IF('Supp. Result Entry'!AL115="","",'Supp. Result Entry'!AL115)</f>
        <v/>
      </c>
      <c r="IQ116" s="213">
        <f>COUNTIF('Supp. Result Entry'!K115:Q115,"S")</f>
        <v>0</v>
      </c>
      <c r="IR116" s="213">
        <f t="shared" si="355"/>
        <v>0</v>
      </c>
      <c r="IS116" s="213">
        <f t="shared" si="356"/>
        <v>0</v>
      </c>
      <c r="IT116" s="213" t="str">
        <f t="shared" si="224"/>
        <v/>
      </c>
      <c r="IU116" s="213" t="str">
        <f t="shared" si="225"/>
        <v/>
      </c>
      <c r="IV116" s="213" t="str">
        <f t="shared" si="226"/>
        <v/>
      </c>
      <c r="IW116" s="213" t="str">
        <f t="shared" si="227"/>
        <v/>
      </c>
      <c r="IX116" s="213" t="str">
        <f t="shared" si="228"/>
        <v/>
      </c>
      <c r="IY116" s="213" t="str">
        <f t="shared" si="357"/>
        <v/>
      </c>
      <c r="IZ116" s="213" t="str">
        <f t="shared" si="358"/>
        <v/>
      </c>
      <c r="JA116" s="213" t="str">
        <f t="shared" si="229"/>
        <v/>
      </c>
      <c r="JB116" s="211" t="str">
        <f t="shared" si="359"/>
        <v/>
      </c>
    </row>
    <row r="117" spans="1:262" s="211" customFormat="1" ht="21" customHeight="1">
      <c r="A117" s="184">
        <v>110</v>
      </c>
      <c r="B117" s="185" t="str">
        <f>IF('Marks Entry'!B117="","",'Marks Entry'!B117)</f>
        <v/>
      </c>
      <c r="C117" s="186" t="str">
        <f>IF('Marks Entry'!D117="","",'Marks Entry'!D117)</f>
        <v/>
      </c>
      <c r="D117" s="187" t="str">
        <f>IF('Marks Entry'!E117="","",'Marks Entry'!E117)</f>
        <v/>
      </c>
      <c r="E117" s="188" t="str">
        <f>IF('Marks Entry'!F117="","",'Marks Entry'!F117)</f>
        <v/>
      </c>
      <c r="F117" s="188" t="str">
        <f>IF('Marks Entry'!G117="","",'Marks Entry'!G117)</f>
        <v/>
      </c>
      <c r="G117" s="188" t="str">
        <f>IF('Marks Entry'!H117="","",'Marks Entry'!H117)</f>
        <v/>
      </c>
      <c r="H117" s="189" t="str">
        <f>IF('Marks Entry'!I117="","",'Marks Entry'!I117)</f>
        <v/>
      </c>
      <c r="I117" s="190" t="str">
        <f>IF('Marks Entry'!J117="","",'Marks Entry'!J117)</f>
        <v/>
      </c>
      <c r="J117" s="545" t="str">
        <f>IF('Marks Entry'!K117="","",'Marks Entry'!K117)</f>
        <v/>
      </c>
      <c r="K117" s="545" t="str">
        <f>IF('Marks Entry'!L117="","",'Marks Entry'!L117)</f>
        <v/>
      </c>
      <c r="L117" s="545" t="str">
        <f>IF('Marks Entry'!M117="","",'Marks Entry'!M117)</f>
        <v/>
      </c>
      <c r="M117" s="546" t="str">
        <f t="shared" si="230"/>
        <v/>
      </c>
      <c r="N117" s="545" t="str">
        <f>IF('Marks Entry'!N117="","",'Marks Entry'!N117)</f>
        <v/>
      </c>
      <c r="O117" s="546" t="str">
        <f t="shared" si="231"/>
        <v/>
      </c>
      <c r="P117" s="545" t="str">
        <f>IF('Marks Entry'!O117="","",'Marks Entry'!O117)</f>
        <v/>
      </c>
      <c r="Q117" s="547" t="str">
        <f t="shared" si="232"/>
        <v/>
      </c>
      <c r="R117" s="153">
        <f t="shared" si="233"/>
        <v>0</v>
      </c>
      <c r="S117" s="153">
        <f t="shared" si="234"/>
        <v>0</v>
      </c>
      <c r="T117" s="154" t="str">
        <f t="shared" si="235"/>
        <v/>
      </c>
      <c r="U117" s="153" t="str">
        <f t="shared" si="236"/>
        <v/>
      </c>
      <c r="V117" s="153" t="str">
        <f t="shared" si="237"/>
        <v/>
      </c>
      <c r="W117" s="153" t="str">
        <f t="shared" si="238"/>
        <v/>
      </c>
      <c r="X117" s="545" t="str">
        <f>IF('Marks Entry'!P117="","",'Marks Entry'!P117)</f>
        <v/>
      </c>
      <c r="Y117" s="545" t="str">
        <f>IF('Marks Entry'!Q117="","",'Marks Entry'!Q117)</f>
        <v/>
      </c>
      <c r="Z117" s="545" t="str">
        <f>IF('Marks Entry'!R117="","",'Marks Entry'!R117)</f>
        <v/>
      </c>
      <c r="AA117" s="546" t="str">
        <f t="shared" si="239"/>
        <v/>
      </c>
      <c r="AB117" s="545" t="str">
        <f>IF('Marks Entry'!S117="","",'Marks Entry'!S117)</f>
        <v/>
      </c>
      <c r="AC117" s="546" t="str">
        <f t="shared" si="240"/>
        <v/>
      </c>
      <c r="AD117" s="545" t="str">
        <f>IF('Marks Entry'!T117="","",'Marks Entry'!T117)</f>
        <v/>
      </c>
      <c r="AE117" s="547" t="str">
        <f t="shared" si="241"/>
        <v/>
      </c>
      <c r="AF117" s="153">
        <f t="shared" si="242"/>
        <v>0</v>
      </c>
      <c r="AG117" s="153">
        <f t="shared" si="243"/>
        <v>0</v>
      </c>
      <c r="AH117" s="154" t="str">
        <f t="shared" si="244"/>
        <v/>
      </c>
      <c r="AI117" s="153" t="str">
        <f t="shared" si="245"/>
        <v/>
      </c>
      <c r="AJ117" s="153" t="str">
        <f t="shared" si="246"/>
        <v/>
      </c>
      <c r="AK117" s="153" t="str">
        <f t="shared" si="247"/>
        <v/>
      </c>
      <c r="AL117" s="573" t="str">
        <f>IF('Marks Entry'!U117="","",'Marks Entry'!U117)</f>
        <v/>
      </c>
      <c r="AM117" s="573" t="str">
        <f>IF('Marks Entry'!V117="","",'Marks Entry'!V117)</f>
        <v/>
      </c>
      <c r="AN117" s="573" t="str">
        <f>IF('Marks Entry'!W117="","",'Marks Entry'!W117)</f>
        <v/>
      </c>
      <c r="AO117" s="573" t="str">
        <f>IF('Marks Entry'!X117="","",'Marks Entry'!X117)</f>
        <v/>
      </c>
      <c r="AP117" s="572" t="str">
        <f t="shared" si="248"/>
        <v/>
      </c>
      <c r="AQ117" s="573" t="str">
        <f>IF('Marks Entry'!Y117="","",'Marks Entry'!Y117)</f>
        <v/>
      </c>
      <c r="AR117" s="573" t="str">
        <f>IF('Marks Entry'!Z117="","",'Marks Entry'!Z117)</f>
        <v/>
      </c>
      <c r="AS117" s="572" t="str">
        <f t="shared" si="249"/>
        <v/>
      </c>
      <c r="AT117" s="572" t="str">
        <f t="shared" si="250"/>
        <v/>
      </c>
      <c r="AU117" s="573" t="str">
        <f>IF('Marks Entry'!AA117="","",'Marks Entry'!AA117)</f>
        <v/>
      </c>
      <c r="AV117" s="573" t="str">
        <f>IF('Marks Entry'!AB117="","",'Marks Entry'!AB117)</f>
        <v/>
      </c>
      <c r="AW117" s="572" t="str">
        <f t="shared" si="251"/>
        <v/>
      </c>
      <c r="AX117" s="157" t="str">
        <f t="shared" si="252"/>
        <v/>
      </c>
      <c r="AY117" s="157" t="str">
        <f t="shared" si="253"/>
        <v/>
      </c>
      <c r="AZ117" s="192" t="str">
        <f t="shared" si="254"/>
        <v/>
      </c>
      <c r="BA117" s="153">
        <f t="shared" si="255"/>
        <v>0</v>
      </c>
      <c r="BB117" s="154">
        <f t="shared" si="256"/>
        <v>0</v>
      </c>
      <c r="BC117" s="154" t="str">
        <f t="shared" si="257"/>
        <v/>
      </c>
      <c r="BD117" s="154" t="str">
        <f t="shared" si="258"/>
        <v/>
      </c>
      <c r="BE117" s="154" t="str">
        <f t="shared" si="259"/>
        <v/>
      </c>
      <c r="BF117" s="153" t="str">
        <f t="shared" si="260"/>
        <v/>
      </c>
      <c r="BG117" s="154" t="str">
        <f t="shared" si="261"/>
        <v/>
      </c>
      <c r="BH117" s="153" t="str">
        <f t="shared" si="262"/>
        <v/>
      </c>
      <c r="BI117" s="580" t="str">
        <f>IF('Marks Entry'!AC117="","",'Marks Entry'!AC117)</f>
        <v/>
      </c>
      <c r="BJ117" s="580" t="str">
        <f>IF('Marks Entry'!AD117="","",'Marks Entry'!AD117)</f>
        <v/>
      </c>
      <c r="BK117" s="580" t="str">
        <f>IF('Marks Entry'!AE117="","",'Marks Entry'!AE117)</f>
        <v/>
      </c>
      <c r="BL117" s="580" t="str">
        <f>IF('Marks Entry'!AF117="","",'Marks Entry'!AF117)</f>
        <v/>
      </c>
      <c r="BM117" s="581" t="str">
        <f t="shared" si="263"/>
        <v/>
      </c>
      <c r="BN117" s="580" t="str">
        <f>IF('Marks Entry'!AG117="","",'Marks Entry'!AG117)</f>
        <v/>
      </c>
      <c r="BO117" s="580" t="str">
        <f>IF('Marks Entry'!AH117="","",'Marks Entry'!AH117)</f>
        <v/>
      </c>
      <c r="BP117" s="581" t="str">
        <f t="shared" si="264"/>
        <v/>
      </c>
      <c r="BQ117" s="581" t="str">
        <f t="shared" si="265"/>
        <v/>
      </c>
      <c r="BR117" s="580" t="str">
        <f>IF('Marks Entry'!AI117="","",'Marks Entry'!AI117)</f>
        <v/>
      </c>
      <c r="BS117" s="580" t="str">
        <f>IF('Marks Entry'!AJ117="","",'Marks Entry'!AJ117)</f>
        <v/>
      </c>
      <c r="BT117" s="581" t="str">
        <f t="shared" si="266"/>
        <v/>
      </c>
      <c r="BU117" s="157" t="str">
        <f t="shared" si="267"/>
        <v/>
      </c>
      <c r="BV117" s="157" t="str">
        <f t="shared" si="268"/>
        <v/>
      </c>
      <c r="BW117" s="192" t="str">
        <f t="shared" si="269"/>
        <v/>
      </c>
      <c r="BX117" s="153">
        <f t="shared" si="270"/>
        <v>0</v>
      </c>
      <c r="BY117" s="154">
        <f t="shared" si="271"/>
        <v>0</v>
      </c>
      <c r="BZ117" s="154" t="str">
        <f t="shared" si="272"/>
        <v/>
      </c>
      <c r="CA117" s="154" t="str">
        <f t="shared" si="273"/>
        <v/>
      </c>
      <c r="CB117" s="154" t="str">
        <f t="shared" si="274"/>
        <v/>
      </c>
      <c r="CC117" s="153" t="str">
        <f t="shared" si="275"/>
        <v/>
      </c>
      <c r="CD117" s="154" t="str">
        <f t="shared" si="276"/>
        <v/>
      </c>
      <c r="CE117" s="153" t="str">
        <f t="shared" si="277"/>
        <v/>
      </c>
      <c r="CF117" s="580" t="str">
        <f>IF('Marks Entry'!AK117="","",'Marks Entry'!AK117)</f>
        <v/>
      </c>
      <c r="CG117" s="580" t="str">
        <f>IF('Marks Entry'!AL117="","",'Marks Entry'!AL117)</f>
        <v/>
      </c>
      <c r="CH117" s="580" t="str">
        <f>IF('Marks Entry'!AM117="","",'Marks Entry'!AM117)</f>
        <v/>
      </c>
      <c r="CI117" s="580" t="str">
        <f>IF('Marks Entry'!AN117="","",'Marks Entry'!AN117)</f>
        <v/>
      </c>
      <c r="CJ117" s="581" t="str">
        <f t="shared" si="278"/>
        <v/>
      </c>
      <c r="CK117" s="580" t="str">
        <f>IF('Marks Entry'!AO117="","",'Marks Entry'!AO117)</f>
        <v/>
      </c>
      <c r="CL117" s="580" t="str">
        <f>IF('Marks Entry'!AP117="","",'Marks Entry'!AP117)</f>
        <v/>
      </c>
      <c r="CM117" s="581" t="str">
        <f t="shared" si="279"/>
        <v/>
      </c>
      <c r="CN117" s="581" t="str">
        <f t="shared" si="280"/>
        <v/>
      </c>
      <c r="CO117" s="580" t="str">
        <f>IF('Marks Entry'!AQ117="","",'Marks Entry'!AQ117)</f>
        <v/>
      </c>
      <c r="CP117" s="580" t="str">
        <f>IF('Marks Entry'!AR117="","",'Marks Entry'!AR117)</f>
        <v/>
      </c>
      <c r="CQ117" s="581" t="str">
        <f t="shared" si="281"/>
        <v/>
      </c>
      <c r="CR117" s="157" t="str">
        <f t="shared" si="282"/>
        <v/>
      </c>
      <c r="CS117" s="157" t="str">
        <f t="shared" si="283"/>
        <v/>
      </c>
      <c r="CT117" s="192" t="str">
        <f t="shared" si="284"/>
        <v/>
      </c>
      <c r="CU117" s="153">
        <f t="shared" si="285"/>
        <v>0</v>
      </c>
      <c r="CV117" s="154">
        <f t="shared" si="286"/>
        <v>0</v>
      </c>
      <c r="CW117" s="154" t="str">
        <f t="shared" si="287"/>
        <v/>
      </c>
      <c r="CX117" s="154" t="str">
        <f t="shared" si="288"/>
        <v/>
      </c>
      <c r="CY117" s="154" t="str">
        <f t="shared" si="289"/>
        <v/>
      </c>
      <c r="CZ117" s="153" t="str">
        <f t="shared" si="290"/>
        <v/>
      </c>
      <c r="DA117" s="154" t="str">
        <f t="shared" si="291"/>
        <v/>
      </c>
      <c r="DB117" s="153" t="str">
        <f t="shared" si="292"/>
        <v/>
      </c>
      <c r="DC117" s="154">
        <f t="shared" si="293"/>
        <v>0</v>
      </c>
      <c r="DD117" s="826" t="str">
        <f>IF('Marks Entry'!AS117="","",IF(OR('Master Sheet'!$D$19="YES",'Marks Entry'!$BA$1=1),'Marks Entry'!AS117,""))</f>
        <v/>
      </c>
      <c r="DE117" s="826" t="str">
        <f>IF('Marks Entry'!AT117="","",IF(OR('Master Sheet'!$D$19="YES",'Marks Entry'!$BA$1=1),'Marks Entry'!AT117,""))</f>
        <v/>
      </c>
      <c r="DF117" s="826" t="str">
        <f>IF('Marks Entry'!AU117="","",IF(OR('Master Sheet'!$D$19="YES",'Marks Entry'!$BA$1=1),'Marks Entry'!AU117,""))</f>
        <v/>
      </c>
      <c r="DG117" s="826" t="str">
        <f>IF('Marks Entry'!AV117="","",IF(OR('Master Sheet'!$D$19="YES",'Marks Entry'!$BA$1=1),'Marks Entry'!AV117,""))</f>
        <v/>
      </c>
      <c r="DH117" s="827" t="str">
        <f t="shared" si="294"/>
        <v/>
      </c>
      <c r="DI117" s="826" t="str">
        <f>IF('Marks Entry'!AW117="","",IF(OR('Master Sheet'!$D$19="YES",'Marks Entry'!$BA$1=1),'Marks Entry'!AW117,""))</f>
        <v/>
      </c>
      <c r="DJ117" s="826" t="str">
        <f>IF('Marks Entry'!AX117="","",IF(OR('Master Sheet'!$D$19="YES",'Marks Entry'!$BA$1=1),'Marks Entry'!AX117,""))</f>
        <v/>
      </c>
      <c r="DK117" s="827" t="str">
        <f t="shared" si="295"/>
        <v/>
      </c>
      <c r="DL117" s="827" t="str">
        <f t="shared" si="296"/>
        <v/>
      </c>
      <c r="DM117" s="826" t="str">
        <f>IF('Marks Entry'!AY117="","",IF(OR('Master Sheet'!$D$19="YES",'Marks Entry'!$BA$1=1),'Marks Entry'!AY117,""))</f>
        <v/>
      </c>
      <c r="DN117" s="826" t="str">
        <f>IF('Marks Entry'!AZ117="","",IF(OR('Master Sheet'!$D$19="YES",'Marks Entry'!$BA$1=1),'Marks Entry'!AZ117,""))</f>
        <v/>
      </c>
      <c r="DO117" s="826" t="str">
        <f>IF('Marks Entry'!BA117="","",IF(OR('Master Sheet'!$D$19="YES",'Marks Entry'!$BA$1=1),'Marks Entry'!BA117,""))</f>
        <v/>
      </c>
      <c r="DP117" s="827" t="str">
        <f t="shared" si="297"/>
        <v/>
      </c>
      <c r="DQ117" s="157" t="str">
        <f t="shared" si="298"/>
        <v/>
      </c>
      <c r="DR117" s="157" t="str">
        <f t="shared" si="299"/>
        <v/>
      </c>
      <c r="DS117" s="157" t="str">
        <f t="shared" si="300"/>
        <v/>
      </c>
      <c r="DT117" s="192" t="str">
        <f t="shared" si="301"/>
        <v/>
      </c>
      <c r="DU117" s="153">
        <f t="shared" si="302"/>
        <v>0</v>
      </c>
      <c r="DV117" s="154" t="e">
        <f t="shared" si="303"/>
        <v>#VALUE!</v>
      </c>
      <c r="DW117" s="154" t="str">
        <f t="shared" si="304"/>
        <v/>
      </c>
      <c r="DX117" s="154" t="str">
        <f>IF(OR($B117="NSO",$B117=0,DS117=""),"",IF(AND(DJ117="",DO117=""),"",IF('Master Sheet'!$D$19="YES",$DO$6-COUNTIF(DO117,"ML")*DO$6,DS$6-(COUNTIF(DJ117,"ML")*DJ$6)-(COUNTIF(DO117,"ML")*DO$6))))</f>
        <v/>
      </c>
      <c r="DY117" s="154" t="str">
        <f>IF(OR($B117="NSO",$B117=0),"",IF(AND(DH117="",DI117="",DM117=""),"",IF(AND('Master Sheet'!$D$19="YES",'Marks Entry'!$BA$1=1),100,IF(AND(DJ117="",DO117=""),SUM(($DQ$7+$DR$7)-(DU117+DV117)),SUM(($DQ$6+$DR$6)-(DU117+DV117))))))</f>
        <v/>
      </c>
      <c r="DZ117" s="153" t="str">
        <f t="shared" si="305"/>
        <v/>
      </c>
      <c r="EA117" s="154" t="str">
        <f t="shared" si="306"/>
        <v/>
      </c>
      <c r="EB117" s="153" t="str">
        <f t="shared" si="307"/>
        <v/>
      </c>
      <c r="EC117" s="584" t="str">
        <f>IF('Marks Entry'!BB117="","",'Marks Entry'!BB117)</f>
        <v/>
      </c>
      <c r="ED117" s="584" t="str">
        <f>IF('Marks Entry'!BC117="","",'Marks Entry'!BC117)</f>
        <v/>
      </c>
      <c r="EE117" s="584" t="str">
        <f>IF('Marks Entry'!BD117="","",'Marks Entry'!BD117)</f>
        <v/>
      </c>
      <c r="EF117" s="590" t="str">
        <f t="shared" si="308"/>
        <v/>
      </c>
      <c r="EG117" s="595">
        <f t="shared" si="309"/>
        <v>0</v>
      </c>
      <c r="EH117" s="595">
        <f t="shared" si="310"/>
        <v>0</v>
      </c>
      <c r="EI117" s="193" t="str">
        <f t="shared" si="311"/>
        <v/>
      </c>
      <c r="EJ117" s="595" t="str">
        <f t="shared" si="312"/>
        <v/>
      </c>
      <c r="EK117" s="595" t="str">
        <f t="shared" si="313"/>
        <v/>
      </c>
      <c r="EL117" s="194" t="str">
        <f t="shared" si="314"/>
        <v/>
      </c>
      <c r="EM117" s="194" t="str">
        <f t="shared" si="315"/>
        <v/>
      </c>
      <c r="EN117" s="194" t="str">
        <f t="shared" si="316"/>
        <v/>
      </c>
      <c r="EO117" s="194" t="str">
        <f t="shared" si="317"/>
        <v/>
      </c>
      <c r="EP117" s="194" t="str">
        <f t="shared" si="318"/>
        <v/>
      </c>
      <c r="EQ117" s="194" t="str">
        <f t="shared" si="319"/>
        <v/>
      </c>
      <c r="ER117" s="195">
        <f t="shared" si="320"/>
        <v>0</v>
      </c>
      <c r="ES117" s="195">
        <f t="shared" si="321"/>
        <v>0</v>
      </c>
      <c r="ET117" s="195">
        <f t="shared" si="322"/>
        <v>0</v>
      </c>
      <c r="EU117" s="195">
        <f t="shared" si="323"/>
        <v>0</v>
      </c>
      <c r="EV117" s="195">
        <f t="shared" si="324"/>
        <v>0</v>
      </c>
      <c r="EW117" s="195" t="str">
        <f t="shared" si="325"/>
        <v/>
      </c>
      <c r="EX117" s="196" t="str">
        <f t="shared" si="326"/>
        <v/>
      </c>
      <c r="EY117" s="197" t="str">
        <f>IF('Marks Entry'!BE117="","",'Marks Entry'!BE117)</f>
        <v/>
      </c>
      <c r="EZ117" s="197" t="str">
        <f>IF('Marks Entry'!BF117="","",'Marks Entry'!BF117)</f>
        <v/>
      </c>
      <c r="FA117" s="197" t="str">
        <f>IF('Marks Entry'!BG117="","",'Marks Entry'!BG117)</f>
        <v/>
      </c>
      <c r="FB117" s="596" t="str">
        <f t="shared" si="327"/>
        <v/>
      </c>
      <c r="FC117" s="197" t="str">
        <f>IF('Marks Entry'!BH117="","",'Marks Entry'!BH117)</f>
        <v/>
      </c>
      <c r="FD117" s="197" t="str">
        <f>IF('Marks Entry'!BI117="","",'Marks Entry'!BI117)</f>
        <v/>
      </c>
      <c r="FE117" s="198" t="str">
        <f t="shared" si="328"/>
        <v/>
      </c>
      <c r="FF117" s="199" t="str">
        <f t="shared" si="329"/>
        <v/>
      </c>
      <c r="FG117" s="200" t="str">
        <f>IF(AND(E117=""),"",IF('Student DATA Entry'!L113="","",'Student DATA Entry'!L113))</f>
        <v/>
      </c>
      <c r="FH117" s="201" t="str">
        <f>IF(AND(E117=""),"",IF('Student DATA Entry'!M113="","",'Student DATA Entry'!M113))</f>
        <v/>
      </c>
      <c r="FI117" s="202" t="str">
        <f t="shared" si="330"/>
        <v/>
      </c>
      <c r="FJ117" s="189" t="str">
        <f t="shared" si="331"/>
        <v/>
      </c>
      <c r="FK117" s="189" t="str">
        <f t="shared" si="332"/>
        <v/>
      </c>
      <c r="FL117" s="203" t="str">
        <f t="shared" si="360"/>
        <v/>
      </c>
      <c r="FM117" s="189" t="str">
        <f t="shared" si="333"/>
        <v/>
      </c>
      <c r="FN117" s="204" t="str">
        <f t="shared" si="334"/>
        <v/>
      </c>
      <c r="FO117" s="203" t="str">
        <f t="shared" si="361"/>
        <v/>
      </c>
      <c r="FP117" s="205" t="str">
        <f t="shared" si="335"/>
        <v/>
      </c>
      <c r="FQ117" s="189" t="str">
        <f t="shared" si="362"/>
        <v/>
      </c>
      <c r="FR117" s="189" t="str">
        <f t="shared" si="363"/>
        <v/>
      </c>
      <c r="FS117" s="189" t="str">
        <f t="shared" si="364"/>
        <v/>
      </c>
      <c r="FT117" s="189" t="str">
        <f t="shared" si="365"/>
        <v/>
      </c>
      <c r="FU117" s="189" t="str">
        <f t="shared" si="336"/>
        <v/>
      </c>
      <c r="FV117" s="206" t="str">
        <f t="shared" si="366"/>
        <v/>
      </c>
      <c r="FW117" s="205" t="str">
        <f t="shared" si="337"/>
        <v/>
      </c>
      <c r="FX117" s="189" t="str">
        <f t="shared" si="367"/>
        <v/>
      </c>
      <c r="FY117" s="189" t="str">
        <f t="shared" si="368"/>
        <v/>
      </c>
      <c r="FZ117" s="189" t="str">
        <f t="shared" si="369"/>
        <v/>
      </c>
      <c r="GA117" s="189" t="str">
        <f t="shared" si="370"/>
        <v/>
      </c>
      <c r="GB117" s="189" t="str">
        <f t="shared" si="338"/>
        <v/>
      </c>
      <c r="GC117" s="206" t="str">
        <f t="shared" si="371"/>
        <v/>
      </c>
      <c r="GD117" s="205" t="str">
        <f t="shared" si="339"/>
        <v/>
      </c>
      <c r="GE117" s="189" t="str">
        <f t="shared" si="372"/>
        <v/>
      </c>
      <c r="GF117" s="189" t="str">
        <f t="shared" si="373"/>
        <v/>
      </c>
      <c r="GG117" s="189" t="str">
        <f t="shared" si="374"/>
        <v/>
      </c>
      <c r="GH117" s="189" t="str">
        <f t="shared" si="375"/>
        <v/>
      </c>
      <c r="GI117" s="189" t="str">
        <f t="shared" si="340"/>
        <v/>
      </c>
      <c r="GJ117" s="206" t="str">
        <f t="shared" si="376"/>
        <v/>
      </c>
      <c r="GK117" s="205" t="str">
        <f t="shared" si="341"/>
        <v/>
      </c>
      <c r="GL117" s="189" t="str">
        <f t="shared" si="377"/>
        <v/>
      </c>
      <c r="GM117" s="189" t="str">
        <f t="shared" si="378"/>
        <v/>
      </c>
      <c r="GN117" s="189" t="str">
        <f t="shared" si="379"/>
        <v/>
      </c>
      <c r="GO117" s="189" t="str">
        <f t="shared" si="380"/>
        <v/>
      </c>
      <c r="GP117" s="189" t="str">
        <f t="shared" si="342"/>
        <v/>
      </c>
      <c r="GQ117" s="206" t="str">
        <f t="shared" si="381"/>
        <v/>
      </c>
      <c r="GR117" s="189" t="str">
        <f t="shared" si="343"/>
        <v/>
      </c>
      <c r="GS117" s="189" t="str">
        <f t="shared" si="344"/>
        <v/>
      </c>
      <c r="GT117" s="207" t="str">
        <f t="shared" si="345"/>
        <v xml:space="preserve">    </v>
      </c>
      <c r="GU117" s="207" t="str">
        <f t="shared" si="346"/>
        <v xml:space="preserve">    </v>
      </c>
      <c r="GV117" s="207" t="str">
        <f t="shared" si="347"/>
        <v xml:space="preserve">    </v>
      </c>
      <c r="GW117" s="207" t="str">
        <f t="shared" si="348"/>
        <v xml:space="preserve">       </v>
      </c>
      <c r="GX117" s="598" t="str">
        <f t="shared" si="349"/>
        <v xml:space="preserve">     </v>
      </c>
      <c r="GY117" s="208" t="str">
        <f t="shared" si="382"/>
        <v/>
      </c>
      <c r="GZ117" s="606" t="str">
        <f>IF(AND(Q117="",AE117="",AZ117="",BW117="",CT117=""),"",IF(AND('Master Sheet'!$D$19="YES",'Marks Entry'!$BA$1=1),SUM(Q117,AE117,AZ117,BW117,DT117),SUM(Q117,AE117,AZ117,BW117,CT117)))</f>
        <v/>
      </c>
      <c r="HA117" s="209" t="str">
        <f>IF(GZ117="","",IF(AND('Master Sheet'!$D$19="YES",'Marks Entry'!$BA$1=1),GZ117/((900)-DC117)*100,GZ117/((1000)-DC117)*100))</f>
        <v/>
      </c>
      <c r="HB117" s="611" t="str">
        <f t="shared" si="350"/>
        <v/>
      </c>
      <c r="HC117" s="609" t="str">
        <f t="shared" si="351"/>
        <v/>
      </c>
      <c r="HD117" s="610" t="str">
        <f t="shared" si="352"/>
        <v/>
      </c>
      <c r="HE117" s="210" t="str">
        <f>IFERROR(IF(OR(GY117="SUPPLEMENTARY",GY117="RE-EXAM"),'Supp. Result Entry'!AS116,""),"")</f>
        <v/>
      </c>
      <c r="HF117" s="613" t="str">
        <f t="shared" si="353"/>
        <v/>
      </c>
      <c r="HG117" s="598" t="str">
        <f t="shared" si="354"/>
        <v/>
      </c>
      <c r="HH117" s="598" t="str">
        <f>IF(AND(HE117="",HF117="",HG117=""),"",IF(OR(GY117="SUPPLEMENTARY",GY117="RE-EXAM"),'Supp. Result Entry'!AS116,GY117))</f>
        <v/>
      </c>
      <c r="HI117" s="180"/>
      <c r="HY117" s="212" t="str">
        <f>IF('Supp. Result Entry'!U116="","",'Supp. Result Entry'!$U$6)</f>
        <v/>
      </c>
      <c r="HZ117" s="213" t="str">
        <f>IF('Supp. Result Entry'!X116="","",'Supp. Result Entry'!$X$6)</f>
        <v/>
      </c>
      <c r="IA117" s="213" t="str">
        <f>IF('Supp. Result Entry'!AA116="","",'Supp. Result Entry'!$AA$6)</f>
        <v/>
      </c>
      <c r="IB117" s="213" t="str">
        <f>IF('Supp. Result Entry'!AD116="","",'Supp. Result Entry'!$AD$6)</f>
        <v/>
      </c>
      <c r="IC117" s="213" t="str">
        <f>IF('Supp. Result Entry'!AG116="","",'Supp. Result Entry'!$AG$6)</f>
        <v/>
      </c>
      <c r="ID117" s="213" t="str">
        <f>IF('Supp. Result Entry'!AJ116="","",'Supp. Result Entry'!$AJ$6)</f>
        <v/>
      </c>
      <c r="IE117" s="213" t="str">
        <f>IF('Supp. Result Entry'!V116="","",'Supp. Result Entry'!V116)</f>
        <v/>
      </c>
      <c r="IF117" s="213" t="str">
        <f>IF('Supp. Result Entry'!Y116="","",'Supp. Result Entry'!Y116)</f>
        <v/>
      </c>
      <c r="IG117" s="213" t="str">
        <f>IF('Supp. Result Entry'!AB116="","",'Supp. Result Entry'!AB116)</f>
        <v/>
      </c>
      <c r="IH117" s="213" t="str">
        <f>IF('Supp. Result Entry'!AE116="","",'Supp. Result Entry'!AE116)</f>
        <v/>
      </c>
      <c r="II117" s="213" t="str">
        <f>IF('Supp. Result Entry'!AH116="","",'Supp. Result Entry'!AH116)</f>
        <v/>
      </c>
      <c r="IJ117" s="213" t="str">
        <f>IF('Supp. Result Entry'!AK116="","",'Supp. Result Entry'!AK116)</f>
        <v/>
      </c>
      <c r="IK117" s="213" t="str">
        <f>IF('Supp. Result Entry'!W116="","",'Supp. Result Entry'!W116)</f>
        <v/>
      </c>
      <c r="IL117" s="213" t="str">
        <f>IF('Supp. Result Entry'!Z116="","",'Supp. Result Entry'!Z116)</f>
        <v/>
      </c>
      <c r="IM117" s="213" t="str">
        <f>IF('Supp. Result Entry'!AC116="","",'Supp. Result Entry'!AC116)</f>
        <v/>
      </c>
      <c r="IN117" s="213" t="str">
        <f>IF('Supp. Result Entry'!AF116="","",'Supp. Result Entry'!AF116)</f>
        <v/>
      </c>
      <c r="IO117" s="213" t="str">
        <f>IF('Supp. Result Entry'!AI116="","",'Supp. Result Entry'!AI116)</f>
        <v/>
      </c>
      <c r="IP117" s="213" t="str">
        <f>IF('Supp. Result Entry'!AL116="","",'Supp. Result Entry'!AL116)</f>
        <v/>
      </c>
      <c r="IQ117" s="213">
        <f>COUNTIF('Supp. Result Entry'!K116:Q116,"S")</f>
        <v>0</v>
      </c>
      <c r="IR117" s="213">
        <f t="shared" si="355"/>
        <v>0</v>
      </c>
      <c r="IS117" s="213">
        <f t="shared" si="356"/>
        <v>0</v>
      </c>
      <c r="IT117" s="213" t="str">
        <f t="shared" si="224"/>
        <v/>
      </c>
      <c r="IU117" s="213" t="str">
        <f t="shared" si="225"/>
        <v/>
      </c>
      <c r="IV117" s="213" t="str">
        <f t="shared" si="226"/>
        <v/>
      </c>
      <c r="IW117" s="213" t="str">
        <f t="shared" si="227"/>
        <v/>
      </c>
      <c r="IX117" s="213" t="str">
        <f t="shared" si="228"/>
        <v/>
      </c>
      <c r="IY117" s="213" t="str">
        <f t="shared" si="357"/>
        <v/>
      </c>
      <c r="IZ117" s="213" t="str">
        <f t="shared" si="358"/>
        <v/>
      </c>
      <c r="JA117" s="213" t="str">
        <f t="shared" si="229"/>
        <v/>
      </c>
      <c r="JB117" s="211" t="str">
        <f t="shared" si="359"/>
        <v/>
      </c>
    </row>
    <row r="118" spans="1:262" s="211" customFormat="1" ht="21" customHeight="1">
      <c r="A118" s="184">
        <v>111</v>
      </c>
      <c r="B118" s="185" t="str">
        <f>IF('Marks Entry'!B118="","",'Marks Entry'!B118)</f>
        <v/>
      </c>
      <c r="C118" s="186" t="str">
        <f>IF('Marks Entry'!D118="","",'Marks Entry'!D118)</f>
        <v/>
      </c>
      <c r="D118" s="187" t="str">
        <f>IF('Marks Entry'!E118="","",'Marks Entry'!E118)</f>
        <v/>
      </c>
      <c r="E118" s="188" t="str">
        <f>IF('Marks Entry'!F118="","",'Marks Entry'!F118)</f>
        <v/>
      </c>
      <c r="F118" s="188" t="str">
        <f>IF('Marks Entry'!G118="","",'Marks Entry'!G118)</f>
        <v/>
      </c>
      <c r="G118" s="188" t="str">
        <f>IF('Marks Entry'!H118="","",'Marks Entry'!H118)</f>
        <v/>
      </c>
      <c r="H118" s="189" t="str">
        <f>IF('Marks Entry'!I118="","",'Marks Entry'!I118)</f>
        <v/>
      </c>
      <c r="I118" s="190" t="str">
        <f>IF('Marks Entry'!J118="","",'Marks Entry'!J118)</f>
        <v/>
      </c>
      <c r="J118" s="545" t="str">
        <f>IF('Marks Entry'!K118="","",'Marks Entry'!K118)</f>
        <v/>
      </c>
      <c r="K118" s="545" t="str">
        <f>IF('Marks Entry'!L118="","",'Marks Entry'!L118)</f>
        <v/>
      </c>
      <c r="L118" s="545" t="str">
        <f>IF('Marks Entry'!M118="","",'Marks Entry'!M118)</f>
        <v/>
      </c>
      <c r="M118" s="546" t="str">
        <f t="shared" si="230"/>
        <v/>
      </c>
      <c r="N118" s="545" t="str">
        <f>IF('Marks Entry'!N118="","",'Marks Entry'!N118)</f>
        <v/>
      </c>
      <c r="O118" s="546" t="str">
        <f t="shared" si="231"/>
        <v/>
      </c>
      <c r="P118" s="545" t="str">
        <f>IF('Marks Entry'!O118="","",'Marks Entry'!O118)</f>
        <v/>
      </c>
      <c r="Q118" s="547" t="str">
        <f t="shared" si="232"/>
        <v/>
      </c>
      <c r="R118" s="153">
        <f t="shared" si="233"/>
        <v>0</v>
      </c>
      <c r="S118" s="153">
        <f t="shared" si="234"/>
        <v>0</v>
      </c>
      <c r="T118" s="154" t="str">
        <f t="shared" si="235"/>
        <v/>
      </c>
      <c r="U118" s="153" t="str">
        <f t="shared" si="236"/>
        <v/>
      </c>
      <c r="V118" s="153" t="str">
        <f t="shared" si="237"/>
        <v/>
      </c>
      <c r="W118" s="153" t="str">
        <f t="shared" si="238"/>
        <v/>
      </c>
      <c r="X118" s="545" t="str">
        <f>IF('Marks Entry'!P118="","",'Marks Entry'!P118)</f>
        <v/>
      </c>
      <c r="Y118" s="545" t="str">
        <f>IF('Marks Entry'!Q118="","",'Marks Entry'!Q118)</f>
        <v/>
      </c>
      <c r="Z118" s="545" t="str">
        <f>IF('Marks Entry'!R118="","",'Marks Entry'!R118)</f>
        <v/>
      </c>
      <c r="AA118" s="546" t="str">
        <f t="shared" si="239"/>
        <v/>
      </c>
      <c r="AB118" s="545" t="str">
        <f>IF('Marks Entry'!S118="","",'Marks Entry'!S118)</f>
        <v/>
      </c>
      <c r="AC118" s="546" t="str">
        <f t="shared" si="240"/>
        <v/>
      </c>
      <c r="AD118" s="545" t="str">
        <f>IF('Marks Entry'!T118="","",'Marks Entry'!T118)</f>
        <v/>
      </c>
      <c r="AE118" s="547" t="str">
        <f t="shared" si="241"/>
        <v/>
      </c>
      <c r="AF118" s="153">
        <f t="shared" si="242"/>
        <v>0</v>
      </c>
      <c r="AG118" s="153">
        <f t="shared" si="243"/>
        <v>0</v>
      </c>
      <c r="AH118" s="154" t="str">
        <f t="shared" si="244"/>
        <v/>
      </c>
      <c r="AI118" s="153" t="str">
        <f t="shared" si="245"/>
        <v/>
      </c>
      <c r="AJ118" s="153" t="str">
        <f t="shared" si="246"/>
        <v/>
      </c>
      <c r="AK118" s="153" t="str">
        <f t="shared" si="247"/>
        <v/>
      </c>
      <c r="AL118" s="573" t="str">
        <f>IF('Marks Entry'!U118="","",'Marks Entry'!U118)</f>
        <v/>
      </c>
      <c r="AM118" s="573" t="str">
        <f>IF('Marks Entry'!V118="","",'Marks Entry'!V118)</f>
        <v/>
      </c>
      <c r="AN118" s="573" t="str">
        <f>IF('Marks Entry'!W118="","",'Marks Entry'!W118)</f>
        <v/>
      </c>
      <c r="AO118" s="573" t="str">
        <f>IF('Marks Entry'!X118="","",'Marks Entry'!X118)</f>
        <v/>
      </c>
      <c r="AP118" s="572" t="str">
        <f t="shared" si="248"/>
        <v/>
      </c>
      <c r="AQ118" s="573" t="str">
        <f>IF('Marks Entry'!Y118="","",'Marks Entry'!Y118)</f>
        <v/>
      </c>
      <c r="AR118" s="573" t="str">
        <f>IF('Marks Entry'!Z118="","",'Marks Entry'!Z118)</f>
        <v/>
      </c>
      <c r="AS118" s="572" t="str">
        <f t="shared" si="249"/>
        <v/>
      </c>
      <c r="AT118" s="572" t="str">
        <f t="shared" si="250"/>
        <v/>
      </c>
      <c r="AU118" s="573" t="str">
        <f>IF('Marks Entry'!AA118="","",'Marks Entry'!AA118)</f>
        <v/>
      </c>
      <c r="AV118" s="573" t="str">
        <f>IF('Marks Entry'!AB118="","",'Marks Entry'!AB118)</f>
        <v/>
      </c>
      <c r="AW118" s="572" t="str">
        <f t="shared" si="251"/>
        <v/>
      </c>
      <c r="AX118" s="157" t="str">
        <f t="shared" si="252"/>
        <v/>
      </c>
      <c r="AY118" s="157" t="str">
        <f t="shared" si="253"/>
        <v/>
      </c>
      <c r="AZ118" s="192" t="str">
        <f t="shared" si="254"/>
        <v/>
      </c>
      <c r="BA118" s="153">
        <f t="shared" si="255"/>
        <v>0</v>
      </c>
      <c r="BB118" s="154">
        <f t="shared" si="256"/>
        <v>0</v>
      </c>
      <c r="BC118" s="154" t="str">
        <f t="shared" si="257"/>
        <v/>
      </c>
      <c r="BD118" s="154" t="str">
        <f t="shared" si="258"/>
        <v/>
      </c>
      <c r="BE118" s="154" t="str">
        <f t="shared" si="259"/>
        <v/>
      </c>
      <c r="BF118" s="153" t="str">
        <f t="shared" si="260"/>
        <v/>
      </c>
      <c r="BG118" s="154" t="str">
        <f t="shared" si="261"/>
        <v/>
      </c>
      <c r="BH118" s="153" t="str">
        <f t="shared" si="262"/>
        <v/>
      </c>
      <c r="BI118" s="580" t="str">
        <f>IF('Marks Entry'!AC118="","",'Marks Entry'!AC118)</f>
        <v/>
      </c>
      <c r="BJ118" s="580" t="str">
        <f>IF('Marks Entry'!AD118="","",'Marks Entry'!AD118)</f>
        <v/>
      </c>
      <c r="BK118" s="580" t="str">
        <f>IF('Marks Entry'!AE118="","",'Marks Entry'!AE118)</f>
        <v/>
      </c>
      <c r="BL118" s="580" t="str">
        <f>IF('Marks Entry'!AF118="","",'Marks Entry'!AF118)</f>
        <v/>
      </c>
      <c r="BM118" s="581" t="str">
        <f t="shared" si="263"/>
        <v/>
      </c>
      <c r="BN118" s="580" t="str">
        <f>IF('Marks Entry'!AG118="","",'Marks Entry'!AG118)</f>
        <v/>
      </c>
      <c r="BO118" s="580" t="str">
        <f>IF('Marks Entry'!AH118="","",'Marks Entry'!AH118)</f>
        <v/>
      </c>
      <c r="BP118" s="581" t="str">
        <f t="shared" si="264"/>
        <v/>
      </c>
      <c r="BQ118" s="581" t="str">
        <f t="shared" si="265"/>
        <v/>
      </c>
      <c r="BR118" s="580" t="str">
        <f>IF('Marks Entry'!AI118="","",'Marks Entry'!AI118)</f>
        <v/>
      </c>
      <c r="BS118" s="580" t="str">
        <f>IF('Marks Entry'!AJ118="","",'Marks Entry'!AJ118)</f>
        <v/>
      </c>
      <c r="BT118" s="581" t="str">
        <f t="shared" si="266"/>
        <v/>
      </c>
      <c r="BU118" s="157" t="str">
        <f t="shared" si="267"/>
        <v/>
      </c>
      <c r="BV118" s="157" t="str">
        <f t="shared" si="268"/>
        <v/>
      </c>
      <c r="BW118" s="192" t="str">
        <f t="shared" si="269"/>
        <v/>
      </c>
      <c r="BX118" s="153">
        <f t="shared" si="270"/>
        <v>0</v>
      </c>
      <c r="BY118" s="154">
        <f t="shared" si="271"/>
        <v>0</v>
      </c>
      <c r="BZ118" s="154" t="str">
        <f t="shared" si="272"/>
        <v/>
      </c>
      <c r="CA118" s="154" t="str">
        <f t="shared" si="273"/>
        <v/>
      </c>
      <c r="CB118" s="154" t="str">
        <f t="shared" si="274"/>
        <v/>
      </c>
      <c r="CC118" s="153" t="str">
        <f t="shared" si="275"/>
        <v/>
      </c>
      <c r="CD118" s="154" t="str">
        <f t="shared" si="276"/>
        <v/>
      </c>
      <c r="CE118" s="153" t="str">
        <f t="shared" si="277"/>
        <v/>
      </c>
      <c r="CF118" s="580" t="str">
        <f>IF('Marks Entry'!AK118="","",'Marks Entry'!AK118)</f>
        <v/>
      </c>
      <c r="CG118" s="580" t="str">
        <f>IF('Marks Entry'!AL118="","",'Marks Entry'!AL118)</f>
        <v/>
      </c>
      <c r="CH118" s="580" t="str">
        <f>IF('Marks Entry'!AM118="","",'Marks Entry'!AM118)</f>
        <v/>
      </c>
      <c r="CI118" s="580" t="str">
        <f>IF('Marks Entry'!AN118="","",'Marks Entry'!AN118)</f>
        <v/>
      </c>
      <c r="CJ118" s="581" t="str">
        <f t="shared" si="278"/>
        <v/>
      </c>
      <c r="CK118" s="580" t="str">
        <f>IF('Marks Entry'!AO118="","",'Marks Entry'!AO118)</f>
        <v/>
      </c>
      <c r="CL118" s="580" t="str">
        <f>IF('Marks Entry'!AP118="","",'Marks Entry'!AP118)</f>
        <v/>
      </c>
      <c r="CM118" s="581" t="str">
        <f t="shared" si="279"/>
        <v/>
      </c>
      <c r="CN118" s="581" t="str">
        <f t="shared" si="280"/>
        <v/>
      </c>
      <c r="CO118" s="580" t="str">
        <f>IF('Marks Entry'!AQ118="","",'Marks Entry'!AQ118)</f>
        <v/>
      </c>
      <c r="CP118" s="580" t="str">
        <f>IF('Marks Entry'!AR118="","",'Marks Entry'!AR118)</f>
        <v/>
      </c>
      <c r="CQ118" s="581" t="str">
        <f t="shared" si="281"/>
        <v/>
      </c>
      <c r="CR118" s="157" t="str">
        <f t="shared" si="282"/>
        <v/>
      </c>
      <c r="CS118" s="157" t="str">
        <f t="shared" si="283"/>
        <v/>
      </c>
      <c r="CT118" s="192" t="str">
        <f t="shared" si="284"/>
        <v/>
      </c>
      <c r="CU118" s="153">
        <f t="shared" si="285"/>
        <v>0</v>
      </c>
      <c r="CV118" s="154">
        <f t="shared" si="286"/>
        <v>0</v>
      </c>
      <c r="CW118" s="154" t="str">
        <f t="shared" si="287"/>
        <v/>
      </c>
      <c r="CX118" s="154" t="str">
        <f t="shared" si="288"/>
        <v/>
      </c>
      <c r="CY118" s="154" t="str">
        <f t="shared" si="289"/>
        <v/>
      </c>
      <c r="CZ118" s="153" t="str">
        <f t="shared" si="290"/>
        <v/>
      </c>
      <c r="DA118" s="154" t="str">
        <f t="shared" si="291"/>
        <v/>
      </c>
      <c r="DB118" s="153" t="str">
        <f t="shared" si="292"/>
        <v/>
      </c>
      <c r="DC118" s="154">
        <f t="shared" si="293"/>
        <v>0</v>
      </c>
      <c r="DD118" s="826" t="str">
        <f>IF('Marks Entry'!AS118="","",IF(OR('Master Sheet'!$D$19="YES",'Marks Entry'!$BA$1=1),'Marks Entry'!AS118,""))</f>
        <v/>
      </c>
      <c r="DE118" s="826" t="str">
        <f>IF('Marks Entry'!AT118="","",IF(OR('Master Sheet'!$D$19="YES",'Marks Entry'!$BA$1=1),'Marks Entry'!AT118,""))</f>
        <v/>
      </c>
      <c r="DF118" s="826" t="str">
        <f>IF('Marks Entry'!AU118="","",IF(OR('Master Sheet'!$D$19="YES",'Marks Entry'!$BA$1=1),'Marks Entry'!AU118,""))</f>
        <v/>
      </c>
      <c r="DG118" s="826" t="str">
        <f>IF('Marks Entry'!AV118="","",IF(OR('Master Sheet'!$D$19="YES",'Marks Entry'!$BA$1=1),'Marks Entry'!AV118,""))</f>
        <v/>
      </c>
      <c r="DH118" s="827" t="str">
        <f t="shared" si="294"/>
        <v/>
      </c>
      <c r="DI118" s="826" t="str">
        <f>IF('Marks Entry'!AW118="","",IF(OR('Master Sheet'!$D$19="YES",'Marks Entry'!$BA$1=1),'Marks Entry'!AW118,""))</f>
        <v/>
      </c>
      <c r="DJ118" s="826" t="str">
        <f>IF('Marks Entry'!AX118="","",IF(OR('Master Sheet'!$D$19="YES",'Marks Entry'!$BA$1=1),'Marks Entry'!AX118,""))</f>
        <v/>
      </c>
      <c r="DK118" s="827" t="str">
        <f t="shared" si="295"/>
        <v/>
      </c>
      <c r="DL118" s="827" t="str">
        <f t="shared" si="296"/>
        <v/>
      </c>
      <c r="DM118" s="826" t="str">
        <f>IF('Marks Entry'!AY118="","",IF(OR('Master Sheet'!$D$19="YES",'Marks Entry'!$BA$1=1),'Marks Entry'!AY118,""))</f>
        <v/>
      </c>
      <c r="DN118" s="826" t="str">
        <f>IF('Marks Entry'!AZ118="","",IF(OR('Master Sheet'!$D$19="YES",'Marks Entry'!$BA$1=1),'Marks Entry'!AZ118,""))</f>
        <v/>
      </c>
      <c r="DO118" s="826" t="str">
        <f>IF('Marks Entry'!BA118="","",IF(OR('Master Sheet'!$D$19="YES",'Marks Entry'!$BA$1=1),'Marks Entry'!BA118,""))</f>
        <v/>
      </c>
      <c r="DP118" s="827" t="str">
        <f t="shared" si="297"/>
        <v/>
      </c>
      <c r="DQ118" s="157" t="str">
        <f t="shared" si="298"/>
        <v/>
      </c>
      <c r="DR118" s="157" t="str">
        <f t="shared" si="299"/>
        <v/>
      </c>
      <c r="DS118" s="157" t="str">
        <f t="shared" si="300"/>
        <v/>
      </c>
      <c r="DT118" s="192" t="str">
        <f t="shared" si="301"/>
        <v/>
      </c>
      <c r="DU118" s="153">
        <f t="shared" si="302"/>
        <v>0</v>
      </c>
      <c r="DV118" s="154" t="e">
        <f t="shared" si="303"/>
        <v>#VALUE!</v>
      </c>
      <c r="DW118" s="154" t="str">
        <f t="shared" si="304"/>
        <v/>
      </c>
      <c r="DX118" s="154" t="str">
        <f>IF(OR($B118="NSO",$B118=0,DS118=""),"",IF(AND(DJ118="",DO118=""),"",IF('Master Sheet'!$D$19="YES",$DO$6-COUNTIF(DO118,"ML")*DO$6,DS$6-(COUNTIF(DJ118,"ML")*DJ$6)-(COUNTIF(DO118,"ML")*DO$6))))</f>
        <v/>
      </c>
      <c r="DY118" s="154" t="str">
        <f>IF(OR($B118="NSO",$B118=0),"",IF(AND(DH118="",DI118="",DM118=""),"",IF(AND('Master Sheet'!$D$19="YES",'Marks Entry'!$BA$1=1),100,IF(AND(DJ118="",DO118=""),SUM(($DQ$7+$DR$7)-(DU118+DV118)),SUM(($DQ$6+$DR$6)-(DU118+DV118))))))</f>
        <v/>
      </c>
      <c r="DZ118" s="153" t="str">
        <f t="shared" si="305"/>
        <v/>
      </c>
      <c r="EA118" s="154" t="str">
        <f t="shared" si="306"/>
        <v/>
      </c>
      <c r="EB118" s="153" t="str">
        <f t="shared" si="307"/>
        <v/>
      </c>
      <c r="EC118" s="584" t="str">
        <f>IF('Marks Entry'!BB118="","",'Marks Entry'!BB118)</f>
        <v/>
      </c>
      <c r="ED118" s="584" t="str">
        <f>IF('Marks Entry'!BC118="","",'Marks Entry'!BC118)</f>
        <v/>
      </c>
      <c r="EE118" s="584" t="str">
        <f>IF('Marks Entry'!BD118="","",'Marks Entry'!BD118)</f>
        <v/>
      </c>
      <c r="EF118" s="590" t="str">
        <f t="shared" si="308"/>
        <v/>
      </c>
      <c r="EG118" s="595">
        <f t="shared" si="309"/>
        <v>0</v>
      </c>
      <c r="EH118" s="595">
        <f t="shared" si="310"/>
        <v>0</v>
      </c>
      <c r="EI118" s="193" t="str">
        <f t="shared" si="311"/>
        <v/>
      </c>
      <c r="EJ118" s="595" t="str">
        <f t="shared" si="312"/>
        <v/>
      </c>
      <c r="EK118" s="595" t="str">
        <f t="shared" si="313"/>
        <v/>
      </c>
      <c r="EL118" s="194" t="str">
        <f t="shared" si="314"/>
        <v/>
      </c>
      <c r="EM118" s="194" t="str">
        <f t="shared" si="315"/>
        <v/>
      </c>
      <c r="EN118" s="194" t="str">
        <f t="shared" si="316"/>
        <v/>
      </c>
      <c r="EO118" s="194" t="str">
        <f t="shared" si="317"/>
        <v/>
      </c>
      <c r="EP118" s="194" t="str">
        <f t="shared" si="318"/>
        <v/>
      </c>
      <c r="EQ118" s="194" t="str">
        <f t="shared" si="319"/>
        <v/>
      </c>
      <c r="ER118" s="195">
        <f t="shared" si="320"/>
        <v>0</v>
      </c>
      <c r="ES118" s="195">
        <f t="shared" si="321"/>
        <v>0</v>
      </c>
      <c r="ET118" s="195">
        <f t="shared" si="322"/>
        <v>0</v>
      </c>
      <c r="EU118" s="195">
        <f t="shared" si="323"/>
        <v>0</v>
      </c>
      <c r="EV118" s="195">
        <f t="shared" si="324"/>
        <v>0</v>
      </c>
      <c r="EW118" s="195" t="str">
        <f t="shared" si="325"/>
        <v/>
      </c>
      <c r="EX118" s="196" t="str">
        <f t="shared" si="326"/>
        <v/>
      </c>
      <c r="EY118" s="197" t="str">
        <f>IF('Marks Entry'!BE118="","",'Marks Entry'!BE118)</f>
        <v/>
      </c>
      <c r="EZ118" s="197" t="str">
        <f>IF('Marks Entry'!BF118="","",'Marks Entry'!BF118)</f>
        <v/>
      </c>
      <c r="FA118" s="197" t="str">
        <f>IF('Marks Entry'!BG118="","",'Marks Entry'!BG118)</f>
        <v/>
      </c>
      <c r="FB118" s="596" t="str">
        <f t="shared" si="327"/>
        <v/>
      </c>
      <c r="FC118" s="197" t="str">
        <f>IF('Marks Entry'!BH118="","",'Marks Entry'!BH118)</f>
        <v/>
      </c>
      <c r="FD118" s="197" t="str">
        <f>IF('Marks Entry'!BI118="","",'Marks Entry'!BI118)</f>
        <v/>
      </c>
      <c r="FE118" s="198" t="str">
        <f t="shared" si="328"/>
        <v/>
      </c>
      <c r="FF118" s="199" t="str">
        <f t="shared" si="329"/>
        <v/>
      </c>
      <c r="FG118" s="200" t="str">
        <f>IF(AND(E118=""),"",IF('Student DATA Entry'!L114="","",'Student DATA Entry'!L114))</f>
        <v/>
      </c>
      <c r="FH118" s="201" t="str">
        <f>IF(AND(E118=""),"",IF('Student DATA Entry'!M114="","",'Student DATA Entry'!M114))</f>
        <v/>
      </c>
      <c r="FI118" s="202" t="str">
        <f t="shared" si="330"/>
        <v/>
      </c>
      <c r="FJ118" s="189" t="str">
        <f t="shared" si="331"/>
        <v/>
      </c>
      <c r="FK118" s="189" t="str">
        <f t="shared" si="332"/>
        <v/>
      </c>
      <c r="FL118" s="203" t="str">
        <f t="shared" si="360"/>
        <v/>
      </c>
      <c r="FM118" s="189" t="str">
        <f t="shared" si="333"/>
        <v/>
      </c>
      <c r="FN118" s="204" t="str">
        <f t="shared" si="334"/>
        <v/>
      </c>
      <c r="FO118" s="203" t="str">
        <f t="shared" si="361"/>
        <v/>
      </c>
      <c r="FP118" s="205" t="str">
        <f t="shared" si="335"/>
        <v/>
      </c>
      <c r="FQ118" s="189" t="str">
        <f t="shared" si="362"/>
        <v/>
      </c>
      <c r="FR118" s="189" t="str">
        <f t="shared" si="363"/>
        <v/>
      </c>
      <c r="FS118" s="189" t="str">
        <f t="shared" si="364"/>
        <v/>
      </c>
      <c r="FT118" s="189" t="str">
        <f t="shared" si="365"/>
        <v/>
      </c>
      <c r="FU118" s="189" t="str">
        <f t="shared" si="336"/>
        <v/>
      </c>
      <c r="FV118" s="206" t="str">
        <f t="shared" si="366"/>
        <v/>
      </c>
      <c r="FW118" s="205" t="str">
        <f t="shared" si="337"/>
        <v/>
      </c>
      <c r="FX118" s="189" t="str">
        <f t="shared" si="367"/>
        <v/>
      </c>
      <c r="FY118" s="189" t="str">
        <f t="shared" si="368"/>
        <v/>
      </c>
      <c r="FZ118" s="189" t="str">
        <f t="shared" si="369"/>
        <v/>
      </c>
      <c r="GA118" s="189" t="str">
        <f t="shared" si="370"/>
        <v/>
      </c>
      <c r="GB118" s="189" t="str">
        <f t="shared" si="338"/>
        <v/>
      </c>
      <c r="GC118" s="206" t="str">
        <f t="shared" si="371"/>
        <v/>
      </c>
      <c r="GD118" s="205" t="str">
        <f t="shared" si="339"/>
        <v/>
      </c>
      <c r="GE118" s="189" t="str">
        <f t="shared" si="372"/>
        <v/>
      </c>
      <c r="GF118" s="189" t="str">
        <f t="shared" si="373"/>
        <v/>
      </c>
      <c r="GG118" s="189" t="str">
        <f t="shared" si="374"/>
        <v/>
      </c>
      <c r="GH118" s="189" t="str">
        <f t="shared" si="375"/>
        <v/>
      </c>
      <c r="GI118" s="189" t="str">
        <f t="shared" si="340"/>
        <v/>
      </c>
      <c r="GJ118" s="206" t="str">
        <f t="shared" si="376"/>
        <v/>
      </c>
      <c r="GK118" s="205" t="str">
        <f t="shared" si="341"/>
        <v/>
      </c>
      <c r="GL118" s="189" t="str">
        <f t="shared" si="377"/>
        <v/>
      </c>
      <c r="GM118" s="189" t="str">
        <f t="shared" si="378"/>
        <v/>
      </c>
      <c r="GN118" s="189" t="str">
        <f t="shared" si="379"/>
        <v/>
      </c>
      <c r="GO118" s="189" t="str">
        <f t="shared" si="380"/>
        <v/>
      </c>
      <c r="GP118" s="189" t="str">
        <f t="shared" si="342"/>
        <v/>
      </c>
      <c r="GQ118" s="206" t="str">
        <f t="shared" si="381"/>
        <v/>
      </c>
      <c r="GR118" s="189" t="str">
        <f t="shared" si="343"/>
        <v/>
      </c>
      <c r="GS118" s="189" t="str">
        <f t="shared" si="344"/>
        <v/>
      </c>
      <c r="GT118" s="207" t="str">
        <f t="shared" si="345"/>
        <v xml:space="preserve">    </v>
      </c>
      <c r="GU118" s="207" t="str">
        <f t="shared" si="346"/>
        <v xml:space="preserve">    </v>
      </c>
      <c r="GV118" s="207" t="str">
        <f t="shared" si="347"/>
        <v xml:space="preserve">    </v>
      </c>
      <c r="GW118" s="207" t="str">
        <f t="shared" si="348"/>
        <v xml:space="preserve">       </v>
      </c>
      <c r="GX118" s="598" t="str">
        <f t="shared" si="349"/>
        <v xml:space="preserve">     </v>
      </c>
      <c r="GY118" s="208" t="str">
        <f t="shared" si="382"/>
        <v/>
      </c>
      <c r="GZ118" s="606" t="str">
        <f>IF(AND(Q118="",AE118="",AZ118="",BW118="",CT118=""),"",IF(AND('Master Sheet'!$D$19="YES",'Marks Entry'!$BA$1=1),SUM(Q118,AE118,AZ118,BW118,DT118),SUM(Q118,AE118,AZ118,BW118,CT118)))</f>
        <v/>
      </c>
      <c r="HA118" s="209" t="str">
        <f>IF(GZ118="","",IF(AND('Master Sheet'!$D$19="YES",'Marks Entry'!$BA$1=1),GZ118/((900)-DC118)*100,GZ118/((1000)-DC118)*100))</f>
        <v/>
      </c>
      <c r="HB118" s="611" t="str">
        <f t="shared" si="350"/>
        <v/>
      </c>
      <c r="HC118" s="609" t="str">
        <f t="shared" si="351"/>
        <v/>
      </c>
      <c r="HD118" s="610" t="str">
        <f t="shared" si="352"/>
        <v/>
      </c>
      <c r="HE118" s="210" t="str">
        <f>IFERROR(IF(OR(GY118="SUPPLEMENTARY",GY118="RE-EXAM"),'Supp. Result Entry'!AS117,""),"")</f>
        <v/>
      </c>
      <c r="HF118" s="613" t="str">
        <f t="shared" si="353"/>
        <v/>
      </c>
      <c r="HG118" s="598" t="str">
        <f t="shared" si="354"/>
        <v/>
      </c>
      <c r="HH118" s="598" t="str">
        <f>IF(AND(HE118="",HF118="",HG118=""),"",IF(OR(GY118="SUPPLEMENTARY",GY118="RE-EXAM"),'Supp. Result Entry'!AS117,GY118))</f>
        <v/>
      </c>
      <c r="HI118" s="180"/>
      <c r="HY118" s="212" t="str">
        <f>IF('Supp. Result Entry'!U117="","",'Supp. Result Entry'!$U$6)</f>
        <v/>
      </c>
      <c r="HZ118" s="213" t="str">
        <f>IF('Supp. Result Entry'!X117="","",'Supp. Result Entry'!$X$6)</f>
        <v/>
      </c>
      <c r="IA118" s="213" t="str">
        <f>IF('Supp. Result Entry'!AA117="","",'Supp. Result Entry'!$AA$6)</f>
        <v/>
      </c>
      <c r="IB118" s="213" t="str">
        <f>IF('Supp. Result Entry'!AD117="","",'Supp. Result Entry'!$AD$6)</f>
        <v/>
      </c>
      <c r="IC118" s="213" t="str">
        <f>IF('Supp. Result Entry'!AG117="","",'Supp. Result Entry'!$AG$6)</f>
        <v/>
      </c>
      <c r="ID118" s="213" t="str">
        <f>IF('Supp. Result Entry'!AJ117="","",'Supp. Result Entry'!$AJ$6)</f>
        <v/>
      </c>
      <c r="IE118" s="213" t="str">
        <f>IF('Supp. Result Entry'!V117="","",'Supp. Result Entry'!V117)</f>
        <v/>
      </c>
      <c r="IF118" s="213" t="str">
        <f>IF('Supp. Result Entry'!Y117="","",'Supp. Result Entry'!Y117)</f>
        <v/>
      </c>
      <c r="IG118" s="213" t="str">
        <f>IF('Supp. Result Entry'!AB117="","",'Supp. Result Entry'!AB117)</f>
        <v/>
      </c>
      <c r="IH118" s="213" t="str">
        <f>IF('Supp. Result Entry'!AE117="","",'Supp. Result Entry'!AE117)</f>
        <v/>
      </c>
      <c r="II118" s="213" t="str">
        <f>IF('Supp. Result Entry'!AH117="","",'Supp. Result Entry'!AH117)</f>
        <v/>
      </c>
      <c r="IJ118" s="213" t="str">
        <f>IF('Supp. Result Entry'!AK117="","",'Supp. Result Entry'!AK117)</f>
        <v/>
      </c>
      <c r="IK118" s="213" t="str">
        <f>IF('Supp. Result Entry'!W117="","",'Supp. Result Entry'!W117)</f>
        <v/>
      </c>
      <c r="IL118" s="213" t="str">
        <f>IF('Supp. Result Entry'!Z117="","",'Supp. Result Entry'!Z117)</f>
        <v/>
      </c>
      <c r="IM118" s="213" t="str">
        <f>IF('Supp. Result Entry'!AC117="","",'Supp. Result Entry'!AC117)</f>
        <v/>
      </c>
      <c r="IN118" s="213" t="str">
        <f>IF('Supp. Result Entry'!AF117="","",'Supp. Result Entry'!AF117)</f>
        <v/>
      </c>
      <c r="IO118" s="213" t="str">
        <f>IF('Supp. Result Entry'!AI117="","",'Supp. Result Entry'!AI117)</f>
        <v/>
      </c>
      <c r="IP118" s="213" t="str">
        <f>IF('Supp. Result Entry'!AL117="","",'Supp. Result Entry'!AL117)</f>
        <v/>
      </c>
      <c r="IQ118" s="213">
        <f>COUNTIF('Supp. Result Entry'!K117:Q117,"S")</f>
        <v>0</v>
      </c>
      <c r="IR118" s="213">
        <f t="shared" si="355"/>
        <v>0</v>
      </c>
      <c r="IS118" s="213">
        <f t="shared" si="356"/>
        <v>0</v>
      </c>
      <c r="IT118" s="213" t="str">
        <f t="shared" si="224"/>
        <v/>
      </c>
      <c r="IU118" s="213" t="str">
        <f t="shared" si="225"/>
        <v/>
      </c>
      <c r="IV118" s="213" t="str">
        <f t="shared" si="226"/>
        <v/>
      </c>
      <c r="IW118" s="213" t="str">
        <f t="shared" si="227"/>
        <v/>
      </c>
      <c r="IX118" s="213" t="str">
        <f t="shared" si="228"/>
        <v/>
      </c>
      <c r="IY118" s="213" t="str">
        <f t="shared" si="357"/>
        <v/>
      </c>
      <c r="IZ118" s="213" t="str">
        <f t="shared" si="358"/>
        <v/>
      </c>
      <c r="JA118" s="213" t="str">
        <f t="shared" si="229"/>
        <v/>
      </c>
      <c r="JB118" s="211" t="str">
        <f t="shared" si="359"/>
        <v/>
      </c>
    </row>
    <row r="119" spans="1:262" s="211" customFormat="1" ht="21" customHeight="1">
      <c r="A119" s="184">
        <v>112</v>
      </c>
      <c r="B119" s="185" t="str">
        <f>IF('Marks Entry'!B119="","",'Marks Entry'!B119)</f>
        <v/>
      </c>
      <c r="C119" s="186" t="str">
        <f>IF('Marks Entry'!D119="","",'Marks Entry'!D119)</f>
        <v/>
      </c>
      <c r="D119" s="187" t="str">
        <f>IF('Marks Entry'!E119="","",'Marks Entry'!E119)</f>
        <v/>
      </c>
      <c r="E119" s="188" t="str">
        <f>IF('Marks Entry'!F119="","",'Marks Entry'!F119)</f>
        <v/>
      </c>
      <c r="F119" s="188" t="str">
        <f>IF('Marks Entry'!G119="","",'Marks Entry'!G119)</f>
        <v/>
      </c>
      <c r="G119" s="188" t="str">
        <f>IF('Marks Entry'!H119="","",'Marks Entry'!H119)</f>
        <v/>
      </c>
      <c r="H119" s="189" t="str">
        <f>IF('Marks Entry'!I119="","",'Marks Entry'!I119)</f>
        <v/>
      </c>
      <c r="I119" s="190" t="str">
        <f>IF('Marks Entry'!J119="","",'Marks Entry'!J119)</f>
        <v/>
      </c>
      <c r="J119" s="545" t="str">
        <f>IF('Marks Entry'!K119="","",'Marks Entry'!K119)</f>
        <v/>
      </c>
      <c r="K119" s="545" t="str">
        <f>IF('Marks Entry'!L119="","",'Marks Entry'!L119)</f>
        <v/>
      </c>
      <c r="L119" s="545" t="str">
        <f>IF('Marks Entry'!M119="","",'Marks Entry'!M119)</f>
        <v/>
      </c>
      <c r="M119" s="546" t="str">
        <f t="shared" si="230"/>
        <v/>
      </c>
      <c r="N119" s="545" t="str">
        <f>IF('Marks Entry'!N119="","",'Marks Entry'!N119)</f>
        <v/>
      </c>
      <c r="O119" s="546" t="str">
        <f t="shared" si="231"/>
        <v/>
      </c>
      <c r="P119" s="545" t="str">
        <f>IF('Marks Entry'!O119="","",'Marks Entry'!O119)</f>
        <v/>
      </c>
      <c r="Q119" s="547" t="str">
        <f t="shared" si="232"/>
        <v/>
      </c>
      <c r="R119" s="153">
        <f t="shared" si="233"/>
        <v>0</v>
      </c>
      <c r="S119" s="153">
        <f t="shared" si="234"/>
        <v>0</v>
      </c>
      <c r="T119" s="154" t="str">
        <f t="shared" si="235"/>
        <v/>
      </c>
      <c r="U119" s="153" t="str">
        <f t="shared" si="236"/>
        <v/>
      </c>
      <c r="V119" s="153" t="str">
        <f t="shared" si="237"/>
        <v/>
      </c>
      <c r="W119" s="153" t="str">
        <f t="shared" si="238"/>
        <v/>
      </c>
      <c r="X119" s="545" t="str">
        <f>IF('Marks Entry'!P119="","",'Marks Entry'!P119)</f>
        <v/>
      </c>
      <c r="Y119" s="545" t="str">
        <f>IF('Marks Entry'!Q119="","",'Marks Entry'!Q119)</f>
        <v/>
      </c>
      <c r="Z119" s="545" t="str">
        <f>IF('Marks Entry'!R119="","",'Marks Entry'!R119)</f>
        <v/>
      </c>
      <c r="AA119" s="546" t="str">
        <f t="shared" si="239"/>
        <v/>
      </c>
      <c r="AB119" s="545" t="str">
        <f>IF('Marks Entry'!S119="","",'Marks Entry'!S119)</f>
        <v/>
      </c>
      <c r="AC119" s="546" t="str">
        <f t="shared" si="240"/>
        <v/>
      </c>
      <c r="AD119" s="545" t="str">
        <f>IF('Marks Entry'!T119="","",'Marks Entry'!T119)</f>
        <v/>
      </c>
      <c r="AE119" s="547" t="str">
        <f t="shared" si="241"/>
        <v/>
      </c>
      <c r="AF119" s="153">
        <f t="shared" si="242"/>
        <v>0</v>
      </c>
      <c r="AG119" s="153">
        <f t="shared" si="243"/>
        <v>0</v>
      </c>
      <c r="AH119" s="154" t="str">
        <f t="shared" si="244"/>
        <v/>
      </c>
      <c r="AI119" s="153" t="str">
        <f t="shared" si="245"/>
        <v/>
      </c>
      <c r="AJ119" s="153" t="str">
        <f t="shared" si="246"/>
        <v/>
      </c>
      <c r="AK119" s="153" t="str">
        <f t="shared" si="247"/>
        <v/>
      </c>
      <c r="AL119" s="573" t="str">
        <f>IF('Marks Entry'!U119="","",'Marks Entry'!U119)</f>
        <v/>
      </c>
      <c r="AM119" s="573" t="str">
        <f>IF('Marks Entry'!V119="","",'Marks Entry'!V119)</f>
        <v/>
      </c>
      <c r="AN119" s="573" t="str">
        <f>IF('Marks Entry'!W119="","",'Marks Entry'!W119)</f>
        <v/>
      </c>
      <c r="AO119" s="573" t="str">
        <f>IF('Marks Entry'!X119="","",'Marks Entry'!X119)</f>
        <v/>
      </c>
      <c r="AP119" s="572" t="str">
        <f t="shared" si="248"/>
        <v/>
      </c>
      <c r="AQ119" s="573" t="str">
        <f>IF('Marks Entry'!Y119="","",'Marks Entry'!Y119)</f>
        <v/>
      </c>
      <c r="AR119" s="573" t="str">
        <f>IF('Marks Entry'!Z119="","",'Marks Entry'!Z119)</f>
        <v/>
      </c>
      <c r="AS119" s="572" t="str">
        <f t="shared" si="249"/>
        <v/>
      </c>
      <c r="AT119" s="572" t="str">
        <f t="shared" si="250"/>
        <v/>
      </c>
      <c r="AU119" s="573" t="str">
        <f>IF('Marks Entry'!AA119="","",'Marks Entry'!AA119)</f>
        <v/>
      </c>
      <c r="AV119" s="573" t="str">
        <f>IF('Marks Entry'!AB119="","",'Marks Entry'!AB119)</f>
        <v/>
      </c>
      <c r="AW119" s="572" t="str">
        <f t="shared" si="251"/>
        <v/>
      </c>
      <c r="AX119" s="157" t="str">
        <f t="shared" si="252"/>
        <v/>
      </c>
      <c r="AY119" s="157" t="str">
        <f t="shared" si="253"/>
        <v/>
      </c>
      <c r="AZ119" s="192" t="str">
        <f t="shared" si="254"/>
        <v/>
      </c>
      <c r="BA119" s="153">
        <f t="shared" si="255"/>
        <v>0</v>
      </c>
      <c r="BB119" s="154">
        <f t="shared" si="256"/>
        <v>0</v>
      </c>
      <c r="BC119" s="154" t="str">
        <f t="shared" si="257"/>
        <v/>
      </c>
      <c r="BD119" s="154" t="str">
        <f t="shared" si="258"/>
        <v/>
      </c>
      <c r="BE119" s="154" t="str">
        <f t="shared" si="259"/>
        <v/>
      </c>
      <c r="BF119" s="153" t="str">
        <f t="shared" si="260"/>
        <v/>
      </c>
      <c r="BG119" s="154" t="str">
        <f t="shared" si="261"/>
        <v/>
      </c>
      <c r="BH119" s="153" t="str">
        <f t="shared" si="262"/>
        <v/>
      </c>
      <c r="BI119" s="580" t="str">
        <f>IF('Marks Entry'!AC119="","",'Marks Entry'!AC119)</f>
        <v/>
      </c>
      <c r="BJ119" s="580" t="str">
        <f>IF('Marks Entry'!AD119="","",'Marks Entry'!AD119)</f>
        <v/>
      </c>
      <c r="BK119" s="580" t="str">
        <f>IF('Marks Entry'!AE119="","",'Marks Entry'!AE119)</f>
        <v/>
      </c>
      <c r="BL119" s="580" t="str">
        <f>IF('Marks Entry'!AF119="","",'Marks Entry'!AF119)</f>
        <v/>
      </c>
      <c r="BM119" s="581" t="str">
        <f t="shared" si="263"/>
        <v/>
      </c>
      <c r="BN119" s="580" t="str">
        <f>IF('Marks Entry'!AG119="","",'Marks Entry'!AG119)</f>
        <v/>
      </c>
      <c r="BO119" s="580" t="str">
        <f>IF('Marks Entry'!AH119="","",'Marks Entry'!AH119)</f>
        <v/>
      </c>
      <c r="BP119" s="581" t="str">
        <f t="shared" si="264"/>
        <v/>
      </c>
      <c r="BQ119" s="581" t="str">
        <f t="shared" si="265"/>
        <v/>
      </c>
      <c r="BR119" s="580" t="str">
        <f>IF('Marks Entry'!AI119="","",'Marks Entry'!AI119)</f>
        <v/>
      </c>
      <c r="BS119" s="580" t="str">
        <f>IF('Marks Entry'!AJ119="","",'Marks Entry'!AJ119)</f>
        <v/>
      </c>
      <c r="BT119" s="581" t="str">
        <f t="shared" si="266"/>
        <v/>
      </c>
      <c r="BU119" s="157" t="str">
        <f t="shared" si="267"/>
        <v/>
      </c>
      <c r="BV119" s="157" t="str">
        <f t="shared" si="268"/>
        <v/>
      </c>
      <c r="BW119" s="192" t="str">
        <f t="shared" si="269"/>
        <v/>
      </c>
      <c r="BX119" s="153">
        <f t="shared" si="270"/>
        <v>0</v>
      </c>
      <c r="BY119" s="154">
        <f t="shared" si="271"/>
        <v>0</v>
      </c>
      <c r="BZ119" s="154" t="str">
        <f t="shared" si="272"/>
        <v/>
      </c>
      <c r="CA119" s="154" t="str">
        <f t="shared" si="273"/>
        <v/>
      </c>
      <c r="CB119" s="154" t="str">
        <f t="shared" si="274"/>
        <v/>
      </c>
      <c r="CC119" s="153" t="str">
        <f t="shared" si="275"/>
        <v/>
      </c>
      <c r="CD119" s="154" t="str">
        <f t="shared" si="276"/>
        <v/>
      </c>
      <c r="CE119" s="153" t="str">
        <f t="shared" si="277"/>
        <v/>
      </c>
      <c r="CF119" s="580" t="str">
        <f>IF('Marks Entry'!AK119="","",'Marks Entry'!AK119)</f>
        <v/>
      </c>
      <c r="CG119" s="580" t="str">
        <f>IF('Marks Entry'!AL119="","",'Marks Entry'!AL119)</f>
        <v/>
      </c>
      <c r="CH119" s="580" t="str">
        <f>IF('Marks Entry'!AM119="","",'Marks Entry'!AM119)</f>
        <v/>
      </c>
      <c r="CI119" s="580" t="str">
        <f>IF('Marks Entry'!AN119="","",'Marks Entry'!AN119)</f>
        <v/>
      </c>
      <c r="CJ119" s="581" t="str">
        <f t="shared" si="278"/>
        <v/>
      </c>
      <c r="CK119" s="580" t="str">
        <f>IF('Marks Entry'!AO119="","",'Marks Entry'!AO119)</f>
        <v/>
      </c>
      <c r="CL119" s="580" t="str">
        <f>IF('Marks Entry'!AP119="","",'Marks Entry'!AP119)</f>
        <v/>
      </c>
      <c r="CM119" s="581" t="str">
        <f t="shared" si="279"/>
        <v/>
      </c>
      <c r="CN119" s="581" t="str">
        <f t="shared" si="280"/>
        <v/>
      </c>
      <c r="CO119" s="580" t="str">
        <f>IF('Marks Entry'!AQ119="","",'Marks Entry'!AQ119)</f>
        <v/>
      </c>
      <c r="CP119" s="580" t="str">
        <f>IF('Marks Entry'!AR119="","",'Marks Entry'!AR119)</f>
        <v/>
      </c>
      <c r="CQ119" s="581" t="str">
        <f t="shared" si="281"/>
        <v/>
      </c>
      <c r="CR119" s="157" t="str">
        <f t="shared" si="282"/>
        <v/>
      </c>
      <c r="CS119" s="157" t="str">
        <f t="shared" si="283"/>
        <v/>
      </c>
      <c r="CT119" s="192" t="str">
        <f t="shared" si="284"/>
        <v/>
      </c>
      <c r="CU119" s="153">
        <f t="shared" si="285"/>
        <v>0</v>
      </c>
      <c r="CV119" s="154">
        <f t="shared" si="286"/>
        <v>0</v>
      </c>
      <c r="CW119" s="154" t="str">
        <f t="shared" si="287"/>
        <v/>
      </c>
      <c r="CX119" s="154" t="str">
        <f t="shared" si="288"/>
        <v/>
      </c>
      <c r="CY119" s="154" t="str">
        <f t="shared" si="289"/>
        <v/>
      </c>
      <c r="CZ119" s="153" t="str">
        <f t="shared" si="290"/>
        <v/>
      </c>
      <c r="DA119" s="154" t="str">
        <f t="shared" si="291"/>
        <v/>
      </c>
      <c r="DB119" s="153" t="str">
        <f t="shared" si="292"/>
        <v/>
      </c>
      <c r="DC119" s="154">
        <f t="shared" si="293"/>
        <v>0</v>
      </c>
      <c r="DD119" s="826" t="str">
        <f>IF('Marks Entry'!AS119="","",IF(OR('Master Sheet'!$D$19="YES",'Marks Entry'!$BA$1=1),'Marks Entry'!AS119,""))</f>
        <v/>
      </c>
      <c r="DE119" s="826" t="str">
        <f>IF('Marks Entry'!AT119="","",IF(OR('Master Sheet'!$D$19="YES",'Marks Entry'!$BA$1=1),'Marks Entry'!AT119,""))</f>
        <v/>
      </c>
      <c r="DF119" s="826" t="str">
        <f>IF('Marks Entry'!AU119="","",IF(OR('Master Sheet'!$D$19="YES",'Marks Entry'!$BA$1=1),'Marks Entry'!AU119,""))</f>
        <v/>
      </c>
      <c r="DG119" s="826" t="str">
        <f>IF('Marks Entry'!AV119="","",IF(OR('Master Sheet'!$D$19="YES",'Marks Entry'!$BA$1=1),'Marks Entry'!AV119,""))</f>
        <v/>
      </c>
      <c r="DH119" s="827" t="str">
        <f t="shared" si="294"/>
        <v/>
      </c>
      <c r="DI119" s="826" t="str">
        <f>IF('Marks Entry'!AW119="","",IF(OR('Master Sheet'!$D$19="YES",'Marks Entry'!$BA$1=1),'Marks Entry'!AW119,""))</f>
        <v/>
      </c>
      <c r="DJ119" s="826" t="str">
        <f>IF('Marks Entry'!AX119="","",IF(OR('Master Sheet'!$D$19="YES",'Marks Entry'!$BA$1=1),'Marks Entry'!AX119,""))</f>
        <v/>
      </c>
      <c r="DK119" s="827" t="str">
        <f t="shared" si="295"/>
        <v/>
      </c>
      <c r="DL119" s="827" t="str">
        <f t="shared" si="296"/>
        <v/>
      </c>
      <c r="DM119" s="826" t="str">
        <f>IF('Marks Entry'!AY119="","",IF(OR('Master Sheet'!$D$19="YES",'Marks Entry'!$BA$1=1),'Marks Entry'!AY119,""))</f>
        <v/>
      </c>
      <c r="DN119" s="826" t="str">
        <f>IF('Marks Entry'!AZ119="","",IF(OR('Master Sheet'!$D$19="YES",'Marks Entry'!$BA$1=1),'Marks Entry'!AZ119,""))</f>
        <v/>
      </c>
      <c r="DO119" s="826" t="str">
        <f>IF('Marks Entry'!BA119="","",IF(OR('Master Sheet'!$D$19="YES",'Marks Entry'!$BA$1=1),'Marks Entry'!BA119,""))</f>
        <v/>
      </c>
      <c r="DP119" s="827" t="str">
        <f t="shared" si="297"/>
        <v/>
      </c>
      <c r="DQ119" s="157" t="str">
        <f t="shared" si="298"/>
        <v/>
      </c>
      <c r="DR119" s="157" t="str">
        <f t="shared" si="299"/>
        <v/>
      </c>
      <c r="DS119" s="157" t="str">
        <f t="shared" si="300"/>
        <v/>
      </c>
      <c r="DT119" s="192" t="str">
        <f t="shared" si="301"/>
        <v/>
      </c>
      <c r="DU119" s="153">
        <f t="shared" si="302"/>
        <v>0</v>
      </c>
      <c r="DV119" s="154" t="e">
        <f t="shared" si="303"/>
        <v>#VALUE!</v>
      </c>
      <c r="DW119" s="154" t="str">
        <f t="shared" si="304"/>
        <v/>
      </c>
      <c r="DX119" s="154" t="str">
        <f>IF(OR($B119="NSO",$B119=0,DS119=""),"",IF(AND(DJ119="",DO119=""),"",IF('Master Sheet'!$D$19="YES",$DO$6-COUNTIF(DO119,"ML")*DO$6,DS$6-(COUNTIF(DJ119,"ML")*DJ$6)-(COUNTIF(DO119,"ML")*DO$6))))</f>
        <v/>
      </c>
      <c r="DY119" s="154" t="str">
        <f>IF(OR($B119="NSO",$B119=0),"",IF(AND(DH119="",DI119="",DM119=""),"",IF(AND('Master Sheet'!$D$19="YES",'Marks Entry'!$BA$1=1),100,IF(AND(DJ119="",DO119=""),SUM(($DQ$7+$DR$7)-(DU119+DV119)),SUM(($DQ$6+$DR$6)-(DU119+DV119))))))</f>
        <v/>
      </c>
      <c r="DZ119" s="153" t="str">
        <f t="shared" si="305"/>
        <v/>
      </c>
      <c r="EA119" s="154" t="str">
        <f t="shared" si="306"/>
        <v/>
      </c>
      <c r="EB119" s="153" t="str">
        <f t="shared" si="307"/>
        <v/>
      </c>
      <c r="EC119" s="584" t="str">
        <f>IF('Marks Entry'!BB119="","",'Marks Entry'!BB119)</f>
        <v/>
      </c>
      <c r="ED119" s="584" t="str">
        <f>IF('Marks Entry'!BC119="","",'Marks Entry'!BC119)</f>
        <v/>
      </c>
      <c r="EE119" s="584" t="str">
        <f>IF('Marks Entry'!BD119="","",'Marks Entry'!BD119)</f>
        <v/>
      </c>
      <c r="EF119" s="590" t="str">
        <f t="shared" si="308"/>
        <v/>
      </c>
      <c r="EG119" s="595">
        <f t="shared" si="309"/>
        <v>0</v>
      </c>
      <c r="EH119" s="595">
        <f t="shared" si="310"/>
        <v>0</v>
      </c>
      <c r="EI119" s="193" t="str">
        <f t="shared" si="311"/>
        <v/>
      </c>
      <c r="EJ119" s="595" t="str">
        <f t="shared" si="312"/>
        <v/>
      </c>
      <c r="EK119" s="595" t="str">
        <f t="shared" si="313"/>
        <v/>
      </c>
      <c r="EL119" s="194" t="str">
        <f t="shared" si="314"/>
        <v/>
      </c>
      <c r="EM119" s="194" t="str">
        <f t="shared" si="315"/>
        <v/>
      </c>
      <c r="EN119" s="194" t="str">
        <f t="shared" si="316"/>
        <v/>
      </c>
      <c r="EO119" s="194" t="str">
        <f t="shared" si="317"/>
        <v/>
      </c>
      <c r="EP119" s="194" t="str">
        <f t="shared" si="318"/>
        <v/>
      </c>
      <c r="EQ119" s="194" t="str">
        <f t="shared" si="319"/>
        <v/>
      </c>
      <c r="ER119" s="195">
        <f t="shared" si="320"/>
        <v>0</v>
      </c>
      <c r="ES119" s="195">
        <f t="shared" si="321"/>
        <v>0</v>
      </c>
      <c r="ET119" s="195">
        <f t="shared" si="322"/>
        <v>0</v>
      </c>
      <c r="EU119" s="195">
        <f t="shared" si="323"/>
        <v>0</v>
      </c>
      <c r="EV119" s="195">
        <f t="shared" si="324"/>
        <v>0</v>
      </c>
      <c r="EW119" s="195" t="str">
        <f t="shared" si="325"/>
        <v/>
      </c>
      <c r="EX119" s="196" t="str">
        <f t="shared" si="326"/>
        <v/>
      </c>
      <c r="EY119" s="197" t="str">
        <f>IF('Marks Entry'!BE119="","",'Marks Entry'!BE119)</f>
        <v/>
      </c>
      <c r="EZ119" s="197" t="str">
        <f>IF('Marks Entry'!BF119="","",'Marks Entry'!BF119)</f>
        <v/>
      </c>
      <c r="FA119" s="197" t="str">
        <f>IF('Marks Entry'!BG119="","",'Marks Entry'!BG119)</f>
        <v/>
      </c>
      <c r="FB119" s="596" t="str">
        <f t="shared" si="327"/>
        <v/>
      </c>
      <c r="FC119" s="197" t="str">
        <f>IF('Marks Entry'!BH119="","",'Marks Entry'!BH119)</f>
        <v/>
      </c>
      <c r="FD119" s="197" t="str">
        <f>IF('Marks Entry'!BI119="","",'Marks Entry'!BI119)</f>
        <v/>
      </c>
      <c r="FE119" s="198" t="str">
        <f t="shared" si="328"/>
        <v/>
      </c>
      <c r="FF119" s="199" t="str">
        <f t="shared" si="329"/>
        <v/>
      </c>
      <c r="FG119" s="200" t="str">
        <f>IF(AND(E119=""),"",IF('Student DATA Entry'!L115="","",'Student DATA Entry'!L115))</f>
        <v/>
      </c>
      <c r="FH119" s="201" t="str">
        <f>IF(AND(E119=""),"",IF('Student DATA Entry'!M115="","",'Student DATA Entry'!M115))</f>
        <v/>
      </c>
      <c r="FI119" s="202" t="str">
        <f t="shared" si="330"/>
        <v/>
      </c>
      <c r="FJ119" s="189" t="str">
        <f t="shared" si="331"/>
        <v/>
      </c>
      <c r="FK119" s="189" t="str">
        <f t="shared" si="332"/>
        <v/>
      </c>
      <c r="FL119" s="203" t="str">
        <f t="shared" si="360"/>
        <v/>
      </c>
      <c r="FM119" s="189" t="str">
        <f t="shared" si="333"/>
        <v/>
      </c>
      <c r="FN119" s="204" t="str">
        <f t="shared" si="334"/>
        <v/>
      </c>
      <c r="FO119" s="203" t="str">
        <f t="shared" si="361"/>
        <v/>
      </c>
      <c r="FP119" s="205" t="str">
        <f t="shared" si="335"/>
        <v/>
      </c>
      <c r="FQ119" s="189" t="str">
        <f t="shared" si="362"/>
        <v/>
      </c>
      <c r="FR119" s="189" t="str">
        <f t="shared" si="363"/>
        <v/>
      </c>
      <c r="FS119" s="189" t="str">
        <f t="shared" si="364"/>
        <v/>
      </c>
      <c r="FT119" s="189" t="str">
        <f t="shared" si="365"/>
        <v/>
      </c>
      <c r="FU119" s="189" t="str">
        <f t="shared" si="336"/>
        <v/>
      </c>
      <c r="FV119" s="206" t="str">
        <f t="shared" si="366"/>
        <v/>
      </c>
      <c r="FW119" s="205" t="str">
        <f t="shared" si="337"/>
        <v/>
      </c>
      <c r="FX119" s="189" t="str">
        <f t="shared" si="367"/>
        <v/>
      </c>
      <c r="FY119" s="189" t="str">
        <f t="shared" si="368"/>
        <v/>
      </c>
      <c r="FZ119" s="189" t="str">
        <f t="shared" si="369"/>
        <v/>
      </c>
      <c r="GA119" s="189" t="str">
        <f t="shared" si="370"/>
        <v/>
      </c>
      <c r="GB119" s="189" t="str">
        <f t="shared" si="338"/>
        <v/>
      </c>
      <c r="GC119" s="206" t="str">
        <f t="shared" si="371"/>
        <v/>
      </c>
      <c r="GD119" s="205" t="str">
        <f t="shared" si="339"/>
        <v/>
      </c>
      <c r="GE119" s="189" t="str">
        <f t="shared" si="372"/>
        <v/>
      </c>
      <c r="GF119" s="189" t="str">
        <f t="shared" si="373"/>
        <v/>
      </c>
      <c r="GG119" s="189" t="str">
        <f t="shared" si="374"/>
        <v/>
      </c>
      <c r="GH119" s="189" t="str">
        <f t="shared" si="375"/>
        <v/>
      </c>
      <c r="GI119" s="189" t="str">
        <f t="shared" si="340"/>
        <v/>
      </c>
      <c r="GJ119" s="206" t="str">
        <f t="shared" si="376"/>
        <v/>
      </c>
      <c r="GK119" s="205" t="str">
        <f t="shared" si="341"/>
        <v/>
      </c>
      <c r="GL119" s="189" t="str">
        <f t="shared" si="377"/>
        <v/>
      </c>
      <c r="GM119" s="189" t="str">
        <f t="shared" si="378"/>
        <v/>
      </c>
      <c r="GN119" s="189" t="str">
        <f t="shared" si="379"/>
        <v/>
      </c>
      <c r="GO119" s="189" t="str">
        <f t="shared" si="380"/>
        <v/>
      </c>
      <c r="GP119" s="189" t="str">
        <f t="shared" si="342"/>
        <v/>
      </c>
      <c r="GQ119" s="206" t="str">
        <f t="shared" si="381"/>
        <v/>
      </c>
      <c r="GR119" s="189" t="str">
        <f t="shared" si="343"/>
        <v/>
      </c>
      <c r="GS119" s="189" t="str">
        <f t="shared" si="344"/>
        <v/>
      </c>
      <c r="GT119" s="207" t="str">
        <f t="shared" si="345"/>
        <v xml:space="preserve">    </v>
      </c>
      <c r="GU119" s="207" t="str">
        <f t="shared" si="346"/>
        <v xml:space="preserve">    </v>
      </c>
      <c r="GV119" s="207" t="str">
        <f t="shared" si="347"/>
        <v xml:space="preserve">    </v>
      </c>
      <c r="GW119" s="207" t="str">
        <f t="shared" si="348"/>
        <v xml:space="preserve">       </v>
      </c>
      <c r="GX119" s="598" t="str">
        <f t="shared" si="349"/>
        <v xml:space="preserve">     </v>
      </c>
      <c r="GY119" s="208" t="str">
        <f t="shared" si="382"/>
        <v/>
      </c>
      <c r="GZ119" s="606" t="str">
        <f>IF(AND(Q119="",AE119="",AZ119="",BW119="",CT119=""),"",IF(AND('Master Sheet'!$D$19="YES",'Marks Entry'!$BA$1=1),SUM(Q119,AE119,AZ119,BW119,DT119),SUM(Q119,AE119,AZ119,BW119,CT119)))</f>
        <v/>
      </c>
      <c r="HA119" s="209" t="str">
        <f>IF(GZ119="","",IF(AND('Master Sheet'!$D$19="YES",'Marks Entry'!$BA$1=1),GZ119/((900)-DC119)*100,GZ119/((1000)-DC119)*100))</f>
        <v/>
      </c>
      <c r="HB119" s="611" t="str">
        <f t="shared" si="350"/>
        <v/>
      </c>
      <c r="HC119" s="609" t="str">
        <f t="shared" si="351"/>
        <v/>
      </c>
      <c r="HD119" s="610" t="str">
        <f t="shared" si="352"/>
        <v/>
      </c>
      <c r="HE119" s="210" t="str">
        <f>IFERROR(IF(OR(GY119="SUPPLEMENTARY",GY119="RE-EXAM"),'Supp. Result Entry'!AS118,""),"")</f>
        <v/>
      </c>
      <c r="HF119" s="613" t="str">
        <f t="shared" si="353"/>
        <v/>
      </c>
      <c r="HG119" s="598" t="str">
        <f t="shared" si="354"/>
        <v/>
      </c>
      <c r="HH119" s="598" t="str">
        <f>IF(AND(HE119="",HF119="",HG119=""),"",IF(OR(GY119="SUPPLEMENTARY",GY119="RE-EXAM"),'Supp. Result Entry'!AS118,GY119))</f>
        <v/>
      </c>
      <c r="HI119" s="180"/>
      <c r="HY119" s="212" t="str">
        <f>IF('Supp. Result Entry'!U118="","",'Supp. Result Entry'!$U$6)</f>
        <v/>
      </c>
      <c r="HZ119" s="213" t="str">
        <f>IF('Supp. Result Entry'!X118="","",'Supp. Result Entry'!$X$6)</f>
        <v/>
      </c>
      <c r="IA119" s="213" t="str">
        <f>IF('Supp. Result Entry'!AA118="","",'Supp. Result Entry'!$AA$6)</f>
        <v/>
      </c>
      <c r="IB119" s="213" t="str">
        <f>IF('Supp. Result Entry'!AD118="","",'Supp. Result Entry'!$AD$6)</f>
        <v/>
      </c>
      <c r="IC119" s="213" t="str">
        <f>IF('Supp. Result Entry'!AG118="","",'Supp. Result Entry'!$AG$6)</f>
        <v/>
      </c>
      <c r="ID119" s="213" t="str">
        <f>IF('Supp. Result Entry'!AJ118="","",'Supp. Result Entry'!$AJ$6)</f>
        <v/>
      </c>
      <c r="IE119" s="213" t="str">
        <f>IF('Supp. Result Entry'!V118="","",'Supp. Result Entry'!V118)</f>
        <v/>
      </c>
      <c r="IF119" s="213" t="str">
        <f>IF('Supp. Result Entry'!Y118="","",'Supp. Result Entry'!Y118)</f>
        <v/>
      </c>
      <c r="IG119" s="213" t="str">
        <f>IF('Supp. Result Entry'!AB118="","",'Supp. Result Entry'!AB118)</f>
        <v/>
      </c>
      <c r="IH119" s="213" t="str">
        <f>IF('Supp. Result Entry'!AE118="","",'Supp. Result Entry'!AE118)</f>
        <v/>
      </c>
      <c r="II119" s="213" t="str">
        <f>IF('Supp. Result Entry'!AH118="","",'Supp. Result Entry'!AH118)</f>
        <v/>
      </c>
      <c r="IJ119" s="213" t="str">
        <f>IF('Supp. Result Entry'!AK118="","",'Supp. Result Entry'!AK118)</f>
        <v/>
      </c>
      <c r="IK119" s="213" t="str">
        <f>IF('Supp. Result Entry'!W118="","",'Supp. Result Entry'!W118)</f>
        <v/>
      </c>
      <c r="IL119" s="213" t="str">
        <f>IF('Supp. Result Entry'!Z118="","",'Supp. Result Entry'!Z118)</f>
        <v/>
      </c>
      <c r="IM119" s="213" t="str">
        <f>IF('Supp. Result Entry'!AC118="","",'Supp. Result Entry'!AC118)</f>
        <v/>
      </c>
      <c r="IN119" s="213" t="str">
        <f>IF('Supp. Result Entry'!AF118="","",'Supp. Result Entry'!AF118)</f>
        <v/>
      </c>
      <c r="IO119" s="213" t="str">
        <f>IF('Supp. Result Entry'!AI118="","",'Supp. Result Entry'!AI118)</f>
        <v/>
      </c>
      <c r="IP119" s="213" t="str">
        <f>IF('Supp. Result Entry'!AL118="","",'Supp. Result Entry'!AL118)</f>
        <v/>
      </c>
      <c r="IQ119" s="213">
        <f>COUNTIF('Supp. Result Entry'!K118:Q118,"S")</f>
        <v>0</v>
      </c>
      <c r="IR119" s="213">
        <f t="shared" si="355"/>
        <v>0</v>
      </c>
      <c r="IS119" s="213">
        <f t="shared" si="356"/>
        <v>0</v>
      </c>
      <c r="IT119" s="213" t="str">
        <f t="shared" si="224"/>
        <v/>
      </c>
      <c r="IU119" s="213" t="str">
        <f t="shared" si="225"/>
        <v/>
      </c>
      <c r="IV119" s="213" t="str">
        <f t="shared" si="226"/>
        <v/>
      </c>
      <c r="IW119" s="213" t="str">
        <f t="shared" si="227"/>
        <v/>
      </c>
      <c r="IX119" s="213" t="str">
        <f t="shared" si="228"/>
        <v/>
      </c>
      <c r="IY119" s="213" t="str">
        <f t="shared" si="357"/>
        <v/>
      </c>
      <c r="IZ119" s="213" t="str">
        <f t="shared" si="358"/>
        <v/>
      </c>
      <c r="JA119" s="213" t="str">
        <f t="shared" si="229"/>
        <v/>
      </c>
      <c r="JB119" s="211" t="str">
        <f t="shared" si="359"/>
        <v/>
      </c>
    </row>
    <row r="120" spans="1:262" s="211" customFormat="1" ht="21" customHeight="1">
      <c r="A120" s="184">
        <v>113</v>
      </c>
      <c r="B120" s="185" t="str">
        <f>IF('Marks Entry'!B120="","",'Marks Entry'!B120)</f>
        <v/>
      </c>
      <c r="C120" s="186" t="str">
        <f>IF('Marks Entry'!D120="","",'Marks Entry'!D120)</f>
        <v/>
      </c>
      <c r="D120" s="187" t="str">
        <f>IF('Marks Entry'!E120="","",'Marks Entry'!E120)</f>
        <v/>
      </c>
      <c r="E120" s="188" t="str">
        <f>IF('Marks Entry'!F120="","",'Marks Entry'!F120)</f>
        <v/>
      </c>
      <c r="F120" s="188" t="str">
        <f>IF('Marks Entry'!G120="","",'Marks Entry'!G120)</f>
        <v/>
      </c>
      <c r="G120" s="188" t="str">
        <f>IF('Marks Entry'!H120="","",'Marks Entry'!H120)</f>
        <v/>
      </c>
      <c r="H120" s="189" t="str">
        <f>IF('Marks Entry'!I120="","",'Marks Entry'!I120)</f>
        <v/>
      </c>
      <c r="I120" s="190" t="str">
        <f>IF('Marks Entry'!J120="","",'Marks Entry'!J120)</f>
        <v/>
      </c>
      <c r="J120" s="545" t="str">
        <f>IF('Marks Entry'!K120="","",'Marks Entry'!K120)</f>
        <v/>
      </c>
      <c r="K120" s="545" t="str">
        <f>IF('Marks Entry'!L120="","",'Marks Entry'!L120)</f>
        <v/>
      </c>
      <c r="L120" s="545" t="str">
        <f>IF('Marks Entry'!M120="","",'Marks Entry'!M120)</f>
        <v/>
      </c>
      <c r="M120" s="546" t="str">
        <f t="shared" si="230"/>
        <v/>
      </c>
      <c r="N120" s="545" t="str">
        <f>IF('Marks Entry'!N120="","",'Marks Entry'!N120)</f>
        <v/>
      </c>
      <c r="O120" s="546" t="str">
        <f t="shared" si="231"/>
        <v/>
      </c>
      <c r="P120" s="545" t="str">
        <f>IF('Marks Entry'!O120="","",'Marks Entry'!O120)</f>
        <v/>
      </c>
      <c r="Q120" s="547" t="str">
        <f t="shared" si="232"/>
        <v/>
      </c>
      <c r="R120" s="153">
        <f t="shared" si="233"/>
        <v>0</v>
      </c>
      <c r="S120" s="153">
        <f t="shared" si="234"/>
        <v>0</v>
      </c>
      <c r="T120" s="154" t="str">
        <f t="shared" si="235"/>
        <v/>
      </c>
      <c r="U120" s="153" t="str">
        <f t="shared" si="236"/>
        <v/>
      </c>
      <c r="V120" s="153" t="str">
        <f t="shared" si="237"/>
        <v/>
      </c>
      <c r="W120" s="153" t="str">
        <f t="shared" si="238"/>
        <v/>
      </c>
      <c r="X120" s="545" t="str">
        <f>IF('Marks Entry'!P120="","",'Marks Entry'!P120)</f>
        <v/>
      </c>
      <c r="Y120" s="545" t="str">
        <f>IF('Marks Entry'!Q120="","",'Marks Entry'!Q120)</f>
        <v/>
      </c>
      <c r="Z120" s="545" t="str">
        <f>IF('Marks Entry'!R120="","",'Marks Entry'!R120)</f>
        <v/>
      </c>
      <c r="AA120" s="546" t="str">
        <f t="shared" si="239"/>
        <v/>
      </c>
      <c r="AB120" s="545" t="str">
        <f>IF('Marks Entry'!S120="","",'Marks Entry'!S120)</f>
        <v/>
      </c>
      <c r="AC120" s="546" t="str">
        <f t="shared" si="240"/>
        <v/>
      </c>
      <c r="AD120" s="545" t="str">
        <f>IF('Marks Entry'!T120="","",'Marks Entry'!T120)</f>
        <v/>
      </c>
      <c r="AE120" s="547" t="str">
        <f t="shared" si="241"/>
        <v/>
      </c>
      <c r="AF120" s="153">
        <f t="shared" si="242"/>
        <v>0</v>
      </c>
      <c r="AG120" s="153">
        <f t="shared" si="243"/>
        <v>0</v>
      </c>
      <c r="AH120" s="154" t="str">
        <f t="shared" si="244"/>
        <v/>
      </c>
      <c r="AI120" s="153" t="str">
        <f t="shared" si="245"/>
        <v/>
      </c>
      <c r="AJ120" s="153" t="str">
        <f t="shared" si="246"/>
        <v/>
      </c>
      <c r="AK120" s="153" t="str">
        <f t="shared" si="247"/>
        <v/>
      </c>
      <c r="AL120" s="573" t="str">
        <f>IF('Marks Entry'!U120="","",'Marks Entry'!U120)</f>
        <v/>
      </c>
      <c r="AM120" s="573" t="str">
        <f>IF('Marks Entry'!V120="","",'Marks Entry'!V120)</f>
        <v/>
      </c>
      <c r="AN120" s="573" t="str">
        <f>IF('Marks Entry'!W120="","",'Marks Entry'!W120)</f>
        <v/>
      </c>
      <c r="AO120" s="573" t="str">
        <f>IF('Marks Entry'!X120="","",'Marks Entry'!X120)</f>
        <v/>
      </c>
      <c r="AP120" s="572" t="str">
        <f t="shared" si="248"/>
        <v/>
      </c>
      <c r="AQ120" s="573" t="str">
        <f>IF('Marks Entry'!Y120="","",'Marks Entry'!Y120)</f>
        <v/>
      </c>
      <c r="AR120" s="573" t="str">
        <f>IF('Marks Entry'!Z120="","",'Marks Entry'!Z120)</f>
        <v/>
      </c>
      <c r="AS120" s="572" t="str">
        <f t="shared" si="249"/>
        <v/>
      </c>
      <c r="AT120" s="572" t="str">
        <f t="shared" si="250"/>
        <v/>
      </c>
      <c r="AU120" s="573" t="str">
        <f>IF('Marks Entry'!AA120="","",'Marks Entry'!AA120)</f>
        <v/>
      </c>
      <c r="AV120" s="573" t="str">
        <f>IF('Marks Entry'!AB120="","",'Marks Entry'!AB120)</f>
        <v/>
      </c>
      <c r="AW120" s="572" t="str">
        <f t="shared" si="251"/>
        <v/>
      </c>
      <c r="AX120" s="157" t="str">
        <f t="shared" si="252"/>
        <v/>
      </c>
      <c r="AY120" s="157" t="str">
        <f t="shared" si="253"/>
        <v/>
      </c>
      <c r="AZ120" s="192" t="str">
        <f t="shared" si="254"/>
        <v/>
      </c>
      <c r="BA120" s="153">
        <f t="shared" si="255"/>
        <v>0</v>
      </c>
      <c r="BB120" s="154">
        <f t="shared" si="256"/>
        <v>0</v>
      </c>
      <c r="BC120" s="154" t="str">
        <f t="shared" si="257"/>
        <v/>
      </c>
      <c r="BD120" s="154" t="str">
        <f t="shared" si="258"/>
        <v/>
      </c>
      <c r="BE120" s="154" t="str">
        <f t="shared" si="259"/>
        <v/>
      </c>
      <c r="BF120" s="153" t="str">
        <f t="shared" si="260"/>
        <v/>
      </c>
      <c r="BG120" s="154" t="str">
        <f t="shared" si="261"/>
        <v/>
      </c>
      <c r="BH120" s="153" t="str">
        <f t="shared" si="262"/>
        <v/>
      </c>
      <c r="BI120" s="580" t="str">
        <f>IF('Marks Entry'!AC120="","",'Marks Entry'!AC120)</f>
        <v/>
      </c>
      <c r="BJ120" s="580" t="str">
        <f>IF('Marks Entry'!AD120="","",'Marks Entry'!AD120)</f>
        <v/>
      </c>
      <c r="BK120" s="580" t="str">
        <f>IF('Marks Entry'!AE120="","",'Marks Entry'!AE120)</f>
        <v/>
      </c>
      <c r="BL120" s="580" t="str">
        <f>IF('Marks Entry'!AF120="","",'Marks Entry'!AF120)</f>
        <v/>
      </c>
      <c r="BM120" s="581" t="str">
        <f t="shared" si="263"/>
        <v/>
      </c>
      <c r="BN120" s="580" t="str">
        <f>IF('Marks Entry'!AG120="","",'Marks Entry'!AG120)</f>
        <v/>
      </c>
      <c r="BO120" s="580" t="str">
        <f>IF('Marks Entry'!AH120="","",'Marks Entry'!AH120)</f>
        <v/>
      </c>
      <c r="BP120" s="581" t="str">
        <f t="shared" si="264"/>
        <v/>
      </c>
      <c r="BQ120" s="581" t="str">
        <f t="shared" si="265"/>
        <v/>
      </c>
      <c r="BR120" s="580" t="str">
        <f>IF('Marks Entry'!AI120="","",'Marks Entry'!AI120)</f>
        <v/>
      </c>
      <c r="BS120" s="580" t="str">
        <f>IF('Marks Entry'!AJ120="","",'Marks Entry'!AJ120)</f>
        <v/>
      </c>
      <c r="BT120" s="581" t="str">
        <f t="shared" si="266"/>
        <v/>
      </c>
      <c r="BU120" s="157" t="str">
        <f t="shared" si="267"/>
        <v/>
      </c>
      <c r="BV120" s="157" t="str">
        <f t="shared" si="268"/>
        <v/>
      </c>
      <c r="BW120" s="192" t="str">
        <f t="shared" si="269"/>
        <v/>
      </c>
      <c r="BX120" s="153">
        <f t="shared" si="270"/>
        <v>0</v>
      </c>
      <c r="BY120" s="154">
        <f t="shared" si="271"/>
        <v>0</v>
      </c>
      <c r="BZ120" s="154" t="str">
        <f t="shared" si="272"/>
        <v/>
      </c>
      <c r="CA120" s="154" t="str">
        <f t="shared" si="273"/>
        <v/>
      </c>
      <c r="CB120" s="154" t="str">
        <f t="shared" si="274"/>
        <v/>
      </c>
      <c r="CC120" s="153" t="str">
        <f t="shared" si="275"/>
        <v/>
      </c>
      <c r="CD120" s="154" t="str">
        <f t="shared" si="276"/>
        <v/>
      </c>
      <c r="CE120" s="153" t="str">
        <f t="shared" si="277"/>
        <v/>
      </c>
      <c r="CF120" s="580" t="str">
        <f>IF('Marks Entry'!AK120="","",'Marks Entry'!AK120)</f>
        <v/>
      </c>
      <c r="CG120" s="580" t="str">
        <f>IF('Marks Entry'!AL120="","",'Marks Entry'!AL120)</f>
        <v/>
      </c>
      <c r="CH120" s="580" t="str">
        <f>IF('Marks Entry'!AM120="","",'Marks Entry'!AM120)</f>
        <v/>
      </c>
      <c r="CI120" s="580" t="str">
        <f>IF('Marks Entry'!AN120="","",'Marks Entry'!AN120)</f>
        <v/>
      </c>
      <c r="CJ120" s="581" t="str">
        <f t="shared" si="278"/>
        <v/>
      </c>
      <c r="CK120" s="580" t="str">
        <f>IF('Marks Entry'!AO120="","",'Marks Entry'!AO120)</f>
        <v/>
      </c>
      <c r="CL120" s="580" t="str">
        <f>IF('Marks Entry'!AP120="","",'Marks Entry'!AP120)</f>
        <v/>
      </c>
      <c r="CM120" s="581" t="str">
        <f t="shared" si="279"/>
        <v/>
      </c>
      <c r="CN120" s="581" t="str">
        <f t="shared" si="280"/>
        <v/>
      </c>
      <c r="CO120" s="580" t="str">
        <f>IF('Marks Entry'!AQ120="","",'Marks Entry'!AQ120)</f>
        <v/>
      </c>
      <c r="CP120" s="580" t="str">
        <f>IF('Marks Entry'!AR120="","",'Marks Entry'!AR120)</f>
        <v/>
      </c>
      <c r="CQ120" s="581" t="str">
        <f t="shared" si="281"/>
        <v/>
      </c>
      <c r="CR120" s="157" t="str">
        <f t="shared" si="282"/>
        <v/>
      </c>
      <c r="CS120" s="157" t="str">
        <f t="shared" si="283"/>
        <v/>
      </c>
      <c r="CT120" s="192" t="str">
        <f t="shared" si="284"/>
        <v/>
      </c>
      <c r="CU120" s="153">
        <f t="shared" si="285"/>
        <v>0</v>
      </c>
      <c r="CV120" s="154">
        <f t="shared" si="286"/>
        <v>0</v>
      </c>
      <c r="CW120" s="154" t="str">
        <f t="shared" si="287"/>
        <v/>
      </c>
      <c r="CX120" s="154" t="str">
        <f t="shared" si="288"/>
        <v/>
      </c>
      <c r="CY120" s="154" t="str">
        <f t="shared" si="289"/>
        <v/>
      </c>
      <c r="CZ120" s="153" t="str">
        <f t="shared" si="290"/>
        <v/>
      </c>
      <c r="DA120" s="154" t="str">
        <f t="shared" si="291"/>
        <v/>
      </c>
      <c r="DB120" s="153" t="str">
        <f t="shared" si="292"/>
        <v/>
      </c>
      <c r="DC120" s="154">
        <f t="shared" si="293"/>
        <v>0</v>
      </c>
      <c r="DD120" s="826" t="str">
        <f>IF('Marks Entry'!AS120="","",IF(OR('Master Sheet'!$D$19="YES",'Marks Entry'!$BA$1=1),'Marks Entry'!AS120,""))</f>
        <v/>
      </c>
      <c r="DE120" s="826" t="str">
        <f>IF('Marks Entry'!AT120="","",IF(OR('Master Sheet'!$D$19="YES",'Marks Entry'!$BA$1=1),'Marks Entry'!AT120,""))</f>
        <v/>
      </c>
      <c r="DF120" s="826" t="str">
        <f>IF('Marks Entry'!AU120="","",IF(OR('Master Sheet'!$D$19="YES",'Marks Entry'!$BA$1=1),'Marks Entry'!AU120,""))</f>
        <v/>
      </c>
      <c r="DG120" s="826" t="str">
        <f>IF('Marks Entry'!AV120="","",IF(OR('Master Sheet'!$D$19="YES",'Marks Entry'!$BA$1=1),'Marks Entry'!AV120,""))</f>
        <v/>
      </c>
      <c r="DH120" s="827" t="str">
        <f t="shared" si="294"/>
        <v/>
      </c>
      <c r="DI120" s="826" t="str">
        <f>IF('Marks Entry'!AW120="","",IF(OR('Master Sheet'!$D$19="YES",'Marks Entry'!$BA$1=1),'Marks Entry'!AW120,""))</f>
        <v/>
      </c>
      <c r="DJ120" s="826" t="str">
        <f>IF('Marks Entry'!AX120="","",IF(OR('Master Sheet'!$D$19="YES",'Marks Entry'!$BA$1=1),'Marks Entry'!AX120,""))</f>
        <v/>
      </c>
      <c r="DK120" s="827" t="str">
        <f t="shared" si="295"/>
        <v/>
      </c>
      <c r="DL120" s="827" t="str">
        <f t="shared" si="296"/>
        <v/>
      </c>
      <c r="DM120" s="826" t="str">
        <f>IF('Marks Entry'!AY120="","",IF(OR('Master Sheet'!$D$19="YES",'Marks Entry'!$BA$1=1),'Marks Entry'!AY120,""))</f>
        <v/>
      </c>
      <c r="DN120" s="826" t="str">
        <f>IF('Marks Entry'!AZ120="","",IF(OR('Master Sheet'!$D$19="YES",'Marks Entry'!$BA$1=1),'Marks Entry'!AZ120,""))</f>
        <v/>
      </c>
      <c r="DO120" s="826" t="str">
        <f>IF('Marks Entry'!BA120="","",IF(OR('Master Sheet'!$D$19="YES",'Marks Entry'!$BA$1=1),'Marks Entry'!BA120,""))</f>
        <v/>
      </c>
      <c r="DP120" s="827" t="str">
        <f t="shared" si="297"/>
        <v/>
      </c>
      <c r="DQ120" s="157" t="str">
        <f t="shared" si="298"/>
        <v/>
      </c>
      <c r="DR120" s="157" t="str">
        <f t="shared" si="299"/>
        <v/>
      </c>
      <c r="DS120" s="157" t="str">
        <f t="shared" si="300"/>
        <v/>
      </c>
      <c r="DT120" s="192" t="str">
        <f t="shared" si="301"/>
        <v/>
      </c>
      <c r="DU120" s="153">
        <f t="shared" si="302"/>
        <v>0</v>
      </c>
      <c r="DV120" s="154" t="e">
        <f t="shared" si="303"/>
        <v>#VALUE!</v>
      </c>
      <c r="DW120" s="154" t="str">
        <f t="shared" si="304"/>
        <v/>
      </c>
      <c r="DX120" s="154" t="str">
        <f>IF(OR($B120="NSO",$B120=0,DS120=""),"",IF(AND(DJ120="",DO120=""),"",IF('Master Sheet'!$D$19="YES",$DO$6-COUNTIF(DO120,"ML")*DO$6,DS$6-(COUNTIF(DJ120,"ML")*DJ$6)-(COUNTIF(DO120,"ML")*DO$6))))</f>
        <v/>
      </c>
      <c r="DY120" s="154" t="str">
        <f>IF(OR($B120="NSO",$B120=0),"",IF(AND(DH120="",DI120="",DM120=""),"",IF(AND('Master Sheet'!$D$19="YES",'Marks Entry'!$BA$1=1),100,IF(AND(DJ120="",DO120=""),SUM(($DQ$7+$DR$7)-(DU120+DV120)),SUM(($DQ$6+$DR$6)-(DU120+DV120))))))</f>
        <v/>
      </c>
      <c r="DZ120" s="153" t="str">
        <f t="shared" si="305"/>
        <v/>
      </c>
      <c r="EA120" s="154" t="str">
        <f t="shared" si="306"/>
        <v/>
      </c>
      <c r="EB120" s="153" t="str">
        <f t="shared" si="307"/>
        <v/>
      </c>
      <c r="EC120" s="584" t="str">
        <f>IF('Marks Entry'!BB120="","",'Marks Entry'!BB120)</f>
        <v/>
      </c>
      <c r="ED120" s="584" t="str">
        <f>IF('Marks Entry'!BC120="","",'Marks Entry'!BC120)</f>
        <v/>
      </c>
      <c r="EE120" s="584" t="str">
        <f>IF('Marks Entry'!BD120="","",'Marks Entry'!BD120)</f>
        <v/>
      </c>
      <c r="EF120" s="590" t="str">
        <f t="shared" si="308"/>
        <v/>
      </c>
      <c r="EG120" s="595">
        <f t="shared" si="309"/>
        <v>0</v>
      </c>
      <c r="EH120" s="595">
        <f t="shared" si="310"/>
        <v>0</v>
      </c>
      <c r="EI120" s="193" t="str">
        <f t="shared" si="311"/>
        <v/>
      </c>
      <c r="EJ120" s="595" t="str">
        <f t="shared" si="312"/>
        <v/>
      </c>
      <c r="EK120" s="595" t="str">
        <f t="shared" si="313"/>
        <v/>
      </c>
      <c r="EL120" s="194" t="str">
        <f t="shared" si="314"/>
        <v/>
      </c>
      <c r="EM120" s="194" t="str">
        <f t="shared" si="315"/>
        <v/>
      </c>
      <c r="EN120" s="194" t="str">
        <f t="shared" si="316"/>
        <v/>
      </c>
      <c r="EO120" s="194" t="str">
        <f t="shared" si="317"/>
        <v/>
      </c>
      <c r="EP120" s="194" t="str">
        <f t="shared" si="318"/>
        <v/>
      </c>
      <c r="EQ120" s="194" t="str">
        <f t="shared" si="319"/>
        <v/>
      </c>
      <c r="ER120" s="195">
        <f t="shared" si="320"/>
        <v>0</v>
      </c>
      <c r="ES120" s="195">
        <f t="shared" si="321"/>
        <v>0</v>
      </c>
      <c r="ET120" s="195">
        <f t="shared" si="322"/>
        <v>0</v>
      </c>
      <c r="EU120" s="195">
        <f t="shared" si="323"/>
        <v>0</v>
      </c>
      <c r="EV120" s="195">
        <f t="shared" si="324"/>
        <v>0</v>
      </c>
      <c r="EW120" s="195" t="str">
        <f t="shared" si="325"/>
        <v/>
      </c>
      <c r="EX120" s="196" t="str">
        <f t="shared" si="326"/>
        <v/>
      </c>
      <c r="EY120" s="197" t="str">
        <f>IF('Marks Entry'!BE120="","",'Marks Entry'!BE120)</f>
        <v/>
      </c>
      <c r="EZ120" s="197" t="str">
        <f>IF('Marks Entry'!BF120="","",'Marks Entry'!BF120)</f>
        <v/>
      </c>
      <c r="FA120" s="197" t="str">
        <f>IF('Marks Entry'!BG120="","",'Marks Entry'!BG120)</f>
        <v/>
      </c>
      <c r="FB120" s="596" t="str">
        <f t="shared" si="327"/>
        <v/>
      </c>
      <c r="FC120" s="197" t="str">
        <f>IF('Marks Entry'!BH120="","",'Marks Entry'!BH120)</f>
        <v/>
      </c>
      <c r="FD120" s="197" t="str">
        <f>IF('Marks Entry'!BI120="","",'Marks Entry'!BI120)</f>
        <v/>
      </c>
      <c r="FE120" s="198" t="str">
        <f t="shared" si="328"/>
        <v/>
      </c>
      <c r="FF120" s="199" t="str">
        <f t="shared" si="329"/>
        <v/>
      </c>
      <c r="FG120" s="200" t="str">
        <f>IF(AND(E120=""),"",IF('Student DATA Entry'!L116="","",'Student DATA Entry'!L116))</f>
        <v/>
      </c>
      <c r="FH120" s="201" t="str">
        <f>IF(AND(E120=""),"",IF('Student DATA Entry'!M116="","",'Student DATA Entry'!M116))</f>
        <v/>
      </c>
      <c r="FI120" s="202" t="str">
        <f t="shared" si="330"/>
        <v/>
      </c>
      <c r="FJ120" s="189" t="str">
        <f t="shared" si="331"/>
        <v/>
      </c>
      <c r="FK120" s="189" t="str">
        <f t="shared" si="332"/>
        <v/>
      </c>
      <c r="FL120" s="203" t="str">
        <f t="shared" si="360"/>
        <v/>
      </c>
      <c r="FM120" s="189" t="str">
        <f t="shared" si="333"/>
        <v/>
      </c>
      <c r="FN120" s="204" t="str">
        <f t="shared" si="334"/>
        <v/>
      </c>
      <c r="FO120" s="203" t="str">
        <f t="shared" si="361"/>
        <v/>
      </c>
      <c r="FP120" s="205" t="str">
        <f t="shared" si="335"/>
        <v/>
      </c>
      <c r="FQ120" s="189" t="str">
        <f t="shared" si="362"/>
        <v/>
      </c>
      <c r="FR120" s="189" t="str">
        <f t="shared" si="363"/>
        <v/>
      </c>
      <c r="FS120" s="189" t="str">
        <f t="shared" si="364"/>
        <v/>
      </c>
      <c r="FT120" s="189" t="str">
        <f t="shared" si="365"/>
        <v/>
      </c>
      <c r="FU120" s="189" t="str">
        <f t="shared" si="336"/>
        <v/>
      </c>
      <c r="FV120" s="206" t="str">
        <f t="shared" si="366"/>
        <v/>
      </c>
      <c r="FW120" s="205" t="str">
        <f t="shared" si="337"/>
        <v/>
      </c>
      <c r="FX120" s="189" t="str">
        <f t="shared" si="367"/>
        <v/>
      </c>
      <c r="FY120" s="189" t="str">
        <f t="shared" si="368"/>
        <v/>
      </c>
      <c r="FZ120" s="189" t="str">
        <f t="shared" si="369"/>
        <v/>
      </c>
      <c r="GA120" s="189" t="str">
        <f t="shared" si="370"/>
        <v/>
      </c>
      <c r="GB120" s="189" t="str">
        <f t="shared" si="338"/>
        <v/>
      </c>
      <c r="GC120" s="206" t="str">
        <f t="shared" si="371"/>
        <v/>
      </c>
      <c r="GD120" s="205" t="str">
        <f t="shared" si="339"/>
        <v/>
      </c>
      <c r="GE120" s="189" t="str">
        <f t="shared" si="372"/>
        <v/>
      </c>
      <c r="GF120" s="189" t="str">
        <f t="shared" si="373"/>
        <v/>
      </c>
      <c r="GG120" s="189" t="str">
        <f t="shared" si="374"/>
        <v/>
      </c>
      <c r="GH120" s="189" t="str">
        <f t="shared" si="375"/>
        <v/>
      </c>
      <c r="GI120" s="189" t="str">
        <f t="shared" si="340"/>
        <v/>
      </c>
      <c r="GJ120" s="206" t="str">
        <f t="shared" si="376"/>
        <v/>
      </c>
      <c r="GK120" s="205" t="str">
        <f t="shared" si="341"/>
        <v/>
      </c>
      <c r="GL120" s="189" t="str">
        <f t="shared" si="377"/>
        <v/>
      </c>
      <c r="GM120" s="189" t="str">
        <f t="shared" si="378"/>
        <v/>
      </c>
      <c r="GN120" s="189" t="str">
        <f t="shared" si="379"/>
        <v/>
      </c>
      <c r="GO120" s="189" t="str">
        <f t="shared" si="380"/>
        <v/>
      </c>
      <c r="GP120" s="189" t="str">
        <f t="shared" si="342"/>
        <v/>
      </c>
      <c r="GQ120" s="206" t="str">
        <f t="shared" si="381"/>
        <v/>
      </c>
      <c r="GR120" s="189" t="str">
        <f t="shared" si="343"/>
        <v/>
      </c>
      <c r="GS120" s="189" t="str">
        <f t="shared" si="344"/>
        <v/>
      </c>
      <c r="GT120" s="207" t="str">
        <f t="shared" si="345"/>
        <v xml:space="preserve">    </v>
      </c>
      <c r="GU120" s="207" t="str">
        <f t="shared" si="346"/>
        <v xml:space="preserve">    </v>
      </c>
      <c r="GV120" s="207" t="str">
        <f t="shared" si="347"/>
        <v xml:space="preserve">    </v>
      </c>
      <c r="GW120" s="207" t="str">
        <f t="shared" si="348"/>
        <v xml:space="preserve">       </v>
      </c>
      <c r="GX120" s="598" t="str">
        <f t="shared" si="349"/>
        <v xml:space="preserve">     </v>
      </c>
      <c r="GY120" s="208" t="str">
        <f t="shared" si="382"/>
        <v/>
      </c>
      <c r="GZ120" s="606" t="str">
        <f>IF(AND(Q120="",AE120="",AZ120="",BW120="",CT120=""),"",IF(AND('Master Sheet'!$D$19="YES",'Marks Entry'!$BA$1=1),SUM(Q120,AE120,AZ120,BW120,DT120),SUM(Q120,AE120,AZ120,BW120,CT120)))</f>
        <v/>
      </c>
      <c r="HA120" s="209" t="str">
        <f>IF(GZ120="","",IF(AND('Master Sheet'!$D$19="YES",'Marks Entry'!$BA$1=1),GZ120/((900)-DC120)*100,GZ120/((1000)-DC120)*100))</f>
        <v/>
      </c>
      <c r="HB120" s="611" t="str">
        <f t="shared" si="350"/>
        <v/>
      </c>
      <c r="HC120" s="609" t="str">
        <f t="shared" si="351"/>
        <v/>
      </c>
      <c r="HD120" s="610" t="str">
        <f t="shared" si="352"/>
        <v/>
      </c>
      <c r="HE120" s="210" t="str">
        <f>IFERROR(IF(OR(GY120="SUPPLEMENTARY",GY120="RE-EXAM"),'Supp. Result Entry'!AS119,""),"")</f>
        <v/>
      </c>
      <c r="HF120" s="613" t="str">
        <f t="shared" si="353"/>
        <v/>
      </c>
      <c r="HG120" s="598" t="str">
        <f t="shared" si="354"/>
        <v/>
      </c>
      <c r="HH120" s="598" t="str">
        <f>IF(AND(HE120="",HF120="",HG120=""),"",IF(OR(GY120="SUPPLEMENTARY",GY120="RE-EXAM"),'Supp. Result Entry'!AS119,GY120))</f>
        <v/>
      </c>
      <c r="HI120" s="180"/>
      <c r="HY120" s="212" t="str">
        <f>IF('Supp. Result Entry'!U119="","",'Supp. Result Entry'!$U$6)</f>
        <v/>
      </c>
      <c r="HZ120" s="213" t="str">
        <f>IF('Supp. Result Entry'!X119="","",'Supp. Result Entry'!$X$6)</f>
        <v/>
      </c>
      <c r="IA120" s="213" t="str">
        <f>IF('Supp. Result Entry'!AA119="","",'Supp. Result Entry'!$AA$6)</f>
        <v/>
      </c>
      <c r="IB120" s="213" t="str">
        <f>IF('Supp. Result Entry'!AD119="","",'Supp. Result Entry'!$AD$6)</f>
        <v/>
      </c>
      <c r="IC120" s="213" t="str">
        <f>IF('Supp. Result Entry'!AG119="","",'Supp. Result Entry'!$AG$6)</f>
        <v/>
      </c>
      <c r="ID120" s="213" t="str">
        <f>IF('Supp. Result Entry'!AJ119="","",'Supp. Result Entry'!$AJ$6)</f>
        <v/>
      </c>
      <c r="IE120" s="213" t="str">
        <f>IF('Supp. Result Entry'!V119="","",'Supp. Result Entry'!V119)</f>
        <v/>
      </c>
      <c r="IF120" s="213" t="str">
        <f>IF('Supp. Result Entry'!Y119="","",'Supp. Result Entry'!Y119)</f>
        <v/>
      </c>
      <c r="IG120" s="213" t="str">
        <f>IF('Supp. Result Entry'!AB119="","",'Supp. Result Entry'!AB119)</f>
        <v/>
      </c>
      <c r="IH120" s="213" t="str">
        <f>IF('Supp. Result Entry'!AE119="","",'Supp. Result Entry'!AE119)</f>
        <v/>
      </c>
      <c r="II120" s="213" t="str">
        <f>IF('Supp. Result Entry'!AH119="","",'Supp. Result Entry'!AH119)</f>
        <v/>
      </c>
      <c r="IJ120" s="213" t="str">
        <f>IF('Supp. Result Entry'!AK119="","",'Supp. Result Entry'!AK119)</f>
        <v/>
      </c>
      <c r="IK120" s="213" t="str">
        <f>IF('Supp. Result Entry'!W119="","",'Supp. Result Entry'!W119)</f>
        <v/>
      </c>
      <c r="IL120" s="213" t="str">
        <f>IF('Supp. Result Entry'!Z119="","",'Supp. Result Entry'!Z119)</f>
        <v/>
      </c>
      <c r="IM120" s="213" t="str">
        <f>IF('Supp. Result Entry'!AC119="","",'Supp. Result Entry'!AC119)</f>
        <v/>
      </c>
      <c r="IN120" s="213" t="str">
        <f>IF('Supp. Result Entry'!AF119="","",'Supp. Result Entry'!AF119)</f>
        <v/>
      </c>
      <c r="IO120" s="213" t="str">
        <f>IF('Supp. Result Entry'!AI119="","",'Supp. Result Entry'!AI119)</f>
        <v/>
      </c>
      <c r="IP120" s="213" t="str">
        <f>IF('Supp. Result Entry'!AL119="","",'Supp. Result Entry'!AL119)</f>
        <v/>
      </c>
      <c r="IQ120" s="213">
        <f>COUNTIF('Supp. Result Entry'!K119:Q119,"S")</f>
        <v>0</v>
      </c>
      <c r="IR120" s="213">
        <f t="shared" si="355"/>
        <v>0</v>
      </c>
      <c r="IS120" s="213">
        <f t="shared" si="356"/>
        <v>0</v>
      </c>
      <c r="IT120" s="213" t="str">
        <f t="shared" si="224"/>
        <v/>
      </c>
      <c r="IU120" s="213" t="str">
        <f t="shared" si="225"/>
        <v/>
      </c>
      <c r="IV120" s="213" t="str">
        <f t="shared" si="226"/>
        <v/>
      </c>
      <c r="IW120" s="213" t="str">
        <f t="shared" si="227"/>
        <v/>
      </c>
      <c r="IX120" s="213" t="str">
        <f t="shared" si="228"/>
        <v/>
      </c>
      <c r="IY120" s="213" t="str">
        <f t="shared" si="357"/>
        <v/>
      </c>
      <c r="IZ120" s="213" t="str">
        <f t="shared" si="358"/>
        <v/>
      </c>
      <c r="JA120" s="213" t="str">
        <f t="shared" si="229"/>
        <v/>
      </c>
      <c r="JB120" s="211" t="str">
        <f t="shared" si="359"/>
        <v/>
      </c>
    </row>
    <row r="121" spans="1:262" s="211" customFormat="1" ht="21" customHeight="1">
      <c r="A121" s="184">
        <v>114</v>
      </c>
      <c r="B121" s="185" t="str">
        <f>IF('Marks Entry'!B121="","",'Marks Entry'!B121)</f>
        <v/>
      </c>
      <c r="C121" s="186" t="str">
        <f>IF('Marks Entry'!D121="","",'Marks Entry'!D121)</f>
        <v/>
      </c>
      <c r="D121" s="187" t="str">
        <f>IF('Marks Entry'!E121="","",'Marks Entry'!E121)</f>
        <v/>
      </c>
      <c r="E121" s="188" t="str">
        <f>IF('Marks Entry'!F121="","",'Marks Entry'!F121)</f>
        <v/>
      </c>
      <c r="F121" s="188" t="str">
        <f>IF('Marks Entry'!G121="","",'Marks Entry'!G121)</f>
        <v/>
      </c>
      <c r="G121" s="188" t="str">
        <f>IF('Marks Entry'!H121="","",'Marks Entry'!H121)</f>
        <v/>
      </c>
      <c r="H121" s="189" t="str">
        <f>IF('Marks Entry'!I121="","",'Marks Entry'!I121)</f>
        <v/>
      </c>
      <c r="I121" s="190" t="str">
        <f>IF('Marks Entry'!J121="","",'Marks Entry'!J121)</f>
        <v/>
      </c>
      <c r="J121" s="545" t="str">
        <f>IF('Marks Entry'!K121="","",'Marks Entry'!K121)</f>
        <v/>
      </c>
      <c r="K121" s="545" t="str">
        <f>IF('Marks Entry'!L121="","",'Marks Entry'!L121)</f>
        <v/>
      </c>
      <c r="L121" s="545" t="str">
        <f>IF('Marks Entry'!M121="","",'Marks Entry'!M121)</f>
        <v/>
      </c>
      <c r="M121" s="546" t="str">
        <f t="shared" si="230"/>
        <v/>
      </c>
      <c r="N121" s="545" t="str">
        <f>IF('Marks Entry'!N121="","",'Marks Entry'!N121)</f>
        <v/>
      </c>
      <c r="O121" s="546" t="str">
        <f t="shared" si="231"/>
        <v/>
      </c>
      <c r="P121" s="545" t="str">
        <f>IF('Marks Entry'!O121="","",'Marks Entry'!O121)</f>
        <v/>
      </c>
      <c r="Q121" s="547" t="str">
        <f t="shared" si="232"/>
        <v/>
      </c>
      <c r="R121" s="153">
        <f t="shared" si="233"/>
        <v>0</v>
      </c>
      <c r="S121" s="153">
        <f t="shared" si="234"/>
        <v>0</v>
      </c>
      <c r="T121" s="154" t="str">
        <f t="shared" si="235"/>
        <v/>
      </c>
      <c r="U121" s="153" t="str">
        <f t="shared" si="236"/>
        <v/>
      </c>
      <c r="V121" s="153" t="str">
        <f t="shared" si="237"/>
        <v/>
      </c>
      <c r="W121" s="153" t="str">
        <f t="shared" si="238"/>
        <v/>
      </c>
      <c r="X121" s="545" t="str">
        <f>IF('Marks Entry'!P121="","",'Marks Entry'!P121)</f>
        <v/>
      </c>
      <c r="Y121" s="545" t="str">
        <f>IF('Marks Entry'!Q121="","",'Marks Entry'!Q121)</f>
        <v/>
      </c>
      <c r="Z121" s="545" t="str">
        <f>IF('Marks Entry'!R121="","",'Marks Entry'!R121)</f>
        <v/>
      </c>
      <c r="AA121" s="546" t="str">
        <f t="shared" si="239"/>
        <v/>
      </c>
      <c r="AB121" s="545" t="str">
        <f>IF('Marks Entry'!S121="","",'Marks Entry'!S121)</f>
        <v/>
      </c>
      <c r="AC121" s="546" t="str">
        <f t="shared" si="240"/>
        <v/>
      </c>
      <c r="AD121" s="545" t="str">
        <f>IF('Marks Entry'!T121="","",'Marks Entry'!T121)</f>
        <v/>
      </c>
      <c r="AE121" s="547" t="str">
        <f t="shared" si="241"/>
        <v/>
      </c>
      <c r="AF121" s="153">
        <f t="shared" si="242"/>
        <v>0</v>
      </c>
      <c r="AG121" s="153">
        <f t="shared" si="243"/>
        <v>0</v>
      </c>
      <c r="AH121" s="154" t="str">
        <f t="shared" si="244"/>
        <v/>
      </c>
      <c r="AI121" s="153" t="str">
        <f t="shared" si="245"/>
        <v/>
      </c>
      <c r="AJ121" s="153" t="str">
        <f t="shared" si="246"/>
        <v/>
      </c>
      <c r="AK121" s="153" t="str">
        <f t="shared" si="247"/>
        <v/>
      </c>
      <c r="AL121" s="573" t="str">
        <f>IF('Marks Entry'!U121="","",'Marks Entry'!U121)</f>
        <v/>
      </c>
      <c r="AM121" s="573" t="str">
        <f>IF('Marks Entry'!V121="","",'Marks Entry'!V121)</f>
        <v/>
      </c>
      <c r="AN121" s="573" t="str">
        <f>IF('Marks Entry'!W121="","",'Marks Entry'!W121)</f>
        <v/>
      </c>
      <c r="AO121" s="573" t="str">
        <f>IF('Marks Entry'!X121="","",'Marks Entry'!X121)</f>
        <v/>
      </c>
      <c r="AP121" s="572" t="str">
        <f t="shared" si="248"/>
        <v/>
      </c>
      <c r="AQ121" s="573" t="str">
        <f>IF('Marks Entry'!Y121="","",'Marks Entry'!Y121)</f>
        <v/>
      </c>
      <c r="AR121" s="573" t="str">
        <f>IF('Marks Entry'!Z121="","",'Marks Entry'!Z121)</f>
        <v/>
      </c>
      <c r="AS121" s="572" t="str">
        <f t="shared" si="249"/>
        <v/>
      </c>
      <c r="AT121" s="572" t="str">
        <f t="shared" si="250"/>
        <v/>
      </c>
      <c r="AU121" s="573" t="str">
        <f>IF('Marks Entry'!AA121="","",'Marks Entry'!AA121)</f>
        <v/>
      </c>
      <c r="AV121" s="573" t="str">
        <f>IF('Marks Entry'!AB121="","",'Marks Entry'!AB121)</f>
        <v/>
      </c>
      <c r="AW121" s="572" t="str">
        <f t="shared" si="251"/>
        <v/>
      </c>
      <c r="AX121" s="157" t="str">
        <f t="shared" si="252"/>
        <v/>
      </c>
      <c r="AY121" s="157" t="str">
        <f t="shared" si="253"/>
        <v/>
      </c>
      <c r="AZ121" s="192" t="str">
        <f t="shared" si="254"/>
        <v/>
      </c>
      <c r="BA121" s="153">
        <f t="shared" si="255"/>
        <v>0</v>
      </c>
      <c r="BB121" s="154">
        <f t="shared" si="256"/>
        <v>0</v>
      </c>
      <c r="BC121" s="154" t="str">
        <f t="shared" si="257"/>
        <v/>
      </c>
      <c r="BD121" s="154" t="str">
        <f t="shared" si="258"/>
        <v/>
      </c>
      <c r="BE121" s="154" t="str">
        <f t="shared" si="259"/>
        <v/>
      </c>
      <c r="BF121" s="153" t="str">
        <f t="shared" si="260"/>
        <v/>
      </c>
      <c r="BG121" s="154" t="str">
        <f t="shared" si="261"/>
        <v/>
      </c>
      <c r="BH121" s="153" t="str">
        <f t="shared" si="262"/>
        <v/>
      </c>
      <c r="BI121" s="580" t="str">
        <f>IF('Marks Entry'!AC121="","",'Marks Entry'!AC121)</f>
        <v/>
      </c>
      <c r="BJ121" s="580" t="str">
        <f>IF('Marks Entry'!AD121="","",'Marks Entry'!AD121)</f>
        <v/>
      </c>
      <c r="BK121" s="580" t="str">
        <f>IF('Marks Entry'!AE121="","",'Marks Entry'!AE121)</f>
        <v/>
      </c>
      <c r="BL121" s="580" t="str">
        <f>IF('Marks Entry'!AF121="","",'Marks Entry'!AF121)</f>
        <v/>
      </c>
      <c r="BM121" s="581" t="str">
        <f t="shared" si="263"/>
        <v/>
      </c>
      <c r="BN121" s="580" t="str">
        <f>IF('Marks Entry'!AG121="","",'Marks Entry'!AG121)</f>
        <v/>
      </c>
      <c r="BO121" s="580" t="str">
        <f>IF('Marks Entry'!AH121="","",'Marks Entry'!AH121)</f>
        <v/>
      </c>
      <c r="BP121" s="581" t="str">
        <f t="shared" si="264"/>
        <v/>
      </c>
      <c r="BQ121" s="581" t="str">
        <f t="shared" si="265"/>
        <v/>
      </c>
      <c r="BR121" s="580" t="str">
        <f>IF('Marks Entry'!AI121="","",'Marks Entry'!AI121)</f>
        <v/>
      </c>
      <c r="BS121" s="580" t="str">
        <f>IF('Marks Entry'!AJ121="","",'Marks Entry'!AJ121)</f>
        <v/>
      </c>
      <c r="BT121" s="581" t="str">
        <f t="shared" si="266"/>
        <v/>
      </c>
      <c r="BU121" s="157" t="str">
        <f t="shared" si="267"/>
        <v/>
      </c>
      <c r="BV121" s="157" t="str">
        <f t="shared" si="268"/>
        <v/>
      </c>
      <c r="BW121" s="192" t="str">
        <f t="shared" si="269"/>
        <v/>
      </c>
      <c r="BX121" s="153">
        <f t="shared" si="270"/>
        <v>0</v>
      </c>
      <c r="BY121" s="154">
        <f t="shared" si="271"/>
        <v>0</v>
      </c>
      <c r="BZ121" s="154" t="str">
        <f t="shared" si="272"/>
        <v/>
      </c>
      <c r="CA121" s="154" t="str">
        <f t="shared" si="273"/>
        <v/>
      </c>
      <c r="CB121" s="154" t="str">
        <f t="shared" si="274"/>
        <v/>
      </c>
      <c r="CC121" s="153" t="str">
        <f t="shared" si="275"/>
        <v/>
      </c>
      <c r="CD121" s="154" t="str">
        <f t="shared" si="276"/>
        <v/>
      </c>
      <c r="CE121" s="153" t="str">
        <f t="shared" si="277"/>
        <v/>
      </c>
      <c r="CF121" s="580" t="str">
        <f>IF('Marks Entry'!AK121="","",'Marks Entry'!AK121)</f>
        <v/>
      </c>
      <c r="CG121" s="580" t="str">
        <f>IF('Marks Entry'!AL121="","",'Marks Entry'!AL121)</f>
        <v/>
      </c>
      <c r="CH121" s="580" t="str">
        <f>IF('Marks Entry'!AM121="","",'Marks Entry'!AM121)</f>
        <v/>
      </c>
      <c r="CI121" s="580" t="str">
        <f>IF('Marks Entry'!AN121="","",'Marks Entry'!AN121)</f>
        <v/>
      </c>
      <c r="CJ121" s="581" t="str">
        <f t="shared" si="278"/>
        <v/>
      </c>
      <c r="CK121" s="580" t="str">
        <f>IF('Marks Entry'!AO121="","",'Marks Entry'!AO121)</f>
        <v/>
      </c>
      <c r="CL121" s="580" t="str">
        <f>IF('Marks Entry'!AP121="","",'Marks Entry'!AP121)</f>
        <v/>
      </c>
      <c r="CM121" s="581" t="str">
        <f t="shared" si="279"/>
        <v/>
      </c>
      <c r="CN121" s="581" t="str">
        <f t="shared" si="280"/>
        <v/>
      </c>
      <c r="CO121" s="580" t="str">
        <f>IF('Marks Entry'!AQ121="","",'Marks Entry'!AQ121)</f>
        <v/>
      </c>
      <c r="CP121" s="580" t="str">
        <f>IF('Marks Entry'!AR121="","",'Marks Entry'!AR121)</f>
        <v/>
      </c>
      <c r="CQ121" s="581" t="str">
        <f t="shared" si="281"/>
        <v/>
      </c>
      <c r="CR121" s="157" t="str">
        <f t="shared" si="282"/>
        <v/>
      </c>
      <c r="CS121" s="157" t="str">
        <f t="shared" si="283"/>
        <v/>
      </c>
      <c r="CT121" s="192" t="str">
        <f t="shared" si="284"/>
        <v/>
      </c>
      <c r="CU121" s="153">
        <f t="shared" si="285"/>
        <v>0</v>
      </c>
      <c r="CV121" s="154">
        <f t="shared" si="286"/>
        <v>0</v>
      </c>
      <c r="CW121" s="154" t="str">
        <f t="shared" si="287"/>
        <v/>
      </c>
      <c r="CX121" s="154" t="str">
        <f t="shared" si="288"/>
        <v/>
      </c>
      <c r="CY121" s="154" t="str">
        <f t="shared" si="289"/>
        <v/>
      </c>
      <c r="CZ121" s="153" t="str">
        <f t="shared" si="290"/>
        <v/>
      </c>
      <c r="DA121" s="154" t="str">
        <f t="shared" si="291"/>
        <v/>
      </c>
      <c r="DB121" s="153" t="str">
        <f t="shared" si="292"/>
        <v/>
      </c>
      <c r="DC121" s="154">
        <f t="shared" si="293"/>
        <v>0</v>
      </c>
      <c r="DD121" s="826" t="str">
        <f>IF('Marks Entry'!AS121="","",IF(OR('Master Sheet'!$D$19="YES",'Marks Entry'!$BA$1=1),'Marks Entry'!AS121,""))</f>
        <v/>
      </c>
      <c r="DE121" s="826" t="str">
        <f>IF('Marks Entry'!AT121="","",IF(OR('Master Sheet'!$D$19="YES",'Marks Entry'!$BA$1=1),'Marks Entry'!AT121,""))</f>
        <v/>
      </c>
      <c r="DF121" s="826" t="str">
        <f>IF('Marks Entry'!AU121="","",IF(OR('Master Sheet'!$D$19="YES",'Marks Entry'!$BA$1=1),'Marks Entry'!AU121,""))</f>
        <v/>
      </c>
      <c r="DG121" s="826" t="str">
        <f>IF('Marks Entry'!AV121="","",IF(OR('Master Sheet'!$D$19="YES",'Marks Entry'!$BA$1=1),'Marks Entry'!AV121,""))</f>
        <v/>
      </c>
      <c r="DH121" s="827" t="str">
        <f t="shared" si="294"/>
        <v/>
      </c>
      <c r="DI121" s="826" t="str">
        <f>IF('Marks Entry'!AW121="","",IF(OR('Master Sheet'!$D$19="YES",'Marks Entry'!$BA$1=1),'Marks Entry'!AW121,""))</f>
        <v/>
      </c>
      <c r="DJ121" s="826" t="str">
        <f>IF('Marks Entry'!AX121="","",IF(OR('Master Sheet'!$D$19="YES",'Marks Entry'!$BA$1=1),'Marks Entry'!AX121,""))</f>
        <v/>
      </c>
      <c r="DK121" s="827" t="str">
        <f t="shared" si="295"/>
        <v/>
      </c>
      <c r="DL121" s="827" t="str">
        <f t="shared" si="296"/>
        <v/>
      </c>
      <c r="DM121" s="826" t="str">
        <f>IF('Marks Entry'!AY121="","",IF(OR('Master Sheet'!$D$19="YES",'Marks Entry'!$BA$1=1),'Marks Entry'!AY121,""))</f>
        <v/>
      </c>
      <c r="DN121" s="826" t="str">
        <f>IF('Marks Entry'!AZ121="","",IF(OR('Master Sheet'!$D$19="YES",'Marks Entry'!$BA$1=1),'Marks Entry'!AZ121,""))</f>
        <v/>
      </c>
      <c r="DO121" s="826" t="str">
        <f>IF('Marks Entry'!BA121="","",IF(OR('Master Sheet'!$D$19="YES",'Marks Entry'!$BA$1=1),'Marks Entry'!BA121,""))</f>
        <v/>
      </c>
      <c r="DP121" s="827" t="str">
        <f t="shared" si="297"/>
        <v/>
      </c>
      <c r="DQ121" s="157" t="str">
        <f t="shared" si="298"/>
        <v/>
      </c>
      <c r="DR121" s="157" t="str">
        <f t="shared" si="299"/>
        <v/>
      </c>
      <c r="DS121" s="157" t="str">
        <f t="shared" si="300"/>
        <v/>
      </c>
      <c r="DT121" s="192" t="str">
        <f t="shared" si="301"/>
        <v/>
      </c>
      <c r="DU121" s="153">
        <f t="shared" si="302"/>
        <v>0</v>
      </c>
      <c r="DV121" s="154" t="e">
        <f t="shared" si="303"/>
        <v>#VALUE!</v>
      </c>
      <c r="DW121" s="154" t="str">
        <f t="shared" si="304"/>
        <v/>
      </c>
      <c r="DX121" s="154" t="str">
        <f>IF(OR($B121="NSO",$B121=0,DS121=""),"",IF(AND(DJ121="",DO121=""),"",IF('Master Sheet'!$D$19="YES",$DO$6-COUNTIF(DO121,"ML")*DO$6,DS$6-(COUNTIF(DJ121,"ML")*DJ$6)-(COUNTIF(DO121,"ML")*DO$6))))</f>
        <v/>
      </c>
      <c r="DY121" s="154" t="str">
        <f>IF(OR($B121="NSO",$B121=0),"",IF(AND(DH121="",DI121="",DM121=""),"",IF(AND('Master Sheet'!$D$19="YES",'Marks Entry'!$BA$1=1),100,IF(AND(DJ121="",DO121=""),SUM(($DQ$7+$DR$7)-(DU121+DV121)),SUM(($DQ$6+$DR$6)-(DU121+DV121))))))</f>
        <v/>
      </c>
      <c r="DZ121" s="153" t="str">
        <f t="shared" si="305"/>
        <v/>
      </c>
      <c r="EA121" s="154" t="str">
        <f t="shared" si="306"/>
        <v/>
      </c>
      <c r="EB121" s="153" t="str">
        <f t="shared" si="307"/>
        <v/>
      </c>
      <c r="EC121" s="584" t="str">
        <f>IF('Marks Entry'!BB121="","",'Marks Entry'!BB121)</f>
        <v/>
      </c>
      <c r="ED121" s="584" t="str">
        <f>IF('Marks Entry'!BC121="","",'Marks Entry'!BC121)</f>
        <v/>
      </c>
      <c r="EE121" s="584" t="str">
        <f>IF('Marks Entry'!BD121="","",'Marks Entry'!BD121)</f>
        <v/>
      </c>
      <c r="EF121" s="590" t="str">
        <f t="shared" si="308"/>
        <v/>
      </c>
      <c r="EG121" s="595">
        <f t="shared" si="309"/>
        <v>0</v>
      </c>
      <c r="EH121" s="595">
        <f t="shared" si="310"/>
        <v>0</v>
      </c>
      <c r="EI121" s="193" t="str">
        <f t="shared" si="311"/>
        <v/>
      </c>
      <c r="EJ121" s="595" t="str">
        <f t="shared" si="312"/>
        <v/>
      </c>
      <c r="EK121" s="595" t="str">
        <f t="shared" si="313"/>
        <v/>
      </c>
      <c r="EL121" s="194" t="str">
        <f t="shared" si="314"/>
        <v/>
      </c>
      <c r="EM121" s="194" t="str">
        <f t="shared" si="315"/>
        <v/>
      </c>
      <c r="EN121" s="194" t="str">
        <f t="shared" si="316"/>
        <v/>
      </c>
      <c r="EO121" s="194" t="str">
        <f t="shared" si="317"/>
        <v/>
      </c>
      <c r="EP121" s="194" t="str">
        <f t="shared" si="318"/>
        <v/>
      </c>
      <c r="EQ121" s="194" t="str">
        <f t="shared" si="319"/>
        <v/>
      </c>
      <c r="ER121" s="195">
        <f t="shared" si="320"/>
        <v>0</v>
      </c>
      <c r="ES121" s="195">
        <f t="shared" si="321"/>
        <v>0</v>
      </c>
      <c r="ET121" s="195">
        <f t="shared" si="322"/>
        <v>0</v>
      </c>
      <c r="EU121" s="195">
        <f t="shared" si="323"/>
        <v>0</v>
      </c>
      <c r="EV121" s="195">
        <f t="shared" si="324"/>
        <v>0</v>
      </c>
      <c r="EW121" s="195" t="str">
        <f t="shared" si="325"/>
        <v/>
      </c>
      <c r="EX121" s="196" t="str">
        <f t="shared" si="326"/>
        <v/>
      </c>
      <c r="EY121" s="197" t="str">
        <f>IF('Marks Entry'!BE121="","",'Marks Entry'!BE121)</f>
        <v/>
      </c>
      <c r="EZ121" s="197" t="str">
        <f>IF('Marks Entry'!BF121="","",'Marks Entry'!BF121)</f>
        <v/>
      </c>
      <c r="FA121" s="197" t="str">
        <f>IF('Marks Entry'!BG121="","",'Marks Entry'!BG121)</f>
        <v/>
      </c>
      <c r="FB121" s="596" t="str">
        <f t="shared" si="327"/>
        <v/>
      </c>
      <c r="FC121" s="197" t="str">
        <f>IF('Marks Entry'!BH121="","",'Marks Entry'!BH121)</f>
        <v/>
      </c>
      <c r="FD121" s="197" t="str">
        <f>IF('Marks Entry'!BI121="","",'Marks Entry'!BI121)</f>
        <v/>
      </c>
      <c r="FE121" s="198" t="str">
        <f t="shared" si="328"/>
        <v/>
      </c>
      <c r="FF121" s="199" t="str">
        <f t="shared" si="329"/>
        <v/>
      </c>
      <c r="FG121" s="200" t="str">
        <f>IF(AND(E121=""),"",IF('Student DATA Entry'!L117="","",'Student DATA Entry'!L117))</f>
        <v/>
      </c>
      <c r="FH121" s="201" t="str">
        <f>IF(AND(E121=""),"",IF('Student DATA Entry'!M117="","",'Student DATA Entry'!M117))</f>
        <v/>
      </c>
      <c r="FI121" s="202" t="str">
        <f t="shared" si="330"/>
        <v/>
      </c>
      <c r="FJ121" s="189" t="str">
        <f t="shared" si="331"/>
        <v/>
      </c>
      <c r="FK121" s="189" t="str">
        <f t="shared" si="332"/>
        <v/>
      </c>
      <c r="FL121" s="203" t="str">
        <f t="shared" si="360"/>
        <v/>
      </c>
      <c r="FM121" s="189" t="str">
        <f t="shared" si="333"/>
        <v/>
      </c>
      <c r="FN121" s="204" t="str">
        <f t="shared" si="334"/>
        <v/>
      </c>
      <c r="FO121" s="203" t="str">
        <f t="shared" si="361"/>
        <v/>
      </c>
      <c r="FP121" s="205" t="str">
        <f t="shared" si="335"/>
        <v/>
      </c>
      <c r="FQ121" s="189" t="str">
        <f t="shared" si="362"/>
        <v/>
      </c>
      <c r="FR121" s="189" t="str">
        <f t="shared" si="363"/>
        <v/>
      </c>
      <c r="FS121" s="189" t="str">
        <f t="shared" si="364"/>
        <v/>
      </c>
      <c r="FT121" s="189" t="str">
        <f t="shared" si="365"/>
        <v/>
      </c>
      <c r="FU121" s="189" t="str">
        <f t="shared" si="336"/>
        <v/>
      </c>
      <c r="FV121" s="206" t="str">
        <f t="shared" si="366"/>
        <v/>
      </c>
      <c r="FW121" s="205" t="str">
        <f t="shared" si="337"/>
        <v/>
      </c>
      <c r="FX121" s="189" t="str">
        <f t="shared" si="367"/>
        <v/>
      </c>
      <c r="FY121" s="189" t="str">
        <f t="shared" si="368"/>
        <v/>
      </c>
      <c r="FZ121" s="189" t="str">
        <f t="shared" si="369"/>
        <v/>
      </c>
      <c r="GA121" s="189" t="str">
        <f t="shared" si="370"/>
        <v/>
      </c>
      <c r="GB121" s="189" t="str">
        <f t="shared" si="338"/>
        <v/>
      </c>
      <c r="GC121" s="206" t="str">
        <f t="shared" si="371"/>
        <v/>
      </c>
      <c r="GD121" s="205" t="str">
        <f t="shared" si="339"/>
        <v/>
      </c>
      <c r="GE121" s="189" t="str">
        <f t="shared" si="372"/>
        <v/>
      </c>
      <c r="GF121" s="189" t="str">
        <f t="shared" si="373"/>
        <v/>
      </c>
      <c r="GG121" s="189" t="str">
        <f t="shared" si="374"/>
        <v/>
      </c>
      <c r="GH121" s="189" t="str">
        <f t="shared" si="375"/>
        <v/>
      </c>
      <c r="GI121" s="189" t="str">
        <f t="shared" si="340"/>
        <v/>
      </c>
      <c r="GJ121" s="206" t="str">
        <f t="shared" si="376"/>
        <v/>
      </c>
      <c r="GK121" s="205" t="str">
        <f t="shared" si="341"/>
        <v/>
      </c>
      <c r="GL121" s="189" t="str">
        <f t="shared" si="377"/>
        <v/>
      </c>
      <c r="GM121" s="189" t="str">
        <f t="shared" si="378"/>
        <v/>
      </c>
      <c r="GN121" s="189" t="str">
        <f t="shared" si="379"/>
        <v/>
      </c>
      <c r="GO121" s="189" t="str">
        <f t="shared" si="380"/>
        <v/>
      </c>
      <c r="GP121" s="189" t="str">
        <f t="shared" si="342"/>
        <v/>
      </c>
      <c r="GQ121" s="206" t="str">
        <f t="shared" si="381"/>
        <v/>
      </c>
      <c r="GR121" s="189" t="str">
        <f t="shared" si="343"/>
        <v/>
      </c>
      <c r="GS121" s="189" t="str">
        <f t="shared" si="344"/>
        <v/>
      </c>
      <c r="GT121" s="207" t="str">
        <f t="shared" si="345"/>
        <v xml:space="preserve">    </v>
      </c>
      <c r="GU121" s="207" t="str">
        <f t="shared" si="346"/>
        <v xml:space="preserve">    </v>
      </c>
      <c r="GV121" s="207" t="str">
        <f t="shared" si="347"/>
        <v xml:space="preserve">    </v>
      </c>
      <c r="GW121" s="207" t="str">
        <f t="shared" si="348"/>
        <v xml:space="preserve">       </v>
      </c>
      <c r="GX121" s="598" t="str">
        <f t="shared" si="349"/>
        <v xml:space="preserve">     </v>
      </c>
      <c r="GY121" s="208" t="str">
        <f t="shared" si="382"/>
        <v/>
      </c>
      <c r="GZ121" s="606" t="str">
        <f>IF(AND(Q121="",AE121="",AZ121="",BW121="",CT121=""),"",IF(AND('Master Sheet'!$D$19="YES",'Marks Entry'!$BA$1=1),SUM(Q121,AE121,AZ121,BW121,DT121),SUM(Q121,AE121,AZ121,BW121,CT121)))</f>
        <v/>
      </c>
      <c r="HA121" s="209" t="str">
        <f>IF(GZ121="","",IF(AND('Master Sheet'!$D$19="YES",'Marks Entry'!$BA$1=1),GZ121/((900)-DC121)*100,GZ121/((1000)-DC121)*100))</f>
        <v/>
      </c>
      <c r="HB121" s="611" t="str">
        <f t="shared" si="350"/>
        <v/>
      </c>
      <c r="HC121" s="609" t="str">
        <f t="shared" si="351"/>
        <v/>
      </c>
      <c r="HD121" s="610" t="str">
        <f t="shared" si="352"/>
        <v/>
      </c>
      <c r="HE121" s="210" t="str">
        <f>IFERROR(IF(OR(GY121="SUPPLEMENTARY",GY121="RE-EXAM"),'Supp. Result Entry'!AS120,""),"")</f>
        <v/>
      </c>
      <c r="HF121" s="613" t="str">
        <f t="shared" si="353"/>
        <v/>
      </c>
      <c r="HG121" s="598" t="str">
        <f t="shared" si="354"/>
        <v/>
      </c>
      <c r="HH121" s="598" t="str">
        <f>IF(AND(HE121="",HF121="",HG121=""),"",IF(OR(GY121="SUPPLEMENTARY",GY121="RE-EXAM"),'Supp. Result Entry'!AS120,GY121))</f>
        <v/>
      </c>
      <c r="HI121" s="180"/>
      <c r="HY121" s="212" t="str">
        <f>IF('Supp. Result Entry'!U120="","",'Supp. Result Entry'!$U$6)</f>
        <v/>
      </c>
      <c r="HZ121" s="213" t="str">
        <f>IF('Supp. Result Entry'!X120="","",'Supp. Result Entry'!$X$6)</f>
        <v/>
      </c>
      <c r="IA121" s="213" t="str">
        <f>IF('Supp. Result Entry'!AA120="","",'Supp. Result Entry'!$AA$6)</f>
        <v/>
      </c>
      <c r="IB121" s="213" t="str">
        <f>IF('Supp. Result Entry'!AD120="","",'Supp. Result Entry'!$AD$6)</f>
        <v/>
      </c>
      <c r="IC121" s="213" t="str">
        <f>IF('Supp. Result Entry'!AG120="","",'Supp. Result Entry'!$AG$6)</f>
        <v/>
      </c>
      <c r="ID121" s="213" t="str">
        <f>IF('Supp. Result Entry'!AJ120="","",'Supp. Result Entry'!$AJ$6)</f>
        <v/>
      </c>
      <c r="IE121" s="213" t="str">
        <f>IF('Supp. Result Entry'!V120="","",'Supp. Result Entry'!V120)</f>
        <v/>
      </c>
      <c r="IF121" s="213" t="str">
        <f>IF('Supp. Result Entry'!Y120="","",'Supp. Result Entry'!Y120)</f>
        <v/>
      </c>
      <c r="IG121" s="213" t="str">
        <f>IF('Supp. Result Entry'!AB120="","",'Supp. Result Entry'!AB120)</f>
        <v/>
      </c>
      <c r="IH121" s="213" t="str">
        <f>IF('Supp. Result Entry'!AE120="","",'Supp. Result Entry'!AE120)</f>
        <v/>
      </c>
      <c r="II121" s="213" t="str">
        <f>IF('Supp. Result Entry'!AH120="","",'Supp. Result Entry'!AH120)</f>
        <v/>
      </c>
      <c r="IJ121" s="213" t="str">
        <f>IF('Supp. Result Entry'!AK120="","",'Supp. Result Entry'!AK120)</f>
        <v/>
      </c>
      <c r="IK121" s="213" t="str">
        <f>IF('Supp. Result Entry'!W120="","",'Supp. Result Entry'!W120)</f>
        <v/>
      </c>
      <c r="IL121" s="213" t="str">
        <f>IF('Supp. Result Entry'!Z120="","",'Supp. Result Entry'!Z120)</f>
        <v/>
      </c>
      <c r="IM121" s="213" t="str">
        <f>IF('Supp. Result Entry'!AC120="","",'Supp. Result Entry'!AC120)</f>
        <v/>
      </c>
      <c r="IN121" s="213" t="str">
        <f>IF('Supp. Result Entry'!AF120="","",'Supp. Result Entry'!AF120)</f>
        <v/>
      </c>
      <c r="IO121" s="213" t="str">
        <f>IF('Supp. Result Entry'!AI120="","",'Supp. Result Entry'!AI120)</f>
        <v/>
      </c>
      <c r="IP121" s="213" t="str">
        <f>IF('Supp. Result Entry'!AL120="","",'Supp. Result Entry'!AL120)</f>
        <v/>
      </c>
      <c r="IQ121" s="213">
        <f>COUNTIF('Supp. Result Entry'!K120:Q120,"S")</f>
        <v>0</v>
      </c>
      <c r="IR121" s="213">
        <f t="shared" si="355"/>
        <v>0</v>
      </c>
      <c r="IS121" s="213">
        <f t="shared" si="356"/>
        <v>0</v>
      </c>
      <c r="IT121" s="213" t="str">
        <f t="shared" si="224"/>
        <v/>
      </c>
      <c r="IU121" s="213" t="str">
        <f t="shared" si="225"/>
        <v/>
      </c>
      <c r="IV121" s="213" t="str">
        <f t="shared" si="226"/>
        <v/>
      </c>
      <c r="IW121" s="213" t="str">
        <f t="shared" si="227"/>
        <v/>
      </c>
      <c r="IX121" s="213" t="str">
        <f t="shared" si="228"/>
        <v/>
      </c>
      <c r="IY121" s="213" t="str">
        <f t="shared" si="357"/>
        <v/>
      </c>
      <c r="IZ121" s="213" t="str">
        <f t="shared" si="358"/>
        <v/>
      </c>
      <c r="JA121" s="213" t="str">
        <f t="shared" si="229"/>
        <v/>
      </c>
      <c r="JB121" s="211" t="str">
        <f t="shared" si="359"/>
        <v/>
      </c>
    </row>
    <row r="122" spans="1:262" s="211" customFormat="1" ht="21" customHeight="1">
      <c r="A122" s="184">
        <v>115</v>
      </c>
      <c r="B122" s="185" t="str">
        <f>IF('Marks Entry'!B122="","",'Marks Entry'!B122)</f>
        <v/>
      </c>
      <c r="C122" s="186" t="str">
        <f>IF('Marks Entry'!D122="","",'Marks Entry'!D122)</f>
        <v/>
      </c>
      <c r="D122" s="187" t="str">
        <f>IF('Marks Entry'!E122="","",'Marks Entry'!E122)</f>
        <v/>
      </c>
      <c r="E122" s="188" t="str">
        <f>IF('Marks Entry'!F122="","",'Marks Entry'!F122)</f>
        <v/>
      </c>
      <c r="F122" s="188" t="str">
        <f>IF('Marks Entry'!G122="","",'Marks Entry'!G122)</f>
        <v/>
      </c>
      <c r="G122" s="188" t="str">
        <f>IF('Marks Entry'!H122="","",'Marks Entry'!H122)</f>
        <v/>
      </c>
      <c r="H122" s="189" t="str">
        <f>IF('Marks Entry'!I122="","",'Marks Entry'!I122)</f>
        <v/>
      </c>
      <c r="I122" s="190" t="str">
        <f>IF('Marks Entry'!J122="","",'Marks Entry'!J122)</f>
        <v/>
      </c>
      <c r="J122" s="545" t="str">
        <f>IF('Marks Entry'!K122="","",'Marks Entry'!K122)</f>
        <v/>
      </c>
      <c r="K122" s="545" t="str">
        <f>IF('Marks Entry'!L122="","",'Marks Entry'!L122)</f>
        <v/>
      </c>
      <c r="L122" s="545" t="str">
        <f>IF('Marks Entry'!M122="","",'Marks Entry'!M122)</f>
        <v/>
      </c>
      <c r="M122" s="546" t="str">
        <f t="shared" si="230"/>
        <v/>
      </c>
      <c r="N122" s="545" t="str">
        <f>IF('Marks Entry'!N122="","",'Marks Entry'!N122)</f>
        <v/>
      </c>
      <c r="O122" s="546" t="str">
        <f t="shared" si="231"/>
        <v/>
      </c>
      <c r="P122" s="545" t="str">
        <f>IF('Marks Entry'!O122="","",'Marks Entry'!O122)</f>
        <v/>
      </c>
      <c r="Q122" s="547" t="str">
        <f t="shared" si="232"/>
        <v/>
      </c>
      <c r="R122" s="153">
        <f t="shared" si="233"/>
        <v>0</v>
      </c>
      <c r="S122" s="153">
        <f t="shared" si="234"/>
        <v>0</v>
      </c>
      <c r="T122" s="154" t="str">
        <f t="shared" si="235"/>
        <v/>
      </c>
      <c r="U122" s="153" t="str">
        <f t="shared" si="236"/>
        <v/>
      </c>
      <c r="V122" s="153" t="str">
        <f t="shared" si="237"/>
        <v/>
      </c>
      <c r="W122" s="153" t="str">
        <f t="shared" si="238"/>
        <v/>
      </c>
      <c r="X122" s="545" t="str">
        <f>IF('Marks Entry'!P122="","",'Marks Entry'!P122)</f>
        <v/>
      </c>
      <c r="Y122" s="545" t="str">
        <f>IF('Marks Entry'!Q122="","",'Marks Entry'!Q122)</f>
        <v/>
      </c>
      <c r="Z122" s="545" t="str">
        <f>IF('Marks Entry'!R122="","",'Marks Entry'!R122)</f>
        <v/>
      </c>
      <c r="AA122" s="546" t="str">
        <f t="shared" si="239"/>
        <v/>
      </c>
      <c r="AB122" s="545" t="str">
        <f>IF('Marks Entry'!S122="","",'Marks Entry'!S122)</f>
        <v/>
      </c>
      <c r="AC122" s="546" t="str">
        <f t="shared" si="240"/>
        <v/>
      </c>
      <c r="AD122" s="545" t="str">
        <f>IF('Marks Entry'!T122="","",'Marks Entry'!T122)</f>
        <v/>
      </c>
      <c r="AE122" s="547" t="str">
        <f t="shared" si="241"/>
        <v/>
      </c>
      <c r="AF122" s="153">
        <f t="shared" si="242"/>
        <v>0</v>
      </c>
      <c r="AG122" s="153">
        <f t="shared" si="243"/>
        <v>0</v>
      </c>
      <c r="AH122" s="154" t="str">
        <f t="shared" si="244"/>
        <v/>
      </c>
      <c r="AI122" s="153" t="str">
        <f t="shared" si="245"/>
        <v/>
      </c>
      <c r="AJ122" s="153" t="str">
        <f t="shared" si="246"/>
        <v/>
      </c>
      <c r="AK122" s="153" t="str">
        <f t="shared" si="247"/>
        <v/>
      </c>
      <c r="AL122" s="573" t="str">
        <f>IF('Marks Entry'!U122="","",'Marks Entry'!U122)</f>
        <v/>
      </c>
      <c r="AM122" s="573" t="str">
        <f>IF('Marks Entry'!V122="","",'Marks Entry'!V122)</f>
        <v/>
      </c>
      <c r="AN122" s="573" t="str">
        <f>IF('Marks Entry'!W122="","",'Marks Entry'!W122)</f>
        <v/>
      </c>
      <c r="AO122" s="573" t="str">
        <f>IF('Marks Entry'!X122="","",'Marks Entry'!X122)</f>
        <v/>
      </c>
      <c r="AP122" s="572" t="str">
        <f t="shared" si="248"/>
        <v/>
      </c>
      <c r="AQ122" s="573" t="str">
        <f>IF('Marks Entry'!Y122="","",'Marks Entry'!Y122)</f>
        <v/>
      </c>
      <c r="AR122" s="573" t="str">
        <f>IF('Marks Entry'!Z122="","",'Marks Entry'!Z122)</f>
        <v/>
      </c>
      <c r="AS122" s="572" t="str">
        <f t="shared" si="249"/>
        <v/>
      </c>
      <c r="AT122" s="572" t="str">
        <f t="shared" si="250"/>
        <v/>
      </c>
      <c r="AU122" s="573" t="str">
        <f>IF('Marks Entry'!AA122="","",'Marks Entry'!AA122)</f>
        <v/>
      </c>
      <c r="AV122" s="573" t="str">
        <f>IF('Marks Entry'!AB122="","",'Marks Entry'!AB122)</f>
        <v/>
      </c>
      <c r="AW122" s="572" t="str">
        <f t="shared" si="251"/>
        <v/>
      </c>
      <c r="AX122" s="157" t="str">
        <f t="shared" si="252"/>
        <v/>
      </c>
      <c r="AY122" s="157" t="str">
        <f t="shared" si="253"/>
        <v/>
      </c>
      <c r="AZ122" s="192" t="str">
        <f t="shared" si="254"/>
        <v/>
      </c>
      <c r="BA122" s="153">
        <f t="shared" si="255"/>
        <v>0</v>
      </c>
      <c r="BB122" s="154">
        <f t="shared" si="256"/>
        <v>0</v>
      </c>
      <c r="BC122" s="154" t="str">
        <f t="shared" si="257"/>
        <v/>
      </c>
      <c r="BD122" s="154" t="str">
        <f t="shared" si="258"/>
        <v/>
      </c>
      <c r="BE122" s="154" t="str">
        <f t="shared" si="259"/>
        <v/>
      </c>
      <c r="BF122" s="153" t="str">
        <f t="shared" si="260"/>
        <v/>
      </c>
      <c r="BG122" s="154" t="str">
        <f t="shared" si="261"/>
        <v/>
      </c>
      <c r="BH122" s="153" t="str">
        <f t="shared" si="262"/>
        <v/>
      </c>
      <c r="BI122" s="580" t="str">
        <f>IF('Marks Entry'!AC122="","",'Marks Entry'!AC122)</f>
        <v/>
      </c>
      <c r="BJ122" s="580" t="str">
        <f>IF('Marks Entry'!AD122="","",'Marks Entry'!AD122)</f>
        <v/>
      </c>
      <c r="BK122" s="580" t="str">
        <f>IF('Marks Entry'!AE122="","",'Marks Entry'!AE122)</f>
        <v/>
      </c>
      <c r="BL122" s="580" t="str">
        <f>IF('Marks Entry'!AF122="","",'Marks Entry'!AF122)</f>
        <v/>
      </c>
      <c r="BM122" s="581" t="str">
        <f t="shared" si="263"/>
        <v/>
      </c>
      <c r="BN122" s="580" t="str">
        <f>IF('Marks Entry'!AG122="","",'Marks Entry'!AG122)</f>
        <v/>
      </c>
      <c r="BO122" s="580" t="str">
        <f>IF('Marks Entry'!AH122="","",'Marks Entry'!AH122)</f>
        <v/>
      </c>
      <c r="BP122" s="581" t="str">
        <f t="shared" si="264"/>
        <v/>
      </c>
      <c r="BQ122" s="581" t="str">
        <f t="shared" si="265"/>
        <v/>
      </c>
      <c r="BR122" s="580" t="str">
        <f>IF('Marks Entry'!AI122="","",'Marks Entry'!AI122)</f>
        <v/>
      </c>
      <c r="BS122" s="580" t="str">
        <f>IF('Marks Entry'!AJ122="","",'Marks Entry'!AJ122)</f>
        <v/>
      </c>
      <c r="BT122" s="581" t="str">
        <f t="shared" si="266"/>
        <v/>
      </c>
      <c r="BU122" s="157" t="str">
        <f t="shared" si="267"/>
        <v/>
      </c>
      <c r="BV122" s="157" t="str">
        <f t="shared" si="268"/>
        <v/>
      </c>
      <c r="BW122" s="192" t="str">
        <f t="shared" si="269"/>
        <v/>
      </c>
      <c r="BX122" s="153">
        <f t="shared" si="270"/>
        <v>0</v>
      </c>
      <c r="BY122" s="154">
        <f t="shared" si="271"/>
        <v>0</v>
      </c>
      <c r="BZ122" s="154" t="str">
        <f t="shared" si="272"/>
        <v/>
      </c>
      <c r="CA122" s="154" t="str">
        <f t="shared" si="273"/>
        <v/>
      </c>
      <c r="CB122" s="154" t="str">
        <f t="shared" si="274"/>
        <v/>
      </c>
      <c r="CC122" s="153" t="str">
        <f t="shared" si="275"/>
        <v/>
      </c>
      <c r="CD122" s="154" t="str">
        <f t="shared" si="276"/>
        <v/>
      </c>
      <c r="CE122" s="153" t="str">
        <f t="shared" si="277"/>
        <v/>
      </c>
      <c r="CF122" s="580" t="str">
        <f>IF('Marks Entry'!AK122="","",'Marks Entry'!AK122)</f>
        <v/>
      </c>
      <c r="CG122" s="580" t="str">
        <f>IF('Marks Entry'!AL122="","",'Marks Entry'!AL122)</f>
        <v/>
      </c>
      <c r="CH122" s="580" t="str">
        <f>IF('Marks Entry'!AM122="","",'Marks Entry'!AM122)</f>
        <v/>
      </c>
      <c r="CI122" s="580" t="str">
        <f>IF('Marks Entry'!AN122="","",'Marks Entry'!AN122)</f>
        <v/>
      </c>
      <c r="CJ122" s="581" t="str">
        <f t="shared" si="278"/>
        <v/>
      </c>
      <c r="CK122" s="580" t="str">
        <f>IF('Marks Entry'!AO122="","",'Marks Entry'!AO122)</f>
        <v/>
      </c>
      <c r="CL122" s="580" t="str">
        <f>IF('Marks Entry'!AP122="","",'Marks Entry'!AP122)</f>
        <v/>
      </c>
      <c r="CM122" s="581" t="str">
        <f t="shared" si="279"/>
        <v/>
      </c>
      <c r="CN122" s="581" t="str">
        <f t="shared" si="280"/>
        <v/>
      </c>
      <c r="CO122" s="580" t="str">
        <f>IF('Marks Entry'!AQ122="","",'Marks Entry'!AQ122)</f>
        <v/>
      </c>
      <c r="CP122" s="580" t="str">
        <f>IF('Marks Entry'!AR122="","",'Marks Entry'!AR122)</f>
        <v/>
      </c>
      <c r="CQ122" s="581" t="str">
        <f t="shared" si="281"/>
        <v/>
      </c>
      <c r="CR122" s="157" t="str">
        <f t="shared" si="282"/>
        <v/>
      </c>
      <c r="CS122" s="157" t="str">
        <f t="shared" si="283"/>
        <v/>
      </c>
      <c r="CT122" s="192" t="str">
        <f t="shared" si="284"/>
        <v/>
      </c>
      <c r="CU122" s="153">
        <f t="shared" si="285"/>
        <v>0</v>
      </c>
      <c r="CV122" s="154">
        <f t="shared" si="286"/>
        <v>0</v>
      </c>
      <c r="CW122" s="154" t="str">
        <f t="shared" si="287"/>
        <v/>
      </c>
      <c r="CX122" s="154" t="str">
        <f t="shared" si="288"/>
        <v/>
      </c>
      <c r="CY122" s="154" t="str">
        <f t="shared" si="289"/>
        <v/>
      </c>
      <c r="CZ122" s="153" t="str">
        <f t="shared" si="290"/>
        <v/>
      </c>
      <c r="DA122" s="154" t="str">
        <f t="shared" si="291"/>
        <v/>
      </c>
      <c r="DB122" s="153" t="str">
        <f t="shared" si="292"/>
        <v/>
      </c>
      <c r="DC122" s="154">
        <f t="shared" si="293"/>
        <v>0</v>
      </c>
      <c r="DD122" s="826" t="str">
        <f>IF('Marks Entry'!AS122="","",IF(OR('Master Sheet'!$D$19="YES",'Marks Entry'!$BA$1=1),'Marks Entry'!AS122,""))</f>
        <v/>
      </c>
      <c r="DE122" s="826" t="str">
        <f>IF('Marks Entry'!AT122="","",IF(OR('Master Sheet'!$D$19="YES",'Marks Entry'!$BA$1=1),'Marks Entry'!AT122,""))</f>
        <v/>
      </c>
      <c r="DF122" s="826" t="str">
        <f>IF('Marks Entry'!AU122="","",IF(OR('Master Sheet'!$D$19="YES",'Marks Entry'!$BA$1=1),'Marks Entry'!AU122,""))</f>
        <v/>
      </c>
      <c r="DG122" s="826" t="str">
        <f>IF('Marks Entry'!AV122="","",IF(OR('Master Sheet'!$D$19="YES",'Marks Entry'!$BA$1=1),'Marks Entry'!AV122,""))</f>
        <v/>
      </c>
      <c r="DH122" s="827" t="str">
        <f t="shared" si="294"/>
        <v/>
      </c>
      <c r="DI122" s="826" t="str">
        <f>IF('Marks Entry'!AW122="","",IF(OR('Master Sheet'!$D$19="YES",'Marks Entry'!$BA$1=1),'Marks Entry'!AW122,""))</f>
        <v/>
      </c>
      <c r="DJ122" s="826" t="str">
        <f>IF('Marks Entry'!AX122="","",IF(OR('Master Sheet'!$D$19="YES",'Marks Entry'!$BA$1=1),'Marks Entry'!AX122,""))</f>
        <v/>
      </c>
      <c r="DK122" s="827" t="str">
        <f t="shared" si="295"/>
        <v/>
      </c>
      <c r="DL122" s="827" t="str">
        <f t="shared" si="296"/>
        <v/>
      </c>
      <c r="DM122" s="826" t="str">
        <f>IF('Marks Entry'!AY122="","",IF(OR('Master Sheet'!$D$19="YES",'Marks Entry'!$BA$1=1),'Marks Entry'!AY122,""))</f>
        <v/>
      </c>
      <c r="DN122" s="826" t="str">
        <f>IF('Marks Entry'!AZ122="","",IF(OR('Master Sheet'!$D$19="YES",'Marks Entry'!$BA$1=1),'Marks Entry'!AZ122,""))</f>
        <v/>
      </c>
      <c r="DO122" s="826" t="str">
        <f>IF('Marks Entry'!BA122="","",IF(OR('Master Sheet'!$D$19="YES",'Marks Entry'!$BA$1=1),'Marks Entry'!BA122,""))</f>
        <v/>
      </c>
      <c r="DP122" s="827" t="str">
        <f t="shared" si="297"/>
        <v/>
      </c>
      <c r="DQ122" s="157" t="str">
        <f t="shared" si="298"/>
        <v/>
      </c>
      <c r="DR122" s="157" t="str">
        <f t="shared" si="299"/>
        <v/>
      </c>
      <c r="DS122" s="157" t="str">
        <f t="shared" si="300"/>
        <v/>
      </c>
      <c r="DT122" s="192" t="str">
        <f t="shared" si="301"/>
        <v/>
      </c>
      <c r="DU122" s="153">
        <f t="shared" si="302"/>
        <v>0</v>
      </c>
      <c r="DV122" s="154" t="e">
        <f t="shared" si="303"/>
        <v>#VALUE!</v>
      </c>
      <c r="DW122" s="154" t="str">
        <f t="shared" si="304"/>
        <v/>
      </c>
      <c r="DX122" s="154" t="str">
        <f>IF(OR($B122="NSO",$B122=0,DS122=""),"",IF(AND(DJ122="",DO122=""),"",IF('Master Sheet'!$D$19="YES",$DO$6-COUNTIF(DO122,"ML")*DO$6,DS$6-(COUNTIF(DJ122,"ML")*DJ$6)-(COUNTIF(DO122,"ML")*DO$6))))</f>
        <v/>
      </c>
      <c r="DY122" s="154" t="str">
        <f>IF(OR($B122="NSO",$B122=0),"",IF(AND(DH122="",DI122="",DM122=""),"",IF(AND('Master Sheet'!$D$19="YES",'Marks Entry'!$BA$1=1),100,IF(AND(DJ122="",DO122=""),SUM(($DQ$7+$DR$7)-(DU122+DV122)),SUM(($DQ$6+$DR$6)-(DU122+DV122))))))</f>
        <v/>
      </c>
      <c r="DZ122" s="153" t="str">
        <f t="shared" si="305"/>
        <v/>
      </c>
      <c r="EA122" s="154" t="str">
        <f t="shared" si="306"/>
        <v/>
      </c>
      <c r="EB122" s="153" t="str">
        <f t="shared" si="307"/>
        <v/>
      </c>
      <c r="EC122" s="584" t="str">
        <f>IF('Marks Entry'!BB122="","",'Marks Entry'!BB122)</f>
        <v/>
      </c>
      <c r="ED122" s="584" t="str">
        <f>IF('Marks Entry'!BC122="","",'Marks Entry'!BC122)</f>
        <v/>
      </c>
      <c r="EE122" s="584" t="str">
        <f>IF('Marks Entry'!BD122="","",'Marks Entry'!BD122)</f>
        <v/>
      </c>
      <c r="EF122" s="590" t="str">
        <f t="shared" si="308"/>
        <v/>
      </c>
      <c r="EG122" s="595">
        <f t="shared" si="309"/>
        <v>0</v>
      </c>
      <c r="EH122" s="595">
        <f t="shared" si="310"/>
        <v>0</v>
      </c>
      <c r="EI122" s="193" t="str">
        <f t="shared" si="311"/>
        <v/>
      </c>
      <c r="EJ122" s="595" t="str">
        <f t="shared" si="312"/>
        <v/>
      </c>
      <c r="EK122" s="595" t="str">
        <f t="shared" si="313"/>
        <v/>
      </c>
      <c r="EL122" s="194" t="str">
        <f t="shared" si="314"/>
        <v/>
      </c>
      <c r="EM122" s="194" t="str">
        <f t="shared" si="315"/>
        <v/>
      </c>
      <c r="EN122" s="194" t="str">
        <f t="shared" si="316"/>
        <v/>
      </c>
      <c r="EO122" s="194" t="str">
        <f t="shared" si="317"/>
        <v/>
      </c>
      <c r="EP122" s="194" t="str">
        <f t="shared" si="318"/>
        <v/>
      </c>
      <c r="EQ122" s="194" t="str">
        <f t="shared" si="319"/>
        <v/>
      </c>
      <c r="ER122" s="195">
        <f t="shared" si="320"/>
        <v>0</v>
      </c>
      <c r="ES122" s="195">
        <f t="shared" si="321"/>
        <v>0</v>
      </c>
      <c r="ET122" s="195">
        <f t="shared" si="322"/>
        <v>0</v>
      </c>
      <c r="EU122" s="195">
        <f t="shared" si="323"/>
        <v>0</v>
      </c>
      <c r="EV122" s="195">
        <f t="shared" si="324"/>
        <v>0</v>
      </c>
      <c r="EW122" s="195" t="str">
        <f t="shared" si="325"/>
        <v/>
      </c>
      <c r="EX122" s="196" t="str">
        <f t="shared" si="326"/>
        <v/>
      </c>
      <c r="EY122" s="197" t="str">
        <f>IF('Marks Entry'!BE122="","",'Marks Entry'!BE122)</f>
        <v/>
      </c>
      <c r="EZ122" s="197" t="str">
        <f>IF('Marks Entry'!BF122="","",'Marks Entry'!BF122)</f>
        <v/>
      </c>
      <c r="FA122" s="197" t="str">
        <f>IF('Marks Entry'!BG122="","",'Marks Entry'!BG122)</f>
        <v/>
      </c>
      <c r="FB122" s="596" t="str">
        <f t="shared" si="327"/>
        <v/>
      </c>
      <c r="FC122" s="197" t="str">
        <f>IF('Marks Entry'!BH122="","",'Marks Entry'!BH122)</f>
        <v/>
      </c>
      <c r="FD122" s="197" t="str">
        <f>IF('Marks Entry'!BI122="","",'Marks Entry'!BI122)</f>
        <v/>
      </c>
      <c r="FE122" s="198" t="str">
        <f t="shared" si="328"/>
        <v/>
      </c>
      <c r="FF122" s="199" t="str">
        <f t="shared" si="329"/>
        <v/>
      </c>
      <c r="FG122" s="200" t="str">
        <f>IF(AND(E122=""),"",IF('Student DATA Entry'!L118="","",'Student DATA Entry'!L118))</f>
        <v/>
      </c>
      <c r="FH122" s="201" t="str">
        <f>IF(AND(E122=""),"",IF('Student DATA Entry'!M118="","",'Student DATA Entry'!M118))</f>
        <v/>
      </c>
      <c r="FI122" s="202" t="str">
        <f t="shared" si="330"/>
        <v/>
      </c>
      <c r="FJ122" s="189" t="str">
        <f t="shared" si="331"/>
        <v/>
      </c>
      <c r="FK122" s="189" t="str">
        <f t="shared" si="332"/>
        <v/>
      </c>
      <c r="FL122" s="203" t="str">
        <f t="shared" si="360"/>
        <v/>
      </c>
      <c r="FM122" s="189" t="str">
        <f t="shared" si="333"/>
        <v/>
      </c>
      <c r="FN122" s="204" t="str">
        <f t="shared" si="334"/>
        <v/>
      </c>
      <c r="FO122" s="203" t="str">
        <f t="shared" si="361"/>
        <v/>
      </c>
      <c r="FP122" s="205" t="str">
        <f t="shared" si="335"/>
        <v/>
      </c>
      <c r="FQ122" s="189" t="str">
        <f t="shared" si="362"/>
        <v/>
      </c>
      <c r="FR122" s="189" t="str">
        <f t="shared" si="363"/>
        <v/>
      </c>
      <c r="FS122" s="189" t="str">
        <f t="shared" si="364"/>
        <v/>
      </c>
      <c r="FT122" s="189" t="str">
        <f t="shared" si="365"/>
        <v/>
      </c>
      <c r="FU122" s="189" t="str">
        <f t="shared" si="336"/>
        <v/>
      </c>
      <c r="FV122" s="206" t="str">
        <f t="shared" si="366"/>
        <v/>
      </c>
      <c r="FW122" s="205" t="str">
        <f t="shared" si="337"/>
        <v/>
      </c>
      <c r="FX122" s="189" t="str">
        <f t="shared" si="367"/>
        <v/>
      </c>
      <c r="FY122" s="189" t="str">
        <f t="shared" si="368"/>
        <v/>
      </c>
      <c r="FZ122" s="189" t="str">
        <f t="shared" si="369"/>
        <v/>
      </c>
      <c r="GA122" s="189" t="str">
        <f t="shared" si="370"/>
        <v/>
      </c>
      <c r="GB122" s="189" t="str">
        <f t="shared" si="338"/>
        <v/>
      </c>
      <c r="GC122" s="206" t="str">
        <f t="shared" si="371"/>
        <v/>
      </c>
      <c r="GD122" s="205" t="str">
        <f t="shared" si="339"/>
        <v/>
      </c>
      <c r="GE122" s="189" t="str">
        <f t="shared" si="372"/>
        <v/>
      </c>
      <c r="GF122" s="189" t="str">
        <f t="shared" si="373"/>
        <v/>
      </c>
      <c r="GG122" s="189" t="str">
        <f t="shared" si="374"/>
        <v/>
      </c>
      <c r="GH122" s="189" t="str">
        <f t="shared" si="375"/>
        <v/>
      </c>
      <c r="GI122" s="189" t="str">
        <f t="shared" si="340"/>
        <v/>
      </c>
      <c r="GJ122" s="206" t="str">
        <f t="shared" si="376"/>
        <v/>
      </c>
      <c r="GK122" s="205" t="str">
        <f t="shared" si="341"/>
        <v/>
      </c>
      <c r="GL122" s="189" t="str">
        <f t="shared" si="377"/>
        <v/>
      </c>
      <c r="GM122" s="189" t="str">
        <f t="shared" si="378"/>
        <v/>
      </c>
      <c r="GN122" s="189" t="str">
        <f t="shared" si="379"/>
        <v/>
      </c>
      <c r="GO122" s="189" t="str">
        <f t="shared" si="380"/>
        <v/>
      </c>
      <c r="GP122" s="189" t="str">
        <f t="shared" si="342"/>
        <v/>
      </c>
      <c r="GQ122" s="206" t="str">
        <f t="shared" si="381"/>
        <v/>
      </c>
      <c r="GR122" s="189" t="str">
        <f t="shared" si="343"/>
        <v/>
      </c>
      <c r="GS122" s="189" t="str">
        <f t="shared" si="344"/>
        <v/>
      </c>
      <c r="GT122" s="207" t="str">
        <f t="shared" si="345"/>
        <v xml:space="preserve">    </v>
      </c>
      <c r="GU122" s="207" t="str">
        <f t="shared" si="346"/>
        <v xml:space="preserve">    </v>
      </c>
      <c r="GV122" s="207" t="str">
        <f t="shared" si="347"/>
        <v xml:space="preserve">    </v>
      </c>
      <c r="GW122" s="207" t="str">
        <f t="shared" si="348"/>
        <v xml:space="preserve">       </v>
      </c>
      <c r="GX122" s="598" t="str">
        <f t="shared" si="349"/>
        <v xml:space="preserve">     </v>
      </c>
      <c r="GY122" s="208" t="str">
        <f t="shared" si="382"/>
        <v/>
      </c>
      <c r="GZ122" s="606" t="str">
        <f>IF(AND(Q122="",AE122="",AZ122="",BW122="",CT122=""),"",IF(AND('Master Sheet'!$D$19="YES",'Marks Entry'!$BA$1=1),SUM(Q122,AE122,AZ122,BW122,DT122),SUM(Q122,AE122,AZ122,BW122,CT122)))</f>
        <v/>
      </c>
      <c r="HA122" s="209" t="str">
        <f>IF(GZ122="","",IF(AND('Master Sheet'!$D$19="YES",'Marks Entry'!$BA$1=1),GZ122/((900)-DC122)*100,GZ122/((1000)-DC122)*100))</f>
        <v/>
      </c>
      <c r="HB122" s="611" t="str">
        <f t="shared" si="350"/>
        <v/>
      </c>
      <c r="HC122" s="609" t="str">
        <f t="shared" si="351"/>
        <v/>
      </c>
      <c r="HD122" s="610" t="str">
        <f t="shared" si="352"/>
        <v/>
      </c>
      <c r="HE122" s="210" t="str">
        <f>IFERROR(IF(OR(GY122="SUPPLEMENTARY",GY122="RE-EXAM"),'Supp. Result Entry'!AS121,""),"")</f>
        <v/>
      </c>
      <c r="HF122" s="613" t="str">
        <f t="shared" si="353"/>
        <v/>
      </c>
      <c r="HG122" s="598" t="str">
        <f t="shared" si="354"/>
        <v/>
      </c>
      <c r="HH122" s="598" t="str">
        <f>IF(AND(HE122="",HF122="",HG122=""),"",IF(OR(GY122="SUPPLEMENTARY",GY122="RE-EXAM"),'Supp. Result Entry'!AS121,GY122))</f>
        <v/>
      </c>
      <c r="HI122" s="180"/>
      <c r="HY122" s="212" t="str">
        <f>IF('Supp. Result Entry'!U121="","",'Supp. Result Entry'!$U$6)</f>
        <v/>
      </c>
      <c r="HZ122" s="213" t="str">
        <f>IF('Supp. Result Entry'!X121="","",'Supp. Result Entry'!$X$6)</f>
        <v/>
      </c>
      <c r="IA122" s="213" t="str">
        <f>IF('Supp. Result Entry'!AA121="","",'Supp. Result Entry'!$AA$6)</f>
        <v/>
      </c>
      <c r="IB122" s="213" t="str">
        <f>IF('Supp. Result Entry'!AD121="","",'Supp. Result Entry'!$AD$6)</f>
        <v/>
      </c>
      <c r="IC122" s="213" t="str">
        <f>IF('Supp. Result Entry'!AG121="","",'Supp. Result Entry'!$AG$6)</f>
        <v/>
      </c>
      <c r="ID122" s="213" t="str">
        <f>IF('Supp. Result Entry'!AJ121="","",'Supp. Result Entry'!$AJ$6)</f>
        <v/>
      </c>
      <c r="IE122" s="213" t="str">
        <f>IF('Supp. Result Entry'!V121="","",'Supp. Result Entry'!V121)</f>
        <v/>
      </c>
      <c r="IF122" s="213" t="str">
        <f>IF('Supp. Result Entry'!Y121="","",'Supp. Result Entry'!Y121)</f>
        <v/>
      </c>
      <c r="IG122" s="213" t="str">
        <f>IF('Supp. Result Entry'!AB121="","",'Supp. Result Entry'!AB121)</f>
        <v/>
      </c>
      <c r="IH122" s="213" t="str">
        <f>IF('Supp. Result Entry'!AE121="","",'Supp. Result Entry'!AE121)</f>
        <v/>
      </c>
      <c r="II122" s="213" t="str">
        <f>IF('Supp. Result Entry'!AH121="","",'Supp. Result Entry'!AH121)</f>
        <v/>
      </c>
      <c r="IJ122" s="213" t="str">
        <f>IF('Supp. Result Entry'!AK121="","",'Supp. Result Entry'!AK121)</f>
        <v/>
      </c>
      <c r="IK122" s="213" t="str">
        <f>IF('Supp. Result Entry'!W121="","",'Supp. Result Entry'!W121)</f>
        <v/>
      </c>
      <c r="IL122" s="213" t="str">
        <f>IF('Supp. Result Entry'!Z121="","",'Supp. Result Entry'!Z121)</f>
        <v/>
      </c>
      <c r="IM122" s="213" t="str">
        <f>IF('Supp. Result Entry'!AC121="","",'Supp. Result Entry'!AC121)</f>
        <v/>
      </c>
      <c r="IN122" s="213" t="str">
        <f>IF('Supp. Result Entry'!AF121="","",'Supp. Result Entry'!AF121)</f>
        <v/>
      </c>
      <c r="IO122" s="213" t="str">
        <f>IF('Supp. Result Entry'!AI121="","",'Supp. Result Entry'!AI121)</f>
        <v/>
      </c>
      <c r="IP122" s="213" t="str">
        <f>IF('Supp. Result Entry'!AL121="","",'Supp. Result Entry'!AL121)</f>
        <v/>
      </c>
      <c r="IQ122" s="213">
        <f>COUNTIF('Supp. Result Entry'!K121:Q121,"S")</f>
        <v>0</v>
      </c>
      <c r="IR122" s="213">
        <f t="shared" si="355"/>
        <v>0</v>
      </c>
      <c r="IS122" s="213">
        <f t="shared" si="356"/>
        <v>0</v>
      </c>
      <c r="IT122" s="213" t="str">
        <f t="shared" si="224"/>
        <v/>
      </c>
      <c r="IU122" s="213" t="str">
        <f t="shared" si="225"/>
        <v/>
      </c>
      <c r="IV122" s="213" t="str">
        <f t="shared" si="226"/>
        <v/>
      </c>
      <c r="IW122" s="213" t="str">
        <f t="shared" si="227"/>
        <v/>
      </c>
      <c r="IX122" s="213" t="str">
        <f t="shared" si="228"/>
        <v/>
      </c>
      <c r="IY122" s="213" t="str">
        <f t="shared" si="357"/>
        <v/>
      </c>
      <c r="IZ122" s="213" t="str">
        <f t="shared" si="358"/>
        <v/>
      </c>
      <c r="JA122" s="213" t="str">
        <f t="shared" si="229"/>
        <v/>
      </c>
      <c r="JB122" s="211" t="str">
        <f t="shared" si="359"/>
        <v/>
      </c>
    </row>
    <row r="123" spans="1:262" s="211" customFormat="1" ht="21" customHeight="1">
      <c r="A123" s="184">
        <v>116</v>
      </c>
      <c r="B123" s="185" t="str">
        <f>IF('Marks Entry'!B123="","",'Marks Entry'!B123)</f>
        <v/>
      </c>
      <c r="C123" s="186" t="str">
        <f>IF('Marks Entry'!D123="","",'Marks Entry'!D123)</f>
        <v/>
      </c>
      <c r="D123" s="187" t="str">
        <f>IF('Marks Entry'!E123="","",'Marks Entry'!E123)</f>
        <v/>
      </c>
      <c r="E123" s="188" t="str">
        <f>IF('Marks Entry'!F123="","",'Marks Entry'!F123)</f>
        <v/>
      </c>
      <c r="F123" s="188" t="str">
        <f>IF('Marks Entry'!G123="","",'Marks Entry'!G123)</f>
        <v/>
      </c>
      <c r="G123" s="188" t="str">
        <f>IF('Marks Entry'!H123="","",'Marks Entry'!H123)</f>
        <v/>
      </c>
      <c r="H123" s="189" t="str">
        <f>IF('Marks Entry'!I123="","",'Marks Entry'!I123)</f>
        <v/>
      </c>
      <c r="I123" s="190" t="str">
        <f>IF('Marks Entry'!J123="","",'Marks Entry'!J123)</f>
        <v/>
      </c>
      <c r="J123" s="545" t="str">
        <f>IF('Marks Entry'!K123="","",'Marks Entry'!K123)</f>
        <v/>
      </c>
      <c r="K123" s="545" t="str">
        <f>IF('Marks Entry'!L123="","",'Marks Entry'!L123)</f>
        <v/>
      </c>
      <c r="L123" s="545" t="str">
        <f>IF('Marks Entry'!M123="","",'Marks Entry'!M123)</f>
        <v/>
      </c>
      <c r="M123" s="546" t="str">
        <f t="shared" si="230"/>
        <v/>
      </c>
      <c r="N123" s="545" t="str">
        <f>IF('Marks Entry'!N123="","",'Marks Entry'!N123)</f>
        <v/>
      </c>
      <c r="O123" s="546" t="str">
        <f t="shared" si="231"/>
        <v/>
      </c>
      <c r="P123" s="545" t="str">
        <f>IF('Marks Entry'!O123="","",'Marks Entry'!O123)</f>
        <v/>
      </c>
      <c r="Q123" s="547" t="str">
        <f t="shared" si="232"/>
        <v/>
      </c>
      <c r="R123" s="153">
        <f t="shared" si="233"/>
        <v>0</v>
      </c>
      <c r="S123" s="153">
        <f t="shared" si="234"/>
        <v>0</v>
      </c>
      <c r="T123" s="154" t="str">
        <f t="shared" si="235"/>
        <v/>
      </c>
      <c r="U123" s="153" t="str">
        <f t="shared" si="236"/>
        <v/>
      </c>
      <c r="V123" s="153" t="str">
        <f t="shared" si="237"/>
        <v/>
      </c>
      <c r="W123" s="153" t="str">
        <f t="shared" si="238"/>
        <v/>
      </c>
      <c r="X123" s="545" t="str">
        <f>IF('Marks Entry'!P123="","",'Marks Entry'!P123)</f>
        <v/>
      </c>
      <c r="Y123" s="545" t="str">
        <f>IF('Marks Entry'!Q123="","",'Marks Entry'!Q123)</f>
        <v/>
      </c>
      <c r="Z123" s="545" t="str">
        <f>IF('Marks Entry'!R123="","",'Marks Entry'!R123)</f>
        <v/>
      </c>
      <c r="AA123" s="546" t="str">
        <f t="shared" si="239"/>
        <v/>
      </c>
      <c r="AB123" s="545" t="str">
        <f>IF('Marks Entry'!S123="","",'Marks Entry'!S123)</f>
        <v/>
      </c>
      <c r="AC123" s="546" t="str">
        <f t="shared" si="240"/>
        <v/>
      </c>
      <c r="AD123" s="545" t="str">
        <f>IF('Marks Entry'!T123="","",'Marks Entry'!T123)</f>
        <v/>
      </c>
      <c r="AE123" s="547" t="str">
        <f t="shared" si="241"/>
        <v/>
      </c>
      <c r="AF123" s="153">
        <f t="shared" si="242"/>
        <v>0</v>
      </c>
      <c r="AG123" s="153">
        <f t="shared" si="243"/>
        <v>0</v>
      </c>
      <c r="AH123" s="154" t="str">
        <f t="shared" si="244"/>
        <v/>
      </c>
      <c r="AI123" s="153" t="str">
        <f t="shared" si="245"/>
        <v/>
      </c>
      <c r="AJ123" s="153" t="str">
        <f t="shared" si="246"/>
        <v/>
      </c>
      <c r="AK123" s="153" t="str">
        <f t="shared" si="247"/>
        <v/>
      </c>
      <c r="AL123" s="573" t="str">
        <f>IF('Marks Entry'!U123="","",'Marks Entry'!U123)</f>
        <v/>
      </c>
      <c r="AM123" s="573" t="str">
        <f>IF('Marks Entry'!V123="","",'Marks Entry'!V123)</f>
        <v/>
      </c>
      <c r="AN123" s="573" t="str">
        <f>IF('Marks Entry'!W123="","",'Marks Entry'!W123)</f>
        <v/>
      </c>
      <c r="AO123" s="573" t="str">
        <f>IF('Marks Entry'!X123="","",'Marks Entry'!X123)</f>
        <v/>
      </c>
      <c r="AP123" s="572" t="str">
        <f t="shared" si="248"/>
        <v/>
      </c>
      <c r="AQ123" s="573" t="str">
        <f>IF('Marks Entry'!Y123="","",'Marks Entry'!Y123)</f>
        <v/>
      </c>
      <c r="AR123" s="573" t="str">
        <f>IF('Marks Entry'!Z123="","",'Marks Entry'!Z123)</f>
        <v/>
      </c>
      <c r="AS123" s="572" t="str">
        <f t="shared" si="249"/>
        <v/>
      </c>
      <c r="AT123" s="572" t="str">
        <f t="shared" si="250"/>
        <v/>
      </c>
      <c r="AU123" s="573" t="str">
        <f>IF('Marks Entry'!AA123="","",'Marks Entry'!AA123)</f>
        <v/>
      </c>
      <c r="AV123" s="573" t="str">
        <f>IF('Marks Entry'!AB123="","",'Marks Entry'!AB123)</f>
        <v/>
      </c>
      <c r="AW123" s="572" t="str">
        <f t="shared" si="251"/>
        <v/>
      </c>
      <c r="AX123" s="157" t="str">
        <f t="shared" si="252"/>
        <v/>
      </c>
      <c r="AY123" s="157" t="str">
        <f t="shared" si="253"/>
        <v/>
      </c>
      <c r="AZ123" s="192" t="str">
        <f t="shared" si="254"/>
        <v/>
      </c>
      <c r="BA123" s="153">
        <f t="shared" si="255"/>
        <v>0</v>
      </c>
      <c r="BB123" s="154">
        <f t="shared" si="256"/>
        <v>0</v>
      </c>
      <c r="BC123" s="154" t="str">
        <f t="shared" si="257"/>
        <v/>
      </c>
      <c r="BD123" s="154" t="str">
        <f t="shared" si="258"/>
        <v/>
      </c>
      <c r="BE123" s="154" t="str">
        <f t="shared" si="259"/>
        <v/>
      </c>
      <c r="BF123" s="153" t="str">
        <f t="shared" si="260"/>
        <v/>
      </c>
      <c r="BG123" s="154" t="str">
        <f t="shared" si="261"/>
        <v/>
      </c>
      <c r="BH123" s="153" t="str">
        <f t="shared" si="262"/>
        <v/>
      </c>
      <c r="BI123" s="580" t="str">
        <f>IF('Marks Entry'!AC123="","",'Marks Entry'!AC123)</f>
        <v/>
      </c>
      <c r="BJ123" s="580" t="str">
        <f>IF('Marks Entry'!AD123="","",'Marks Entry'!AD123)</f>
        <v/>
      </c>
      <c r="BK123" s="580" t="str">
        <f>IF('Marks Entry'!AE123="","",'Marks Entry'!AE123)</f>
        <v/>
      </c>
      <c r="BL123" s="580" t="str">
        <f>IF('Marks Entry'!AF123="","",'Marks Entry'!AF123)</f>
        <v/>
      </c>
      <c r="BM123" s="581" t="str">
        <f t="shared" si="263"/>
        <v/>
      </c>
      <c r="BN123" s="580" t="str">
        <f>IF('Marks Entry'!AG123="","",'Marks Entry'!AG123)</f>
        <v/>
      </c>
      <c r="BO123" s="580" t="str">
        <f>IF('Marks Entry'!AH123="","",'Marks Entry'!AH123)</f>
        <v/>
      </c>
      <c r="BP123" s="581" t="str">
        <f t="shared" si="264"/>
        <v/>
      </c>
      <c r="BQ123" s="581" t="str">
        <f t="shared" si="265"/>
        <v/>
      </c>
      <c r="BR123" s="580" t="str">
        <f>IF('Marks Entry'!AI123="","",'Marks Entry'!AI123)</f>
        <v/>
      </c>
      <c r="BS123" s="580" t="str">
        <f>IF('Marks Entry'!AJ123="","",'Marks Entry'!AJ123)</f>
        <v/>
      </c>
      <c r="BT123" s="581" t="str">
        <f t="shared" si="266"/>
        <v/>
      </c>
      <c r="BU123" s="157" t="str">
        <f t="shared" si="267"/>
        <v/>
      </c>
      <c r="BV123" s="157" t="str">
        <f t="shared" si="268"/>
        <v/>
      </c>
      <c r="BW123" s="192" t="str">
        <f t="shared" si="269"/>
        <v/>
      </c>
      <c r="BX123" s="153">
        <f t="shared" si="270"/>
        <v>0</v>
      </c>
      <c r="BY123" s="154">
        <f t="shared" si="271"/>
        <v>0</v>
      </c>
      <c r="BZ123" s="154" t="str">
        <f t="shared" si="272"/>
        <v/>
      </c>
      <c r="CA123" s="154" t="str">
        <f t="shared" si="273"/>
        <v/>
      </c>
      <c r="CB123" s="154" t="str">
        <f t="shared" si="274"/>
        <v/>
      </c>
      <c r="CC123" s="153" t="str">
        <f t="shared" si="275"/>
        <v/>
      </c>
      <c r="CD123" s="154" t="str">
        <f t="shared" si="276"/>
        <v/>
      </c>
      <c r="CE123" s="153" t="str">
        <f t="shared" si="277"/>
        <v/>
      </c>
      <c r="CF123" s="580" t="str">
        <f>IF('Marks Entry'!AK123="","",'Marks Entry'!AK123)</f>
        <v/>
      </c>
      <c r="CG123" s="580" t="str">
        <f>IF('Marks Entry'!AL123="","",'Marks Entry'!AL123)</f>
        <v/>
      </c>
      <c r="CH123" s="580" t="str">
        <f>IF('Marks Entry'!AM123="","",'Marks Entry'!AM123)</f>
        <v/>
      </c>
      <c r="CI123" s="580" t="str">
        <f>IF('Marks Entry'!AN123="","",'Marks Entry'!AN123)</f>
        <v/>
      </c>
      <c r="CJ123" s="581" t="str">
        <f t="shared" si="278"/>
        <v/>
      </c>
      <c r="CK123" s="580" t="str">
        <f>IF('Marks Entry'!AO123="","",'Marks Entry'!AO123)</f>
        <v/>
      </c>
      <c r="CL123" s="580" t="str">
        <f>IF('Marks Entry'!AP123="","",'Marks Entry'!AP123)</f>
        <v/>
      </c>
      <c r="CM123" s="581" t="str">
        <f t="shared" si="279"/>
        <v/>
      </c>
      <c r="CN123" s="581" t="str">
        <f t="shared" si="280"/>
        <v/>
      </c>
      <c r="CO123" s="580" t="str">
        <f>IF('Marks Entry'!AQ123="","",'Marks Entry'!AQ123)</f>
        <v/>
      </c>
      <c r="CP123" s="580" t="str">
        <f>IF('Marks Entry'!AR123="","",'Marks Entry'!AR123)</f>
        <v/>
      </c>
      <c r="CQ123" s="581" t="str">
        <f t="shared" si="281"/>
        <v/>
      </c>
      <c r="CR123" s="157" t="str">
        <f t="shared" si="282"/>
        <v/>
      </c>
      <c r="CS123" s="157" t="str">
        <f t="shared" si="283"/>
        <v/>
      </c>
      <c r="CT123" s="192" t="str">
        <f t="shared" si="284"/>
        <v/>
      </c>
      <c r="CU123" s="153">
        <f t="shared" si="285"/>
        <v>0</v>
      </c>
      <c r="CV123" s="154">
        <f t="shared" si="286"/>
        <v>0</v>
      </c>
      <c r="CW123" s="154" t="str">
        <f t="shared" si="287"/>
        <v/>
      </c>
      <c r="CX123" s="154" t="str">
        <f t="shared" si="288"/>
        <v/>
      </c>
      <c r="CY123" s="154" t="str">
        <f t="shared" si="289"/>
        <v/>
      </c>
      <c r="CZ123" s="153" t="str">
        <f t="shared" si="290"/>
        <v/>
      </c>
      <c r="DA123" s="154" t="str">
        <f t="shared" si="291"/>
        <v/>
      </c>
      <c r="DB123" s="153" t="str">
        <f t="shared" si="292"/>
        <v/>
      </c>
      <c r="DC123" s="154">
        <f t="shared" si="293"/>
        <v>0</v>
      </c>
      <c r="DD123" s="826" t="str">
        <f>IF('Marks Entry'!AS123="","",IF(OR('Master Sheet'!$D$19="YES",'Marks Entry'!$BA$1=1),'Marks Entry'!AS123,""))</f>
        <v/>
      </c>
      <c r="DE123" s="826" t="str">
        <f>IF('Marks Entry'!AT123="","",IF(OR('Master Sheet'!$D$19="YES",'Marks Entry'!$BA$1=1),'Marks Entry'!AT123,""))</f>
        <v/>
      </c>
      <c r="DF123" s="826" t="str">
        <f>IF('Marks Entry'!AU123="","",IF(OR('Master Sheet'!$D$19="YES",'Marks Entry'!$BA$1=1),'Marks Entry'!AU123,""))</f>
        <v/>
      </c>
      <c r="DG123" s="826" t="str">
        <f>IF('Marks Entry'!AV123="","",IF(OR('Master Sheet'!$D$19="YES",'Marks Entry'!$BA$1=1),'Marks Entry'!AV123,""))</f>
        <v/>
      </c>
      <c r="DH123" s="827" t="str">
        <f t="shared" si="294"/>
        <v/>
      </c>
      <c r="DI123" s="826" t="str">
        <f>IF('Marks Entry'!AW123="","",IF(OR('Master Sheet'!$D$19="YES",'Marks Entry'!$BA$1=1),'Marks Entry'!AW123,""))</f>
        <v/>
      </c>
      <c r="DJ123" s="826" t="str">
        <f>IF('Marks Entry'!AX123="","",IF(OR('Master Sheet'!$D$19="YES",'Marks Entry'!$BA$1=1),'Marks Entry'!AX123,""))</f>
        <v/>
      </c>
      <c r="DK123" s="827" t="str">
        <f t="shared" si="295"/>
        <v/>
      </c>
      <c r="DL123" s="827" t="str">
        <f t="shared" si="296"/>
        <v/>
      </c>
      <c r="DM123" s="826" t="str">
        <f>IF('Marks Entry'!AY123="","",IF(OR('Master Sheet'!$D$19="YES",'Marks Entry'!$BA$1=1),'Marks Entry'!AY123,""))</f>
        <v/>
      </c>
      <c r="DN123" s="826" t="str">
        <f>IF('Marks Entry'!AZ123="","",IF(OR('Master Sheet'!$D$19="YES",'Marks Entry'!$BA$1=1),'Marks Entry'!AZ123,""))</f>
        <v/>
      </c>
      <c r="DO123" s="826" t="str">
        <f>IF('Marks Entry'!BA123="","",IF(OR('Master Sheet'!$D$19="YES",'Marks Entry'!$BA$1=1),'Marks Entry'!BA123,""))</f>
        <v/>
      </c>
      <c r="DP123" s="827" t="str">
        <f t="shared" si="297"/>
        <v/>
      </c>
      <c r="DQ123" s="157" t="str">
        <f t="shared" si="298"/>
        <v/>
      </c>
      <c r="DR123" s="157" t="str">
        <f t="shared" si="299"/>
        <v/>
      </c>
      <c r="DS123" s="157" t="str">
        <f t="shared" si="300"/>
        <v/>
      </c>
      <c r="DT123" s="192" t="str">
        <f t="shared" si="301"/>
        <v/>
      </c>
      <c r="DU123" s="153">
        <f t="shared" si="302"/>
        <v>0</v>
      </c>
      <c r="DV123" s="154" t="e">
        <f t="shared" si="303"/>
        <v>#VALUE!</v>
      </c>
      <c r="DW123" s="154" t="str">
        <f t="shared" si="304"/>
        <v/>
      </c>
      <c r="DX123" s="154" t="str">
        <f>IF(OR($B123="NSO",$B123=0,DS123=""),"",IF(AND(DJ123="",DO123=""),"",IF('Master Sheet'!$D$19="YES",$DO$6-COUNTIF(DO123,"ML")*DO$6,DS$6-(COUNTIF(DJ123,"ML")*DJ$6)-(COUNTIF(DO123,"ML")*DO$6))))</f>
        <v/>
      </c>
      <c r="DY123" s="154" t="str">
        <f>IF(OR($B123="NSO",$B123=0),"",IF(AND(DH123="",DI123="",DM123=""),"",IF(AND('Master Sheet'!$D$19="YES",'Marks Entry'!$BA$1=1),100,IF(AND(DJ123="",DO123=""),SUM(($DQ$7+$DR$7)-(DU123+DV123)),SUM(($DQ$6+$DR$6)-(DU123+DV123))))))</f>
        <v/>
      </c>
      <c r="DZ123" s="153" t="str">
        <f t="shared" si="305"/>
        <v/>
      </c>
      <c r="EA123" s="154" t="str">
        <f t="shared" si="306"/>
        <v/>
      </c>
      <c r="EB123" s="153" t="str">
        <f t="shared" si="307"/>
        <v/>
      </c>
      <c r="EC123" s="584" t="str">
        <f>IF('Marks Entry'!BB123="","",'Marks Entry'!BB123)</f>
        <v/>
      </c>
      <c r="ED123" s="584" t="str">
        <f>IF('Marks Entry'!BC123="","",'Marks Entry'!BC123)</f>
        <v/>
      </c>
      <c r="EE123" s="584" t="str">
        <f>IF('Marks Entry'!BD123="","",'Marks Entry'!BD123)</f>
        <v/>
      </c>
      <c r="EF123" s="590" t="str">
        <f t="shared" si="308"/>
        <v/>
      </c>
      <c r="EG123" s="595">
        <f t="shared" si="309"/>
        <v>0</v>
      </c>
      <c r="EH123" s="595">
        <f t="shared" si="310"/>
        <v>0</v>
      </c>
      <c r="EI123" s="193" t="str">
        <f t="shared" si="311"/>
        <v/>
      </c>
      <c r="EJ123" s="595" t="str">
        <f t="shared" si="312"/>
        <v/>
      </c>
      <c r="EK123" s="595" t="str">
        <f t="shared" si="313"/>
        <v/>
      </c>
      <c r="EL123" s="194" t="str">
        <f t="shared" si="314"/>
        <v/>
      </c>
      <c r="EM123" s="194" t="str">
        <f t="shared" si="315"/>
        <v/>
      </c>
      <c r="EN123" s="194" t="str">
        <f t="shared" si="316"/>
        <v/>
      </c>
      <c r="EO123" s="194" t="str">
        <f t="shared" si="317"/>
        <v/>
      </c>
      <c r="EP123" s="194" t="str">
        <f t="shared" si="318"/>
        <v/>
      </c>
      <c r="EQ123" s="194" t="str">
        <f t="shared" si="319"/>
        <v/>
      </c>
      <c r="ER123" s="195">
        <f t="shared" si="320"/>
        <v>0</v>
      </c>
      <c r="ES123" s="195">
        <f t="shared" si="321"/>
        <v>0</v>
      </c>
      <c r="ET123" s="195">
        <f t="shared" si="322"/>
        <v>0</v>
      </c>
      <c r="EU123" s="195">
        <f t="shared" si="323"/>
        <v>0</v>
      </c>
      <c r="EV123" s="195">
        <f t="shared" si="324"/>
        <v>0</v>
      </c>
      <c r="EW123" s="195" t="str">
        <f t="shared" si="325"/>
        <v/>
      </c>
      <c r="EX123" s="196" t="str">
        <f t="shared" si="326"/>
        <v/>
      </c>
      <c r="EY123" s="197" t="str">
        <f>IF('Marks Entry'!BE123="","",'Marks Entry'!BE123)</f>
        <v/>
      </c>
      <c r="EZ123" s="197" t="str">
        <f>IF('Marks Entry'!BF123="","",'Marks Entry'!BF123)</f>
        <v/>
      </c>
      <c r="FA123" s="197" t="str">
        <f>IF('Marks Entry'!BG123="","",'Marks Entry'!BG123)</f>
        <v/>
      </c>
      <c r="FB123" s="596" t="str">
        <f t="shared" si="327"/>
        <v/>
      </c>
      <c r="FC123" s="197" t="str">
        <f>IF('Marks Entry'!BH123="","",'Marks Entry'!BH123)</f>
        <v/>
      </c>
      <c r="FD123" s="197" t="str">
        <f>IF('Marks Entry'!BI123="","",'Marks Entry'!BI123)</f>
        <v/>
      </c>
      <c r="FE123" s="198" t="str">
        <f t="shared" si="328"/>
        <v/>
      </c>
      <c r="FF123" s="199" t="str">
        <f t="shared" si="329"/>
        <v/>
      </c>
      <c r="FG123" s="200" t="str">
        <f>IF(AND(E123=""),"",IF('Student DATA Entry'!L119="","",'Student DATA Entry'!L119))</f>
        <v/>
      </c>
      <c r="FH123" s="201" t="str">
        <f>IF(AND(E123=""),"",IF('Student DATA Entry'!M119="","",'Student DATA Entry'!M119))</f>
        <v/>
      </c>
      <c r="FI123" s="202" t="str">
        <f t="shared" si="330"/>
        <v/>
      </c>
      <c r="FJ123" s="189" t="str">
        <f t="shared" si="331"/>
        <v/>
      </c>
      <c r="FK123" s="189" t="str">
        <f t="shared" si="332"/>
        <v/>
      </c>
      <c r="FL123" s="203" t="str">
        <f t="shared" si="360"/>
        <v/>
      </c>
      <c r="FM123" s="189" t="str">
        <f t="shared" si="333"/>
        <v/>
      </c>
      <c r="FN123" s="204" t="str">
        <f t="shared" si="334"/>
        <v/>
      </c>
      <c r="FO123" s="203" t="str">
        <f t="shared" si="361"/>
        <v/>
      </c>
      <c r="FP123" s="205" t="str">
        <f t="shared" si="335"/>
        <v/>
      </c>
      <c r="FQ123" s="189" t="str">
        <f t="shared" si="362"/>
        <v/>
      </c>
      <c r="FR123" s="189" t="str">
        <f t="shared" si="363"/>
        <v/>
      </c>
      <c r="FS123" s="189" t="str">
        <f t="shared" si="364"/>
        <v/>
      </c>
      <c r="FT123" s="189" t="str">
        <f t="shared" si="365"/>
        <v/>
      </c>
      <c r="FU123" s="189" t="str">
        <f t="shared" si="336"/>
        <v/>
      </c>
      <c r="FV123" s="206" t="str">
        <f t="shared" si="366"/>
        <v/>
      </c>
      <c r="FW123" s="205" t="str">
        <f t="shared" si="337"/>
        <v/>
      </c>
      <c r="FX123" s="189" t="str">
        <f t="shared" si="367"/>
        <v/>
      </c>
      <c r="FY123" s="189" t="str">
        <f t="shared" si="368"/>
        <v/>
      </c>
      <c r="FZ123" s="189" t="str">
        <f t="shared" si="369"/>
        <v/>
      </c>
      <c r="GA123" s="189" t="str">
        <f t="shared" si="370"/>
        <v/>
      </c>
      <c r="GB123" s="189" t="str">
        <f t="shared" si="338"/>
        <v/>
      </c>
      <c r="GC123" s="206" t="str">
        <f t="shared" si="371"/>
        <v/>
      </c>
      <c r="GD123" s="205" t="str">
        <f t="shared" si="339"/>
        <v/>
      </c>
      <c r="GE123" s="189" t="str">
        <f t="shared" si="372"/>
        <v/>
      </c>
      <c r="GF123" s="189" t="str">
        <f t="shared" si="373"/>
        <v/>
      </c>
      <c r="GG123" s="189" t="str">
        <f t="shared" si="374"/>
        <v/>
      </c>
      <c r="GH123" s="189" t="str">
        <f t="shared" si="375"/>
        <v/>
      </c>
      <c r="GI123" s="189" t="str">
        <f t="shared" si="340"/>
        <v/>
      </c>
      <c r="GJ123" s="206" t="str">
        <f t="shared" si="376"/>
        <v/>
      </c>
      <c r="GK123" s="205" t="str">
        <f t="shared" si="341"/>
        <v/>
      </c>
      <c r="GL123" s="189" t="str">
        <f t="shared" si="377"/>
        <v/>
      </c>
      <c r="GM123" s="189" t="str">
        <f t="shared" si="378"/>
        <v/>
      </c>
      <c r="GN123" s="189" t="str">
        <f t="shared" si="379"/>
        <v/>
      </c>
      <c r="GO123" s="189" t="str">
        <f t="shared" si="380"/>
        <v/>
      </c>
      <c r="GP123" s="189" t="str">
        <f t="shared" si="342"/>
        <v/>
      </c>
      <c r="GQ123" s="206" t="str">
        <f t="shared" si="381"/>
        <v/>
      </c>
      <c r="GR123" s="189" t="str">
        <f t="shared" si="343"/>
        <v/>
      </c>
      <c r="GS123" s="189" t="str">
        <f t="shared" si="344"/>
        <v/>
      </c>
      <c r="GT123" s="207" t="str">
        <f t="shared" si="345"/>
        <v xml:space="preserve">    </v>
      </c>
      <c r="GU123" s="207" t="str">
        <f t="shared" si="346"/>
        <v xml:space="preserve">    </v>
      </c>
      <c r="GV123" s="207" t="str">
        <f t="shared" si="347"/>
        <v xml:space="preserve">    </v>
      </c>
      <c r="GW123" s="207" t="str">
        <f t="shared" si="348"/>
        <v xml:space="preserve">       </v>
      </c>
      <c r="GX123" s="598" t="str">
        <f t="shared" si="349"/>
        <v xml:space="preserve">     </v>
      </c>
      <c r="GY123" s="208" t="str">
        <f t="shared" si="382"/>
        <v/>
      </c>
      <c r="GZ123" s="606" t="str">
        <f>IF(AND(Q123="",AE123="",AZ123="",BW123="",CT123=""),"",IF(AND('Master Sheet'!$D$19="YES",'Marks Entry'!$BA$1=1),SUM(Q123,AE123,AZ123,BW123,DT123),SUM(Q123,AE123,AZ123,BW123,CT123)))</f>
        <v/>
      </c>
      <c r="HA123" s="209" t="str">
        <f>IF(GZ123="","",IF(AND('Master Sheet'!$D$19="YES",'Marks Entry'!$BA$1=1),GZ123/((900)-DC123)*100,GZ123/((1000)-DC123)*100))</f>
        <v/>
      </c>
      <c r="HB123" s="611" t="str">
        <f t="shared" si="350"/>
        <v/>
      </c>
      <c r="HC123" s="609" t="str">
        <f t="shared" si="351"/>
        <v/>
      </c>
      <c r="HD123" s="610" t="str">
        <f t="shared" si="352"/>
        <v/>
      </c>
      <c r="HE123" s="210" t="str">
        <f>IFERROR(IF(OR(GY123="SUPPLEMENTARY",GY123="RE-EXAM"),'Supp. Result Entry'!AS122,""),"")</f>
        <v/>
      </c>
      <c r="HF123" s="613" t="str">
        <f t="shared" si="353"/>
        <v/>
      </c>
      <c r="HG123" s="598" t="str">
        <f t="shared" si="354"/>
        <v/>
      </c>
      <c r="HH123" s="598" t="str">
        <f>IF(AND(HE123="",HF123="",HG123=""),"",IF(OR(GY123="SUPPLEMENTARY",GY123="RE-EXAM"),'Supp. Result Entry'!AS122,GY123))</f>
        <v/>
      </c>
      <c r="HI123" s="180"/>
      <c r="HY123" s="212" t="str">
        <f>IF('Supp. Result Entry'!U122="","",'Supp. Result Entry'!$U$6)</f>
        <v/>
      </c>
      <c r="HZ123" s="213" t="str">
        <f>IF('Supp. Result Entry'!X122="","",'Supp. Result Entry'!$X$6)</f>
        <v/>
      </c>
      <c r="IA123" s="213" t="str">
        <f>IF('Supp. Result Entry'!AA122="","",'Supp. Result Entry'!$AA$6)</f>
        <v/>
      </c>
      <c r="IB123" s="213" t="str">
        <f>IF('Supp. Result Entry'!AD122="","",'Supp. Result Entry'!$AD$6)</f>
        <v/>
      </c>
      <c r="IC123" s="213" t="str">
        <f>IF('Supp. Result Entry'!AG122="","",'Supp. Result Entry'!$AG$6)</f>
        <v/>
      </c>
      <c r="ID123" s="213" t="str">
        <f>IF('Supp. Result Entry'!AJ122="","",'Supp. Result Entry'!$AJ$6)</f>
        <v/>
      </c>
      <c r="IE123" s="213" t="str">
        <f>IF('Supp. Result Entry'!V122="","",'Supp. Result Entry'!V122)</f>
        <v/>
      </c>
      <c r="IF123" s="213" t="str">
        <f>IF('Supp. Result Entry'!Y122="","",'Supp. Result Entry'!Y122)</f>
        <v/>
      </c>
      <c r="IG123" s="213" t="str">
        <f>IF('Supp. Result Entry'!AB122="","",'Supp. Result Entry'!AB122)</f>
        <v/>
      </c>
      <c r="IH123" s="213" t="str">
        <f>IF('Supp. Result Entry'!AE122="","",'Supp. Result Entry'!AE122)</f>
        <v/>
      </c>
      <c r="II123" s="213" t="str">
        <f>IF('Supp. Result Entry'!AH122="","",'Supp. Result Entry'!AH122)</f>
        <v/>
      </c>
      <c r="IJ123" s="213" t="str">
        <f>IF('Supp. Result Entry'!AK122="","",'Supp. Result Entry'!AK122)</f>
        <v/>
      </c>
      <c r="IK123" s="213" t="str">
        <f>IF('Supp. Result Entry'!W122="","",'Supp. Result Entry'!W122)</f>
        <v/>
      </c>
      <c r="IL123" s="213" t="str">
        <f>IF('Supp. Result Entry'!Z122="","",'Supp. Result Entry'!Z122)</f>
        <v/>
      </c>
      <c r="IM123" s="213" t="str">
        <f>IF('Supp. Result Entry'!AC122="","",'Supp. Result Entry'!AC122)</f>
        <v/>
      </c>
      <c r="IN123" s="213" t="str">
        <f>IF('Supp. Result Entry'!AF122="","",'Supp. Result Entry'!AF122)</f>
        <v/>
      </c>
      <c r="IO123" s="213" t="str">
        <f>IF('Supp. Result Entry'!AI122="","",'Supp. Result Entry'!AI122)</f>
        <v/>
      </c>
      <c r="IP123" s="213" t="str">
        <f>IF('Supp. Result Entry'!AL122="","",'Supp. Result Entry'!AL122)</f>
        <v/>
      </c>
      <c r="IQ123" s="213">
        <f>COUNTIF('Supp. Result Entry'!K122:Q122,"S")</f>
        <v>0</v>
      </c>
      <c r="IR123" s="213">
        <f t="shared" si="355"/>
        <v>0</v>
      </c>
      <c r="IS123" s="213">
        <f t="shared" si="356"/>
        <v>0</v>
      </c>
      <c r="IT123" s="213" t="str">
        <f t="shared" si="224"/>
        <v/>
      </c>
      <c r="IU123" s="213" t="str">
        <f t="shared" si="225"/>
        <v/>
      </c>
      <c r="IV123" s="213" t="str">
        <f t="shared" si="226"/>
        <v/>
      </c>
      <c r="IW123" s="213" t="str">
        <f t="shared" si="227"/>
        <v/>
      </c>
      <c r="IX123" s="213" t="str">
        <f t="shared" si="228"/>
        <v/>
      </c>
      <c r="IY123" s="213" t="str">
        <f t="shared" si="357"/>
        <v/>
      </c>
      <c r="IZ123" s="213" t="str">
        <f t="shared" si="358"/>
        <v/>
      </c>
      <c r="JA123" s="213" t="str">
        <f t="shared" si="229"/>
        <v/>
      </c>
      <c r="JB123" s="211" t="str">
        <f t="shared" si="359"/>
        <v/>
      </c>
    </row>
    <row r="124" spans="1:262" s="211" customFormat="1" ht="21" customHeight="1">
      <c r="A124" s="184">
        <v>117</v>
      </c>
      <c r="B124" s="185" t="str">
        <f>IF('Marks Entry'!B124="","",'Marks Entry'!B124)</f>
        <v/>
      </c>
      <c r="C124" s="186" t="str">
        <f>IF('Marks Entry'!D124="","",'Marks Entry'!D124)</f>
        <v/>
      </c>
      <c r="D124" s="187" t="str">
        <f>IF('Marks Entry'!E124="","",'Marks Entry'!E124)</f>
        <v/>
      </c>
      <c r="E124" s="188" t="str">
        <f>IF('Marks Entry'!F124="","",'Marks Entry'!F124)</f>
        <v/>
      </c>
      <c r="F124" s="188" t="str">
        <f>IF('Marks Entry'!G124="","",'Marks Entry'!G124)</f>
        <v/>
      </c>
      <c r="G124" s="188" t="str">
        <f>IF('Marks Entry'!H124="","",'Marks Entry'!H124)</f>
        <v/>
      </c>
      <c r="H124" s="189" t="str">
        <f>IF('Marks Entry'!I124="","",'Marks Entry'!I124)</f>
        <v/>
      </c>
      <c r="I124" s="190" t="str">
        <f>IF('Marks Entry'!J124="","",'Marks Entry'!J124)</f>
        <v/>
      </c>
      <c r="J124" s="545" t="str">
        <f>IF('Marks Entry'!K124="","",'Marks Entry'!K124)</f>
        <v/>
      </c>
      <c r="K124" s="545" t="str">
        <f>IF('Marks Entry'!L124="","",'Marks Entry'!L124)</f>
        <v/>
      </c>
      <c r="L124" s="545" t="str">
        <f>IF('Marks Entry'!M124="","",'Marks Entry'!M124)</f>
        <v/>
      </c>
      <c r="M124" s="546" t="str">
        <f t="shared" si="230"/>
        <v/>
      </c>
      <c r="N124" s="545" t="str">
        <f>IF('Marks Entry'!N124="","",'Marks Entry'!N124)</f>
        <v/>
      </c>
      <c r="O124" s="546" t="str">
        <f t="shared" si="231"/>
        <v/>
      </c>
      <c r="P124" s="545" t="str">
        <f>IF('Marks Entry'!O124="","",'Marks Entry'!O124)</f>
        <v/>
      </c>
      <c r="Q124" s="547" t="str">
        <f t="shared" si="232"/>
        <v/>
      </c>
      <c r="R124" s="153">
        <f t="shared" si="233"/>
        <v>0</v>
      </c>
      <c r="S124" s="153">
        <f t="shared" si="234"/>
        <v>0</v>
      </c>
      <c r="T124" s="154" t="str">
        <f t="shared" si="235"/>
        <v/>
      </c>
      <c r="U124" s="153" t="str">
        <f t="shared" si="236"/>
        <v/>
      </c>
      <c r="V124" s="153" t="str">
        <f t="shared" si="237"/>
        <v/>
      </c>
      <c r="W124" s="153" t="str">
        <f t="shared" si="238"/>
        <v/>
      </c>
      <c r="X124" s="545" t="str">
        <f>IF('Marks Entry'!P124="","",'Marks Entry'!P124)</f>
        <v/>
      </c>
      <c r="Y124" s="545" t="str">
        <f>IF('Marks Entry'!Q124="","",'Marks Entry'!Q124)</f>
        <v/>
      </c>
      <c r="Z124" s="545" t="str">
        <f>IF('Marks Entry'!R124="","",'Marks Entry'!R124)</f>
        <v/>
      </c>
      <c r="AA124" s="546" t="str">
        <f t="shared" si="239"/>
        <v/>
      </c>
      <c r="AB124" s="545" t="str">
        <f>IF('Marks Entry'!S124="","",'Marks Entry'!S124)</f>
        <v/>
      </c>
      <c r="AC124" s="546" t="str">
        <f t="shared" si="240"/>
        <v/>
      </c>
      <c r="AD124" s="545" t="str">
        <f>IF('Marks Entry'!T124="","",'Marks Entry'!T124)</f>
        <v/>
      </c>
      <c r="AE124" s="547" t="str">
        <f t="shared" si="241"/>
        <v/>
      </c>
      <c r="AF124" s="153">
        <f t="shared" si="242"/>
        <v>0</v>
      </c>
      <c r="AG124" s="153">
        <f t="shared" si="243"/>
        <v>0</v>
      </c>
      <c r="AH124" s="154" t="str">
        <f t="shared" si="244"/>
        <v/>
      </c>
      <c r="AI124" s="153" t="str">
        <f t="shared" si="245"/>
        <v/>
      </c>
      <c r="AJ124" s="153" t="str">
        <f t="shared" si="246"/>
        <v/>
      </c>
      <c r="AK124" s="153" t="str">
        <f t="shared" si="247"/>
        <v/>
      </c>
      <c r="AL124" s="573" t="str">
        <f>IF('Marks Entry'!U124="","",'Marks Entry'!U124)</f>
        <v/>
      </c>
      <c r="AM124" s="573" t="str">
        <f>IF('Marks Entry'!V124="","",'Marks Entry'!V124)</f>
        <v/>
      </c>
      <c r="AN124" s="573" t="str">
        <f>IF('Marks Entry'!W124="","",'Marks Entry'!W124)</f>
        <v/>
      </c>
      <c r="AO124" s="573" t="str">
        <f>IF('Marks Entry'!X124="","",'Marks Entry'!X124)</f>
        <v/>
      </c>
      <c r="AP124" s="572" t="str">
        <f t="shared" si="248"/>
        <v/>
      </c>
      <c r="AQ124" s="573" t="str">
        <f>IF('Marks Entry'!Y124="","",'Marks Entry'!Y124)</f>
        <v/>
      </c>
      <c r="AR124" s="573" t="str">
        <f>IF('Marks Entry'!Z124="","",'Marks Entry'!Z124)</f>
        <v/>
      </c>
      <c r="AS124" s="572" t="str">
        <f t="shared" si="249"/>
        <v/>
      </c>
      <c r="AT124" s="572" t="str">
        <f t="shared" si="250"/>
        <v/>
      </c>
      <c r="AU124" s="573" t="str">
        <f>IF('Marks Entry'!AA124="","",'Marks Entry'!AA124)</f>
        <v/>
      </c>
      <c r="AV124" s="573" t="str">
        <f>IF('Marks Entry'!AB124="","",'Marks Entry'!AB124)</f>
        <v/>
      </c>
      <c r="AW124" s="572" t="str">
        <f t="shared" si="251"/>
        <v/>
      </c>
      <c r="AX124" s="157" t="str">
        <f t="shared" si="252"/>
        <v/>
      </c>
      <c r="AY124" s="157" t="str">
        <f t="shared" si="253"/>
        <v/>
      </c>
      <c r="AZ124" s="192" t="str">
        <f t="shared" si="254"/>
        <v/>
      </c>
      <c r="BA124" s="153">
        <f t="shared" si="255"/>
        <v>0</v>
      </c>
      <c r="BB124" s="154">
        <f t="shared" si="256"/>
        <v>0</v>
      </c>
      <c r="BC124" s="154" t="str">
        <f t="shared" si="257"/>
        <v/>
      </c>
      <c r="BD124" s="154" t="str">
        <f t="shared" si="258"/>
        <v/>
      </c>
      <c r="BE124" s="154" t="str">
        <f t="shared" si="259"/>
        <v/>
      </c>
      <c r="BF124" s="153" t="str">
        <f t="shared" si="260"/>
        <v/>
      </c>
      <c r="BG124" s="154" t="str">
        <f t="shared" si="261"/>
        <v/>
      </c>
      <c r="BH124" s="153" t="str">
        <f t="shared" si="262"/>
        <v/>
      </c>
      <c r="BI124" s="580" t="str">
        <f>IF('Marks Entry'!AC124="","",'Marks Entry'!AC124)</f>
        <v/>
      </c>
      <c r="BJ124" s="580" t="str">
        <f>IF('Marks Entry'!AD124="","",'Marks Entry'!AD124)</f>
        <v/>
      </c>
      <c r="BK124" s="580" t="str">
        <f>IF('Marks Entry'!AE124="","",'Marks Entry'!AE124)</f>
        <v/>
      </c>
      <c r="BL124" s="580" t="str">
        <f>IF('Marks Entry'!AF124="","",'Marks Entry'!AF124)</f>
        <v/>
      </c>
      <c r="BM124" s="581" t="str">
        <f t="shared" si="263"/>
        <v/>
      </c>
      <c r="BN124" s="580" t="str">
        <f>IF('Marks Entry'!AG124="","",'Marks Entry'!AG124)</f>
        <v/>
      </c>
      <c r="BO124" s="580" t="str">
        <f>IF('Marks Entry'!AH124="","",'Marks Entry'!AH124)</f>
        <v/>
      </c>
      <c r="BP124" s="581" t="str">
        <f t="shared" si="264"/>
        <v/>
      </c>
      <c r="BQ124" s="581" t="str">
        <f t="shared" si="265"/>
        <v/>
      </c>
      <c r="BR124" s="580" t="str">
        <f>IF('Marks Entry'!AI124="","",'Marks Entry'!AI124)</f>
        <v/>
      </c>
      <c r="BS124" s="580" t="str">
        <f>IF('Marks Entry'!AJ124="","",'Marks Entry'!AJ124)</f>
        <v/>
      </c>
      <c r="BT124" s="581" t="str">
        <f t="shared" si="266"/>
        <v/>
      </c>
      <c r="BU124" s="157" t="str">
        <f t="shared" si="267"/>
        <v/>
      </c>
      <c r="BV124" s="157" t="str">
        <f t="shared" si="268"/>
        <v/>
      </c>
      <c r="BW124" s="192" t="str">
        <f t="shared" si="269"/>
        <v/>
      </c>
      <c r="BX124" s="153">
        <f t="shared" si="270"/>
        <v>0</v>
      </c>
      <c r="BY124" s="154">
        <f t="shared" si="271"/>
        <v>0</v>
      </c>
      <c r="BZ124" s="154" t="str">
        <f t="shared" si="272"/>
        <v/>
      </c>
      <c r="CA124" s="154" t="str">
        <f t="shared" si="273"/>
        <v/>
      </c>
      <c r="CB124" s="154" t="str">
        <f t="shared" si="274"/>
        <v/>
      </c>
      <c r="CC124" s="153" t="str">
        <f t="shared" si="275"/>
        <v/>
      </c>
      <c r="CD124" s="154" t="str">
        <f t="shared" si="276"/>
        <v/>
      </c>
      <c r="CE124" s="153" t="str">
        <f t="shared" si="277"/>
        <v/>
      </c>
      <c r="CF124" s="580" t="str">
        <f>IF('Marks Entry'!AK124="","",'Marks Entry'!AK124)</f>
        <v/>
      </c>
      <c r="CG124" s="580" t="str">
        <f>IF('Marks Entry'!AL124="","",'Marks Entry'!AL124)</f>
        <v/>
      </c>
      <c r="CH124" s="580" t="str">
        <f>IF('Marks Entry'!AM124="","",'Marks Entry'!AM124)</f>
        <v/>
      </c>
      <c r="CI124" s="580" t="str">
        <f>IF('Marks Entry'!AN124="","",'Marks Entry'!AN124)</f>
        <v/>
      </c>
      <c r="CJ124" s="581" t="str">
        <f t="shared" si="278"/>
        <v/>
      </c>
      <c r="CK124" s="580" t="str">
        <f>IF('Marks Entry'!AO124="","",'Marks Entry'!AO124)</f>
        <v/>
      </c>
      <c r="CL124" s="580" t="str">
        <f>IF('Marks Entry'!AP124="","",'Marks Entry'!AP124)</f>
        <v/>
      </c>
      <c r="CM124" s="581" t="str">
        <f t="shared" si="279"/>
        <v/>
      </c>
      <c r="CN124" s="581" t="str">
        <f t="shared" si="280"/>
        <v/>
      </c>
      <c r="CO124" s="580" t="str">
        <f>IF('Marks Entry'!AQ124="","",'Marks Entry'!AQ124)</f>
        <v/>
      </c>
      <c r="CP124" s="580" t="str">
        <f>IF('Marks Entry'!AR124="","",'Marks Entry'!AR124)</f>
        <v/>
      </c>
      <c r="CQ124" s="581" t="str">
        <f t="shared" si="281"/>
        <v/>
      </c>
      <c r="CR124" s="157" t="str">
        <f t="shared" si="282"/>
        <v/>
      </c>
      <c r="CS124" s="157" t="str">
        <f t="shared" si="283"/>
        <v/>
      </c>
      <c r="CT124" s="192" t="str">
        <f t="shared" si="284"/>
        <v/>
      </c>
      <c r="CU124" s="153">
        <f t="shared" si="285"/>
        <v>0</v>
      </c>
      <c r="CV124" s="154">
        <f t="shared" si="286"/>
        <v>0</v>
      </c>
      <c r="CW124" s="154" t="str">
        <f t="shared" si="287"/>
        <v/>
      </c>
      <c r="CX124" s="154" t="str">
        <f t="shared" si="288"/>
        <v/>
      </c>
      <c r="CY124" s="154" t="str">
        <f t="shared" si="289"/>
        <v/>
      </c>
      <c r="CZ124" s="153" t="str">
        <f t="shared" si="290"/>
        <v/>
      </c>
      <c r="DA124" s="154" t="str">
        <f t="shared" si="291"/>
        <v/>
      </c>
      <c r="DB124" s="153" t="str">
        <f t="shared" si="292"/>
        <v/>
      </c>
      <c r="DC124" s="154">
        <f t="shared" si="293"/>
        <v>0</v>
      </c>
      <c r="DD124" s="826" t="str">
        <f>IF('Marks Entry'!AS124="","",IF(OR('Master Sheet'!$D$19="YES",'Marks Entry'!$BA$1=1),'Marks Entry'!AS124,""))</f>
        <v/>
      </c>
      <c r="DE124" s="826" t="str">
        <f>IF('Marks Entry'!AT124="","",IF(OR('Master Sheet'!$D$19="YES",'Marks Entry'!$BA$1=1),'Marks Entry'!AT124,""))</f>
        <v/>
      </c>
      <c r="DF124" s="826" t="str">
        <f>IF('Marks Entry'!AU124="","",IF(OR('Master Sheet'!$D$19="YES",'Marks Entry'!$BA$1=1),'Marks Entry'!AU124,""))</f>
        <v/>
      </c>
      <c r="DG124" s="826" t="str">
        <f>IF('Marks Entry'!AV124="","",IF(OR('Master Sheet'!$D$19="YES",'Marks Entry'!$BA$1=1),'Marks Entry'!AV124,""))</f>
        <v/>
      </c>
      <c r="DH124" s="827" t="str">
        <f t="shared" si="294"/>
        <v/>
      </c>
      <c r="DI124" s="826" t="str">
        <f>IF('Marks Entry'!AW124="","",IF(OR('Master Sheet'!$D$19="YES",'Marks Entry'!$BA$1=1),'Marks Entry'!AW124,""))</f>
        <v/>
      </c>
      <c r="DJ124" s="826" t="str">
        <f>IF('Marks Entry'!AX124="","",IF(OR('Master Sheet'!$D$19="YES",'Marks Entry'!$BA$1=1),'Marks Entry'!AX124,""))</f>
        <v/>
      </c>
      <c r="DK124" s="827" t="str">
        <f t="shared" si="295"/>
        <v/>
      </c>
      <c r="DL124" s="827" t="str">
        <f t="shared" si="296"/>
        <v/>
      </c>
      <c r="DM124" s="826" t="str">
        <f>IF('Marks Entry'!AY124="","",IF(OR('Master Sheet'!$D$19="YES",'Marks Entry'!$BA$1=1),'Marks Entry'!AY124,""))</f>
        <v/>
      </c>
      <c r="DN124" s="826" t="str">
        <f>IF('Marks Entry'!AZ124="","",IF(OR('Master Sheet'!$D$19="YES",'Marks Entry'!$BA$1=1),'Marks Entry'!AZ124,""))</f>
        <v/>
      </c>
      <c r="DO124" s="826" t="str">
        <f>IF('Marks Entry'!BA124="","",IF(OR('Master Sheet'!$D$19="YES",'Marks Entry'!$BA$1=1),'Marks Entry'!BA124,""))</f>
        <v/>
      </c>
      <c r="DP124" s="827" t="str">
        <f t="shared" si="297"/>
        <v/>
      </c>
      <c r="DQ124" s="157" t="str">
        <f t="shared" si="298"/>
        <v/>
      </c>
      <c r="DR124" s="157" t="str">
        <f t="shared" si="299"/>
        <v/>
      </c>
      <c r="DS124" s="157" t="str">
        <f t="shared" si="300"/>
        <v/>
      </c>
      <c r="DT124" s="192" t="str">
        <f t="shared" si="301"/>
        <v/>
      </c>
      <c r="DU124" s="153">
        <f t="shared" si="302"/>
        <v>0</v>
      </c>
      <c r="DV124" s="154" t="e">
        <f t="shared" si="303"/>
        <v>#VALUE!</v>
      </c>
      <c r="DW124" s="154" t="str">
        <f t="shared" si="304"/>
        <v/>
      </c>
      <c r="DX124" s="154" t="str">
        <f>IF(OR($B124="NSO",$B124=0,DS124=""),"",IF(AND(DJ124="",DO124=""),"",IF('Master Sheet'!$D$19="YES",$DO$6-COUNTIF(DO124,"ML")*DO$6,DS$6-(COUNTIF(DJ124,"ML")*DJ$6)-(COUNTIF(DO124,"ML")*DO$6))))</f>
        <v/>
      </c>
      <c r="DY124" s="154" t="str">
        <f>IF(OR($B124="NSO",$B124=0),"",IF(AND(DH124="",DI124="",DM124=""),"",IF(AND('Master Sheet'!$D$19="YES",'Marks Entry'!$BA$1=1),100,IF(AND(DJ124="",DO124=""),SUM(($DQ$7+$DR$7)-(DU124+DV124)),SUM(($DQ$6+$DR$6)-(DU124+DV124))))))</f>
        <v/>
      </c>
      <c r="DZ124" s="153" t="str">
        <f t="shared" si="305"/>
        <v/>
      </c>
      <c r="EA124" s="154" t="str">
        <f t="shared" si="306"/>
        <v/>
      </c>
      <c r="EB124" s="153" t="str">
        <f t="shared" si="307"/>
        <v/>
      </c>
      <c r="EC124" s="584" t="str">
        <f>IF('Marks Entry'!BB124="","",'Marks Entry'!BB124)</f>
        <v/>
      </c>
      <c r="ED124" s="584" t="str">
        <f>IF('Marks Entry'!BC124="","",'Marks Entry'!BC124)</f>
        <v/>
      </c>
      <c r="EE124" s="584" t="str">
        <f>IF('Marks Entry'!BD124="","",'Marks Entry'!BD124)</f>
        <v/>
      </c>
      <c r="EF124" s="590" t="str">
        <f t="shared" si="308"/>
        <v/>
      </c>
      <c r="EG124" s="595">
        <f t="shared" si="309"/>
        <v>0</v>
      </c>
      <c r="EH124" s="595">
        <f t="shared" si="310"/>
        <v>0</v>
      </c>
      <c r="EI124" s="193" t="str">
        <f t="shared" si="311"/>
        <v/>
      </c>
      <c r="EJ124" s="595" t="str">
        <f t="shared" si="312"/>
        <v/>
      </c>
      <c r="EK124" s="595" t="str">
        <f t="shared" si="313"/>
        <v/>
      </c>
      <c r="EL124" s="194" t="str">
        <f t="shared" si="314"/>
        <v/>
      </c>
      <c r="EM124" s="194" t="str">
        <f t="shared" si="315"/>
        <v/>
      </c>
      <c r="EN124" s="194" t="str">
        <f t="shared" si="316"/>
        <v/>
      </c>
      <c r="EO124" s="194" t="str">
        <f t="shared" si="317"/>
        <v/>
      </c>
      <c r="EP124" s="194" t="str">
        <f t="shared" si="318"/>
        <v/>
      </c>
      <c r="EQ124" s="194" t="str">
        <f t="shared" si="319"/>
        <v/>
      </c>
      <c r="ER124" s="195">
        <f t="shared" si="320"/>
        <v>0</v>
      </c>
      <c r="ES124" s="195">
        <f t="shared" si="321"/>
        <v>0</v>
      </c>
      <c r="ET124" s="195">
        <f t="shared" si="322"/>
        <v>0</v>
      </c>
      <c r="EU124" s="195">
        <f t="shared" si="323"/>
        <v>0</v>
      </c>
      <c r="EV124" s="195">
        <f t="shared" si="324"/>
        <v>0</v>
      </c>
      <c r="EW124" s="195" t="str">
        <f t="shared" si="325"/>
        <v/>
      </c>
      <c r="EX124" s="196" t="str">
        <f t="shared" si="326"/>
        <v/>
      </c>
      <c r="EY124" s="197" t="str">
        <f>IF('Marks Entry'!BE124="","",'Marks Entry'!BE124)</f>
        <v/>
      </c>
      <c r="EZ124" s="197" t="str">
        <f>IF('Marks Entry'!BF124="","",'Marks Entry'!BF124)</f>
        <v/>
      </c>
      <c r="FA124" s="197" t="str">
        <f>IF('Marks Entry'!BG124="","",'Marks Entry'!BG124)</f>
        <v/>
      </c>
      <c r="FB124" s="596" t="str">
        <f t="shared" si="327"/>
        <v/>
      </c>
      <c r="FC124" s="197" t="str">
        <f>IF('Marks Entry'!BH124="","",'Marks Entry'!BH124)</f>
        <v/>
      </c>
      <c r="FD124" s="197" t="str">
        <f>IF('Marks Entry'!BI124="","",'Marks Entry'!BI124)</f>
        <v/>
      </c>
      <c r="FE124" s="198" t="str">
        <f t="shared" si="328"/>
        <v/>
      </c>
      <c r="FF124" s="199" t="str">
        <f t="shared" si="329"/>
        <v/>
      </c>
      <c r="FG124" s="200" t="str">
        <f>IF(AND(E124=""),"",IF('Student DATA Entry'!L120="","",'Student DATA Entry'!L120))</f>
        <v/>
      </c>
      <c r="FH124" s="201" t="str">
        <f>IF(AND(E124=""),"",IF('Student DATA Entry'!M120="","",'Student DATA Entry'!M120))</f>
        <v/>
      </c>
      <c r="FI124" s="202" t="str">
        <f t="shared" si="330"/>
        <v/>
      </c>
      <c r="FJ124" s="189" t="str">
        <f t="shared" si="331"/>
        <v/>
      </c>
      <c r="FK124" s="189" t="str">
        <f t="shared" si="332"/>
        <v/>
      </c>
      <c r="FL124" s="203" t="str">
        <f t="shared" si="360"/>
        <v/>
      </c>
      <c r="FM124" s="189" t="str">
        <f t="shared" si="333"/>
        <v/>
      </c>
      <c r="FN124" s="204" t="str">
        <f t="shared" si="334"/>
        <v/>
      </c>
      <c r="FO124" s="203" t="str">
        <f t="shared" si="361"/>
        <v/>
      </c>
      <c r="FP124" s="205" t="str">
        <f t="shared" si="335"/>
        <v/>
      </c>
      <c r="FQ124" s="189" t="str">
        <f t="shared" si="362"/>
        <v/>
      </c>
      <c r="FR124" s="189" t="str">
        <f t="shared" si="363"/>
        <v/>
      </c>
      <c r="FS124" s="189" t="str">
        <f t="shared" si="364"/>
        <v/>
      </c>
      <c r="FT124" s="189" t="str">
        <f t="shared" si="365"/>
        <v/>
      </c>
      <c r="FU124" s="189" t="str">
        <f t="shared" si="336"/>
        <v/>
      </c>
      <c r="FV124" s="206" t="str">
        <f t="shared" si="366"/>
        <v/>
      </c>
      <c r="FW124" s="205" t="str">
        <f t="shared" si="337"/>
        <v/>
      </c>
      <c r="FX124" s="189" t="str">
        <f t="shared" si="367"/>
        <v/>
      </c>
      <c r="FY124" s="189" t="str">
        <f t="shared" si="368"/>
        <v/>
      </c>
      <c r="FZ124" s="189" t="str">
        <f t="shared" si="369"/>
        <v/>
      </c>
      <c r="GA124" s="189" t="str">
        <f t="shared" si="370"/>
        <v/>
      </c>
      <c r="GB124" s="189" t="str">
        <f t="shared" si="338"/>
        <v/>
      </c>
      <c r="GC124" s="206" t="str">
        <f t="shared" si="371"/>
        <v/>
      </c>
      <c r="GD124" s="205" t="str">
        <f t="shared" si="339"/>
        <v/>
      </c>
      <c r="GE124" s="189" t="str">
        <f t="shared" si="372"/>
        <v/>
      </c>
      <c r="GF124" s="189" t="str">
        <f t="shared" si="373"/>
        <v/>
      </c>
      <c r="GG124" s="189" t="str">
        <f t="shared" si="374"/>
        <v/>
      </c>
      <c r="GH124" s="189" t="str">
        <f t="shared" si="375"/>
        <v/>
      </c>
      <c r="GI124" s="189" t="str">
        <f t="shared" si="340"/>
        <v/>
      </c>
      <c r="GJ124" s="206" t="str">
        <f t="shared" si="376"/>
        <v/>
      </c>
      <c r="GK124" s="205" t="str">
        <f t="shared" si="341"/>
        <v/>
      </c>
      <c r="GL124" s="189" t="str">
        <f t="shared" si="377"/>
        <v/>
      </c>
      <c r="GM124" s="189" t="str">
        <f t="shared" si="378"/>
        <v/>
      </c>
      <c r="GN124" s="189" t="str">
        <f t="shared" si="379"/>
        <v/>
      </c>
      <c r="GO124" s="189" t="str">
        <f t="shared" si="380"/>
        <v/>
      </c>
      <c r="GP124" s="189" t="str">
        <f t="shared" si="342"/>
        <v/>
      </c>
      <c r="GQ124" s="206" t="str">
        <f t="shared" si="381"/>
        <v/>
      </c>
      <c r="GR124" s="189" t="str">
        <f t="shared" si="343"/>
        <v/>
      </c>
      <c r="GS124" s="189" t="str">
        <f t="shared" si="344"/>
        <v/>
      </c>
      <c r="GT124" s="207" t="str">
        <f t="shared" si="345"/>
        <v xml:space="preserve">    </v>
      </c>
      <c r="GU124" s="207" t="str">
        <f t="shared" si="346"/>
        <v xml:space="preserve">    </v>
      </c>
      <c r="GV124" s="207" t="str">
        <f t="shared" si="347"/>
        <v xml:space="preserve">    </v>
      </c>
      <c r="GW124" s="207" t="str">
        <f t="shared" si="348"/>
        <v xml:space="preserve">       </v>
      </c>
      <c r="GX124" s="598" t="str">
        <f t="shared" si="349"/>
        <v xml:space="preserve">     </v>
      </c>
      <c r="GY124" s="208" t="str">
        <f t="shared" si="382"/>
        <v/>
      </c>
      <c r="GZ124" s="606" t="str">
        <f>IF(AND(Q124="",AE124="",AZ124="",BW124="",CT124=""),"",IF(AND('Master Sheet'!$D$19="YES",'Marks Entry'!$BA$1=1),SUM(Q124,AE124,AZ124,BW124,DT124),SUM(Q124,AE124,AZ124,BW124,CT124)))</f>
        <v/>
      </c>
      <c r="HA124" s="209" t="str">
        <f>IF(GZ124="","",IF(AND('Master Sheet'!$D$19="YES",'Marks Entry'!$BA$1=1),GZ124/((900)-DC124)*100,GZ124/((1000)-DC124)*100))</f>
        <v/>
      </c>
      <c r="HB124" s="611" t="str">
        <f t="shared" si="350"/>
        <v/>
      </c>
      <c r="HC124" s="609" t="str">
        <f t="shared" si="351"/>
        <v/>
      </c>
      <c r="HD124" s="610" t="str">
        <f t="shared" si="352"/>
        <v/>
      </c>
      <c r="HE124" s="210" t="str">
        <f>IFERROR(IF(OR(GY124="SUPPLEMENTARY",GY124="RE-EXAM"),'Supp. Result Entry'!AS123,""),"")</f>
        <v/>
      </c>
      <c r="HF124" s="613" t="str">
        <f t="shared" si="353"/>
        <v/>
      </c>
      <c r="HG124" s="598" t="str">
        <f t="shared" si="354"/>
        <v/>
      </c>
      <c r="HH124" s="598" t="str">
        <f>IF(AND(HE124="",HF124="",HG124=""),"",IF(OR(GY124="SUPPLEMENTARY",GY124="RE-EXAM"),'Supp. Result Entry'!AS123,GY124))</f>
        <v/>
      </c>
      <c r="HI124" s="180"/>
      <c r="HY124" s="212" t="str">
        <f>IF('Supp. Result Entry'!U123="","",'Supp. Result Entry'!$U$6)</f>
        <v/>
      </c>
      <c r="HZ124" s="213" t="str">
        <f>IF('Supp. Result Entry'!X123="","",'Supp. Result Entry'!$X$6)</f>
        <v/>
      </c>
      <c r="IA124" s="213" t="str">
        <f>IF('Supp. Result Entry'!AA123="","",'Supp. Result Entry'!$AA$6)</f>
        <v/>
      </c>
      <c r="IB124" s="213" t="str">
        <f>IF('Supp. Result Entry'!AD123="","",'Supp. Result Entry'!$AD$6)</f>
        <v/>
      </c>
      <c r="IC124" s="213" t="str">
        <f>IF('Supp. Result Entry'!AG123="","",'Supp. Result Entry'!$AG$6)</f>
        <v/>
      </c>
      <c r="ID124" s="213" t="str">
        <f>IF('Supp. Result Entry'!AJ123="","",'Supp. Result Entry'!$AJ$6)</f>
        <v/>
      </c>
      <c r="IE124" s="213" t="str">
        <f>IF('Supp. Result Entry'!V123="","",'Supp. Result Entry'!V123)</f>
        <v/>
      </c>
      <c r="IF124" s="213" t="str">
        <f>IF('Supp. Result Entry'!Y123="","",'Supp. Result Entry'!Y123)</f>
        <v/>
      </c>
      <c r="IG124" s="213" t="str">
        <f>IF('Supp. Result Entry'!AB123="","",'Supp. Result Entry'!AB123)</f>
        <v/>
      </c>
      <c r="IH124" s="213" t="str">
        <f>IF('Supp. Result Entry'!AE123="","",'Supp. Result Entry'!AE123)</f>
        <v/>
      </c>
      <c r="II124" s="213" t="str">
        <f>IF('Supp. Result Entry'!AH123="","",'Supp. Result Entry'!AH123)</f>
        <v/>
      </c>
      <c r="IJ124" s="213" t="str">
        <f>IF('Supp. Result Entry'!AK123="","",'Supp. Result Entry'!AK123)</f>
        <v/>
      </c>
      <c r="IK124" s="213" t="str">
        <f>IF('Supp. Result Entry'!W123="","",'Supp. Result Entry'!W123)</f>
        <v/>
      </c>
      <c r="IL124" s="213" t="str">
        <f>IF('Supp. Result Entry'!Z123="","",'Supp. Result Entry'!Z123)</f>
        <v/>
      </c>
      <c r="IM124" s="213" t="str">
        <f>IF('Supp. Result Entry'!AC123="","",'Supp. Result Entry'!AC123)</f>
        <v/>
      </c>
      <c r="IN124" s="213" t="str">
        <f>IF('Supp. Result Entry'!AF123="","",'Supp. Result Entry'!AF123)</f>
        <v/>
      </c>
      <c r="IO124" s="213" t="str">
        <f>IF('Supp. Result Entry'!AI123="","",'Supp. Result Entry'!AI123)</f>
        <v/>
      </c>
      <c r="IP124" s="213" t="str">
        <f>IF('Supp. Result Entry'!AL123="","",'Supp. Result Entry'!AL123)</f>
        <v/>
      </c>
      <c r="IQ124" s="213">
        <f>COUNTIF('Supp. Result Entry'!K123:Q123,"S")</f>
        <v>0</v>
      </c>
      <c r="IR124" s="213">
        <f t="shared" si="355"/>
        <v>0</v>
      </c>
      <c r="IS124" s="213">
        <f t="shared" si="356"/>
        <v>0</v>
      </c>
      <c r="IT124" s="213" t="str">
        <f t="shared" si="224"/>
        <v/>
      </c>
      <c r="IU124" s="213" t="str">
        <f t="shared" si="225"/>
        <v/>
      </c>
      <c r="IV124" s="213" t="str">
        <f t="shared" si="226"/>
        <v/>
      </c>
      <c r="IW124" s="213" t="str">
        <f t="shared" si="227"/>
        <v/>
      </c>
      <c r="IX124" s="213" t="str">
        <f t="shared" si="228"/>
        <v/>
      </c>
      <c r="IY124" s="213" t="str">
        <f t="shared" si="357"/>
        <v/>
      </c>
      <c r="IZ124" s="213" t="str">
        <f t="shared" si="358"/>
        <v/>
      </c>
      <c r="JA124" s="213" t="str">
        <f t="shared" si="229"/>
        <v/>
      </c>
      <c r="JB124" s="211" t="str">
        <f t="shared" si="359"/>
        <v/>
      </c>
    </row>
    <row r="125" spans="1:262" s="211" customFormat="1" ht="21" customHeight="1">
      <c r="A125" s="184">
        <v>118</v>
      </c>
      <c r="B125" s="185" t="str">
        <f>IF('Marks Entry'!B125="","",'Marks Entry'!B125)</f>
        <v/>
      </c>
      <c r="C125" s="186" t="str">
        <f>IF('Marks Entry'!D125="","",'Marks Entry'!D125)</f>
        <v/>
      </c>
      <c r="D125" s="187" t="str">
        <f>IF('Marks Entry'!E125="","",'Marks Entry'!E125)</f>
        <v/>
      </c>
      <c r="E125" s="188" t="str">
        <f>IF('Marks Entry'!F125="","",'Marks Entry'!F125)</f>
        <v/>
      </c>
      <c r="F125" s="188" t="str">
        <f>IF('Marks Entry'!G125="","",'Marks Entry'!G125)</f>
        <v/>
      </c>
      <c r="G125" s="188" t="str">
        <f>IF('Marks Entry'!H125="","",'Marks Entry'!H125)</f>
        <v/>
      </c>
      <c r="H125" s="189" t="str">
        <f>IF('Marks Entry'!I125="","",'Marks Entry'!I125)</f>
        <v/>
      </c>
      <c r="I125" s="190" t="str">
        <f>IF('Marks Entry'!J125="","",'Marks Entry'!J125)</f>
        <v/>
      </c>
      <c r="J125" s="545" t="str">
        <f>IF('Marks Entry'!K125="","",'Marks Entry'!K125)</f>
        <v/>
      </c>
      <c r="K125" s="545" t="str">
        <f>IF('Marks Entry'!L125="","",'Marks Entry'!L125)</f>
        <v/>
      </c>
      <c r="L125" s="545" t="str">
        <f>IF('Marks Entry'!M125="","",'Marks Entry'!M125)</f>
        <v/>
      </c>
      <c r="M125" s="546" t="str">
        <f t="shared" si="230"/>
        <v/>
      </c>
      <c r="N125" s="545" t="str">
        <f>IF('Marks Entry'!N125="","",'Marks Entry'!N125)</f>
        <v/>
      </c>
      <c r="O125" s="546" t="str">
        <f t="shared" si="231"/>
        <v/>
      </c>
      <c r="P125" s="545" t="str">
        <f>IF('Marks Entry'!O125="","",'Marks Entry'!O125)</f>
        <v/>
      </c>
      <c r="Q125" s="547" t="str">
        <f t="shared" si="232"/>
        <v/>
      </c>
      <c r="R125" s="153">
        <f t="shared" si="233"/>
        <v>0</v>
      </c>
      <c r="S125" s="153">
        <f t="shared" si="234"/>
        <v>0</v>
      </c>
      <c r="T125" s="154" t="str">
        <f t="shared" si="235"/>
        <v/>
      </c>
      <c r="U125" s="153" t="str">
        <f t="shared" si="236"/>
        <v/>
      </c>
      <c r="V125" s="153" t="str">
        <f t="shared" si="237"/>
        <v/>
      </c>
      <c r="W125" s="153" t="str">
        <f t="shared" si="238"/>
        <v/>
      </c>
      <c r="X125" s="545" t="str">
        <f>IF('Marks Entry'!P125="","",'Marks Entry'!P125)</f>
        <v/>
      </c>
      <c r="Y125" s="545" t="str">
        <f>IF('Marks Entry'!Q125="","",'Marks Entry'!Q125)</f>
        <v/>
      </c>
      <c r="Z125" s="545" t="str">
        <f>IF('Marks Entry'!R125="","",'Marks Entry'!R125)</f>
        <v/>
      </c>
      <c r="AA125" s="546" t="str">
        <f t="shared" si="239"/>
        <v/>
      </c>
      <c r="AB125" s="545" t="str">
        <f>IF('Marks Entry'!S125="","",'Marks Entry'!S125)</f>
        <v/>
      </c>
      <c r="AC125" s="546" t="str">
        <f t="shared" si="240"/>
        <v/>
      </c>
      <c r="AD125" s="545" t="str">
        <f>IF('Marks Entry'!T125="","",'Marks Entry'!T125)</f>
        <v/>
      </c>
      <c r="AE125" s="547" t="str">
        <f t="shared" si="241"/>
        <v/>
      </c>
      <c r="AF125" s="153">
        <f t="shared" si="242"/>
        <v>0</v>
      </c>
      <c r="AG125" s="153">
        <f t="shared" si="243"/>
        <v>0</v>
      </c>
      <c r="AH125" s="154" t="str">
        <f t="shared" si="244"/>
        <v/>
      </c>
      <c r="AI125" s="153" t="str">
        <f t="shared" si="245"/>
        <v/>
      </c>
      <c r="AJ125" s="153" t="str">
        <f t="shared" si="246"/>
        <v/>
      </c>
      <c r="AK125" s="153" t="str">
        <f t="shared" si="247"/>
        <v/>
      </c>
      <c r="AL125" s="573" t="str">
        <f>IF('Marks Entry'!U125="","",'Marks Entry'!U125)</f>
        <v/>
      </c>
      <c r="AM125" s="573" t="str">
        <f>IF('Marks Entry'!V125="","",'Marks Entry'!V125)</f>
        <v/>
      </c>
      <c r="AN125" s="573" t="str">
        <f>IF('Marks Entry'!W125="","",'Marks Entry'!W125)</f>
        <v/>
      </c>
      <c r="AO125" s="573" t="str">
        <f>IF('Marks Entry'!X125="","",'Marks Entry'!X125)</f>
        <v/>
      </c>
      <c r="AP125" s="572" t="str">
        <f t="shared" si="248"/>
        <v/>
      </c>
      <c r="AQ125" s="573" t="str">
        <f>IF('Marks Entry'!Y125="","",'Marks Entry'!Y125)</f>
        <v/>
      </c>
      <c r="AR125" s="573" t="str">
        <f>IF('Marks Entry'!Z125="","",'Marks Entry'!Z125)</f>
        <v/>
      </c>
      <c r="AS125" s="572" t="str">
        <f t="shared" si="249"/>
        <v/>
      </c>
      <c r="AT125" s="572" t="str">
        <f t="shared" si="250"/>
        <v/>
      </c>
      <c r="AU125" s="573" t="str">
        <f>IF('Marks Entry'!AA125="","",'Marks Entry'!AA125)</f>
        <v/>
      </c>
      <c r="AV125" s="573" t="str">
        <f>IF('Marks Entry'!AB125="","",'Marks Entry'!AB125)</f>
        <v/>
      </c>
      <c r="AW125" s="572" t="str">
        <f t="shared" si="251"/>
        <v/>
      </c>
      <c r="AX125" s="157" t="str">
        <f t="shared" si="252"/>
        <v/>
      </c>
      <c r="AY125" s="157" t="str">
        <f t="shared" si="253"/>
        <v/>
      </c>
      <c r="AZ125" s="192" t="str">
        <f t="shared" si="254"/>
        <v/>
      </c>
      <c r="BA125" s="153">
        <f t="shared" si="255"/>
        <v>0</v>
      </c>
      <c r="BB125" s="154">
        <f t="shared" si="256"/>
        <v>0</v>
      </c>
      <c r="BC125" s="154" t="str">
        <f t="shared" si="257"/>
        <v/>
      </c>
      <c r="BD125" s="154" t="str">
        <f t="shared" si="258"/>
        <v/>
      </c>
      <c r="BE125" s="154" t="str">
        <f t="shared" si="259"/>
        <v/>
      </c>
      <c r="BF125" s="153" t="str">
        <f t="shared" si="260"/>
        <v/>
      </c>
      <c r="BG125" s="154" t="str">
        <f t="shared" si="261"/>
        <v/>
      </c>
      <c r="BH125" s="153" t="str">
        <f t="shared" si="262"/>
        <v/>
      </c>
      <c r="BI125" s="580" t="str">
        <f>IF('Marks Entry'!AC125="","",'Marks Entry'!AC125)</f>
        <v/>
      </c>
      <c r="BJ125" s="580" t="str">
        <f>IF('Marks Entry'!AD125="","",'Marks Entry'!AD125)</f>
        <v/>
      </c>
      <c r="BK125" s="580" t="str">
        <f>IF('Marks Entry'!AE125="","",'Marks Entry'!AE125)</f>
        <v/>
      </c>
      <c r="BL125" s="580" t="str">
        <f>IF('Marks Entry'!AF125="","",'Marks Entry'!AF125)</f>
        <v/>
      </c>
      <c r="BM125" s="581" t="str">
        <f t="shared" si="263"/>
        <v/>
      </c>
      <c r="BN125" s="580" t="str">
        <f>IF('Marks Entry'!AG125="","",'Marks Entry'!AG125)</f>
        <v/>
      </c>
      <c r="BO125" s="580" t="str">
        <f>IF('Marks Entry'!AH125="","",'Marks Entry'!AH125)</f>
        <v/>
      </c>
      <c r="BP125" s="581" t="str">
        <f t="shared" si="264"/>
        <v/>
      </c>
      <c r="BQ125" s="581" t="str">
        <f t="shared" si="265"/>
        <v/>
      </c>
      <c r="BR125" s="580" t="str">
        <f>IF('Marks Entry'!AI125="","",'Marks Entry'!AI125)</f>
        <v/>
      </c>
      <c r="BS125" s="580" t="str">
        <f>IF('Marks Entry'!AJ125="","",'Marks Entry'!AJ125)</f>
        <v/>
      </c>
      <c r="BT125" s="581" t="str">
        <f t="shared" si="266"/>
        <v/>
      </c>
      <c r="BU125" s="157" t="str">
        <f t="shared" si="267"/>
        <v/>
      </c>
      <c r="BV125" s="157" t="str">
        <f t="shared" si="268"/>
        <v/>
      </c>
      <c r="BW125" s="192" t="str">
        <f t="shared" si="269"/>
        <v/>
      </c>
      <c r="BX125" s="153">
        <f t="shared" si="270"/>
        <v>0</v>
      </c>
      <c r="BY125" s="154">
        <f t="shared" si="271"/>
        <v>0</v>
      </c>
      <c r="BZ125" s="154" t="str">
        <f t="shared" si="272"/>
        <v/>
      </c>
      <c r="CA125" s="154" t="str">
        <f t="shared" si="273"/>
        <v/>
      </c>
      <c r="CB125" s="154" t="str">
        <f t="shared" si="274"/>
        <v/>
      </c>
      <c r="CC125" s="153" t="str">
        <f t="shared" si="275"/>
        <v/>
      </c>
      <c r="CD125" s="154" t="str">
        <f t="shared" si="276"/>
        <v/>
      </c>
      <c r="CE125" s="153" t="str">
        <f t="shared" si="277"/>
        <v/>
      </c>
      <c r="CF125" s="580" t="str">
        <f>IF('Marks Entry'!AK125="","",'Marks Entry'!AK125)</f>
        <v/>
      </c>
      <c r="CG125" s="580" t="str">
        <f>IF('Marks Entry'!AL125="","",'Marks Entry'!AL125)</f>
        <v/>
      </c>
      <c r="CH125" s="580" t="str">
        <f>IF('Marks Entry'!AM125="","",'Marks Entry'!AM125)</f>
        <v/>
      </c>
      <c r="CI125" s="580" t="str">
        <f>IF('Marks Entry'!AN125="","",'Marks Entry'!AN125)</f>
        <v/>
      </c>
      <c r="CJ125" s="581" t="str">
        <f t="shared" si="278"/>
        <v/>
      </c>
      <c r="CK125" s="580" t="str">
        <f>IF('Marks Entry'!AO125="","",'Marks Entry'!AO125)</f>
        <v/>
      </c>
      <c r="CL125" s="580" t="str">
        <f>IF('Marks Entry'!AP125="","",'Marks Entry'!AP125)</f>
        <v/>
      </c>
      <c r="CM125" s="581" t="str">
        <f t="shared" si="279"/>
        <v/>
      </c>
      <c r="CN125" s="581" t="str">
        <f t="shared" si="280"/>
        <v/>
      </c>
      <c r="CO125" s="580" t="str">
        <f>IF('Marks Entry'!AQ125="","",'Marks Entry'!AQ125)</f>
        <v/>
      </c>
      <c r="CP125" s="580" t="str">
        <f>IF('Marks Entry'!AR125="","",'Marks Entry'!AR125)</f>
        <v/>
      </c>
      <c r="CQ125" s="581" t="str">
        <f t="shared" si="281"/>
        <v/>
      </c>
      <c r="CR125" s="157" t="str">
        <f t="shared" si="282"/>
        <v/>
      </c>
      <c r="CS125" s="157" t="str">
        <f t="shared" si="283"/>
        <v/>
      </c>
      <c r="CT125" s="192" t="str">
        <f t="shared" si="284"/>
        <v/>
      </c>
      <c r="CU125" s="153">
        <f t="shared" si="285"/>
        <v>0</v>
      </c>
      <c r="CV125" s="154">
        <f t="shared" si="286"/>
        <v>0</v>
      </c>
      <c r="CW125" s="154" t="str">
        <f t="shared" si="287"/>
        <v/>
      </c>
      <c r="CX125" s="154" t="str">
        <f t="shared" si="288"/>
        <v/>
      </c>
      <c r="CY125" s="154" t="str">
        <f t="shared" si="289"/>
        <v/>
      </c>
      <c r="CZ125" s="153" t="str">
        <f t="shared" si="290"/>
        <v/>
      </c>
      <c r="DA125" s="154" t="str">
        <f t="shared" si="291"/>
        <v/>
      </c>
      <c r="DB125" s="153" t="str">
        <f t="shared" si="292"/>
        <v/>
      </c>
      <c r="DC125" s="154">
        <f t="shared" si="293"/>
        <v>0</v>
      </c>
      <c r="DD125" s="826" t="str">
        <f>IF('Marks Entry'!AS125="","",IF(OR('Master Sheet'!$D$19="YES",'Marks Entry'!$BA$1=1),'Marks Entry'!AS125,""))</f>
        <v/>
      </c>
      <c r="DE125" s="826" t="str">
        <f>IF('Marks Entry'!AT125="","",IF(OR('Master Sheet'!$D$19="YES",'Marks Entry'!$BA$1=1),'Marks Entry'!AT125,""))</f>
        <v/>
      </c>
      <c r="DF125" s="826" t="str">
        <f>IF('Marks Entry'!AU125="","",IF(OR('Master Sheet'!$D$19="YES",'Marks Entry'!$BA$1=1),'Marks Entry'!AU125,""))</f>
        <v/>
      </c>
      <c r="DG125" s="826" t="str">
        <f>IF('Marks Entry'!AV125="","",IF(OR('Master Sheet'!$D$19="YES",'Marks Entry'!$BA$1=1),'Marks Entry'!AV125,""))</f>
        <v/>
      </c>
      <c r="DH125" s="827" t="str">
        <f t="shared" si="294"/>
        <v/>
      </c>
      <c r="DI125" s="826" t="str">
        <f>IF('Marks Entry'!AW125="","",IF(OR('Master Sheet'!$D$19="YES",'Marks Entry'!$BA$1=1),'Marks Entry'!AW125,""))</f>
        <v/>
      </c>
      <c r="DJ125" s="826" t="str">
        <f>IF('Marks Entry'!AX125="","",IF(OR('Master Sheet'!$D$19="YES",'Marks Entry'!$BA$1=1),'Marks Entry'!AX125,""))</f>
        <v/>
      </c>
      <c r="DK125" s="827" t="str">
        <f t="shared" si="295"/>
        <v/>
      </c>
      <c r="DL125" s="827" t="str">
        <f t="shared" si="296"/>
        <v/>
      </c>
      <c r="DM125" s="826" t="str">
        <f>IF('Marks Entry'!AY125="","",IF(OR('Master Sheet'!$D$19="YES",'Marks Entry'!$BA$1=1),'Marks Entry'!AY125,""))</f>
        <v/>
      </c>
      <c r="DN125" s="826" t="str">
        <f>IF('Marks Entry'!AZ125="","",IF(OR('Master Sheet'!$D$19="YES",'Marks Entry'!$BA$1=1),'Marks Entry'!AZ125,""))</f>
        <v/>
      </c>
      <c r="DO125" s="826" t="str">
        <f>IF('Marks Entry'!BA125="","",IF(OR('Master Sheet'!$D$19="YES",'Marks Entry'!$BA$1=1),'Marks Entry'!BA125,""))</f>
        <v/>
      </c>
      <c r="DP125" s="827" t="str">
        <f t="shared" si="297"/>
        <v/>
      </c>
      <c r="DQ125" s="157" t="str">
        <f t="shared" si="298"/>
        <v/>
      </c>
      <c r="DR125" s="157" t="str">
        <f t="shared" si="299"/>
        <v/>
      </c>
      <c r="DS125" s="157" t="str">
        <f t="shared" si="300"/>
        <v/>
      </c>
      <c r="DT125" s="192" t="str">
        <f t="shared" si="301"/>
        <v/>
      </c>
      <c r="DU125" s="153">
        <f t="shared" si="302"/>
        <v>0</v>
      </c>
      <c r="DV125" s="154" t="e">
        <f t="shared" si="303"/>
        <v>#VALUE!</v>
      </c>
      <c r="DW125" s="154" t="str">
        <f t="shared" si="304"/>
        <v/>
      </c>
      <c r="DX125" s="154" t="str">
        <f>IF(OR($B125="NSO",$B125=0,DS125=""),"",IF(AND(DJ125="",DO125=""),"",IF('Master Sheet'!$D$19="YES",$DO$6-COUNTIF(DO125,"ML")*DO$6,DS$6-(COUNTIF(DJ125,"ML")*DJ$6)-(COUNTIF(DO125,"ML")*DO$6))))</f>
        <v/>
      </c>
      <c r="DY125" s="154" t="str">
        <f>IF(OR($B125="NSO",$B125=0),"",IF(AND(DH125="",DI125="",DM125=""),"",IF(AND('Master Sheet'!$D$19="YES",'Marks Entry'!$BA$1=1),100,IF(AND(DJ125="",DO125=""),SUM(($DQ$7+$DR$7)-(DU125+DV125)),SUM(($DQ$6+$DR$6)-(DU125+DV125))))))</f>
        <v/>
      </c>
      <c r="DZ125" s="153" t="str">
        <f t="shared" si="305"/>
        <v/>
      </c>
      <c r="EA125" s="154" t="str">
        <f t="shared" si="306"/>
        <v/>
      </c>
      <c r="EB125" s="153" t="str">
        <f t="shared" si="307"/>
        <v/>
      </c>
      <c r="EC125" s="584" t="str">
        <f>IF('Marks Entry'!BB125="","",'Marks Entry'!BB125)</f>
        <v/>
      </c>
      <c r="ED125" s="584" t="str">
        <f>IF('Marks Entry'!BC125="","",'Marks Entry'!BC125)</f>
        <v/>
      </c>
      <c r="EE125" s="584" t="str">
        <f>IF('Marks Entry'!BD125="","",'Marks Entry'!BD125)</f>
        <v/>
      </c>
      <c r="EF125" s="590" t="str">
        <f t="shared" si="308"/>
        <v/>
      </c>
      <c r="EG125" s="595">
        <f t="shared" si="309"/>
        <v>0</v>
      </c>
      <c r="EH125" s="595">
        <f t="shared" si="310"/>
        <v>0</v>
      </c>
      <c r="EI125" s="193" t="str">
        <f t="shared" si="311"/>
        <v/>
      </c>
      <c r="EJ125" s="595" t="str">
        <f t="shared" si="312"/>
        <v/>
      </c>
      <c r="EK125" s="595" t="str">
        <f t="shared" si="313"/>
        <v/>
      </c>
      <c r="EL125" s="194" t="str">
        <f t="shared" si="314"/>
        <v/>
      </c>
      <c r="EM125" s="194" t="str">
        <f t="shared" si="315"/>
        <v/>
      </c>
      <c r="EN125" s="194" t="str">
        <f t="shared" si="316"/>
        <v/>
      </c>
      <c r="EO125" s="194" t="str">
        <f t="shared" si="317"/>
        <v/>
      </c>
      <c r="EP125" s="194" t="str">
        <f t="shared" si="318"/>
        <v/>
      </c>
      <c r="EQ125" s="194" t="str">
        <f t="shared" si="319"/>
        <v/>
      </c>
      <c r="ER125" s="195">
        <f t="shared" si="320"/>
        <v>0</v>
      </c>
      <c r="ES125" s="195">
        <f t="shared" si="321"/>
        <v>0</v>
      </c>
      <c r="ET125" s="195">
        <f t="shared" si="322"/>
        <v>0</v>
      </c>
      <c r="EU125" s="195">
        <f t="shared" si="323"/>
        <v>0</v>
      </c>
      <c r="EV125" s="195">
        <f t="shared" si="324"/>
        <v>0</v>
      </c>
      <c r="EW125" s="195" t="str">
        <f t="shared" si="325"/>
        <v/>
      </c>
      <c r="EX125" s="196" t="str">
        <f t="shared" si="326"/>
        <v/>
      </c>
      <c r="EY125" s="197" t="str">
        <f>IF('Marks Entry'!BE125="","",'Marks Entry'!BE125)</f>
        <v/>
      </c>
      <c r="EZ125" s="197" t="str">
        <f>IF('Marks Entry'!BF125="","",'Marks Entry'!BF125)</f>
        <v/>
      </c>
      <c r="FA125" s="197" t="str">
        <f>IF('Marks Entry'!BG125="","",'Marks Entry'!BG125)</f>
        <v/>
      </c>
      <c r="FB125" s="596" t="str">
        <f t="shared" si="327"/>
        <v/>
      </c>
      <c r="FC125" s="197" t="str">
        <f>IF('Marks Entry'!BH125="","",'Marks Entry'!BH125)</f>
        <v/>
      </c>
      <c r="FD125" s="197" t="str">
        <f>IF('Marks Entry'!BI125="","",'Marks Entry'!BI125)</f>
        <v/>
      </c>
      <c r="FE125" s="198" t="str">
        <f t="shared" si="328"/>
        <v/>
      </c>
      <c r="FF125" s="199" t="str">
        <f t="shared" si="329"/>
        <v/>
      </c>
      <c r="FG125" s="200" t="str">
        <f>IF(AND(E125=""),"",IF('Student DATA Entry'!L121="","",'Student DATA Entry'!L121))</f>
        <v/>
      </c>
      <c r="FH125" s="201" t="str">
        <f>IF(AND(E125=""),"",IF('Student DATA Entry'!M121="","",'Student DATA Entry'!M121))</f>
        <v/>
      </c>
      <c r="FI125" s="202" t="str">
        <f t="shared" si="330"/>
        <v/>
      </c>
      <c r="FJ125" s="189" t="str">
        <f t="shared" si="331"/>
        <v/>
      </c>
      <c r="FK125" s="189" t="str">
        <f t="shared" si="332"/>
        <v/>
      </c>
      <c r="FL125" s="203" t="str">
        <f t="shared" si="360"/>
        <v/>
      </c>
      <c r="FM125" s="189" t="str">
        <f t="shared" si="333"/>
        <v/>
      </c>
      <c r="FN125" s="204" t="str">
        <f t="shared" si="334"/>
        <v/>
      </c>
      <c r="FO125" s="203" t="str">
        <f t="shared" si="361"/>
        <v/>
      </c>
      <c r="FP125" s="205" t="str">
        <f t="shared" si="335"/>
        <v/>
      </c>
      <c r="FQ125" s="189" t="str">
        <f t="shared" si="362"/>
        <v/>
      </c>
      <c r="FR125" s="189" t="str">
        <f t="shared" si="363"/>
        <v/>
      </c>
      <c r="FS125" s="189" t="str">
        <f t="shared" si="364"/>
        <v/>
      </c>
      <c r="FT125" s="189" t="str">
        <f t="shared" si="365"/>
        <v/>
      </c>
      <c r="FU125" s="189" t="str">
        <f t="shared" si="336"/>
        <v/>
      </c>
      <c r="FV125" s="206" t="str">
        <f t="shared" si="366"/>
        <v/>
      </c>
      <c r="FW125" s="205" t="str">
        <f t="shared" si="337"/>
        <v/>
      </c>
      <c r="FX125" s="189" t="str">
        <f t="shared" si="367"/>
        <v/>
      </c>
      <c r="FY125" s="189" t="str">
        <f t="shared" si="368"/>
        <v/>
      </c>
      <c r="FZ125" s="189" t="str">
        <f t="shared" si="369"/>
        <v/>
      </c>
      <c r="GA125" s="189" t="str">
        <f t="shared" si="370"/>
        <v/>
      </c>
      <c r="GB125" s="189" t="str">
        <f t="shared" si="338"/>
        <v/>
      </c>
      <c r="GC125" s="206" t="str">
        <f t="shared" si="371"/>
        <v/>
      </c>
      <c r="GD125" s="205" t="str">
        <f t="shared" si="339"/>
        <v/>
      </c>
      <c r="GE125" s="189" t="str">
        <f t="shared" si="372"/>
        <v/>
      </c>
      <c r="GF125" s="189" t="str">
        <f t="shared" si="373"/>
        <v/>
      </c>
      <c r="GG125" s="189" t="str">
        <f t="shared" si="374"/>
        <v/>
      </c>
      <c r="GH125" s="189" t="str">
        <f t="shared" si="375"/>
        <v/>
      </c>
      <c r="GI125" s="189" t="str">
        <f t="shared" si="340"/>
        <v/>
      </c>
      <c r="GJ125" s="206" t="str">
        <f t="shared" si="376"/>
        <v/>
      </c>
      <c r="GK125" s="205" t="str">
        <f t="shared" si="341"/>
        <v/>
      </c>
      <c r="GL125" s="189" t="str">
        <f t="shared" si="377"/>
        <v/>
      </c>
      <c r="GM125" s="189" t="str">
        <f t="shared" si="378"/>
        <v/>
      </c>
      <c r="GN125" s="189" t="str">
        <f t="shared" si="379"/>
        <v/>
      </c>
      <c r="GO125" s="189" t="str">
        <f t="shared" si="380"/>
        <v/>
      </c>
      <c r="GP125" s="189" t="str">
        <f t="shared" si="342"/>
        <v/>
      </c>
      <c r="GQ125" s="206" t="str">
        <f t="shared" si="381"/>
        <v/>
      </c>
      <c r="GR125" s="189" t="str">
        <f t="shared" si="343"/>
        <v/>
      </c>
      <c r="GS125" s="189" t="str">
        <f t="shared" si="344"/>
        <v/>
      </c>
      <c r="GT125" s="207" t="str">
        <f t="shared" si="345"/>
        <v xml:space="preserve">    </v>
      </c>
      <c r="GU125" s="207" t="str">
        <f t="shared" si="346"/>
        <v xml:space="preserve">    </v>
      </c>
      <c r="GV125" s="207" t="str">
        <f t="shared" si="347"/>
        <v xml:space="preserve">    </v>
      </c>
      <c r="GW125" s="207" t="str">
        <f t="shared" si="348"/>
        <v xml:space="preserve">       </v>
      </c>
      <c r="GX125" s="598" t="str">
        <f t="shared" si="349"/>
        <v xml:space="preserve">     </v>
      </c>
      <c r="GY125" s="208" t="str">
        <f t="shared" si="382"/>
        <v/>
      </c>
      <c r="GZ125" s="606" t="str">
        <f>IF(AND(Q125="",AE125="",AZ125="",BW125="",CT125=""),"",IF(AND('Master Sheet'!$D$19="YES",'Marks Entry'!$BA$1=1),SUM(Q125,AE125,AZ125,BW125,DT125),SUM(Q125,AE125,AZ125,BW125,CT125)))</f>
        <v/>
      </c>
      <c r="HA125" s="209" t="str">
        <f>IF(GZ125="","",IF(AND('Master Sheet'!$D$19="YES",'Marks Entry'!$BA$1=1),GZ125/((900)-DC125)*100,GZ125/((1000)-DC125)*100))</f>
        <v/>
      </c>
      <c r="HB125" s="611" t="str">
        <f t="shared" si="350"/>
        <v/>
      </c>
      <c r="HC125" s="609" t="str">
        <f t="shared" si="351"/>
        <v/>
      </c>
      <c r="HD125" s="610" t="str">
        <f t="shared" si="352"/>
        <v/>
      </c>
      <c r="HE125" s="210" t="str">
        <f>IFERROR(IF(OR(GY125="SUPPLEMENTARY",GY125="RE-EXAM"),'Supp. Result Entry'!AS124,""),"")</f>
        <v/>
      </c>
      <c r="HF125" s="613" t="str">
        <f t="shared" si="353"/>
        <v/>
      </c>
      <c r="HG125" s="598" t="str">
        <f t="shared" si="354"/>
        <v/>
      </c>
      <c r="HH125" s="598" t="str">
        <f>IF(AND(HE125="",HF125="",HG125=""),"",IF(OR(GY125="SUPPLEMENTARY",GY125="RE-EXAM"),'Supp. Result Entry'!AS124,GY125))</f>
        <v/>
      </c>
      <c r="HI125" s="180"/>
      <c r="HY125" s="212" t="str">
        <f>IF('Supp. Result Entry'!U124="","",'Supp. Result Entry'!$U$6)</f>
        <v/>
      </c>
      <c r="HZ125" s="213" t="str">
        <f>IF('Supp. Result Entry'!X124="","",'Supp. Result Entry'!$X$6)</f>
        <v/>
      </c>
      <c r="IA125" s="213" t="str">
        <f>IF('Supp. Result Entry'!AA124="","",'Supp. Result Entry'!$AA$6)</f>
        <v/>
      </c>
      <c r="IB125" s="213" t="str">
        <f>IF('Supp. Result Entry'!AD124="","",'Supp. Result Entry'!$AD$6)</f>
        <v/>
      </c>
      <c r="IC125" s="213" t="str">
        <f>IF('Supp. Result Entry'!AG124="","",'Supp. Result Entry'!$AG$6)</f>
        <v/>
      </c>
      <c r="ID125" s="213" t="str">
        <f>IF('Supp. Result Entry'!AJ124="","",'Supp. Result Entry'!$AJ$6)</f>
        <v/>
      </c>
      <c r="IE125" s="213" t="str">
        <f>IF('Supp. Result Entry'!V124="","",'Supp. Result Entry'!V124)</f>
        <v/>
      </c>
      <c r="IF125" s="213" t="str">
        <f>IF('Supp. Result Entry'!Y124="","",'Supp. Result Entry'!Y124)</f>
        <v/>
      </c>
      <c r="IG125" s="213" t="str">
        <f>IF('Supp. Result Entry'!AB124="","",'Supp. Result Entry'!AB124)</f>
        <v/>
      </c>
      <c r="IH125" s="213" t="str">
        <f>IF('Supp. Result Entry'!AE124="","",'Supp. Result Entry'!AE124)</f>
        <v/>
      </c>
      <c r="II125" s="213" t="str">
        <f>IF('Supp. Result Entry'!AH124="","",'Supp. Result Entry'!AH124)</f>
        <v/>
      </c>
      <c r="IJ125" s="213" t="str">
        <f>IF('Supp. Result Entry'!AK124="","",'Supp. Result Entry'!AK124)</f>
        <v/>
      </c>
      <c r="IK125" s="213" t="str">
        <f>IF('Supp. Result Entry'!W124="","",'Supp. Result Entry'!W124)</f>
        <v/>
      </c>
      <c r="IL125" s="213" t="str">
        <f>IF('Supp. Result Entry'!Z124="","",'Supp. Result Entry'!Z124)</f>
        <v/>
      </c>
      <c r="IM125" s="213" t="str">
        <f>IF('Supp. Result Entry'!AC124="","",'Supp. Result Entry'!AC124)</f>
        <v/>
      </c>
      <c r="IN125" s="213" t="str">
        <f>IF('Supp. Result Entry'!AF124="","",'Supp. Result Entry'!AF124)</f>
        <v/>
      </c>
      <c r="IO125" s="213" t="str">
        <f>IF('Supp. Result Entry'!AI124="","",'Supp. Result Entry'!AI124)</f>
        <v/>
      </c>
      <c r="IP125" s="213" t="str">
        <f>IF('Supp. Result Entry'!AL124="","",'Supp. Result Entry'!AL124)</f>
        <v/>
      </c>
      <c r="IQ125" s="213">
        <f>COUNTIF('Supp. Result Entry'!K124:Q124,"S")</f>
        <v>0</v>
      </c>
      <c r="IR125" s="213">
        <f t="shared" si="355"/>
        <v>0</v>
      </c>
      <c r="IS125" s="213">
        <f t="shared" si="356"/>
        <v>0</v>
      </c>
      <c r="IT125" s="213" t="str">
        <f t="shared" si="224"/>
        <v/>
      </c>
      <c r="IU125" s="213" t="str">
        <f t="shared" si="225"/>
        <v/>
      </c>
      <c r="IV125" s="213" t="str">
        <f t="shared" si="226"/>
        <v/>
      </c>
      <c r="IW125" s="213" t="str">
        <f t="shared" si="227"/>
        <v/>
      </c>
      <c r="IX125" s="213" t="str">
        <f t="shared" si="228"/>
        <v/>
      </c>
      <c r="IY125" s="213" t="str">
        <f t="shared" si="357"/>
        <v/>
      </c>
      <c r="IZ125" s="213" t="str">
        <f t="shared" si="358"/>
        <v/>
      </c>
      <c r="JA125" s="213" t="str">
        <f t="shared" si="229"/>
        <v/>
      </c>
      <c r="JB125" s="211" t="str">
        <f t="shared" si="359"/>
        <v/>
      </c>
    </row>
    <row r="126" spans="1:262" s="211" customFormat="1" ht="21" customHeight="1">
      <c r="A126" s="184">
        <v>119</v>
      </c>
      <c r="B126" s="185" t="str">
        <f>IF('Marks Entry'!B126="","",'Marks Entry'!B126)</f>
        <v/>
      </c>
      <c r="C126" s="186" t="str">
        <f>IF('Marks Entry'!D126="","",'Marks Entry'!D126)</f>
        <v/>
      </c>
      <c r="D126" s="187" t="str">
        <f>IF('Marks Entry'!E126="","",'Marks Entry'!E126)</f>
        <v/>
      </c>
      <c r="E126" s="188" t="str">
        <f>IF('Marks Entry'!F126="","",'Marks Entry'!F126)</f>
        <v/>
      </c>
      <c r="F126" s="188" t="str">
        <f>IF('Marks Entry'!G126="","",'Marks Entry'!G126)</f>
        <v/>
      </c>
      <c r="G126" s="188" t="str">
        <f>IF('Marks Entry'!H126="","",'Marks Entry'!H126)</f>
        <v/>
      </c>
      <c r="H126" s="189" t="str">
        <f>IF('Marks Entry'!I126="","",'Marks Entry'!I126)</f>
        <v/>
      </c>
      <c r="I126" s="190" t="str">
        <f>IF('Marks Entry'!J126="","",'Marks Entry'!J126)</f>
        <v/>
      </c>
      <c r="J126" s="545" t="str">
        <f>IF('Marks Entry'!K126="","",'Marks Entry'!K126)</f>
        <v/>
      </c>
      <c r="K126" s="545" t="str">
        <f>IF('Marks Entry'!L126="","",'Marks Entry'!L126)</f>
        <v/>
      </c>
      <c r="L126" s="545" t="str">
        <f>IF('Marks Entry'!M126="","",'Marks Entry'!M126)</f>
        <v/>
      </c>
      <c r="M126" s="546" t="str">
        <f t="shared" si="230"/>
        <v/>
      </c>
      <c r="N126" s="545" t="str">
        <f>IF('Marks Entry'!N126="","",'Marks Entry'!N126)</f>
        <v/>
      </c>
      <c r="O126" s="546" t="str">
        <f t="shared" si="231"/>
        <v/>
      </c>
      <c r="P126" s="545" t="str">
        <f>IF('Marks Entry'!O126="","",'Marks Entry'!O126)</f>
        <v/>
      </c>
      <c r="Q126" s="547" t="str">
        <f t="shared" si="232"/>
        <v/>
      </c>
      <c r="R126" s="153">
        <f t="shared" si="233"/>
        <v>0</v>
      </c>
      <c r="S126" s="153">
        <f t="shared" si="234"/>
        <v>0</v>
      </c>
      <c r="T126" s="154" t="str">
        <f t="shared" si="235"/>
        <v/>
      </c>
      <c r="U126" s="153" t="str">
        <f t="shared" si="236"/>
        <v/>
      </c>
      <c r="V126" s="153" t="str">
        <f t="shared" si="237"/>
        <v/>
      </c>
      <c r="W126" s="153" t="str">
        <f t="shared" si="238"/>
        <v/>
      </c>
      <c r="X126" s="545" t="str">
        <f>IF('Marks Entry'!P126="","",'Marks Entry'!P126)</f>
        <v/>
      </c>
      <c r="Y126" s="545" t="str">
        <f>IF('Marks Entry'!Q126="","",'Marks Entry'!Q126)</f>
        <v/>
      </c>
      <c r="Z126" s="545" t="str">
        <f>IF('Marks Entry'!R126="","",'Marks Entry'!R126)</f>
        <v/>
      </c>
      <c r="AA126" s="546" t="str">
        <f t="shared" si="239"/>
        <v/>
      </c>
      <c r="AB126" s="545" t="str">
        <f>IF('Marks Entry'!S126="","",'Marks Entry'!S126)</f>
        <v/>
      </c>
      <c r="AC126" s="546" t="str">
        <f t="shared" si="240"/>
        <v/>
      </c>
      <c r="AD126" s="545" t="str">
        <f>IF('Marks Entry'!T126="","",'Marks Entry'!T126)</f>
        <v/>
      </c>
      <c r="AE126" s="547" t="str">
        <f t="shared" si="241"/>
        <v/>
      </c>
      <c r="AF126" s="153">
        <f t="shared" si="242"/>
        <v>0</v>
      </c>
      <c r="AG126" s="153">
        <f t="shared" si="243"/>
        <v>0</v>
      </c>
      <c r="AH126" s="154" t="str">
        <f t="shared" si="244"/>
        <v/>
      </c>
      <c r="AI126" s="153" t="str">
        <f t="shared" si="245"/>
        <v/>
      </c>
      <c r="AJ126" s="153" t="str">
        <f t="shared" si="246"/>
        <v/>
      </c>
      <c r="AK126" s="153" t="str">
        <f t="shared" si="247"/>
        <v/>
      </c>
      <c r="AL126" s="573" t="str">
        <f>IF('Marks Entry'!U126="","",'Marks Entry'!U126)</f>
        <v/>
      </c>
      <c r="AM126" s="573" t="str">
        <f>IF('Marks Entry'!V126="","",'Marks Entry'!V126)</f>
        <v/>
      </c>
      <c r="AN126" s="573" t="str">
        <f>IF('Marks Entry'!W126="","",'Marks Entry'!W126)</f>
        <v/>
      </c>
      <c r="AO126" s="573" t="str">
        <f>IF('Marks Entry'!X126="","",'Marks Entry'!X126)</f>
        <v/>
      </c>
      <c r="AP126" s="572" t="str">
        <f t="shared" si="248"/>
        <v/>
      </c>
      <c r="AQ126" s="573" t="str">
        <f>IF('Marks Entry'!Y126="","",'Marks Entry'!Y126)</f>
        <v/>
      </c>
      <c r="AR126" s="573" t="str">
        <f>IF('Marks Entry'!Z126="","",'Marks Entry'!Z126)</f>
        <v/>
      </c>
      <c r="AS126" s="572" t="str">
        <f t="shared" si="249"/>
        <v/>
      </c>
      <c r="AT126" s="572" t="str">
        <f t="shared" si="250"/>
        <v/>
      </c>
      <c r="AU126" s="573" t="str">
        <f>IF('Marks Entry'!AA126="","",'Marks Entry'!AA126)</f>
        <v/>
      </c>
      <c r="AV126" s="573" t="str">
        <f>IF('Marks Entry'!AB126="","",'Marks Entry'!AB126)</f>
        <v/>
      </c>
      <c r="AW126" s="572" t="str">
        <f t="shared" si="251"/>
        <v/>
      </c>
      <c r="AX126" s="157" t="str">
        <f t="shared" si="252"/>
        <v/>
      </c>
      <c r="AY126" s="157" t="str">
        <f t="shared" si="253"/>
        <v/>
      </c>
      <c r="AZ126" s="192" t="str">
        <f t="shared" si="254"/>
        <v/>
      </c>
      <c r="BA126" s="153">
        <f t="shared" si="255"/>
        <v>0</v>
      </c>
      <c r="BB126" s="154">
        <f t="shared" si="256"/>
        <v>0</v>
      </c>
      <c r="BC126" s="154" t="str">
        <f t="shared" si="257"/>
        <v/>
      </c>
      <c r="BD126" s="154" t="str">
        <f t="shared" si="258"/>
        <v/>
      </c>
      <c r="BE126" s="154" t="str">
        <f t="shared" si="259"/>
        <v/>
      </c>
      <c r="BF126" s="153" t="str">
        <f t="shared" si="260"/>
        <v/>
      </c>
      <c r="BG126" s="154" t="str">
        <f t="shared" si="261"/>
        <v/>
      </c>
      <c r="BH126" s="153" t="str">
        <f t="shared" si="262"/>
        <v/>
      </c>
      <c r="BI126" s="580" t="str">
        <f>IF('Marks Entry'!AC126="","",'Marks Entry'!AC126)</f>
        <v/>
      </c>
      <c r="BJ126" s="580" t="str">
        <f>IF('Marks Entry'!AD126="","",'Marks Entry'!AD126)</f>
        <v/>
      </c>
      <c r="BK126" s="580" t="str">
        <f>IF('Marks Entry'!AE126="","",'Marks Entry'!AE126)</f>
        <v/>
      </c>
      <c r="BL126" s="580" t="str">
        <f>IF('Marks Entry'!AF126="","",'Marks Entry'!AF126)</f>
        <v/>
      </c>
      <c r="BM126" s="581" t="str">
        <f t="shared" si="263"/>
        <v/>
      </c>
      <c r="BN126" s="580" t="str">
        <f>IF('Marks Entry'!AG126="","",'Marks Entry'!AG126)</f>
        <v/>
      </c>
      <c r="BO126" s="580" t="str">
        <f>IF('Marks Entry'!AH126="","",'Marks Entry'!AH126)</f>
        <v/>
      </c>
      <c r="BP126" s="581" t="str">
        <f t="shared" si="264"/>
        <v/>
      </c>
      <c r="BQ126" s="581" t="str">
        <f t="shared" si="265"/>
        <v/>
      </c>
      <c r="BR126" s="580" t="str">
        <f>IF('Marks Entry'!AI126="","",'Marks Entry'!AI126)</f>
        <v/>
      </c>
      <c r="BS126" s="580" t="str">
        <f>IF('Marks Entry'!AJ126="","",'Marks Entry'!AJ126)</f>
        <v/>
      </c>
      <c r="BT126" s="581" t="str">
        <f t="shared" si="266"/>
        <v/>
      </c>
      <c r="BU126" s="157" t="str">
        <f t="shared" si="267"/>
        <v/>
      </c>
      <c r="BV126" s="157" t="str">
        <f t="shared" si="268"/>
        <v/>
      </c>
      <c r="BW126" s="192" t="str">
        <f t="shared" si="269"/>
        <v/>
      </c>
      <c r="BX126" s="153">
        <f t="shared" si="270"/>
        <v>0</v>
      </c>
      <c r="BY126" s="154">
        <f t="shared" si="271"/>
        <v>0</v>
      </c>
      <c r="BZ126" s="154" t="str">
        <f t="shared" si="272"/>
        <v/>
      </c>
      <c r="CA126" s="154" t="str">
        <f t="shared" si="273"/>
        <v/>
      </c>
      <c r="CB126" s="154" t="str">
        <f t="shared" si="274"/>
        <v/>
      </c>
      <c r="CC126" s="153" t="str">
        <f t="shared" si="275"/>
        <v/>
      </c>
      <c r="CD126" s="154" t="str">
        <f t="shared" si="276"/>
        <v/>
      </c>
      <c r="CE126" s="153" t="str">
        <f t="shared" si="277"/>
        <v/>
      </c>
      <c r="CF126" s="580" t="str">
        <f>IF('Marks Entry'!AK126="","",'Marks Entry'!AK126)</f>
        <v/>
      </c>
      <c r="CG126" s="580" t="str">
        <f>IF('Marks Entry'!AL126="","",'Marks Entry'!AL126)</f>
        <v/>
      </c>
      <c r="CH126" s="580" t="str">
        <f>IF('Marks Entry'!AM126="","",'Marks Entry'!AM126)</f>
        <v/>
      </c>
      <c r="CI126" s="580" t="str">
        <f>IF('Marks Entry'!AN126="","",'Marks Entry'!AN126)</f>
        <v/>
      </c>
      <c r="CJ126" s="581" t="str">
        <f t="shared" si="278"/>
        <v/>
      </c>
      <c r="CK126" s="580" t="str">
        <f>IF('Marks Entry'!AO126="","",'Marks Entry'!AO126)</f>
        <v/>
      </c>
      <c r="CL126" s="580" t="str">
        <f>IF('Marks Entry'!AP126="","",'Marks Entry'!AP126)</f>
        <v/>
      </c>
      <c r="CM126" s="581" t="str">
        <f t="shared" si="279"/>
        <v/>
      </c>
      <c r="CN126" s="581" t="str">
        <f t="shared" si="280"/>
        <v/>
      </c>
      <c r="CO126" s="580" t="str">
        <f>IF('Marks Entry'!AQ126="","",'Marks Entry'!AQ126)</f>
        <v/>
      </c>
      <c r="CP126" s="580" t="str">
        <f>IF('Marks Entry'!AR126="","",'Marks Entry'!AR126)</f>
        <v/>
      </c>
      <c r="CQ126" s="581" t="str">
        <f t="shared" si="281"/>
        <v/>
      </c>
      <c r="CR126" s="157" t="str">
        <f t="shared" si="282"/>
        <v/>
      </c>
      <c r="CS126" s="157" t="str">
        <f t="shared" si="283"/>
        <v/>
      </c>
      <c r="CT126" s="192" t="str">
        <f t="shared" si="284"/>
        <v/>
      </c>
      <c r="CU126" s="153">
        <f t="shared" si="285"/>
        <v>0</v>
      </c>
      <c r="CV126" s="154">
        <f t="shared" si="286"/>
        <v>0</v>
      </c>
      <c r="CW126" s="154" t="str">
        <f t="shared" si="287"/>
        <v/>
      </c>
      <c r="CX126" s="154" t="str">
        <f t="shared" si="288"/>
        <v/>
      </c>
      <c r="CY126" s="154" t="str">
        <f t="shared" si="289"/>
        <v/>
      </c>
      <c r="CZ126" s="153" t="str">
        <f t="shared" si="290"/>
        <v/>
      </c>
      <c r="DA126" s="154" t="str">
        <f t="shared" si="291"/>
        <v/>
      </c>
      <c r="DB126" s="153" t="str">
        <f t="shared" si="292"/>
        <v/>
      </c>
      <c r="DC126" s="154">
        <f t="shared" si="293"/>
        <v>0</v>
      </c>
      <c r="DD126" s="826" t="str">
        <f>IF('Marks Entry'!AS126="","",IF(OR('Master Sheet'!$D$19="YES",'Marks Entry'!$BA$1=1),'Marks Entry'!AS126,""))</f>
        <v/>
      </c>
      <c r="DE126" s="826" t="str">
        <f>IF('Marks Entry'!AT126="","",IF(OR('Master Sheet'!$D$19="YES",'Marks Entry'!$BA$1=1),'Marks Entry'!AT126,""))</f>
        <v/>
      </c>
      <c r="DF126" s="826" t="str">
        <f>IF('Marks Entry'!AU126="","",IF(OR('Master Sheet'!$D$19="YES",'Marks Entry'!$BA$1=1),'Marks Entry'!AU126,""))</f>
        <v/>
      </c>
      <c r="DG126" s="826" t="str">
        <f>IF('Marks Entry'!AV126="","",IF(OR('Master Sheet'!$D$19="YES",'Marks Entry'!$BA$1=1),'Marks Entry'!AV126,""))</f>
        <v/>
      </c>
      <c r="DH126" s="827" t="str">
        <f t="shared" si="294"/>
        <v/>
      </c>
      <c r="DI126" s="826" t="str">
        <f>IF('Marks Entry'!AW126="","",IF(OR('Master Sheet'!$D$19="YES",'Marks Entry'!$BA$1=1),'Marks Entry'!AW126,""))</f>
        <v/>
      </c>
      <c r="DJ126" s="826" t="str">
        <f>IF('Marks Entry'!AX126="","",IF(OR('Master Sheet'!$D$19="YES",'Marks Entry'!$BA$1=1),'Marks Entry'!AX126,""))</f>
        <v/>
      </c>
      <c r="DK126" s="827" t="str">
        <f t="shared" si="295"/>
        <v/>
      </c>
      <c r="DL126" s="827" t="str">
        <f t="shared" si="296"/>
        <v/>
      </c>
      <c r="DM126" s="826" t="str">
        <f>IF('Marks Entry'!AY126="","",IF(OR('Master Sheet'!$D$19="YES",'Marks Entry'!$BA$1=1),'Marks Entry'!AY126,""))</f>
        <v/>
      </c>
      <c r="DN126" s="826" t="str">
        <f>IF('Marks Entry'!AZ126="","",IF(OR('Master Sheet'!$D$19="YES",'Marks Entry'!$BA$1=1),'Marks Entry'!AZ126,""))</f>
        <v/>
      </c>
      <c r="DO126" s="826" t="str">
        <f>IF('Marks Entry'!BA126="","",IF(OR('Master Sheet'!$D$19="YES",'Marks Entry'!$BA$1=1),'Marks Entry'!BA126,""))</f>
        <v/>
      </c>
      <c r="DP126" s="827" t="str">
        <f t="shared" si="297"/>
        <v/>
      </c>
      <c r="DQ126" s="157" t="str">
        <f t="shared" si="298"/>
        <v/>
      </c>
      <c r="DR126" s="157" t="str">
        <f t="shared" si="299"/>
        <v/>
      </c>
      <c r="DS126" s="157" t="str">
        <f t="shared" si="300"/>
        <v/>
      </c>
      <c r="DT126" s="192" t="str">
        <f t="shared" si="301"/>
        <v/>
      </c>
      <c r="DU126" s="153">
        <f t="shared" si="302"/>
        <v>0</v>
      </c>
      <c r="DV126" s="154" t="e">
        <f t="shared" si="303"/>
        <v>#VALUE!</v>
      </c>
      <c r="DW126" s="154" t="str">
        <f t="shared" si="304"/>
        <v/>
      </c>
      <c r="DX126" s="154" t="str">
        <f>IF(OR($B126="NSO",$B126=0,DS126=""),"",IF(AND(DJ126="",DO126=""),"",IF('Master Sheet'!$D$19="YES",$DO$6-COUNTIF(DO126,"ML")*DO$6,DS$6-(COUNTIF(DJ126,"ML")*DJ$6)-(COUNTIF(DO126,"ML")*DO$6))))</f>
        <v/>
      </c>
      <c r="DY126" s="154" t="str">
        <f>IF(OR($B126="NSO",$B126=0),"",IF(AND(DH126="",DI126="",DM126=""),"",IF(AND('Master Sheet'!$D$19="YES",'Marks Entry'!$BA$1=1),100,IF(AND(DJ126="",DO126=""),SUM(($DQ$7+$DR$7)-(DU126+DV126)),SUM(($DQ$6+$DR$6)-(DU126+DV126))))))</f>
        <v/>
      </c>
      <c r="DZ126" s="153" t="str">
        <f t="shared" si="305"/>
        <v/>
      </c>
      <c r="EA126" s="154" t="str">
        <f t="shared" si="306"/>
        <v/>
      </c>
      <c r="EB126" s="153" t="str">
        <f t="shared" si="307"/>
        <v/>
      </c>
      <c r="EC126" s="584" t="str">
        <f>IF('Marks Entry'!BB126="","",'Marks Entry'!BB126)</f>
        <v/>
      </c>
      <c r="ED126" s="584" t="str">
        <f>IF('Marks Entry'!BC126="","",'Marks Entry'!BC126)</f>
        <v/>
      </c>
      <c r="EE126" s="584" t="str">
        <f>IF('Marks Entry'!BD126="","",'Marks Entry'!BD126)</f>
        <v/>
      </c>
      <c r="EF126" s="590" t="str">
        <f t="shared" si="308"/>
        <v/>
      </c>
      <c r="EG126" s="595">
        <f t="shared" si="309"/>
        <v>0</v>
      </c>
      <c r="EH126" s="595">
        <f t="shared" si="310"/>
        <v>0</v>
      </c>
      <c r="EI126" s="193" t="str">
        <f t="shared" si="311"/>
        <v/>
      </c>
      <c r="EJ126" s="595" t="str">
        <f t="shared" si="312"/>
        <v/>
      </c>
      <c r="EK126" s="595" t="str">
        <f t="shared" si="313"/>
        <v/>
      </c>
      <c r="EL126" s="194" t="str">
        <f t="shared" si="314"/>
        <v/>
      </c>
      <c r="EM126" s="194" t="str">
        <f t="shared" si="315"/>
        <v/>
      </c>
      <c r="EN126" s="194" t="str">
        <f t="shared" si="316"/>
        <v/>
      </c>
      <c r="EO126" s="194" t="str">
        <f t="shared" si="317"/>
        <v/>
      </c>
      <c r="EP126" s="194" t="str">
        <f t="shared" si="318"/>
        <v/>
      </c>
      <c r="EQ126" s="194" t="str">
        <f t="shared" si="319"/>
        <v/>
      </c>
      <c r="ER126" s="195">
        <f t="shared" si="320"/>
        <v>0</v>
      </c>
      <c r="ES126" s="195">
        <f t="shared" si="321"/>
        <v>0</v>
      </c>
      <c r="ET126" s="195">
        <f t="shared" si="322"/>
        <v>0</v>
      </c>
      <c r="EU126" s="195">
        <f t="shared" si="323"/>
        <v>0</v>
      </c>
      <c r="EV126" s="195">
        <f t="shared" si="324"/>
        <v>0</v>
      </c>
      <c r="EW126" s="195" t="str">
        <f t="shared" si="325"/>
        <v/>
      </c>
      <c r="EX126" s="196" t="str">
        <f t="shared" si="326"/>
        <v/>
      </c>
      <c r="EY126" s="197" t="str">
        <f>IF('Marks Entry'!BE126="","",'Marks Entry'!BE126)</f>
        <v/>
      </c>
      <c r="EZ126" s="197" t="str">
        <f>IF('Marks Entry'!BF126="","",'Marks Entry'!BF126)</f>
        <v/>
      </c>
      <c r="FA126" s="197" t="str">
        <f>IF('Marks Entry'!BG126="","",'Marks Entry'!BG126)</f>
        <v/>
      </c>
      <c r="FB126" s="596" t="str">
        <f t="shared" si="327"/>
        <v/>
      </c>
      <c r="FC126" s="197" t="str">
        <f>IF('Marks Entry'!BH126="","",'Marks Entry'!BH126)</f>
        <v/>
      </c>
      <c r="FD126" s="197" t="str">
        <f>IF('Marks Entry'!BI126="","",'Marks Entry'!BI126)</f>
        <v/>
      </c>
      <c r="FE126" s="198" t="str">
        <f t="shared" si="328"/>
        <v/>
      </c>
      <c r="FF126" s="199" t="str">
        <f t="shared" si="329"/>
        <v/>
      </c>
      <c r="FG126" s="200" t="str">
        <f>IF(AND(E126=""),"",IF('Student DATA Entry'!L122="","",'Student DATA Entry'!L122))</f>
        <v/>
      </c>
      <c r="FH126" s="201" t="str">
        <f>IF(AND(E126=""),"",IF('Student DATA Entry'!M122="","",'Student DATA Entry'!M122))</f>
        <v/>
      </c>
      <c r="FI126" s="202" t="str">
        <f t="shared" si="330"/>
        <v/>
      </c>
      <c r="FJ126" s="189" t="str">
        <f t="shared" si="331"/>
        <v/>
      </c>
      <c r="FK126" s="189" t="str">
        <f t="shared" si="332"/>
        <v/>
      </c>
      <c r="FL126" s="203" t="str">
        <f t="shared" si="360"/>
        <v/>
      </c>
      <c r="FM126" s="189" t="str">
        <f t="shared" si="333"/>
        <v/>
      </c>
      <c r="FN126" s="204" t="str">
        <f t="shared" si="334"/>
        <v/>
      </c>
      <c r="FO126" s="203" t="str">
        <f t="shared" si="361"/>
        <v/>
      </c>
      <c r="FP126" s="205" t="str">
        <f t="shared" si="335"/>
        <v/>
      </c>
      <c r="FQ126" s="189" t="str">
        <f t="shared" si="362"/>
        <v/>
      </c>
      <c r="FR126" s="189" t="str">
        <f t="shared" si="363"/>
        <v/>
      </c>
      <c r="FS126" s="189" t="str">
        <f t="shared" si="364"/>
        <v/>
      </c>
      <c r="FT126" s="189" t="str">
        <f t="shared" si="365"/>
        <v/>
      </c>
      <c r="FU126" s="189" t="str">
        <f t="shared" si="336"/>
        <v/>
      </c>
      <c r="FV126" s="206" t="str">
        <f t="shared" si="366"/>
        <v/>
      </c>
      <c r="FW126" s="205" t="str">
        <f t="shared" si="337"/>
        <v/>
      </c>
      <c r="FX126" s="189" t="str">
        <f t="shared" si="367"/>
        <v/>
      </c>
      <c r="FY126" s="189" t="str">
        <f t="shared" si="368"/>
        <v/>
      </c>
      <c r="FZ126" s="189" t="str">
        <f t="shared" si="369"/>
        <v/>
      </c>
      <c r="GA126" s="189" t="str">
        <f t="shared" si="370"/>
        <v/>
      </c>
      <c r="GB126" s="189" t="str">
        <f t="shared" si="338"/>
        <v/>
      </c>
      <c r="GC126" s="206" t="str">
        <f t="shared" si="371"/>
        <v/>
      </c>
      <c r="GD126" s="205" t="str">
        <f t="shared" si="339"/>
        <v/>
      </c>
      <c r="GE126" s="189" t="str">
        <f t="shared" si="372"/>
        <v/>
      </c>
      <c r="GF126" s="189" t="str">
        <f t="shared" si="373"/>
        <v/>
      </c>
      <c r="GG126" s="189" t="str">
        <f t="shared" si="374"/>
        <v/>
      </c>
      <c r="GH126" s="189" t="str">
        <f t="shared" si="375"/>
        <v/>
      </c>
      <c r="GI126" s="189" t="str">
        <f t="shared" si="340"/>
        <v/>
      </c>
      <c r="GJ126" s="206" t="str">
        <f t="shared" si="376"/>
        <v/>
      </c>
      <c r="GK126" s="205" t="str">
        <f t="shared" si="341"/>
        <v/>
      </c>
      <c r="GL126" s="189" t="str">
        <f t="shared" si="377"/>
        <v/>
      </c>
      <c r="GM126" s="189" t="str">
        <f t="shared" si="378"/>
        <v/>
      </c>
      <c r="GN126" s="189" t="str">
        <f t="shared" si="379"/>
        <v/>
      </c>
      <c r="GO126" s="189" t="str">
        <f t="shared" si="380"/>
        <v/>
      </c>
      <c r="GP126" s="189" t="str">
        <f t="shared" si="342"/>
        <v/>
      </c>
      <c r="GQ126" s="206" t="str">
        <f t="shared" si="381"/>
        <v/>
      </c>
      <c r="GR126" s="189" t="str">
        <f t="shared" si="343"/>
        <v/>
      </c>
      <c r="GS126" s="189" t="str">
        <f t="shared" si="344"/>
        <v/>
      </c>
      <c r="GT126" s="207" t="str">
        <f t="shared" si="345"/>
        <v xml:space="preserve">    </v>
      </c>
      <c r="GU126" s="207" t="str">
        <f t="shared" si="346"/>
        <v xml:space="preserve">    </v>
      </c>
      <c r="GV126" s="207" t="str">
        <f t="shared" si="347"/>
        <v xml:space="preserve">    </v>
      </c>
      <c r="GW126" s="207" t="str">
        <f t="shared" si="348"/>
        <v xml:space="preserve">       </v>
      </c>
      <c r="GX126" s="598" t="str">
        <f t="shared" si="349"/>
        <v xml:space="preserve">     </v>
      </c>
      <c r="GY126" s="208" t="str">
        <f t="shared" si="382"/>
        <v/>
      </c>
      <c r="GZ126" s="606" t="str">
        <f>IF(AND(Q126="",AE126="",AZ126="",BW126="",CT126=""),"",IF(AND('Master Sheet'!$D$19="YES",'Marks Entry'!$BA$1=1),SUM(Q126,AE126,AZ126,BW126,DT126),SUM(Q126,AE126,AZ126,BW126,CT126)))</f>
        <v/>
      </c>
      <c r="HA126" s="209" t="str">
        <f>IF(GZ126="","",IF(AND('Master Sheet'!$D$19="YES",'Marks Entry'!$BA$1=1),GZ126/((900)-DC126)*100,GZ126/((1000)-DC126)*100))</f>
        <v/>
      </c>
      <c r="HB126" s="611" t="str">
        <f t="shared" si="350"/>
        <v/>
      </c>
      <c r="HC126" s="609" t="str">
        <f t="shared" si="351"/>
        <v/>
      </c>
      <c r="HD126" s="610" t="str">
        <f t="shared" si="352"/>
        <v/>
      </c>
      <c r="HE126" s="210" t="str">
        <f>IFERROR(IF(OR(GY126="SUPPLEMENTARY",GY126="RE-EXAM"),'Supp. Result Entry'!AS125,""),"")</f>
        <v/>
      </c>
      <c r="HF126" s="613" t="str">
        <f t="shared" si="353"/>
        <v/>
      </c>
      <c r="HG126" s="598" t="str">
        <f t="shared" si="354"/>
        <v/>
      </c>
      <c r="HH126" s="598" t="str">
        <f>IF(AND(HE126="",HF126="",HG126=""),"",IF(OR(GY126="SUPPLEMENTARY",GY126="RE-EXAM"),'Supp. Result Entry'!AS125,GY126))</f>
        <v/>
      </c>
      <c r="HI126" s="180"/>
      <c r="HY126" s="212" t="str">
        <f>IF('Supp. Result Entry'!U125="","",'Supp. Result Entry'!$U$6)</f>
        <v/>
      </c>
      <c r="HZ126" s="213" t="str">
        <f>IF('Supp. Result Entry'!X125="","",'Supp. Result Entry'!$X$6)</f>
        <v/>
      </c>
      <c r="IA126" s="213" t="str">
        <f>IF('Supp. Result Entry'!AA125="","",'Supp. Result Entry'!$AA$6)</f>
        <v/>
      </c>
      <c r="IB126" s="213" t="str">
        <f>IF('Supp. Result Entry'!AD125="","",'Supp. Result Entry'!$AD$6)</f>
        <v/>
      </c>
      <c r="IC126" s="213" t="str">
        <f>IF('Supp. Result Entry'!AG125="","",'Supp. Result Entry'!$AG$6)</f>
        <v/>
      </c>
      <c r="ID126" s="213" t="str">
        <f>IF('Supp. Result Entry'!AJ125="","",'Supp. Result Entry'!$AJ$6)</f>
        <v/>
      </c>
      <c r="IE126" s="213" t="str">
        <f>IF('Supp. Result Entry'!V125="","",'Supp. Result Entry'!V125)</f>
        <v/>
      </c>
      <c r="IF126" s="213" t="str">
        <f>IF('Supp. Result Entry'!Y125="","",'Supp. Result Entry'!Y125)</f>
        <v/>
      </c>
      <c r="IG126" s="213" t="str">
        <f>IF('Supp. Result Entry'!AB125="","",'Supp. Result Entry'!AB125)</f>
        <v/>
      </c>
      <c r="IH126" s="213" t="str">
        <f>IF('Supp. Result Entry'!AE125="","",'Supp. Result Entry'!AE125)</f>
        <v/>
      </c>
      <c r="II126" s="213" t="str">
        <f>IF('Supp. Result Entry'!AH125="","",'Supp. Result Entry'!AH125)</f>
        <v/>
      </c>
      <c r="IJ126" s="213" t="str">
        <f>IF('Supp. Result Entry'!AK125="","",'Supp. Result Entry'!AK125)</f>
        <v/>
      </c>
      <c r="IK126" s="213" t="str">
        <f>IF('Supp. Result Entry'!W125="","",'Supp. Result Entry'!W125)</f>
        <v/>
      </c>
      <c r="IL126" s="213" t="str">
        <f>IF('Supp. Result Entry'!Z125="","",'Supp. Result Entry'!Z125)</f>
        <v/>
      </c>
      <c r="IM126" s="213" t="str">
        <f>IF('Supp. Result Entry'!AC125="","",'Supp. Result Entry'!AC125)</f>
        <v/>
      </c>
      <c r="IN126" s="213" t="str">
        <f>IF('Supp. Result Entry'!AF125="","",'Supp. Result Entry'!AF125)</f>
        <v/>
      </c>
      <c r="IO126" s="213" t="str">
        <f>IF('Supp. Result Entry'!AI125="","",'Supp. Result Entry'!AI125)</f>
        <v/>
      </c>
      <c r="IP126" s="213" t="str">
        <f>IF('Supp. Result Entry'!AL125="","",'Supp. Result Entry'!AL125)</f>
        <v/>
      </c>
      <c r="IQ126" s="213">
        <f>COUNTIF('Supp. Result Entry'!K125:Q125,"S")</f>
        <v>0</v>
      </c>
      <c r="IR126" s="213">
        <f t="shared" si="355"/>
        <v>0</v>
      </c>
      <c r="IS126" s="213">
        <f t="shared" si="356"/>
        <v>0</v>
      </c>
      <c r="IT126" s="213" t="str">
        <f t="shared" si="224"/>
        <v/>
      </c>
      <c r="IU126" s="213" t="str">
        <f t="shared" si="225"/>
        <v/>
      </c>
      <c r="IV126" s="213" t="str">
        <f t="shared" si="226"/>
        <v/>
      </c>
      <c r="IW126" s="213" t="str">
        <f t="shared" si="227"/>
        <v/>
      </c>
      <c r="IX126" s="213" t="str">
        <f t="shared" si="228"/>
        <v/>
      </c>
      <c r="IY126" s="213" t="str">
        <f t="shared" si="357"/>
        <v/>
      </c>
      <c r="IZ126" s="213" t="str">
        <f t="shared" si="358"/>
        <v/>
      </c>
      <c r="JA126" s="213" t="str">
        <f t="shared" si="229"/>
        <v/>
      </c>
      <c r="JB126" s="211" t="str">
        <f t="shared" si="359"/>
        <v/>
      </c>
    </row>
    <row r="127" spans="1:262" s="211" customFormat="1" ht="21" customHeight="1">
      <c r="A127" s="184">
        <v>120</v>
      </c>
      <c r="B127" s="185" t="str">
        <f>IF('Marks Entry'!B127="","",'Marks Entry'!B127)</f>
        <v/>
      </c>
      <c r="C127" s="186" t="str">
        <f>IF('Marks Entry'!D127="","",'Marks Entry'!D127)</f>
        <v/>
      </c>
      <c r="D127" s="187" t="str">
        <f>IF('Marks Entry'!E127="","",'Marks Entry'!E127)</f>
        <v/>
      </c>
      <c r="E127" s="188" t="str">
        <f>IF('Marks Entry'!F127="","",'Marks Entry'!F127)</f>
        <v/>
      </c>
      <c r="F127" s="188" t="str">
        <f>IF('Marks Entry'!G127="","",'Marks Entry'!G127)</f>
        <v/>
      </c>
      <c r="G127" s="188" t="str">
        <f>IF('Marks Entry'!H127="","",'Marks Entry'!H127)</f>
        <v/>
      </c>
      <c r="H127" s="189" t="str">
        <f>IF('Marks Entry'!I127="","",'Marks Entry'!I127)</f>
        <v/>
      </c>
      <c r="I127" s="190" t="str">
        <f>IF('Marks Entry'!J127="","",'Marks Entry'!J127)</f>
        <v/>
      </c>
      <c r="J127" s="545" t="str">
        <f>IF('Marks Entry'!K127="","",'Marks Entry'!K127)</f>
        <v/>
      </c>
      <c r="K127" s="545" t="str">
        <f>IF('Marks Entry'!L127="","",'Marks Entry'!L127)</f>
        <v/>
      </c>
      <c r="L127" s="545" t="str">
        <f>IF('Marks Entry'!M127="","",'Marks Entry'!M127)</f>
        <v/>
      </c>
      <c r="M127" s="546" t="str">
        <f t="shared" si="230"/>
        <v/>
      </c>
      <c r="N127" s="545" t="str">
        <f>IF('Marks Entry'!N127="","",'Marks Entry'!N127)</f>
        <v/>
      </c>
      <c r="O127" s="546" t="str">
        <f t="shared" si="231"/>
        <v/>
      </c>
      <c r="P127" s="545" t="str">
        <f>IF('Marks Entry'!O127="","",'Marks Entry'!O127)</f>
        <v/>
      </c>
      <c r="Q127" s="547" t="str">
        <f t="shared" si="232"/>
        <v/>
      </c>
      <c r="R127" s="153">
        <f t="shared" si="233"/>
        <v>0</v>
      </c>
      <c r="S127" s="153">
        <f t="shared" si="234"/>
        <v>0</v>
      </c>
      <c r="T127" s="154" t="str">
        <f t="shared" si="235"/>
        <v/>
      </c>
      <c r="U127" s="153" t="str">
        <f t="shared" si="236"/>
        <v/>
      </c>
      <c r="V127" s="153" t="str">
        <f t="shared" si="237"/>
        <v/>
      </c>
      <c r="W127" s="153" t="str">
        <f t="shared" si="238"/>
        <v/>
      </c>
      <c r="X127" s="545" t="str">
        <f>IF('Marks Entry'!P127="","",'Marks Entry'!P127)</f>
        <v/>
      </c>
      <c r="Y127" s="545" t="str">
        <f>IF('Marks Entry'!Q127="","",'Marks Entry'!Q127)</f>
        <v/>
      </c>
      <c r="Z127" s="545" t="str">
        <f>IF('Marks Entry'!R127="","",'Marks Entry'!R127)</f>
        <v/>
      </c>
      <c r="AA127" s="546" t="str">
        <f t="shared" si="239"/>
        <v/>
      </c>
      <c r="AB127" s="545" t="str">
        <f>IF('Marks Entry'!S127="","",'Marks Entry'!S127)</f>
        <v/>
      </c>
      <c r="AC127" s="546" t="str">
        <f t="shared" si="240"/>
        <v/>
      </c>
      <c r="AD127" s="545" t="str">
        <f>IF('Marks Entry'!T127="","",'Marks Entry'!T127)</f>
        <v/>
      </c>
      <c r="AE127" s="547" t="str">
        <f t="shared" si="241"/>
        <v/>
      </c>
      <c r="AF127" s="153">
        <f t="shared" si="242"/>
        <v>0</v>
      </c>
      <c r="AG127" s="153">
        <f t="shared" si="243"/>
        <v>0</v>
      </c>
      <c r="AH127" s="154" t="str">
        <f t="shared" si="244"/>
        <v/>
      </c>
      <c r="AI127" s="153" t="str">
        <f t="shared" si="245"/>
        <v/>
      </c>
      <c r="AJ127" s="153" t="str">
        <f t="shared" si="246"/>
        <v/>
      </c>
      <c r="AK127" s="153" t="str">
        <f t="shared" si="247"/>
        <v/>
      </c>
      <c r="AL127" s="573" t="str">
        <f>IF('Marks Entry'!U127="","",'Marks Entry'!U127)</f>
        <v/>
      </c>
      <c r="AM127" s="573" t="str">
        <f>IF('Marks Entry'!V127="","",'Marks Entry'!V127)</f>
        <v/>
      </c>
      <c r="AN127" s="573" t="str">
        <f>IF('Marks Entry'!W127="","",'Marks Entry'!W127)</f>
        <v/>
      </c>
      <c r="AO127" s="573" t="str">
        <f>IF('Marks Entry'!X127="","",'Marks Entry'!X127)</f>
        <v/>
      </c>
      <c r="AP127" s="572" t="str">
        <f t="shared" si="248"/>
        <v/>
      </c>
      <c r="AQ127" s="573" t="str">
        <f>IF('Marks Entry'!Y127="","",'Marks Entry'!Y127)</f>
        <v/>
      </c>
      <c r="AR127" s="573" t="str">
        <f>IF('Marks Entry'!Z127="","",'Marks Entry'!Z127)</f>
        <v/>
      </c>
      <c r="AS127" s="572" t="str">
        <f t="shared" si="249"/>
        <v/>
      </c>
      <c r="AT127" s="572" t="str">
        <f t="shared" si="250"/>
        <v/>
      </c>
      <c r="AU127" s="573" t="str">
        <f>IF('Marks Entry'!AA127="","",'Marks Entry'!AA127)</f>
        <v/>
      </c>
      <c r="AV127" s="573" t="str">
        <f>IF('Marks Entry'!AB127="","",'Marks Entry'!AB127)</f>
        <v/>
      </c>
      <c r="AW127" s="572" t="str">
        <f t="shared" si="251"/>
        <v/>
      </c>
      <c r="AX127" s="157" t="str">
        <f t="shared" si="252"/>
        <v/>
      </c>
      <c r="AY127" s="157" t="str">
        <f t="shared" si="253"/>
        <v/>
      </c>
      <c r="AZ127" s="192" t="str">
        <f t="shared" si="254"/>
        <v/>
      </c>
      <c r="BA127" s="153">
        <f t="shared" si="255"/>
        <v>0</v>
      </c>
      <c r="BB127" s="154">
        <f t="shared" si="256"/>
        <v>0</v>
      </c>
      <c r="BC127" s="154" t="str">
        <f t="shared" si="257"/>
        <v/>
      </c>
      <c r="BD127" s="154" t="str">
        <f t="shared" si="258"/>
        <v/>
      </c>
      <c r="BE127" s="154" t="str">
        <f t="shared" si="259"/>
        <v/>
      </c>
      <c r="BF127" s="153" t="str">
        <f t="shared" si="260"/>
        <v/>
      </c>
      <c r="BG127" s="154" t="str">
        <f t="shared" si="261"/>
        <v/>
      </c>
      <c r="BH127" s="153" t="str">
        <f t="shared" si="262"/>
        <v/>
      </c>
      <c r="BI127" s="580" t="str">
        <f>IF('Marks Entry'!AC127="","",'Marks Entry'!AC127)</f>
        <v/>
      </c>
      <c r="BJ127" s="580" t="str">
        <f>IF('Marks Entry'!AD127="","",'Marks Entry'!AD127)</f>
        <v/>
      </c>
      <c r="BK127" s="580" t="str">
        <f>IF('Marks Entry'!AE127="","",'Marks Entry'!AE127)</f>
        <v/>
      </c>
      <c r="BL127" s="580" t="str">
        <f>IF('Marks Entry'!AF127="","",'Marks Entry'!AF127)</f>
        <v/>
      </c>
      <c r="BM127" s="581" t="str">
        <f t="shared" si="263"/>
        <v/>
      </c>
      <c r="BN127" s="580" t="str">
        <f>IF('Marks Entry'!AG127="","",'Marks Entry'!AG127)</f>
        <v/>
      </c>
      <c r="BO127" s="580" t="str">
        <f>IF('Marks Entry'!AH127="","",'Marks Entry'!AH127)</f>
        <v/>
      </c>
      <c r="BP127" s="581" t="str">
        <f t="shared" si="264"/>
        <v/>
      </c>
      <c r="BQ127" s="581" t="str">
        <f t="shared" si="265"/>
        <v/>
      </c>
      <c r="BR127" s="580" t="str">
        <f>IF('Marks Entry'!AI127="","",'Marks Entry'!AI127)</f>
        <v/>
      </c>
      <c r="BS127" s="580" t="str">
        <f>IF('Marks Entry'!AJ127="","",'Marks Entry'!AJ127)</f>
        <v/>
      </c>
      <c r="BT127" s="581" t="str">
        <f t="shared" si="266"/>
        <v/>
      </c>
      <c r="BU127" s="157" t="str">
        <f t="shared" si="267"/>
        <v/>
      </c>
      <c r="BV127" s="157" t="str">
        <f t="shared" si="268"/>
        <v/>
      </c>
      <c r="BW127" s="192" t="str">
        <f t="shared" si="269"/>
        <v/>
      </c>
      <c r="BX127" s="153">
        <f t="shared" si="270"/>
        <v>0</v>
      </c>
      <c r="BY127" s="154">
        <f t="shared" si="271"/>
        <v>0</v>
      </c>
      <c r="BZ127" s="154" t="str">
        <f t="shared" si="272"/>
        <v/>
      </c>
      <c r="CA127" s="154" t="str">
        <f t="shared" si="273"/>
        <v/>
      </c>
      <c r="CB127" s="154" t="str">
        <f t="shared" si="274"/>
        <v/>
      </c>
      <c r="CC127" s="153" t="str">
        <f t="shared" si="275"/>
        <v/>
      </c>
      <c r="CD127" s="154" t="str">
        <f t="shared" si="276"/>
        <v/>
      </c>
      <c r="CE127" s="153" t="str">
        <f t="shared" si="277"/>
        <v/>
      </c>
      <c r="CF127" s="580" t="str">
        <f>IF('Marks Entry'!AK127="","",'Marks Entry'!AK127)</f>
        <v/>
      </c>
      <c r="CG127" s="580" t="str">
        <f>IF('Marks Entry'!AL127="","",'Marks Entry'!AL127)</f>
        <v/>
      </c>
      <c r="CH127" s="580" t="str">
        <f>IF('Marks Entry'!AM127="","",'Marks Entry'!AM127)</f>
        <v/>
      </c>
      <c r="CI127" s="580" t="str">
        <f>IF('Marks Entry'!AN127="","",'Marks Entry'!AN127)</f>
        <v/>
      </c>
      <c r="CJ127" s="581" t="str">
        <f t="shared" si="278"/>
        <v/>
      </c>
      <c r="CK127" s="580" t="str">
        <f>IF('Marks Entry'!AO127="","",'Marks Entry'!AO127)</f>
        <v/>
      </c>
      <c r="CL127" s="580" t="str">
        <f>IF('Marks Entry'!AP127="","",'Marks Entry'!AP127)</f>
        <v/>
      </c>
      <c r="CM127" s="581" t="str">
        <f t="shared" si="279"/>
        <v/>
      </c>
      <c r="CN127" s="581" t="str">
        <f t="shared" si="280"/>
        <v/>
      </c>
      <c r="CO127" s="580" t="str">
        <f>IF('Marks Entry'!AQ127="","",'Marks Entry'!AQ127)</f>
        <v/>
      </c>
      <c r="CP127" s="580" t="str">
        <f>IF('Marks Entry'!AR127="","",'Marks Entry'!AR127)</f>
        <v/>
      </c>
      <c r="CQ127" s="581" t="str">
        <f t="shared" si="281"/>
        <v/>
      </c>
      <c r="CR127" s="157" t="str">
        <f t="shared" si="282"/>
        <v/>
      </c>
      <c r="CS127" s="157" t="str">
        <f t="shared" si="283"/>
        <v/>
      </c>
      <c r="CT127" s="192" t="str">
        <f t="shared" si="284"/>
        <v/>
      </c>
      <c r="CU127" s="153">
        <f t="shared" si="285"/>
        <v>0</v>
      </c>
      <c r="CV127" s="154">
        <f t="shared" si="286"/>
        <v>0</v>
      </c>
      <c r="CW127" s="154" t="str">
        <f t="shared" si="287"/>
        <v/>
      </c>
      <c r="CX127" s="154" t="str">
        <f t="shared" si="288"/>
        <v/>
      </c>
      <c r="CY127" s="154" t="str">
        <f t="shared" si="289"/>
        <v/>
      </c>
      <c r="CZ127" s="153" t="str">
        <f t="shared" si="290"/>
        <v/>
      </c>
      <c r="DA127" s="154" t="str">
        <f t="shared" si="291"/>
        <v/>
      </c>
      <c r="DB127" s="153" t="str">
        <f t="shared" si="292"/>
        <v/>
      </c>
      <c r="DC127" s="154">
        <f t="shared" si="293"/>
        <v>0</v>
      </c>
      <c r="DD127" s="826" t="str">
        <f>IF('Marks Entry'!AS127="","",IF(OR('Master Sheet'!$D$19="YES",'Marks Entry'!$BA$1=1),'Marks Entry'!AS127,""))</f>
        <v/>
      </c>
      <c r="DE127" s="826" t="str">
        <f>IF('Marks Entry'!AT127="","",IF(OR('Master Sheet'!$D$19="YES",'Marks Entry'!$BA$1=1),'Marks Entry'!AT127,""))</f>
        <v/>
      </c>
      <c r="DF127" s="826" t="str">
        <f>IF('Marks Entry'!AU127="","",IF(OR('Master Sheet'!$D$19="YES",'Marks Entry'!$BA$1=1),'Marks Entry'!AU127,""))</f>
        <v/>
      </c>
      <c r="DG127" s="826" t="str">
        <f>IF('Marks Entry'!AV127="","",IF(OR('Master Sheet'!$D$19="YES",'Marks Entry'!$BA$1=1),'Marks Entry'!AV127,""))</f>
        <v/>
      </c>
      <c r="DH127" s="827" t="str">
        <f t="shared" si="294"/>
        <v/>
      </c>
      <c r="DI127" s="826" t="str">
        <f>IF('Marks Entry'!AW127="","",IF(OR('Master Sheet'!$D$19="YES",'Marks Entry'!$BA$1=1),'Marks Entry'!AW127,""))</f>
        <v/>
      </c>
      <c r="DJ127" s="826" t="str">
        <f>IF('Marks Entry'!AX127="","",IF(OR('Master Sheet'!$D$19="YES",'Marks Entry'!$BA$1=1),'Marks Entry'!AX127,""))</f>
        <v/>
      </c>
      <c r="DK127" s="827" t="str">
        <f t="shared" si="295"/>
        <v/>
      </c>
      <c r="DL127" s="827" t="str">
        <f t="shared" si="296"/>
        <v/>
      </c>
      <c r="DM127" s="826" t="str">
        <f>IF('Marks Entry'!AY127="","",IF(OR('Master Sheet'!$D$19="YES",'Marks Entry'!$BA$1=1),'Marks Entry'!AY127,""))</f>
        <v/>
      </c>
      <c r="DN127" s="826" t="str">
        <f>IF('Marks Entry'!AZ127="","",IF(OR('Master Sheet'!$D$19="YES",'Marks Entry'!$BA$1=1),'Marks Entry'!AZ127,""))</f>
        <v/>
      </c>
      <c r="DO127" s="826" t="str">
        <f>IF('Marks Entry'!BA127="","",IF(OR('Master Sheet'!$D$19="YES",'Marks Entry'!$BA$1=1),'Marks Entry'!BA127,""))</f>
        <v/>
      </c>
      <c r="DP127" s="827" t="str">
        <f t="shared" si="297"/>
        <v/>
      </c>
      <c r="DQ127" s="157" t="str">
        <f t="shared" si="298"/>
        <v/>
      </c>
      <c r="DR127" s="157" t="str">
        <f t="shared" si="299"/>
        <v/>
      </c>
      <c r="DS127" s="157" t="str">
        <f t="shared" si="300"/>
        <v/>
      </c>
      <c r="DT127" s="192" t="str">
        <f t="shared" si="301"/>
        <v/>
      </c>
      <c r="DU127" s="153">
        <f t="shared" si="302"/>
        <v>0</v>
      </c>
      <c r="DV127" s="154" t="e">
        <f t="shared" si="303"/>
        <v>#VALUE!</v>
      </c>
      <c r="DW127" s="154" t="str">
        <f t="shared" si="304"/>
        <v/>
      </c>
      <c r="DX127" s="154" t="str">
        <f>IF(OR($B127="NSO",$B127=0,DS127=""),"",IF(AND(DJ127="",DO127=""),"",IF('Master Sheet'!$D$19="YES",$DO$6-COUNTIF(DO127,"ML")*DO$6,DS$6-(COUNTIF(DJ127,"ML")*DJ$6)-(COUNTIF(DO127,"ML")*DO$6))))</f>
        <v/>
      </c>
      <c r="DY127" s="154" t="str">
        <f>IF(OR($B127="NSO",$B127=0),"",IF(AND(DH127="",DI127="",DM127=""),"",IF(AND('Master Sheet'!$D$19="YES",'Marks Entry'!$BA$1=1),100,IF(AND(DJ127="",DO127=""),SUM(($DQ$7+$DR$7)-(DU127+DV127)),SUM(($DQ$6+$DR$6)-(DU127+DV127))))))</f>
        <v/>
      </c>
      <c r="DZ127" s="153" t="str">
        <f t="shared" si="305"/>
        <v/>
      </c>
      <c r="EA127" s="154" t="str">
        <f t="shared" si="306"/>
        <v/>
      </c>
      <c r="EB127" s="153" t="str">
        <f t="shared" si="307"/>
        <v/>
      </c>
      <c r="EC127" s="584" t="str">
        <f>IF('Marks Entry'!BB127="","",'Marks Entry'!BB127)</f>
        <v/>
      </c>
      <c r="ED127" s="584" t="str">
        <f>IF('Marks Entry'!BC127="","",'Marks Entry'!BC127)</f>
        <v/>
      </c>
      <c r="EE127" s="584" t="str">
        <f>IF('Marks Entry'!BD127="","",'Marks Entry'!BD127)</f>
        <v/>
      </c>
      <c r="EF127" s="590" t="str">
        <f t="shared" si="308"/>
        <v/>
      </c>
      <c r="EG127" s="595">
        <f t="shared" si="309"/>
        <v>0</v>
      </c>
      <c r="EH127" s="595">
        <f t="shared" si="310"/>
        <v>0</v>
      </c>
      <c r="EI127" s="193" t="str">
        <f t="shared" si="311"/>
        <v/>
      </c>
      <c r="EJ127" s="595" t="str">
        <f t="shared" si="312"/>
        <v/>
      </c>
      <c r="EK127" s="595" t="str">
        <f t="shared" si="313"/>
        <v/>
      </c>
      <c r="EL127" s="194" t="str">
        <f t="shared" si="314"/>
        <v/>
      </c>
      <c r="EM127" s="194" t="str">
        <f t="shared" si="315"/>
        <v/>
      </c>
      <c r="EN127" s="194" t="str">
        <f t="shared" si="316"/>
        <v/>
      </c>
      <c r="EO127" s="194" t="str">
        <f t="shared" si="317"/>
        <v/>
      </c>
      <c r="EP127" s="194" t="str">
        <f t="shared" si="318"/>
        <v/>
      </c>
      <c r="EQ127" s="194" t="str">
        <f t="shared" si="319"/>
        <v/>
      </c>
      <c r="ER127" s="195">
        <f t="shared" si="320"/>
        <v>0</v>
      </c>
      <c r="ES127" s="195">
        <f t="shared" si="321"/>
        <v>0</v>
      </c>
      <c r="ET127" s="195">
        <f t="shared" si="322"/>
        <v>0</v>
      </c>
      <c r="EU127" s="195">
        <f t="shared" si="323"/>
        <v>0</v>
      </c>
      <c r="EV127" s="195">
        <f t="shared" si="324"/>
        <v>0</v>
      </c>
      <c r="EW127" s="195" t="str">
        <f t="shared" si="325"/>
        <v/>
      </c>
      <c r="EX127" s="196" t="str">
        <f t="shared" si="326"/>
        <v/>
      </c>
      <c r="EY127" s="197" t="str">
        <f>IF('Marks Entry'!BE127="","",'Marks Entry'!BE127)</f>
        <v/>
      </c>
      <c r="EZ127" s="197" t="str">
        <f>IF('Marks Entry'!BF127="","",'Marks Entry'!BF127)</f>
        <v/>
      </c>
      <c r="FA127" s="197" t="str">
        <f>IF('Marks Entry'!BG127="","",'Marks Entry'!BG127)</f>
        <v/>
      </c>
      <c r="FB127" s="596" t="str">
        <f t="shared" si="327"/>
        <v/>
      </c>
      <c r="FC127" s="197" t="str">
        <f>IF('Marks Entry'!BH127="","",'Marks Entry'!BH127)</f>
        <v/>
      </c>
      <c r="FD127" s="197" t="str">
        <f>IF('Marks Entry'!BI127="","",'Marks Entry'!BI127)</f>
        <v/>
      </c>
      <c r="FE127" s="198" t="str">
        <f t="shared" si="328"/>
        <v/>
      </c>
      <c r="FF127" s="199" t="str">
        <f t="shared" si="329"/>
        <v/>
      </c>
      <c r="FG127" s="200" t="str">
        <f>IF(AND(E127=""),"",IF('Student DATA Entry'!L123="","",'Student DATA Entry'!L123))</f>
        <v/>
      </c>
      <c r="FH127" s="201" t="str">
        <f>IF(AND(E127=""),"",IF('Student DATA Entry'!M123="","",'Student DATA Entry'!M123))</f>
        <v/>
      </c>
      <c r="FI127" s="202" t="str">
        <f t="shared" si="330"/>
        <v/>
      </c>
      <c r="FJ127" s="189" t="str">
        <f t="shared" si="331"/>
        <v/>
      </c>
      <c r="FK127" s="189" t="str">
        <f t="shared" si="332"/>
        <v/>
      </c>
      <c r="FL127" s="203" t="str">
        <f t="shared" si="360"/>
        <v/>
      </c>
      <c r="FM127" s="189" t="str">
        <f t="shared" si="333"/>
        <v/>
      </c>
      <c r="FN127" s="204" t="str">
        <f t="shared" si="334"/>
        <v/>
      </c>
      <c r="FO127" s="203" t="str">
        <f t="shared" si="361"/>
        <v/>
      </c>
      <c r="FP127" s="205" t="str">
        <f t="shared" si="335"/>
        <v/>
      </c>
      <c r="FQ127" s="189" t="str">
        <f t="shared" si="362"/>
        <v/>
      </c>
      <c r="FR127" s="189" t="str">
        <f t="shared" si="363"/>
        <v/>
      </c>
      <c r="FS127" s="189" t="str">
        <f t="shared" si="364"/>
        <v/>
      </c>
      <c r="FT127" s="189" t="str">
        <f t="shared" si="365"/>
        <v/>
      </c>
      <c r="FU127" s="189" t="str">
        <f t="shared" si="336"/>
        <v/>
      </c>
      <c r="FV127" s="206" t="str">
        <f t="shared" si="366"/>
        <v/>
      </c>
      <c r="FW127" s="205" t="str">
        <f t="shared" si="337"/>
        <v/>
      </c>
      <c r="FX127" s="189" t="str">
        <f t="shared" si="367"/>
        <v/>
      </c>
      <c r="FY127" s="189" t="str">
        <f t="shared" si="368"/>
        <v/>
      </c>
      <c r="FZ127" s="189" t="str">
        <f t="shared" si="369"/>
        <v/>
      </c>
      <c r="GA127" s="189" t="str">
        <f t="shared" si="370"/>
        <v/>
      </c>
      <c r="GB127" s="189" t="str">
        <f t="shared" si="338"/>
        <v/>
      </c>
      <c r="GC127" s="206" t="str">
        <f t="shared" si="371"/>
        <v/>
      </c>
      <c r="GD127" s="205" t="str">
        <f t="shared" si="339"/>
        <v/>
      </c>
      <c r="GE127" s="189" t="str">
        <f t="shared" si="372"/>
        <v/>
      </c>
      <c r="GF127" s="189" t="str">
        <f t="shared" si="373"/>
        <v/>
      </c>
      <c r="GG127" s="189" t="str">
        <f t="shared" si="374"/>
        <v/>
      </c>
      <c r="GH127" s="189" t="str">
        <f t="shared" si="375"/>
        <v/>
      </c>
      <c r="GI127" s="189" t="str">
        <f t="shared" si="340"/>
        <v/>
      </c>
      <c r="GJ127" s="206" t="str">
        <f t="shared" si="376"/>
        <v/>
      </c>
      <c r="GK127" s="205" t="str">
        <f t="shared" si="341"/>
        <v/>
      </c>
      <c r="GL127" s="189" t="str">
        <f t="shared" si="377"/>
        <v/>
      </c>
      <c r="GM127" s="189" t="str">
        <f t="shared" si="378"/>
        <v/>
      </c>
      <c r="GN127" s="189" t="str">
        <f t="shared" si="379"/>
        <v/>
      </c>
      <c r="GO127" s="189" t="str">
        <f t="shared" si="380"/>
        <v/>
      </c>
      <c r="GP127" s="189" t="str">
        <f t="shared" si="342"/>
        <v/>
      </c>
      <c r="GQ127" s="206" t="str">
        <f t="shared" si="381"/>
        <v/>
      </c>
      <c r="GR127" s="189" t="str">
        <f t="shared" si="343"/>
        <v/>
      </c>
      <c r="GS127" s="189" t="str">
        <f t="shared" si="344"/>
        <v/>
      </c>
      <c r="GT127" s="207" t="str">
        <f t="shared" si="345"/>
        <v xml:space="preserve">    </v>
      </c>
      <c r="GU127" s="207" t="str">
        <f t="shared" si="346"/>
        <v xml:space="preserve">    </v>
      </c>
      <c r="GV127" s="207" t="str">
        <f t="shared" si="347"/>
        <v xml:space="preserve">    </v>
      </c>
      <c r="GW127" s="207" t="str">
        <f t="shared" si="348"/>
        <v xml:space="preserve">       </v>
      </c>
      <c r="GX127" s="598" t="str">
        <f t="shared" si="349"/>
        <v xml:space="preserve">     </v>
      </c>
      <c r="GY127" s="208" t="str">
        <f t="shared" si="382"/>
        <v/>
      </c>
      <c r="GZ127" s="606" t="str">
        <f>IF(AND(Q127="",AE127="",AZ127="",BW127="",CT127=""),"",IF(AND('Master Sheet'!$D$19="YES",'Marks Entry'!$BA$1=1),SUM(Q127,AE127,AZ127,BW127,DT127),SUM(Q127,AE127,AZ127,BW127,CT127)))</f>
        <v/>
      </c>
      <c r="HA127" s="209" t="str">
        <f>IF(GZ127="","",IF(AND('Master Sheet'!$D$19="YES",'Marks Entry'!$BA$1=1),GZ127/((900)-DC127)*100,GZ127/((1000)-DC127)*100))</f>
        <v/>
      </c>
      <c r="HB127" s="611" t="str">
        <f t="shared" si="350"/>
        <v/>
      </c>
      <c r="HC127" s="609" t="str">
        <f t="shared" si="351"/>
        <v/>
      </c>
      <c r="HD127" s="610" t="str">
        <f t="shared" si="352"/>
        <v/>
      </c>
      <c r="HE127" s="210" t="str">
        <f>IFERROR(IF(OR(GY127="SUPPLEMENTARY",GY127="RE-EXAM"),'Supp. Result Entry'!AS126,""),"")</f>
        <v/>
      </c>
      <c r="HF127" s="613" t="str">
        <f t="shared" si="353"/>
        <v/>
      </c>
      <c r="HG127" s="598" t="str">
        <f t="shared" si="354"/>
        <v/>
      </c>
      <c r="HH127" s="598" t="str">
        <f>IF(AND(HE127="",HF127="",HG127=""),"",IF(OR(GY127="SUPPLEMENTARY",GY127="RE-EXAM"),'Supp. Result Entry'!AS126,GY127))</f>
        <v/>
      </c>
      <c r="HI127" s="180"/>
      <c r="HY127" s="212" t="str">
        <f>IF('Supp. Result Entry'!U126="","",'Supp. Result Entry'!$U$6)</f>
        <v/>
      </c>
      <c r="HZ127" s="213" t="str">
        <f>IF('Supp. Result Entry'!X126="","",'Supp. Result Entry'!$X$6)</f>
        <v/>
      </c>
      <c r="IA127" s="213" t="str">
        <f>IF('Supp. Result Entry'!AA126="","",'Supp. Result Entry'!$AA$6)</f>
        <v/>
      </c>
      <c r="IB127" s="213" t="str">
        <f>IF('Supp. Result Entry'!AD126="","",'Supp. Result Entry'!$AD$6)</f>
        <v/>
      </c>
      <c r="IC127" s="213" t="str">
        <f>IF('Supp. Result Entry'!AG126="","",'Supp. Result Entry'!$AG$6)</f>
        <v/>
      </c>
      <c r="ID127" s="213" t="str">
        <f>IF('Supp. Result Entry'!AJ126="","",'Supp. Result Entry'!$AJ$6)</f>
        <v/>
      </c>
      <c r="IE127" s="213" t="str">
        <f>IF('Supp. Result Entry'!V126="","",'Supp. Result Entry'!V126)</f>
        <v/>
      </c>
      <c r="IF127" s="213" t="str">
        <f>IF('Supp. Result Entry'!Y126="","",'Supp. Result Entry'!Y126)</f>
        <v/>
      </c>
      <c r="IG127" s="213" t="str">
        <f>IF('Supp. Result Entry'!AB126="","",'Supp. Result Entry'!AB126)</f>
        <v/>
      </c>
      <c r="IH127" s="213" t="str">
        <f>IF('Supp. Result Entry'!AE126="","",'Supp. Result Entry'!AE126)</f>
        <v/>
      </c>
      <c r="II127" s="213" t="str">
        <f>IF('Supp. Result Entry'!AH126="","",'Supp. Result Entry'!AH126)</f>
        <v/>
      </c>
      <c r="IJ127" s="213" t="str">
        <f>IF('Supp. Result Entry'!AK126="","",'Supp. Result Entry'!AK126)</f>
        <v/>
      </c>
      <c r="IK127" s="213" t="str">
        <f>IF('Supp. Result Entry'!W126="","",'Supp. Result Entry'!W126)</f>
        <v/>
      </c>
      <c r="IL127" s="213" t="str">
        <f>IF('Supp. Result Entry'!Z126="","",'Supp. Result Entry'!Z126)</f>
        <v/>
      </c>
      <c r="IM127" s="213" t="str">
        <f>IF('Supp. Result Entry'!AC126="","",'Supp. Result Entry'!AC126)</f>
        <v/>
      </c>
      <c r="IN127" s="213" t="str">
        <f>IF('Supp. Result Entry'!AF126="","",'Supp. Result Entry'!AF126)</f>
        <v/>
      </c>
      <c r="IO127" s="213" t="str">
        <f>IF('Supp. Result Entry'!AI126="","",'Supp. Result Entry'!AI126)</f>
        <v/>
      </c>
      <c r="IP127" s="213" t="str">
        <f>IF('Supp. Result Entry'!AL126="","",'Supp. Result Entry'!AL126)</f>
        <v/>
      </c>
      <c r="IQ127" s="213">
        <f>COUNTIF('Supp. Result Entry'!K126:Q126,"S")</f>
        <v>0</v>
      </c>
      <c r="IR127" s="213">
        <f t="shared" si="355"/>
        <v>0</v>
      </c>
      <c r="IS127" s="213">
        <f t="shared" si="356"/>
        <v>0</v>
      </c>
      <c r="IT127" s="213" t="str">
        <f t="shared" si="224"/>
        <v/>
      </c>
      <c r="IU127" s="213" t="str">
        <f t="shared" si="225"/>
        <v/>
      </c>
      <c r="IV127" s="213" t="str">
        <f t="shared" si="226"/>
        <v/>
      </c>
      <c r="IW127" s="213" t="str">
        <f t="shared" si="227"/>
        <v/>
      </c>
      <c r="IX127" s="213" t="str">
        <f t="shared" si="228"/>
        <v/>
      </c>
      <c r="IY127" s="213" t="str">
        <f t="shared" si="357"/>
        <v/>
      </c>
      <c r="IZ127" s="213" t="str">
        <f t="shared" si="358"/>
        <v/>
      </c>
      <c r="JA127" s="213" t="str">
        <f t="shared" si="229"/>
        <v/>
      </c>
      <c r="JB127" s="211" t="str">
        <f t="shared" si="359"/>
        <v/>
      </c>
    </row>
    <row r="128" spans="1:262" s="211" customFormat="1" ht="21" customHeight="1">
      <c r="A128" s="184">
        <v>121</v>
      </c>
      <c r="B128" s="185" t="str">
        <f>IF('Marks Entry'!B128="","",'Marks Entry'!B128)</f>
        <v/>
      </c>
      <c r="C128" s="186" t="str">
        <f>IF('Marks Entry'!D128="","",'Marks Entry'!D128)</f>
        <v/>
      </c>
      <c r="D128" s="187" t="str">
        <f>IF('Marks Entry'!E128="","",'Marks Entry'!E128)</f>
        <v/>
      </c>
      <c r="E128" s="188" t="str">
        <f>IF('Marks Entry'!F128="","",'Marks Entry'!F128)</f>
        <v/>
      </c>
      <c r="F128" s="188" t="str">
        <f>IF('Marks Entry'!G128="","",'Marks Entry'!G128)</f>
        <v/>
      </c>
      <c r="G128" s="188" t="str">
        <f>IF('Marks Entry'!H128="","",'Marks Entry'!H128)</f>
        <v/>
      </c>
      <c r="H128" s="189" t="str">
        <f>IF('Marks Entry'!I128="","",'Marks Entry'!I128)</f>
        <v/>
      </c>
      <c r="I128" s="190" t="str">
        <f>IF('Marks Entry'!J128="","",'Marks Entry'!J128)</f>
        <v/>
      </c>
      <c r="J128" s="545" t="str">
        <f>IF('Marks Entry'!K128="","",'Marks Entry'!K128)</f>
        <v/>
      </c>
      <c r="K128" s="545" t="str">
        <f>IF('Marks Entry'!L128="","",'Marks Entry'!L128)</f>
        <v/>
      </c>
      <c r="L128" s="545" t="str">
        <f>IF('Marks Entry'!M128="","",'Marks Entry'!M128)</f>
        <v/>
      </c>
      <c r="M128" s="546" t="str">
        <f t="shared" si="230"/>
        <v/>
      </c>
      <c r="N128" s="545" t="str">
        <f>IF('Marks Entry'!N128="","",'Marks Entry'!N128)</f>
        <v/>
      </c>
      <c r="O128" s="546" t="str">
        <f t="shared" si="231"/>
        <v/>
      </c>
      <c r="P128" s="545" t="str">
        <f>IF('Marks Entry'!O128="","",'Marks Entry'!O128)</f>
        <v/>
      </c>
      <c r="Q128" s="547" t="str">
        <f t="shared" si="232"/>
        <v/>
      </c>
      <c r="R128" s="153">
        <f t="shared" si="233"/>
        <v>0</v>
      </c>
      <c r="S128" s="153">
        <f t="shared" si="234"/>
        <v>0</v>
      </c>
      <c r="T128" s="154" t="str">
        <f t="shared" si="235"/>
        <v/>
      </c>
      <c r="U128" s="153" t="str">
        <f t="shared" si="236"/>
        <v/>
      </c>
      <c r="V128" s="153" t="str">
        <f t="shared" si="237"/>
        <v/>
      </c>
      <c r="W128" s="153" t="str">
        <f t="shared" si="238"/>
        <v/>
      </c>
      <c r="X128" s="545" t="str">
        <f>IF('Marks Entry'!P128="","",'Marks Entry'!P128)</f>
        <v/>
      </c>
      <c r="Y128" s="545" t="str">
        <f>IF('Marks Entry'!Q128="","",'Marks Entry'!Q128)</f>
        <v/>
      </c>
      <c r="Z128" s="545" t="str">
        <f>IF('Marks Entry'!R128="","",'Marks Entry'!R128)</f>
        <v/>
      </c>
      <c r="AA128" s="546" t="str">
        <f t="shared" si="239"/>
        <v/>
      </c>
      <c r="AB128" s="545" t="str">
        <f>IF('Marks Entry'!S128="","",'Marks Entry'!S128)</f>
        <v/>
      </c>
      <c r="AC128" s="546" t="str">
        <f t="shared" si="240"/>
        <v/>
      </c>
      <c r="AD128" s="545" t="str">
        <f>IF('Marks Entry'!T128="","",'Marks Entry'!T128)</f>
        <v/>
      </c>
      <c r="AE128" s="547" t="str">
        <f t="shared" si="241"/>
        <v/>
      </c>
      <c r="AF128" s="153">
        <f t="shared" si="242"/>
        <v>0</v>
      </c>
      <c r="AG128" s="153">
        <f t="shared" si="243"/>
        <v>0</v>
      </c>
      <c r="AH128" s="154" t="str">
        <f t="shared" si="244"/>
        <v/>
      </c>
      <c r="AI128" s="153" t="str">
        <f t="shared" si="245"/>
        <v/>
      </c>
      <c r="AJ128" s="153" t="str">
        <f t="shared" si="246"/>
        <v/>
      </c>
      <c r="AK128" s="153" t="str">
        <f t="shared" si="247"/>
        <v/>
      </c>
      <c r="AL128" s="573" t="str">
        <f>IF('Marks Entry'!U128="","",'Marks Entry'!U128)</f>
        <v/>
      </c>
      <c r="AM128" s="573" t="str">
        <f>IF('Marks Entry'!V128="","",'Marks Entry'!V128)</f>
        <v/>
      </c>
      <c r="AN128" s="573" t="str">
        <f>IF('Marks Entry'!W128="","",'Marks Entry'!W128)</f>
        <v/>
      </c>
      <c r="AO128" s="573" t="str">
        <f>IF('Marks Entry'!X128="","",'Marks Entry'!X128)</f>
        <v/>
      </c>
      <c r="AP128" s="572" t="str">
        <f t="shared" si="248"/>
        <v/>
      </c>
      <c r="AQ128" s="573" t="str">
        <f>IF('Marks Entry'!Y128="","",'Marks Entry'!Y128)</f>
        <v/>
      </c>
      <c r="AR128" s="573" t="str">
        <f>IF('Marks Entry'!Z128="","",'Marks Entry'!Z128)</f>
        <v/>
      </c>
      <c r="AS128" s="572" t="str">
        <f t="shared" si="249"/>
        <v/>
      </c>
      <c r="AT128" s="572" t="str">
        <f t="shared" si="250"/>
        <v/>
      </c>
      <c r="AU128" s="573" t="str">
        <f>IF('Marks Entry'!AA128="","",'Marks Entry'!AA128)</f>
        <v/>
      </c>
      <c r="AV128" s="573" t="str">
        <f>IF('Marks Entry'!AB128="","",'Marks Entry'!AB128)</f>
        <v/>
      </c>
      <c r="AW128" s="572" t="str">
        <f t="shared" si="251"/>
        <v/>
      </c>
      <c r="AX128" s="157" t="str">
        <f t="shared" si="252"/>
        <v/>
      </c>
      <c r="AY128" s="157" t="str">
        <f t="shared" si="253"/>
        <v/>
      </c>
      <c r="AZ128" s="192" t="str">
        <f t="shared" si="254"/>
        <v/>
      </c>
      <c r="BA128" s="153">
        <f t="shared" si="255"/>
        <v>0</v>
      </c>
      <c r="BB128" s="154">
        <f t="shared" si="256"/>
        <v>0</v>
      </c>
      <c r="BC128" s="154" t="str">
        <f t="shared" si="257"/>
        <v/>
      </c>
      <c r="BD128" s="154" t="str">
        <f t="shared" si="258"/>
        <v/>
      </c>
      <c r="BE128" s="154" t="str">
        <f t="shared" si="259"/>
        <v/>
      </c>
      <c r="BF128" s="153" t="str">
        <f t="shared" si="260"/>
        <v/>
      </c>
      <c r="BG128" s="154" t="str">
        <f t="shared" si="261"/>
        <v/>
      </c>
      <c r="BH128" s="153" t="str">
        <f t="shared" si="262"/>
        <v/>
      </c>
      <c r="BI128" s="580" t="str">
        <f>IF('Marks Entry'!AC128="","",'Marks Entry'!AC128)</f>
        <v/>
      </c>
      <c r="BJ128" s="580" t="str">
        <f>IF('Marks Entry'!AD128="","",'Marks Entry'!AD128)</f>
        <v/>
      </c>
      <c r="BK128" s="580" t="str">
        <f>IF('Marks Entry'!AE128="","",'Marks Entry'!AE128)</f>
        <v/>
      </c>
      <c r="BL128" s="580" t="str">
        <f>IF('Marks Entry'!AF128="","",'Marks Entry'!AF128)</f>
        <v/>
      </c>
      <c r="BM128" s="581" t="str">
        <f t="shared" si="263"/>
        <v/>
      </c>
      <c r="BN128" s="580" t="str">
        <f>IF('Marks Entry'!AG128="","",'Marks Entry'!AG128)</f>
        <v/>
      </c>
      <c r="BO128" s="580" t="str">
        <f>IF('Marks Entry'!AH128="","",'Marks Entry'!AH128)</f>
        <v/>
      </c>
      <c r="BP128" s="581" t="str">
        <f t="shared" si="264"/>
        <v/>
      </c>
      <c r="BQ128" s="581" t="str">
        <f t="shared" si="265"/>
        <v/>
      </c>
      <c r="BR128" s="580" t="str">
        <f>IF('Marks Entry'!AI128="","",'Marks Entry'!AI128)</f>
        <v/>
      </c>
      <c r="BS128" s="580" t="str">
        <f>IF('Marks Entry'!AJ128="","",'Marks Entry'!AJ128)</f>
        <v/>
      </c>
      <c r="BT128" s="581" t="str">
        <f t="shared" si="266"/>
        <v/>
      </c>
      <c r="BU128" s="157" t="str">
        <f t="shared" si="267"/>
        <v/>
      </c>
      <c r="BV128" s="157" t="str">
        <f t="shared" si="268"/>
        <v/>
      </c>
      <c r="BW128" s="192" t="str">
        <f t="shared" si="269"/>
        <v/>
      </c>
      <c r="BX128" s="153">
        <f t="shared" si="270"/>
        <v>0</v>
      </c>
      <c r="BY128" s="154">
        <f t="shared" si="271"/>
        <v>0</v>
      </c>
      <c r="BZ128" s="154" t="str">
        <f t="shared" si="272"/>
        <v/>
      </c>
      <c r="CA128" s="154" t="str">
        <f t="shared" si="273"/>
        <v/>
      </c>
      <c r="CB128" s="154" t="str">
        <f t="shared" si="274"/>
        <v/>
      </c>
      <c r="CC128" s="153" t="str">
        <f t="shared" si="275"/>
        <v/>
      </c>
      <c r="CD128" s="154" t="str">
        <f t="shared" si="276"/>
        <v/>
      </c>
      <c r="CE128" s="153" t="str">
        <f t="shared" si="277"/>
        <v/>
      </c>
      <c r="CF128" s="580" t="str">
        <f>IF('Marks Entry'!AK128="","",'Marks Entry'!AK128)</f>
        <v/>
      </c>
      <c r="CG128" s="580" t="str">
        <f>IF('Marks Entry'!AL128="","",'Marks Entry'!AL128)</f>
        <v/>
      </c>
      <c r="CH128" s="580" t="str">
        <f>IF('Marks Entry'!AM128="","",'Marks Entry'!AM128)</f>
        <v/>
      </c>
      <c r="CI128" s="580" t="str">
        <f>IF('Marks Entry'!AN128="","",'Marks Entry'!AN128)</f>
        <v/>
      </c>
      <c r="CJ128" s="581" t="str">
        <f t="shared" si="278"/>
        <v/>
      </c>
      <c r="CK128" s="580" t="str">
        <f>IF('Marks Entry'!AO128="","",'Marks Entry'!AO128)</f>
        <v/>
      </c>
      <c r="CL128" s="580" t="str">
        <f>IF('Marks Entry'!AP128="","",'Marks Entry'!AP128)</f>
        <v/>
      </c>
      <c r="CM128" s="581" t="str">
        <f t="shared" si="279"/>
        <v/>
      </c>
      <c r="CN128" s="581" t="str">
        <f t="shared" si="280"/>
        <v/>
      </c>
      <c r="CO128" s="580" t="str">
        <f>IF('Marks Entry'!AQ128="","",'Marks Entry'!AQ128)</f>
        <v/>
      </c>
      <c r="CP128" s="580" t="str">
        <f>IF('Marks Entry'!AR128="","",'Marks Entry'!AR128)</f>
        <v/>
      </c>
      <c r="CQ128" s="581" t="str">
        <f t="shared" si="281"/>
        <v/>
      </c>
      <c r="CR128" s="157" t="str">
        <f t="shared" si="282"/>
        <v/>
      </c>
      <c r="CS128" s="157" t="str">
        <f t="shared" si="283"/>
        <v/>
      </c>
      <c r="CT128" s="192" t="str">
        <f t="shared" si="284"/>
        <v/>
      </c>
      <c r="CU128" s="153">
        <f t="shared" si="285"/>
        <v>0</v>
      </c>
      <c r="CV128" s="154">
        <f t="shared" si="286"/>
        <v>0</v>
      </c>
      <c r="CW128" s="154" t="str">
        <f t="shared" si="287"/>
        <v/>
      </c>
      <c r="CX128" s="154" t="str">
        <f t="shared" si="288"/>
        <v/>
      </c>
      <c r="CY128" s="154" t="str">
        <f t="shared" si="289"/>
        <v/>
      </c>
      <c r="CZ128" s="153" t="str">
        <f t="shared" si="290"/>
        <v/>
      </c>
      <c r="DA128" s="154" t="str">
        <f t="shared" si="291"/>
        <v/>
      </c>
      <c r="DB128" s="153" t="str">
        <f t="shared" si="292"/>
        <v/>
      </c>
      <c r="DC128" s="154">
        <f t="shared" si="293"/>
        <v>0</v>
      </c>
      <c r="DD128" s="826" t="str">
        <f>IF('Marks Entry'!AS128="","",IF(OR('Master Sheet'!$D$19="YES",'Marks Entry'!$BA$1=1),'Marks Entry'!AS128,""))</f>
        <v/>
      </c>
      <c r="DE128" s="826" t="str">
        <f>IF('Marks Entry'!AT128="","",IF(OR('Master Sheet'!$D$19="YES",'Marks Entry'!$BA$1=1),'Marks Entry'!AT128,""))</f>
        <v/>
      </c>
      <c r="DF128" s="826" t="str">
        <f>IF('Marks Entry'!AU128="","",IF(OR('Master Sheet'!$D$19="YES",'Marks Entry'!$BA$1=1),'Marks Entry'!AU128,""))</f>
        <v/>
      </c>
      <c r="DG128" s="826" t="str">
        <f>IF('Marks Entry'!AV128="","",IF(OR('Master Sheet'!$D$19="YES",'Marks Entry'!$BA$1=1),'Marks Entry'!AV128,""))</f>
        <v/>
      </c>
      <c r="DH128" s="827" t="str">
        <f t="shared" si="294"/>
        <v/>
      </c>
      <c r="DI128" s="826" t="str">
        <f>IF('Marks Entry'!AW128="","",IF(OR('Master Sheet'!$D$19="YES",'Marks Entry'!$BA$1=1),'Marks Entry'!AW128,""))</f>
        <v/>
      </c>
      <c r="DJ128" s="826" t="str">
        <f>IF('Marks Entry'!AX128="","",IF(OR('Master Sheet'!$D$19="YES",'Marks Entry'!$BA$1=1),'Marks Entry'!AX128,""))</f>
        <v/>
      </c>
      <c r="DK128" s="827" t="str">
        <f t="shared" si="295"/>
        <v/>
      </c>
      <c r="DL128" s="827" t="str">
        <f t="shared" si="296"/>
        <v/>
      </c>
      <c r="DM128" s="826" t="str">
        <f>IF('Marks Entry'!AY128="","",IF(OR('Master Sheet'!$D$19="YES",'Marks Entry'!$BA$1=1),'Marks Entry'!AY128,""))</f>
        <v/>
      </c>
      <c r="DN128" s="826" t="str">
        <f>IF('Marks Entry'!AZ128="","",IF(OR('Master Sheet'!$D$19="YES",'Marks Entry'!$BA$1=1),'Marks Entry'!AZ128,""))</f>
        <v/>
      </c>
      <c r="DO128" s="826" t="str">
        <f>IF('Marks Entry'!BA128="","",IF(OR('Master Sheet'!$D$19="YES",'Marks Entry'!$BA$1=1),'Marks Entry'!BA128,""))</f>
        <v/>
      </c>
      <c r="DP128" s="827" t="str">
        <f t="shared" si="297"/>
        <v/>
      </c>
      <c r="DQ128" s="157" t="str">
        <f t="shared" si="298"/>
        <v/>
      </c>
      <c r="DR128" s="157" t="str">
        <f t="shared" si="299"/>
        <v/>
      </c>
      <c r="DS128" s="157" t="str">
        <f t="shared" si="300"/>
        <v/>
      </c>
      <c r="DT128" s="192" t="str">
        <f t="shared" si="301"/>
        <v/>
      </c>
      <c r="DU128" s="153">
        <f t="shared" si="302"/>
        <v>0</v>
      </c>
      <c r="DV128" s="154" t="e">
        <f t="shared" si="303"/>
        <v>#VALUE!</v>
      </c>
      <c r="DW128" s="154" t="str">
        <f t="shared" si="304"/>
        <v/>
      </c>
      <c r="DX128" s="154" t="str">
        <f>IF(OR($B128="NSO",$B128=0,DS128=""),"",IF(AND(DJ128="",DO128=""),"",IF('Master Sheet'!$D$19="YES",$DO$6-COUNTIF(DO128,"ML")*DO$6,DS$6-(COUNTIF(DJ128,"ML")*DJ$6)-(COUNTIF(DO128,"ML")*DO$6))))</f>
        <v/>
      </c>
      <c r="DY128" s="154" t="str">
        <f>IF(OR($B128="NSO",$B128=0),"",IF(AND(DH128="",DI128="",DM128=""),"",IF(AND('Master Sheet'!$D$19="YES",'Marks Entry'!$BA$1=1),100,IF(AND(DJ128="",DO128=""),SUM(($DQ$7+$DR$7)-(DU128+DV128)),SUM(($DQ$6+$DR$6)-(DU128+DV128))))))</f>
        <v/>
      </c>
      <c r="DZ128" s="153" t="str">
        <f t="shared" si="305"/>
        <v/>
      </c>
      <c r="EA128" s="154" t="str">
        <f t="shared" si="306"/>
        <v/>
      </c>
      <c r="EB128" s="153" t="str">
        <f t="shared" si="307"/>
        <v/>
      </c>
      <c r="EC128" s="584" t="str">
        <f>IF('Marks Entry'!BB128="","",'Marks Entry'!BB128)</f>
        <v/>
      </c>
      <c r="ED128" s="584" t="str">
        <f>IF('Marks Entry'!BC128="","",'Marks Entry'!BC128)</f>
        <v/>
      </c>
      <c r="EE128" s="584" t="str">
        <f>IF('Marks Entry'!BD128="","",'Marks Entry'!BD128)</f>
        <v/>
      </c>
      <c r="EF128" s="590" t="str">
        <f t="shared" si="308"/>
        <v/>
      </c>
      <c r="EG128" s="595">
        <f t="shared" si="309"/>
        <v>0</v>
      </c>
      <c r="EH128" s="595">
        <f t="shared" si="310"/>
        <v>0</v>
      </c>
      <c r="EI128" s="193" t="str">
        <f t="shared" si="311"/>
        <v/>
      </c>
      <c r="EJ128" s="595" t="str">
        <f t="shared" si="312"/>
        <v/>
      </c>
      <c r="EK128" s="595" t="str">
        <f t="shared" si="313"/>
        <v/>
      </c>
      <c r="EL128" s="194" t="str">
        <f t="shared" si="314"/>
        <v/>
      </c>
      <c r="EM128" s="194" t="str">
        <f t="shared" si="315"/>
        <v/>
      </c>
      <c r="EN128" s="194" t="str">
        <f t="shared" si="316"/>
        <v/>
      </c>
      <c r="EO128" s="194" t="str">
        <f t="shared" si="317"/>
        <v/>
      </c>
      <c r="EP128" s="194" t="str">
        <f t="shared" si="318"/>
        <v/>
      </c>
      <c r="EQ128" s="194" t="str">
        <f t="shared" si="319"/>
        <v/>
      </c>
      <c r="ER128" s="195">
        <f t="shared" si="320"/>
        <v>0</v>
      </c>
      <c r="ES128" s="195">
        <f t="shared" si="321"/>
        <v>0</v>
      </c>
      <c r="ET128" s="195">
        <f t="shared" si="322"/>
        <v>0</v>
      </c>
      <c r="EU128" s="195">
        <f t="shared" si="323"/>
        <v>0</v>
      </c>
      <c r="EV128" s="195">
        <f t="shared" si="324"/>
        <v>0</v>
      </c>
      <c r="EW128" s="195" t="str">
        <f t="shared" si="325"/>
        <v/>
      </c>
      <c r="EX128" s="196" t="str">
        <f t="shared" si="326"/>
        <v/>
      </c>
      <c r="EY128" s="197" t="str">
        <f>IF('Marks Entry'!BE128="","",'Marks Entry'!BE128)</f>
        <v/>
      </c>
      <c r="EZ128" s="197" t="str">
        <f>IF('Marks Entry'!BF128="","",'Marks Entry'!BF128)</f>
        <v/>
      </c>
      <c r="FA128" s="197" t="str">
        <f>IF('Marks Entry'!BG128="","",'Marks Entry'!BG128)</f>
        <v/>
      </c>
      <c r="FB128" s="596" t="str">
        <f t="shared" si="327"/>
        <v/>
      </c>
      <c r="FC128" s="197" t="str">
        <f>IF('Marks Entry'!BH128="","",'Marks Entry'!BH128)</f>
        <v/>
      </c>
      <c r="FD128" s="197" t="str">
        <f>IF('Marks Entry'!BI128="","",'Marks Entry'!BI128)</f>
        <v/>
      </c>
      <c r="FE128" s="198" t="str">
        <f t="shared" si="328"/>
        <v/>
      </c>
      <c r="FF128" s="199" t="str">
        <f t="shared" si="329"/>
        <v/>
      </c>
      <c r="FG128" s="200" t="str">
        <f>IF(AND(E128=""),"",IF('Student DATA Entry'!L124="","",'Student DATA Entry'!L124))</f>
        <v/>
      </c>
      <c r="FH128" s="201" t="str">
        <f>IF(AND(E128=""),"",IF('Student DATA Entry'!M124="","",'Student DATA Entry'!M124))</f>
        <v/>
      </c>
      <c r="FI128" s="202" t="str">
        <f t="shared" si="330"/>
        <v/>
      </c>
      <c r="FJ128" s="189" t="str">
        <f t="shared" si="331"/>
        <v/>
      </c>
      <c r="FK128" s="189" t="str">
        <f t="shared" si="332"/>
        <v/>
      </c>
      <c r="FL128" s="203" t="str">
        <f t="shared" si="360"/>
        <v/>
      </c>
      <c r="FM128" s="189" t="str">
        <f t="shared" si="333"/>
        <v/>
      </c>
      <c r="FN128" s="204" t="str">
        <f t="shared" si="334"/>
        <v/>
      </c>
      <c r="FO128" s="203" t="str">
        <f t="shared" si="361"/>
        <v/>
      </c>
      <c r="FP128" s="205" t="str">
        <f t="shared" si="335"/>
        <v/>
      </c>
      <c r="FQ128" s="189" t="str">
        <f t="shared" si="362"/>
        <v/>
      </c>
      <c r="FR128" s="189" t="str">
        <f t="shared" si="363"/>
        <v/>
      </c>
      <c r="FS128" s="189" t="str">
        <f t="shared" si="364"/>
        <v/>
      </c>
      <c r="FT128" s="189" t="str">
        <f t="shared" si="365"/>
        <v/>
      </c>
      <c r="FU128" s="189" t="str">
        <f t="shared" si="336"/>
        <v/>
      </c>
      <c r="FV128" s="206" t="str">
        <f t="shared" si="366"/>
        <v/>
      </c>
      <c r="FW128" s="205" t="str">
        <f t="shared" si="337"/>
        <v/>
      </c>
      <c r="FX128" s="189" t="str">
        <f t="shared" si="367"/>
        <v/>
      </c>
      <c r="FY128" s="189" t="str">
        <f t="shared" si="368"/>
        <v/>
      </c>
      <c r="FZ128" s="189" t="str">
        <f t="shared" si="369"/>
        <v/>
      </c>
      <c r="GA128" s="189" t="str">
        <f t="shared" si="370"/>
        <v/>
      </c>
      <c r="GB128" s="189" t="str">
        <f t="shared" si="338"/>
        <v/>
      </c>
      <c r="GC128" s="206" t="str">
        <f t="shared" si="371"/>
        <v/>
      </c>
      <c r="GD128" s="205" t="str">
        <f t="shared" si="339"/>
        <v/>
      </c>
      <c r="GE128" s="189" t="str">
        <f t="shared" si="372"/>
        <v/>
      </c>
      <c r="GF128" s="189" t="str">
        <f t="shared" si="373"/>
        <v/>
      </c>
      <c r="GG128" s="189" t="str">
        <f t="shared" si="374"/>
        <v/>
      </c>
      <c r="GH128" s="189" t="str">
        <f t="shared" si="375"/>
        <v/>
      </c>
      <c r="GI128" s="189" t="str">
        <f t="shared" si="340"/>
        <v/>
      </c>
      <c r="GJ128" s="206" t="str">
        <f t="shared" si="376"/>
        <v/>
      </c>
      <c r="GK128" s="205" t="str">
        <f t="shared" si="341"/>
        <v/>
      </c>
      <c r="GL128" s="189" t="str">
        <f t="shared" si="377"/>
        <v/>
      </c>
      <c r="GM128" s="189" t="str">
        <f t="shared" si="378"/>
        <v/>
      </c>
      <c r="GN128" s="189" t="str">
        <f t="shared" si="379"/>
        <v/>
      </c>
      <c r="GO128" s="189" t="str">
        <f t="shared" si="380"/>
        <v/>
      </c>
      <c r="GP128" s="189" t="str">
        <f t="shared" si="342"/>
        <v/>
      </c>
      <c r="GQ128" s="206" t="str">
        <f t="shared" si="381"/>
        <v/>
      </c>
      <c r="GR128" s="189" t="str">
        <f t="shared" si="343"/>
        <v/>
      </c>
      <c r="GS128" s="189" t="str">
        <f t="shared" si="344"/>
        <v/>
      </c>
      <c r="GT128" s="207" t="str">
        <f t="shared" si="345"/>
        <v xml:space="preserve">    </v>
      </c>
      <c r="GU128" s="207" t="str">
        <f t="shared" si="346"/>
        <v xml:space="preserve">    </v>
      </c>
      <c r="GV128" s="207" t="str">
        <f t="shared" si="347"/>
        <v xml:space="preserve">    </v>
      </c>
      <c r="GW128" s="207" t="str">
        <f t="shared" si="348"/>
        <v xml:space="preserve">       </v>
      </c>
      <c r="GX128" s="598" t="str">
        <f t="shared" si="349"/>
        <v xml:space="preserve">     </v>
      </c>
      <c r="GY128" s="208" t="str">
        <f t="shared" si="382"/>
        <v/>
      </c>
      <c r="GZ128" s="606" t="str">
        <f>IF(AND(Q128="",AE128="",AZ128="",BW128="",CT128=""),"",IF(AND('Master Sheet'!$D$19="YES",'Marks Entry'!$BA$1=1),SUM(Q128,AE128,AZ128,BW128,DT128),SUM(Q128,AE128,AZ128,BW128,CT128)))</f>
        <v/>
      </c>
      <c r="HA128" s="209" t="str">
        <f>IF(GZ128="","",IF(AND('Master Sheet'!$D$19="YES",'Marks Entry'!$BA$1=1),GZ128/((900)-DC128)*100,GZ128/((1000)-DC128)*100))</f>
        <v/>
      </c>
      <c r="HB128" s="611" t="str">
        <f t="shared" si="350"/>
        <v/>
      </c>
      <c r="HC128" s="609" t="str">
        <f t="shared" si="351"/>
        <v/>
      </c>
      <c r="HD128" s="610" t="str">
        <f t="shared" si="352"/>
        <v/>
      </c>
      <c r="HE128" s="210" t="str">
        <f>IFERROR(IF(OR(GY128="SUPPLEMENTARY",GY128="RE-EXAM"),'Supp. Result Entry'!AS127,""),"")</f>
        <v/>
      </c>
      <c r="HF128" s="613" t="str">
        <f t="shared" si="353"/>
        <v/>
      </c>
      <c r="HG128" s="598" t="str">
        <f t="shared" si="354"/>
        <v/>
      </c>
      <c r="HH128" s="598" t="str">
        <f>IF(AND(HE128="",HF128="",HG128=""),"",IF(OR(GY128="SUPPLEMENTARY",GY128="RE-EXAM"),'Supp. Result Entry'!AS127,GY128))</f>
        <v/>
      </c>
      <c r="HI128" s="180"/>
      <c r="HY128" s="212" t="str">
        <f>IF('Supp. Result Entry'!U127="","",'Supp. Result Entry'!$U$6)</f>
        <v/>
      </c>
      <c r="HZ128" s="213" t="str">
        <f>IF('Supp. Result Entry'!X127="","",'Supp. Result Entry'!$X$6)</f>
        <v/>
      </c>
      <c r="IA128" s="213" t="str">
        <f>IF('Supp. Result Entry'!AA127="","",'Supp. Result Entry'!$AA$6)</f>
        <v/>
      </c>
      <c r="IB128" s="213" t="str">
        <f>IF('Supp. Result Entry'!AD127="","",'Supp. Result Entry'!$AD$6)</f>
        <v/>
      </c>
      <c r="IC128" s="213" t="str">
        <f>IF('Supp. Result Entry'!AG127="","",'Supp. Result Entry'!$AG$6)</f>
        <v/>
      </c>
      <c r="ID128" s="213" t="str">
        <f>IF('Supp. Result Entry'!AJ127="","",'Supp. Result Entry'!$AJ$6)</f>
        <v/>
      </c>
      <c r="IE128" s="213" t="str">
        <f>IF('Supp. Result Entry'!V127="","",'Supp. Result Entry'!V127)</f>
        <v/>
      </c>
      <c r="IF128" s="213" t="str">
        <f>IF('Supp. Result Entry'!Y127="","",'Supp. Result Entry'!Y127)</f>
        <v/>
      </c>
      <c r="IG128" s="213" t="str">
        <f>IF('Supp. Result Entry'!AB127="","",'Supp. Result Entry'!AB127)</f>
        <v/>
      </c>
      <c r="IH128" s="213" t="str">
        <f>IF('Supp. Result Entry'!AE127="","",'Supp. Result Entry'!AE127)</f>
        <v/>
      </c>
      <c r="II128" s="213" t="str">
        <f>IF('Supp. Result Entry'!AH127="","",'Supp. Result Entry'!AH127)</f>
        <v/>
      </c>
      <c r="IJ128" s="213" t="str">
        <f>IF('Supp. Result Entry'!AK127="","",'Supp. Result Entry'!AK127)</f>
        <v/>
      </c>
      <c r="IK128" s="213" t="str">
        <f>IF('Supp. Result Entry'!W127="","",'Supp. Result Entry'!W127)</f>
        <v/>
      </c>
      <c r="IL128" s="213" t="str">
        <f>IF('Supp. Result Entry'!Z127="","",'Supp. Result Entry'!Z127)</f>
        <v/>
      </c>
      <c r="IM128" s="213" t="str">
        <f>IF('Supp. Result Entry'!AC127="","",'Supp. Result Entry'!AC127)</f>
        <v/>
      </c>
      <c r="IN128" s="213" t="str">
        <f>IF('Supp. Result Entry'!AF127="","",'Supp. Result Entry'!AF127)</f>
        <v/>
      </c>
      <c r="IO128" s="213" t="str">
        <f>IF('Supp. Result Entry'!AI127="","",'Supp. Result Entry'!AI127)</f>
        <v/>
      </c>
      <c r="IP128" s="213" t="str">
        <f>IF('Supp. Result Entry'!AL127="","",'Supp. Result Entry'!AL127)</f>
        <v/>
      </c>
      <c r="IQ128" s="213">
        <f>COUNTIF('Supp. Result Entry'!K127:Q127,"S")</f>
        <v>0</v>
      </c>
      <c r="IR128" s="213">
        <f t="shared" si="355"/>
        <v>0</v>
      </c>
      <c r="IS128" s="213">
        <f t="shared" si="356"/>
        <v>0</v>
      </c>
      <c r="IT128" s="213" t="str">
        <f t="shared" si="224"/>
        <v/>
      </c>
      <c r="IU128" s="213" t="str">
        <f t="shared" si="225"/>
        <v/>
      </c>
      <c r="IV128" s="213" t="str">
        <f t="shared" si="226"/>
        <v/>
      </c>
      <c r="IW128" s="213" t="str">
        <f t="shared" si="227"/>
        <v/>
      </c>
      <c r="IX128" s="213" t="str">
        <f t="shared" si="228"/>
        <v/>
      </c>
      <c r="IY128" s="213" t="str">
        <f t="shared" si="357"/>
        <v/>
      </c>
      <c r="IZ128" s="213" t="str">
        <f t="shared" si="358"/>
        <v/>
      </c>
      <c r="JA128" s="213" t="str">
        <f t="shared" si="229"/>
        <v/>
      </c>
      <c r="JB128" s="211" t="str">
        <f t="shared" si="359"/>
        <v/>
      </c>
    </row>
    <row r="129" spans="1:262" s="211" customFormat="1" ht="21" customHeight="1">
      <c r="A129" s="184">
        <v>122</v>
      </c>
      <c r="B129" s="185" t="str">
        <f>IF('Marks Entry'!B129="","",'Marks Entry'!B129)</f>
        <v/>
      </c>
      <c r="C129" s="186" t="str">
        <f>IF('Marks Entry'!D129="","",'Marks Entry'!D129)</f>
        <v/>
      </c>
      <c r="D129" s="187" t="str">
        <f>IF('Marks Entry'!E129="","",'Marks Entry'!E129)</f>
        <v/>
      </c>
      <c r="E129" s="188" t="str">
        <f>IF('Marks Entry'!F129="","",'Marks Entry'!F129)</f>
        <v/>
      </c>
      <c r="F129" s="188" t="str">
        <f>IF('Marks Entry'!G129="","",'Marks Entry'!G129)</f>
        <v/>
      </c>
      <c r="G129" s="188" t="str">
        <f>IF('Marks Entry'!H129="","",'Marks Entry'!H129)</f>
        <v/>
      </c>
      <c r="H129" s="189" t="str">
        <f>IF('Marks Entry'!I129="","",'Marks Entry'!I129)</f>
        <v/>
      </c>
      <c r="I129" s="190" t="str">
        <f>IF('Marks Entry'!J129="","",'Marks Entry'!J129)</f>
        <v/>
      </c>
      <c r="J129" s="545" t="str">
        <f>IF('Marks Entry'!K129="","",'Marks Entry'!K129)</f>
        <v/>
      </c>
      <c r="K129" s="545" t="str">
        <f>IF('Marks Entry'!L129="","",'Marks Entry'!L129)</f>
        <v/>
      </c>
      <c r="L129" s="545" t="str">
        <f>IF('Marks Entry'!M129="","",'Marks Entry'!M129)</f>
        <v/>
      </c>
      <c r="M129" s="546" t="str">
        <f t="shared" si="230"/>
        <v/>
      </c>
      <c r="N129" s="545" t="str">
        <f>IF('Marks Entry'!N129="","",'Marks Entry'!N129)</f>
        <v/>
      </c>
      <c r="O129" s="546" t="str">
        <f t="shared" si="231"/>
        <v/>
      </c>
      <c r="P129" s="545" t="str">
        <f>IF('Marks Entry'!O129="","",'Marks Entry'!O129)</f>
        <v/>
      </c>
      <c r="Q129" s="547" t="str">
        <f t="shared" si="232"/>
        <v/>
      </c>
      <c r="R129" s="153">
        <f t="shared" si="233"/>
        <v>0</v>
      </c>
      <c r="S129" s="153">
        <f t="shared" si="234"/>
        <v>0</v>
      </c>
      <c r="T129" s="154" t="str">
        <f t="shared" si="235"/>
        <v/>
      </c>
      <c r="U129" s="153" t="str">
        <f t="shared" si="236"/>
        <v/>
      </c>
      <c r="V129" s="153" t="str">
        <f t="shared" si="237"/>
        <v/>
      </c>
      <c r="W129" s="153" t="str">
        <f t="shared" si="238"/>
        <v/>
      </c>
      <c r="X129" s="545" t="str">
        <f>IF('Marks Entry'!P129="","",'Marks Entry'!P129)</f>
        <v/>
      </c>
      <c r="Y129" s="545" t="str">
        <f>IF('Marks Entry'!Q129="","",'Marks Entry'!Q129)</f>
        <v/>
      </c>
      <c r="Z129" s="545" t="str">
        <f>IF('Marks Entry'!R129="","",'Marks Entry'!R129)</f>
        <v/>
      </c>
      <c r="AA129" s="546" t="str">
        <f t="shared" si="239"/>
        <v/>
      </c>
      <c r="AB129" s="545" t="str">
        <f>IF('Marks Entry'!S129="","",'Marks Entry'!S129)</f>
        <v/>
      </c>
      <c r="AC129" s="546" t="str">
        <f t="shared" si="240"/>
        <v/>
      </c>
      <c r="AD129" s="545" t="str">
        <f>IF('Marks Entry'!T129="","",'Marks Entry'!T129)</f>
        <v/>
      </c>
      <c r="AE129" s="547" t="str">
        <f t="shared" si="241"/>
        <v/>
      </c>
      <c r="AF129" s="153">
        <f t="shared" si="242"/>
        <v>0</v>
      </c>
      <c r="AG129" s="153">
        <f t="shared" si="243"/>
        <v>0</v>
      </c>
      <c r="AH129" s="154" t="str">
        <f t="shared" si="244"/>
        <v/>
      </c>
      <c r="AI129" s="153" t="str">
        <f t="shared" si="245"/>
        <v/>
      </c>
      <c r="AJ129" s="153" t="str">
        <f t="shared" si="246"/>
        <v/>
      </c>
      <c r="AK129" s="153" t="str">
        <f t="shared" si="247"/>
        <v/>
      </c>
      <c r="AL129" s="573" t="str">
        <f>IF('Marks Entry'!U129="","",'Marks Entry'!U129)</f>
        <v/>
      </c>
      <c r="AM129" s="573" t="str">
        <f>IF('Marks Entry'!V129="","",'Marks Entry'!V129)</f>
        <v/>
      </c>
      <c r="AN129" s="573" t="str">
        <f>IF('Marks Entry'!W129="","",'Marks Entry'!W129)</f>
        <v/>
      </c>
      <c r="AO129" s="573" t="str">
        <f>IF('Marks Entry'!X129="","",'Marks Entry'!X129)</f>
        <v/>
      </c>
      <c r="AP129" s="572" t="str">
        <f t="shared" si="248"/>
        <v/>
      </c>
      <c r="AQ129" s="573" t="str">
        <f>IF('Marks Entry'!Y129="","",'Marks Entry'!Y129)</f>
        <v/>
      </c>
      <c r="AR129" s="573" t="str">
        <f>IF('Marks Entry'!Z129="","",'Marks Entry'!Z129)</f>
        <v/>
      </c>
      <c r="AS129" s="572" t="str">
        <f t="shared" si="249"/>
        <v/>
      </c>
      <c r="AT129" s="572" t="str">
        <f t="shared" si="250"/>
        <v/>
      </c>
      <c r="AU129" s="573" t="str">
        <f>IF('Marks Entry'!AA129="","",'Marks Entry'!AA129)</f>
        <v/>
      </c>
      <c r="AV129" s="573" t="str">
        <f>IF('Marks Entry'!AB129="","",'Marks Entry'!AB129)</f>
        <v/>
      </c>
      <c r="AW129" s="572" t="str">
        <f t="shared" si="251"/>
        <v/>
      </c>
      <c r="AX129" s="157" t="str">
        <f t="shared" si="252"/>
        <v/>
      </c>
      <c r="AY129" s="157" t="str">
        <f t="shared" si="253"/>
        <v/>
      </c>
      <c r="AZ129" s="192" t="str">
        <f t="shared" si="254"/>
        <v/>
      </c>
      <c r="BA129" s="153">
        <f t="shared" si="255"/>
        <v>0</v>
      </c>
      <c r="BB129" s="154">
        <f t="shared" si="256"/>
        <v>0</v>
      </c>
      <c r="BC129" s="154" t="str">
        <f t="shared" si="257"/>
        <v/>
      </c>
      <c r="BD129" s="154" t="str">
        <f t="shared" si="258"/>
        <v/>
      </c>
      <c r="BE129" s="154" t="str">
        <f t="shared" si="259"/>
        <v/>
      </c>
      <c r="BF129" s="153" t="str">
        <f t="shared" si="260"/>
        <v/>
      </c>
      <c r="BG129" s="154" t="str">
        <f t="shared" si="261"/>
        <v/>
      </c>
      <c r="BH129" s="153" t="str">
        <f t="shared" si="262"/>
        <v/>
      </c>
      <c r="BI129" s="580" t="str">
        <f>IF('Marks Entry'!AC129="","",'Marks Entry'!AC129)</f>
        <v/>
      </c>
      <c r="BJ129" s="580" t="str">
        <f>IF('Marks Entry'!AD129="","",'Marks Entry'!AD129)</f>
        <v/>
      </c>
      <c r="BK129" s="580" t="str">
        <f>IF('Marks Entry'!AE129="","",'Marks Entry'!AE129)</f>
        <v/>
      </c>
      <c r="BL129" s="580" t="str">
        <f>IF('Marks Entry'!AF129="","",'Marks Entry'!AF129)</f>
        <v/>
      </c>
      <c r="BM129" s="581" t="str">
        <f t="shared" si="263"/>
        <v/>
      </c>
      <c r="BN129" s="580" t="str">
        <f>IF('Marks Entry'!AG129="","",'Marks Entry'!AG129)</f>
        <v/>
      </c>
      <c r="BO129" s="580" t="str">
        <f>IF('Marks Entry'!AH129="","",'Marks Entry'!AH129)</f>
        <v/>
      </c>
      <c r="BP129" s="581" t="str">
        <f t="shared" si="264"/>
        <v/>
      </c>
      <c r="BQ129" s="581" t="str">
        <f t="shared" si="265"/>
        <v/>
      </c>
      <c r="BR129" s="580" t="str">
        <f>IF('Marks Entry'!AI129="","",'Marks Entry'!AI129)</f>
        <v/>
      </c>
      <c r="BS129" s="580" t="str">
        <f>IF('Marks Entry'!AJ129="","",'Marks Entry'!AJ129)</f>
        <v/>
      </c>
      <c r="BT129" s="581" t="str">
        <f t="shared" si="266"/>
        <v/>
      </c>
      <c r="BU129" s="157" t="str">
        <f t="shared" si="267"/>
        <v/>
      </c>
      <c r="BV129" s="157" t="str">
        <f t="shared" si="268"/>
        <v/>
      </c>
      <c r="BW129" s="192" t="str">
        <f t="shared" si="269"/>
        <v/>
      </c>
      <c r="BX129" s="153">
        <f t="shared" si="270"/>
        <v>0</v>
      </c>
      <c r="BY129" s="154">
        <f t="shared" si="271"/>
        <v>0</v>
      </c>
      <c r="BZ129" s="154" t="str">
        <f t="shared" si="272"/>
        <v/>
      </c>
      <c r="CA129" s="154" t="str">
        <f t="shared" si="273"/>
        <v/>
      </c>
      <c r="CB129" s="154" t="str">
        <f t="shared" si="274"/>
        <v/>
      </c>
      <c r="CC129" s="153" t="str">
        <f t="shared" si="275"/>
        <v/>
      </c>
      <c r="CD129" s="154" t="str">
        <f t="shared" si="276"/>
        <v/>
      </c>
      <c r="CE129" s="153" t="str">
        <f t="shared" si="277"/>
        <v/>
      </c>
      <c r="CF129" s="580" t="str">
        <f>IF('Marks Entry'!AK129="","",'Marks Entry'!AK129)</f>
        <v/>
      </c>
      <c r="CG129" s="580" t="str">
        <f>IF('Marks Entry'!AL129="","",'Marks Entry'!AL129)</f>
        <v/>
      </c>
      <c r="CH129" s="580" t="str">
        <f>IF('Marks Entry'!AM129="","",'Marks Entry'!AM129)</f>
        <v/>
      </c>
      <c r="CI129" s="580" t="str">
        <f>IF('Marks Entry'!AN129="","",'Marks Entry'!AN129)</f>
        <v/>
      </c>
      <c r="CJ129" s="581" t="str">
        <f t="shared" si="278"/>
        <v/>
      </c>
      <c r="CK129" s="580" t="str">
        <f>IF('Marks Entry'!AO129="","",'Marks Entry'!AO129)</f>
        <v/>
      </c>
      <c r="CL129" s="580" t="str">
        <f>IF('Marks Entry'!AP129="","",'Marks Entry'!AP129)</f>
        <v/>
      </c>
      <c r="CM129" s="581" t="str">
        <f t="shared" si="279"/>
        <v/>
      </c>
      <c r="CN129" s="581" t="str">
        <f t="shared" si="280"/>
        <v/>
      </c>
      <c r="CO129" s="580" t="str">
        <f>IF('Marks Entry'!AQ129="","",'Marks Entry'!AQ129)</f>
        <v/>
      </c>
      <c r="CP129" s="580" t="str">
        <f>IF('Marks Entry'!AR129="","",'Marks Entry'!AR129)</f>
        <v/>
      </c>
      <c r="CQ129" s="581" t="str">
        <f t="shared" si="281"/>
        <v/>
      </c>
      <c r="CR129" s="157" t="str">
        <f t="shared" si="282"/>
        <v/>
      </c>
      <c r="CS129" s="157" t="str">
        <f t="shared" si="283"/>
        <v/>
      </c>
      <c r="CT129" s="192" t="str">
        <f t="shared" si="284"/>
        <v/>
      </c>
      <c r="CU129" s="153">
        <f t="shared" si="285"/>
        <v>0</v>
      </c>
      <c r="CV129" s="154">
        <f t="shared" si="286"/>
        <v>0</v>
      </c>
      <c r="CW129" s="154" t="str">
        <f t="shared" si="287"/>
        <v/>
      </c>
      <c r="CX129" s="154" t="str">
        <f t="shared" si="288"/>
        <v/>
      </c>
      <c r="CY129" s="154" t="str">
        <f t="shared" si="289"/>
        <v/>
      </c>
      <c r="CZ129" s="153" t="str">
        <f t="shared" si="290"/>
        <v/>
      </c>
      <c r="DA129" s="154" t="str">
        <f t="shared" si="291"/>
        <v/>
      </c>
      <c r="DB129" s="153" t="str">
        <f t="shared" si="292"/>
        <v/>
      </c>
      <c r="DC129" s="154">
        <f t="shared" si="293"/>
        <v>0</v>
      </c>
      <c r="DD129" s="826" t="str">
        <f>IF('Marks Entry'!AS129="","",IF(OR('Master Sheet'!$D$19="YES",'Marks Entry'!$BA$1=1),'Marks Entry'!AS129,""))</f>
        <v/>
      </c>
      <c r="DE129" s="826" t="str">
        <f>IF('Marks Entry'!AT129="","",IF(OR('Master Sheet'!$D$19="YES",'Marks Entry'!$BA$1=1),'Marks Entry'!AT129,""))</f>
        <v/>
      </c>
      <c r="DF129" s="826" t="str">
        <f>IF('Marks Entry'!AU129="","",IF(OR('Master Sheet'!$D$19="YES",'Marks Entry'!$BA$1=1),'Marks Entry'!AU129,""))</f>
        <v/>
      </c>
      <c r="DG129" s="826" t="str">
        <f>IF('Marks Entry'!AV129="","",IF(OR('Master Sheet'!$D$19="YES",'Marks Entry'!$BA$1=1),'Marks Entry'!AV129,""))</f>
        <v/>
      </c>
      <c r="DH129" s="827" t="str">
        <f t="shared" si="294"/>
        <v/>
      </c>
      <c r="DI129" s="826" t="str">
        <f>IF('Marks Entry'!AW129="","",IF(OR('Master Sheet'!$D$19="YES",'Marks Entry'!$BA$1=1),'Marks Entry'!AW129,""))</f>
        <v/>
      </c>
      <c r="DJ129" s="826" t="str">
        <f>IF('Marks Entry'!AX129="","",IF(OR('Master Sheet'!$D$19="YES",'Marks Entry'!$BA$1=1),'Marks Entry'!AX129,""))</f>
        <v/>
      </c>
      <c r="DK129" s="827" t="str">
        <f t="shared" si="295"/>
        <v/>
      </c>
      <c r="DL129" s="827" t="str">
        <f t="shared" si="296"/>
        <v/>
      </c>
      <c r="DM129" s="826" t="str">
        <f>IF('Marks Entry'!AY129="","",IF(OR('Master Sheet'!$D$19="YES",'Marks Entry'!$BA$1=1),'Marks Entry'!AY129,""))</f>
        <v/>
      </c>
      <c r="DN129" s="826" t="str">
        <f>IF('Marks Entry'!AZ129="","",IF(OR('Master Sheet'!$D$19="YES",'Marks Entry'!$BA$1=1),'Marks Entry'!AZ129,""))</f>
        <v/>
      </c>
      <c r="DO129" s="826" t="str">
        <f>IF('Marks Entry'!BA129="","",IF(OR('Master Sheet'!$D$19="YES",'Marks Entry'!$BA$1=1),'Marks Entry'!BA129,""))</f>
        <v/>
      </c>
      <c r="DP129" s="827" t="str">
        <f t="shared" si="297"/>
        <v/>
      </c>
      <c r="DQ129" s="157" t="str">
        <f t="shared" si="298"/>
        <v/>
      </c>
      <c r="DR129" s="157" t="str">
        <f t="shared" si="299"/>
        <v/>
      </c>
      <c r="DS129" s="157" t="str">
        <f t="shared" si="300"/>
        <v/>
      </c>
      <c r="DT129" s="192" t="str">
        <f t="shared" si="301"/>
        <v/>
      </c>
      <c r="DU129" s="153">
        <f t="shared" si="302"/>
        <v>0</v>
      </c>
      <c r="DV129" s="154" t="e">
        <f t="shared" si="303"/>
        <v>#VALUE!</v>
      </c>
      <c r="DW129" s="154" t="str">
        <f t="shared" si="304"/>
        <v/>
      </c>
      <c r="DX129" s="154" t="str">
        <f>IF(OR($B129="NSO",$B129=0,DS129=""),"",IF(AND(DJ129="",DO129=""),"",IF('Master Sheet'!$D$19="YES",$DO$6-COUNTIF(DO129,"ML")*DO$6,DS$6-(COUNTIF(DJ129,"ML")*DJ$6)-(COUNTIF(DO129,"ML")*DO$6))))</f>
        <v/>
      </c>
      <c r="DY129" s="154" t="str">
        <f>IF(OR($B129="NSO",$B129=0),"",IF(AND(DH129="",DI129="",DM129=""),"",IF(AND('Master Sheet'!$D$19="YES",'Marks Entry'!$BA$1=1),100,IF(AND(DJ129="",DO129=""),SUM(($DQ$7+$DR$7)-(DU129+DV129)),SUM(($DQ$6+$DR$6)-(DU129+DV129))))))</f>
        <v/>
      </c>
      <c r="DZ129" s="153" t="str">
        <f t="shared" si="305"/>
        <v/>
      </c>
      <c r="EA129" s="154" t="str">
        <f t="shared" si="306"/>
        <v/>
      </c>
      <c r="EB129" s="153" t="str">
        <f t="shared" si="307"/>
        <v/>
      </c>
      <c r="EC129" s="584" t="str">
        <f>IF('Marks Entry'!BB129="","",'Marks Entry'!BB129)</f>
        <v/>
      </c>
      <c r="ED129" s="584" t="str">
        <f>IF('Marks Entry'!BC129="","",'Marks Entry'!BC129)</f>
        <v/>
      </c>
      <c r="EE129" s="584" t="str">
        <f>IF('Marks Entry'!BD129="","",'Marks Entry'!BD129)</f>
        <v/>
      </c>
      <c r="EF129" s="590" t="str">
        <f t="shared" si="308"/>
        <v/>
      </c>
      <c r="EG129" s="595">
        <f t="shared" si="309"/>
        <v>0</v>
      </c>
      <c r="EH129" s="595">
        <f t="shared" si="310"/>
        <v>0</v>
      </c>
      <c r="EI129" s="193" t="str">
        <f t="shared" si="311"/>
        <v/>
      </c>
      <c r="EJ129" s="595" t="str">
        <f t="shared" si="312"/>
        <v/>
      </c>
      <c r="EK129" s="595" t="str">
        <f t="shared" si="313"/>
        <v/>
      </c>
      <c r="EL129" s="194" t="str">
        <f t="shared" si="314"/>
        <v/>
      </c>
      <c r="EM129" s="194" t="str">
        <f t="shared" si="315"/>
        <v/>
      </c>
      <c r="EN129" s="194" t="str">
        <f t="shared" si="316"/>
        <v/>
      </c>
      <c r="EO129" s="194" t="str">
        <f t="shared" si="317"/>
        <v/>
      </c>
      <c r="EP129" s="194" t="str">
        <f t="shared" si="318"/>
        <v/>
      </c>
      <c r="EQ129" s="194" t="str">
        <f t="shared" si="319"/>
        <v/>
      </c>
      <c r="ER129" s="195">
        <f t="shared" si="320"/>
        <v>0</v>
      </c>
      <c r="ES129" s="195">
        <f t="shared" si="321"/>
        <v>0</v>
      </c>
      <c r="ET129" s="195">
        <f t="shared" si="322"/>
        <v>0</v>
      </c>
      <c r="EU129" s="195">
        <f t="shared" si="323"/>
        <v>0</v>
      </c>
      <c r="EV129" s="195">
        <f t="shared" si="324"/>
        <v>0</v>
      </c>
      <c r="EW129" s="195" t="str">
        <f t="shared" si="325"/>
        <v/>
      </c>
      <c r="EX129" s="196" t="str">
        <f t="shared" si="326"/>
        <v/>
      </c>
      <c r="EY129" s="197" t="str">
        <f>IF('Marks Entry'!BE129="","",'Marks Entry'!BE129)</f>
        <v/>
      </c>
      <c r="EZ129" s="197" t="str">
        <f>IF('Marks Entry'!BF129="","",'Marks Entry'!BF129)</f>
        <v/>
      </c>
      <c r="FA129" s="197" t="str">
        <f>IF('Marks Entry'!BG129="","",'Marks Entry'!BG129)</f>
        <v/>
      </c>
      <c r="FB129" s="596" t="str">
        <f t="shared" si="327"/>
        <v/>
      </c>
      <c r="FC129" s="197" t="str">
        <f>IF('Marks Entry'!BH129="","",'Marks Entry'!BH129)</f>
        <v/>
      </c>
      <c r="FD129" s="197" t="str">
        <f>IF('Marks Entry'!BI129="","",'Marks Entry'!BI129)</f>
        <v/>
      </c>
      <c r="FE129" s="198" t="str">
        <f t="shared" si="328"/>
        <v/>
      </c>
      <c r="FF129" s="199" t="str">
        <f t="shared" si="329"/>
        <v/>
      </c>
      <c r="FG129" s="200" t="str">
        <f>IF(AND(E129=""),"",IF('Student DATA Entry'!L125="","",'Student DATA Entry'!L125))</f>
        <v/>
      </c>
      <c r="FH129" s="201" t="str">
        <f>IF(AND(E129=""),"",IF('Student DATA Entry'!M125="","",'Student DATA Entry'!M125))</f>
        <v/>
      </c>
      <c r="FI129" s="202" t="str">
        <f t="shared" si="330"/>
        <v/>
      </c>
      <c r="FJ129" s="189" t="str">
        <f t="shared" si="331"/>
        <v/>
      </c>
      <c r="FK129" s="189" t="str">
        <f t="shared" si="332"/>
        <v/>
      </c>
      <c r="FL129" s="203" t="str">
        <f t="shared" si="360"/>
        <v/>
      </c>
      <c r="FM129" s="189" t="str">
        <f t="shared" si="333"/>
        <v/>
      </c>
      <c r="FN129" s="204" t="str">
        <f t="shared" si="334"/>
        <v/>
      </c>
      <c r="FO129" s="203" t="str">
        <f t="shared" si="361"/>
        <v/>
      </c>
      <c r="FP129" s="205" t="str">
        <f t="shared" si="335"/>
        <v/>
      </c>
      <c r="FQ129" s="189" t="str">
        <f t="shared" si="362"/>
        <v/>
      </c>
      <c r="FR129" s="189" t="str">
        <f t="shared" si="363"/>
        <v/>
      </c>
      <c r="FS129" s="189" t="str">
        <f t="shared" si="364"/>
        <v/>
      </c>
      <c r="FT129" s="189" t="str">
        <f t="shared" si="365"/>
        <v/>
      </c>
      <c r="FU129" s="189" t="str">
        <f t="shared" si="336"/>
        <v/>
      </c>
      <c r="FV129" s="206" t="str">
        <f t="shared" si="366"/>
        <v/>
      </c>
      <c r="FW129" s="205" t="str">
        <f t="shared" si="337"/>
        <v/>
      </c>
      <c r="FX129" s="189" t="str">
        <f t="shared" si="367"/>
        <v/>
      </c>
      <c r="FY129" s="189" t="str">
        <f t="shared" si="368"/>
        <v/>
      </c>
      <c r="FZ129" s="189" t="str">
        <f t="shared" si="369"/>
        <v/>
      </c>
      <c r="GA129" s="189" t="str">
        <f t="shared" si="370"/>
        <v/>
      </c>
      <c r="GB129" s="189" t="str">
        <f t="shared" si="338"/>
        <v/>
      </c>
      <c r="GC129" s="206" t="str">
        <f t="shared" si="371"/>
        <v/>
      </c>
      <c r="GD129" s="205" t="str">
        <f t="shared" si="339"/>
        <v/>
      </c>
      <c r="GE129" s="189" t="str">
        <f t="shared" si="372"/>
        <v/>
      </c>
      <c r="GF129" s="189" t="str">
        <f t="shared" si="373"/>
        <v/>
      </c>
      <c r="GG129" s="189" t="str">
        <f t="shared" si="374"/>
        <v/>
      </c>
      <c r="GH129" s="189" t="str">
        <f t="shared" si="375"/>
        <v/>
      </c>
      <c r="GI129" s="189" t="str">
        <f t="shared" si="340"/>
        <v/>
      </c>
      <c r="GJ129" s="206" t="str">
        <f t="shared" si="376"/>
        <v/>
      </c>
      <c r="GK129" s="205" t="str">
        <f t="shared" si="341"/>
        <v/>
      </c>
      <c r="GL129" s="189" t="str">
        <f t="shared" si="377"/>
        <v/>
      </c>
      <c r="GM129" s="189" t="str">
        <f t="shared" si="378"/>
        <v/>
      </c>
      <c r="GN129" s="189" t="str">
        <f t="shared" si="379"/>
        <v/>
      </c>
      <c r="GO129" s="189" t="str">
        <f t="shared" si="380"/>
        <v/>
      </c>
      <c r="GP129" s="189" t="str">
        <f t="shared" si="342"/>
        <v/>
      </c>
      <c r="GQ129" s="206" t="str">
        <f t="shared" si="381"/>
        <v/>
      </c>
      <c r="GR129" s="189" t="str">
        <f t="shared" si="343"/>
        <v/>
      </c>
      <c r="GS129" s="189" t="str">
        <f t="shared" si="344"/>
        <v/>
      </c>
      <c r="GT129" s="207" t="str">
        <f t="shared" si="345"/>
        <v xml:space="preserve">    </v>
      </c>
      <c r="GU129" s="207" t="str">
        <f t="shared" si="346"/>
        <v xml:space="preserve">    </v>
      </c>
      <c r="GV129" s="207" t="str">
        <f t="shared" si="347"/>
        <v xml:space="preserve">    </v>
      </c>
      <c r="GW129" s="207" t="str">
        <f t="shared" si="348"/>
        <v xml:space="preserve">       </v>
      </c>
      <c r="GX129" s="598" t="str">
        <f t="shared" si="349"/>
        <v xml:space="preserve">     </v>
      </c>
      <c r="GY129" s="208" t="str">
        <f t="shared" si="382"/>
        <v/>
      </c>
      <c r="GZ129" s="606" t="str">
        <f>IF(AND(Q129="",AE129="",AZ129="",BW129="",CT129=""),"",IF(AND('Master Sheet'!$D$19="YES",'Marks Entry'!$BA$1=1),SUM(Q129,AE129,AZ129,BW129,DT129),SUM(Q129,AE129,AZ129,BW129,CT129)))</f>
        <v/>
      </c>
      <c r="HA129" s="209" t="str">
        <f>IF(GZ129="","",IF(AND('Master Sheet'!$D$19="YES",'Marks Entry'!$BA$1=1),GZ129/((900)-DC129)*100,GZ129/((1000)-DC129)*100))</f>
        <v/>
      </c>
      <c r="HB129" s="611" t="str">
        <f t="shared" si="350"/>
        <v/>
      </c>
      <c r="HC129" s="609" t="str">
        <f t="shared" si="351"/>
        <v/>
      </c>
      <c r="HD129" s="610" t="str">
        <f t="shared" si="352"/>
        <v/>
      </c>
      <c r="HE129" s="210" t="str">
        <f>IFERROR(IF(OR(GY129="SUPPLEMENTARY",GY129="RE-EXAM"),'Supp. Result Entry'!AS128,""),"")</f>
        <v/>
      </c>
      <c r="HF129" s="613" t="str">
        <f t="shared" si="353"/>
        <v/>
      </c>
      <c r="HG129" s="598" t="str">
        <f t="shared" si="354"/>
        <v/>
      </c>
      <c r="HH129" s="598" t="str">
        <f>IF(AND(HE129="",HF129="",HG129=""),"",IF(OR(GY129="SUPPLEMENTARY",GY129="RE-EXAM"),'Supp. Result Entry'!AS128,GY129))</f>
        <v/>
      </c>
      <c r="HI129" s="180"/>
      <c r="HY129" s="212" t="str">
        <f>IF('Supp. Result Entry'!U128="","",'Supp. Result Entry'!$U$6)</f>
        <v/>
      </c>
      <c r="HZ129" s="213" t="str">
        <f>IF('Supp. Result Entry'!X128="","",'Supp. Result Entry'!$X$6)</f>
        <v/>
      </c>
      <c r="IA129" s="213" t="str">
        <f>IF('Supp. Result Entry'!AA128="","",'Supp. Result Entry'!$AA$6)</f>
        <v/>
      </c>
      <c r="IB129" s="213" t="str">
        <f>IF('Supp. Result Entry'!AD128="","",'Supp. Result Entry'!$AD$6)</f>
        <v/>
      </c>
      <c r="IC129" s="213" t="str">
        <f>IF('Supp. Result Entry'!AG128="","",'Supp. Result Entry'!$AG$6)</f>
        <v/>
      </c>
      <c r="ID129" s="213" t="str">
        <f>IF('Supp. Result Entry'!AJ128="","",'Supp. Result Entry'!$AJ$6)</f>
        <v/>
      </c>
      <c r="IE129" s="213" t="str">
        <f>IF('Supp. Result Entry'!V128="","",'Supp. Result Entry'!V128)</f>
        <v/>
      </c>
      <c r="IF129" s="213" t="str">
        <f>IF('Supp. Result Entry'!Y128="","",'Supp. Result Entry'!Y128)</f>
        <v/>
      </c>
      <c r="IG129" s="213" t="str">
        <f>IF('Supp. Result Entry'!AB128="","",'Supp. Result Entry'!AB128)</f>
        <v/>
      </c>
      <c r="IH129" s="213" t="str">
        <f>IF('Supp. Result Entry'!AE128="","",'Supp. Result Entry'!AE128)</f>
        <v/>
      </c>
      <c r="II129" s="213" t="str">
        <f>IF('Supp. Result Entry'!AH128="","",'Supp. Result Entry'!AH128)</f>
        <v/>
      </c>
      <c r="IJ129" s="213" t="str">
        <f>IF('Supp. Result Entry'!AK128="","",'Supp. Result Entry'!AK128)</f>
        <v/>
      </c>
      <c r="IK129" s="213" t="str">
        <f>IF('Supp. Result Entry'!W128="","",'Supp. Result Entry'!W128)</f>
        <v/>
      </c>
      <c r="IL129" s="213" t="str">
        <f>IF('Supp. Result Entry'!Z128="","",'Supp. Result Entry'!Z128)</f>
        <v/>
      </c>
      <c r="IM129" s="213" t="str">
        <f>IF('Supp. Result Entry'!AC128="","",'Supp. Result Entry'!AC128)</f>
        <v/>
      </c>
      <c r="IN129" s="213" t="str">
        <f>IF('Supp. Result Entry'!AF128="","",'Supp. Result Entry'!AF128)</f>
        <v/>
      </c>
      <c r="IO129" s="213" t="str">
        <f>IF('Supp. Result Entry'!AI128="","",'Supp. Result Entry'!AI128)</f>
        <v/>
      </c>
      <c r="IP129" s="213" t="str">
        <f>IF('Supp. Result Entry'!AL128="","",'Supp. Result Entry'!AL128)</f>
        <v/>
      </c>
      <c r="IQ129" s="213">
        <f>COUNTIF('Supp. Result Entry'!K128:Q128,"S")</f>
        <v>0</v>
      </c>
      <c r="IR129" s="213">
        <f t="shared" si="355"/>
        <v>0</v>
      </c>
      <c r="IS129" s="213">
        <f t="shared" si="356"/>
        <v>0</v>
      </c>
      <c r="IT129" s="213" t="str">
        <f t="shared" si="224"/>
        <v/>
      </c>
      <c r="IU129" s="213" t="str">
        <f t="shared" si="225"/>
        <v/>
      </c>
      <c r="IV129" s="213" t="str">
        <f t="shared" si="226"/>
        <v/>
      </c>
      <c r="IW129" s="213" t="str">
        <f t="shared" si="227"/>
        <v/>
      </c>
      <c r="IX129" s="213" t="str">
        <f t="shared" si="228"/>
        <v/>
      </c>
      <c r="IY129" s="213" t="str">
        <f t="shared" si="357"/>
        <v/>
      </c>
      <c r="IZ129" s="213" t="str">
        <f t="shared" si="358"/>
        <v/>
      </c>
      <c r="JA129" s="213" t="str">
        <f t="shared" si="229"/>
        <v/>
      </c>
      <c r="JB129" s="211" t="str">
        <f t="shared" si="359"/>
        <v/>
      </c>
    </row>
    <row r="130" spans="1:262" s="211" customFormat="1" ht="21" customHeight="1">
      <c r="A130" s="184">
        <v>123</v>
      </c>
      <c r="B130" s="185" t="str">
        <f>IF('Marks Entry'!B130="","",'Marks Entry'!B130)</f>
        <v/>
      </c>
      <c r="C130" s="186" t="str">
        <f>IF('Marks Entry'!D130="","",'Marks Entry'!D130)</f>
        <v/>
      </c>
      <c r="D130" s="187" t="str">
        <f>IF('Marks Entry'!E130="","",'Marks Entry'!E130)</f>
        <v/>
      </c>
      <c r="E130" s="188" t="str">
        <f>IF('Marks Entry'!F130="","",'Marks Entry'!F130)</f>
        <v/>
      </c>
      <c r="F130" s="188" t="str">
        <f>IF('Marks Entry'!G130="","",'Marks Entry'!G130)</f>
        <v/>
      </c>
      <c r="G130" s="188" t="str">
        <f>IF('Marks Entry'!H130="","",'Marks Entry'!H130)</f>
        <v/>
      </c>
      <c r="H130" s="189" t="str">
        <f>IF('Marks Entry'!I130="","",'Marks Entry'!I130)</f>
        <v/>
      </c>
      <c r="I130" s="190" t="str">
        <f>IF('Marks Entry'!J130="","",'Marks Entry'!J130)</f>
        <v/>
      </c>
      <c r="J130" s="545" t="str">
        <f>IF('Marks Entry'!K130="","",'Marks Entry'!K130)</f>
        <v/>
      </c>
      <c r="K130" s="545" t="str">
        <f>IF('Marks Entry'!L130="","",'Marks Entry'!L130)</f>
        <v/>
      </c>
      <c r="L130" s="545" t="str">
        <f>IF('Marks Entry'!M130="","",'Marks Entry'!M130)</f>
        <v/>
      </c>
      <c r="M130" s="546" t="str">
        <f t="shared" si="230"/>
        <v/>
      </c>
      <c r="N130" s="545" t="str">
        <f>IF('Marks Entry'!N130="","",'Marks Entry'!N130)</f>
        <v/>
      </c>
      <c r="O130" s="546" t="str">
        <f t="shared" si="231"/>
        <v/>
      </c>
      <c r="P130" s="545" t="str">
        <f>IF('Marks Entry'!O130="","",'Marks Entry'!O130)</f>
        <v/>
      </c>
      <c r="Q130" s="547" t="str">
        <f t="shared" si="232"/>
        <v/>
      </c>
      <c r="R130" s="153">
        <f t="shared" si="233"/>
        <v>0</v>
      </c>
      <c r="S130" s="153">
        <f t="shared" si="234"/>
        <v>0</v>
      </c>
      <c r="T130" s="154" t="str">
        <f t="shared" si="235"/>
        <v/>
      </c>
      <c r="U130" s="153" t="str">
        <f t="shared" si="236"/>
        <v/>
      </c>
      <c r="V130" s="153" t="str">
        <f t="shared" si="237"/>
        <v/>
      </c>
      <c r="W130" s="153" t="str">
        <f t="shared" si="238"/>
        <v/>
      </c>
      <c r="X130" s="545" t="str">
        <f>IF('Marks Entry'!P130="","",'Marks Entry'!P130)</f>
        <v/>
      </c>
      <c r="Y130" s="545" t="str">
        <f>IF('Marks Entry'!Q130="","",'Marks Entry'!Q130)</f>
        <v/>
      </c>
      <c r="Z130" s="545" t="str">
        <f>IF('Marks Entry'!R130="","",'Marks Entry'!R130)</f>
        <v/>
      </c>
      <c r="AA130" s="546" t="str">
        <f t="shared" si="239"/>
        <v/>
      </c>
      <c r="AB130" s="545" t="str">
        <f>IF('Marks Entry'!S130="","",'Marks Entry'!S130)</f>
        <v/>
      </c>
      <c r="AC130" s="546" t="str">
        <f t="shared" si="240"/>
        <v/>
      </c>
      <c r="AD130" s="545" t="str">
        <f>IF('Marks Entry'!T130="","",'Marks Entry'!T130)</f>
        <v/>
      </c>
      <c r="AE130" s="547" t="str">
        <f t="shared" si="241"/>
        <v/>
      </c>
      <c r="AF130" s="153">
        <f t="shared" si="242"/>
        <v>0</v>
      </c>
      <c r="AG130" s="153">
        <f t="shared" si="243"/>
        <v>0</v>
      </c>
      <c r="AH130" s="154" t="str">
        <f t="shared" si="244"/>
        <v/>
      </c>
      <c r="AI130" s="153" t="str">
        <f t="shared" si="245"/>
        <v/>
      </c>
      <c r="AJ130" s="153" t="str">
        <f t="shared" si="246"/>
        <v/>
      </c>
      <c r="AK130" s="153" t="str">
        <f t="shared" si="247"/>
        <v/>
      </c>
      <c r="AL130" s="573" t="str">
        <f>IF('Marks Entry'!U130="","",'Marks Entry'!U130)</f>
        <v/>
      </c>
      <c r="AM130" s="573" t="str">
        <f>IF('Marks Entry'!V130="","",'Marks Entry'!V130)</f>
        <v/>
      </c>
      <c r="AN130" s="573" t="str">
        <f>IF('Marks Entry'!W130="","",'Marks Entry'!W130)</f>
        <v/>
      </c>
      <c r="AO130" s="573" t="str">
        <f>IF('Marks Entry'!X130="","",'Marks Entry'!X130)</f>
        <v/>
      </c>
      <c r="AP130" s="572" t="str">
        <f t="shared" si="248"/>
        <v/>
      </c>
      <c r="AQ130" s="573" t="str">
        <f>IF('Marks Entry'!Y130="","",'Marks Entry'!Y130)</f>
        <v/>
      </c>
      <c r="AR130" s="573" t="str">
        <f>IF('Marks Entry'!Z130="","",'Marks Entry'!Z130)</f>
        <v/>
      </c>
      <c r="AS130" s="572" t="str">
        <f t="shared" si="249"/>
        <v/>
      </c>
      <c r="AT130" s="572" t="str">
        <f t="shared" si="250"/>
        <v/>
      </c>
      <c r="AU130" s="573" t="str">
        <f>IF('Marks Entry'!AA130="","",'Marks Entry'!AA130)</f>
        <v/>
      </c>
      <c r="AV130" s="573" t="str">
        <f>IF('Marks Entry'!AB130="","",'Marks Entry'!AB130)</f>
        <v/>
      </c>
      <c r="AW130" s="572" t="str">
        <f t="shared" si="251"/>
        <v/>
      </c>
      <c r="AX130" s="157" t="str">
        <f t="shared" si="252"/>
        <v/>
      </c>
      <c r="AY130" s="157" t="str">
        <f t="shared" si="253"/>
        <v/>
      </c>
      <c r="AZ130" s="192" t="str">
        <f t="shared" si="254"/>
        <v/>
      </c>
      <c r="BA130" s="153">
        <f t="shared" si="255"/>
        <v>0</v>
      </c>
      <c r="BB130" s="154">
        <f t="shared" si="256"/>
        <v>0</v>
      </c>
      <c r="BC130" s="154" t="str">
        <f t="shared" si="257"/>
        <v/>
      </c>
      <c r="BD130" s="154" t="str">
        <f t="shared" si="258"/>
        <v/>
      </c>
      <c r="BE130" s="154" t="str">
        <f t="shared" si="259"/>
        <v/>
      </c>
      <c r="BF130" s="153" t="str">
        <f t="shared" si="260"/>
        <v/>
      </c>
      <c r="BG130" s="154" t="str">
        <f t="shared" si="261"/>
        <v/>
      </c>
      <c r="BH130" s="153" t="str">
        <f t="shared" si="262"/>
        <v/>
      </c>
      <c r="BI130" s="580" t="str">
        <f>IF('Marks Entry'!AC130="","",'Marks Entry'!AC130)</f>
        <v/>
      </c>
      <c r="BJ130" s="580" t="str">
        <f>IF('Marks Entry'!AD130="","",'Marks Entry'!AD130)</f>
        <v/>
      </c>
      <c r="BK130" s="580" t="str">
        <f>IF('Marks Entry'!AE130="","",'Marks Entry'!AE130)</f>
        <v/>
      </c>
      <c r="BL130" s="580" t="str">
        <f>IF('Marks Entry'!AF130="","",'Marks Entry'!AF130)</f>
        <v/>
      </c>
      <c r="BM130" s="581" t="str">
        <f t="shared" si="263"/>
        <v/>
      </c>
      <c r="BN130" s="580" t="str">
        <f>IF('Marks Entry'!AG130="","",'Marks Entry'!AG130)</f>
        <v/>
      </c>
      <c r="BO130" s="580" t="str">
        <f>IF('Marks Entry'!AH130="","",'Marks Entry'!AH130)</f>
        <v/>
      </c>
      <c r="BP130" s="581" t="str">
        <f t="shared" si="264"/>
        <v/>
      </c>
      <c r="BQ130" s="581" t="str">
        <f t="shared" si="265"/>
        <v/>
      </c>
      <c r="BR130" s="580" t="str">
        <f>IF('Marks Entry'!AI130="","",'Marks Entry'!AI130)</f>
        <v/>
      </c>
      <c r="BS130" s="580" t="str">
        <f>IF('Marks Entry'!AJ130="","",'Marks Entry'!AJ130)</f>
        <v/>
      </c>
      <c r="BT130" s="581" t="str">
        <f t="shared" si="266"/>
        <v/>
      </c>
      <c r="BU130" s="157" t="str">
        <f t="shared" si="267"/>
        <v/>
      </c>
      <c r="BV130" s="157" t="str">
        <f t="shared" si="268"/>
        <v/>
      </c>
      <c r="BW130" s="192" t="str">
        <f t="shared" si="269"/>
        <v/>
      </c>
      <c r="BX130" s="153">
        <f t="shared" si="270"/>
        <v>0</v>
      </c>
      <c r="BY130" s="154">
        <f t="shared" si="271"/>
        <v>0</v>
      </c>
      <c r="BZ130" s="154" t="str">
        <f t="shared" si="272"/>
        <v/>
      </c>
      <c r="CA130" s="154" t="str">
        <f t="shared" si="273"/>
        <v/>
      </c>
      <c r="CB130" s="154" t="str">
        <f t="shared" si="274"/>
        <v/>
      </c>
      <c r="CC130" s="153" t="str">
        <f t="shared" si="275"/>
        <v/>
      </c>
      <c r="CD130" s="154" t="str">
        <f t="shared" si="276"/>
        <v/>
      </c>
      <c r="CE130" s="153" t="str">
        <f t="shared" si="277"/>
        <v/>
      </c>
      <c r="CF130" s="580" t="str">
        <f>IF('Marks Entry'!AK130="","",'Marks Entry'!AK130)</f>
        <v/>
      </c>
      <c r="CG130" s="580" t="str">
        <f>IF('Marks Entry'!AL130="","",'Marks Entry'!AL130)</f>
        <v/>
      </c>
      <c r="CH130" s="580" t="str">
        <f>IF('Marks Entry'!AM130="","",'Marks Entry'!AM130)</f>
        <v/>
      </c>
      <c r="CI130" s="580" t="str">
        <f>IF('Marks Entry'!AN130="","",'Marks Entry'!AN130)</f>
        <v/>
      </c>
      <c r="CJ130" s="581" t="str">
        <f t="shared" si="278"/>
        <v/>
      </c>
      <c r="CK130" s="580" t="str">
        <f>IF('Marks Entry'!AO130="","",'Marks Entry'!AO130)</f>
        <v/>
      </c>
      <c r="CL130" s="580" t="str">
        <f>IF('Marks Entry'!AP130="","",'Marks Entry'!AP130)</f>
        <v/>
      </c>
      <c r="CM130" s="581" t="str">
        <f t="shared" si="279"/>
        <v/>
      </c>
      <c r="CN130" s="581" t="str">
        <f t="shared" si="280"/>
        <v/>
      </c>
      <c r="CO130" s="580" t="str">
        <f>IF('Marks Entry'!AQ130="","",'Marks Entry'!AQ130)</f>
        <v/>
      </c>
      <c r="CP130" s="580" t="str">
        <f>IF('Marks Entry'!AR130="","",'Marks Entry'!AR130)</f>
        <v/>
      </c>
      <c r="CQ130" s="581" t="str">
        <f t="shared" si="281"/>
        <v/>
      </c>
      <c r="CR130" s="157" t="str">
        <f t="shared" si="282"/>
        <v/>
      </c>
      <c r="CS130" s="157" t="str">
        <f t="shared" si="283"/>
        <v/>
      </c>
      <c r="CT130" s="192" t="str">
        <f t="shared" si="284"/>
        <v/>
      </c>
      <c r="CU130" s="153">
        <f t="shared" si="285"/>
        <v>0</v>
      </c>
      <c r="CV130" s="154">
        <f t="shared" si="286"/>
        <v>0</v>
      </c>
      <c r="CW130" s="154" t="str">
        <f t="shared" si="287"/>
        <v/>
      </c>
      <c r="CX130" s="154" t="str">
        <f t="shared" si="288"/>
        <v/>
      </c>
      <c r="CY130" s="154" t="str">
        <f t="shared" si="289"/>
        <v/>
      </c>
      <c r="CZ130" s="153" t="str">
        <f t="shared" si="290"/>
        <v/>
      </c>
      <c r="DA130" s="154" t="str">
        <f t="shared" si="291"/>
        <v/>
      </c>
      <c r="DB130" s="153" t="str">
        <f t="shared" si="292"/>
        <v/>
      </c>
      <c r="DC130" s="154">
        <f t="shared" si="293"/>
        <v>0</v>
      </c>
      <c r="DD130" s="826" t="str">
        <f>IF('Marks Entry'!AS130="","",IF(OR('Master Sheet'!$D$19="YES",'Marks Entry'!$BA$1=1),'Marks Entry'!AS130,""))</f>
        <v/>
      </c>
      <c r="DE130" s="826" t="str">
        <f>IF('Marks Entry'!AT130="","",IF(OR('Master Sheet'!$D$19="YES",'Marks Entry'!$BA$1=1),'Marks Entry'!AT130,""))</f>
        <v/>
      </c>
      <c r="DF130" s="826" t="str">
        <f>IF('Marks Entry'!AU130="","",IF(OR('Master Sheet'!$D$19="YES",'Marks Entry'!$BA$1=1),'Marks Entry'!AU130,""))</f>
        <v/>
      </c>
      <c r="DG130" s="826" t="str">
        <f>IF('Marks Entry'!AV130="","",IF(OR('Master Sheet'!$D$19="YES",'Marks Entry'!$BA$1=1),'Marks Entry'!AV130,""))</f>
        <v/>
      </c>
      <c r="DH130" s="827" t="str">
        <f t="shared" si="294"/>
        <v/>
      </c>
      <c r="DI130" s="826" t="str">
        <f>IF('Marks Entry'!AW130="","",IF(OR('Master Sheet'!$D$19="YES",'Marks Entry'!$BA$1=1),'Marks Entry'!AW130,""))</f>
        <v/>
      </c>
      <c r="DJ130" s="826" t="str">
        <f>IF('Marks Entry'!AX130="","",IF(OR('Master Sheet'!$D$19="YES",'Marks Entry'!$BA$1=1),'Marks Entry'!AX130,""))</f>
        <v/>
      </c>
      <c r="DK130" s="827" t="str">
        <f t="shared" si="295"/>
        <v/>
      </c>
      <c r="DL130" s="827" t="str">
        <f t="shared" si="296"/>
        <v/>
      </c>
      <c r="DM130" s="826" t="str">
        <f>IF('Marks Entry'!AY130="","",IF(OR('Master Sheet'!$D$19="YES",'Marks Entry'!$BA$1=1),'Marks Entry'!AY130,""))</f>
        <v/>
      </c>
      <c r="DN130" s="826" t="str">
        <f>IF('Marks Entry'!AZ130="","",IF(OR('Master Sheet'!$D$19="YES",'Marks Entry'!$BA$1=1),'Marks Entry'!AZ130,""))</f>
        <v/>
      </c>
      <c r="DO130" s="826" t="str">
        <f>IF('Marks Entry'!BA130="","",IF(OR('Master Sheet'!$D$19="YES",'Marks Entry'!$BA$1=1),'Marks Entry'!BA130,""))</f>
        <v/>
      </c>
      <c r="DP130" s="827" t="str">
        <f t="shared" si="297"/>
        <v/>
      </c>
      <c r="DQ130" s="157" t="str">
        <f t="shared" si="298"/>
        <v/>
      </c>
      <c r="DR130" s="157" t="str">
        <f t="shared" si="299"/>
        <v/>
      </c>
      <c r="DS130" s="157" t="str">
        <f t="shared" si="300"/>
        <v/>
      </c>
      <c r="DT130" s="192" t="str">
        <f t="shared" si="301"/>
        <v/>
      </c>
      <c r="DU130" s="153">
        <f t="shared" si="302"/>
        <v>0</v>
      </c>
      <c r="DV130" s="154" t="e">
        <f t="shared" si="303"/>
        <v>#VALUE!</v>
      </c>
      <c r="DW130" s="154" t="str">
        <f t="shared" si="304"/>
        <v/>
      </c>
      <c r="DX130" s="154" t="str">
        <f>IF(OR($B130="NSO",$B130=0,DS130=""),"",IF(AND(DJ130="",DO130=""),"",IF('Master Sheet'!$D$19="YES",$DO$6-COUNTIF(DO130,"ML")*DO$6,DS$6-(COUNTIF(DJ130,"ML")*DJ$6)-(COUNTIF(DO130,"ML")*DO$6))))</f>
        <v/>
      </c>
      <c r="DY130" s="154" t="str">
        <f>IF(OR($B130="NSO",$B130=0),"",IF(AND(DH130="",DI130="",DM130=""),"",IF(AND('Master Sheet'!$D$19="YES",'Marks Entry'!$BA$1=1),100,IF(AND(DJ130="",DO130=""),SUM(($DQ$7+$DR$7)-(DU130+DV130)),SUM(($DQ$6+$DR$6)-(DU130+DV130))))))</f>
        <v/>
      </c>
      <c r="DZ130" s="153" t="str">
        <f t="shared" si="305"/>
        <v/>
      </c>
      <c r="EA130" s="154" t="str">
        <f t="shared" si="306"/>
        <v/>
      </c>
      <c r="EB130" s="153" t="str">
        <f t="shared" si="307"/>
        <v/>
      </c>
      <c r="EC130" s="584" t="str">
        <f>IF('Marks Entry'!BB130="","",'Marks Entry'!BB130)</f>
        <v/>
      </c>
      <c r="ED130" s="584" t="str">
        <f>IF('Marks Entry'!BC130="","",'Marks Entry'!BC130)</f>
        <v/>
      </c>
      <c r="EE130" s="584" t="str">
        <f>IF('Marks Entry'!BD130="","",'Marks Entry'!BD130)</f>
        <v/>
      </c>
      <c r="EF130" s="590" t="str">
        <f t="shared" si="308"/>
        <v/>
      </c>
      <c r="EG130" s="595">
        <f t="shared" si="309"/>
        <v>0</v>
      </c>
      <c r="EH130" s="595">
        <f t="shared" si="310"/>
        <v>0</v>
      </c>
      <c r="EI130" s="193" t="str">
        <f t="shared" si="311"/>
        <v/>
      </c>
      <c r="EJ130" s="595" t="str">
        <f t="shared" si="312"/>
        <v/>
      </c>
      <c r="EK130" s="595" t="str">
        <f t="shared" si="313"/>
        <v/>
      </c>
      <c r="EL130" s="194" t="str">
        <f t="shared" si="314"/>
        <v/>
      </c>
      <c r="EM130" s="194" t="str">
        <f t="shared" si="315"/>
        <v/>
      </c>
      <c r="EN130" s="194" t="str">
        <f t="shared" si="316"/>
        <v/>
      </c>
      <c r="EO130" s="194" t="str">
        <f t="shared" si="317"/>
        <v/>
      </c>
      <c r="EP130" s="194" t="str">
        <f t="shared" si="318"/>
        <v/>
      </c>
      <c r="EQ130" s="194" t="str">
        <f t="shared" si="319"/>
        <v/>
      </c>
      <c r="ER130" s="195">
        <f t="shared" si="320"/>
        <v>0</v>
      </c>
      <c r="ES130" s="195">
        <f t="shared" si="321"/>
        <v>0</v>
      </c>
      <c r="ET130" s="195">
        <f t="shared" si="322"/>
        <v>0</v>
      </c>
      <c r="EU130" s="195">
        <f t="shared" si="323"/>
        <v>0</v>
      </c>
      <c r="EV130" s="195">
        <f t="shared" si="324"/>
        <v>0</v>
      </c>
      <c r="EW130" s="195" t="str">
        <f t="shared" si="325"/>
        <v/>
      </c>
      <c r="EX130" s="196" t="str">
        <f t="shared" si="326"/>
        <v/>
      </c>
      <c r="EY130" s="197" t="str">
        <f>IF('Marks Entry'!BE130="","",'Marks Entry'!BE130)</f>
        <v/>
      </c>
      <c r="EZ130" s="197" t="str">
        <f>IF('Marks Entry'!BF130="","",'Marks Entry'!BF130)</f>
        <v/>
      </c>
      <c r="FA130" s="197" t="str">
        <f>IF('Marks Entry'!BG130="","",'Marks Entry'!BG130)</f>
        <v/>
      </c>
      <c r="FB130" s="596" t="str">
        <f t="shared" si="327"/>
        <v/>
      </c>
      <c r="FC130" s="197" t="str">
        <f>IF('Marks Entry'!BH130="","",'Marks Entry'!BH130)</f>
        <v/>
      </c>
      <c r="FD130" s="197" t="str">
        <f>IF('Marks Entry'!BI130="","",'Marks Entry'!BI130)</f>
        <v/>
      </c>
      <c r="FE130" s="198" t="str">
        <f t="shared" si="328"/>
        <v/>
      </c>
      <c r="FF130" s="199" t="str">
        <f t="shared" si="329"/>
        <v/>
      </c>
      <c r="FG130" s="200" t="str">
        <f>IF(AND(E130=""),"",IF('Student DATA Entry'!L126="","",'Student DATA Entry'!L126))</f>
        <v/>
      </c>
      <c r="FH130" s="201" t="str">
        <f>IF(AND(E130=""),"",IF('Student DATA Entry'!M126="","",'Student DATA Entry'!M126))</f>
        <v/>
      </c>
      <c r="FI130" s="202" t="str">
        <f t="shared" si="330"/>
        <v/>
      </c>
      <c r="FJ130" s="189" t="str">
        <f t="shared" si="331"/>
        <v/>
      </c>
      <c r="FK130" s="189" t="str">
        <f t="shared" si="332"/>
        <v/>
      </c>
      <c r="FL130" s="203" t="str">
        <f t="shared" si="360"/>
        <v/>
      </c>
      <c r="FM130" s="189" t="str">
        <f t="shared" si="333"/>
        <v/>
      </c>
      <c r="FN130" s="204" t="str">
        <f t="shared" si="334"/>
        <v/>
      </c>
      <c r="FO130" s="203" t="str">
        <f t="shared" si="361"/>
        <v/>
      </c>
      <c r="FP130" s="205" t="str">
        <f t="shared" si="335"/>
        <v/>
      </c>
      <c r="FQ130" s="189" t="str">
        <f t="shared" si="362"/>
        <v/>
      </c>
      <c r="FR130" s="189" t="str">
        <f t="shared" si="363"/>
        <v/>
      </c>
      <c r="FS130" s="189" t="str">
        <f t="shared" si="364"/>
        <v/>
      </c>
      <c r="FT130" s="189" t="str">
        <f t="shared" si="365"/>
        <v/>
      </c>
      <c r="FU130" s="189" t="str">
        <f t="shared" si="336"/>
        <v/>
      </c>
      <c r="FV130" s="206" t="str">
        <f t="shared" si="366"/>
        <v/>
      </c>
      <c r="FW130" s="205" t="str">
        <f t="shared" si="337"/>
        <v/>
      </c>
      <c r="FX130" s="189" t="str">
        <f t="shared" si="367"/>
        <v/>
      </c>
      <c r="FY130" s="189" t="str">
        <f t="shared" si="368"/>
        <v/>
      </c>
      <c r="FZ130" s="189" t="str">
        <f t="shared" si="369"/>
        <v/>
      </c>
      <c r="GA130" s="189" t="str">
        <f t="shared" si="370"/>
        <v/>
      </c>
      <c r="GB130" s="189" t="str">
        <f t="shared" si="338"/>
        <v/>
      </c>
      <c r="GC130" s="206" t="str">
        <f t="shared" si="371"/>
        <v/>
      </c>
      <c r="GD130" s="205" t="str">
        <f t="shared" si="339"/>
        <v/>
      </c>
      <c r="GE130" s="189" t="str">
        <f t="shared" si="372"/>
        <v/>
      </c>
      <c r="GF130" s="189" t="str">
        <f t="shared" si="373"/>
        <v/>
      </c>
      <c r="GG130" s="189" t="str">
        <f t="shared" si="374"/>
        <v/>
      </c>
      <c r="GH130" s="189" t="str">
        <f t="shared" si="375"/>
        <v/>
      </c>
      <c r="GI130" s="189" t="str">
        <f t="shared" si="340"/>
        <v/>
      </c>
      <c r="GJ130" s="206" t="str">
        <f t="shared" si="376"/>
        <v/>
      </c>
      <c r="GK130" s="205" t="str">
        <f t="shared" si="341"/>
        <v/>
      </c>
      <c r="GL130" s="189" t="str">
        <f t="shared" si="377"/>
        <v/>
      </c>
      <c r="GM130" s="189" t="str">
        <f t="shared" si="378"/>
        <v/>
      </c>
      <c r="GN130" s="189" t="str">
        <f t="shared" si="379"/>
        <v/>
      </c>
      <c r="GO130" s="189" t="str">
        <f t="shared" si="380"/>
        <v/>
      </c>
      <c r="GP130" s="189" t="str">
        <f t="shared" si="342"/>
        <v/>
      </c>
      <c r="GQ130" s="206" t="str">
        <f t="shared" si="381"/>
        <v/>
      </c>
      <c r="GR130" s="189" t="str">
        <f t="shared" si="343"/>
        <v/>
      </c>
      <c r="GS130" s="189" t="str">
        <f t="shared" si="344"/>
        <v/>
      </c>
      <c r="GT130" s="207" t="str">
        <f t="shared" si="345"/>
        <v xml:space="preserve">    </v>
      </c>
      <c r="GU130" s="207" t="str">
        <f t="shared" si="346"/>
        <v xml:space="preserve">    </v>
      </c>
      <c r="GV130" s="207" t="str">
        <f t="shared" si="347"/>
        <v xml:space="preserve">    </v>
      </c>
      <c r="GW130" s="207" t="str">
        <f t="shared" si="348"/>
        <v xml:space="preserve">       </v>
      </c>
      <c r="GX130" s="598" t="str">
        <f t="shared" si="349"/>
        <v xml:space="preserve">     </v>
      </c>
      <c r="GY130" s="208" t="str">
        <f t="shared" si="382"/>
        <v/>
      </c>
      <c r="GZ130" s="606" t="str">
        <f>IF(AND(Q130="",AE130="",AZ130="",BW130="",CT130=""),"",IF(AND('Master Sheet'!$D$19="YES",'Marks Entry'!$BA$1=1),SUM(Q130,AE130,AZ130,BW130,DT130),SUM(Q130,AE130,AZ130,BW130,CT130)))</f>
        <v/>
      </c>
      <c r="HA130" s="209" t="str">
        <f>IF(GZ130="","",IF(AND('Master Sheet'!$D$19="YES",'Marks Entry'!$BA$1=1),GZ130/((900)-DC130)*100,GZ130/((1000)-DC130)*100))</f>
        <v/>
      </c>
      <c r="HB130" s="611" t="str">
        <f t="shared" si="350"/>
        <v/>
      </c>
      <c r="HC130" s="609" t="str">
        <f t="shared" si="351"/>
        <v/>
      </c>
      <c r="HD130" s="610" t="str">
        <f t="shared" si="352"/>
        <v/>
      </c>
      <c r="HE130" s="210" t="str">
        <f>IFERROR(IF(OR(GY130="SUPPLEMENTARY",GY130="RE-EXAM"),'Supp. Result Entry'!AS129,""),"")</f>
        <v/>
      </c>
      <c r="HF130" s="613" t="str">
        <f t="shared" si="353"/>
        <v/>
      </c>
      <c r="HG130" s="598" t="str">
        <f t="shared" si="354"/>
        <v/>
      </c>
      <c r="HH130" s="598" t="str">
        <f>IF(AND(HE130="",HF130="",HG130=""),"",IF(OR(GY130="SUPPLEMENTARY",GY130="RE-EXAM"),'Supp. Result Entry'!AS129,GY130))</f>
        <v/>
      </c>
      <c r="HI130" s="180"/>
      <c r="HY130" s="212" t="str">
        <f>IF('Supp. Result Entry'!U129="","",'Supp. Result Entry'!$U$6)</f>
        <v/>
      </c>
      <c r="HZ130" s="213" t="str">
        <f>IF('Supp. Result Entry'!X129="","",'Supp. Result Entry'!$X$6)</f>
        <v/>
      </c>
      <c r="IA130" s="213" t="str">
        <f>IF('Supp. Result Entry'!AA129="","",'Supp. Result Entry'!$AA$6)</f>
        <v/>
      </c>
      <c r="IB130" s="213" t="str">
        <f>IF('Supp. Result Entry'!AD129="","",'Supp. Result Entry'!$AD$6)</f>
        <v/>
      </c>
      <c r="IC130" s="213" t="str">
        <f>IF('Supp. Result Entry'!AG129="","",'Supp. Result Entry'!$AG$6)</f>
        <v/>
      </c>
      <c r="ID130" s="213" t="str">
        <f>IF('Supp. Result Entry'!AJ129="","",'Supp. Result Entry'!$AJ$6)</f>
        <v/>
      </c>
      <c r="IE130" s="213" t="str">
        <f>IF('Supp. Result Entry'!V129="","",'Supp. Result Entry'!V129)</f>
        <v/>
      </c>
      <c r="IF130" s="213" t="str">
        <f>IF('Supp. Result Entry'!Y129="","",'Supp. Result Entry'!Y129)</f>
        <v/>
      </c>
      <c r="IG130" s="213" t="str">
        <f>IF('Supp. Result Entry'!AB129="","",'Supp. Result Entry'!AB129)</f>
        <v/>
      </c>
      <c r="IH130" s="213" t="str">
        <f>IF('Supp. Result Entry'!AE129="","",'Supp. Result Entry'!AE129)</f>
        <v/>
      </c>
      <c r="II130" s="213" t="str">
        <f>IF('Supp. Result Entry'!AH129="","",'Supp. Result Entry'!AH129)</f>
        <v/>
      </c>
      <c r="IJ130" s="213" t="str">
        <f>IF('Supp. Result Entry'!AK129="","",'Supp. Result Entry'!AK129)</f>
        <v/>
      </c>
      <c r="IK130" s="213" t="str">
        <f>IF('Supp. Result Entry'!W129="","",'Supp. Result Entry'!W129)</f>
        <v/>
      </c>
      <c r="IL130" s="213" t="str">
        <f>IF('Supp. Result Entry'!Z129="","",'Supp. Result Entry'!Z129)</f>
        <v/>
      </c>
      <c r="IM130" s="213" t="str">
        <f>IF('Supp. Result Entry'!AC129="","",'Supp. Result Entry'!AC129)</f>
        <v/>
      </c>
      <c r="IN130" s="213" t="str">
        <f>IF('Supp. Result Entry'!AF129="","",'Supp. Result Entry'!AF129)</f>
        <v/>
      </c>
      <c r="IO130" s="213" t="str">
        <f>IF('Supp. Result Entry'!AI129="","",'Supp. Result Entry'!AI129)</f>
        <v/>
      </c>
      <c r="IP130" s="213" t="str">
        <f>IF('Supp. Result Entry'!AL129="","",'Supp. Result Entry'!AL129)</f>
        <v/>
      </c>
      <c r="IQ130" s="213">
        <f>COUNTIF('Supp. Result Entry'!K129:Q129,"S")</f>
        <v>0</v>
      </c>
      <c r="IR130" s="213">
        <f t="shared" si="355"/>
        <v>0</v>
      </c>
      <c r="IS130" s="213">
        <f t="shared" si="356"/>
        <v>0</v>
      </c>
      <c r="IT130" s="213" t="str">
        <f t="shared" si="224"/>
        <v/>
      </c>
      <c r="IU130" s="213" t="str">
        <f t="shared" si="225"/>
        <v/>
      </c>
      <c r="IV130" s="213" t="str">
        <f t="shared" si="226"/>
        <v/>
      </c>
      <c r="IW130" s="213" t="str">
        <f t="shared" si="227"/>
        <v/>
      </c>
      <c r="IX130" s="213" t="str">
        <f t="shared" si="228"/>
        <v/>
      </c>
      <c r="IY130" s="213" t="str">
        <f t="shared" si="357"/>
        <v/>
      </c>
      <c r="IZ130" s="213" t="str">
        <f t="shared" si="358"/>
        <v/>
      </c>
      <c r="JA130" s="213" t="str">
        <f t="shared" si="229"/>
        <v/>
      </c>
      <c r="JB130" s="211" t="str">
        <f t="shared" si="359"/>
        <v/>
      </c>
    </row>
    <row r="131" spans="1:262" s="211" customFormat="1" ht="21" customHeight="1">
      <c r="A131" s="184">
        <v>124</v>
      </c>
      <c r="B131" s="185" t="str">
        <f>IF('Marks Entry'!B131="","",'Marks Entry'!B131)</f>
        <v/>
      </c>
      <c r="C131" s="186" t="str">
        <f>IF('Marks Entry'!D131="","",'Marks Entry'!D131)</f>
        <v/>
      </c>
      <c r="D131" s="187" t="str">
        <f>IF('Marks Entry'!E131="","",'Marks Entry'!E131)</f>
        <v/>
      </c>
      <c r="E131" s="188" t="str">
        <f>IF('Marks Entry'!F131="","",'Marks Entry'!F131)</f>
        <v/>
      </c>
      <c r="F131" s="188" t="str">
        <f>IF('Marks Entry'!G131="","",'Marks Entry'!G131)</f>
        <v/>
      </c>
      <c r="G131" s="188" t="str">
        <f>IF('Marks Entry'!H131="","",'Marks Entry'!H131)</f>
        <v/>
      </c>
      <c r="H131" s="189" t="str">
        <f>IF('Marks Entry'!I131="","",'Marks Entry'!I131)</f>
        <v/>
      </c>
      <c r="I131" s="190" t="str">
        <f>IF('Marks Entry'!J131="","",'Marks Entry'!J131)</f>
        <v/>
      </c>
      <c r="J131" s="545" t="str">
        <f>IF('Marks Entry'!K131="","",'Marks Entry'!K131)</f>
        <v/>
      </c>
      <c r="K131" s="545" t="str">
        <f>IF('Marks Entry'!L131="","",'Marks Entry'!L131)</f>
        <v/>
      </c>
      <c r="L131" s="545" t="str">
        <f>IF('Marks Entry'!M131="","",'Marks Entry'!M131)</f>
        <v/>
      </c>
      <c r="M131" s="546" t="str">
        <f t="shared" si="230"/>
        <v/>
      </c>
      <c r="N131" s="545" t="str">
        <f>IF('Marks Entry'!N131="","",'Marks Entry'!N131)</f>
        <v/>
      </c>
      <c r="O131" s="546" t="str">
        <f t="shared" si="231"/>
        <v/>
      </c>
      <c r="P131" s="545" t="str">
        <f>IF('Marks Entry'!O131="","",'Marks Entry'!O131)</f>
        <v/>
      </c>
      <c r="Q131" s="547" t="str">
        <f t="shared" si="232"/>
        <v/>
      </c>
      <c r="R131" s="153">
        <f t="shared" si="233"/>
        <v>0</v>
      </c>
      <c r="S131" s="153">
        <f t="shared" si="234"/>
        <v>0</v>
      </c>
      <c r="T131" s="154" t="str">
        <f t="shared" si="235"/>
        <v/>
      </c>
      <c r="U131" s="153" t="str">
        <f t="shared" si="236"/>
        <v/>
      </c>
      <c r="V131" s="153" t="str">
        <f t="shared" si="237"/>
        <v/>
      </c>
      <c r="W131" s="153" t="str">
        <f t="shared" si="238"/>
        <v/>
      </c>
      <c r="X131" s="545" t="str">
        <f>IF('Marks Entry'!P131="","",'Marks Entry'!P131)</f>
        <v/>
      </c>
      <c r="Y131" s="545" t="str">
        <f>IF('Marks Entry'!Q131="","",'Marks Entry'!Q131)</f>
        <v/>
      </c>
      <c r="Z131" s="545" t="str">
        <f>IF('Marks Entry'!R131="","",'Marks Entry'!R131)</f>
        <v/>
      </c>
      <c r="AA131" s="546" t="str">
        <f t="shared" si="239"/>
        <v/>
      </c>
      <c r="AB131" s="545" t="str">
        <f>IF('Marks Entry'!S131="","",'Marks Entry'!S131)</f>
        <v/>
      </c>
      <c r="AC131" s="546" t="str">
        <f t="shared" si="240"/>
        <v/>
      </c>
      <c r="AD131" s="545" t="str">
        <f>IF('Marks Entry'!T131="","",'Marks Entry'!T131)</f>
        <v/>
      </c>
      <c r="AE131" s="547" t="str">
        <f t="shared" si="241"/>
        <v/>
      </c>
      <c r="AF131" s="153">
        <f t="shared" si="242"/>
        <v>0</v>
      </c>
      <c r="AG131" s="153">
        <f t="shared" si="243"/>
        <v>0</v>
      </c>
      <c r="AH131" s="154" t="str">
        <f t="shared" si="244"/>
        <v/>
      </c>
      <c r="AI131" s="153" t="str">
        <f t="shared" si="245"/>
        <v/>
      </c>
      <c r="AJ131" s="153" t="str">
        <f t="shared" si="246"/>
        <v/>
      </c>
      <c r="AK131" s="153" t="str">
        <f t="shared" si="247"/>
        <v/>
      </c>
      <c r="AL131" s="573" t="str">
        <f>IF('Marks Entry'!U131="","",'Marks Entry'!U131)</f>
        <v/>
      </c>
      <c r="AM131" s="573" t="str">
        <f>IF('Marks Entry'!V131="","",'Marks Entry'!V131)</f>
        <v/>
      </c>
      <c r="AN131" s="573" t="str">
        <f>IF('Marks Entry'!W131="","",'Marks Entry'!W131)</f>
        <v/>
      </c>
      <c r="AO131" s="573" t="str">
        <f>IF('Marks Entry'!X131="","",'Marks Entry'!X131)</f>
        <v/>
      </c>
      <c r="AP131" s="572" t="str">
        <f t="shared" si="248"/>
        <v/>
      </c>
      <c r="AQ131" s="573" t="str">
        <f>IF('Marks Entry'!Y131="","",'Marks Entry'!Y131)</f>
        <v/>
      </c>
      <c r="AR131" s="573" t="str">
        <f>IF('Marks Entry'!Z131="","",'Marks Entry'!Z131)</f>
        <v/>
      </c>
      <c r="AS131" s="572" t="str">
        <f t="shared" si="249"/>
        <v/>
      </c>
      <c r="AT131" s="572" t="str">
        <f t="shared" si="250"/>
        <v/>
      </c>
      <c r="AU131" s="573" t="str">
        <f>IF('Marks Entry'!AA131="","",'Marks Entry'!AA131)</f>
        <v/>
      </c>
      <c r="AV131" s="573" t="str">
        <f>IF('Marks Entry'!AB131="","",'Marks Entry'!AB131)</f>
        <v/>
      </c>
      <c r="AW131" s="572" t="str">
        <f t="shared" si="251"/>
        <v/>
      </c>
      <c r="AX131" s="157" t="str">
        <f t="shared" si="252"/>
        <v/>
      </c>
      <c r="AY131" s="157" t="str">
        <f t="shared" si="253"/>
        <v/>
      </c>
      <c r="AZ131" s="192" t="str">
        <f t="shared" si="254"/>
        <v/>
      </c>
      <c r="BA131" s="153">
        <f t="shared" si="255"/>
        <v>0</v>
      </c>
      <c r="BB131" s="154">
        <f t="shared" si="256"/>
        <v>0</v>
      </c>
      <c r="BC131" s="154" t="str">
        <f t="shared" si="257"/>
        <v/>
      </c>
      <c r="BD131" s="154" t="str">
        <f t="shared" si="258"/>
        <v/>
      </c>
      <c r="BE131" s="154" t="str">
        <f t="shared" si="259"/>
        <v/>
      </c>
      <c r="BF131" s="153" t="str">
        <f t="shared" si="260"/>
        <v/>
      </c>
      <c r="BG131" s="154" t="str">
        <f t="shared" si="261"/>
        <v/>
      </c>
      <c r="BH131" s="153" t="str">
        <f t="shared" si="262"/>
        <v/>
      </c>
      <c r="BI131" s="580" t="str">
        <f>IF('Marks Entry'!AC131="","",'Marks Entry'!AC131)</f>
        <v/>
      </c>
      <c r="BJ131" s="580" t="str">
        <f>IF('Marks Entry'!AD131="","",'Marks Entry'!AD131)</f>
        <v/>
      </c>
      <c r="BK131" s="580" t="str">
        <f>IF('Marks Entry'!AE131="","",'Marks Entry'!AE131)</f>
        <v/>
      </c>
      <c r="BL131" s="580" t="str">
        <f>IF('Marks Entry'!AF131="","",'Marks Entry'!AF131)</f>
        <v/>
      </c>
      <c r="BM131" s="581" t="str">
        <f t="shared" si="263"/>
        <v/>
      </c>
      <c r="BN131" s="580" t="str">
        <f>IF('Marks Entry'!AG131="","",'Marks Entry'!AG131)</f>
        <v/>
      </c>
      <c r="BO131" s="580" t="str">
        <f>IF('Marks Entry'!AH131="","",'Marks Entry'!AH131)</f>
        <v/>
      </c>
      <c r="BP131" s="581" t="str">
        <f t="shared" si="264"/>
        <v/>
      </c>
      <c r="BQ131" s="581" t="str">
        <f t="shared" si="265"/>
        <v/>
      </c>
      <c r="BR131" s="580" t="str">
        <f>IF('Marks Entry'!AI131="","",'Marks Entry'!AI131)</f>
        <v/>
      </c>
      <c r="BS131" s="580" t="str">
        <f>IF('Marks Entry'!AJ131="","",'Marks Entry'!AJ131)</f>
        <v/>
      </c>
      <c r="BT131" s="581" t="str">
        <f t="shared" si="266"/>
        <v/>
      </c>
      <c r="BU131" s="157" t="str">
        <f t="shared" si="267"/>
        <v/>
      </c>
      <c r="BV131" s="157" t="str">
        <f t="shared" si="268"/>
        <v/>
      </c>
      <c r="BW131" s="192" t="str">
        <f t="shared" si="269"/>
        <v/>
      </c>
      <c r="BX131" s="153">
        <f t="shared" si="270"/>
        <v>0</v>
      </c>
      <c r="BY131" s="154">
        <f t="shared" si="271"/>
        <v>0</v>
      </c>
      <c r="BZ131" s="154" t="str">
        <f t="shared" si="272"/>
        <v/>
      </c>
      <c r="CA131" s="154" t="str">
        <f t="shared" si="273"/>
        <v/>
      </c>
      <c r="CB131" s="154" t="str">
        <f t="shared" si="274"/>
        <v/>
      </c>
      <c r="CC131" s="153" t="str">
        <f t="shared" si="275"/>
        <v/>
      </c>
      <c r="CD131" s="154" t="str">
        <f t="shared" si="276"/>
        <v/>
      </c>
      <c r="CE131" s="153" t="str">
        <f t="shared" si="277"/>
        <v/>
      </c>
      <c r="CF131" s="580" t="str">
        <f>IF('Marks Entry'!AK131="","",'Marks Entry'!AK131)</f>
        <v/>
      </c>
      <c r="CG131" s="580" t="str">
        <f>IF('Marks Entry'!AL131="","",'Marks Entry'!AL131)</f>
        <v/>
      </c>
      <c r="CH131" s="580" t="str">
        <f>IF('Marks Entry'!AM131="","",'Marks Entry'!AM131)</f>
        <v/>
      </c>
      <c r="CI131" s="580" t="str">
        <f>IF('Marks Entry'!AN131="","",'Marks Entry'!AN131)</f>
        <v/>
      </c>
      <c r="CJ131" s="581" t="str">
        <f t="shared" si="278"/>
        <v/>
      </c>
      <c r="CK131" s="580" t="str">
        <f>IF('Marks Entry'!AO131="","",'Marks Entry'!AO131)</f>
        <v/>
      </c>
      <c r="CL131" s="580" t="str">
        <f>IF('Marks Entry'!AP131="","",'Marks Entry'!AP131)</f>
        <v/>
      </c>
      <c r="CM131" s="581" t="str">
        <f t="shared" si="279"/>
        <v/>
      </c>
      <c r="CN131" s="581" t="str">
        <f t="shared" si="280"/>
        <v/>
      </c>
      <c r="CO131" s="580" t="str">
        <f>IF('Marks Entry'!AQ131="","",'Marks Entry'!AQ131)</f>
        <v/>
      </c>
      <c r="CP131" s="580" t="str">
        <f>IF('Marks Entry'!AR131="","",'Marks Entry'!AR131)</f>
        <v/>
      </c>
      <c r="CQ131" s="581" t="str">
        <f t="shared" si="281"/>
        <v/>
      </c>
      <c r="CR131" s="157" t="str">
        <f t="shared" si="282"/>
        <v/>
      </c>
      <c r="CS131" s="157" t="str">
        <f t="shared" si="283"/>
        <v/>
      </c>
      <c r="CT131" s="192" t="str">
        <f t="shared" si="284"/>
        <v/>
      </c>
      <c r="CU131" s="153">
        <f t="shared" si="285"/>
        <v>0</v>
      </c>
      <c r="CV131" s="154">
        <f t="shared" si="286"/>
        <v>0</v>
      </c>
      <c r="CW131" s="154" t="str">
        <f t="shared" si="287"/>
        <v/>
      </c>
      <c r="CX131" s="154" t="str">
        <f t="shared" si="288"/>
        <v/>
      </c>
      <c r="CY131" s="154" t="str">
        <f t="shared" si="289"/>
        <v/>
      </c>
      <c r="CZ131" s="153" t="str">
        <f t="shared" si="290"/>
        <v/>
      </c>
      <c r="DA131" s="154" t="str">
        <f t="shared" si="291"/>
        <v/>
      </c>
      <c r="DB131" s="153" t="str">
        <f t="shared" si="292"/>
        <v/>
      </c>
      <c r="DC131" s="154">
        <f t="shared" si="293"/>
        <v>0</v>
      </c>
      <c r="DD131" s="826" t="str">
        <f>IF('Marks Entry'!AS131="","",IF(OR('Master Sheet'!$D$19="YES",'Marks Entry'!$BA$1=1),'Marks Entry'!AS131,""))</f>
        <v/>
      </c>
      <c r="DE131" s="826" t="str">
        <f>IF('Marks Entry'!AT131="","",IF(OR('Master Sheet'!$D$19="YES",'Marks Entry'!$BA$1=1),'Marks Entry'!AT131,""))</f>
        <v/>
      </c>
      <c r="DF131" s="826" t="str">
        <f>IF('Marks Entry'!AU131="","",IF(OR('Master Sheet'!$D$19="YES",'Marks Entry'!$BA$1=1),'Marks Entry'!AU131,""))</f>
        <v/>
      </c>
      <c r="DG131" s="826" t="str">
        <f>IF('Marks Entry'!AV131="","",IF(OR('Master Sheet'!$D$19="YES",'Marks Entry'!$BA$1=1),'Marks Entry'!AV131,""))</f>
        <v/>
      </c>
      <c r="DH131" s="827" t="str">
        <f t="shared" si="294"/>
        <v/>
      </c>
      <c r="DI131" s="826" t="str">
        <f>IF('Marks Entry'!AW131="","",IF(OR('Master Sheet'!$D$19="YES",'Marks Entry'!$BA$1=1),'Marks Entry'!AW131,""))</f>
        <v/>
      </c>
      <c r="DJ131" s="826" t="str">
        <f>IF('Marks Entry'!AX131="","",IF(OR('Master Sheet'!$D$19="YES",'Marks Entry'!$BA$1=1),'Marks Entry'!AX131,""))</f>
        <v/>
      </c>
      <c r="DK131" s="827" t="str">
        <f t="shared" si="295"/>
        <v/>
      </c>
      <c r="DL131" s="827" t="str">
        <f t="shared" si="296"/>
        <v/>
      </c>
      <c r="DM131" s="826" t="str">
        <f>IF('Marks Entry'!AY131="","",IF(OR('Master Sheet'!$D$19="YES",'Marks Entry'!$BA$1=1),'Marks Entry'!AY131,""))</f>
        <v/>
      </c>
      <c r="DN131" s="826" t="str">
        <f>IF('Marks Entry'!AZ131="","",IF(OR('Master Sheet'!$D$19="YES",'Marks Entry'!$BA$1=1),'Marks Entry'!AZ131,""))</f>
        <v/>
      </c>
      <c r="DO131" s="826" t="str">
        <f>IF('Marks Entry'!BA131="","",IF(OR('Master Sheet'!$D$19="YES",'Marks Entry'!$BA$1=1),'Marks Entry'!BA131,""))</f>
        <v/>
      </c>
      <c r="DP131" s="827" t="str">
        <f t="shared" si="297"/>
        <v/>
      </c>
      <c r="DQ131" s="157" t="str">
        <f t="shared" si="298"/>
        <v/>
      </c>
      <c r="DR131" s="157" t="str">
        <f t="shared" si="299"/>
        <v/>
      </c>
      <c r="DS131" s="157" t="str">
        <f t="shared" si="300"/>
        <v/>
      </c>
      <c r="DT131" s="192" t="str">
        <f t="shared" si="301"/>
        <v/>
      </c>
      <c r="DU131" s="153">
        <f t="shared" si="302"/>
        <v>0</v>
      </c>
      <c r="DV131" s="154" t="e">
        <f t="shared" si="303"/>
        <v>#VALUE!</v>
      </c>
      <c r="DW131" s="154" t="str">
        <f t="shared" si="304"/>
        <v/>
      </c>
      <c r="DX131" s="154" t="str">
        <f>IF(OR($B131="NSO",$B131=0,DS131=""),"",IF(AND(DJ131="",DO131=""),"",IF('Master Sheet'!$D$19="YES",$DO$6-COUNTIF(DO131,"ML")*DO$6,DS$6-(COUNTIF(DJ131,"ML")*DJ$6)-(COUNTIF(DO131,"ML")*DO$6))))</f>
        <v/>
      </c>
      <c r="DY131" s="154" t="str">
        <f>IF(OR($B131="NSO",$B131=0),"",IF(AND(DH131="",DI131="",DM131=""),"",IF(AND('Master Sheet'!$D$19="YES",'Marks Entry'!$BA$1=1),100,IF(AND(DJ131="",DO131=""),SUM(($DQ$7+$DR$7)-(DU131+DV131)),SUM(($DQ$6+$DR$6)-(DU131+DV131))))))</f>
        <v/>
      </c>
      <c r="DZ131" s="153" t="str">
        <f t="shared" si="305"/>
        <v/>
      </c>
      <c r="EA131" s="154" t="str">
        <f t="shared" si="306"/>
        <v/>
      </c>
      <c r="EB131" s="153" t="str">
        <f t="shared" si="307"/>
        <v/>
      </c>
      <c r="EC131" s="584" t="str">
        <f>IF('Marks Entry'!BB131="","",'Marks Entry'!BB131)</f>
        <v/>
      </c>
      <c r="ED131" s="584" t="str">
        <f>IF('Marks Entry'!BC131="","",'Marks Entry'!BC131)</f>
        <v/>
      </c>
      <c r="EE131" s="584" t="str">
        <f>IF('Marks Entry'!BD131="","",'Marks Entry'!BD131)</f>
        <v/>
      </c>
      <c r="EF131" s="590" t="str">
        <f t="shared" si="308"/>
        <v/>
      </c>
      <c r="EG131" s="595">
        <f t="shared" si="309"/>
        <v>0</v>
      </c>
      <c r="EH131" s="595">
        <f t="shared" si="310"/>
        <v>0</v>
      </c>
      <c r="EI131" s="193" t="str">
        <f t="shared" si="311"/>
        <v/>
      </c>
      <c r="EJ131" s="595" t="str">
        <f t="shared" si="312"/>
        <v/>
      </c>
      <c r="EK131" s="595" t="str">
        <f t="shared" si="313"/>
        <v/>
      </c>
      <c r="EL131" s="194" t="str">
        <f t="shared" si="314"/>
        <v/>
      </c>
      <c r="EM131" s="194" t="str">
        <f t="shared" si="315"/>
        <v/>
      </c>
      <c r="EN131" s="194" t="str">
        <f t="shared" si="316"/>
        <v/>
      </c>
      <c r="EO131" s="194" t="str">
        <f t="shared" si="317"/>
        <v/>
      </c>
      <c r="EP131" s="194" t="str">
        <f t="shared" si="318"/>
        <v/>
      </c>
      <c r="EQ131" s="194" t="str">
        <f t="shared" si="319"/>
        <v/>
      </c>
      <c r="ER131" s="195">
        <f t="shared" si="320"/>
        <v>0</v>
      </c>
      <c r="ES131" s="195">
        <f t="shared" si="321"/>
        <v>0</v>
      </c>
      <c r="ET131" s="195">
        <f t="shared" si="322"/>
        <v>0</v>
      </c>
      <c r="EU131" s="195">
        <f t="shared" si="323"/>
        <v>0</v>
      </c>
      <c r="EV131" s="195">
        <f t="shared" si="324"/>
        <v>0</v>
      </c>
      <c r="EW131" s="195" t="str">
        <f t="shared" si="325"/>
        <v/>
      </c>
      <c r="EX131" s="196" t="str">
        <f t="shared" si="326"/>
        <v/>
      </c>
      <c r="EY131" s="197" t="str">
        <f>IF('Marks Entry'!BE131="","",'Marks Entry'!BE131)</f>
        <v/>
      </c>
      <c r="EZ131" s="197" t="str">
        <f>IF('Marks Entry'!BF131="","",'Marks Entry'!BF131)</f>
        <v/>
      </c>
      <c r="FA131" s="197" t="str">
        <f>IF('Marks Entry'!BG131="","",'Marks Entry'!BG131)</f>
        <v/>
      </c>
      <c r="FB131" s="596" t="str">
        <f t="shared" si="327"/>
        <v/>
      </c>
      <c r="FC131" s="197" t="str">
        <f>IF('Marks Entry'!BH131="","",'Marks Entry'!BH131)</f>
        <v/>
      </c>
      <c r="FD131" s="197" t="str">
        <f>IF('Marks Entry'!BI131="","",'Marks Entry'!BI131)</f>
        <v/>
      </c>
      <c r="FE131" s="198" t="str">
        <f t="shared" si="328"/>
        <v/>
      </c>
      <c r="FF131" s="199" t="str">
        <f t="shared" si="329"/>
        <v/>
      </c>
      <c r="FG131" s="200" t="str">
        <f>IF(AND(E131=""),"",IF('Student DATA Entry'!L127="","",'Student DATA Entry'!L127))</f>
        <v/>
      </c>
      <c r="FH131" s="201" t="str">
        <f>IF(AND(E131=""),"",IF('Student DATA Entry'!M127="","",'Student DATA Entry'!M127))</f>
        <v/>
      </c>
      <c r="FI131" s="202" t="str">
        <f t="shared" si="330"/>
        <v/>
      </c>
      <c r="FJ131" s="189" t="str">
        <f t="shared" si="331"/>
        <v/>
      </c>
      <c r="FK131" s="189" t="str">
        <f t="shared" si="332"/>
        <v/>
      </c>
      <c r="FL131" s="203" t="str">
        <f t="shared" si="360"/>
        <v/>
      </c>
      <c r="FM131" s="189" t="str">
        <f t="shared" si="333"/>
        <v/>
      </c>
      <c r="FN131" s="204" t="str">
        <f t="shared" si="334"/>
        <v/>
      </c>
      <c r="FO131" s="203" t="str">
        <f t="shared" si="361"/>
        <v/>
      </c>
      <c r="FP131" s="205" t="str">
        <f t="shared" si="335"/>
        <v/>
      </c>
      <c r="FQ131" s="189" t="str">
        <f t="shared" si="362"/>
        <v/>
      </c>
      <c r="FR131" s="189" t="str">
        <f t="shared" si="363"/>
        <v/>
      </c>
      <c r="FS131" s="189" t="str">
        <f t="shared" si="364"/>
        <v/>
      </c>
      <c r="FT131" s="189" t="str">
        <f t="shared" si="365"/>
        <v/>
      </c>
      <c r="FU131" s="189" t="str">
        <f t="shared" si="336"/>
        <v/>
      </c>
      <c r="FV131" s="206" t="str">
        <f t="shared" si="366"/>
        <v/>
      </c>
      <c r="FW131" s="205" t="str">
        <f t="shared" si="337"/>
        <v/>
      </c>
      <c r="FX131" s="189" t="str">
        <f t="shared" si="367"/>
        <v/>
      </c>
      <c r="FY131" s="189" t="str">
        <f t="shared" si="368"/>
        <v/>
      </c>
      <c r="FZ131" s="189" t="str">
        <f t="shared" si="369"/>
        <v/>
      </c>
      <c r="GA131" s="189" t="str">
        <f t="shared" si="370"/>
        <v/>
      </c>
      <c r="GB131" s="189" t="str">
        <f t="shared" si="338"/>
        <v/>
      </c>
      <c r="GC131" s="206" t="str">
        <f t="shared" si="371"/>
        <v/>
      </c>
      <c r="GD131" s="205" t="str">
        <f t="shared" si="339"/>
        <v/>
      </c>
      <c r="GE131" s="189" t="str">
        <f t="shared" si="372"/>
        <v/>
      </c>
      <c r="GF131" s="189" t="str">
        <f t="shared" si="373"/>
        <v/>
      </c>
      <c r="GG131" s="189" t="str">
        <f t="shared" si="374"/>
        <v/>
      </c>
      <c r="GH131" s="189" t="str">
        <f t="shared" si="375"/>
        <v/>
      </c>
      <c r="GI131" s="189" t="str">
        <f t="shared" si="340"/>
        <v/>
      </c>
      <c r="GJ131" s="206" t="str">
        <f t="shared" si="376"/>
        <v/>
      </c>
      <c r="GK131" s="205" t="str">
        <f t="shared" si="341"/>
        <v/>
      </c>
      <c r="GL131" s="189" t="str">
        <f t="shared" si="377"/>
        <v/>
      </c>
      <c r="GM131" s="189" t="str">
        <f t="shared" si="378"/>
        <v/>
      </c>
      <c r="GN131" s="189" t="str">
        <f t="shared" si="379"/>
        <v/>
      </c>
      <c r="GO131" s="189" t="str">
        <f t="shared" si="380"/>
        <v/>
      </c>
      <c r="GP131" s="189" t="str">
        <f t="shared" si="342"/>
        <v/>
      </c>
      <c r="GQ131" s="206" t="str">
        <f t="shared" si="381"/>
        <v/>
      </c>
      <c r="GR131" s="189" t="str">
        <f t="shared" si="343"/>
        <v/>
      </c>
      <c r="GS131" s="189" t="str">
        <f t="shared" si="344"/>
        <v/>
      </c>
      <c r="GT131" s="207" t="str">
        <f t="shared" si="345"/>
        <v xml:space="preserve">    </v>
      </c>
      <c r="GU131" s="207" t="str">
        <f t="shared" si="346"/>
        <v xml:space="preserve">    </v>
      </c>
      <c r="GV131" s="207" t="str">
        <f t="shared" si="347"/>
        <v xml:space="preserve">    </v>
      </c>
      <c r="GW131" s="207" t="str">
        <f t="shared" si="348"/>
        <v xml:space="preserve">       </v>
      </c>
      <c r="GX131" s="598" t="str">
        <f t="shared" si="349"/>
        <v xml:space="preserve">     </v>
      </c>
      <c r="GY131" s="208" t="str">
        <f t="shared" si="382"/>
        <v/>
      </c>
      <c r="GZ131" s="606" t="str">
        <f>IF(AND(Q131="",AE131="",AZ131="",BW131="",CT131=""),"",IF(AND('Master Sheet'!$D$19="YES",'Marks Entry'!$BA$1=1),SUM(Q131,AE131,AZ131,BW131,DT131),SUM(Q131,AE131,AZ131,BW131,CT131)))</f>
        <v/>
      </c>
      <c r="HA131" s="209" t="str">
        <f>IF(GZ131="","",IF(AND('Master Sheet'!$D$19="YES",'Marks Entry'!$BA$1=1),GZ131/((900)-DC131)*100,GZ131/((1000)-DC131)*100))</f>
        <v/>
      </c>
      <c r="HB131" s="611" t="str">
        <f t="shared" si="350"/>
        <v/>
      </c>
      <c r="HC131" s="609" t="str">
        <f t="shared" si="351"/>
        <v/>
      </c>
      <c r="HD131" s="610" t="str">
        <f t="shared" si="352"/>
        <v/>
      </c>
      <c r="HE131" s="210" t="str">
        <f>IFERROR(IF(OR(GY131="SUPPLEMENTARY",GY131="RE-EXAM"),'Supp. Result Entry'!AS130,""),"")</f>
        <v/>
      </c>
      <c r="HF131" s="613" t="str">
        <f t="shared" si="353"/>
        <v/>
      </c>
      <c r="HG131" s="598" t="str">
        <f t="shared" si="354"/>
        <v/>
      </c>
      <c r="HH131" s="598" t="str">
        <f>IF(AND(HE131="",HF131="",HG131=""),"",IF(OR(GY131="SUPPLEMENTARY",GY131="RE-EXAM"),'Supp. Result Entry'!AS130,GY131))</f>
        <v/>
      </c>
      <c r="HI131" s="180"/>
      <c r="HY131" s="212" t="str">
        <f>IF('Supp. Result Entry'!U130="","",'Supp. Result Entry'!$U$6)</f>
        <v/>
      </c>
      <c r="HZ131" s="213" t="str">
        <f>IF('Supp. Result Entry'!X130="","",'Supp. Result Entry'!$X$6)</f>
        <v/>
      </c>
      <c r="IA131" s="213" t="str">
        <f>IF('Supp. Result Entry'!AA130="","",'Supp. Result Entry'!$AA$6)</f>
        <v/>
      </c>
      <c r="IB131" s="213" t="str">
        <f>IF('Supp. Result Entry'!AD130="","",'Supp. Result Entry'!$AD$6)</f>
        <v/>
      </c>
      <c r="IC131" s="213" t="str">
        <f>IF('Supp. Result Entry'!AG130="","",'Supp. Result Entry'!$AG$6)</f>
        <v/>
      </c>
      <c r="ID131" s="213" t="str">
        <f>IF('Supp. Result Entry'!AJ130="","",'Supp. Result Entry'!$AJ$6)</f>
        <v/>
      </c>
      <c r="IE131" s="213" t="str">
        <f>IF('Supp. Result Entry'!V130="","",'Supp. Result Entry'!V130)</f>
        <v/>
      </c>
      <c r="IF131" s="213" t="str">
        <f>IF('Supp. Result Entry'!Y130="","",'Supp. Result Entry'!Y130)</f>
        <v/>
      </c>
      <c r="IG131" s="213" t="str">
        <f>IF('Supp. Result Entry'!AB130="","",'Supp. Result Entry'!AB130)</f>
        <v/>
      </c>
      <c r="IH131" s="213" t="str">
        <f>IF('Supp. Result Entry'!AE130="","",'Supp. Result Entry'!AE130)</f>
        <v/>
      </c>
      <c r="II131" s="213" t="str">
        <f>IF('Supp. Result Entry'!AH130="","",'Supp. Result Entry'!AH130)</f>
        <v/>
      </c>
      <c r="IJ131" s="213" t="str">
        <f>IF('Supp. Result Entry'!AK130="","",'Supp. Result Entry'!AK130)</f>
        <v/>
      </c>
      <c r="IK131" s="213" t="str">
        <f>IF('Supp. Result Entry'!W130="","",'Supp. Result Entry'!W130)</f>
        <v/>
      </c>
      <c r="IL131" s="213" t="str">
        <f>IF('Supp. Result Entry'!Z130="","",'Supp. Result Entry'!Z130)</f>
        <v/>
      </c>
      <c r="IM131" s="213" t="str">
        <f>IF('Supp. Result Entry'!AC130="","",'Supp. Result Entry'!AC130)</f>
        <v/>
      </c>
      <c r="IN131" s="213" t="str">
        <f>IF('Supp. Result Entry'!AF130="","",'Supp. Result Entry'!AF130)</f>
        <v/>
      </c>
      <c r="IO131" s="213" t="str">
        <f>IF('Supp. Result Entry'!AI130="","",'Supp. Result Entry'!AI130)</f>
        <v/>
      </c>
      <c r="IP131" s="213" t="str">
        <f>IF('Supp. Result Entry'!AL130="","",'Supp. Result Entry'!AL130)</f>
        <v/>
      </c>
      <c r="IQ131" s="213">
        <f>COUNTIF('Supp. Result Entry'!K130:Q130,"S")</f>
        <v>0</v>
      </c>
      <c r="IR131" s="213">
        <f t="shared" si="355"/>
        <v>0</v>
      </c>
      <c r="IS131" s="213">
        <f t="shared" si="356"/>
        <v>0</v>
      </c>
      <c r="IT131" s="213" t="str">
        <f t="shared" si="224"/>
        <v/>
      </c>
      <c r="IU131" s="213" t="str">
        <f t="shared" si="225"/>
        <v/>
      </c>
      <c r="IV131" s="213" t="str">
        <f t="shared" si="226"/>
        <v/>
      </c>
      <c r="IW131" s="213" t="str">
        <f t="shared" si="227"/>
        <v/>
      </c>
      <c r="IX131" s="213" t="str">
        <f t="shared" si="228"/>
        <v/>
      </c>
      <c r="IY131" s="213" t="str">
        <f t="shared" si="357"/>
        <v/>
      </c>
      <c r="IZ131" s="213" t="str">
        <f t="shared" si="358"/>
        <v/>
      </c>
      <c r="JA131" s="213" t="str">
        <f t="shared" si="229"/>
        <v/>
      </c>
      <c r="JB131" s="211" t="str">
        <f t="shared" si="359"/>
        <v/>
      </c>
    </row>
    <row r="132" spans="1:262" s="211" customFormat="1" ht="21" customHeight="1">
      <c r="A132" s="184">
        <v>125</v>
      </c>
      <c r="B132" s="185" t="str">
        <f>IF('Marks Entry'!B132="","",'Marks Entry'!B132)</f>
        <v/>
      </c>
      <c r="C132" s="186" t="str">
        <f>IF('Marks Entry'!D132="","",'Marks Entry'!D132)</f>
        <v/>
      </c>
      <c r="D132" s="187" t="str">
        <f>IF('Marks Entry'!E132="","",'Marks Entry'!E132)</f>
        <v/>
      </c>
      <c r="E132" s="188" t="str">
        <f>IF('Marks Entry'!F132="","",'Marks Entry'!F132)</f>
        <v/>
      </c>
      <c r="F132" s="188" t="str">
        <f>IF('Marks Entry'!G132="","",'Marks Entry'!G132)</f>
        <v/>
      </c>
      <c r="G132" s="188" t="str">
        <f>IF('Marks Entry'!H132="","",'Marks Entry'!H132)</f>
        <v/>
      </c>
      <c r="H132" s="189" t="str">
        <f>IF('Marks Entry'!I132="","",'Marks Entry'!I132)</f>
        <v/>
      </c>
      <c r="I132" s="190" t="str">
        <f>IF('Marks Entry'!J132="","",'Marks Entry'!J132)</f>
        <v/>
      </c>
      <c r="J132" s="545" t="str">
        <f>IF('Marks Entry'!K132="","",'Marks Entry'!K132)</f>
        <v/>
      </c>
      <c r="K132" s="545" t="str">
        <f>IF('Marks Entry'!L132="","",'Marks Entry'!L132)</f>
        <v/>
      </c>
      <c r="L132" s="545" t="str">
        <f>IF('Marks Entry'!M132="","",'Marks Entry'!M132)</f>
        <v/>
      </c>
      <c r="M132" s="546" t="str">
        <f t="shared" si="230"/>
        <v/>
      </c>
      <c r="N132" s="545" t="str">
        <f>IF('Marks Entry'!N132="","",'Marks Entry'!N132)</f>
        <v/>
      </c>
      <c r="O132" s="546" t="str">
        <f t="shared" si="231"/>
        <v/>
      </c>
      <c r="P132" s="545" t="str">
        <f>IF('Marks Entry'!O132="","",'Marks Entry'!O132)</f>
        <v/>
      </c>
      <c r="Q132" s="547" t="str">
        <f t="shared" si="232"/>
        <v/>
      </c>
      <c r="R132" s="153">
        <f t="shared" si="233"/>
        <v>0</v>
      </c>
      <c r="S132" s="153">
        <f t="shared" si="234"/>
        <v>0</v>
      </c>
      <c r="T132" s="154" t="str">
        <f t="shared" si="235"/>
        <v/>
      </c>
      <c r="U132" s="153" t="str">
        <f t="shared" si="236"/>
        <v/>
      </c>
      <c r="V132" s="153" t="str">
        <f t="shared" si="237"/>
        <v/>
      </c>
      <c r="W132" s="153" t="str">
        <f t="shared" si="238"/>
        <v/>
      </c>
      <c r="X132" s="545" t="str">
        <f>IF('Marks Entry'!P132="","",'Marks Entry'!P132)</f>
        <v/>
      </c>
      <c r="Y132" s="545" t="str">
        <f>IF('Marks Entry'!Q132="","",'Marks Entry'!Q132)</f>
        <v/>
      </c>
      <c r="Z132" s="545" t="str">
        <f>IF('Marks Entry'!R132="","",'Marks Entry'!R132)</f>
        <v/>
      </c>
      <c r="AA132" s="546" t="str">
        <f t="shared" si="239"/>
        <v/>
      </c>
      <c r="AB132" s="545" t="str">
        <f>IF('Marks Entry'!S132="","",'Marks Entry'!S132)</f>
        <v/>
      </c>
      <c r="AC132" s="546" t="str">
        <f t="shared" si="240"/>
        <v/>
      </c>
      <c r="AD132" s="545" t="str">
        <f>IF('Marks Entry'!T132="","",'Marks Entry'!T132)</f>
        <v/>
      </c>
      <c r="AE132" s="547" t="str">
        <f t="shared" si="241"/>
        <v/>
      </c>
      <c r="AF132" s="153">
        <f t="shared" si="242"/>
        <v>0</v>
      </c>
      <c r="AG132" s="153">
        <f t="shared" si="243"/>
        <v>0</v>
      </c>
      <c r="AH132" s="154" t="str">
        <f t="shared" si="244"/>
        <v/>
      </c>
      <c r="AI132" s="153" t="str">
        <f t="shared" si="245"/>
        <v/>
      </c>
      <c r="AJ132" s="153" t="str">
        <f t="shared" si="246"/>
        <v/>
      </c>
      <c r="AK132" s="153" t="str">
        <f t="shared" si="247"/>
        <v/>
      </c>
      <c r="AL132" s="573" t="str">
        <f>IF('Marks Entry'!U132="","",'Marks Entry'!U132)</f>
        <v/>
      </c>
      <c r="AM132" s="573" t="str">
        <f>IF('Marks Entry'!V132="","",'Marks Entry'!V132)</f>
        <v/>
      </c>
      <c r="AN132" s="573" t="str">
        <f>IF('Marks Entry'!W132="","",'Marks Entry'!W132)</f>
        <v/>
      </c>
      <c r="AO132" s="573" t="str">
        <f>IF('Marks Entry'!X132="","",'Marks Entry'!X132)</f>
        <v/>
      </c>
      <c r="AP132" s="572" t="str">
        <f t="shared" si="248"/>
        <v/>
      </c>
      <c r="AQ132" s="573" t="str">
        <f>IF('Marks Entry'!Y132="","",'Marks Entry'!Y132)</f>
        <v/>
      </c>
      <c r="AR132" s="573" t="str">
        <f>IF('Marks Entry'!Z132="","",'Marks Entry'!Z132)</f>
        <v/>
      </c>
      <c r="AS132" s="572" t="str">
        <f t="shared" si="249"/>
        <v/>
      </c>
      <c r="AT132" s="572" t="str">
        <f t="shared" si="250"/>
        <v/>
      </c>
      <c r="AU132" s="573" t="str">
        <f>IF('Marks Entry'!AA132="","",'Marks Entry'!AA132)</f>
        <v/>
      </c>
      <c r="AV132" s="573" t="str">
        <f>IF('Marks Entry'!AB132="","",'Marks Entry'!AB132)</f>
        <v/>
      </c>
      <c r="AW132" s="572" t="str">
        <f t="shared" si="251"/>
        <v/>
      </c>
      <c r="AX132" s="157" t="str">
        <f t="shared" si="252"/>
        <v/>
      </c>
      <c r="AY132" s="157" t="str">
        <f t="shared" si="253"/>
        <v/>
      </c>
      <c r="AZ132" s="192" t="str">
        <f t="shared" si="254"/>
        <v/>
      </c>
      <c r="BA132" s="153">
        <f t="shared" si="255"/>
        <v>0</v>
      </c>
      <c r="BB132" s="154">
        <f t="shared" si="256"/>
        <v>0</v>
      </c>
      <c r="BC132" s="154" t="str">
        <f t="shared" si="257"/>
        <v/>
      </c>
      <c r="BD132" s="154" t="str">
        <f t="shared" si="258"/>
        <v/>
      </c>
      <c r="BE132" s="154" t="str">
        <f t="shared" si="259"/>
        <v/>
      </c>
      <c r="BF132" s="153" t="str">
        <f t="shared" si="260"/>
        <v/>
      </c>
      <c r="BG132" s="154" t="str">
        <f t="shared" si="261"/>
        <v/>
      </c>
      <c r="BH132" s="153" t="str">
        <f t="shared" si="262"/>
        <v/>
      </c>
      <c r="BI132" s="580" t="str">
        <f>IF('Marks Entry'!AC132="","",'Marks Entry'!AC132)</f>
        <v/>
      </c>
      <c r="BJ132" s="580" t="str">
        <f>IF('Marks Entry'!AD132="","",'Marks Entry'!AD132)</f>
        <v/>
      </c>
      <c r="BK132" s="580" t="str">
        <f>IF('Marks Entry'!AE132="","",'Marks Entry'!AE132)</f>
        <v/>
      </c>
      <c r="BL132" s="580" t="str">
        <f>IF('Marks Entry'!AF132="","",'Marks Entry'!AF132)</f>
        <v/>
      </c>
      <c r="BM132" s="581" t="str">
        <f t="shared" si="263"/>
        <v/>
      </c>
      <c r="BN132" s="580" t="str">
        <f>IF('Marks Entry'!AG132="","",'Marks Entry'!AG132)</f>
        <v/>
      </c>
      <c r="BO132" s="580" t="str">
        <f>IF('Marks Entry'!AH132="","",'Marks Entry'!AH132)</f>
        <v/>
      </c>
      <c r="BP132" s="581" t="str">
        <f t="shared" si="264"/>
        <v/>
      </c>
      <c r="BQ132" s="581" t="str">
        <f t="shared" si="265"/>
        <v/>
      </c>
      <c r="BR132" s="580" t="str">
        <f>IF('Marks Entry'!AI132="","",'Marks Entry'!AI132)</f>
        <v/>
      </c>
      <c r="BS132" s="580" t="str">
        <f>IF('Marks Entry'!AJ132="","",'Marks Entry'!AJ132)</f>
        <v/>
      </c>
      <c r="BT132" s="581" t="str">
        <f t="shared" si="266"/>
        <v/>
      </c>
      <c r="BU132" s="157" t="str">
        <f t="shared" si="267"/>
        <v/>
      </c>
      <c r="BV132" s="157" t="str">
        <f t="shared" si="268"/>
        <v/>
      </c>
      <c r="BW132" s="192" t="str">
        <f t="shared" si="269"/>
        <v/>
      </c>
      <c r="BX132" s="153">
        <f t="shared" si="270"/>
        <v>0</v>
      </c>
      <c r="BY132" s="154">
        <f t="shared" si="271"/>
        <v>0</v>
      </c>
      <c r="BZ132" s="154" t="str">
        <f t="shared" si="272"/>
        <v/>
      </c>
      <c r="CA132" s="154" t="str">
        <f t="shared" si="273"/>
        <v/>
      </c>
      <c r="CB132" s="154" t="str">
        <f t="shared" si="274"/>
        <v/>
      </c>
      <c r="CC132" s="153" t="str">
        <f t="shared" si="275"/>
        <v/>
      </c>
      <c r="CD132" s="154" t="str">
        <f t="shared" si="276"/>
        <v/>
      </c>
      <c r="CE132" s="153" t="str">
        <f t="shared" si="277"/>
        <v/>
      </c>
      <c r="CF132" s="580" t="str">
        <f>IF('Marks Entry'!AK132="","",'Marks Entry'!AK132)</f>
        <v/>
      </c>
      <c r="CG132" s="580" t="str">
        <f>IF('Marks Entry'!AL132="","",'Marks Entry'!AL132)</f>
        <v/>
      </c>
      <c r="CH132" s="580" t="str">
        <f>IF('Marks Entry'!AM132="","",'Marks Entry'!AM132)</f>
        <v/>
      </c>
      <c r="CI132" s="580" t="str">
        <f>IF('Marks Entry'!AN132="","",'Marks Entry'!AN132)</f>
        <v/>
      </c>
      <c r="CJ132" s="581" t="str">
        <f t="shared" si="278"/>
        <v/>
      </c>
      <c r="CK132" s="580" t="str">
        <f>IF('Marks Entry'!AO132="","",'Marks Entry'!AO132)</f>
        <v/>
      </c>
      <c r="CL132" s="580" t="str">
        <f>IF('Marks Entry'!AP132="","",'Marks Entry'!AP132)</f>
        <v/>
      </c>
      <c r="CM132" s="581" t="str">
        <f t="shared" si="279"/>
        <v/>
      </c>
      <c r="CN132" s="581" t="str">
        <f t="shared" si="280"/>
        <v/>
      </c>
      <c r="CO132" s="580" t="str">
        <f>IF('Marks Entry'!AQ132="","",'Marks Entry'!AQ132)</f>
        <v/>
      </c>
      <c r="CP132" s="580" t="str">
        <f>IF('Marks Entry'!AR132="","",'Marks Entry'!AR132)</f>
        <v/>
      </c>
      <c r="CQ132" s="581" t="str">
        <f t="shared" si="281"/>
        <v/>
      </c>
      <c r="CR132" s="157" t="str">
        <f t="shared" si="282"/>
        <v/>
      </c>
      <c r="CS132" s="157" t="str">
        <f t="shared" si="283"/>
        <v/>
      </c>
      <c r="CT132" s="192" t="str">
        <f t="shared" si="284"/>
        <v/>
      </c>
      <c r="CU132" s="153">
        <f t="shared" si="285"/>
        <v>0</v>
      </c>
      <c r="CV132" s="154">
        <f t="shared" si="286"/>
        <v>0</v>
      </c>
      <c r="CW132" s="154" t="str">
        <f t="shared" si="287"/>
        <v/>
      </c>
      <c r="CX132" s="154" t="str">
        <f t="shared" si="288"/>
        <v/>
      </c>
      <c r="CY132" s="154" t="str">
        <f t="shared" si="289"/>
        <v/>
      </c>
      <c r="CZ132" s="153" t="str">
        <f t="shared" si="290"/>
        <v/>
      </c>
      <c r="DA132" s="154" t="str">
        <f t="shared" si="291"/>
        <v/>
      </c>
      <c r="DB132" s="153" t="str">
        <f t="shared" si="292"/>
        <v/>
      </c>
      <c r="DC132" s="154">
        <f t="shared" si="293"/>
        <v>0</v>
      </c>
      <c r="DD132" s="826" t="str">
        <f>IF('Marks Entry'!AS132="","",IF(OR('Master Sheet'!$D$19="YES",'Marks Entry'!$BA$1=1),'Marks Entry'!AS132,""))</f>
        <v/>
      </c>
      <c r="DE132" s="826" t="str">
        <f>IF('Marks Entry'!AT132="","",IF(OR('Master Sheet'!$D$19="YES",'Marks Entry'!$BA$1=1),'Marks Entry'!AT132,""))</f>
        <v/>
      </c>
      <c r="DF132" s="826" t="str">
        <f>IF('Marks Entry'!AU132="","",IF(OR('Master Sheet'!$D$19="YES",'Marks Entry'!$BA$1=1),'Marks Entry'!AU132,""))</f>
        <v/>
      </c>
      <c r="DG132" s="826" t="str">
        <f>IF('Marks Entry'!AV132="","",IF(OR('Master Sheet'!$D$19="YES",'Marks Entry'!$BA$1=1),'Marks Entry'!AV132,""))</f>
        <v/>
      </c>
      <c r="DH132" s="827" t="str">
        <f t="shared" si="294"/>
        <v/>
      </c>
      <c r="DI132" s="826" t="str">
        <f>IF('Marks Entry'!AW132="","",IF(OR('Master Sheet'!$D$19="YES",'Marks Entry'!$BA$1=1),'Marks Entry'!AW132,""))</f>
        <v/>
      </c>
      <c r="DJ132" s="826" t="str">
        <f>IF('Marks Entry'!AX132="","",IF(OR('Master Sheet'!$D$19="YES",'Marks Entry'!$BA$1=1),'Marks Entry'!AX132,""))</f>
        <v/>
      </c>
      <c r="DK132" s="827" t="str">
        <f t="shared" si="295"/>
        <v/>
      </c>
      <c r="DL132" s="827" t="str">
        <f t="shared" si="296"/>
        <v/>
      </c>
      <c r="DM132" s="826" t="str">
        <f>IF('Marks Entry'!AY132="","",IF(OR('Master Sheet'!$D$19="YES",'Marks Entry'!$BA$1=1),'Marks Entry'!AY132,""))</f>
        <v/>
      </c>
      <c r="DN132" s="826" t="str">
        <f>IF('Marks Entry'!AZ132="","",IF(OR('Master Sheet'!$D$19="YES",'Marks Entry'!$BA$1=1),'Marks Entry'!AZ132,""))</f>
        <v/>
      </c>
      <c r="DO132" s="826" t="str">
        <f>IF('Marks Entry'!BA132="","",IF(OR('Master Sheet'!$D$19="YES",'Marks Entry'!$BA$1=1),'Marks Entry'!BA132,""))</f>
        <v/>
      </c>
      <c r="DP132" s="827" t="str">
        <f t="shared" si="297"/>
        <v/>
      </c>
      <c r="DQ132" s="157" t="str">
        <f t="shared" si="298"/>
        <v/>
      </c>
      <c r="DR132" s="157" t="str">
        <f t="shared" si="299"/>
        <v/>
      </c>
      <c r="DS132" s="157" t="str">
        <f t="shared" si="300"/>
        <v/>
      </c>
      <c r="DT132" s="192" t="str">
        <f t="shared" si="301"/>
        <v/>
      </c>
      <c r="DU132" s="153">
        <f t="shared" si="302"/>
        <v>0</v>
      </c>
      <c r="DV132" s="154" t="e">
        <f t="shared" si="303"/>
        <v>#VALUE!</v>
      </c>
      <c r="DW132" s="154" t="str">
        <f t="shared" si="304"/>
        <v/>
      </c>
      <c r="DX132" s="154" t="str">
        <f>IF(OR($B132="NSO",$B132=0,DS132=""),"",IF(AND(DJ132="",DO132=""),"",IF('Master Sheet'!$D$19="YES",$DO$6-COUNTIF(DO132,"ML")*DO$6,DS$6-(COUNTIF(DJ132,"ML")*DJ$6)-(COUNTIF(DO132,"ML")*DO$6))))</f>
        <v/>
      </c>
      <c r="DY132" s="154" t="str">
        <f>IF(OR($B132="NSO",$B132=0),"",IF(AND(DH132="",DI132="",DM132=""),"",IF(AND('Master Sheet'!$D$19="YES",'Marks Entry'!$BA$1=1),100,IF(AND(DJ132="",DO132=""),SUM(($DQ$7+$DR$7)-(DU132+DV132)),SUM(($DQ$6+$DR$6)-(DU132+DV132))))))</f>
        <v/>
      </c>
      <c r="DZ132" s="153" t="str">
        <f t="shared" si="305"/>
        <v/>
      </c>
      <c r="EA132" s="154" t="str">
        <f t="shared" si="306"/>
        <v/>
      </c>
      <c r="EB132" s="153" t="str">
        <f t="shared" si="307"/>
        <v/>
      </c>
      <c r="EC132" s="584" t="str">
        <f>IF('Marks Entry'!BB132="","",'Marks Entry'!BB132)</f>
        <v/>
      </c>
      <c r="ED132" s="584" t="str">
        <f>IF('Marks Entry'!BC132="","",'Marks Entry'!BC132)</f>
        <v/>
      </c>
      <c r="EE132" s="584" t="str">
        <f>IF('Marks Entry'!BD132="","",'Marks Entry'!BD132)</f>
        <v/>
      </c>
      <c r="EF132" s="590" t="str">
        <f t="shared" si="308"/>
        <v/>
      </c>
      <c r="EG132" s="595">
        <f t="shared" si="309"/>
        <v>0</v>
      </c>
      <c r="EH132" s="595">
        <f t="shared" si="310"/>
        <v>0</v>
      </c>
      <c r="EI132" s="193" t="str">
        <f t="shared" si="311"/>
        <v/>
      </c>
      <c r="EJ132" s="595" t="str">
        <f t="shared" si="312"/>
        <v/>
      </c>
      <c r="EK132" s="595" t="str">
        <f t="shared" si="313"/>
        <v/>
      </c>
      <c r="EL132" s="194" t="str">
        <f t="shared" si="314"/>
        <v/>
      </c>
      <c r="EM132" s="194" t="str">
        <f t="shared" si="315"/>
        <v/>
      </c>
      <c r="EN132" s="194" t="str">
        <f t="shared" si="316"/>
        <v/>
      </c>
      <c r="EO132" s="194" t="str">
        <f t="shared" si="317"/>
        <v/>
      </c>
      <c r="EP132" s="194" t="str">
        <f t="shared" si="318"/>
        <v/>
      </c>
      <c r="EQ132" s="194" t="str">
        <f t="shared" si="319"/>
        <v/>
      </c>
      <c r="ER132" s="195">
        <f t="shared" si="320"/>
        <v>0</v>
      </c>
      <c r="ES132" s="195">
        <f t="shared" si="321"/>
        <v>0</v>
      </c>
      <c r="ET132" s="195">
        <f t="shared" si="322"/>
        <v>0</v>
      </c>
      <c r="EU132" s="195">
        <f t="shared" si="323"/>
        <v>0</v>
      </c>
      <c r="EV132" s="195">
        <f t="shared" si="324"/>
        <v>0</v>
      </c>
      <c r="EW132" s="195" t="str">
        <f t="shared" si="325"/>
        <v/>
      </c>
      <c r="EX132" s="196" t="str">
        <f t="shared" si="326"/>
        <v/>
      </c>
      <c r="EY132" s="197" t="str">
        <f>IF('Marks Entry'!BE132="","",'Marks Entry'!BE132)</f>
        <v/>
      </c>
      <c r="EZ132" s="197" t="str">
        <f>IF('Marks Entry'!BF132="","",'Marks Entry'!BF132)</f>
        <v/>
      </c>
      <c r="FA132" s="197" t="str">
        <f>IF('Marks Entry'!BG132="","",'Marks Entry'!BG132)</f>
        <v/>
      </c>
      <c r="FB132" s="596" t="str">
        <f t="shared" si="327"/>
        <v/>
      </c>
      <c r="FC132" s="197" t="str">
        <f>IF('Marks Entry'!BH132="","",'Marks Entry'!BH132)</f>
        <v/>
      </c>
      <c r="FD132" s="197" t="str">
        <f>IF('Marks Entry'!BI132="","",'Marks Entry'!BI132)</f>
        <v/>
      </c>
      <c r="FE132" s="198" t="str">
        <f t="shared" si="328"/>
        <v/>
      </c>
      <c r="FF132" s="199" t="str">
        <f t="shared" si="329"/>
        <v/>
      </c>
      <c r="FG132" s="200" t="str">
        <f>IF(AND(E132=""),"",IF('Student DATA Entry'!L128="","",'Student DATA Entry'!L128))</f>
        <v/>
      </c>
      <c r="FH132" s="201" t="str">
        <f>IF(AND(E132=""),"",IF('Student DATA Entry'!M128="","",'Student DATA Entry'!M128))</f>
        <v/>
      </c>
      <c r="FI132" s="202" t="str">
        <f t="shared" si="330"/>
        <v/>
      </c>
      <c r="FJ132" s="189" t="str">
        <f t="shared" si="331"/>
        <v/>
      </c>
      <c r="FK132" s="189" t="str">
        <f t="shared" si="332"/>
        <v/>
      </c>
      <c r="FL132" s="203" t="str">
        <f t="shared" si="360"/>
        <v/>
      </c>
      <c r="FM132" s="189" t="str">
        <f t="shared" si="333"/>
        <v/>
      </c>
      <c r="FN132" s="204" t="str">
        <f t="shared" si="334"/>
        <v/>
      </c>
      <c r="FO132" s="203" t="str">
        <f t="shared" si="361"/>
        <v/>
      </c>
      <c r="FP132" s="205" t="str">
        <f t="shared" si="335"/>
        <v/>
      </c>
      <c r="FQ132" s="189" t="str">
        <f t="shared" si="362"/>
        <v/>
      </c>
      <c r="FR132" s="189" t="str">
        <f t="shared" si="363"/>
        <v/>
      </c>
      <c r="FS132" s="189" t="str">
        <f t="shared" si="364"/>
        <v/>
      </c>
      <c r="FT132" s="189" t="str">
        <f t="shared" si="365"/>
        <v/>
      </c>
      <c r="FU132" s="189" t="str">
        <f t="shared" si="336"/>
        <v/>
      </c>
      <c r="FV132" s="206" t="str">
        <f t="shared" si="366"/>
        <v/>
      </c>
      <c r="FW132" s="205" t="str">
        <f t="shared" si="337"/>
        <v/>
      </c>
      <c r="FX132" s="189" t="str">
        <f t="shared" si="367"/>
        <v/>
      </c>
      <c r="FY132" s="189" t="str">
        <f t="shared" si="368"/>
        <v/>
      </c>
      <c r="FZ132" s="189" t="str">
        <f t="shared" si="369"/>
        <v/>
      </c>
      <c r="GA132" s="189" t="str">
        <f t="shared" si="370"/>
        <v/>
      </c>
      <c r="GB132" s="189" t="str">
        <f t="shared" si="338"/>
        <v/>
      </c>
      <c r="GC132" s="206" t="str">
        <f t="shared" si="371"/>
        <v/>
      </c>
      <c r="GD132" s="205" t="str">
        <f t="shared" si="339"/>
        <v/>
      </c>
      <c r="GE132" s="189" t="str">
        <f t="shared" si="372"/>
        <v/>
      </c>
      <c r="GF132" s="189" t="str">
        <f t="shared" si="373"/>
        <v/>
      </c>
      <c r="GG132" s="189" t="str">
        <f t="shared" si="374"/>
        <v/>
      </c>
      <c r="GH132" s="189" t="str">
        <f t="shared" si="375"/>
        <v/>
      </c>
      <c r="GI132" s="189" t="str">
        <f t="shared" si="340"/>
        <v/>
      </c>
      <c r="GJ132" s="206" t="str">
        <f t="shared" si="376"/>
        <v/>
      </c>
      <c r="GK132" s="205" t="str">
        <f t="shared" si="341"/>
        <v/>
      </c>
      <c r="GL132" s="189" t="str">
        <f t="shared" si="377"/>
        <v/>
      </c>
      <c r="GM132" s="189" t="str">
        <f t="shared" si="378"/>
        <v/>
      </c>
      <c r="GN132" s="189" t="str">
        <f t="shared" si="379"/>
        <v/>
      </c>
      <c r="GO132" s="189" t="str">
        <f t="shared" si="380"/>
        <v/>
      </c>
      <c r="GP132" s="189" t="str">
        <f t="shared" si="342"/>
        <v/>
      </c>
      <c r="GQ132" s="206" t="str">
        <f t="shared" si="381"/>
        <v/>
      </c>
      <c r="GR132" s="189" t="str">
        <f t="shared" si="343"/>
        <v/>
      </c>
      <c r="GS132" s="189" t="str">
        <f t="shared" si="344"/>
        <v/>
      </c>
      <c r="GT132" s="207" t="str">
        <f t="shared" si="345"/>
        <v xml:space="preserve">    </v>
      </c>
      <c r="GU132" s="207" t="str">
        <f t="shared" si="346"/>
        <v xml:space="preserve">    </v>
      </c>
      <c r="GV132" s="207" t="str">
        <f t="shared" si="347"/>
        <v xml:space="preserve">    </v>
      </c>
      <c r="GW132" s="207" t="str">
        <f t="shared" si="348"/>
        <v xml:space="preserve">       </v>
      </c>
      <c r="GX132" s="598" t="str">
        <f t="shared" si="349"/>
        <v xml:space="preserve">     </v>
      </c>
      <c r="GY132" s="208" t="str">
        <f t="shared" si="382"/>
        <v/>
      </c>
      <c r="GZ132" s="606" t="str">
        <f>IF(AND(Q132="",AE132="",AZ132="",BW132="",CT132=""),"",IF(AND('Master Sheet'!$D$19="YES",'Marks Entry'!$BA$1=1),SUM(Q132,AE132,AZ132,BW132,DT132),SUM(Q132,AE132,AZ132,BW132,CT132)))</f>
        <v/>
      </c>
      <c r="HA132" s="209" t="str">
        <f>IF(GZ132="","",IF(AND('Master Sheet'!$D$19="YES",'Marks Entry'!$BA$1=1),GZ132/((900)-DC132)*100,GZ132/((1000)-DC132)*100))</f>
        <v/>
      </c>
      <c r="HB132" s="611" t="str">
        <f t="shared" si="350"/>
        <v/>
      </c>
      <c r="HC132" s="609" t="str">
        <f t="shared" si="351"/>
        <v/>
      </c>
      <c r="HD132" s="610" t="str">
        <f t="shared" si="352"/>
        <v/>
      </c>
      <c r="HE132" s="210" t="str">
        <f>IFERROR(IF(OR(GY132="SUPPLEMENTARY",GY132="RE-EXAM"),'Supp. Result Entry'!AS131,""),"")</f>
        <v/>
      </c>
      <c r="HF132" s="613" t="str">
        <f t="shared" si="353"/>
        <v/>
      </c>
      <c r="HG132" s="598" t="str">
        <f t="shared" si="354"/>
        <v/>
      </c>
      <c r="HH132" s="598" t="str">
        <f>IF(AND(HE132="",HF132="",HG132=""),"",IF(OR(GY132="SUPPLEMENTARY",GY132="RE-EXAM"),'Supp. Result Entry'!AS131,GY132))</f>
        <v/>
      </c>
      <c r="HI132" s="180"/>
      <c r="HY132" s="212" t="str">
        <f>IF('Supp. Result Entry'!U131="","",'Supp. Result Entry'!$U$6)</f>
        <v/>
      </c>
      <c r="HZ132" s="213" t="str">
        <f>IF('Supp. Result Entry'!X131="","",'Supp. Result Entry'!$X$6)</f>
        <v/>
      </c>
      <c r="IA132" s="213" t="str">
        <f>IF('Supp. Result Entry'!AA131="","",'Supp. Result Entry'!$AA$6)</f>
        <v/>
      </c>
      <c r="IB132" s="213" t="str">
        <f>IF('Supp. Result Entry'!AD131="","",'Supp. Result Entry'!$AD$6)</f>
        <v/>
      </c>
      <c r="IC132" s="213" t="str">
        <f>IF('Supp. Result Entry'!AG131="","",'Supp. Result Entry'!$AG$6)</f>
        <v/>
      </c>
      <c r="ID132" s="213" t="str">
        <f>IF('Supp. Result Entry'!AJ131="","",'Supp. Result Entry'!$AJ$6)</f>
        <v/>
      </c>
      <c r="IE132" s="213" t="str">
        <f>IF('Supp. Result Entry'!V131="","",'Supp. Result Entry'!V131)</f>
        <v/>
      </c>
      <c r="IF132" s="213" t="str">
        <f>IF('Supp. Result Entry'!Y131="","",'Supp. Result Entry'!Y131)</f>
        <v/>
      </c>
      <c r="IG132" s="213" t="str">
        <f>IF('Supp. Result Entry'!AB131="","",'Supp. Result Entry'!AB131)</f>
        <v/>
      </c>
      <c r="IH132" s="213" t="str">
        <f>IF('Supp. Result Entry'!AE131="","",'Supp. Result Entry'!AE131)</f>
        <v/>
      </c>
      <c r="II132" s="213" t="str">
        <f>IF('Supp. Result Entry'!AH131="","",'Supp. Result Entry'!AH131)</f>
        <v/>
      </c>
      <c r="IJ132" s="213" t="str">
        <f>IF('Supp. Result Entry'!AK131="","",'Supp. Result Entry'!AK131)</f>
        <v/>
      </c>
      <c r="IK132" s="213" t="str">
        <f>IF('Supp. Result Entry'!W131="","",'Supp. Result Entry'!W131)</f>
        <v/>
      </c>
      <c r="IL132" s="213" t="str">
        <f>IF('Supp. Result Entry'!Z131="","",'Supp. Result Entry'!Z131)</f>
        <v/>
      </c>
      <c r="IM132" s="213" t="str">
        <f>IF('Supp. Result Entry'!AC131="","",'Supp. Result Entry'!AC131)</f>
        <v/>
      </c>
      <c r="IN132" s="213" t="str">
        <f>IF('Supp. Result Entry'!AF131="","",'Supp. Result Entry'!AF131)</f>
        <v/>
      </c>
      <c r="IO132" s="213" t="str">
        <f>IF('Supp. Result Entry'!AI131="","",'Supp. Result Entry'!AI131)</f>
        <v/>
      </c>
      <c r="IP132" s="213" t="str">
        <f>IF('Supp. Result Entry'!AL131="","",'Supp. Result Entry'!AL131)</f>
        <v/>
      </c>
      <c r="IQ132" s="213">
        <f>COUNTIF('Supp. Result Entry'!K131:Q131,"S")</f>
        <v>0</v>
      </c>
      <c r="IR132" s="213">
        <f t="shared" si="355"/>
        <v>0</v>
      </c>
      <c r="IS132" s="213">
        <f t="shared" si="356"/>
        <v>0</v>
      </c>
      <c r="IT132" s="213" t="str">
        <f t="shared" si="224"/>
        <v/>
      </c>
      <c r="IU132" s="213" t="str">
        <f t="shared" si="225"/>
        <v/>
      </c>
      <c r="IV132" s="213" t="str">
        <f t="shared" si="226"/>
        <v/>
      </c>
      <c r="IW132" s="213" t="str">
        <f t="shared" si="227"/>
        <v/>
      </c>
      <c r="IX132" s="213" t="str">
        <f t="shared" si="228"/>
        <v/>
      </c>
      <c r="IY132" s="213" t="str">
        <f t="shared" si="357"/>
        <v/>
      </c>
      <c r="IZ132" s="213" t="str">
        <f t="shared" si="358"/>
        <v/>
      </c>
      <c r="JA132" s="213" t="str">
        <f t="shared" si="229"/>
        <v/>
      </c>
      <c r="JB132" s="211" t="str">
        <f t="shared" si="359"/>
        <v/>
      </c>
    </row>
    <row r="133" spans="1:262" s="211" customFormat="1" ht="21" customHeight="1">
      <c r="A133" s="184">
        <v>126</v>
      </c>
      <c r="B133" s="185" t="str">
        <f>IF('Marks Entry'!B133="","",'Marks Entry'!B133)</f>
        <v/>
      </c>
      <c r="C133" s="186" t="str">
        <f>IF('Marks Entry'!D133="","",'Marks Entry'!D133)</f>
        <v/>
      </c>
      <c r="D133" s="187" t="str">
        <f>IF('Marks Entry'!E133="","",'Marks Entry'!E133)</f>
        <v/>
      </c>
      <c r="E133" s="188" t="str">
        <f>IF('Marks Entry'!F133="","",'Marks Entry'!F133)</f>
        <v/>
      </c>
      <c r="F133" s="188" t="str">
        <f>IF('Marks Entry'!G133="","",'Marks Entry'!G133)</f>
        <v/>
      </c>
      <c r="G133" s="188" t="str">
        <f>IF('Marks Entry'!H133="","",'Marks Entry'!H133)</f>
        <v/>
      </c>
      <c r="H133" s="189" t="str">
        <f>IF('Marks Entry'!I133="","",'Marks Entry'!I133)</f>
        <v/>
      </c>
      <c r="I133" s="190" t="str">
        <f>IF('Marks Entry'!J133="","",'Marks Entry'!J133)</f>
        <v/>
      </c>
      <c r="J133" s="545" t="str">
        <f>IF('Marks Entry'!K133="","",'Marks Entry'!K133)</f>
        <v/>
      </c>
      <c r="K133" s="545" t="str">
        <f>IF('Marks Entry'!L133="","",'Marks Entry'!L133)</f>
        <v/>
      </c>
      <c r="L133" s="545" t="str">
        <f>IF('Marks Entry'!M133="","",'Marks Entry'!M133)</f>
        <v/>
      </c>
      <c r="M133" s="546" t="str">
        <f t="shared" si="230"/>
        <v/>
      </c>
      <c r="N133" s="545" t="str">
        <f>IF('Marks Entry'!N133="","",'Marks Entry'!N133)</f>
        <v/>
      </c>
      <c r="O133" s="546" t="str">
        <f t="shared" si="231"/>
        <v/>
      </c>
      <c r="P133" s="545" t="str">
        <f>IF('Marks Entry'!O133="","",'Marks Entry'!O133)</f>
        <v/>
      </c>
      <c r="Q133" s="547" t="str">
        <f t="shared" si="232"/>
        <v/>
      </c>
      <c r="R133" s="153">
        <f t="shared" si="233"/>
        <v>0</v>
      </c>
      <c r="S133" s="153">
        <f t="shared" si="234"/>
        <v>0</v>
      </c>
      <c r="T133" s="154" t="str">
        <f t="shared" si="235"/>
        <v/>
      </c>
      <c r="U133" s="153" t="str">
        <f t="shared" si="236"/>
        <v/>
      </c>
      <c r="V133" s="153" t="str">
        <f t="shared" si="237"/>
        <v/>
      </c>
      <c r="W133" s="153" t="str">
        <f t="shared" si="238"/>
        <v/>
      </c>
      <c r="X133" s="545" t="str">
        <f>IF('Marks Entry'!P133="","",'Marks Entry'!P133)</f>
        <v/>
      </c>
      <c r="Y133" s="545" t="str">
        <f>IF('Marks Entry'!Q133="","",'Marks Entry'!Q133)</f>
        <v/>
      </c>
      <c r="Z133" s="545" t="str">
        <f>IF('Marks Entry'!R133="","",'Marks Entry'!R133)</f>
        <v/>
      </c>
      <c r="AA133" s="546" t="str">
        <f t="shared" si="239"/>
        <v/>
      </c>
      <c r="AB133" s="545" t="str">
        <f>IF('Marks Entry'!S133="","",'Marks Entry'!S133)</f>
        <v/>
      </c>
      <c r="AC133" s="546" t="str">
        <f t="shared" si="240"/>
        <v/>
      </c>
      <c r="AD133" s="545" t="str">
        <f>IF('Marks Entry'!T133="","",'Marks Entry'!T133)</f>
        <v/>
      </c>
      <c r="AE133" s="547" t="str">
        <f t="shared" si="241"/>
        <v/>
      </c>
      <c r="AF133" s="153">
        <f t="shared" si="242"/>
        <v>0</v>
      </c>
      <c r="AG133" s="153">
        <f t="shared" si="243"/>
        <v>0</v>
      </c>
      <c r="AH133" s="154" t="str">
        <f t="shared" si="244"/>
        <v/>
      </c>
      <c r="AI133" s="153" t="str">
        <f t="shared" si="245"/>
        <v/>
      </c>
      <c r="AJ133" s="153" t="str">
        <f t="shared" si="246"/>
        <v/>
      </c>
      <c r="AK133" s="153" t="str">
        <f t="shared" si="247"/>
        <v/>
      </c>
      <c r="AL133" s="573" t="str">
        <f>IF('Marks Entry'!U133="","",'Marks Entry'!U133)</f>
        <v/>
      </c>
      <c r="AM133" s="573" t="str">
        <f>IF('Marks Entry'!V133="","",'Marks Entry'!V133)</f>
        <v/>
      </c>
      <c r="AN133" s="573" t="str">
        <f>IF('Marks Entry'!W133="","",'Marks Entry'!W133)</f>
        <v/>
      </c>
      <c r="AO133" s="573" t="str">
        <f>IF('Marks Entry'!X133="","",'Marks Entry'!X133)</f>
        <v/>
      </c>
      <c r="AP133" s="572" t="str">
        <f t="shared" si="248"/>
        <v/>
      </c>
      <c r="AQ133" s="573" t="str">
        <f>IF('Marks Entry'!Y133="","",'Marks Entry'!Y133)</f>
        <v/>
      </c>
      <c r="AR133" s="573" t="str">
        <f>IF('Marks Entry'!Z133="","",'Marks Entry'!Z133)</f>
        <v/>
      </c>
      <c r="AS133" s="572" t="str">
        <f t="shared" si="249"/>
        <v/>
      </c>
      <c r="AT133" s="572" t="str">
        <f t="shared" si="250"/>
        <v/>
      </c>
      <c r="AU133" s="573" t="str">
        <f>IF('Marks Entry'!AA133="","",'Marks Entry'!AA133)</f>
        <v/>
      </c>
      <c r="AV133" s="573" t="str">
        <f>IF('Marks Entry'!AB133="","",'Marks Entry'!AB133)</f>
        <v/>
      </c>
      <c r="AW133" s="572" t="str">
        <f t="shared" si="251"/>
        <v/>
      </c>
      <c r="AX133" s="157" t="str">
        <f t="shared" si="252"/>
        <v/>
      </c>
      <c r="AY133" s="157" t="str">
        <f t="shared" si="253"/>
        <v/>
      </c>
      <c r="AZ133" s="192" t="str">
        <f t="shared" si="254"/>
        <v/>
      </c>
      <c r="BA133" s="153">
        <f t="shared" si="255"/>
        <v>0</v>
      </c>
      <c r="BB133" s="154">
        <f t="shared" si="256"/>
        <v>0</v>
      </c>
      <c r="BC133" s="154" t="str">
        <f t="shared" si="257"/>
        <v/>
      </c>
      <c r="BD133" s="154" t="str">
        <f t="shared" si="258"/>
        <v/>
      </c>
      <c r="BE133" s="154" t="str">
        <f t="shared" si="259"/>
        <v/>
      </c>
      <c r="BF133" s="153" t="str">
        <f t="shared" si="260"/>
        <v/>
      </c>
      <c r="BG133" s="154" t="str">
        <f t="shared" si="261"/>
        <v/>
      </c>
      <c r="BH133" s="153" t="str">
        <f t="shared" si="262"/>
        <v/>
      </c>
      <c r="BI133" s="580" t="str">
        <f>IF('Marks Entry'!AC133="","",'Marks Entry'!AC133)</f>
        <v/>
      </c>
      <c r="BJ133" s="580" t="str">
        <f>IF('Marks Entry'!AD133="","",'Marks Entry'!AD133)</f>
        <v/>
      </c>
      <c r="BK133" s="580" t="str">
        <f>IF('Marks Entry'!AE133="","",'Marks Entry'!AE133)</f>
        <v/>
      </c>
      <c r="BL133" s="580" t="str">
        <f>IF('Marks Entry'!AF133="","",'Marks Entry'!AF133)</f>
        <v/>
      </c>
      <c r="BM133" s="581" t="str">
        <f t="shared" si="263"/>
        <v/>
      </c>
      <c r="BN133" s="580" t="str">
        <f>IF('Marks Entry'!AG133="","",'Marks Entry'!AG133)</f>
        <v/>
      </c>
      <c r="BO133" s="580" t="str">
        <f>IF('Marks Entry'!AH133="","",'Marks Entry'!AH133)</f>
        <v/>
      </c>
      <c r="BP133" s="581" t="str">
        <f t="shared" si="264"/>
        <v/>
      </c>
      <c r="BQ133" s="581" t="str">
        <f t="shared" si="265"/>
        <v/>
      </c>
      <c r="BR133" s="580" t="str">
        <f>IF('Marks Entry'!AI133="","",'Marks Entry'!AI133)</f>
        <v/>
      </c>
      <c r="BS133" s="580" t="str">
        <f>IF('Marks Entry'!AJ133="","",'Marks Entry'!AJ133)</f>
        <v/>
      </c>
      <c r="BT133" s="581" t="str">
        <f t="shared" si="266"/>
        <v/>
      </c>
      <c r="BU133" s="157" t="str">
        <f t="shared" si="267"/>
        <v/>
      </c>
      <c r="BV133" s="157" t="str">
        <f t="shared" si="268"/>
        <v/>
      </c>
      <c r="BW133" s="192" t="str">
        <f t="shared" si="269"/>
        <v/>
      </c>
      <c r="BX133" s="153">
        <f t="shared" si="270"/>
        <v>0</v>
      </c>
      <c r="BY133" s="154">
        <f t="shared" si="271"/>
        <v>0</v>
      </c>
      <c r="BZ133" s="154" t="str">
        <f t="shared" si="272"/>
        <v/>
      </c>
      <c r="CA133" s="154" t="str">
        <f t="shared" si="273"/>
        <v/>
      </c>
      <c r="CB133" s="154" t="str">
        <f t="shared" si="274"/>
        <v/>
      </c>
      <c r="CC133" s="153" t="str">
        <f t="shared" si="275"/>
        <v/>
      </c>
      <c r="CD133" s="154" t="str">
        <f t="shared" si="276"/>
        <v/>
      </c>
      <c r="CE133" s="153" t="str">
        <f t="shared" si="277"/>
        <v/>
      </c>
      <c r="CF133" s="580" t="str">
        <f>IF('Marks Entry'!AK133="","",'Marks Entry'!AK133)</f>
        <v/>
      </c>
      <c r="CG133" s="580" t="str">
        <f>IF('Marks Entry'!AL133="","",'Marks Entry'!AL133)</f>
        <v/>
      </c>
      <c r="CH133" s="580" t="str">
        <f>IF('Marks Entry'!AM133="","",'Marks Entry'!AM133)</f>
        <v/>
      </c>
      <c r="CI133" s="580" t="str">
        <f>IF('Marks Entry'!AN133="","",'Marks Entry'!AN133)</f>
        <v/>
      </c>
      <c r="CJ133" s="581" t="str">
        <f t="shared" si="278"/>
        <v/>
      </c>
      <c r="CK133" s="580" t="str">
        <f>IF('Marks Entry'!AO133="","",'Marks Entry'!AO133)</f>
        <v/>
      </c>
      <c r="CL133" s="580" t="str">
        <f>IF('Marks Entry'!AP133="","",'Marks Entry'!AP133)</f>
        <v/>
      </c>
      <c r="CM133" s="581" t="str">
        <f t="shared" si="279"/>
        <v/>
      </c>
      <c r="CN133" s="581" t="str">
        <f t="shared" si="280"/>
        <v/>
      </c>
      <c r="CO133" s="580" t="str">
        <f>IF('Marks Entry'!AQ133="","",'Marks Entry'!AQ133)</f>
        <v/>
      </c>
      <c r="CP133" s="580" t="str">
        <f>IF('Marks Entry'!AR133="","",'Marks Entry'!AR133)</f>
        <v/>
      </c>
      <c r="CQ133" s="581" t="str">
        <f t="shared" si="281"/>
        <v/>
      </c>
      <c r="CR133" s="157" t="str">
        <f t="shared" si="282"/>
        <v/>
      </c>
      <c r="CS133" s="157" t="str">
        <f t="shared" si="283"/>
        <v/>
      </c>
      <c r="CT133" s="192" t="str">
        <f t="shared" si="284"/>
        <v/>
      </c>
      <c r="CU133" s="153">
        <f t="shared" si="285"/>
        <v>0</v>
      </c>
      <c r="CV133" s="154">
        <f t="shared" si="286"/>
        <v>0</v>
      </c>
      <c r="CW133" s="154" t="str">
        <f t="shared" si="287"/>
        <v/>
      </c>
      <c r="CX133" s="154" t="str">
        <f t="shared" si="288"/>
        <v/>
      </c>
      <c r="CY133" s="154" t="str">
        <f t="shared" si="289"/>
        <v/>
      </c>
      <c r="CZ133" s="153" t="str">
        <f t="shared" si="290"/>
        <v/>
      </c>
      <c r="DA133" s="154" t="str">
        <f t="shared" si="291"/>
        <v/>
      </c>
      <c r="DB133" s="153" t="str">
        <f t="shared" si="292"/>
        <v/>
      </c>
      <c r="DC133" s="154">
        <f t="shared" si="293"/>
        <v>0</v>
      </c>
      <c r="DD133" s="826" t="str">
        <f>IF('Marks Entry'!AS133="","",IF(OR('Master Sheet'!$D$19="YES",'Marks Entry'!$BA$1=1),'Marks Entry'!AS133,""))</f>
        <v/>
      </c>
      <c r="DE133" s="826" t="str">
        <f>IF('Marks Entry'!AT133="","",IF(OR('Master Sheet'!$D$19="YES",'Marks Entry'!$BA$1=1),'Marks Entry'!AT133,""))</f>
        <v/>
      </c>
      <c r="DF133" s="826" t="str">
        <f>IF('Marks Entry'!AU133="","",IF(OR('Master Sheet'!$D$19="YES",'Marks Entry'!$BA$1=1),'Marks Entry'!AU133,""))</f>
        <v/>
      </c>
      <c r="DG133" s="826" t="str">
        <f>IF('Marks Entry'!AV133="","",IF(OR('Master Sheet'!$D$19="YES",'Marks Entry'!$BA$1=1),'Marks Entry'!AV133,""))</f>
        <v/>
      </c>
      <c r="DH133" s="827" t="str">
        <f t="shared" si="294"/>
        <v/>
      </c>
      <c r="DI133" s="826" t="str">
        <f>IF('Marks Entry'!AW133="","",IF(OR('Master Sheet'!$D$19="YES",'Marks Entry'!$BA$1=1),'Marks Entry'!AW133,""))</f>
        <v/>
      </c>
      <c r="DJ133" s="826" t="str">
        <f>IF('Marks Entry'!AX133="","",IF(OR('Master Sheet'!$D$19="YES",'Marks Entry'!$BA$1=1),'Marks Entry'!AX133,""))</f>
        <v/>
      </c>
      <c r="DK133" s="827" t="str">
        <f t="shared" si="295"/>
        <v/>
      </c>
      <c r="DL133" s="827" t="str">
        <f t="shared" si="296"/>
        <v/>
      </c>
      <c r="DM133" s="826" t="str">
        <f>IF('Marks Entry'!AY133="","",IF(OR('Master Sheet'!$D$19="YES",'Marks Entry'!$BA$1=1),'Marks Entry'!AY133,""))</f>
        <v/>
      </c>
      <c r="DN133" s="826" t="str">
        <f>IF('Marks Entry'!AZ133="","",IF(OR('Master Sheet'!$D$19="YES",'Marks Entry'!$BA$1=1),'Marks Entry'!AZ133,""))</f>
        <v/>
      </c>
      <c r="DO133" s="826" t="str">
        <f>IF('Marks Entry'!BA133="","",IF(OR('Master Sheet'!$D$19="YES",'Marks Entry'!$BA$1=1),'Marks Entry'!BA133,""))</f>
        <v/>
      </c>
      <c r="DP133" s="827" t="str">
        <f t="shared" si="297"/>
        <v/>
      </c>
      <c r="DQ133" s="157" t="str">
        <f t="shared" si="298"/>
        <v/>
      </c>
      <c r="DR133" s="157" t="str">
        <f t="shared" si="299"/>
        <v/>
      </c>
      <c r="DS133" s="157" t="str">
        <f t="shared" si="300"/>
        <v/>
      </c>
      <c r="DT133" s="192" t="str">
        <f t="shared" si="301"/>
        <v/>
      </c>
      <c r="DU133" s="153">
        <f t="shared" si="302"/>
        <v>0</v>
      </c>
      <c r="DV133" s="154" t="e">
        <f t="shared" si="303"/>
        <v>#VALUE!</v>
      </c>
      <c r="DW133" s="154" t="str">
        <f t="shared" si="304"/>
        <v/>
      </c>
      <c r="DX133" s="154" t="str">
        <f>IF(OR($B133="NSO",$B133=0,DS133=""),"",IF(AND(DJ133="",DO133=""),"",IF('Master Sheet'!$D$19="YES",$DO$6-COUNTIF(DO133,"ML")*DO$6,DS$6-(COUNTIF(DJ133,"ML")*DJ$6)-(COUNTIF(DO133,"ML")*DO$6))))</f>
        <v/>
      </c>
      <c r="DY133" s="154" t="str">
        <f>IF(OR($B133="NSO",$B133=0),"",IF(AND(DH133="",DI133="",DM133=""),"",IF(AND('Master Sheet'!$D$19="YES",'Marks Entry'!$BA$1=1),100,IF(AND(DJ133="",DO133=""),SUM(($DQ$7+$DR$7)-(DU133+DV133)),SUM(($DQ$6+$DR$6)-(DU133+DV133))))))</f>
        <v/>
      </c>
      <c r="DZ133" s="153" t="str">
        <f t="shared" si="305"/>
        <v/>
      </c>
      <c r="EA133" s="154" t="str">
        <f t="shared" si="306"/>
        <v/>
      </c>
      <c r="EB133" s="153" t="str">
        <f t="shared" si="307"/>
        <v/>
      </c>
      <c r="EC133" s="584" t="str">
        <f>IF('Marks Entry'!BB133="","",'Marks Entry'!BB133)</f>
        <v/>
      </c>
      <c r="ED133" s="584" t="str">
        <f>IF('Marks Entry'!BC133="","",'Marks Entry'!BC133)</f>
        <v/>
      </c>
      <c r="EE133" s="584" t="str">
        <f>IF('Marks Entry'!BD133="","",'Marks Entry'!BD133)</f>
        <v/>
      </c>
      <c r="EF133" s="590" t="str">
        <f t="shared" si="308"/>
        <v/>
      </c>
      <c r="EG133" s="595">
        <f t="shared" si="309"/>
        <v>0</v>
      </c>
      <c r="EH133" s="595">
        <f t="shared" si="310"/>
        <v>0</v>
      </c>
      <c r="EI133" s="193" t="str">
        <f t="shared" si="311"/>
        <v/>
      </c>
      <c r="EJ133" s="595" t="str">
        <f t="shared" si="312"/>
        <v/>
      </c>
      <c r="EK133" s="595" t="str">
        <f t="shared" si="313"/>
        <v/>
      </c>
      <c r="EL133" s="194" t="str">
        <f t="shared" si="314"/>
        <v/>
      </c>
      <c r="EM133" s="194" t="str">
        <f t="shared" si="315"/>
        <v/>
      </c>
      <c r="EN133" s="194" t="str">
        <f t="shared" si="316"/>
        <v/>
      </c>
      <c r="EO133" s="194" t="str">
        <f t="shared" si="317"/>
        <v/>
      </c>
      <c r="EP133" s="194" t="str">
        <f t="shared" si="318"/>
        <v/>
      </c>
      <c r="EQ133" s="194" t="str">
        <f t="shared" si="319"/>
        <v/>
      </c>
      <c r="ER133" s="195">
        <f t="shared" si="320"/>
        <v>0</v>
      </c>
      <c r="ES133" s="195">
        <f t="shared" si="321"/>
        <v>0</v>
      </c>
      <c r="ET133" s="195">
        <f t="shared" si="322"/>
        <v>0</v>
      </c>
      <c r="EU133" s="195">
        <f t="shared" si="323"/>
        <v>0</v>
      </c>
      <c r="EV133" s="195">
        <f t="shared" si="324"/>
        <v>0</v>
      </c>
      <c r="EW133" s="195" t="str">
        <f t="shared" si="325"/>
        <v/>
      </c>
      <c r="EX133" s="196" t="str">
        <f t="shared" si="326"/>
        <v/>
      </c>
      <c r="EY133" s="197" t="str">
        <f>IF('Marks Entry'!BE133="","",'Marks Entry'!BE133)</f>
        <v/>
      </c>
      <c r="EZ133" s="197" t="str">
        <f>IF('Marks Entry'!BF133="","",'Marks Entry'!BF133)</f>
        <v/>
      </c>
      <c r="FA133" s="197" t="str">
        <f>IF('Marks Entry'!BG133="","",'Marks Entry'!BG133)</f>
        <v/>
      </c>
      <c r="FB133" s="596" t="str">
        <f t="shared" si="327"/>
        <v/>
      </c>
      <c r="FC133" s="197" t="str">
        <f>IF('Marks Entry'!BH133="","",'Marks Entry'!BH133)</f>
        <v/>
      </c>
      <c r="FD133" s="197" t="str">
        <f>IF('Marks Entry'!BI133="","",'Marks Entry'!BI133)</f>
        <v/>
      </c>
      <c r="FE133" s="198" t="str">
        <f t="shared" si="328"/>
        <v/>
      </c>
      <c r="FF133" s="199" t="str">
        <f t="shared" si="329"/>
        <v/>
      </c>
      <c r="FG133" s="200" t="str">
        <f>IF(AND(E133=""),"",IF('Student DATA Entry'!L129="","",'Student DATA Entry'!L129))</f>
        <v/>
      </c>
      <c r="FH133" s="201" t="str">
        <f>IF(AND(E133=""),"",IF('Student DATA Entry'!M129="","",'Student DATA Entry'!M129))</f>
        <v/>
      </c>
      <c r="FI133" s="202" t="str">
        <f t="shared" si="330"/>
        <v/>
      </c>
      <c r="FJ133" s="189" t="str">
        <f t="shared" si="331"/>
        <v/>
      </c>
      <c r="FK133" s="189" t="str">
        <f t="shared" si="332"/>
        <v/>
      </c>
      <c r="FL133" s="203" t="str">
        <f t="shared" si="360"/>
        <v/>
      </c>
      <c r="FM133" s="189" t="str">
        <f t="shared" si="333"/>
        <v/>
      </c>
      <c r="FN133" s="204" t="str">
        <f t="shared" si="334"/>
        <v/>
      </c>
      <c r="FO133" s="203" t="str">
        <f t="shared" si="361"/>
        <v/>
      </c>
      <c r="FP133" s="205" t="str">
        <f t="shared" si="335"/>
        <v/>
      </c>
      <c r="FQ133" s="189" t="str">
        <f t="shared" si="362"/>
        <v/>
      </c>
      <c r="FR133" s="189" t="str">
        <f t="shared" si="363"/>
        <v/>
      </c>
      <c r="FS133" s="189" t="str">
        <f t="shared" si="364"/>
        <v/>
      </c>
      <c r="FT133" s="189" t="str">
        <f t="shared" si="365"/>
        <v/>
      </c>
      <c r="FU133" s="189" t="str">
        <f t="shared" si="336"/>
        <v/>
      </c>
      <c r="FV133" s="206" t="str">
        <f t="shared" si="366"/>
        <v/>
      </c>
      <c r="FW133" s="205" t="str">
        <f t="shared" si="337"/>
        <v/>
      </c>
      <c r="FX133" s="189" t="str">
        <f t="shared" si="367"/>
        <v/>
      </c>
      <c r="FY133" s="189" t="str">
        <f t="shared" si="368"/>
        <v/>
      </c>
      <c r="FZ133" s="189" t="str">
        <f t="shared" si="369"/>
        <v/>
      </c>
      <c r="GA133" s="189" t="str">
        <f t="shared" si="370"/>
        <v/>
      </c>
      <c r="GB133" s="189" t="str">
        <f t="shared" si="338"/>
        <v/>
      </c>
      <c r="GC133" s="206" t="str">
        <f t="shared" si="371"/>
        <v/>
      </c>
      <c r="GD133" s="205" t="str">
        <f t="shared" si="339"/>
        <v/>
      </c>
      <c r="GE133" s="189" t="str">
        <f t="shared" si="372"/>
        <v/>
      </c>
      <c r="GF133" s="189" t="str">
        <f t="shared" si="373"/>
        <v/>
      </c>
      <c r="GG133" s="189" t="str">
        <f t="shared" si="374"/>
        <v/>
      </c>
      <c r="GH133" s="189" t="str">
        <f t="shared" si="375"/>
        <v/>
      </c>
      <c r="GI133" s="189" t="str">
        <f t="shared" si="340"/>
        <v/>
      </c>
      <c r="GJ133" s="206" t="str">
        <f t="shared" si="376"/>
        <v/>
      </c>
      <c r="GK133" s="205" t="str">
        <f t="shared" si="341"/>
        <v/>
      </c>
      <c r="GL133" s="189" t="str">
        <f t="shared" si="377"/>
        <v/>
      </c>
      <c r="GM133" s="189" t="str">
        <f t="shared" si="378"/>
        <v/>
      </c>
      <c r="GN133" s="189" t="str">
        <f t="shared" si="379"/>
        <v/>
      </c>
      <c r="GO133" s="189" t="str">
        <f t="shared" si="380"/>
        <v/>
      </c>
      <c r="GP133" s="189" t="str">
        <f t="shared" si="342"/>
        <v/>
      </c>
      <c r="GQ133" s="206" t="str">
        <f t="shared" si="381"/>
        <v/>
      </c>
      <c r="GR133" s="189" t="str">
        <f t="shared" si="343"/>
        <v/>
      </c>
      <c r="GS133" s="189" t="str">
        <f t="shared" si="344"/>
        <v/>
      </c>
      <c r="GT133" s="207" t="str">
        <f t="shared" si="345"/>
        <v xml:space="preserve">    </v>
      </c>
      <c r="GU133" s="207" t="str">
        <f t="shared" si="346"/>
        <v xml:space="preserve">    </v>
      </c>
      <c r="GV133" s="207" t="str">
        <f t="shared" si="347"/>
        <v xml:space="preserve">    </v>
      </c>
      <c r="GW133" s="207" t="str">
        <f t="shared" si="348"/>
        <v xml:space="preserve">       </v>
      </c>
      <c r="GX133" s="598" t="str">
        <f t="shared" si="349"/>
        <v xml:space="preserve">     </v>
      </c>
      <c r="GY133" s="208" t="str">
        <f t="shared" si="382"/>
        <v/>
      </c>
      <c r="GZ133" s="606" t="str">
        <f>IF(AND(Q133="",AE133="",AZ133="",BW133="",CT133=""),"",IF(AND('Master Sheet'!$D$19="YES",'Marks Entry'!$BA$1=1),SUM(Q133,AE133,AZ133,BW133,DT133),SUM(Q133,AE133,AZ133,BW133,CT133)))</f>
        <v/>
      </c>
      <c r="HA133" s="209" t="str">
        <f>IF(GZ133="","",IF(AND('Master Sheet'!$D$19="YES",'Marks Entry'!$BA$1=1),GZ133/((900)-DC133)*100,GZ133/((1000)-DC133)*100))</f>
        <v/>
      </c>
      <c r="HB133" s="611" t="str">
        <f t="shared" si="350"/>
        <v/>
      </c>
      <c r="HC133" s="609" t="str">
        <f t="shared" si="351"/>
        <v/>
      </c>
      <c r="HD133" s="610" t="str">
        <f t="shared" si="352"/>
        <v/>
      </c>
      <c r="HE133" s="210" t="str">
        <f>IFERROR(IF(OR(GY133="SUPPLEMENTARY",GY133="RE-EXAM"),'Supp. Result Entry'!AS132,""),"")</f>
        <v/>
      </c>
      <c r="HF133" s="613" t="str">
        <f t="shared" si="353"/>
        <v/>
      </c>
      <c r="HG133" s="598" t="str">
        <f t="shared" si="354"/>
        <v/>
      </c>
      <c r="HH133" s="598" t="str">
        <f>IF(AND(HE133="",HF133="",HG133=""),"",IF(OR(GY133="SUPPLEMENTARY",GY133="RE-EXAM"),'Supp. Result Entry'!AS132,GY133))</f>
        <v/>
      </c>
      <c r="HI133" s="180"/>
      <c r="HY133" s="212" t="str">
        <f>IF('Supp. Result Entry'!U132="","",'Supp. Result Entry'!$U$6)</f>
        <v/>
      </c>
      <c r="HZ133" s="213" t="str">
        <f>IF('Supp. Result Entry'!X132="","",'Supp. Result Entry'!$X$6)</f>
        <v/>
      </c>
      <c r="IA133" s="213" t="str">
        <f>IF('Supp. Result Entry'!AA132="","",'Supp. Result Entry'!$AA$6)</f>
        <v/>
      </c>
      <c r="IB133" s="213" t="str">
        <f>IF('Supp. Result Entry'!AD132="","",'Supp. Result Entry'!$AD$6)</f>
        <v/>
      </c>
      <c r="IC133" s="213" t="str">
        <f>IF('Supp. Result Entry'!AG132="","",'Supp. Result Entry'!$AG$6)</f>
        <v/>
      </c>
      <c r="ID133" s="213" t="str">
        <f>IF('Supp. Result Entry'!AJ132="","",'Supp. Result Entry'!$AJ$6)</f>
        <v/>
      </c>
      <c r="IE133" s="213" t="str">
        <f>IF('Supp. Result Entry'!V132="","",'Supp. Result Entry'!V132)</f>
        <v/>
      </c>
      <c r="IF133" s="213" t="str">
        <f>IF('Supp. Result Entry'!Y132="","",'Supp. Result Entry'!Y132)</f>
        <v/>
      </c>
      <c r="IG133" s="213" t="str">
        <f>IF('Supp. Result Entry'!AB132="","",'Supp. Result Entry'!AB132)</f>
        <v/>
      </c>
      <c r="IH133" s="213" t="str">
        <f>IF('Supp. Result Entry'!AE132="","",'Supp. Result Entry'!AE132)</f>
        <v/>
      </c>
      <c r="II133" s="213" t="str">
        <f>IF('Supp. Result Entry'!AH132="","",'Supp. Result Entry'!AH132)</f>
        <v/>
      </c>
      <c r="IJ133" s="213" t="str">
        <f>IF('Supp. Result Entry'!AK132="","",'Supp. Result Entry'!AK132)</f>
        <v/>
      </c>
      <c r="IK133" s="213" t="str">
        <f>IF('Supp. Result Entry'!W132="","",'Supp. Result Entry'!W132)</f>
        <v/>
      </c>
      <c r="IL133" s="213" t="str">
        <f>IF('Supp. Result Entry'!Z132="","",'Supp. Result Entry'!Z132)</f>
        <v/>
      </c>
      <c r="IM133" s="213" t="str">
        <f>IF('Supp. Result Entry'!AC132="","",'Supp. Result Entry'!AC132)</f>
        <v/>
      </c>
      <c r="IN133" s="213" t="str">
        <f>IF('Supp. Result Entry'!AF132="","",'Supp. Result Entry'!AF132)</f>
        <v/>
      </c>
      <c r="IO133" s="213" t="str">
        <f>IF('Supp. Result Entry'!AI132="","",'Supp. Result Entry'!AI132)</f>
        <v/>
      </c>
      <c r="IP133" s="213" t="str">
        <f>IF('Supp. Result Entry'!AL132="","",'Supp. Result Entry'!AL132)</f>
        <v/>
      </c>
      <c r="IQ133" s="213">
        <f>COUNTIF('Supp. Result Entry'!K132:Q132,"S")</f>
        <v>0</v>
      </c>
      <c r="IR133" s="213">
        <f t="shared" si="355"/>
        <v>0</v>
      </c>
      <c r="IS133" s="213">
        <f t="shared" si="356"/>
        <v>0</v>
      </c>
      <c r="IT133" s="213" t="str">
        <f t="shared" si="224"/>
        <v/>
      </c>
      <c r="IU133" s="213" t="str">
        <f t="shared" si="225"/>
        <v/>
      </c>
      <c r="IV133" s="213" t="str">
        <f t="shared" si="226"/>
        <v/>
      </c>
      <c r="IW133" s="213" t="str">
        <f t="shared" si="227"/>
        <v/>
      </c>
      <c r="IX133" s="213" t="str">
        <f t="shared" si="228"/>
        <v/>
      </c>
      <c r="IY133" s="213" t="str">
        <f t="shared" si="357"/>
        <v/>
      </c>
      <c r="IZ133" s="213" t="str">
        <f t="shared" si="358"/>
        <v/>
      </c>
      <c r="JA133" s="213" t="str">
        <f t="shared" si="229"/>
        <v/>
      </c>
      <c r="JB133" s="211" t="str">
        <f t="shared" si="359"/>
        <v/>
      </c>
    </row>
    <row r="134" spans="1:262" s="211" customFormat="1" ht="21" customHeight="1">
      <c r="A134" s="184">
        <v>127</v>
      </c>
      <c r="B134" s="185" t="str">
        <f>IF('Marks Entry'!B134="","",'Marks Entry'!B134)</f>
        <v/>
      </c>
      <c r="C134" s="186" t="str">
        <f>IF('Marks Entry'!D134="","",'Marks Entry'!D134)</f>
        <v/>
      </c>
      <c r="D134" s="187" t="str">
        <f>IF('Marks Entry'!E134="","",'Marks Entry'!E134)</f>
        <v/>
      </c>
      <c r="E134" s="188" t="str">
        <f>IF('Marks Entry'!F134="","",'Marks Entry'!F134)</f>
        <v/>
      </c>
      <c r="F134" s="188" t="str">
        <f>IF('Marks Entry'!G134="","",'Marks Entry'!G134)</f>
        <v/>
      </c>
      <c r="G134" s="188" t="str">
        <f>IF('Marks Entry'!H134="","",'Marks Entry'!H134)</f>
        <v/>
      </c>
      <c r="H134" s="189" t="str">
        <f>IF('Marks Entry'!I134="","",'Marks Entry'!I134)</f>
        <v/>
      </c>
      <c r="I134" s="190" t="str">
        <f>IF('Marks Entry'!J134="","",'Marks Entry'!J134)</f>
        <v/>
      </c>
      <c r="J134" s="545" t="str">
        <f>IF('Marks Entry'!K134="","",'Marks Entry'!K134)</f>
        <v/>
      </c>
      <c r="K134" s="545" t="str">
        <f>IF('Marks Entry'!L134="","",'Marks Entry'!L134)</f>
        <v/>
      </c>
      <c r="L134" s="545" t="str">
        <f>IF('Marks Entry'!M134="","",'Marks Entry'!M134)</f>
        <v/>
      </c>
      <c r="M134" s="546" t="str">
        <f t="shared" si="230"/>
        <v/>
      </c>
      <c r="N134" s="545" t="str">
        <f>IF('Marks Entry'!N134="","",'Marks Entry'!N134)</f>
        <v/>
      </c>
      <c r="O134" s="546" t="str">
        <f t="shared" si="231"/>
        <v/>
      </c>
      <c r="P134" s="545" t="str">
        <f>IF('Marks Entry'!O134="","",'Marks Entry'!O134)</f>
        <v/>
      </c>
      <c r="Q134" s="547" t="str">
        <f t="shared" si="232"/>
        <v/>
      </c>
      <c r="R134" s="153">
        <f t="shared" si="233"/>
        <v>0</v>
      </c>
      <c r="S134" s="153">
        <f t="shared" si="234"/>
        <v>0</v>
      </c>
      <c r="T134" s="154" t="str">
        <f t="shared" si="235"/>
        <v/>
      </c>
      <c r="U134" s="153" t="str">
        <f t="shared" si="236"/>
        <v/>
      </c>
      <c r="V134" s="153" t="str">
        <f t="shared" si="237"/>
        <v/>
      </c>
      <c r="W134" s="153" t="str">
        <f t="shared" si="238"/>
        <v/>
      </c>
      <c r="X134" s="545" t="str">
        <f>IF('Marks Entry'!P134="","",'Marks Entry'!P134)</f>
        <v/>
      </c>
      <c r="Y134" s="545" t="str">
        <f>IF('Marks Entry'!Q134="","",'Marks Entry'!Q134)</f>
        <v/>
      </c>
      <c r="Z134" s="545" t="str">
        <f>IF('Marks Entry'!R134="","",'Marks Entry'!R134)</f>
        <v/>
      </c>
      <c r="AA134" s="546" t="str">
        <f t="shared" si="239"/>
        <v/>
      </c>
      <c r="AB134" s="545" t="str">
        <f>IF('Marks Entry'!S134="","",'Marks Entry'!S134)</f>
        <v/>
      </c>
      <c r="AC134" s="546" t="str">
        <f t="shared" si="240"/>
        <v/>
      </c>
      <c r="AD134" s="545" t="str">
        <f>IF('Marks Entry'!T134="","",'Marks Entry'!T134)</f>
        <v/>
      </c>
      <c r="AE134" s="547" t="str">
        <f t="shared" si="241"/>
        <v/>
      </c>
      <c r="AF134" s="153">
        <f t="shared" si="242"/>
        <v>0</v>
      </c>
      <c r="AG134" s="153">
        <f t="shared" si="243"/>
        <v>0</v>
      </c>
      <c r="AH134" s="154" t="str">
        <f t="shared" si="244"/>
        <v/>
      </c>
      <c r="AI134" s="153" t="str">
        <f t="shared" si="245"/>
        <v/>
      </c>
      <c r="AJ134" s="153" t="str">
        <f t="shared" si="246"/>
        <v/>
      </c>
      <c r="AK134" s="153" t="str">
        <f t="shared" si="247"/>
        <v/>
      </c>
      <c r="AL134" s="573" t="str">
        <f>IF('Marks Entry'!U134="","",'Marks Entry'!U134)</f>
        <v/>
      </c>
      <c r="AM134" s="573" t="str">
        <f>IF('Marks Entry'!V134="","",'Marks Entry'!V134)</f>
        <v/>
      </c>
      <c r="AN134" s="573" t="str">
        <f>IF('Marks Entry'!W134="","",'Marks Entry'!W134)</f>
        <v/>
      </c>
      <c r="AO134" s="573" t="str">
        <f>IF('Marks Entry'!X134="","",'Marks Entry'!X134)</f>
        <v/>
      </c>
      <c r="AP134" s="572" t="str">
        <f t="shared" si="248"/>
        <v/>
      </c>
      <c r="AQ134" s="573" t="str">
        <f>IF('Marks Entry'!Y134="","",'Marks Entry'!Y134)</f>
        <v/>
      </c>
      <c r="AR134" s="573" t="str">
        <f>IF('Marks Entry'!Z134="","",'Marks Entry'!Z134)</f>
        <v/>
      </c>
      <c r="AS134" s="572" t="str">
        <f t="shared" si="249"/>
        <v/>
      </c>
      <c r="AT134" s="572" t="str">
        <f t="shared" si="250"/>
        <v/>
      </c>
      <c r="AU134" s="573" t="str">
        <f>IF('Marks Entry'!AA134="","",'Marks Entry'!AA134)</f>
        <v/>
      </c>
      <c r="AV134" s="573" t="str">
        <f>IF('Marks Entry'!AB134="","",'Marks Entry'!AB134)</f>
        <v/>
      </c>
      <c r="AW134" s="572" t="str">
        <f t="shared" si="251"/>
        <v/>
      </c>
      <c r="AX134" s="157" t="str">
        <f t="shared" si="252"/>
        <v/>
      </c>
      <c r="AY134" s="157" t="str">
        <f t="shared" si="253"/>
        <v/>
      </c>
      <c r="AZ134" s="192" t="str">
        <f t="shared" si="254"/>
        <v/>
      </c>
      <c r="BA134" s="153">
        <f t="shared" si="255"/>
        <v>0</v>
      </c>
      <c r="BB134" s="154">
        <f t="shared" si="256"/>
        <v>0</v>
      </c>
      <c r="BC134" s="154" t="str">
        <f t="shared" si="257"/>
        <v/>
      </c>
      <c r="BD134" s="154" t="str">
        <f t="shared" si="258"/>
        <v/>
      </c>
      <c r="BE134" s="154" t="str">
        <f t="shared" si="259"/>
        <v/>
      </c>
      <c r="BF134" s="153" t="str">
        <f t="shared" si="260"/>
        <v/>
      </c>
      <c r="BG134" s="154" t="str">
        <f t="shared" si="261"/>
        <v/>
      </c>
      <c r="BH134" s="153" t="str">
        <f t="shared" si="262"/>
        <v/>
      </c>
      <c r="BI134" s="580" t="str">
        <f>IF('Marks Entry'!AC134="","",'Marks Entry'!AC134)</f>
        <v/>
      </c>
      <c r="BJ134" s="580" t="str">
        <f>IF('Marks Entry'!AD134="","",'Marks Entry'!AD134)</f>
        <v/>
      </c>
      <c r="BK134" s="580" t="str">
        <f>IF('Marks Entry'!AE134="","",'Marks Entry'!AE134)</f>
        <v/>
      </c>
      <c r="BL134" s="580" t="str">
        <f>IF('Marks Entry'!AF134="","",'Marks Entry'!AF134)</f>
        <v/>
      </c>
      <c r="BM134" s="581" t="str">
        <f t="shared" si="263"/>
        <v/>
      </c>
      <c r="BN134" s="580" t="str">
        <f>IF('Marks Entry'!AG134="","",'Marks Entry'!AG134)</f>
        <v/>
      </c>
      <c r="BO134" s="580" t="str">
        <f>IF('Marks Entry'!AH134="","",'Marks Entry'!AH134)</f>
        <v/>
      </c>
      <c r="BP134" s="581" t="str">
        <f t="shared" si="264"/>
        <v/>
      </c>
      <c r="BQ134" s="581" t="str">
        <f t="shared" si="265"/>
        <v/>
      </c>
      <c r="BR134" s="580" t="str">
        <f>IF('Marks Entry'!AI134="","",'Marks Entry'!AI134)</f>
        <v/>
      </c>
      <c r="BS134" s="580" t="str">
        <f>IF('Marks Entry'!AJ134="","",'Marks Entry'!AJ134)</f>
        <v/>
      </c>
      <c r="BT134" s="581" t="str">
        <f t="shared" si="266"/>
        <v/>
      </c>
      <c r="BU134" s="157" t="str">
        <f t="shared" si="267"/>
        <v/>
      </c>
      <c r="BV134" s="157" t="str">
        <f t="shared" si="268"/>
        <v/>
      </c>
      <c r="BW134" s="192" t="str">
        <f t="shared" si="269"/>
        <v/>
      </c>
      <c r="BX134" s="153">
        <f t="shared" si="270"/>
        <v>0</v>
      </c>
      <c r="BY134" s="154">
        <f t="shared" si="271"/>
        <v>0</v>
      </c>
      <c r="BZ134" s="154" t="str">
        <f t="shared" si="272"/>
        <v/>
      </c>
      <c r="CA134" s="154" t="str">
        <f t="shared" si="273"/>
        <v/>
      </c>
      <c r="CB134" s="154" t="str">
        <f t="shared" si="274"/>
        <v/>
      </c>
      <c r="CC134" s="153" t="str">
        <f t="shared" si="275"/>
        <v/>
      </c>
      <c r="CD134" s="154" t="str">
        <f t="shared" si="276"/>
        <v/>
      </c>
      <c r="CE134" s="153" t="str">
        <f t="shared" si="277"/>
        <v/>
      </c>
      <c r="CF134" s="580" t="str">
        <f>IF('Marks Entry'!AK134="","",'Marks Entry'!AK134)</f>
        <v/>
      </c>
      <c r="CG134" s="580" t="str">
        <f>IF('Marks Entry'!AL134="","",'Marks Entry'!AL134)</f>
        <v/>
      </c>
      <c r="CH134" s="580" t="str">
        <f>IF('Marks Entry'!AM134="","",'Marks Entry'!AM134)</f>
        <v/>
      </c>
      <c r="CI134" s="580" t="str">
        <f>IF('Marks Entry'!AN134="","",'Marks Entry'!AN134)</f>
        <v/>
      </c>
      <c r="CJ134" s="581" t="str">
        <f t="shared" si="278"/>
        <v/>
      </c>
      <c r="CK134" s="580" t="str">
        <f>IF('Marks Entry'!AO134="","",'Marks Entry'!AO134)</f>
        <v/>
      </c>
      <c r="CL134" s="580" t="str">
        <f>IF('Marks Entry'!AP134="","",'Marks Entry'!AP134)</f>
        <v/>
      </c>
      <c r="CM134" s="581" t="str">
        <f t="shared" si="279"/>
        <v/>
      </c>
      <c r="CN134" s="581" t="str">
        <f t="shared" si="280"/>
        <v/>
      </c>
      <c r="CO134" s="580" t="str">
        <f>IF('Marks Entry'!AQ134="","",'Marks Entry'!AQ134)</f>
        <v/>
      </c>
      <c r="CP134" s="580" t="str">
        <f>IF('Marks Entry'!AR134="","",'Marks Entry'!AR134)</f>
        <v/>
      </c>
      <c r="CQ134" s="581" t="str">
        <f t="shared" si="281"/>
        <v/>
      </c>
      <c r="CR134" s="157" t="str">
        <f t="shared" si="282"/>
        <v/>
      </c>
      <c r="CS134" s="157" t="str">
        <f t="shared" si="283"/>
        <v/>
      </c>
      <c r="CT134" s="192" t="str">
        <f t="shared" si="284"/>
        <v/>
      </c>
      <c r="CU134" s="153">
        <f t="shared" si="285"/>
        <v>0</v>
      </c>
      <c r="CV134" s="154">
        <f t="shared" si="286"/>
        <v>0</v>
      </c>
      <c r="CW134" s="154" t="str">
        <f t="shared" si="287"/>
        <v/>
      </c>
      <c r="CX134" s="154" t="str">
        <f t="shared" si="288"/>
        <v/>
      </c>
      <c r="CY134" s="154" t="str">
        <f t="shared" si="289"/>
        <v/>
      </c>
      <c r="CZ134" s="153" t="str">
        <f t="shared" si="290"/>
        <v/>
      </c>
      <c r="DA134" s="154" t="str">
        <f t="shared" si="291"/>
        <v/>
      </c>
      <c r="DB134" s="153" t="str">
        <f t="shared" si="292"/>
        <v/>
      </c>
      <c r="DC134" s="154">
        <f t="shared" si="293"/>
        <v>0</v>
      </c>
      <c r="DD134" s="826" t="str">
        <f>IF('Marks Entry'!AS134="","",IF(OR('Master Sheet'!$D$19="YES",'Marks Entry'!$BA$1=1),'Marks Entry'!AS134,""))</f>
        <v/>
      </c>
      <c r="DE134" s="826" t="str">
        <f>IF('Marks Entry'!AT134="","",IF(OR('Master Sheet'!$D$19="YES",'Marks Entry'!$BA$1=1),'Marks Entry'!AT134,""))</f>
        <v/>
      </c>
      <c r="DF134" s="826" t="str">
        <f>IF('Marks Entry'!AU134="","",IF(OR('Master Sheet'!$D$19="YES",'Marks Entry'!$BA$1=1),'Marks Entry'!AU134,""))</f>
        <v/>
      </c>
      <c r="DG134" s="826" t="str">
        <f>IF('Marks Entry'!AV134="","",IF(OR('Master Sheet'!$D$19="YES",'Marks Entry'!$BA$1=1),'Marks Entry'!AV134,""))</f>
        <v/>
      </c>
      <c r="DH134" s="827" t="str">
        <f t="shared" si="294"/>
        <v/>
      </c>
      <c r="DI134" s="826" t="str">
        <f>IF('Marks Entry'!AW134="","",IF(OR('Master Sheet'!$D$19="YES",'Marks Entry'!$BA$1=1),'Marks Entry'!AW134,""))</f>
        <v/>
      </c>
      <c r="DJ134" s="826" t="str">
        <f>IF('Marks Entry'!AX134="","",IF(OR('Master Sheet'!$D$19="YES",'Marks Entry'!$BA$1=1),'Marks Entry'!AX134,""))</f>
        <v/>
      </c>
      <c r="DK134" s="827" t="str">
        <f t="shared" si="295"/>
        <v/>
      </c>
      <c r="DL134" s="827" t="str">
        <f t="shared" si="296"/>
        <v/>
      </c>
      <c r="DM134" s="826" t="str">
        <f>IF('Marks Entry'!AY134="","",IF(OR('Master Sheet'!$D$19="YES",'Marks Entry'!$BA$1=1),'Marks Entry'!AY134,""))</f>
        <v/>
      </c>
      <c r="DN134" s="826" t="str">
        <f>IF('Marks Entry'!AZ134="","",IF(OR('Master Sheet'!$D$19="YES",'Marks Entry'!$BA$1=1),'Marks Entry'!AZ134,""))</f>
        <v/>
      </c>
      <c r="DO134" s="826" t="str">
        <f>IF('Marks Entry'!BA134="","",IF(OR('Master Sheet'!$D$19="YES",'Marks Entry'!$BA$1=1),'Marks Entry'!BA134,""))</f>
        <v/>
      </c>
      <c r="DP134" s="827" t="str">
        <f t="shared" si="297"/>
        <v/>
      </c>
      <c r="DQ134" s="157" t="str">
        <f t="shared" si="298"/>
        <v/>
      </c>
      <c r="DR134" s="157" t="str">
        <f t="shared" si="299"/>
        <v/>
      </c>
      <c r="DS134" s="157" t="str">
        <f t="shared" si="300"/>
        <v/>
      </c>
      <c r="DT134" s="192" t="str">
        <f t="shared" si="301"/>
        <v/>
      </c>
      <c r="DU134" s="153">
        <f t="shared" si="302"/>
        <v>0</v>
      </c>
      <c r="DV134" s="154" t="e">
        <f t="shared" si="303"/>
        <v>#VALUE!</v>
      </c>
      <c r="DW134" s="154" t="str">
        <f t="shared" si="304"/>
        <v/>
      </c>
      <c r="DX134" s="154" t="str">
        <f>IF(OR($B134="NSO",$B134=0,DS134=""),"",IF(AND(DJ134="",DO134=""),"",IF('Master Sheet'!$D$19="YES",$DO$6-COUNTIF(DO134,"ML")*DO$6,DS$6-(COUNTIF(DJ134,"ML")*DJ$6)-(COUNTIF(DO134,"ML")*DO$6))))</f>
        <v/>
      </c>
      <c r="DY134" s="154" t="str">
        <f>IF(OR($B134="NSO",$B134=0),"",IF(AND(DH134="",DI134="",DM134=""),"",IF(AND('Master Sheet'!$D$19="YES",'Marks Entry'!$BA$1=1),100,IF(AND(DJ134="",DO134=""),SUM(($DQ$7+$DR$7)-(DU134+DV134)),SUM(($DQ$6+$DR$6)-(DU134+DV134))))))</f>
        <v/>
      </c>
      <c r="DZ134" s="153" t="str">
        <f t="shared" si="305"/>
        <v/>
      </c>
      <c r="EA134" s="154" t="str">
        <f t="shared" si="306"/>
        <v/>
      </c>
      <c r="EB134" s="153" t="str">
        <f t="shared" si="307"/>
        <v/>
      </c>
      <c r="EC134" s="584" t="str">
        <f>IF('Marks Entry'!BB134="","",'Marks Entry'!BB134)</f>
        <v/>
      </c>
      <c r="ED134" s="584" t="str">
        <f>IF('Marks Entry'!BC134="","",'Marks Entry'!BC134)</f>
        <v/>
      </c>
      <c r="EE134" s="584" t="str">
        <f>IF('Marks Entry'!BD134="","",'Marks Entry'!BD134)</f>
        <v/>
      </c>
      <c r="EF134" s="590" t="str">
        <f t="shared" si="308"/>
        <v/>
      </c>
      <c r="EG134" s="595">
        <f t="shared" si="309"/>
        <v>0</v>
      </c>
      <c r="EH134" s="595">
        <f t="shared" si="310"/>
        <v>0</v>
      </c>
      <c r="EI134" s="193" t="str">
        <f t="shared" si="311"/>
        <v/>
      </c>
      <c r="EJ134" s="595" t="str">
        <f t="shared" si="312"/>
        <v/>
      </c>
      <c r="EK134" s="595" t="str">
        <f t="shared" si="313"/>
        <v/>
      </c>
      <c r="EL134" s="194" t="str">
        <f t="shared" si="314"/>
        <v/>
      </c>
      <c r="EM134" s="194" t="str">
        <f t="shared" si="315"/>
        <v/>
      </c>
      <c r="EN134" s="194" t="str">
        <f t="shared" si="316"/>
        <v/>
      </c>
      <c r="EO134" s="194" t="str">
        <f t="shared" si="317"/>
        <v/>
      </c>
      <c r="EP134" s="194" t="str">
        <f t="shared" si="318"/>
        <v/>
      </c>
      <c r="EQ134" s="194" t="str">
        <f t="shared" si="319"/>
        <v/>
      </c>
      <c r="ER134" s="195">
        <f t="shared" si="320"/>
        <v>0</v>
      </c>
      <c r="ES134" s="195">
        <f t="shared" si="321"/>
        <v>0</v>
      </c>
      <c r="ET134" s="195">
        <f t="shared" si="322"/>
        <v>0</v>
      </c>
      <c r="EU134" s="195">
        <f t="shared" si="323"/>
        <v>0</v>
      </c>
      <c r="EV134" s="195">
        <f t="shared" si="324"/>
        <v>0</v>
      </c>
      <c r="EW134" s="195" t="str">
        <f t="shared" si="325"/>
        <v/>
      </c>
      <c r="EX134" s="196" t="str">
        <f t="shared" si="326"/>
        <v/>
      </c>
      <c r="EY134" s="197" t="str">
        <f>IF('Marks Entry'!BE134="","",'Marks Entry'!BE134)</f>
        <v/>
      </c>
      <c r="EZ134" s="197" t="str">
        <f>IF('Marks Entry'!BF134="","",'Marks Entry'!BF134)</f>
        <v/>
      </c>
      <c r="FA134" s="197" t="str">
        <f>IF('Marks Entry'!BG134="","",'Marks Entry'!BG134)</f>
        <v/>
      </c>
      <c r="FB134" s="596" t="str">
        <f t="shared" si="327"/>
        <v/>
      </c>
      <c r="FC134" s="197" t="str">
        <f>IF('Marks Entry'!BH134="","",'Marks Entry'!BH134)</f>
        <v/>
      </c>
      <c r="FD134" s="197" t="str">
        <f>IF('Marks Entry'!BI134="","",'Marks Entry'!BI134)</f>
        <v/>
      </c>
      <c r="FE134" s="198" t="str">
        <f t="shared" si="328"/>
        <v/>
      </c>
      <c r="FF134" s="199" t="str">
        <f t="shared" si="329"/>
        <v/>
      </c>
      <c r="FG134" s="200" t="str">
        <f>IF(AND(E134=""),"",IF('Student DATA Entry'!L130="","",'Student DATA Entry'!L130))</f>
        <v/>
      </c>
      <c r="FH134" s="201" t="str">
        <f>IF(AND(E134=""),"",IF('Student DATA Entry'!M130="","",'Student DATA Entry'!M130))</f>
        <v/>
      </c>
      <c r="FI134" s="202" t="str">
        <f t="shared" si="330"/>
        <v/>
      </c>
      <c r="FJ134" s="189" t="str">
        <f t="shared" si="331"/>
        <v/>
      </c>
      <c r="FK134" s="189" t="str">
        <f t="shared" si="332"/>
        <v/>
      </c>
      <c r="FL134" s="203" t="str">
        <f t="shared" si="360"/>
        <v/>
      </c>
      <c r="FM134" s="189" t="str">
        <f t="shared" si="333"/>
        <v/>
      </c>
      <c r="FN134" s="204" t="str">
        <f t="shared" si="334"/>
        <v/>
      </c>
      <c r="FO134" s="203" t="str">
        <f t="shared" si="361"/>
        <v/>
      </c>
      <c r="FP134" s="205" t="str">
        <f t="shared" si="335"/>
        <v/>
      </c>
      <c r="FQ134" s="189" t="str">
        <f t="shared" si="362"/>
        <v/>
      </c>
      <c r="FR134" s="189" t="str">
        <f t="shared" si="363"/>
        <v/>
      </c>
      <c r="FS134" s="189" t="str">
        <f t="shared" si="364"/>
        <v/>
      </c>
      <c r="FT134" s="189" t="str">
        <f t="shared" si="365"/>
        <v/>
      </c>
      <c r="FU134" s="189" t="str">
        <f t="shared" si="336"/>
        <v/>
      </c>
      <c r="FV134" s="206" t="str">
        <f t="shared" si="366"/>
        <v/>
      </c>
      <c r="FW134" s="205" t="str">
        <f t="shared" si="337"/>
        <v/>
      </c>
      <c r="FX134" s="189" t="str">
        <f t="shared" si="367"/>
        <v/>
      </c>
      <c r="FY134" s="189" t="str">
        <f t="shared" si="368"/>
        <v/>
      </c>
      <c r="FZ134" s="189" t="str">
        <f t="shared" si="369"/>
        <v/>
      </c>
      <c r="GA134" s="189" t="str">
        <f t="shared" si="370"/>
        <v/>
      </c>
      <c r="GB134" s="189" t="str">
        <f t="shared" si="338"/>
        <v/>
      </c>
      <c r="GC134" s="206" t="str">
        <f t="shared" si="371"/>
        <v/>
      </c>
      <c r="GD134" s="205" t="str">
        <f t="shared" si="339"/>
        <v/>
      </c>
      <c r="GE134" s="189" t="str">
        <f t="shared" si="372"/>
        <v/>
      </c>
      <c r="GF134" s="189" t="str">
        <f t="shared" si="373"/>
        <v/>
      </c>
      <c r="GG134" s="189" t="str">
        <f t="shared" si="374"/>
        <v/>
      </c>
      <c r="GH134" s="189" t="str">
        <f t="shared" si="375"/>
        <v/>
      </c>
      <c r="GI134" s="189" t="str">
        <f t="shared" si="340"/>
        <v/>
      </c>
      <c r="GJ134" s="206" t="str">
        <f t="shared" si="376"/>
        <v/>
      </c>
      <c r="GK134" s="205" t="str">
        <f t="shared" si="341"/>
        <v/>
      </c>
      <c r="GL134" s="189" t="str">
        <f t="shared" si="377"/>
        <v/>
      </c>
      <c r="GM134" s="189" t="str">
        <f t="shared" si="378"/>
        <v/>
      </c>
      <c r="GN134" s="189" t="str">
        <f t="shared" si="379"/>
        <v/>
      </c>
      <c r="GO134" s="189" t="str">
        <f t="shared" si="380"/>
        <v/>
      </c>
      <c r="GP134" s="189" t="str">
        <f t="shared" si="342"/>
        <v/>
      </c>
      <c r="GQ134" s="206" t="str">
        <f t="shared" si="381"/>
        <v/>
      </c>
      <c r="GR134" s="189" t="str">
        <f t="shared" si="343"/>
        <v/>
      </c>
      <c r="GS134" s="189" t="str">
        <f t="shared" si="344"/>
        <v/>
      </c>
      <c r="GT134" s="207" t="str">
        <f t="shared" si="345"/>
        <v xml:space="preserve">    </v>
      </c>
      <c r="GU134" s="207" t="str">
        <f t="shared" si="346"/>
        <v xml:space="preserve">    </v>
      </c>
      <c r="GV134" s="207" t="str">
        <f t="shared" si="347"/>
        <v xml:space="preserve">    </v>
      </c>
      <c r="GW134" s="207" t="str">
        <f t="shared" si="348"/>
        <v xml:space="preserve">       </v>
      </c>
      <c r="GX134" s="598" t="str">
        <f t="shared" si="349"/>
        <v xml:space="preserve">     </v>
      </c>
      <c r="GY134" s="208" t="str">
        <f t="shared" si="382"/>
        <v/>
      </c>
      <c r="GZ134" s="606" t="str">
        <f>IF(AND(Q134="",AE134="",AZ134="",BW134="",CT134=""),"",IF(AND('Master Sheet'!$D$19="YES",'Marks Entry'!$BA$1=1),SUM(Q134,AE134,AZ134,BW134,DT134),SUM(Q134,AE134,AZ134,BW134,CT134)))</f>
        <v/>
      </c>
      <c r="HA134" s="209" t="str">
        <f>IF(GZ134="","",IF(AND('Master Sheet'!$D$19="YES",'Marks Entry'!$BA$1=1),GZ134/((900)-DC134)*100,GZ134/((1000)-DC134)*100))</f>
        <v/>
      </c>
      <c r="HB134" s="611" t="str">
        <f t="shared" si="350"/>
        <v/>
      </c>
      <c r="HC134" s="609" t="str">
        <f t="shared" si="351"/>
        <v/>
      </c>
      <c r="HD134" s="610" t="str">
        <f t="shared" si="352"/>
        <v/>
      </c>
      <c r="HE134" s="210" t="str">
        <f>IFERROR(IF(OR(GY134="SUPPLEMENTARY",GY134="RE-EXAM"),'Supp. Result Entry'!AS133,""),"")</f>
        <v/>
      </c>
      <c r="HF134" s="613" t="str">
        <f t="shared" si="353"/>
        <v/>
      </c>
      <c r="HG134" s="598" t="str">
        <f t="shared" si="354"/>
        <v/>
      </c>
      <c r="HH134" s="598" t="str">
        <f>IF(AND(HE134="",HF134="",HG134=""),"",IF(OR(GY134="SUPPLEMENTARY",GY134="RE-EXAM"),'Supp. Result Entry'!AS133,GY134))</f>
        <v/>
      </c>
      <c r="HI134" s="180"/>
      <c r="HY134" s="212" t="str">
        <f>IF('Supp. Result Entry'!U133="","",'Supp. Result Entry'!$U$6)</f>
        <v/>
      </c>
      <c r="HZ134" s="213" t="str">
        <f>IF('Supp. Result Entry'!X133="","",'Supp. Result Entry'!$X$6)</f>
        <v/>
      </c>
      <c r="IA134" s="213" t="str">
        <f>IF('Supp. Result Entry'!AA133="","",'Supp. Result Entry'!$AA$6)</f>
        <v/>
      </c>
      <c r="IB134" s="213" t="str">
        <f>IF('Supp. Result Entry'!AD133="","",'Supp. Result Entry'!$AD$6)</f>
        <v/>
      </c>
      <c r="IC134" s="213" t="str">
        <f>IF('Supp. Result Entry'!AG133="","",'Supp. Result Entry'!$AG$6)</f>
        <v/>
      </c>
      <c r="ID134" s="213" t="str">
        <f>IF('Supp. Result Entry'!AJ133="","",'Supp. Result Entry'!$AJ$6)</f>
        <v/>
      </c>
      <c r="IE134" s="213" t="str">
        <f>IF('Supp. Result Entry'!V133="","",'Supp. Result Entry'!V133)</f>
        <v/>
      </c>
      <c r="IF134" s="213" t="str">
        <f>IF('Supp. Result Entry'!Y133="","",'Supp. Result Entry'!Y133)</f>
        <v/>
      </c>
      <c r="IG134" s="213" t="str">
        <f>IF('Supp. Result Entry'!AB133="","",'Supp. Result Entry'!AB133)</f>
        <v/>
      </c>
      <c r="IH134" s="213" t="str">
        <f>IF('Supp. Result Entry'!AE133="","",'Supp. Result Entry'!AE133)</f>
        <v/>
      </c>
      <c r="II134" s="213" t="str">
        <f>IF('Supp. Result Entry'!AH133="","",'Supp. Result Entry'!AH133)</f>
        <v/>
      </c>
      <c r="IJ134" s="213" t="str">
        <f>IF('Supp. Result Entry'!AK133="","",'Supp. Result Entry'!AK133)</f>
        <v/>
      </c>
      <c r="IK134" s="213" t="str">
        <f>IF('Supp. Result Entry'!W133="","",'Supp. Result Entry'!W133)</f>
        <v/>
      </c>
      <c r="IL134" s="213" t="str">
        <f>IF('Supp. Result Entry'!Z133="","",'Supp. Result Entry'!Z133)</f>
        <v/>
      </c>
      <c r="IM134" s="213" t="str">
        <f>IF('Supp. Result Entry'!AC133="","",'Supp. Result Entry'!AC133)</f>
        <v/>
      </c>
      <c r="IN134" s="213" t="str">
        <f>IF('Supp. Result Entry'!AF133="","",'Supp. Result Entry'!AF133)</f>
        <v/>
      </c>
      <c r="IO134" s="213" t="str">
        <f>IF('Supp. Result Entry'!AI133="","",'Supp. Result Entry'!AI133)</f>
        <v/>
      </c>
      <c r="IP134" s="213" t="str">
        <f>IF('Supp. Result Entry'!AL133="","",'Supp. Result Entry'!AL133)</f>
        <v/>
      </c>
      <c r="IQ134" s="213">
        <f>COUNTIF('Supp. Result Entry'!K133:Q133,"S")</f>
        <v>0</v>
      </c>
      <c r="IR134" s="213">
        <f t="shared" si="355"/>
        <v>0</v>
      </c>
      <c r="IS134" s="213">
        <f t="shared" si="356"/>
        <v>0</v>
      </c>
      <c r="IT134" s="213" t="str">
        <f t="shared" si="224"/>
        <v/>
      </c>
      <c r="IU134" s="213" t="str">
        <f t="shared" si="225"/>
        <v/>
      </c>
      <c r="IV134" s="213" t="str">
        <f t="shared" si="226"/>
        <v/>
      </c>
      <c r="IW134" s="213" t="str">
        <f t="shared" si="227"/>
        <v/>
      </c>
      <c r="IX134" s="213" t="str">
        <f t="shared" si="228"/>
        <v/>
      </c>
      <c r="IY134" s="213" t="str">
        <f t="shared" si="357"/>
        <v/>
      </c>
      <c r="IZ134" s="213" t="str">
        <f t="shared" si="358"/>
        <v/>
      </c>
      <c r="JA134" s="213" t="str">
        <f t="shared" si="229"/>
        <v/>
      </c>
      <c r="JB134" s="211" t="str">
        <f t="shared" si="359"/>
        <v/>
      </c>
    </row>
    <row r="135" spans="1:262" s="211" customFormat="1" ht="21" customHeight="1">
      <c r="A135" s="184">
        <v>128</v>
      </c>
      <c r="B135" s="185" t="str">
        <f>IF('Marks Entry'!B135="","",'Marks Entry'!B135)</f>
        <v/>
      </c>
      <c r="C135" s="186" t="str">
        <f>IF('Marks Entry'!D135="","",'Marks Entry'!D135)</f>
        <v/>
      </c>
      <c r="D135" s="187" t="str">
        <f>IF('Marks Entry'!E135="","",'Marks Entry'!E135)</f>
        <v/>
      </c>
      <c r="E135" s="188" t="str">
        <f>IF('Marks Entry'!F135="","",'Marks Entry'!F135)</f>
        <v/>
      </c>
      <c r="F135" s="188" t="str">
        <f>IF('Marks Entry'!G135="","",'Marks Entry'!G135)</f>
        <v/>
      </c>
      <c r="G135" s="188" t="str">
        <f>IF('Marks Entry'!H135="","",'Marks Entry'!H135)</f>
        <v/>
      </c>
      <c r="H135" s="189" t="str">
        <f>IF('Marks Entry'!I135="","",'Marks Entry'!I135)</f>
        <v/>
      </c>
      <c r="I135" s="190" t="str">
        <f>IF('Marks Entry'!J135="","",'Marks Entry'!J135)</f>
        <v/>
      </c>
      <c r="J135" s="545" t="str">
        <f>IF('Marks Entry'!K135="","",'Marks Entry'!K135)</f>
        <v/>
      </c>
      <c r="K135" s="545" t="str">
        <f>IF('Marks Entry'!L135="","",'Marks Entry'!L135)</f>
        <v/>
      </c>
      <c r="L135" s="545" t="str">
        <f>IF('Marks Entry'!M135="","",'Marks Entry'!M135)</f>
        <v/>
      </c>
      <c r="M135" s="546" t="str">
        <f t="shared" si="230"/>
        <v/>
      </c>
      <c r="N135" s="545" t="str">
        <f>IF('Marks Entry'!N135="","",'Marks Entry'!N135)</f>
        <v/>
      </c>
      <c r="O135" s="546" t="str">
        <f t="shared" si="231"/>
        <v/>
      </c>
      <c r="P135" s="545" t="str">
        <f>IF('Marks Entry'!O135="","",'Marks Entry'!O135)</f>
        <v/>
      </c>
      <c r="Q135" s="547" t="str">
        <f t="shared" si="232"/>
        <v/>
      </c>
      <c r="R135" s="153">
        <f t="shared" si="233"/>
        <v>0</v>
      </c>
      <c r="S135" s="153">
        <f t="shared" si="234"/>
        <v>0</v>
      </c>
      <c r="T135" s="154" t="str">
        <f t="shared" si="235"/>
        <v/>
      </c>
      <c r="U135" s="153" t="str">
        <f t="shared" si="236"/>
        <v/>
      </c>
      <c r="V135" s="153" t="str">
        <f t="shared" si="237"/>
        <v/>
      </c>
      <c r="W135" s="153" t="str">
        <f t="shared" si="238"/>
        <v/>
      </c>
      <c r="X135" s="545" t="str">
        <f>IF('Marks Entry'!P135="","",'Marks Entry'!P135)</f>
        <v/>
      </c>
      <c r="Y135" s="545" t="str">
        <f>IF('Marks Entry'!Q135="","",'Marks Entry'!Q135)</f>
        <v/>
      </c>
      <c r="Z135" s="545" t="str">
        <f>IF('Marks Entry'!R135="","",'Marks Entry'!R135)</f>
        <v/>
      </c>
      <c r="AA135" s="546" t="str">
        <f t="shared" si="239"/>
        <v/>
      </c>
      <c r="AB135" s="545" t="str">
        <f>IF('Marks Entry'!S135="","",'Marks Entry'!S135)</f>
        <v/>
      </c>
      <c r="AC135" s="546" t="str">
        <f t="shared" si="240"/>
        <v/>
      </c>
      <c r="AD135" s="545" t="str">
        <f>IF('Marks Entry'!T135="","",'Marks Entry'!T135)</f>
        <v/>
      </c>
      <c r="AE135" s="547" t="str">
        <f t="shared" si="241"/>
        <v/>
      </c>
      <c r="AF135" s="153">
        <f t="shared" si="242"/>
        <v>0</v>
      </c>
      <c r="AG135" s="153">
        <f t="shared" si="243"/>
        <v>0</v>
      </c>
      <c r="AH135" s="154" t="str">
        <f t="shared" si="244"/>
        <v/>
      </c>
      <c r="AI135" s="153" t="str">
        <f t="shared" si="245"/>
        <v/>
      </c>
      <c r="AJ135" s="153" t="str">
        <f t="shared" si="246"/>
        <v/>
      </c>
      <c r="AK135" s="153" t="str">
        <f t="shared" si="247"/>
        <v/>
      </c>
      <c r="AL135" s="573" t="str">
        <f>IF('Marks Entry'!U135="","",'Marks Entry'!U135)</f>
        <v/>
      </c>
      <c r="AM135" s="573" t="str">
        <f>IF('Marks Entry'!V135="","",'Marks Entry'!V135)</f>
        <v/>
      </c>
      <c r="AN135" s="573" t="str">
        <f>IF('Marks Entry'!W135="","",'Marks Entry'!W135)</f>
        <v/>
      </c>
      <c r="AO135" s="573" t="str">
        <f>IF('Marks Entry'!X135="","",'Marks Entry'!X135)</f>
        <v/>
      </c>
      <c r="AP135" s="572" t="str">
        <f t="shared" si="248"/>
        <v/>
      </c>
      <c r="AQ135" s="573" t="str">
        <f>IF('Marks Entry'!Y135="","",'Marks Entry'!Y135)</f>
        <v/>
      </c>
      <c r="AR135" s="573" t="str">
        <f>IF('Marks Entry'!Z135="","",'Marks Entry'!Z135)</f>
        <v/>
      </c>
      <c r="AS135" s="572" t="str">
        <f t="shared" si="249"/>
        <v/>
      </c>
      <c r="AT135" s="572" t="str">
        <f t="shared" si="250"/>
        <v/>
      </c>
      <c r="AU135" s="573" t="str">
        <f>IF('Marks Entry'!AA135="","",'Marks Entry'!AA135)</f>
        <v/>
      </c>
      <c r="AV135" s="573" t="str">
        <f>IF('Marks Entry'!AB135="","",'Marks Entry'!AB135)</f>
        <v/>
      </c>
      <c r="AW135" s="572" t="str">
        <f t="shared" si="251"/>
        <v/>
      </c>
      <c r="AX135" s="157" t="str">
        <f t="shared" si="252"/>
        <v/>
      </c>
      <c r="AY135" s="157" t="str">
        <f t="shared" si="253"/>
        <v/>
      </c>
      <c r="AZ135" s="192" t="str">
        <f t="shared" si="254"/>
        <v/>
      </c>
      <c r="BA135" s="153">
        <f t="shared" si="255"/>
        <v>0</v>
      </c>
      <c r="BB135" s="154">
        <f t="shared" si="256"/>
        <v>0</v>
      </c>
      <c r="BC135" s="154" t="str">
        <f t="shared" si="257"/>
        <v/>
      </c>
      <c r="BD135" s="154" t="str">
        <f t="shared" si="258"/>
        <v/>
      </c>
      <c r="BE135" s="154" t="str">
        <f t="shared" si="259"/>
        <v/>
      </c>
      <c r="BF135" s="153" t="str">
        <f t="shared" si="260"/>
        <v/>
      </c>
      <c r="BG135" s="154" t="str">
        <f t="shared" si="261"/>
        <v/>
      </c>
      <c r="BH135" s="153" t="str">
        <f t="shared" si="262"/>
        <v/>
      </c>
      <c r="BI135" s="580" t="str">
        <f>IF('Marks Entry'!AC135="","",'Marks Entry'!AC135)</f>
        <v/>
      </c>
      <c r="BJ135" s="580" t="str">
        <f>IF('Marks Entry'!AD135="","",'Marks Entry'!AD135)</f>
        <v/>
      </c>
      <c r="BK135" s="580" t="str">
        <f>IF('Marks Entry'!AE135="","",'Marks Entry'!AE135)</f>
        <v/>
      </c>
      <c r="BL135" s="580" t="str">
        <f>IF('Marks Entry'!AF135="","",'Marks Entry'!AF135)</f>
        <v/>
      </c>
      <c r="BM135" s="581" t="str">
        <f t="shared" si="263"/>
        <v/>
      </c>
      <c r="BN135" s="580" t="str">
        <f>IF('Marks Entry'!AG135="","",'Marks Entry'!AG135)</f>
        <v/>
      </c>
      <c r="BO135" s="580" t="str">
        <f>IF('Marks Entry'!AH135="","",'Marks Entry'!AH135)</f>
        <v/>
      </c>
      <c r="BP135" s="581" t="str">
        <f t="shared" si="264"/>
        <v/>
      </c>
      <c r="BQ135" s="581" t="str">
        <f t="shared" si="265"/>
        <v/>
      </c>
      <c r="BR135" s="580" t="str">
        <f>IF('Marks Entry'!AI135="","",'Marks Entry'!AI135)</f>
        <v/>
      </c>
      <c r="BS135" s="580" t="str">
        <f>IF('Marks Entry'!AJ135="","",'Marks Entry'!AJ135)</f>
        <v/>
      </c>
      <c r="BT135" s="581" t="str">
        <f t="shared" si="266"/>
        <v/>
      </c>
      <c r="BU135" s="157" t="str">
        <f t="shared" si="267"/>
        <v/>
      </c>
      <c r="BV135" s="157" t="str">
        <f t="shared" si="268"/>
        <v/>
      </c>
      <c r="BW135" s="192" t="str">
        <f t="shared" si="269"/>
        <v/>
      </c>
      <c r="BX135" s="153">
        <f t="shared" si="270"/>
        <v>0</v>
      </c>
      <c r="BY135" s="154">
        <f t="shared" si="271"/>
        <v>0</v>
      </c>
      <c r="BZ135" s="154" t="str">
        <f t="shared" si="272"/>
        <v/>
      </c>
      <c r="CA135" s="154" t="str">
        <f t="shared" si="273"/>
        <v/>
      </c>
      <c r="CB135" s="154" t="str">
        <f t="shared" si="274"/>
        <v/>
      </c>
      <c r="CC135" s="153" t="str">
        <f t="shared" si="275"/>
        <v/>
      </c>
      <c r="CD135" s="154" t="str">
        <f t="shared" si="276"/>
        <v/>
      </c>
      <c r="CE135" s="153" t="str">
        <f t="shared" si="277"/>
        <v/>
      </c>
      <c r="CF135" s="580" t="str">
        <f>IF('Marks Entry'!AK135="","",'Marks Entry'!AK135)</f>
        <v/>
      </c>
      <c r="CG135" s="580" t="str">
        <f>IF('Marks Entry'!AL135="","",'Marks Entry'!AL135)</f>
        <v/>
      </c>
      <c r="CH135" s="580" t="str">
        <f>IF('Marks Entry'!AM135="","",'Marks Entry'!AM135)</f>
        <v/>
      </c>
      <c r="CI135" s="580" t="str">
        <f>IF('Marks Entry'!AN135="","",'Marks Entry'!AN135)</f>
        <v/>
      </c>
      <c r="CJ135" s="581" t="str">
        <f t="shared" si="278"/>
        <v/>
      </c>
      <c r="CK135" s="580" t="str">
        <f>IF('Marks Entry'!AO135="","",'Marks Entry'!AO135)</f>
        <v/>
      </c>
      <c r="CL135" s="580" t="str">
        <f>IF('Marks Entry'!AP135="","",'Marks Entry'!AP135)</f>
        <v/>
      </c>
      <c r="CM135" s="581" t="str">
        <f t="shared" si="279"/>
        <v/>
      </c>
      <c r="CN135" s="581" t="str">
        <f t="shared" si="280"/>
        <v/>
      </c>
      <c r="CO135" s="580" t="str">
        <f>IF('Marks Entry'!AQ135="","",'Marks Entry'!AQ135)</f>
        <v/>
      </c>
      <c r="CP135" s="580" t="str">
        <f>IF('Marks Entry'!AR135="","",'Marks Entry'!AR135)</f>
        <v/>
      </c>
      <c r="CQ135" s="581" t="str">
        <f t="shared" si="281"/>
        <v/>
      </c>
      <c r="CR135" s="157" t="str">
        <f t="shared" si="282"/>
        <v/>
      </c>
      <c r="CS135" s="157" t="str">
        <f t="shared" si="283"/>
        <v/>
      </c>
      <c r="CT135" s="192" t="str">
        <f t="shared" si="284"/>
        <v/>
      </c>
      <c r="CU135" s="153">
        <f t="shared" si="285"/>
        <v>0</v>
      </c>
      <c r="CV135" s="154">
        <f t="shared" si="286"/>
        <v>0</v>
      </c>
      <c r="CW135" s="154" t="str">
        <f t="shared" si="287"/>
        <v/>
      </c>
      <c r="CX135" s="154" t="str">
        <f t="shared" si="288"/>
        <v/>
      </c>
      <c r="CY135" s="154" t="str">
        <f t="shared" si="289"/>
        <v/>
      </c>
      <c r="CZ135" s="153" t="str">
        <f t="shared" si="290"/>
        <v/>
      </c>
      <c r="DA135" s="154" t="str">
        <f t="shared" si="291"/>
        <v/>
      </c>
      <c r="DB135" s="153" t="str">
        <f t="shared" si="292"/>
        <v/>
      </c>
      <c r="DC135" s="154">
        <f t="shared" si="293"/>
        <v>0</v>
      </c>
      <c r="DD135" s="826" t="str">
        <f>IF('Marks Entry'!AS135="","",IF(OR('Master Sheet'!$D$19="YES",'Marks Entry'!$BA$1=1),'Marks Entry'!AS135,""))</f>
        <v/>
      </c>
      <c r="DE135" s="826" t="str">
        <f>IF('Marks Entry'!AT135="","",IF(OR('Master Sheet'!$D$19="YES",'Marks Entry'!$BA$1=1),'Marks Entry'!AT135,""))</f>
        <v/>
      </c>
      <c r="DF135" s="826" t="str">
        <f>IF('Marks Entry'!AU135="","",IF(OR('Master Sheet'!$D$19="YES",'Marks Entry'!$BA$1=1),'Marks Entry'!AU135,""))</f>
        <v/>
      </c>
      <c r="DG135" s="826" t="str">
        <f>IF('Marks Entry'!AV135="","",IF(OR('Master Sheet'!$D$19="YES",'Marks Entry'!$BA$1=1),'Marks Entry'!AV135,""))</f>
        <v/>
      </c>
      <c r="DH135" s="827" t="str">
        <f t="shared" si="294"/>
        <v/>
      </c>
      <c r="DI135" s="826" t="str">
        <f>IF('Marks Entry'!AW135="","",IF(OR('Master Sheet'!$D$19="YES",'Marks Entry'!$BA$1=1),'Marks Entry'!AW135,""))</f>
        <v/>
      </c>
      <c r="DJ135" s="826" t="str">
        <f>IF('Marks Entry'!AX135="","",IF(OR('Master Sheet'!$D$19="YES",'Marks Entry'!$BA$1=1),'Marks Entry'!AX135,""))</f>
        <v/>
      </c>
      <c r="DK135" s="827" t="str">
        <f t="shared" si="295"/>
        <v/>
      </c>
      <c r="DL135" s="827" t="str">
        <f t="shared" si="296"/>
        <v/>
      </c>
      <c r="DM135" s="826" t="str">
        <f>IF('Marks Entry'!AY135="","",IF(OR('Master Sheet'!$D$19="YES",'Marks Entry'!$BA$1=1),'Marks Entry'!AY135,""))</f>
        <v/>
      </c>
      <c r="DN135" s="826" t="str">
        <f>IF('Marks Entry'!AZ135="","",IF(OR('Master Sheet'!$D$19="YES",'Marks Entry'!$BA$1=1),'Marks Entry'!AZ135,""))</f>
        <v/>
      </c>
      <c r="DO135" s="826" t="str">
        <f>IF('Marks Entry'!BA135="","",IF(OR('Master Sheet'!$D$19="YES",'Marks Entry'!$BA$1=1),'Marks Entry'!BA135,""))</f>
        <v/>
      </c>
      <c r="DP135" s="827" t="str">
        <f t="shared" si="297"/>
        <v/>
      </c>
      <c r="DQ135" s="157" t="str">
        <f t="shared" si="298"/>
        <v/>
      </c>
      <c r="DR135" s="157" t="str">
        <f t="shared" si="299"/>
        <v/>
      </c>
      <c r="DS135" s="157" t="str">
        <f t="shared" si="300"/>
        <v/>
      </c>
      <c r="DT135" s="192" t="str">
        <f t="shared" si="301"/>
        <v/>
      </c>
      <c r="DU135" s="153">
        <f t="shared" si="302"/>
        <v>0</v>
      </c>
      <c r="DV135" s="154" t="e">
        <f t="shared" si="303"/>
        <v>#VALUE!</v>
      </c>
      <c r="DW135" s="154" t="str">
        <f t="shared" si="304"/>
        <v/>
      </c>
      <c r="DX135" s="154" t="str">
        <f>IF(OR($B135="NSO",$B135=0,DS135=""),"",IF(AND(DJ135="",DO135=""),"",IF('Master Sheet'!$D$19="YES",$DO$6-COUNTIF(DO135,"ML")*DO$6,DS$6-(COUNTIF(DJ135,"ML")*DJ$6)-(COUNTIF(DO135,"ML")*DO$6))))</f>
        <v/>
      </c>
      <c r="DY135" s="154" t="str">
        <f>IF(OR($B135="NSO",$B135=0),"",IF(AND(DH135="",DI135="",DM135=""),"",IF(AND('Master Sheet'!$D$19="YES",'Marks Entry'!$BA$1=1),100,IF(AND(DJ135="",DO135=""),SUM(($DQ$7+$DR$7)-(DU135+DV135)),SUM(($DQ$6+$DR$6)-(DU135+DV135))))))</f>
        <v/>
      </c>
      <c r="DZ135" s="153" t="str">
        <f t="shared" si="305"/>
        <v/>
      </c>
      <c r="EA135" s="154" t="str">
        <f t="shared" si="306"/>
        <v/>
      </c>
      <c r="EB135" s="153" t="str">
        <f t="shared" si="307"/>
        <v/>
      </c>
      <c r="EC135" s="584" t="str">
        <f>IF('Marks Entry'!BB135="","",'Marks Entry'!BB135)</f>
        <v/>
      </c>
      <c r="ED135" s="584" t="str">
        <f>IF('Marks Entry'!BC135="","",'Marks Entry'!BC135)</f>
        <v/>
      </c>
      <c r="EE135" s="584" t="str">
        <f>IF('Marks Entry'!BD135="","",'Marks Entry'!BD135)</f>
        <v/>
      </c>
      <c r="EF135" s="590" t="str">
        <f t="shared" si="308"/>
        <v/>
      </c>
      <c r="EG135" s="595">
        <f t="shared" si="309"/>
        <v>0</v>
      </c>
      <c r="EH135" s="595">
        <f t="shared" si="310"/>
        <v>0</v>
      </c>
      <c r="EI135" s="193" t="str">
        <f t="shared" si="311"/>
        <v/>
      </c>
      <c r="EJ135" s="595" t="str">
        <f t="shared" si="312"/>
        <v/>
      </c>
      <c r="EK135" s="595" t="str">
        <f t="shared" si="313"/>
        <v/>
      </c>
      <c r="EL135" s="194" t="str">
        <f t="shared" si="314"/>
        <v/>
      </c>
      <c r="EM135" s="194" t="str">
        <f t="shared" si="315"/>
        <v/>
      </c>
      <c r="EN135" s="194" t="str">
        <f t="shared" si="316"/>
        <v/>
      </c>
      <c r="EO135" s="194" t="str">
        <f t="shared" si="317"/>
        <v/>
      </c>
      <c r="EP135" s="194" t="str">
        <f t="shared" si="318"/>
        <v/>
      </c>
      <c r="EQ135" s="194" t="str">
        <f t="shared" si="319"/>
        <v/>
      </c>
      <c r="ER135" s="195">
        <f t="shared" si="320"/>
        <v>0</v>
      </c>
      <c r="ES135" s="195">
        <f t="shared" si="321"/>
        <v>0</v>
      </c>
      <c r="ET135" s="195">
        <f t="shared" si="322"/>
        <v>0</v>
      </c>
      <c r="EU135" s="195">
        <f t="shared" si="323"/>
        <v>0</v>
      </c>
      <c r="EV135" s="195">
        <f t="shared" si="324"/>
        <v>0</v>
      </c>
      <c r="EW135" s="195" t="str">
        <f t="shared" si="325"/>
        <v/>
      </c>
      <c r="EX135" s="196" t="str">
        <f t="shared" si="326"/>
        <v/>
      </c>
      <c r="EY135" s="197" t="str">
        <f>IF('Marks Entry'!BE135="","",'Marks Entry'!BE135)</f>
        <v/>
      </c>
      <c r="EZ135" s="197" t="str">
        <f>IF('Marks Entry'!BF135="","",'Marks Entry'!BF135)</f>
        <v/>
      </c>
      <c r="FA135" s="197" t="str">
        <f>IF('Marks Entry'!BG135="","",'Marks Entry'!BG135)</f>
        <v/>
      </c>
      <c r="FB135" s="596" t="str">
        <f t="shared" si="327"/>
        <v/>
      </c>
      <c r="FC135" s="197" t="str">
        <f>IF('Marks Entry'!BH135="","",'Marks Entry'!BH135)</f>
        <v/>
      </c>
      <c r="FD135" s="197" t="str">
        <f>IF('Marks Entry'!BI135="","",'Marks Entry'!BI135)</f>
        <v/>
      </c>
      <c r="FE135" s="198" t="str">
        <f t="shared" si="328"/>
        <v/>
      </c>
      <c r="FF135" s="199" t="str">
        <f t="shared" si="329"/>
        <v/>
      </c>
      <c r="FG135" s="200" t="str">
        <f>IF(AND(E135=""),"",IF('Student DATA Entry'!L131="","",'Student DATA Entry'!L131))</f>
        <v/>
      </c>
      <c r="FH135" s="201" t="str">
        <f>IF(AND(E135=""),"",IF('Student DATA Entry'!M131="","",'Student DATA Entry'!M131))</f>
        <v/>
      </c>
      <c r="FI135" s="202" t="str">
        <f t="shared" si="330"/>
        <v/>
      </c>
      <c r="FJ135" s="189" t="str">
        <f t="shared" si="331"/>
        <v/>
      </c>
      <c r="FK135" s="189" t="str">
        <f t="shared" si="332"/>
        <v/>
      </c>
      <c r="FL135" s="203" t="str">
        <f t="shared" si="360"/>
        <v/>
      </c>
      <c r="FM135" s="189" t="str">
        <f t="shared" si="333"/>
        <v/>
      </c>
      <c r="FN135" s="204" t="str">
        <f t="shared" si="334"/>
        <v/>
      </c>
      <c r="FO135" s="203" t="str">
        <f t="shared" si="361"/>
        <v/>
      </c>
      <c r="FP135" s="205" t="str">
        <f t="shared" si="335"/>
        <v/>
      </c>
      <c r="FQ135" s="189" t="str">
        <f t="shared" si="362"/>
        <v/>
      </c>
      <c r="FR135" s="189" t="str">
        <f t="shared" si="363"/>
        <v/>
      </c>
      <c r="FS135" s="189" t="str">
        <f t="shared" si="364"/>
        <v/>
      </c>
      <c r="FT135" s="189" t="str">
        <f t="shared" si="365"/>
        <v/>
      </c>
      <c r="FU135" s="189" t="str">
        <f t="shared" si="336"/>
        <v/>
      </c>
      <c r="FV135" s="206" t="str">
        <f t="shared" si="366"/>
        <v/>
      </c>
      <c r="FW135" s="205" t="str">
        <f t="shared" si="337"/>
        <v/>
      </c>
      <c r="FX135" s="189" t="str">
        <f t="shared" si="367"/>
        <v/>
      </c>
      <c r="FY135" s="189" t="str">
        <f t="shared" si="368"/>
        <v/>
      </c>
      <c r="FZ135" s="189" t="str">
        <f t="shared" si="369"/>
        <v/>
      </c>
      <c r="GA135" s="189" t="str">
        <f t="shared" si="370"/>
        <v/>
      </c>
      <c r="GB135" s="189" t="str">
        <f t="shared" si="338"/>
        <v/>
      </c>
      <c r="GC135" s="206" t="str">
        <f t="shared" si="371"/>
        <v/>
      </c>
      <c r="GD135" s="205" t="str">
        <f t="shared" si="339"/>
        <v/>
      </c>
      <c r="GE135" s="189" t="str">
        <f t="shared" si="372"/>
        <v/>
      </c>
      <c r="GF135" s="189" t="str">
        <f t="shared" si="373"/>
        <v/>
      </c>
      <c r="GG135" s="189" t="str">
        <f t="shared" si="374"/>
        <v/>
      </c>
      <c r="GH135" s="189" t="str">
        <f t="shared" si="375"/>
        <v/>
      </c>
      <c r="GI135" s="189" t="str">
        <f t="shared" si="340"/>
        <v/>
      </c>
      <c r="GJ135" s="206" t="str">
        <f t="shared" si="376"/>
        <v/>
      </c>
      <c r="GK135" s="205" t="str">
        <f t="shared" si="341"/>
        <v/>
      </c>
      <c r="GL135" s="189" t="str">
        <f t="shared" si="377"/>
        <v/>
      </c>
      <c r="GM135" s="189" t="str">
        <f t="shared" si="378"/>
        <v/>
      </c>
      <c r="GN135" s="189" t="str">
        <f t="shared" si="379"/>
        <v/>
      </c>
      <c r="GO135" s="189" t="str">
        <f t="shared" si="380"/>
        <v/>
      </c>
      <c r="GP135" s="189" t="str">
        <f t="shared" si="342"/>
        <v/>
      </c>
      <c r="GQ135" s="206" t="str">
        <f t="shared" si="381"/>
        <v/>
      </c>
      <c r="GR135" s="189" t="str">
        <f t="shared" si="343"/>
        <v/>
      </c>
      <c r="GS135" s="189" t="str">
        <f t="shared" si="344"/>
        <v/>
      </c>
      <c r="GT135" s="207" t="str">
        <f t="shared" si="345"/>
        <v xml:space="preserve">    </v>
      </c>
      <c r="GU135" s="207" t="str">
        <f t="shared" si="346"/>
        <v xml:space="preserve">    </v>
      </c>
      <c r="GV135" s="207" t="str">
        <f t="shared" si="347"/>
        <v xml:space="preserve">    </v>
      </c>
      <c r="GW135" s="207" t="str">
        <f t="shared" si="348"/>
        <v xml:space="preserve">       </v>
      </c>
      <c r="GX135" s="598" t="str">
        <f t="shared" si="349"/>
        <v xml:space="preserve">     </v>
      </c>
      <c r="GY135" s="208" t="str">
        <f t="shared" si="382"/>
        <v/>
      </c>
      <c r="GZ135" s="606" t="str">
        <f>IF(AND(Q135="",AE135="",AZ135="",BW135="",CT135=""),"",IF(AND('Master Sheet'!$D$19="YES",'Marks Entry'!$BA$1=1),SUM(Q135,AE135,AZ135,BW135,DT135),SUM(Q135,AE135,AZ135,BW135,CT135)))</f>
        <v/>
      </c>
      <c r="HA135" s="209" t="str">
        <f>IF(GZ135="","",IF(AND('Master Sheet'!$D$19="YES",'Marks Entry'!$BA$1=1),GZ135/((900)-DC135)*100,GZ135/((1000)-DC135)*100))</f>
        <v/>
      </c>
      <c r="HB135" s="611" t="str">
        <f t="shared" si="350"/>
        <v/>
      </c>
      <c r="HC135" s="609" t="str">
        <f t="shared" si="351"/>
        <v/>
      </c>
      <c r="HD135" s="610" t="str">
        <f t="shared" si="352"/>
        <v/>
      </c>
      <c r="HE135" s="210" t="str">
        <f>IFERROR(IF(OR(GY135="SUPPLEMENTARY",GY135="RE-EXAM"),'Supp. Result Entry'!AS134,""),"")</f>
        <v/>
      </c>
      <c r="HF135" s="613" t="str">
        <f t="shared" si="353"/>
        <v/>
      </c>
      <c r="HG135" s="598" t="str">
        <f t="shared" si="354"/>
        <v/>
      </c>
      <c r="HH135" s="598" t="str">
        <f>IF(AND(HE135="",HF135="",HG135=""),"",IF(OR(GY135="SUPPLEMENTARY",GY135="RE-EXAM"),'Supp. Result Entry'!AS134,GY135))</f>
        <v/>
      </c>
      <c r="HI135" s="180"/>
      <c r="HY135" s="212" t="str">
        <f>IF('Supp. Result Entry'!U134="","",'Supp. Result Entry'!$U$6)</f>
        <v/>
      </c>
      <c r="HZ135" s="213" t="str">
        <f>IF('Supp. Result Entry'!X134="","",'Supp. Result Entry'!$X$6)</f>
        <v/>
      </c>
      <c r="IA135" s="213" t="str">
        <f>IF('Supp. Result Entry'!AA134="","",'Supp. Result Entry'!$AA$6)</f>
        <v/>
      </c>
      <c r="IB135" s="213" t="str">
        <f>IF('Supp. Result Entry'!AD134="","",'Supp. Result Entry'!$AD$6)</f>
        <v/>
      </c>
      <c r="IC135" s="213" t="str">
        <f>IF('Supp. Result Entry'!AG134="","",'Supp. Result Entry'!$AG$6)</f>
        <v/>
      </c>
      <c r="ID135" s="213" t="str">
        <f>IF('Supp. Result Entry'!AJ134="","",'Supp. Result Entry'!$AJ$6)</f>
        <v/>
      </c>
      <c r="IE135" s="213" t="str">
        <f>IF('Supp. Result Entry'!V134="","",'Supp. Result Entry'!V134)</f>
        <v/>
      </c>
      <c r="IF135" s="213" t="str">
        <f>IF('Supp. Result Entry'!Y134="","",'Supp. Result Entry'!Y134)</f>
        <v/>
      </c>
      <c r="IG135" s="213" t="str">
        <f>IF('Supp. Result Entry'!AB134="","",'Supp. Result Entry'!AB134)</f>
        <v/>
      </c>
      <c r="IH135" s="213" t="str">
        <f>IF('Supp. Result Entry'!AE134="","",'Supp. Result Entry'!AE134)</f>
        <v/>
      </c>
      <c r="II135" s="213" t="str">
        <f>IF('Supp. Result Entry'!AH134="","",'Supp. Result Entry'!AH134)</f>
        <v/>
      </c>
      <c r="IJ135" s="213" t="str">
        <f>IF('Supp. Result Entry'!AK134="","",'Supp. Result Entry'!AK134)</f>
        <v/>
      </c>
      <c r="IK135" s="213" t="str">
        <f>IF('Supp. Result Entry'!W134="","",'Supp. Result Entry'!W134)</f>
        <v/>
      </c>
      <c r="IL135" s="213" t="str">
        <f>IF('Supp. Result Entry'!Z134="","",'Supp. Result Entry'!Z134)</f>
        <v/>
      </c>
      <c r="IM135" s="213" t="str">
        <f>IF('Supp. Result Entry'!AC134="","",'Supp. Result Entry'!AC134)</f>
        <v/>
      </c>
      <c r="IN135" s="213" t="str">
        <f>IF('Supp. Result Entry'!AF134="","",'Supp. Result Entry'!AF134)</f>
        <v/>
      </c>
      <c r="IO135" s="213" t="str">
        <f>IF('Supp. Result Entry'!AI134="","",'Supp. Result Entry'!AI134)</f>
        <v/>
      </c>
      <c r="IP135" s="213" t="str">
        <f>IF('Supp. Result Entry'!AL134="","",'Supp. Result Entry'!AL134)</f>
        <v/>
      </c>
      <c r="IQ135" s="213">
        <f>COUNTIF('Supp. Result Entry'!K134:Q134,"S")</f>
        <v>0</v>
      </c>
      <c r="IR135" s="213">
        <f t="shared" si="355"/>
        <v>0</v>
      </c>
      <c r="IS135" s="213">
        <f t="shared" si="356"/>
        <v>0</v>
      </c>
      <c r="IT135" s="213" t="str">
        <f t="shared" si="224"/>
        <v/>
      </c>
      <c r="IU135" s="213" t="str">
        <f t="shared" si="225"/>
        <v/>
      </c>
      <c r="IV135" s="213" t="str">
        <f t="shared" si="226"/>
        <v/>
      </c>
      <c r="IW135" s="213" t="str">
        <f t="shared" si="227"/>
        <v/>
      </c>
      <c r="IX135" s="213" t="str">
        <f t="shared" si="228"/>
        <v/>
      </c>
      <c r="IY135" s="213" t="str">
        <f t="shared" si="357"/>
        <v/>
      </c>
      <c r="IZ135" s="213" t="str">
        <f t="shared" si="358"/>
        <v/>
      </c>
      <c r="JA135" s="213" t="str">
        <f t="shared" si="229"/>
        <v/>
      </c>
      <c r="JB135" s="211" t="str">
        <f t="shared" si="359"/>
        <v/>
      </c>
    </row>
    <row r="136" spans="1:262" s="211" customFormat="1" ht="21" customHeight="1">
      <c r="A136" s="184">
        <v>129</v>
      </c>
      <c r="B136" s="185" t="str">
        <f>IF('Marks Entry'!B136="","",'Marks Entry'!B136)</f>
        <v/>
      </c>
      <c r="C136" s="186" t="str">
        <f>IF('Marks Entry'!D136="","",'Marks Entry'!D136)</f>
        <v/>
      </c>
      <c r="D136" s="187" t="str">
        <f>IF('Marks Entry'!E136="","",'Marks Entry'!E136)</f>
        <v/>
      </c>
      <c r="E136" s="188" t="str">
        <f>IF('Marks Entry'!F136="","",'Marks Entry'!F136)</f>
        <v/>
      </c>
      <c r="F136" s="188" t="str">
        <f>IF('Marks Entry'!G136="","",'Marks Entry'!G136)</f>
        <v/>
      </c>
      <c r="G136" s="188" t="str">
        <f>IF('Marks Entry'!H136="","",'Marks Entry'!H136)</f>
        <v/>
      </c>
      <c r="H136" s="189" t="str">
        <f>IF('Marks Entry'!I136="","",'Marks Entry'!I136)</f>
        <v/>
      </c>
      <c r="I136" s="190" t="str">
        <f>IF('Marks Entry'!J136="","",'Marks Entry'!J136)</f>
        <v/>
      </c>
      <c r="J136" s="545" t="str">
        <f>IF('Marks Entry'!K136="","",'Marks Entry'!K136)</f>
        <v/>
      </c>
      <c r="K136" s="545" t="str">
        <f>IF('Marks Entry'!L136="","",'Marks Entry'!L136)</f>
        <v/>
      </c>
      <c r="L136" s="545" t="str">
        <f>IF('Marks Entry'!M136="","",'Marks Entry'!M136)</f>
        <v/>
      </c>
      <c r="M136" s="546" t="str">
        <f t="shared" si="230"/>
        <v/>
      </c>
      <c r="N136" s="545" t="str">
        <f>IF('Marks Entry'!N136="","",'Marks Entry'!N136)</f>
        <v/>
      </c>
      <c r="O136" s="546" t="str">
        <f t="shared" si="231"/>
        <v/>
      </c>
      <c r="P136" s="545" t="str">
        <f>IF('Marks Entry'!O136="","",'Marks Entry'!O136)</f>
        <v/>
      </c>
      <c r="Q136" s="547" t="str">
        <f t="shared" si="232"/>
        <v/>
      </c>
      <c r="R136" s="153">
        <f t="shared" si="233"/>
        <v>0</v>
      </c>
      <c r="S136" s="153">
        <f t="shared" si="234"/>
        <v>0</v>
      </c>
      <c r="T136" s="154" t="str">
        <f t="shared" si="235"/>
        <v/>
      </c>
      <c r="U136" s="153" t="str">
        <f t="shared" si="236"/>
        <v/>
      </c>
      <c r="V136" s="153" t="str">
        <f t="shared" si="237"/>
        <v/>
      </c>
      <c r="W136" s="153" t="str">
        <f t="shared" si="238"/>
        <v/>
      </c>
      <c r="X136" s="545" t="str">
        <f>IF('Marks Entry'!P136="","",'Marks Entry'!P136)</f>
        <v/>
      </c>
      <c r="Y136" s="545" t="str">
        <f>IF('Marks Entry'!Q136="","",'Marks Entry'!Q136)</f>
        <v/>
      </c>
      <c r="Z136" s="545" t="str">
        <f>IF('Marks Entry'!R136="","",'Marks Entry'!R136)</f>
        <v/>
      </c>
      <c r="AA136" s="546" t="str">
        <f t="shared" si="239"/>
        <v/>
      </c>
      <c r="AB136" s="545" t="str">
        <f>IF('Marks Entry'!S136="","",'Marks Entry'!S136)</f>
        <v/>
      </c>
      <c r="AC136" s="546" t="str">
        <f t="shared" si="240"/>
        <v/>
      </c>
      <c r="AD136" s="545" t="str">
        <f>IF('Marks Entry'!T136="","",'Marks Entry'!T136)</f>
        <v/>
      </c>
      <c r="AE136" s="547" t="str">
        <f t="shared" si="241"/>
        <v/>
      </c>
      <c r="AF136" s="153">
        <f t="shared" si="242"/>
        <v>0</v>
      </c>
      <c r="AG136" s="153">
        <f t="shared" si="243"/>
        <v>0</v>
      </c>
      <c r="AH136" s="154" t="str">
        <f t="shared" si="244"/>
        <v/>
      </c>
      <c r="AI136" s="153" t="str">
        <f t="shared" si="245"/>
        <v/>
      </c>
      <c r="AJ136" s="153" t="str">
        <f t="shared" si="246"/>
        <v/>
      </c>
      <c r="AK136" s="153" t="str">
        <f t="shared" si="247"/>
        <v/>
      </c>
      <c r="AL136" s="573" t="str">
        <f>IF('Marks Entry'!U136="","",'Marks Entry'!U136)</f>
        <v/>
      </c>
      <c r="AM136" s="573" t="str">
        <f>IF('Marks Entry'!V136="","",'Marks Entry'!V136)</f>
        <v/>
      </c>
      <c r="AN136" s="573" t="str">
        <f>IF('Marks Entry'!W136="","",'Marks Entry'!W136)</f>
        <v/>
      </c>
      <c r="AO136" s="573" t="str">
        <f>IF('Marks Entry'!X136="","",'Marks Entry'!X136)</f>
        <v/>
      </c>
      <c r="AP136" s="572" t="str">
        <f t="shared" si="248"/>
        <v/>
      </c>
      <c r="AQ136" s="573" t="str">
        <f>IF('Marks Entry'!Y136="","",'Marks Entry'!Y136)</f>
        <v/>
      </c>
      <c r="AR136" s="573" t="str">
        <f>IF('Marks Entry'!Z136="","",'Marks Entry'!Z136)</f>
        <v/>
      </c>
      <c r="AS136" s="572" t="str">
        <f t="shared" si="249"/>
        <v/>
      </c>
      <c r="AT136" s="572" t="str">
        <f t="shared" si="250"/>
        <v/>
      </c>
      <c r="AU136" s="573" t="str">
        <f>IF('Marks Entry'!AA136="","",'Marks Entry'!AA136)</f>
        <v/>
      </c>
      <c r="AV136" s="573" t="str">
        <f>IF('Marks Entry'!AB136="","",'Marks Entry'!AB136)</f>
        <v/>
      </c>
      <c r="AW136" s="572" t="str">
        <f t="shared" si="251"/>
        <v/>
      </c>
      <c r="AX136" s="157" t="str">
        <f t="shared" si="252"/>
        <v/>
      </c>
      <c r="AY136" s="157" t="str">
        <f t="shared" si="253"/>
        <v/>
      </c>
      <c r="AZ136" s="192" t="str">
        <f t="shared" si="254"/>
        <v/>
      </c>
      <c r="BA136" s="153">
        <f t="shared" si="255"/>
        <v>0</v>
      </c>
      <c r="BB136" s="154">
        <f t="shared" si="256"/>
        <v>0</v>
      </c>
      <c r="BC136" s="154" t="str">
        <f t="shared" si="257"/>
        <v/>
      </c>
      <c r="BD136" s="154" t="str">
        <f t="shared" si="258"/>
        <v/>
      </c>
      <c r="BE136" s="154" t="str">
        <f t="shared" si="259"/>
        <v/>
      </c>
      <c r="BF136" s="153" t="str">
        <f t="shared" si="260"/>
        <v/>
      </c>
      <c r="BG136" s="154" t="str">
        <f t="shared" si="261"/>
        <v/>
      </c>
      <c r="BH136" s="153" t="str">
        <f t="shared" si="262"/>
        <v/>
      </c>
      <c r="BI136" s="580" t="str">
        <f>IF('Marks Entry'!AC136="","",'Marks Entry'!AC136)</f>
        <v/>
      </c>
      <c r="BJ136" s="580" t="str">
        <f>IF('Marks Entry'!AD136="","",'Marks Entry'!AD136)</f>
        <v/>
      </c>
      <c r="BK136" s="580" t="str">
        <f>IF('Marks Entry'!AE136="","",'Marks Entry'!AE136)</f>
        <v/>
      </c>
      <c r="BL136" s="580" t="str">
        <f>IF('Marks Entry'!AF136="","",'Marks Entry'!AF136)</f>
        <v/>
      </c>
      <c r="BM136" s="581" t="str">
        <f t="shared" si="263"/>
        <v/>
      </c>
      <c r="BN136" s="580" t="str">
        <f>IF('Marks Entry'!AG136="","",'Marks Entry'!AG136)</f>
        <v/>
      </c>
      <c r="BO136" s="580" t="str">
        <f>IF('Marks Entry'!AH136="","",'Marks Entry'!AH136)</f>
        <v/>
      </c>
      <c r="BP136" s="581" t="str">
        <f t="shared" si="264"/>
        <v/>
      </c>
      <c r="BQ136" s="581" t="str">
        <f t="shared" si="265"/>
        <v/>
      </c>
      <c r="BR136" s="580" t="str">
        <f>IF('Marks Entry'!AI136="","",'Marks Entry'!AI136)</f>
        <v/>
      </c>
      <c r="BS136" s="580" t="str">
        <f>IF('Marks Entry'!AJ136="","",'Marks Entry'!AJ136)</f>
        <v/>
      </c>
      <c r="BT136" s="581" t="str">
        <f t="shared" si="266"/>
        <v/>
      </c>
      <c r="BU136" s="157" t="str">
        <f t="shared" si="267"/>
        <v/>
      </c>
      <c r="BV136" s="157" t="str">
        <f t="shared" si="268"/>
        <v/>
      </c>
      <c r="BW136" s="192" t="str">
        <f t="shared" si="269"/>
        <v/>
      </c>
      <c r="BX136" s="153">
        <f t="shared" si="270"/>
        <v>0</v>
      </c>
      <c r="BY136" s="154">
        <f t="shared" si="271"/>
        <v>0</v>
      </c>
      <c r="BZ136" s="154" t="str">
        <f t="shared" si="272"/>
        <v/>
      </c>
      <c r="CA136" s="154" t="str">
        <f t="shared" si="273"/>
        <v/>
      </c>
      <c r="CB136" s="154" t="str">
        <f t="shared" si="274"/>
        <v/>
      </c>
      <c r="CC136" s="153" t="str">
        <f t="shared" si="275"/>
        <v/>
      </c>
      <c r="CD136" s="154" t="str">
        <f t="shared" si="276"/>
        <v/>
      </c>
      <c r="CE136" s="153" t="str">
        <f t="shared" si="277"/>
        <v/>
      </c>
      <c r="CF136" s="580" t="str">
        <f>IF('Marks Entry'!AK136="","",'Marks Entry'!AK136)</f>
        <v/>
      </c>
      <c r="CG136" s="580" t="str">
        <f>IF('Marks Entry'!AL136="","",'Marks Entry'!AL136)</f>
        <v/>
      </c>
      <c r="CH136" s="580" t="str">
        <f>IF('Marks Entry'!AM136="","",'Marks Entry'!AM136)</f>
        <v/>
      </c>
      <c r="CI136" s="580" t="str">
        <f>IF('Marks Entry'!AN136="","",'Marks Entry'!AN136)</f>
        <v/>
      </c>
      <c r="CJ136" s="581" t="str">
        <f t="shared" si="278"/>
        <v/>
      </c>
      <c r="CK136" s="580" t="str">
        <f>IF('Marks Entry'!AO136="","",'Marks Entry'!AO136)</f>
        <v/>
      </c>
      <c r="CL136" s="580" t="str">
        <f>IF('Marks Entry'!AP136="","",'Marks Entry'!AP136)</f>
        <v/>
      </c>
      <c r="CM136" s="581" t="str">
        <f t="shared" si="279"/>
        <v/>
      </c>
      <c r="CN136" s="581" t="str">
        <f t="shared" si="280"/>
        <v/>
      </c>
      <c r="CO136" s="580" t="str">
        <f>IF('Marks Entry'!AQ136="","",'Marks Entry'!AQ136)</f>
        <v/>
      </c>
      <c r="CP136" s="580" t="str">
        <f>IF('Marks Entry'!AR136="","",'Marks Entry'!AR136)</f>
        <v/>
      </c>
      <c r="CQ136" s="581" t="str">
        <f t="shared" si="281"/>
        <v/>
      </c>
      <c r="CR136" s="157" t="str">
        <f t="shared" si="282"/>
        <v/>
      </c>
      <c r="CS136" s="157" t="str">
        <f t="shared" si="283"/>
        <v/>
      </c>
      <c r="CT136" s="192" t="str">
        <f t="shared" si="284"/>
        <v/>
      </c>
      <c r="CU136" s="153">
        <f t="shared" si="285"/>
        <v>0</v>
      </c>
      <c r="CV136" s="154">
        <f t="shared" si="286"/>
        <v>0</v>
      </c>
      <c r="CW136" s="154" t="str">
        <f t="shared" si="287"/>
        <v/>
      </c>
      <c r="CX136" s="154" t="str">
        <f t="shared" si="288"/>
        <v/>
      </c>
      <c r="CY136" s="154" t="str">
        <f t="shared" si="289"/>
        <v/>
      </c>
      <c r="CZ136" s="153" t="str">
        <f t="shared" si="290"/>
        <v/>
      </c>
      <c r="DA136" s="154" t="str">
        <f t="shared" si="291"/>
        <v/>
      </c>
      <c r="DB136" s="153" t="str">
        <f t="shared" si="292"/>
        <v/>
      </c>
      <c r="DC136" s="154">
        <f t="shared" si="293"/>
        <v>0</v>
      </c>
      <c r="DD136" s="826" t="str">
        <f>IF('Marks Entry'!AS136="","",IF(OR('Master Sheet'!$D$19="YES",'Marks Entry'!$BA$1=1),'Marks Entry'!AS136,""))</f>
        <v/>
      </c>
      <c r="DE136" s="826" t="str">
        <f>IF('Marks Entry'!AT136="","",IF(OR('Master Sheet'!$D$19="YES",'Marks Entry'!$BA$1=1),'Marks Entry'!AT136,""))</f>
        <v/>
      </c>
      <c r="DF136" s="826" t="str">
        <f>IF('Marks Entry'!AU136="","",IF(OR('Master Sheet'!$D$19="YES",'Marks Entry'!$BA$1=1),'Marks Entry'!AU136,""))</f>
        <v/>
      </c>
      <c r="DG136" s="826" t="str">
        <f>IF('Marks Entry'!AV136="","",IF(OR('Master Sheet'!$D$19="YES",'Marks Entry'!$BA$1=1),'Marks Entry'!AV136,""))</f>
        <v/>
      </c>
      <c r="DH136" s="827" t="str">
        <f t="shared" si="294"/>
        <v/>
      </c>
      <c r="DI136" s="826" t="str">
        <f>IF('Marks Entry'!AW136="","",IF(OR('Master Sheet'!$D$19="YES",'Marks Entry'!$BA$1=1),'Marks Entry'!AW136,""))</f>
        <v/>
      </c>
      <c r="DJ136" s="826" t="str">
        <f>IF('Marks Entry'!AX136="","",IF(OR('Master Sheet'!$D$19="YES",'Marks Entry'!$BA$1=1),'Marks Entry'!AX136,""))</f>
        <v/>
      </c>
      <c r="DK136" s="827" t="str">
        <f t="shared" si="295"/>
        <v/>
      </c>
      <c r="DL136" s="827" t="str">
        <f t="shared" si="296"/>
        <v/>
      </c>
      <c r="DM136" s="826" t="str">
        <f>IF('Marks Entry'!AY136="","",IF(OR('Master Sheet'!$D$19="YES",'Marks Entry'!$BA$1=1),'Marks Entry'!AY136,""))</f>
        <v/>
      </c>
      <c r="DN136" s="826" t="str">
        <f>IF('Marks Entry'!AZ136="","",IF(OR('Master Sheet'!$D$19="YES",'Marks Entry'!$BA$1=1),'Marks Entry'!AZ136,""))</f>
        <v/>
      </c>
      <c r="DO136" s="826" t="str">
        <f>IF('Marks Entry'!BA136="","",IF(OR('Master Sheet'!$D$19="YES",'Marks Entry'!$BA$1=1),'Marks Entry'!BA136,""))</f>
        <v/>
      </c>
      <c r="DP136" s="827" t="str">
        <f t="shared" si="297"/>
        <v/>
      </c>
      <c r="DQ136" s="157" t="str">
        <f t="shared" si="298"/>
        <v/>
      </c>
      <c r="DR136" s="157" t="str">
        <f t="shared" si="299"/>
        <v/>
      </c>
      <c r="DS136" s="157" t="str">
        <f t="shared" si="300"/>
        <v/>
      </c>
      <c r="DT136" s="192" t="str">
        <f t="shared" si="301"/>
        <v/>
      </c>
      <c r="DU136" s="153">
        <f t="shared" si="302"/>
        <v>0</v>
      </c>
      <c r="DV136" s="154" t="e">
        <f t="shared" si="303"/>
        <v>#VALUE!</v>
      </c>
      <c r="DW136" s="154" t="str">
        <f t="shared" si="304"/>
        <v/>
      </c>
      <c r="DX136" s="154" t="str">
        <f>IF(OR($B136="NSO",$B136=0,DS136=""),"",IF(AND(DJ136="",DO136=""),"",IF('Master Sheet'!$D$19="YES",$DO$6-COUNTIF(DO136,"ML")*DO$6,DS$6-(COUNTIF(DJ136,"ML")*DJ$6)-(COUNTIF(DO136,"ML")*DO$6))))</f>
        <v/>
      </c>
      <c r="DY136" s="154" t="str">
        <f>IF(OR($B136="NSO",$B136=0),"",IF(AND(DH136="",DI136="",DM136=""),"",IF(AND('Master Sheet'!$D$19="YES",'Marks Entry'!$BA$1=1),100,IF(AND(DJ136="",DO136=""),SUM(($DQ$7+$DR$7)-(DU136+DV136)),SUM(($DQ$6+$DR$6)-(DU136+DV136))))))</f>
        <v/>
      </c>
      <c r="DZ136" s="153" t="str">
        <f t="shared" si="305"/>
        <v/>
      </c>
      <c r="EA136" s="154" t="str">
        <f t="shared" si="306"/>
        <v/>
      </c>
      <c r="EB136" s="153" t="str">
        <f t="shared" si="307"/>
        <v/>
      </c>
      <c r="EC136" s="584" t="str">
        <f>IF('Marks Entry'!BB136="","",'Marks Entry'!BB136)</f>
        <v/>
      </c>
      <c r="ED136" s="584" t="str">
        <f>IF('Marks Entry'!BC136="","",'Marks Entry'!BC136)</f>
        <v/>
      </c>
      <c r="EE136" s="584" t="str">
        <f>IF('Marks Entry'!BD136="","",'Marks Entry'!BD136)</f>
        <v/>
      </c>
      <c r="EF136" s="590" t="str">
        <f t="shared" si="308"/>
        <v/>
      </c>
      <c r="EG136" s="595">
        <f t="shared" si="309"/>
        <v>0</v>
      </c>
      <c r="EH136" s="595">
        <f t="shared" si="310"/>
        <v>0</v>
      </c>
      <c r="EI136" s="193" t="str">
        <f t="shared" si="311"/>
        <v/>
      </c>
      <c r="EJ136" s="595" t="str">
        <f t="shared" si="312"/>
        <v/>
      </c>
      <c r="EK136" s="595" t="str">
        <f t="shared" si="313"/>
        <v/>
      </c>
      <c r="EL136" s="194" t="str">
        <f t="shared" si="314"/>
        <v/>
      </c>
      <c r="EM136" s="194" t="str">
        <f t="shared" si="315"/>
        <v/>
      </c>
      <c r="EN136" s="194" t="str">
        <f t="shared" si="316"/>
        <v/>
      </c>
      <c r="EO136" s="194" t="str">
        <f t="shared" si="317"/>
        <v/>
      </c>
      <c r="EP136" s="194" t="str">
        <f t="shared" si="318"/>
        <v/>
      </c>
      <c r="EQ136" s="194" t="str">
        <f t="shared" si="319"/>
        <v/>
      </c>
      <c r="ER136" s="195">
        <f t="shared" si="320"/>
        <v>0</v>
      </c>
      <c r="ES136" s="195">
        <f t="shared" si="321"/>
        <v>0</v>
      </c>
      <c r="ET136" s="195">
        <f t="shared" si="322"/>
        <v>0</v>
      </c>
      <c r="EU136" s="195">
        <f t="shared" si="323"/>
        <v>0</v>
      </c>
      <c r="EV136" s="195">
        <f t="shared" si="324"/>
        <v>0</v>
      </c>
      <c r="EW136" s="195" t="str">
        <f t="shared" si="325"/>
        <v/>
      </c>
      <c r="EX136" s="196" t="str">
        <f t="shared" si="326"/>
        <v/>
      </c>
      <c r="EY136" s="197" t="str">
        <f>IF('Marks Entry'!BE136="","",'Marks Entry'!BE136)</f>
        <v/>
      </c>
      <c r="EZ136" s="197" t="str">
        <f>IF('Marks Entry'!BF136="","",'Marks Entry'!BF136)</f>
        <v/>
      </c>
      <c r="FA136" s="197" t="str">
        <f>IF('Marks Entry'!BG136="","",'Marks Entry'!BG136)</f>
        <v/>
      </c>
      <c r="FB136" s="596" t="str">
        <f t="shared" si="327"/>
        <v/>
      </c>
      <c r="FC136" s="197" t="str">
        <f>IF('Marks Entry'!BH136="","",'Marks Entry'!BH136)</f>
        <v/>
      </c>
      <c r="FD136" s="197" t="str">
        <f>IF('Marks Entry'!BI136="","",'Marks Entry'!BI136)</f>
        <v/>
      </c>
      <c r="FE136" s="198" t="str">
        <f t="shared" si="328"/>
        <v/>
      </c>
      <c r="FF136" s="199" t="str">
        <f t="shared" si="329"/>
        <v/>
      </c>
      <c r="FG136" s="200" t="str">
        <f>IF(AND(E136=""),"",IF('Student DATA Entry'!L132="","",'Student DATA Entry'!L132))</f>
        <v/>
      </c>
      <c r="FH136" s="201" t="str">
        <f>IF(AND(E136=""),"",IF('Student DATA Entry'!M132="","",'Student DATA Entry'!M132))</f>
        <v/>
      </c>
      <c r="FI136" s="202" t="str">
        <f t="shared" si="330"/>
        <v/>
      </c>
      <c r="FJ136" s="189" t="str">
        <f t="shared" si="331"/>
        <v/>
      </c>
      <c r="FK136" s="189" t="str">
        <f t="shared" si="332"/>
        <v/>
      </c>
      <c r="FL136" s="203" t="str">
        <f t="shared" ref="FL136:FL167" si="383">IF(FJ136="G",ROUNDUP(36%*T136-Q136,0),"")</f>
        <v/>
      </c>
      <c r="FM136" s="189" t="str">
        <f t="shared" si="333"/>
        <v/>
      </c>
      <c r="FN136" s="204" t="str">
        <f t="shared" si="334"/>
        <v/>
      </c>
      <c r="FO136" s="203" t="str">
        <f t="shared" ref="FO136:FO167" si="384">IF(FM136="G",ROUNDUP(36%*AH136-AE136,0),"")</f>
        <v/>
      </c>
      <c r="FP136" s="205" t="str">
        <f t="shared" si="335"/>
        <v/>
      </c>
      <c r="FQ136" s="189" t="str">
        <f t="shared" ref="FQ136:FQ167" si="385">IF(AL136="A",FP136,"")</f>
        <v/>
      </c>
      <c r="FR136" s="189" t="str">
        <f t="shared" ref="FR136:FR167" si="386">IF(AL136="B",FP136,"")</f>
        <v/>
      </c>
      <c r="FS136" s="189" t="str">
        <f t="shared" ref="FS136:FS167" si="387">IF(AL136="C",FP136,"")</f>
        <v/>
      </c>
      <c r="FT136" s="189" t="str">
        <f t="shared" ref="FT136:FT167" si="388">IF(AL136="D",FP136,"")</f>
        <v/>
      </c>
      <c r="FU136" s="189" t="str">
        <f t="shared" si="336"/>
        <v/>
      </c>
      <c r="FV136" s="206" t="str">
        <f t="shared" ref="FV136:FV167" si="389">IF(FP136="G",ROUNDUP(36%*BE136-AX136,0),"")</f>
        <v/>
      </c>
      <c r="FW136" s="205" t="str">
        <f t="shared" si="337"/>
        <v/>
      </c>
      <c r="FX136" s="189" t="str">
        <f t="shared" ref="FX136:FX167" si="390">IF(BI136="A",FW136,"")</f>
        <v/>
      </c>
      <c r="FY136" s="189" t="str">
        <f t="shared" ref="FY136:FY167" si="391">IF(BI136="B",FW136,"")</f>
        <v/>
      </c>
      <c r="FZ136" s="189" t="str">
        <f t="shared" ref="FZ136:FZ167" si="392">IF(BI136="C",FW136,"")</f>
        <v/>
      </c>
      <c r="GA136" s="189" t="str">
        <f t="shared" ref="GA136:GA167" si="393">IF(BI136="D",FW136,"")</f>
        <v/>
      </c>
      <c r="GB136" s="189" t="str">
        <f t="shared" si="338"/>
        <v/>
      </c>
      <c r="GC136" s="206" t="str">
        <f t="shared" ref="GC136:GC167" si="394">IF(FW136="G",ROUNDUP(36%*CB136-BU136,0),"")</f>
        <v/>
      </c>
      <c r="GD136" s="205" t="str">
        <f t="shared" si="339"/>
        <v/>
      </c>
      <c r="GE136" s="189" t="str">
        <f t="shared" ref="GE136:GE167" si="395">IF(CF136="A",GD136,"")</f>
        <v/>
      </c>
      <c r="GF136" s="189" t="str">
        <f t="shared" ref="GF136:GF167" si="396">IF(CF136="B",GD136,"")</f>
        <v/>
      </c>
      <c r="GG136" s="189" t="str">
        <f t="shared" ref="GG136:GG167" si="397">IF(CF136="C",GD136,"")</f>
        <v/>
      </c>
      <c r="GH136" s="189" t="str">
        <f t="shared" ref="GH136:GH167" si="398">IF(CF136="D",GD136,"")</f>
        <v/>
      </c>
      <c r="GI136" s="189" t="str">
        <f t="shared" si="340"/>
        <v/>
      </c>
      <c r="GJ136" s="206" t="str">
        <f t="shared" ref="GJ136:GJ167" si="399">IF(GD136="G",ROUNDUP(36%*CY136-CR136,0),"")</f>
        <v/>
      </c>
      <c r="GK136" s="205" t="str">
        <f t="shared" si="341"/>
        <v/>
      </c>
      <c r="GL136" s="189" t="str">
        <f t="shared" ref="GL136:GL167" si="400">IF(DD136="A",GK136,"")</f>
        <v/>
      </c>
      <c r="GM136" s="189" t="str">
        <f t="shared" ref="GM136:GM167" si="401">IF(DD136="B",GK136,"")</f>
        <v/>
      </c>
      <c r="GN136" s="189" t="str">
        <f t="shared" ref="GN136:GN167" si="402">IF(DD136="C",GK136,"")</f>
        <v/>
      </c>
      <c r="GO136" s="189" t="str">
        <f t="shared" ref="GO136:GO167" si="403">IF(DD136="D",GK136,"")</f>
        <v/>
      </c>
      <c r="GP136" s="189" t="str">
        <f t="shared" si="342"/>
        <v/>
      </c>
      <c r="GQ136" s="206" t="str">
        <f t="shared" ref="GQ136:GQ167" si="404">IF(GK136="G",ROUNDUP(36%*DY136-DQ136,0),"")</f>
        <v/>
      </c>
      <c r="GR136" s="189" t="str">
        <f t="shared" si="343"/>
        <v/>
      </c>
      <c r="GS136" s="189" t="str">
        <f t="shared" si="344"/>
        <v/>
      </c>
      <c r="GT136" s="207" t="str">
        <f t="shared" si="345"/>
        <v xml:space="preserve">    </v>
      </c>
      <c r="GU136" s="207" t="str">
        <f t="shared" si="346"/>
        <v xml:space="preserve">    </v>
      </c>
      <c r="GV136" s="207" t="str">
        <f t="shared" si="347"/>
        <v xml:space="preserve">    </v>
      </c>
      <c r="GW136" s="207" t="str">
        <f t="shared" si="348"/>
        <v xml:space="preserve">       </v>
      </c>
      <c r="GX136" s="598" t="str">
        <f t="shared" si="349"/>
        <v xml:space="preserve">     </v>
      </c>
      <c r="GY136" s="208" t="str">
        <f t="shared" ref="GY136:GY167" si="405">IF(B136="NSO","NSO",IF(AND(OR(EX136="PASS",EX136="BY GRACE PASS",EX136="RE-EXAM"),EW136="F"),"FAIL",IF(AND(OR(EX136="PASS",EX136="BY GRACE PASS"),EW136="RE"),"RE-EXAM",EX136)))</f>
        <v/>
      </c>
      <c r="GZ136" s="606" t="str">
        <f>IF(AND(Q136="",AE136="",AZ136="",BW136="",CT136=""),"",IF(AND('Master Sheet'!$D$19="YES",'Marks Entry'!$BA$1=1),SUM(Q136,AE136,AZ136,BW136,DT136),SUM(Q136,AE136,AZ136,BW136,CT136)))</f>
        <v/>
      </c>
      <c r="HA136" s="209" t="str">
        <f>IF(GZ136="","",IF(AND('Master Sheet'!$D$19="YES",'Marks Entry'!$BA$1=1),GZ136/((900)-DC136)*100,GZ136/((1000)-DC136)*100))</f>
        <v/>
      </c>
      <c r="HB136" s="611" t="str">
        <f t="shared" si="350"/>
        <v/>
      </c>
      <c r="HC136" s="609" t="str">
        <f t="shared" si="351"/>
        <v/>
      </c>
      <c r="HD136" s="610" t="str">
        <f t="shared" si="352"/>
        <v/>
      </c>
      <c r="HE136" s="210" t="str">
        <f>IFERROR(IF(OR(GY136="SUPPLEMENTARY",GY136="RE-EXAM"),'Supp. Result Entry'!AS135,""),"")</f>
        <v/>
      </c>
      <c r="HF136" s="613" t="str">
        <f t="shared" si="353"/>
        <v/>
      </c>
      <c r="HG136" s="598" t="str">
        <f t="shared" si="354"/>
        <v/>
      </c>
      <c r="HH136" s="598" t="str">
        <f>IF(AND(HE136="",HF136="",HG136=""),"",IF(OR(GY136="SUPPLEMENTARY",GY136="RE-EXAM"),'Supp. Result Entry'!AS135,GY136))</f>
        <v/>
      </c>
      <c r="HI136" s="180"/>
      <c r="HY136" s="212" t="str">
        <f>IF('Supp. Result Entry'!U135="","",'Supp. Result Entry'!$U$6)</f>
        <v/>
      </c>
      <c r="HZ136" s="213" t="str">
        <f>IF('Supp. Result Entry'!X135="","",'Supp. Result Entry'!$X$6)</f>
        <v/>
      </c>
      <c r="IA136" s="213" t="str">
        <f>IF('Supp. Result Entry'!AA135="","",'Supp. Result Entry'!$AA$6)</f>
        <v/>
      </c>
      <c r="IB136" s="213" t="str">
        <f>IF('Supp. Result Entry'!AD135="","",'Supp. Result Entry'!$AD$6)</f>
        <v/>
      </c>
      <c r="IC136" s="213" t="str">
        <f>IF('Supp. Result Entry'!AG135="","",'Supp. Result Entry'!$AG$6)</f>
        <v/>
      </c>
      <c r="ID136" s="213" t="str">
        <f>IF('Supp. Result Entry'!AJ135="","",'Supp. Result Entry'!$AJ$6)</f>
        <v/>
      </c>
      <c r="IE136" s="213" t="str">
        <f>IF('Supp. Result Entry'!V135="","",'Supp. Result Entry'!V135)</f>
        <v/>
      </c>
      <c r="IF136" s="213" t="str">
        <f>IF('Supp. Result Entry'!Y135="","",'Supp. Result Entry'!Y135)</f>
        <v/>
      </c>
      <c r="IG136" s="213" t="str">
        <f>IF('Supp. Result Entry'!AB135="","",'Supp. Result Entry'!AB135)</f>
        <v/>
      </c>
      <c r="IH136" s="213" t="str">
        <f>IF('Supp. Result Entry'!AE135="","",'Supp. Result Entry'!AE135)</f>
        <v/>
      </c>
      <c r="II136" s="213" t="str">
        <f>IF('Supp. Result Entry'!AH135="","",'Supp. Result Entry'!AH135)</f>
        <v/>
      </c>
      <c r="IJ136" s="213" t="str">
        <f>IF('Supp. Result Entry'!AK135="","",'Supp. Result Entry'!AK135)</f>
        <v/>
      </c>
      <c r="IK136" s="213" t="str">
        <f>IF('Supp. Result Entry'!W135="","",'Supp. Result Entry'!W135)</f>
        <v/>
      </c>
      <c r="IL136" s="213" t="str">
        <f>IF('Supp. Result Entry'!Z135="","",'Supp. Result Entry'!Z135)</f>
        <v/>
      </c>
      <c r="IM136" s="213" t="str">
        <f>IF('Supp. Result Entry'!AC135="","",'Supp. Result Entry'!AC135)</f>
        <v/>
      </c>
      <c r="IN136" s="213" t="str">
        <f>IF('Supp. Result Entry'!AF135="","",'Supp. Result Entry'!AF135)</f>
        <v/>
      </c>
      <c r="IO136" s="213" t="str">
        <f>IF('Supp. Result Entry'!AI135="","",'Supp. Result Entry'!AI135)</f>
        <v/>
      </c>
      <c r="IP136" s="213" t="str">
        <f>IF('Supp. Result Entry'!AL135="","",'Supp. Result Entry'!AL135)</f>
        <v/>
      </c>
      <c r="IQ136" s="213">
        <f>COUNTIF('Supp. Result Entry'!K135:Q135,"S")</f>
        <v>0</v>
      </c>
      <c r="IR136" s="213">
        <f t="shared" si="355"/>
        <v>0</v>
      </c>
      <c r="IS136" s="213">
        <f t="shared" si="356"/>
        <v>0</v>
      </c>
      <c r="IT136" s="213" t="str">
        <f t="shared" ref="IT136:IT199" si="406">IF(OR(IQ136=0,IQ136&lt;IS136),"",IF(OR(FJ136="RE",FJ136="REP"),SUM(Q136,IE136),IF(FJ136="S",IE136,Q136)))</f>
        <v/>
      </c>
      <c r="IU136" s="213" t="str">
        <f t="shared" ref="IU136:IU199" si="407">IF(OR(IQ136=0,IQ136&lt;IS136),"",IF(OR(FM136="RE",FM136="REP"),SUM(AE136,IF136),IF(FM136="S",IF136,AE136)))</f>
        <v/>
      </c>
      <c r="IV136" s="213" t="str">
        <f t="shared" ref="IV136:IV199" si="408">IF(OR(IQ136=0,IQ136&lt;IS136),"",IF(OR(FP136="RE",FP136="REP"),SUM(AZ136,IG136),IF(FP136="S",IG136,AZ136)))</f>
        <v/>
      </c>
      <c r="IW136" s="213" t="str">
        <f t="shared" ref="IW136:IW199" si="409">IF(OR(IQ136=0,IQ136&lt;IS136),"",IF(OR(FW136="RE",FW136="REP"),SUM(BW136,IH136),IF(FW136="S",IH136,BW136)))</f>
        <v/>
      </c>
      <c r="IX136" s="213" t="str">
        <f t="shared" ref="IX136:IX199" si="410">IF(OR(IQ136=0,IQ136&lt;IS136),"",IF(OR(GD136="RE",GD136="REP"),SUM(CT136,II136),IF(GD136="S",II136,CT136)))</f>
        <v/>
      </c>
      <c r="IY136" s="213" t="str">
        <f t="shared" si="357"/>
        <v/>
      </c>
      <c r="IZ136" s="213" t="str">
        <f t="shared" si="358"/>
        <v/>
      </c>
      <c r="JA136" s="213" t="str">
        <f t="shared" ref="JA136:JA199" si="411">IF(OR(IQ136=0,IQ136&lt;IS136),"",SUM(($Q$6+$AE$6+$AZ$6+$BW$6+$CT$6)))</f>
        <v/>
      </c>
      <c r="JB136" s="211" t="str">
        <f t="shared" si="359"/>
        <v/>
      </c>
    </row>
    <row r="137" spans="1:262" s="211" customFormat="1" ht="21" customHeight="1">
      <c r="A137" s="184">
        <v>130</v>
      </c>
      <c r="B137" s="185" t="str">
        <f>IF('Marks Entry'!B137="","",'Marks Entry'!B137)</f>
        <v/>
      </c>
      <c r="C137" s="186" t="str">
        <f>IF('Marks Entry'!D137="","",'Marks Entry'!D137)</f>
        <v/>
      </c>
      <c r="D137" s="187" t="str">
        <f>IF('Marks Entry'!E137="","",'Marks Entry'!E137)</f>
        <v/>
      </c>
      <c r="E137" s="188" t="str">
        <f>IF('Marks Entry'!F137="","",'Marks Entry'!F137)</f>
        <v/>
      </c>
      <c r="F137" s="188" t="str">
        <f>IF('Marks Entry'!G137="","",'Marks Entry'!G137)</f>
        <v/>
      </c>
      <c r="G137" s="188" t="str">
        <f>IF('Marks Entry'!H137="","",'Marks Entry'!H137)</f>
        <v/>
      </c>
      <c r="H137" s="189" t="str">
        <f>IF('Marks Entry'!I137="","",'Marks Entry'!I137)</f>
        <v/>
      </c>
      <c r="I137" s="190" t="str">
        <f>IF('Marks Entry'!J137="","",'Marks Entry'!J137)</f>
        <v/>
      </c>
      <c r="J137" s="545" t="str">
        <f>IF('Marks Entry'!K137="","",'Marks Entry'!K137)</f>
        <v/>
      </c>
      <c r="K137" s="545" t="str">
        <f>IF('Marks Entry'!L137="","",'Marks Entry'!L137)</f>
        <v/>
      </c>
      <c r="L137" s="545" t="str">
        <f>IF('Marks Entry'!M137="","",'Marks Entry'!M137)</f>
        <v/>
      </c>
      <c r="M137" s="546" t="str">
        <f t="shared" ref="M137:M200" si="412">IF(AND(J137="",K137="",L137=""),"",IF(AND(J137="AB",K137="AB",L137="AB"),"AB",IF(AND(J137="ML",K137="ML",L137="ML"),"ML",SUM(J137:L137))))</f>
        <v/>
      </c>
      <c r="N137" s="545" t="str">
        <f>IF('Marks Entry'!N137="","",'Marks Entry'!N137)</f>
        <v/>
      </c>
      <c r="O137" s="546" t="str">
        <f t="shared" ref="O137:O200" si="413">IF(AND(N137="",M137=""),"",IF(AND(N137="AB",M137="AB"),"AB",IF(AND(N137="ML",M137="ML"),"ML",SUM(M137,N137))))</f>
        <v/>
      </c>
      <c r="P137" s="545" t="str">
        <f>IF('Marks Entry'!O137="","",'Marks Entry'!O137)</f>
        <v/>
      </c>
      <c r="Q137" s="547" t="str">
        <f t="shared" ref="Q137:Q200" si="414">IF(AND(O137="",P137=""),"",IF(AND(O137="AB",P137="AB"),"AB",IF(AND(O137="ML",P137="ML"),"ML",SUM(O137,P137))))</f>
        <v/>
      </c>
      <c r="R137" s="153">
        <f t="shared" ref="R137:R200" si="415">COUNTIF(J137:L137,"NA")*10</f>
        <v>0</v>
      </c>
      <c r="S137" s="153">
        <f t="shared" ref="S137:S200" si="416">(COUNTIF(J137:L137,"ML")*10)+(COUNTIF(N137,"ML")*70)+(COUNTIF(P137,"ML")*100)</f>
        <v>0</v>
      </c>
      <c r="T137" s="154" t="str">
        <f t="shared" ref="T137:T200" si="417">IF(OR($B137="NSO",$B137=0),"",IF(AND(J137="",K137="",L137="",N137="",P137=""),"",IF(AND(K137="",J137="",O137="",N137=""),20-R137-S137,IF(AND(K137="",L137="",N137=""),20-R137-S137,IF(AND(N137="",P137=""),40-R137-S137,IF(P137="",100-R137-S137,200-R137-S137))))))</f>
        <v/>
      </c>
      <c r="U137" s="153" t="str">
        <f t="shared" ref="U137:U200" si="418">IF(OR($B137="",$C137="",$E137=""),"",IF(AND(OR(J137="ab",J137="ml",J137=""),OR(K137="ab",K137="ml",K137=""),OR(N137="ab",N137="ml",N137="")),"AB",IF(AND(OR(N137="ab",N137="ml",N137=""),OR(P137="ab",P137="ml",P137=""),OR(L137="ab",L137="ml")),"AB",IF(AND(OR(P137="ab",P137="ml",P137=""),OR(J137="ab",J137="ml",J137=""),OR(K137="ab",K137="ml",K137="")),"AB",""))))</f>
        <v/>
      </c>
      <c r="V137" s="153" t="str">
        <f t="shared" ref="V137:V200" si="419">IF(OR($B137="NSO",$B137="",Q137=""),"",IF(OR(U137="AB",P137="ab"),"AB",IF(P137="ML","RE",IF(AND(Q137&gt;=36%*T137,P137&gt;=20%*$P$6),"P",IF(AND(Q137&gt;=34%*T137,S137=0,P137&gt;=20%*$P$6),"G2",IF(AND(Q137&gt;=31%*T137,S137=0,P137&gt;=20%*$P$6),"G1",IF(Q137&gt;=25%*T137,"S","F")))))))</f>
        <v/>
      </c>
      <c r="W137" s="153" t="str">
        <f t="shared" ref="W137:W200" si="420">IF(OR(V137="",V137=0,V137="S",V137="RE",V137="F",V137="AB"),V137,IF(Q137&gt;=75%*T137,"D",IF(Q137&gt;=60%*T137,"I",IF(Q137&gt;=48%*T137,"II",IF(Q137&gt;=36%*T137,"III",V137)))))</f>
        <v/>
      </c>
      <c r="X137" s="545" t="str">
        <f>IF('Marks Entry'!P137="","",'Marks Entry'!P137)</f>
        <v/>
      </c>
      <c r="Y137" s="545" t="str">
        <f>IF('Marks Entry'!Q137="","",'Marks Entry'!Q137)</f>
        <v/>
      </c>
      <c r="Z137" s="545" t="str">
        <f>IF('Marks Entry'!R137="","",'Marks Entry'!R137)</f>
        <v/>
      </c>
      <c r="AA137" s="546" t="str">
        <f t="shared" ref="AA137:AA200" si="421">IF(AND(X137="",Y137="",Z137=""),"",IF(AND(X137="AB",Y137="AB",Z137="AB"),"AB",IF(AND(X137="ML",Y137="ML",Z137="ML"),"ML",SUM(X137:Z137))))</f>
        <v/>
      </c>
      <c r="AB137" s="545" t="str">
        <f>IF('Marks Entry'!S137="","",'Marks Entry'!S137)</f>
        <v/>
      </c>
      <c r="AC137" s="546" t="str">
        <f t="shared" ref="AC137:AC200" si="422">IF(AND(AB137="",AA137=""),"",IF(AND(AB137="AB",AA137="AB"),"AB",IF(AND(AB137="ML",AA137="ML"),"ML",SUM(AA137,AB137))))</f>
        <v/>
      </c>
      <c r="AD137" s="545" t="str">
        <f>IF('Marks Entry'!T137="","",'Marks Entry'!T137)</f>
        <v/>
      </c>
      <c r="AE137" s="547" t="str">
        <f t="shared" ref="AE137:AE200" si="423">IF(AND(AC137="",AD137=""),"",IF(AND(AC137="AB",AD137="AB"),"AB",IF(AND(AC137="ML",AD137="ML"),"ML",SUM(AC137,AD137))))</f>
        <v/>
      </c>
      <c r="AF137" s="153">
        <f t="shared" ref="AF137:AF200" si="424">COUNTIF(X137:Z137,"NA")*10</f>
        <v>0</v>
      </c>
      <c r="AG137" s="153">
        <f t="shared" ref="AG137:AG200" si="425">(COUNTIF(X137:Z137,"ML")*10)+(COUNTIF(AB137,"ML")*70)+(COUNTIF(AD137,"ML")*100)</f>
        <v>0</v>
      </c>
      <c r="AH137" s="154" t="str">
        <f t="shared" ref="AH137:AH200" si="426">IF(OR($B137="NSO",$B137=0),"",IF(AND(X137="",Y137="",Z137="",AB137="",AD137=""),"",IF(AND(Y137="",X137="",AC137="",AB137=""),20-AF137-AG137,IF(AND(Y137="",Z137="",AB137=""),20-AF137-AG137,IF(AND(AB137="",AD137=""),40-AF137-AG137,IF(AD137="",100-AF137-AG137,200-AF137-AG137))))))</f>
        <v/>
      </c>
      <c r="AI137" s="153" t="str">
        <f t="shared" ref="AI137:AI200" si="427">IF(OR($B137="",$C137="",$E137=""),"",IF(AND(OR(X137="ab",X137="ml",X137=""),OR(Y137="ab",Y137="ml",Y137=""),OR(AB137="ab",AB137="ml",AB137="")),"AB",IF(AND(OR(AB137="ab",AB137="ml",AB137=""),OR(AD137="ab",AD137="ml",AD137=""),OR(Z137="ab",Z137="ml")),"AB",IF(AND(OR(AD137="ab",AD137="ml",AD137=""),OR(X137="ab",X137="ml",X137=""),OR(Y137="ab",Y137="ml",Y137="")),"AB",""))))</f>
        <v/>
      </c>
      <c r="AJ137" s="153" t="str">
        <f t="shared" ref="AJ137:AJ200" si="428">IF(OR($B137="NSO",$B137="",AE137=""),"",IF(OR(AI137="AB",AD137="ab"),"AB",IF(AD137="ML","RE",IF(AND(AE137&gt;=36%*AH137,AD137&gt;=20%*$P$6),"P",IF(AND(AE137&gt;=34%*AH137,AG137=0,AD137&gt;=20%*$P$6),"G2",IF(AND(AE137&gt;=31%*AH137,AG137=0,AD137&gt;=20%*$P$6),"G1",IF(AE137&gt;=25%*AH137,"S","F")))))))</f>
        <v/>
      </c>
      <c r="AK137" s="153" t="str">
        <f t="shared" ref="AK137:AK200" si="429">IF(OR(AJ137="",AJ137=0,AJ137="S",AJ137="RE",AJ137="F",AJ137="AB"),AJ137,IF(AE137&gt;=75%*AH137,"D",IF(AE137&gt;=60%*AH137,"I",IF(AE137&gt;=48%*AH137,"II",IF(AE137&gt;=36%*AH137,"III",AJ137)))))</f>
        <v/>
      </c>
      <c r="AL137" s="573" t="str">
        <f>IF('Marks Entry'!U137="","",'Marks Entry'!U137)</f>
        <v/>
      </c>
      <c r="AM137" s="573" t="str">
        <f>IF('Marks Entry'!V137="","",'Marks Entry'!V137)</f>
        <v/>
      </c>
      <c r="AN137" s="573" t="str">
        <f>IF('Marks Entry'!W137="","",'Marks Entry'!W137)</f>
        <v/>
      </c>
      <c r="AO137" s="573" t="str">
        <f>IF('Marks Entry'!X137="","",'Marks Entry'!X137)</f>
        <v/>
      </c>
      <c r="AP137" s="572" t="str">
        <f t="shared" ref="AP137:AP200" si="430">IF(AND(AM137="",AN137="",AO137=""),"",IF(AND(AM137="AB",AN137="AB",AO137="AB"),"AB",IF(AND(AM137="ML",AN137="ML",AO137="ML"),"ML",SUM(AM137:AO137))))</f>
        <v/>
      </c>
      <c r="AQ137" s="573" t="str">
        <f>IF('Marks Entry'!Y137="","",'Marks Entry'!Y137)</f>
        <v/>
      </c>
      <c r="AR137" s="573" t="str">
        <f>IF('Marks Entry'!Z137="","",'Marks Entry'!Z137)</f>
        <v/>
      </c>
      <c r="AS137" s="572" t="str">
        <f t="shared" ref="AS137:AS200" si="431">IF(AND(AQ137="",AR137=""),"",IF(AND(AQ137="AB",AR137="AB"),"AB",IF(AND(AQ137="ML",AR137="ML"),"ML",SUM(AQ137:AR137))))</f>
        <v/>
      </c>
      <c r="AT137" s="572" t="str">
        <f t="shared" ref="AT137:AT200" si="432">IF(AND(AS137="",AP137=""),"",IF(AND(AS137="AB",AP137="AB"),"AB",IF(AND(AS137="ML",AP137="ML"),"ML",SUM(AP137,AS137))))</f>
        <v/>
      </c>
      <c r="AU137" s="573" t="str">
        <f>IF('Marks Entry'!AA137="","",'Marks Entry'!AA137)</f>
        <v/>
      </c>
      <c r="AV137" s="573" t="str">
        <f>IF('Marks Entry'!AB137="","",'Marks Entry'!AB137)</f>
        <v/>
      </c>
      <c r="AW137" s="572" t="str">
        <f t="shared" ref="AW137:AW200" si="433">IF(AND(AU137="",AV137=""),"",IF(AND(AU137="AB",AV137="AB"),"AB",IF(AND(AU137="ML",AV137="ML"),"ML",SUM(AU137:AV137))))</f>
        <v/>
      </c>
      <c r="AX137" s="157" t="str">
        <f t="shared" ref="AX137:AX200" si="434">IF(AND(AP137="",AQ137="",AU137=""),"",SUM(AP137,AQ137,AU137))</f>
        <v/>
      </c>
      <c r="AY137" s="157" t="str">
        <f t="shared" ref="AY137:AY200" si="435">IF(AND(AR137="",AV137=""),"",SUM(AR137,AV137))</f>
        <v/>
      </c>
      <c r="AZ137" s="192" t="str">
        <f t="shared" ref="AZ137:AZ200" si="436">IF(AND(AT137="",AW137=""),"",SUM(AT137,AW137))</f>
        <v/>
      </c>
      <c r="BA137" s="153">
        <f t="shared" ref="BA137:BA200" si="437">COUNTIF(AM137:AO137,"NA")*10</f>
        <v>0</v>
      </c>
      <c r="BB137" s="154">
        <f t="shared" ref="BB137:BB200" si="438">IF(AND(AQ137="",AU137=""),(COUNTIF(AM137:AO137,"ML")*10+(COUNTIF(AQ137,"ML"))*AQ$6+(COUNTIF(AU137,"ML"))*AU$6),(COUNTIF(AM137:AO137,"ML")*10+(COUNTIF(AQ137,"ML"))*AQ$6+(COUNTIF(AU137,"ML"))*AU$6))</f>
        <v>0</v>
      </c>
      <c r="BC137" s="154" t="str">
        <f t="shared" ref="BC137:BC200" si="439">IF(OR($B137="NSO",$B137=0,AX137=""),"",IF(AND(AR137="",AV137=""),SUM($AU$7),SUM($AU$6)))</f>
        <v/>
      </c>
      <c r="BD137" s="154" t="str">
        <f t="shared" ref="BD137:BD200" si="440">IF(OR($B137="NSO",$B137=0,AY137=""),"",IF(AND(AR137="",AV137=""),"",AY$6-(COUNTIF(AR137,"ML")*AR$6)-(COUNTIF(AV137,"ML")*AV$6)))</f>
        <v/>
      </c>
      <c r="BE137" s="154" t="str">
        <f t="shared" ref="BE137:BE200" si="441">IF(OR($B137="NSO",$B137=0),"",IF(AND(AP137="",AQ137="",AU137=""),"",IF(AND(AR137="",AV137=""),SUM(($AX$7)-(BA137+BB137)),SUM(($AX$6)-(BA137+BB137)))))</f>
        <v/>
      </c>
      <c r="BF137" s="153" t="str">
        <f t="shared" ref="BF137:BF200" si="442">IF(AND(OR(AM137="ab",AM137="ml"),OR(AQ137="ab",AQ137="ml"),OR(AN137="ab",AN137="ml")),"AB",IF(AND(OR(AM137="ab",AM137="ml"),OR(AQ137="ab",AQ137="ml"),OR(AU137="ab",AU137="ml")),"AB",IF(AND(OR(AQ137="ab",AQ137="ml"),OR(AO137="ab",AO137="ml"),OR(AN137="ab",AN137="ml")),"AB",IF(AND(OR(AQ137="ab",AQ137="ml"),OR(AU137="ab",AU137="ml"),OR(AN137="ab",AN137="ml")),"AB",IF(AND(OR(AQ137="ab",AQ137="ml"),OR(AU137="ab",AU137="ml")),"AB","")))))</f>
        <v/>
      </c>
      <c r="BG137" s="154" t="str">
        <f t="shared" ref="BG137:BG200" si="443">IF(OR($B137="NSO",$B137=0,AU137="",AW137="",AZ137=""),"",IF(OR(AU137="AB",AV137="AB",BF137="AB"),"AB",IF(OR(AU137="ML",AW137="ML"),"RE",IF(AV137="MLP","REP",IF(AV137&lt;33%*$AV$6,"FP",IF(AR137&lt;33%*$AR$6,"FP",IF(AND(AX137&gt;=36%*BE137,SUM(AU137)&gt;=20%*BC137,AY137&gt;=SUM(BD137)*36%),"P",IF(AND(AX137&gt;=34%*BE137,BB137=0,SUM(AU137)&gt;=20%*BC137,AY137&gt;=SUM(BD137)*36%),"G2",IF(AND(AX137&gt;=31%*BE137,BB137=0,SUM(AU137)&gt;=20%*BC137,AY137&gt;=SUM(BD137)*36%),"G1",IF(AND(AX137&gt;=25%*BE137,SUM(AU137)&gt;=20%*BC137),"S","F"))))))))))</f>
        <v/>
      </c>
      <c r="BH137" s="153" t="str">
        <f t="shared" ref="BH137:BH200" si="444">IF(OR(BG137="REP",BG137="RE",BG137=0,BG137="",BG137="F",BG137="AB"),BG137,IF(AND(AZ137&gt;=75%*($AZ$6-BA137-BB137),BG137="P"),"D",IF(AND(AZ137&gt;=60%*($AZ$6-BA137-BB137),BG137="P"),"I",IF(AND(AZ137&gt;=48%*($AZ$6-BA137-BB137),BG137="P"),"II",IF(AND(AZ137&gt;=36%*($AZ$6-BA137-BB137),BG137="P"),"III",BG137)))))</f>
        <v/>
      </c>
      <c r="BI137" s="580" t="str">
        <f>IF('Marks Entry'!AC137="","",'Marks Entry'!AC137)</f>
        <v/>
      </c>
      <c r="BJ137" s="580" t="str">
        <f>IF('Marks Entry'!AD137="","",'Marks Entry'!AD137)</f>
        <v/>
      </c>
      <c r="BK137" s="580" t="str">
        <f>IF('Marks Entry'!AE137="","",'Marks Entry'!AE137)</f>
        <v/>
      </c>
      <c r="BL137" s="580" t="str">
        <f>IF('Marks Entry'!AF137="","",'Marks Entry'!AF137)</f>
        <v/>
      </c>
      <c r="BM137" s="581" t="str">
        <f t="shared" ref="BM137:BM200" si="445">IF(AND(BJ137="",BK137="",BL137=""),"",IF(AND(BJ137="AB",BK137="AB",BL137="AB"),"AB",IF(AND(BJ137="ML",BK137="ML",BL137="ML"),"ML",SUM(BJ137:BL137))))</f>
        <v/>
      </c>
      <c r="BN137" s="580" t="str">
        <f>IF('Marks Entry'!AG137="","",'Marks Entry'!AG137)</f>
        <v/>
      </c>
      <c r="BO137" s="580" t="str">
        <f>IF('Marks Entry'!AH137="","",'Marks Entry'!AH137)</f>
        <v/>
      </c>
      <c r="BP137" s="581" t="str">
        <f t="shared" ref="BP137:BP200" si="446">IF(AND(BN137="",BO137=""),"",IF(AND(BN137="AB",BO137="AB"),"AB",IF(AND(BN137="ML",BO137="ML"),"ML",SUM(BN137:BO137))))</f>
        <v/>
      </c>
      <c r="BQ137" s="581" t="str">
        <f t="shared" ref="BQ137:BQ200" si="447">IF(AND(BP137="",BM137=""),"",IF(AND(BP137="AB",BM137="AB"),"AB",IF(AND(BP137="ML",BM137="ML"),"ML",SUM(BM137,BP137))))</f>
        <v/>
      </c>
      <c r="BR137" s="580" t="str">
        <f>IF('Marks Entry'!AI137="","",'Marks Entry'!AI137)</f>
        <v/>
      </c>
      <c r="BS137" s="580" t="str">
        <f>IF('Marks Entry'!AJ137="","",'Marks Entry'!AJ137)</f>
        <v/>
      </c>
      <c r="BT137" s="581" t="str">
        <f t="shared" ref="BT137:BT200" si="448">IF(AND(BR137="",BS137=""),"",IF(AND(BR137="AB",BS137="AB"),"AB",IF(AND(BR137="ML",BS137="ML"),"ML",SUM(BR137:BS137))))</f>
        <v/>
      </c>
      <c r="BU137" s="157" t="str">
        <f t="shared" ref="BU137:BU200" si="449">IF(AND(BM137="",BN137="",BR137=""),"",SUM(BM137,BN137,BR137))</f>
        <v/>
      </c>
      <c r="BV137" s="157" t="str">
        <f t="shared" ref="BV137:BV200" si="450">IF(AND(BO137="",BS137=""),"",SUM(BO137,BS137))</f>
        <v/>
      </c>
      <c r="BW137" s="192" t="str">
        <f t="shared" ref="BW137:BW200" si="451">IF(AND(BQ137="",BT137=""),"",SUM(BQ137,BT137))</f>
        <v/>
      </c>
      <c r="BX137" s="153">
        <f t="shared" ref="BX137:BX200" si="452">COUNTIF(BJ137:BL137,"NA")*10</f>
        <v>0</v>
      </c>
      <c r="BY137" s="154">
        <f t="shared" ref="BY137:BY200" si="453">IF(AND(BN137="",BR137=""),(COUNTIF(BJ137:BL137,"ML")*10+(COUNTIF(BN137,"ML"))*BN$6+(COUNTIF(BR137,"ML"))*BR$6),(COUNTIF(BJ137:BL137,"ML")*10+(COUNTIF(BN137,"ML"))*BN$6+(COUNTIF(BR137,"ML"))*BR$6))</f>
        <v>0</v>
      </c>
      <c r="BZ137" s="154" t="str">
        <f t="shared" ref="BZ137:BZ200" si="454">IF(OR($B137="NSO",$B137=0,BU137=""),"",IF(AND(BO137="",BS137=""),SUM($BR$7),SUM($BR$6)))</f>
        <v/>
      </c>
      <c r="CA137" s="154" t="str">
        <f t="shared" ref="CA137:CA200" si="455">IF(OR($B137="NSO",$B137=0,BV137=""),"",IF(AND(BO137="",BS137=""),"",BV$6-(COUNTIF(BO137,"ML")*BO$6)-(COUNTIF(BS137,"ML")*BS$6)))</f>
        <v/>
      </c>
      <c r="CB137" s="154" t="str">
        <f t="shared" ref="CB137:CB200" si="456">IF(OR($B137="NSO",$B137=0),"",IF(AND(BM137="",BN137="",BR137=""),"",IF(AND(BO137="",BS137=""),SUM(($BU$7)-(BX137+BY137)),SUM(($BU$6)-(BX137+BY137)))))</f>
        <v/>
      </c>
      <c r="CC137" s="153" t="str">
        <f t="shared" ref="CC137:CC200" si="457">IF(AND(OR(BJ137="ab",BJ137="ml"),OR(BN137="ab",BN137="ml"),OR(BK137="ab",BK137="ml")),"AB",IF(AND(OR(BJ137="ab",BJ137="ml"),OR(BN137="ab",BN137="ml"),OR(BR137="ab",BR137="ml")),"AB",IF(AND(OR(BN137="ab",BN137="ml"),OR(BL137="ab",BL137="ml"),OR(BK137="ab",BK137="ml")),"AB",IF(AND(OR(BN137="ab",BN137="ml"),OR(BR137="ab",BR137="ml"),OR(BK137="ab",BK137="ml")),"AB",IF(AND(OR(BN137="ab",BN137="ml"),OR(BR137="ab",BR137="ml")),"AB","")))))</f>
        <v/>
      </c>
      <c r="CD137" s="154" t="str">
        <f t="shared" ref="CD137:CD200" si="458">IF(OR($B137="NSO",$B137=0,BR137="",BT137="",BW137=""),"",IF(OR(BR137="AB",BS137="AB",CC137="AB"),"AB",IF(OR(BR137="ML",BT137="ML"),"RE",IF(BS137="MLP","REP",IF(BS137&lt;33%*$AV$6,"FP",IF(BO137&lt;33%*$AR$6,"FP",IF(AND(BU137&gt;=36%*CB137,SUM(BR137)&gt;=20%*BZ137,BV137&gt;=SUM(CA137)*36%),"P",IF(AND(BU137&gt;=34%*CB137,BY137=0,SUM(BR137)&gt;=20%*BZ137,BV137&gt;=SUM(CA137)*36%),"G2",IF(AND(BU137&gt;=31%*CB137,BY137=0,SUM(BR137)&gt;=20%*BZ137,BV137&gt;=SUM(CA137)*36%),"G1",IF(AND(BU137&gt;=25%*CB137,SUM(BR137)&gt;=20%*BZ137),"S","F"))))))))))</f>
        <v/>
      </c>
      <c r="CE137" s="153" t="str">
        <f t="shared" ref="CE137:CE200" si="459">IF(OR(CD137="REP",CD137="RE",CD137=0,CD137="",CD137="F",CD137="AB"),CD137,IF(AND(BW137&gt;=75%*($BW$6-BX137-BY137),CD137="P"),"D",IF(AND(BW137&gt;=60%*($BW$6-BX137-BY137),CD137="P"),"I",IF(AND(BW137&gt;=48%*($BW$6-BX137-BY137),CD137="P"),"II",IF(AND(BW137&gt;=36%*($BW$6-BX137-BY137),CD137="P"),"III",CD137)))))</f>
        <v/>
      </c>
      <c r="CF137" s="580" t="str">
        <f>IF('Marks Entry'!AK137="","",'Marks Entry'!AK137)</f>
        <v/>
      </c>
      <c r="CG137" s="580" t="str">
        <f>IF('Marks Entry'!AL137="","",'Marks Entry'!AL137)</f>
        <v/>
      </c>
      <c r="CH137" s="580" t="str">
        <f>IF('Marks Entry'!AM137="","",'Marks Entry'!AM137)</f>
        <v/>
      </c>
      <c r="CI137" s="580" t="str">
        <f>IF('Marks Entry'!AN137="","",'Marks Entry'!AN137)</f>
        <v/>
      </c>
      <c r="CJ137" s="581" t="str">
        <f t="shared" ref="CJ137:CJ200" si="460">IF(AND(CG137="",CH137="",CI137=""),"",IF(AND(CG137="AB",CH137="AB",CI137="AB"),"AB",IF(AND(CG137="ML",CH137="ML",CI137="ML"),"ML",SUM(CG137:CI137))))</f>
        <v/>
      </c>
      <c r="CK137" s="580" t="str">
        <f>IF('Marks Entry'!AO137="","",'Marks Entry'!AO137)</f>
        <v/>
      </c>
      <c r="CL137" s="580" t="str">
        <f>IF('Marks Entry'!AP137="","",'Marks Entry'!AP137)</f>
        <v/>
      </c>
      <c r="CM137" s="581" t="str">
        <f t="shared" ref="CM137:CM200" si="461">IF(AND(CK137="",CL137=""),"",IF(AND(CK137="AB",CL137="AB"),"AB",IF(AND(CK137="ML",CL137="ML"),"ML",SUM(CK137:CL137))))</f>
        <v/>
      </c>
      <c r="CN137" s="581" t="str">
        <f t="shared" ref="CN137:CN200" si="462">IF(AND(CM137="",CJ137=""),"",IF(AND(CM137="AB",CJ137="AB"),"AB",IF(AND(CM137="ML",CJ137="ML"),"ML",SUM(CJ137,CM137))))</f>
        <v/>
      </c>
      <c r="CO137" s="580" t="str">
        <f>IF('Marks Entry'!AQ137="","",'Marks Entry'!AQ137)</f>
        <v/>
      </c>
      <c r="CP137" s="580" t="str">
        <f>IF('Marks Entry'!AR137="","",'Marks Entry'!AR137)</f>
        <v/>
      </c>
      <c r="CQ137" s="581" t="str">
        <f t="shared" ref="CQ137:CQ200" si="463">IF(AND(CO137="",CP137=""),"",IF(AND(CO137="AB",CP137="AB"),"AB",IF(AND(CO137="ML",CP137="ML"),"ML",SUM(CO137:CP137))))</f>
        <v/>
      </c>
      <c r="CR137" s="157" t="str">
        <f t="shared" ref="CR137:CR200" si="464">IF(AND(CJ137="",CK137="",CO137=""),"",SUM(CJ137,CK137,CO137))</f>
        <v/>
      </c>
      <c r="CS137" s="157" t="str">
        <f t="shared" ref="CS137:CS200" si="465">IF(AND(CL137="",CP137=""),"",SUM(CL137,CP137))</f>
        <v/>
      </c>
      <c r="CT137" s="192" t="str">
        <f t="shared" ref="CT137:CT200" si="466">IF(AND(CN137="",CQ137=""),"",SUM(CN137,CQ137))</f>
        <v/>
      </c>
      <c r="CU137" s="153">
        <f t="shared" ref="CU137:CU200" si="467">COUNTIF(CG137:CI137,"NA")*10</f>
        <v>0</v>
      </c>
      <c r="CV137" s="154">
        <f t="shared" ref="CV137:CV200" si="468">IF(AND(CK137="",CO137=""),(COUNTIF(CG137:CI137,"ML")*10+(COUNTIF(CK137,"ML"))*CK$6+(COUNTIF(CO137,"ML"))*CO$6),(COUNTIF(CG137:CI137,"ML")*10+(COUNTIF(CK137,"ML"))*CK$6+(COUNTIF(CO137,"ML"))*CO$6))</f>
        <v>0</v>
      </c>
      <c r="CW137" s="154" t="str">
        <f t="shared" ref="CW137:CW200" si="469">IF(OR($B137="NSO",$B137=0,CR137=""),"",IF(AND(CL137="",CP137=""),SUM($CO$7),SUM($CO$6)))</f>
        <v/>
      </c>
      <c r="CX137" s="154" t="str">
        <f t="shared" ref="CX137:CX200" si="470">IF(OR($B137="NSO",$B137=0,CS137=""),"",IF(AND(CL137="",CP137=""),"",CS$6-(COUNTIF(CL137,"ML")*CL$6)-(COUNTIF(CP137,"ML")*CP$6)))</f>
        <v/>
      </c>
      <c r="CY137" s="154" t="str">
        <f t="shared" ref="CY137:CY200" si="471">IF(OR($B137="NSO",$B137=0),"",IF(AND(CJ137="",CK137="",CO137=""),"",IF(AND(CL137="",CP137=""),SUM((CR$7)-(CU137+CV137)),SUM((CR$6)-(CU137+CV137)))))</f>
        <v/>
      </c>
      <c r="CZ137" s="153" t="str">
        <f t="shared" ref="CZ137:CZ200" si="472">IF(AND(OR(CG137="ab",CG137="ml"),OR(CK137="ab",CK137="ml"),OR(CH137="ab",CH137="ml")),"AB",IF(AND(OR(CG137="ab",CG137="ml"),OR(CK137="ab",CK137="ml"),OR(CO137="ab",CO137="ml")),"AB",IF(AND(OR(CK137="ab",CK137="ml"),OR(CI137="ab",CI137="ml"),OR(CH137="ab",CH137="ml")),"AB",IF(AND(OR(CK137="ab",CK137="ml"),OR(CO137="ab",CO137="ml"),OR(CH137="ab",CH137="ml")),"AB",IF(AND(OR(CK137="ab",CK137="ml"),OR(CO137="ab",CO137="ml")),"AB","")))))</f>
        <v/>
      </c>
      <c r="DA137" s="154" t="str">
        <f t="shared" ref="DA137:DA200" si="473">IF(OR($B137="NSO",$B137=0,CO137="",CQ137="",CT137=""),"",IF(OR(CO137="AB",CP137="AB",CZ137="AB"),"AB",IF(OR(CO137="ML",CQ137="ML"),"RE",IF(CP137="MLP","REP",IF(CP137&lt;33%*$AV$6,"FP",IF(CL137&lt;33%*$AR$6,"FP",IF(AND(CR137&gt;=36%*CY137,SUM(CO137)&gt;=20%*CW137,CS137&gt;=SUM(CX137)*36%),"P",IF(AND(CR137&gt;=34%*CY137,CV137=0,SUM(CO137)&gt;=20%*CW137,CS137&gt;=SUM(CX137)*36%),"G2",IF(AND(CR137&gt;=31%*CY137,CV137=0,SUM(CO137)&gt;=20%*CW137,CS137&gt;=SUM(CX137)*36%),"G1",IF(AND(CR137&gt;=25%*CY137,SUM(CO137)&gt;=20%*CW137),"S","F"))))))))))</f>
        <v/>
      </c>
      <c r="DB137" s="153" t="str">
        <f t="shared" ref="DB137:DB200" si="474">IF(OR(DA137="REP",DA137="RE",DA137=0,DA137="",DA137="F",DA137="AB"),DA137,IF(AND(CT137&gt;=75%*($CT$6-CU137-CV137),DA137="P"),"D",IF(AND(CT137&gt;=60%*($CT$6-CU137-CV137),DA137="P"),"I",IF(AND(CT137&gt;=48%*($CT$6-CU137-CV137),DA137="P"),"II",IF(AND(CT137&gt;=36%*($CT$6-CU137-CV137),DA137="P"),"III",DA137)))))</f>
        <v/>
      </c>
      <c r="DC137" s="154">
        <f t="shared" ref="DC137:DC200" si="475">SUM(R137,S137,AF137,AG137,BA137,BB137,BX137,BY137,CU137,CV137)</f>
        <v>0</v>
      </c>
      <c r="DD137" s="826" t="str">
        <f>IF('Marks Entry'!AS137="","",IF(OR('Master Sheet'!$D$19="YES",'Marks Entry'!$BA$1=1),'Marks Entry'!AS137,""))</f>
        <v/>
      </c>
      <c r="DE137" s="826" t="str">
        <f>IF('Marks Entry'!AT137="","",IF(OR('Master Sheet'!$D$19="YES",'Marks Entry'!$BA$1=1),'Marks Entry'!AT137,""))</f>
        <v/>
      </c>
      <c r="DF137" s="826" t="str">
        <f>IF('Marks Entry'!AU137="","",IF(OR('Master Sheet'!$D$19="YES",'Marks Entry'!$BA$1=1),'Marks Entry'!AU137,""))</f>
        <v/>
      </c>
      <c r="DG137" s="826" t="str">
        <f>IF('Marks Entry'!AV137="","",IF(OR('Master Sheet'!$D$19="YES",'Marks Entry'!$BA$1=1),'Marks Entry'!AV137,""))</f>
        <v/>
      </c>
      <c r="DH137" s="827" t="str">
        <f t="shared" ref="DH137:DH200" si="476">IF(AND(DE137="",DF137="",DG137=""),"",IF(AND(DE137="AB",DF137="AB",DG137="AB"),"AB",IF(AND(DE137="ML",DF137="ML",DG137="ML"),"ML",SUM(DE137:DG137))))</f>
        <v/>
      </c>
      <c r="DI137" s="826" t="str">
        <f>IF('Marks Entry'!AW137="","",IF(OR('Master Sheet'!$D$19="YES",'Marks Entry'!$BA$1=1),'Marks Entry'!AW137,""))</f>
        <v/>
      </c>
      <c r="DJ137" s="826" t="str">
        <f>IF('Marks Entry'!AX137="","",IF(OR('Master Sheet'!$D$19="YES",'Marks Entry'!$BA$1=1),'Marks Entry'!AX137,""))</f>
        <v/>
      </c>
      <c r="DK137" s="827" t="str">
        <f t="shared" ref="DK137:DK200" si="477">IF(AND(DI137="",DJ137=""),"",IF(AND(DI137="AB",DJ137="AB"),"AB",IF(AND(DI137="ML",DJ137="ML"),"ML",SUM(DI137:DJ137))))</f>
        <v/>
      </c>
      <c r="DL137" s="827" t="str">
        <f t="shared" ref="DL137:DL200" si="478">IF(AND(DK137="",DH137=""),"",IF(AND(DK137="AB",DH137="AB"),"AB",IF(AND(DK137="ML",DH137="ML"),"ML",SUM(DH137,DK137))))</f>
        <v/>
      </c>
      <c r="DM137" s="826" t="str">
        <f>IF('Marks Entry'!AY137="","",IF(OR('Master Sheet'!$D$19="YES",'Marks Entry'!$BA$1=1),'Marks Entry'!AY137,""))</f>
        <v/>
      </c>
      <c r="DN137" s="826" t="str">
        <f>IF('Marks Entry'!AZ137="","",IF(OR('Master Sheet'!$D$19="YES",'Marks Entry'!$BA$1=1),'Marks Entry'!AZ137,""))</f>
        <v/>
      </c>
      <c r="DO137" s="826" t="str">
        <f>IF('Marks Entry'!BA137="","",IF(OR('Master Sheet'!$D$19="YES",'Marks Entry'!$BA$1=1),'Marks Entry'!BA137,""))</f>
        <v/>
      </c>
      <c r="DP137" s="827" t="str">
        <f t="shared" ref="DP137:DP200" si="479">IF(AND(DM137="",DN137="",DO137=""),"",IF(AND(DM137="AB",DN137="AB",DO137="AB"),"AB",IF(AND(DM137="ML",DN137="ML",DO137="ML"),"ML",SUM(DM137:DO137))))</f>
        <v/>
      </c>
      <c r="DQ137" s="157" t="str">
        <f t="shared" ref="DQ137:DQ200" si="480">IF(AND(DH137="",DI137="",DM137="",DN137=""),"",SUM(DH137,DI137,DM137))</f>
        <v/>
      </c>
      <c r="DR137" s="157" t="str">
        <f t="shared" ref="DR137:DR200" si="481">IF(AND(DN137=""),"",SUM(DN137))</f>
        <v/>
      </c>
      <c r="DS137" s="157" t="str">
        <f t="shared" ref="DS137:DS200" si="482">IF(AND(DJ137="",DO137=""),"",SUM(DJ137,DO137))</f>
        <v/>
      </c>
      <c r="DT137" s="192" t="str">
        <f t="shared" ref="DT137:DT200" si="483">IF(AND(DL137="",DP137=""),"",SUM(DL137,DP137))</f>
        <v/>
      </c>
      <c r="DU137" s="153">
        <f t="shared" ref="DU137:DU200" si="484">COUNTIF(DE137:DG137,"NA")*10</f>
        <v>0</v>
      </c>
      <c r="DV137" s="154" t="e">
        <f t="shared" ref="DV137:DV200" si="485">IF(AND(DI137="",DM137=""),(COUNTIF(DE137:DG137,"ML")*10+(COUNTIF(DI137,"ML"))*DI$6+(COUNTIF(DM137,"ML"))*DM$6),(COUNTIF(DE137:DG137,"ML")*10+(COUNTIF(DI137,"ML"))*DI$6+(COUNTIF(DM137,"ML"))*DM$6))</f>
        <v>#VALUE!</v>
      </c>
      <c r="DW137" s="154" t="str">
        <f t="shared" ref="DW137:DW200" si="486">IF(OR($B137="NSO",$B137=0,DM137=""),"",IF(AND(DO137=""),SUM($DM$7,DN$7),SUM($DM$6,DN$6)))</f>
        <v/>
      </c>
      <c r="DX137" s="154" t="str">
        <f>IF(OR($B137="NSO",$B137=0,DS137=""),"",IF(AND(DJ137="",DO137=""),"",IF('Master Sheet'!$D$19="YES",$DO$6-COUNTIF(DO137,"ML")*DO$6,DS$6-(COUNTIF(DJ137,"ML")*DJ$6)-(COUNTIF(DO137,"ML")*DO$6))))</f>
        <v/>
      </c>
      <c r="DY137" s="154" t="str">
        <f>IF(OR($B137="NSO",$B137=0),"",IF(AND(DH137="",DI137="",DM137=""),"",IF(AND('Master Sheet'!$D$19="YES",'Marks Entry'!$BA$1=1),100,IF(AND(DJ137="",DO137=""),SUM(($DQ$7+$DR$7)-(DU137+DV137)),SUM(($DQ$6+$DR$6)-(DU137+DV137))))))</f>
        <v/>
      </c>
      <c r="DZ137" s="153" t="str">
        <f t="shared" ref="DZ137:DZ200" si="487">IF(AND(OR(DE137="ab",DF137="ml"),OR(DI137="ab",DI137="ml")),"AB",IF(AND(OR(DE137="ab",DE137="ml"),OR(DF137="ab",DF137="ml"),OR(DH137="ab",DH137="ml")),"AB",IF(AND(OR(DI137="ab",DI137="ml"),OR(DF137="ab",DF137="ml"),OR(DG137="ab",DG137="ml")),"AB",IF(AND(OR(DKJ137="ab",DI137="ml"),OR(DM137="ab",DM137="ml"),OR(DN137="ab",DN137="ml")),"AB",""))))</f>
        <v/>
      </c>
      <c r="EA137" s="154" t="str">
        <f t="shared" ref="EA137:EA200" si="488">IF(OR($B137="NSO",$B137=0,DM137="",DT137="",DQ137=""),"",IF(OR(DM137="AB",DO137="AB",DZ137="AB"),"AB",IF(OR(DM137="ML",DP137="ML"),"RE",IF(DO137="MLP","REP",IF(DO137&lt;33%*$DO$6,"FP",IF(DJ137&lt;33%*$DJ$6,"FP",IF(AND(DT137&gt;=36%*DY137,SUM(DM137)&gt;=20%*DW137,DS137&gt;=SUM(DX137)*36%),"P",IF(AND(DQ137&gt;=34%*DY137,DV137=0,SUM(DM137)&gt;=20%*DW137,DS137&gt;=SUM(DX137)*36%),"G2",IF(AND(DQ137&gt;=31%*DY137,DV137=0,SUM(DM137)&gt;=20%*DW137,DS137&gt;=SUM(DX137)*36%),"G1",IF(AND(DQ137&gt;=25%*DY137,SUM(DM137)&gt;=20%*DW137),"S","F"))))))))))</f>
        <v/>
      </c>
      <c r="EB137" s="153" t="str">
        <f t="shared" ref="EB137:EB200" si="489">IF(OR(EA137="REP",EA137="RE",EA137=0,EA137="",EA137="F",EA137="AB"),EA137,IF(AND(DT137&gt;=75%*($DT$6-DU137-DV137),EA137="P"),"D",IF(AND(DT137&gt;=60%*($DT$6-DU137-DV137),EA137="P"),"I",IF(AND(DT137&gt;=48%*($DT$6-DU137-DV137),EA137="P"),"II",IF(AND(DT137&gt;=36%*($DT$6-DU137-DV137),EA137="P"),"III",EA137)))))</f>
        <v/>
      </c>
      <c r="EC137" s="584" t="str">
        <f>IF('Marks Entry'!BB137="","",'Marks Entry'!BB137)</f>
        <v/>
      </c>
      <c r="ED137" s="584" t="str">
        <f>IF('Marks Entry'!BC137="","",'Marks Entry'!BC137)</f>
        <v/>
      </c>
      <c r="EE137" s="584" t="str">
        <f>IF('Marks Entry'!BD137="","",'Marks Entry'!BD137)</f>
        <v/>
      </c>
      <c r="EF137" s="590" t="str">
        <f t="shared" ref="EF137:EF200" si="490">IF(AND(EC137="",ED137="",EE137=""),"",SUM(EC137:EE137))</f>
        <v/>
      </c>
      <c r="EG137" s="595">
        <f t="shared" ref="EG137:EG200" si="491">COUNTIF(EC137,"NA")*$EC$6</f>
        <v>0</v>
      </c>
      <c r="EH137" s="595">
        <f t="shared" ref="EH137:EH200" si="492">(COUNTIF(EC137,"ML")*$EC$6)+(COUNTIF(ED137,"ML")*$ED$6)</f>
        <v>0</v>
      </c>
      <c r="EI137" s="193" t="str">
        <f t="shared" ref="EI137:EI200" si="493">IF(OR($B137="NSO",$B137=0),"",IF(AND(EC137="",ED137="",EE137=""),"",IF(AND(EC137="",ED137=""),30-EG137-EH137,IF(AND(ED137="",EE137=""),60-EG137-EH137,100-EG137-EH137))))</f>
        <v/>
      </c>
      <c r="EJ137" s="595" t="str">
        <f t="shared" ref="EJ137:EJ200" si="494">IF(OR(EE137="ab",EE137="ml"),EE137,"")</f>
        <v/>
      </c>
      <c r="EK137" s="595" t="str">
        <f t="shared" ref="EK137:EK200" si="495">IF(OR($B137="NSO",$B137=0,EF137=""),"",IF(OR(EJ137="AB",EE137="ab"),"AB",IF(AND(EX137="FAIL",(OR(EF137="ml",EF137&lt;20%*$EF$6,EF137&lt;36%*EI137))),"F",IF(OR(EE137="ML",EE137&lt;20%*$EE$6,EF137&lt;36%*EI137),"RE",IF(EF137&gt;80%*EI137,"A",IF(EF137&gt;60%*EI137,"B",IF(EF137&gt;40%*EI137,"C","D")))))))</f>
        <v/>
      </c>
      <c r="EL137" s="194" t="str">
        <f t="shared" ref="EL137:EL200" si="496">W137</f>
        <v/>
      </c>
      <c r="EM137" s="194" t="str">
        <f t="shared" ref="EM137:EM200" si="497">AK137</f>
        <v/>
      </c>
      <c r="EN137" s="194" t="str">
        <f t="shared" ref="EN137:EN200" si="498">BH137</f>
        <v/>
      </c>
      <c r="EO137" s="194" t="str">
        <f t="shared" ref="EO137:EO200" si="499">CE137</f>
        <v/>
      </c>
      <c r="EP137" s="194" t="str">
        <f t="shared" ref="EP137:EP200" si="500">DB137</f>
        <v/>
      </c>
      <c r="EQ137" s="194" t="str">
        <f t="shared" ref="EQ137:EQ200" si="501">EB137</f>
        <v/>
      </c>
      <c r="ER137" s="195">
        <f t="shared" ref="ER137:ER200" si="502">COUNTIF(EL137:EP137,"F")+COUNTIF(EL137:EP137,"AB")+COUNTIF(EN137:EP137,"FP")</f>
        <v>0</v>
      </c>
      <c r="ES137" s="195">
        <f t="shared" ref="ES137:ES200" si="503">COUNTIF(EL137:EP137,"S")</f>
        <v>0</v>
      </c>
      <c r="ET137" s="195">
        <f t="shared" ref="ET137:ET200" si="504">COUNTIF(EL137:EP137,"G1")</f>
        <v>0</v>
      </c>
      <c r="EU137" s="195">
        <f t="shared" ref="EU137:EU200" si="505">COUNTIF(EL137:EP137,"G2")</f>
        <v>0</v>
      </c>
      <c r="EV137" s="195">
        <f t="shared" ref="EV137:EV200" si="506">COUNTIF(EL137:EP137,"RE")+COUNTIF(EL137:EP137,"REP")</f>
        <v>0</v>
      </c>
      <c r="EW137" s="195" t="str">
        <f t="shared" ref="EW137:EW200" si="507">IF(OR(EK137="AB",EK137="F"),"D",IF(OR(EK137="RE"),"D",""))</f>
        <v/>
      </c>
      <c r="EX137" s="196" t="str">
        <f t="shared" ref="EX137:EX200" si="508">IF(B137="NSO","NSO",IF(OR(B137="",B137=0,P137="",AD137="",AW137="",BT137=""),"",IF(OR(ER137&gt;0,(ES137+ET137+EU137)&gt;2),"FAIL",IF(EV137&gt;0,"RE-EXAM",IF(OR(ES137&gt;0,ET137&gt;1),"SUPPLEMENTARY",IF(AND(ET137&gt;0,EU137&gt;0),"SUPPLEMENTARY",IF((ET137+EU137)&gt;0,"BY GRACE PASS","PASS")))))))</f>
        <v/>
      </c>
      <c r="EY137" s="197" t="str">
        <f>IF('Marks Entry'!BE137="","",'Marks Entry'!BE137)</f>
        <v/>
      </c>
      <c r="EZ137" s="197" t="str">
        <f>IF('Marks Entry'!BF137="","",'Marks Entry'!BF137)</f>
        <v/>
      </c>
      <c r="FA137" s="197" t="str">
        <f>IF('Marks Entry'!BG137="","",'Marks Entry'!BG137)</f>
        <v/>
      </c>
      <c r="FB137" s="596" t="str">
        <f t="shared" ref="FB137:FB200" si="509">IF(AND(EY137="",EZ137="",FA137=""),"",IF(AND(EY137="AB",EZ137="AB",FA137="AB"),"AB",IF(AND(EY137="ML",EZ137="ML",FA137="ML"),"ML",SUM(EY137:FA137))))</f>
        <v/>
      </c>
      <c r="FC137" s="197" t="str">
        <f>IF('Marks Entry'!BH137="","",'Marks Entry'!BH137)</f>
        <v/>
      </c>
      <c r="FD137" s="197" t="str">
        <f>IF('Marks Entry'!BI137="","",'Marks Entry'!BI137)</f>
        <v/>
      </c>
      <c r="FE137" s="198" t="str">
        <f t="shared" ref="FE137:FE200" si="510">IF(AND(EY137="",EZ137="",FA137="",FC137="",FD137=""),"",SUM(EY137,EZ137,FA137,FC137,FD137))</f>
        <v/>
      </c>
      <c r="FF137" s="199" t="str">
        <f t="shared" ref="FF137:FF200" si="511">IF(OR($B137="NSO",$B137=0,FE137=""),"",IF(OR(FE137="AB",FD137="ab"),"AB",IF(AND(EX137="FAIL",(OR(FE137&lt;36%*$FE$6))),"F",IF(OR(FD137="ML",FD137&lt;20%*$FD$6,FE137&lt;36%*$FE$6),"RE",IF(FE137&gt;80%*$FE$6,"A",IF(FE137&gt;60%*$FE$6,"B",IF(FE137&gt;40%*$FE$6,"C","D")))))))</f>
        <v/>
      </c>
      <c r="FG137" s="200" t="str">
        <f>IF(AND(E137=""),"",IF('Student DATA Entry'!L133="","",'Student DATA Entry'!L133))</f>
        <v/>
      </c>
      <c r="FH137" s="201" t="str">
        <f>IF(AND(E137=""),"",IF('Student DATA Entry'!M133="","",'Student DATA Entry'!M133))</f>
        <v/>
      </c>
      <c r="FI137" s="202" t="str">
        <f t="shared" ref="FI137:FI200" si="512">IF(OR(FG137=0,FH137=0,FG137="",FH137=""),"",FH137/FG137*100)</f>
        <v/>
      </c>
      <c r="FJ137" s="189" t="str">
        <f t="shared" ref="FJ137:FJ200" si="513">IF(AND(EX137="FAIL",(OR(EL137="G1",EL137="G2",EL137="S",EL137="RE"))),"F",IF(AND(EX137="RE-EXAM",(OR(EL137="G1",EL137="G2",EL137="S"))),"S",IF(AND(EX137="SUPPLEMENTARY",(OR(EL137="G1",EL137="G2"))),"S",IF(AND(EX137="BY GRACE PASS",(OR(EL137="G1",EL137="G2"))),"G",EL137))))</f>
        <v/>
      </c>
      <c r="FK137" s="189" t="str">
        <f t="shared" ref="FK137:FK200" si="514">IF(FJ137="G",",+","")</f>
        <v/>
      </c>
      <c r="FL137" s="203" t="str">
        <f t="shared" si="383"/>
        <v/>
      </c>
      <c r="FM137" s="189" t="str">
        <f t="shared" ref="FM137:FM200" si="515">IF(AND(EX137="vuqRrh.kZ",(OR(EM137="G1",EM137="G2",EM137="S",EM137="RE"))),"F",IF(AND(EX137="iqu% ijh{kk",(OR(EM137="G1",EM137="G2",EM137="S"))),"S",IF(AND(EX137="iwjd",(OR(EM137="G1",EM137="G2"))),"S",IF(AND(EX137="lk- mRrh.kZ",(OR(EM137="G1",EM137="G2"))),"G",EM137))))</f>
        <v/>
      </c>
      <c r="FN137" s="204" t="str">
        <f t="shared" ref="FN137:FN200" si="516">IF(FM137="G",",+","")</f>
        <v/>
      </c>
      <c r="FO137" s="203" t="str">
        <f t="shared" si="384"/>
        <v/>
      </c>
      <c r="FP137" s="205" t="str">
        <f t="shared" ref="FP137:FP200" si="517">IF(AND(EX137="FAIL",(OR(EN137="G1",EN137="G2",EN137="S",EN137="RE"))),"F",IF(AND(EX137="RE-EXAM",(OR(EN137="G1",EN137="G2",EN137="S"))),"S",IF(AND(EX137="SUPPLEMENTARY",(OR(EN137="G1",EN137="G2"))),"S",IF(AND(EX137="BY GRACE PASS",(OR(EN137="G1",EN137="G2"))),"G",EN137))))</f>
        <v/>
      </c>
      <c r="FQ137" s="189" t="str">
        <f t="shared" si="385"/>
        <v/>
      </c>
      <c r="FR137" s="189" t="str">
        <f t="shared" si="386"/>
        <v/>
      </c>
      <c r="FS137" s="189" t="str">
        <f t="shared" si="387"/>
        <v/>
      </c>
      <c r="FT137" s="189" t="str">
        <f t="shared" si="388"/>
        <v/>
      </c>
      <c r="FU137" s="189" t="str">
        <f t="shared" ref="FU137:FU200" si="518">IF(FP137="G",",+","")</f>
        <v/>
      </c>
      <c r="FV137" s="206" t="str">
        <f t="shared" si="389"/>
        <v/>
      </c>
      <c r="FW137" s="205" t="str">
        <f t="shared" ref="FW137:FW200" si="519">IF(AND(EX137="FAIL",(OR(EO137="G1",EO137="G2",EO137="S",EO137="RE",))),"F",IF(AND(EX137="RE-EXAM",(OR(EO137="G1",EO137="G2",EO137="S"))),"S",IF(AND(EX137="SUPPLEMENTARY",(OR(EO137="G1",EO137="G2"))),"S",IF(AND(EX137="BY GRACE PASS",(OR(EO137="G1",EO137="G2"))),"G",EO137))))</f>
        <v/>
      </c>
      <c r="FX137" s="189" t="str">
        <f t="shared" si="390"/>
        <v/>
      </c>
      <c r="FY137" s="189" t="str">
        <f t="shared" si="391"/>
        <v/>
      </c>
      <c r="FZ137" s="189" t="str">
        <f t="shared" si="392"/>
        <v/>
      </c>
      <c r="GA137" s="189" t="str">
        <f t="shared" si="393"/>
        <v/>
      </c>
      <c r="GB137" s="189" t="str">
        <f t="shared" ref="GB137:GB200" si="520">IF(FW137="G",",+","")</f>
        <v/>
      </c>
      <c r="GC137" s="206" t="str">
        <f t="shared" si="394"/>
        <v/>
      </c>
      <c r="GD137" s="205" t="str">
        <f t="shared" ref="GD137:GD200" si="521">IF(AND(EX137="FAIL",(OR(EP137="G1",EP137="G2",EP137="S",EP137="RE"))),"F",IF(AND(EX137="RE-EXAM",(OR(EP137="G1",EP137="G2",EP137="S"))),"S",IF(AND(EX137="SUPPLEMENTARY",(OR(EP137="G1",EP137="G2"))),"S",IF(AND(EX137="BY GRACE PASS",(OR(EP137="G1",EP137="G2"))),"G",EP137))))</f>
        <v/>
      </c>
      <c r="GE137" s="189" t="str">
        <f t="shared" si="395"/>
        <v/>
      </c>
      <c r="GF137" s="189" t="str">
        <f t="shared" si="396"/>
        <v/>
      </c>
      <c r="GG137" s="189" t="str">
        <f t="shared" si="397"/>
        <v/>
      </c>
      <c r="GH137" s="189" t="str">
        <f t="shared" si="398"/>
        <v/>
      </c>
      <c r="GI137" s="189" t="str">
        <f t="shared" ref="GI137:GI200" si="522">IF(GD137="G",",+","")</f>
        <v/>
      </c>
      <c r="GJ137" s="206" t="str">
        <f t="shared" si="399"/>
        <v/>
      </c>
      <c r="GK137" s="205" t="str">
        <f t="shared" ref="GK137:GK200" si="523">IF(AND(EX137="FAIL",(OR(EQ137="G1",EQ137="G2",EQ137="S",EQ137="RE"))),"F",IF(AND(EX137="RE-EXAM",(OR(EQ137="G1",EQ137="G2",EQ137="S"))),"S",IF(AND(EX137="SUPPLEMENTARY",(OR(EQ137="G1",EQ137="G2"))),"S",IF(AND(EX137="BY GRACE PASS",(OR(EQ137="G1",EQ137="G2"))),"G",EQ137))))</f>
        <v/>
      </c>
      <c r="GL137" s="189" t="str">
        <f t="shared" si="400"/>
        <v/>
      </c>
      <c r="GM137" s="189" t="str">
        <f t="shared" si="401"/>
        <v/>
      </c>
      <c r="GN137" s="189" t="str">
        <f t="shared" si="402"/>
        <v/>
      </c>
      <c r="GO137" s="189" t="str">
        <f t="shared" si="403"/>
        <v/>
      </c>
      <c r="GP137" s="189" t="str">
        <f t="shared" ref="GP137:GP200" si="524">IF(GK137="G",",+","")</f>
        <v/>
      </c>
      <c r="GQ137" s="206" t="str">
        <f t="shared" si="404"/>
        <v/>
      </c>
      <c r="GR137" s="189" t="str">
        <f t="shared" ref="GR137:GR200" si="525">IF(AND(EX137="FAIL",EK137="RE"),"F",EK137)</f>
        <v/>
      </c>
      <c r="GS137" s="189" t="str">
        <f t="shared" ref="GS137:GS200" si="526">IF(AND(EX137="FAIL",FF137="RE"),"F",FF137)</f>
        <v/>
      </c>
      <c r="GT137" s="207" t="str">
        <f t="shared" ref="GT137:GT200" si="527">CONCATENATE(IF(FJ137="F",$FJ$5,IF(FJ137="AB",$FJ$5,""))," ",IF(FM137="F",$FM$5,IF(FM137="AB",$FM$5,""))," ",IF(FQ137="F",$FQ$5,IF(FR137="F",$FR$5,IF(FS137="F",$FS$5,IF(FQ137="AB",$FQ$5,IF(FR137="AB",$FR$5,IF(FS137="AB",$FS$5,IF(FQ137="FP",$FQ$5,IF(FR137="FP",$FR$5,IF(FS137="FP",$FS$5,"")))))))))," ",IF(FX137="F",$FX$5,IF(FY137="F",$FY$5,IF(FZ137="F",$FZ$5,IF(FX137="AB",$FX$5,IF(FY137="AB",$FY$5,IF(FZ137="AB",$FZ$5,IF(FX137="FP",$FX$5,IF(FY137="FP",$FY$5,IF(FZ137="FP",$FZ$5,"")))))))))," ",IF(GE137="F",$GE$5,IF(GF137="F",$GF$5,IF(GG137="F",$GG$5,IF(GE137="AB",$GE$5,IF(GF137="AB",$GF$5,IF(GG137="AB",$GG$5,IF(GE137="FP",$GE$5,IF(GF137="FP",$GF$5,IF(GG137="FP",$GG$5,""))))))))),"",IF(GL137="F",$GL$5,IF(GM137="F",$GM$5,IF(GN137="F",$GN$5,IF(GL137="AB",$GL$5,IF(GM137="AB",$GM$5,IF(GN137="AB",$GN$5,IF(GL137="FP",$GL$5,IF(GM137="FP",$GM$5,IF(GN137="FP",$GN$5,""))))))))))</f>
        <v xml:space="preserve">    </v>
      </c>
      <c r="GU137" s="207" t="str">
        <f t="shared" ref="GU137:GU200" si="528">CONCATENATE(IF(FJ137="S",$FJ$5,"")," ",IF(FM137="S",$FM$5,"")," ",IF(FQ137="S",$FQ$5,IF(FR137="S",$FR$5,IF(FS137="S",$FS$5,IF(FT137="S",$FT$5,""))))," ",IF(FX137="S",$FX$5,IF(FY137="S",$FY$5,IF(FZ137="S",$FZ$5,IF(GA137="S",$GA$5,""))))," ",IF(GE137="S",$GE$5,IF(GF137="S",$GF$5,IF(GG137="S",$GG$5,IF(GH137="S",$GH$5,"")))))</f>
        <v xml:space="preserve">    </v>
      </c>
      <c r="GV137" s="207" t="str">
        <f t="shared" ref="GV137:GV200" si="529">CONCATENATE(IF(FJ137="G",$FJ$5,"")," ",IF(FM137="G",$FM$5,"")," ",IF(FQ137="G",$FQ$5,IF(FR137="G",$FR$5,IF(FS137="G",$FS$5,"")))," ",IF(FX137="G",$FX$5,IF(FY137="G",$FY$5,IF(FZ137="G",$FZ$5,"")))," ",IF(GE137="G",$GE$5,IF(GF137="G",$GF$5,IF(GG137="G",$GG$5,""))))</f>
        <v xml:space="preserve">    </v>
      </c>
      <c r="GW137" s="207" t="str">
        <f t="shared" ref="GW137:GW200" si="530">CONCATENATE(IF(FJ137="RE",$FJ$5,"")," ",IF(FM137="RE",$FM$5,"")," ",IF(OR(FQ137="RE",FQ137="REP"),$FQ$5,IF(OR(FR137="RE",FR137="REP"),$FR$5,IF(OR(FS137="RE",FS137="REP"),$FS$5,IF(OR(FT137="RE",FT137="REP"),$FT$5,""))))," ",IF(OR(FX137="RE",FX137="REP"),$FX$5,IF(OR(FY137="RE",FY137="REP"),$FY$5,IF(OR(FZ137="RE",FZ137="REP"),$FZ$5,IF(OR(GA137="RE",GA137="REP"),$GA$5,""))))," ",IF(OR(GE137="RE",GE137="REP"),$GE$5,IF(OR(GF137="RE",GF137="REP"),$GF$5,IF(OR(GG137="RE",GG137="REP"),$GG$5,IF(OR(GH137="RE",GH137="REP"),$GH$5,""))))," ",IF(GR137="RE",$GR$4," "),"",IF(GS137="RE",$GS$4," "),"",)</f>
        <v xml:space="preserve">       </v>
      </c>
      <c r="GX137" s="598" t="str">
        <f t="shared" ref="GX137:GX200" si="531">CONCATENATE(IF(FJ137="D",$FJ$5,"")," ",IF($FM137="D",$FM$5,"")," ",IF(FQ137="D",$FQ$5,IF(FR137="D",$FR$5,IF(FS137="D",$FS$5,IF(FT137="D",$FT$5,""))))," ",IF(FX137="D",$FX$5,IF(FY137="D",$FY$5,IF(FZ137="D",$FZ$5,IF(GA137="D",$GA$5,""))))," ",IF(GE137="D",$GE$5,IF(GF137="D",$GF$5,IF(GG137="D",$GG$5,IF(GH137="D",$GH$5,""))))," ",IF(GL137="D",$GL$5,IF(GM137="D",$GM$5,IF(GN137="D",$GN$5,IF(GO137="D",$GO$5,"")))))</f>
        <v xml:space="preserve">     </v>
      </c>
      <c r="GY137" s="208" t="str">
        <f t="shared" si="405"/>
        <v/>
      </c>
      <c r="GZ137" s="606" t="str">
        <f>IF(AND(Q137="",AE137="",AZ137="",BW137="",CT137=""),"",IF(AND('Master Sheet'!$D$19="YES",'Marks Entry'!$BA$1=1),SUM(Q137,AE137,AZ137,BW137,DT137),SUM(Q137,AE137,AZ137,BW137,CT137)))</f>
        <v/>
      </c>
      <c r="HA137" s="209" t="str">
        <f>IF(GZ137="","",IF(AND('Master Sheet'!$D$19="YES",'Marks Entry'!$BA$1=1),GZ137/((900)-DC137)*100,GZ137/((1000)-DC137)*100))</f>
        <v/>
      </c>
      <c r="HB137" s="611" t="str">
        <f t="shared" ref="HB137:HB200" si="532">IF(HA137="","",IF(AND(HA137&gt;=60,(GY137="PASS")),"I",IF(AND(HA137&gt;=60,(GY137="BY GRACE PASS")),"I",IF(AND(HA137&gt;=48,(GY137="PASS")),"II",IF(AND(HA137&gt;=48,(GY137="BY GRACE PASS")),"II",IF(AND(HA137&gt;=36,(GY137="PASS")),"III",IF(AND(HA137&gt;=36,(GY137="BY GRACE PASS")),"III","")))))))</f>
        <v/>
      </c>
      <c r="HC137" s="609" t="str">
        <f t="shared" ref="HC137:HC200" si="533">IF(OR(GY137="PASS",GY137="BY GRACE PASS"),HA137,"")</f>
        <v/>
      </c>
      <c r="HD137" s="610" t="str">
        <f t="shared" ref="HD137:HD200" si="534">IF(HC137="","",SUMPRODUCT((HC137&lt;HC$8:HC$207)/COUNTIF(HC$8:HC$207,HC$8:HC$207)))</f>
        <v/>
      </c>
      <c r="HE137" s="210" t="str">
        <f>IFERROR(IF(OR(GY137="SUPPLEMENTARY",GY137="RE-EXAM"),'Supp. Result Entry'!AS136,""),"")</f>
        <v/>
      </c>
      <c r="HF137" s="613" t="str">
        <f t="shared" ref="HF137:HF200" si="535">IF(OR(JB137="",IS137=0),"",IF(IZ137="","",IZ137))</f>
        <v/>
      </c>
      <c r="HG137" s="598" t="str">
        <f t="shared" ref="HG137:HG200" si="536">IF(AND(JB137=""),"",IF(HE137="","",IF(AND(JB137="FAIL"),"Failed",JB137)))</f>
        <v/>
      </c>
      <c r="HH137" s="598" t="str">
        <f>IF(AND(HE137="",HF137="",HG137=""),"",IF(OR(GY137="SUPPLEMENTARY",GY137="RE-EXAM"),'Supp. Result Entry'!AS136,GY137))</f>
        <v/>
      </c>
      <c r="HI137" s="180"/>
      <c r="HY137" s="212" t="str">
        <f>IF('Supp. Result Entry'!U136="","",'Supp. Result Entry'!$U$6)</f>
        <v/>
      </c>
      <c r="HZ137" s="213" t="str">
        <f>IF('Supp. Result Entry'!X136="","",'Supp. Result Entry'!$X$6)</f>
        <v/>
      </c>
      <c r="IA137" s="213" t="str">
        <f>IF('Supp. Result Entry'!AA136="","",'Supp. Result Entry'!$AA$6)</f>
        <v/>
      </c>
      <c r="IB137" s="213" t="str">
        <f>IF('Supp. Result Entry'!AD136="","",'Supp. Result Entry'!$AD$6)</f>
        <v/>
      </c>
      <c r="IC137" s="213" t="str">
        <f>IF('Supp. Result Entry'!AG136="","",'Supp. Result Entry'!$AG$6)</f>
        <v/>
      </c>
      <c r="ID137" s="213" t="str">
        <f>IF('Supp. Result Entry'!AJ136="","",'Supp. Result Entry'!$AJ$6)</f>
        <v/>
      </c>
      <c r="IE137" s="213" t="str">
        <f>IF('Supp. Result Entry'!V136="","",'Supp. Result Entry'!V136)</f>
        <v/>
      </c>
      <c r="IF137" s="213" t="str">
        <f>IF('Supp. Result Entry'!Y136="","",'Supp. Result Entry'!Y136)</f>
        <v/>
      </c>
      <c r="IG137" s="213" t="str">
        <f>IF('Supp. Result Entry'!AB136="","",'Supp. Result Entry'!AB136)</f>
        <v/>
      </c>
      <c r="IH137" s="213" t="str">
        <f>IF('Supp. Result Entry'!AE136="","",'Supp. Result Entry'!AE136)</f>
        <v/>
      </c>
      <c r="II137" s="213" t="str">
        <f>IF('Supp. Result Entry'!AH136="","",'Supp. Result Entry'!AH136)</f>
        <v/>
      </c>
      <c r="IJ137" s="213" t="str">
        <f>IF('Supp. Result Entry'!AK136="","",'Supp. Result Entry'!AK136)</f>
        <v/>
      </c>
      <c r="IK137" s="213" t="str">
        <f>IF('Supp. Result Entry'!W136="","",'Supp. Result Entry'!W136)</f>
        <v/>
      </c>
      <c r="IL137" s="213" t="str">
        <f>IF('Supp. Result Entry'!Z136="","",'Supp. Result Entry'!Z136)</f>
        <v/>
      </c>
      <c r="IM137" s="213" t="str">
        <f>IF('Supp. Result Entry'!AC136="","",'Supp. Result Entry'!AC136)</f>
        <v/>
      </c>
      <c r="IN137" s="213" t="str">
        <f>IF('Supp. Result Entry'!AF136="","",'Supp. Result Entry'!AF136)</f>
        <v/>
      </c>
      <c r="IO137" s="213" t="str">
        <f>IF('Supp. Result Entry'!AI136="","",'Supp. Result Entry'!AI136)</f>
        <v/>
      </c>
      <c r="IP137" s="213" t="str">
        <f>IF('Supp. Result Entry'!AL136="","",'Supp. Result Entry'!AL136)</f>
        <v/>
      </c>
      <c r="IQ137" s="213">
        <f>COUNTIF('Supp. Result Entry'!K136:Q136,"S")</f>
        <v>0</v>
      </c>
      <c r="IR137" s="213">
        <f t="shared" ref="IR137:IR200" si="537">COUNTIF(FJ137:GR137,"RE")+COUNTIF(FJ137:GR137,"REP")</f>
        <v>0</v>
      </c>
      <c r="IS137" s="213">
        <f t="shared" ref="IS137:IS200" si="538">COUNTIF(IK137:IP137,"P")</f>
        <v>0</v>
      </c>
      <c r="IT137" s="213" t="str">
        <f t="shared" si="406"/>
        <v/>
      </c>
      <c r="IU137" s="213" t="str">
        <f t="shared" si="407"/>
        <v/>
      </c>
      <c r="IV137" s="213" t="str">
        <f t="shared" si="408"/>
        <v/>
      </c>
      <c r="IW137" s="213" t="str">
        <f t="shared" si="409"/>
        <v/>
      </c>
      <c r="IX137" s="213" t="str">
        <f t="shared" si="410"/>
        <v/>
      </c>
      <c r="IY137" s="213" t="str">
        <f t="shared" ref="IY137:IY200" si="539">IF(OR(IQ137=0,IQ137&lt;IS137),"",SUM(IT137:IX137))</f>
        <v/>
      </c>
      <c r="IZ137" s="213" t="str">
        <f t="shared" ref="IZ137:IZ200" si="540">IF(OR(IQ137=0,IQ137&lt;IS137),"",IY137/JA137*100)</f>
        <v/>
      </c>
      <c r="JA137" s="213" t="str">
        <f t="shared" si="411"/>
        <v/>
      </c>
      <c r="JB137" s="211" t="str">
        <f t="shared" ref="JB137:JB200" si="541">IF(IZ137="","",IF(IZ137&gt;=60,"I",IF(IZ137&gt;=48,"II",IF(IZ137&gt;=36,"III",""))))</f>
        <v/>
      </c>
    </row>
    <row r="138" spans="1:262" s="211" customFormat="1" ht="21" customHeight="1">
      <c r="A138" s="184">
        <v>131</v>
      </c>
      <c r="B138" s="185" t="str">
        <f>IF('Marks Entry'!B138="","",'Marks Entry'!B138)</f>
        <v/>
      </c>
      <c r="C138" s="186" t="str">
        <f>IF('Marks Entry'!D138="","",'Marks Entry'!D138)</f>
        <v/>
      </c>
      <c r="D138" s="187" t="str">
        <f>IF('Marks Entry'!E138="","",'Marks Entry'!E138)</f>
        <v/>
      </c>
      <c r="E138" s="188" t="str">
        <f>IF('Marks Entry'!F138="","",'Marks Entry'!F138)</f>
        <v/>
      </c>
      <c r="F138" s="188" t="str">
        <f>IF('Marks Entry'!G138="","",'Marks Entry'!G138)</f>
        <v/>
      </c>
      <c r="G138" s="188" t="str">
        <f>IF('Marks Entry'!H138="","",'Marks Entry'!H138)</f>
        <v/>
      </c>
      <c r="H138" s="189" t="str">
        <f>IF('Marks Entry'!I138="","",'Marks Entry'!I138)</f>
        <v/>
      </c>
      <c r="I138" s="190" t="str">
        <f>IF('Marks Entry'!J138="","",'Marks Entry'!J138)</f>
        <v/>
      </c>
      <c r="J138" s="545" t="str">
        <f>IF('Marks Entry'!K138="","",'Marks Entry'!K138)</f>
        <v/>
      </c>
      <c r="K138" s="545" t="str">
        <f>IF('Marks Entry'!L138="","",'Marks Entry'!L138)</f>
        <v/>
      </c>
      <c r="L138" s="545" t="str">
        <f>IF('Marks Entry'!M138="","",'Marks Entry'!M138)</f>
        <v/>
      </c>
      <c r="M138" s="546" t="str">
        <f t="shared" si="412"/>
        <v/>
      </c>
      <c r="N138" s="545" t="str">
        <f>IF('Marks Entry'!N138="","",'Marks Entry'!N138)</f>
        <v/>
      </c>
      <c r="O138" s="546" t="str">
        <f t="shared" si="413"/>
        <v/>
      </c>
      <c r="P138" s="545" t="str">
        <f>IF('Marks Entry'!O138="","",'Marks Entry'!O138)</f>
        <v/>
      </c>
      <c r="Q138" s="547" t="str">
        <f t="shared" si="414"/>
        <v/>
      </c>
      <c r="R138" s="153">
        <f t="shared" si="415"/>
        <v>0</v>
      </c>
      <c r="S138" s="153">
        <f t="shared" si="416"/>
        <v>0</v>
      </c>
      <c r="T138" s="154" t="str">
        <f t="shared" si="417"/>
        <v/>
      </c>
      <c r="U138" s="153" t="str">
        <f t="shared" si="418"/>
        <v/>
      </c>
      <c r="V138" s="153" t="str">
        <f t="shared" si="419"/>
        <v/>
      </c>
      <c r="W138" s="153" t="str">
        <f t="shared" si="420"/>
        <v/>
      </c>
      <c r="X138" s="545" t="str">
        <f>IF('Marks Entry'!P138="","",'Marks Entry'!P138)</f>
        <v/>
      </c>
      <c r="Y138" s="545" t="str">
        <f>IF('Marks Entry'!Q138="","",'Marks Entry'!Q138)</f>
        <v/>
      </c>
      <c r="Z138" s="545" t="str">
        <f>IF('Marks Entry'!R138="","",'Marks Entry'!R138)</f>
        <v/>
      </c>
      <c r="AA138" s="546" t="str">
        <f t="shared" si="421"/>
        <v/>
      </c>
      <c r="AB138" s="545" t="str">
        <f>IF('Marks Entry'!S138="","",'Marks Entry'!S138)</f>
        <v/>
      </c>
      <c r="AC138" s="546" t="str">
        <f t="shared" si="422"/>
        <v/>
      </c>
      <c r="AD138" s="545" t="str">
        <f>IF('Marks Entry'!T138="","",'Marks Entry'!T138)</f>
        <v/>
      </c>
      <c r="AE138" s="547" t="str">
        <f t="shared" si="423"/>
        <v/>
      </c>
      <c r="AF138" s="153">
        <f t="shared" si="424"/>
        <v>0</v>
      </c>
      <c r="AG138" s="153">
        <f t="shared" si="425"/>
        <v>0</v>
      </c>
      <c r="AH138" s="154" t="str">
        <f t="shared" si="426"/>
        <v/>
      </c>
      <c r="AI138" s="153" t="str">
        <f t="shared" si="427"/>
        <v/>
      </c>
      <c r="AJ138" s="153" t="str">
        <f t="shared" si="428"/>
        <v/>
      </c>
      <c r="AK138" s="153" t="str">
        <f t="shared" si="429"/>
        <v/>
      </c>
      <c r="AL138" s="573" t="str">
        <f>IF('Marks Entry'!U138="","",'Marks Entry'!U138)</f>
        <v/>
      </c>
      <c r="AM138" s="573" t="str">
        <f>IF('Marks Entry'!V138="","",'Marks Entry'!V138)</f>
        <v/>
      </c>
      <c r="AN138" s="573" t="str">
        <f>IF('Marks Entry'!W138="","",'Marks Entry'!W138)</f>
        <v/>
      </c>
      <c r="AO138" s="573" t="str">
        <f>IF('Marks Entry'!X138="","",'Marks Entry'!X138)</f>
        <v/>
      </c>
      <c r="AP138" s="572" t="str">
        <f t="shared" si="430"/>
        <v/>
      </c>
      <c r="AQ138" s="573" t="str">
        <f>IF('Marks Entry'!Y138="","",'Marks Entry'!Y138)</f>
        <v/>
      </c>
      <c r="AR138" s="573" t="str">
        <f>IF('Marks Entry'!Z138="","",'Marks Entry'!Z138)</f>
        <v/>
      </c>
      <c r="AS138" s="572" t="str">
        <f t="shared" si="431"/>
        <v/>
      </c>
      <c r="AT138" s="572" t="str">
        <f t="shared" si="432"/>
        <v/>
      </c>
      <c r="AU138" s="573" t="str">
        <f>IF('Marks Entry'!AA138="","",'Marks Entry'!AA138)</f>
        <v/>
      </c>
      <c r="AV138" s="573" t="str">
        <f>IF('Marks Entry'!AB138="","",'Marks Entry'!AB138)</f>
        <v/>
      </c>
      <c r="AW138" s="572" t="str">
        <f t="shared" si="433"/>
        <v/>
      </c>
      <c r="AX138" s="157" t="str">
        <f t="shared" si="434"/>
        <v/>
      </c>
      <c r="AY138" s="157" t="str">
        <f t="shared" si="435"/>
        <v/>
      </c>
      <c r="AZ138" s="192" t="str">
        <f t="shared" si="436"/>
        <v/>
      </c>
      <c r="BA138" s="153">
        <f t="shared" si="437"/>
        <v>0</v>
      </c>
      <c r="BB138" s="154">
        <f t="shared" si="438"/>
        <v>0</v>
      </c>
      <c r="BC138" s="154" t="str">
        <f t="shared" si="439"/>
        <v/>
      </c>
      <c r="BD138" s="154" t="str">
        <f t="shared" si="440"/>
        <v/>
      </c>
      <c r="BE138" s="154" t="str">
        <f t="shared" si="441"/>
        <v/>
      </c>
      <c r="BF138" s="153" t="str">
        <f t="shared" si="442"/>
        <v/>
      </c>
      <c r="BG138" s="154" t="str">
        <f t="shared" si="443"/>
        <v/>
      </c>
      <c r="BH138" s="153" t="str">
        <f t="shared" si="444"/>
        <v/>
      </c>
      <c r="BI138" s="580" t="str">
        <f>IF('Marks Entry'!AC138="","",'Marks Entry'!AC138)</f>
        <v/>
      </c>
      <c r="BJ138" s="580" t="str">
        <f>IF('Marks Entry'!AD138="","",'Marks Entry'!AD138)</f>
        <v/>
      </c>
      <c r="BK138" s="580" t="str">
        <f>IF('Marks Entry'!AE138="","",'Marks Entry'!AE138)</f>
        <v/>
      </c>
      <c r="BL138" s="580" t="str">
        <f>IF('Marks Entry'!AF138="","",'Marks Entry'!AF138)</f>
        <v/>
      </c>
      <c r="BM138" s="581" t="str">
        <f t="shared" si="445"/>
        <v/>
      </c>
      <c r="BN138" s="580" t="str">
        <f>IF('Marks Entry'!AG138="","",'Marks Entry'!AG138)</f>
        <v/>
      </c>
      <c r="BO138" s="580" t="str">
        <f>IF('Marks Entry'!AH138="","",'Marks Entry'!AH138)</f>
        <v/>
      </c>
      <c r="BP138" s="581" t="str">
        <f t="shared" si="446"/>
        <v/>
      </c>
      <c r="BQ138" s="581" t="str">
        <f t="shared" si="447"/>
        <v/>
      </c>
      <c r="BR138" s="580" t="str">
        <f>IF('Marks Entry'!AI138="","",'Marks Entry'!AI138)</f>
        <v/>
      </c>
      <c r="BS138" s="580" t="str">
        <f>IF('Marks Entry'!AJ138="","",'Marks Entry'!AJ138)</f>
        <v/>
      </c>
      <c r="BT138" s="581" t="str">
        <f t="shared" si="448"/>
        <v/>
      </c>
      <c r="BU138" s="157" t="str">
        <f t="shared" si="449"/>
        <v/>
      </c>
      <c r="BV138" s="157" t="str">
        <f t="shared" si="450"/>
        <v/>
      </c>
      <c r="BW138" s="192" t="str">
        <f t="shared" si="451"/>
        <v/>
      </c>
      <c r="BX138" s="153">
        <f t="shared" si="452"/>
        <v>0</v>
      </c>
      <c r="BY138" s="154">
        <f t="shared" si="453"/>
        <v>0</v>
      </c>
      <c r="BZ138" s="154" t="str">
        <f t="shared" si="454"/>
        <v/>
      </c>
      <c r="CA138" s="154" t="str">
        <f t="shared" si="455"/>
        <v/>
      </c>
      <c r="CB138" s="154" t="str">
        <f t="shared" si="456"/>
        <v/>
      </c>
      <c r="CC138" s="153" t="str">
        <f t="shared" si="457"/>
        <v/>
      </c>
      <c r="CD138" s="154" t="str">
        <f t="shared" si="458"/>
        <v/>
      </c>
      <c r="CE138" s="153" t="str">
        <f t="shared" si="459"/>
        <v/>
      </c>
      <c r="CF138" s="580" t="str">
        <f>IF('Marks Entry'!AK138="","",'Marks Entry'!AK138)</f>
        <v/>
      </c>
      <c r="CG138" s="580" t="str">
        <f>IF('Marks Entry'!AL138="","",'Marks Entry'!AL138)</f>
        <v/>
      </c>
      <c r="CH138" s="580" t="str">
        <f>IF('Marks Entry'!AM138="","",'Marks Entry'!AM138)</f>
        <v/>
      </c>
      <c r="CI138" s="580" t="str">
        <f>IF('Marks Entry'!AN138="","",'Marks Entry'!AN138)</f>
        <v/>
      </c>
      <c r="CJ138" s="581" t="str">
        <f t="shared" si="460"/>
        <v/>
      </c>
      <c r="CK138" s="580" t="str">
        <f>IF('Marks Entry'!AO138="","",'Marks Entry'!AO138)</f>
        <v/>
      </c>
      <c r="CL138" s="580" t="str">
        <f>IF('Marks Entry'!AP138="","",'Marks Entry'!AP138)</f>
        <v/>
      </c>
      <c r="CM138" s="581" t="str">
        <f t="shared" si="461"/>
        <v/>
      </c>
      <c r="CN138" s="581" t="str">
        <f t="shared" si="462"/>
        <v/>
      </c>
      <c r="CO138" s="580" t="str">
        <f>IF('Marks Entry'!AQ138="","",'Marks Entry'!AQ138)</f>
        <v/>
      </c>
      <c r="CP138" s="580" t="str">
        <f>IF('Marks Entry'!AR138="","",'Marks Entry'!AR138)</f>
        <v/>
      </c>
      <c r="CQ138" s="581" t="str">
        <f t="shared" si="463"/>
        <v/>
      </c>
      <c r="CR138" s="157" t="str">
        <f t="shared" si="464"/>
        <v/>
      </c>
      <c r="CS138" s="157" t="str">
        <f t="shared" si="465"/>
        <v/>
      </c>
      <c r="CT138" s="192" t="str">
        <f t="shared" si="466"/>
        <v/>
      </c>
      <c r="CU138" s="153">
        <f t="shared" si="467"/>
        <v>0</v>
      </c>
      <c r="CV138" s="154">
        <f t="shared" si="468"/>
        <v>0</v>
      </c>
      <c r="CW138" s="154" t="str">
        <f t="shared" si="469"/>
        <v/>
      </c>
      <c r="CX138" s="154" t="str">
        <f t="shared" si="470"/>
        <v/>
      </c>
      <c r="CY138" s="154" t="str">
        <f t="shared" si="471"/>
        <v/>
      </c>
      <c r="CZ138" s="153" t="str">
        <f t="shared" si="472"/>
        <v/>
      </c>
      <c r="DA138" s="154" t="str">
        <f t="shared" si="473"/>
        <v/>
      </c>
      <c r="DB138" s="153" t="str">
        <f t="shared" si="474"/>
        <v/>
      </c>
      <c r="DC138" s="154">
        <f t="shared" si="475"/>
        <v>0</v>
      </c>
      <c r="DD138" s="826" t="str">
        <f>IF('Marks Entry'!AS138="","",IF(OR('Master Sheet'!$D$19="YES",'Marks Entry'!$BA$1=1),'Marks Entry'!AS138,""))</f>
        <v/>
      </c>
      <c r="DE138" s="826" t="str">
        <f>IF('Marks Entry'!AT138="","",IF(OR('Master Sheet'!$D$19="YES",'Marks Entry'!$BA$1=1),'Marks Entry'!AT138,""))</f>
        <v/>
      </c>
      <c r="DF138" s="826" t="str">
        <f>IF('Marks Entry'!AU138="","",IF(OR('Master Sheet'!$D$19="YES",'Marks Entry'!$BA$1=1),'Marks Entry'!AU138,""))</f>
        <v/>
      </c>
      <c r="DG138" s="826" t="str">
        <f>IF('Marks Entry'!AV138="","",IF(OR('Master Sheet'!$D$19="YES",'Marks Entry'!$BA$1=1),'Marks Entry'!AV138,""))</f>
        <v/>
      </c>
      <c r="DH138" s="827" t="str">
        <f t="shared" si="476"/>
        <v/>
      </c>
      <c r="DI138" s="826" t="str">
        <f>IF('Marks Entry'!AW138="","",IF(OR('Master Sheet'!$D$19="YES",'Marks Entry'!$BA$1=1),'Marks Entry'!AW138,""))</f>
        <v/>
      </c>
      <c r="DJ138" s="826" t="str">
        <f>IF('Marks Entry'!AX138="","",IF(OR('Master Sheet'!$D$19="YES",'Marks Entry'!$BA$1=1),'Marks Entry'!AX138,""))</f>
        <v/>
      </c>
      <c r="DK138" s="827" t="str">
        <f t="shared" si="477"/>
        <v/>
      </c>
      <c r="DL138" s="827" t="str">
        <f t="shared" si="478"/>
        <v/>
      </c>
      <c r="DM138" s="826" t="str">
        <f>IF('Marks Entry'!AY138="","",IF(OR('Master Sheet'!$D$19="YES",'Marks Entry'!$BA$1=1),'Marks Entry'!AY138,""))</f>
        <v/>
      </c>
      <c r="DN138" s="826" t="str">
        <f>IF('Marks Entry'!AZ138="","",IF(OR('Master Sheet'!$D$19="YES",'Marks Entry'!$BA$1=1),'Marks Entry'!AZ138,""))</f>
        <v/>
      </c>
      <c r="DO138" s="826" t="str">
        <f>IF('Marks Entry'!BA138="","",IF(OR('Master Sheet'!$D$19="YES",'Marks Entry'!$BA$1=1),'Marks Entry'!BA138,""))</f>
        <v/>
      </c>
      <c r="DP138" s="827" t="str">
        <f t="shared" si="479"/>
        <v/>
      </c>
      <c r="DQ138" s="157" t="str">
        <f t="shared" si="480"/>
        <v/>
      </c>
      <c r="DR138" s="157" t="str">
        <f t="shared" si="481"/>
        <v/>
      </c>
      <c r="DS138" s="157" t="str">
        <f t="shared" si="482"/>
        <v/>
      </c>
      <c r="DT138" s="192" t="str">
        <f t="shared" si="483"/>
        <v/>
      </c>
      <c r="DU138" s="153">
        <f t="shared" si="484"/>
        <v>0</v>
      </c>
      <c r="DV138" s="154" t="e">
        <f t="shared" si="485"/>
        <v>#VALUE!</v>
      </c>
      <c r="DW138" s="154" t="str">
        <f t="shared" si="486"/>
        <v/>
      </c>
      <c r="DX138" s="154" t="str">
        <f>IF(OR($B138="NSO",$B138=0,DS138=""),"",IF(AND(DJ138="",DO138=""),"",IF('Master Sheet'!$D$19="YES",$DO$6-COUNTIF(DO138,"ML")*DO$6,DS$6-(COUNTIF(DJ138,"ML")*DJ$6)-(COUNTIF(DO138,"ML")*DO$6))))</f>
        <v/>
      </c>
      <c r="DY138" s="154" t="str">
        <f>IF(OR($B138="NSO",$B138=0),"",IF(AND(DH138="",DI138="",DM138=""),"",IF(AND('Master Sheet'!$D$19="YES",'Marks Entry'!$BA$1=1),100,IF(AND(DJ138="",DO138=""),SUM(($DQ$7+$DR$7)-(DU138+DV138)),SUM(($DQ$6+$DR$6)-(DU138+DV138))))))</f>
        <v/>
      </c>
      <c r="DZ138" s="153" t="str">
        <f t="shared" si="487"/>
        <v/>
      </c>
      <c r="EA138" s="154" t="str">
        <f t="shared" si="488"/>
        <v/>
      </c>
      <c r="EB138" s="153" t="str">
        <f t="shared" si="489"/>
        <v/>
      </c>
      <c r="EC138" s="584" t="str">
        <f>IF('Marks Entry'!BB138="","",'Marks Entry'!BB138)</f>
        <v/>
      </c>
      <c r="ED138" s="584" t="str">
        <f>IF('Marks Entry'!BC138="","",'Marks Entry'!BC138)</f>
        <v/>
      </c>
      <c r="EE138" s="584" t="str">
        <f>IF('Marks Entry'!BD138="","",'Marks Entry'!BD138)</f>
        <v/>
      </c>
      <c r="EF138" s="590" t="str">
        <f t="shared" si="490"/>
        <v/>
      </c>
      <c r="EG138" s="595">
        <f t="shared" si="491"/>
        <v>0</v>
      </c>
      <c r="EH138" s="595">
        <f t="shared" si="492"/>
        <v>0</v>
      </c>
      <c r="EI138" s="193" t="str">
        <f t="shared" si="493"/>
        <v/>
      </c>
      <c r="EJ138" s="595" t="str">
        <f t="shared" si="494"/>
        <v/>
      </c>
      <c r="EK138" s="595" t="str">
        <f t="shared" si="495"/>
        <v/>
      </c>
      <c r="EL138" s="194" t="str">
        <f t="shared" si="496"/>
        <v/>
      </c>
      <c r="EM138" s="194" t="str">
        <f t="shared" si="497"/>
        <v/>
      </c>
      <c r="EN138" s="194" t="str">
        <f t="shared" si="498"/>
        <v/>
      </c>
      <c r="EO138" s="194" t="str">
        <f t="shared" si="499"/>
        <v/>
      </c>
      <c r="EP138" s="194" t="str">
        <f t="shared" si="500"/>
        <v/>
      </c>
      <c r="EQ138" s="194" t="str">
        <f t="shared" si="501"/>
        <v/>
      </c>
      <c r="ER138" s="195">
        <f t="shared" si="502"/>
        <v>0</v>
      </c>
      <c r="ES138" s="195">
        <f t="shared" si="503"/>
        <v>0</v>
      </c>
      <c r="ET138" s="195">
        <f t="shared" si="504"/>
        <v>0</v>
      </c>
      <c r="EU138" s="195">
        <f t="shared" si="505"/>
        <v>0</v>
      </c>
      <c r="EV138" s="195">
        <f t="shared" si="506"/>
        <v>0</v>
      </c>
      <c r="EW138" s="195" t="str">
        <f t="shared" si="507"/>
        <v/>
      </c>
      <c r="EX138" s="196" t="str">
        <f t="shared" si="508"/>
        <v/>
      </c>
      <c r="EY138" s="197" t="str">
        <f>IF('Marks Entry'!BE138="","",'Marks Entry'!BE138)</f>
        <v/>
      </c>
      <c r="EZ138" s="197" t="str">
        <f>IF('Marks Entry'!BF138="","",'Marks Entry'!BF138)</f>
        <v/>
      </c>
      <c r="FA138" s="197" t="str">
        <f>IF('Marks Entry'!BG138="","",'Marks Entry'!BG138)</f>
        <v/>
      </c>
      <c r="FB138" s="596" t="str">
        <f t="shared" si="509"/>
        <v/>
      </c>
      <c r="FC138" s="197" t="str">
        <f>IF('Marks Entry'!BH138="","",'Marks Entry'!BH138)</f>
        <v/>
      </c>
      <c r="FD138" s="197" t="str">
        <f>IF('Marks Entry'!BI138="","",'Marks Entry'!BI138)</f>
        <v/>
      </c>
      <c r="FE138" s="198" t="str">
        <f t="shared" si="510"/>
        <v/>
      </c>
      <c r="FF138" s="199" t="str">
        <f t="shared" si="511"/>
        <v/>
      </c>
      <c r="FG138" s="200" t="str">
        <f>IF(AND(E138=""),"",IF('Student DATA Entry'!L134="","",'Student DATA Entry'!L134))</f>
        <v/>
      </c>
      <c r="FH138" s="201" t="str">
        <f>IF(AND(E138=""),"",IF('Student DATA Entry'!M134="","",'Student DATA Entry'!M134))</f>
        <v/>
      </c>
      <c r="FI138" s="202" t="str">
        <f t="shared" si="512"/>
        <v/>
      </c>
      <c r="FJ138" s="189" t="str">
        <f t="shared" si="513"/>
        <v/>
      </c>
      <c r="FK138" s="189" t="str">
        <f t="shared" si="514"/>
        <v/>
      </c>
      <c r="FL138" s="203" t="str">
        <f t="shared" si="383"/>
        <v/>
      </c>
      <c r="FM138" s="189" t="str">
        <f t="shared" si="515"/>
        <v/>
      </c>
      <c r="FN138" s="204" t="str">
        <f t="shared" si="516"/>
        <v/>
      </c>
      <c r="FO138" s="203" t="str">
        <f t="shared" si="384"/>
        <v/>
      </c>
      <c r="FP138" s="205" t="str">
        <f t="shared" si="517"/>
        <v/>
      </c>
      <c r="FQ138" s="189" t="str">
        <f t="shared" si="385"/>
        <v/>
      </c>
      <c r="FR138" s="189" t="str">
        <f t="shared" si="386"/>
        <v/>
      </c>
      <c r="FS138" s="189" t="str">
        <f t="shared" si="387"/>
        <v/>
      </c>
      <c r="FT138" s="189" t="str">
        <f t="shared" si="388"/>
        <v/>
      </c>
      <c r="FU138" s="189" t="str">
        <f t="shared" si="518"/>
        <v/>
      </c>
      <c r="FV138" s="206" t="str">
        <f t="shared" si="389"/>
        <v/>
      </c>
      <c r="FW138" s="205" t="str">
        <f t="shared" si="519"/>
        <v/>
      </c>
      <c r="FX138" s="189" t="str">
        <f t="shared" si="390"/>
        <v/>
      </c>
      <c r="FY138" s="189" t="str">
        <f t="shared" si="391"/>
        <v/>
      </c>
      <c r="FZ138" s="189" t="str">
        <f t="shared" si="392"/>
        <v/>
      </c>
      <c r="GA138" s="189" t="str">
        <f t="shared" si="393"/>
        <v/>
      </c>
      <c r="GB138" s="189" t="str">
        <f t="shared" si="520"/>
        <v/>
      </c>
      <c r="GC138" s="206" t="str">
        <f t="shared" si="394"/>
        <v/>
      </c>
      <c r="GD138" s="205" t="str">
        <f t="shared" si="521"/>
        <v/>
      </c>
      <c r="GE138" s="189" t="str">
        <f t="shared" si="395"/>
        <v/>
      </c>
      <c r="GF138" s="189" t="str">
        <f t="shared" si="396"/>
        <v/>
      </c>
      <c r="GG138" s="189" t="str">
        <f t="shared" si="397"/>
        <v/>
      </c>
      <c r="GH138" s="189" t="str">
        <f t="shared" si="398"/>
        <v/>
      </c>
      <c r="GI138" s="189" t="str">
        <f t="shared" si="522"/>
        <v/>
      </c>
      <c r="GJ138" s="206" t="str">
        <f t="shared" si="399"/>
        <v/>
      </c>
      <c r="GK138" s="205" t="str">
        <f t="shared" si="523"/>
        <v/>
      </c>
      <c r="GL138" s="189" t="str">
        <f t="shared" si="400"/>
        <v/>
      </c>
      <c r="GM138" s="189" t="str">
        <f t="shared" si="401"/>
        <v/>
      </c>
      <c r="GN138" s="189" t="str">
        <f t="shared" si="402"/>
        <v/>
      </c>
      <c r="GO138" s="189" t="str">
        <f t="shared" si="403"/>
        <v/>
      </c>
      <c r="GP138" s="189" t="str">
        <f t="shared" si="524"/>
        <v/>
      </c>
      <c r="GQ138" s="206" t="str">
        <f t="shared" si="404"/>
        <v/>
      </c>
      <c r="GR138" s="189" t="str">
        <f t="shared" si="525"/>
        <v/>
      </c>
      <c r="GS138" s="189" t="str">
        <f t="shared" si="526"/>
        <v/>
      </c>
      <c r="GT138" s="207" t="str">
        <f t="shared" si="527"/>
        <v xml:space="preserve">    </v>
      </c>
      <c r="GU138" s="207" t="str">
        <f t="shared" si="528"/>
        <v xml:space="preserve">    </v>
      </c>
      <c r="GV138" s="207" t="str">
        <f t="shared" si="529"/>
        <v xml:space="preserve">    </v>
      </c>
      <c r="GW138" s="207" t="str">
        <f t="shared" si="530"/>
        <v xml:space="preserve">       </v>
      </c>
      <c r="GX138" s="598" t="str">
        <f t="shared" si="531"/>
        <v xml:space="preserve">     </v>
      </c>
      <c r="GY138" s="208" t="str">
        <f t="shared" si="405"/>
        <v/>
      </c>
      <c r="GZ138" s="606" t="str">
        <f>IF(AND(Q138="",AE138="",AZ138="",BW138="",CT138=""),"",IF(AND('Master Sheet'!$D$19="YES",'Marks Entry'!$BA$1=1),SUM(Q138,AE138,AZ138,BW138,DT138),SUM(Q138,AE138,AZ138,BW138,CT138)))</f>
        <v/>
      </c>
      <c r="HA138" s="209" t="str">
        <f>IF(GZ138="","",IF(AND('Master Sheet'!$D$19="YES",'Marks Entry'!$BA$1=1),GZ138/((900)-DC138)*100,GZ138/((1000)-DC138)*100))</f>
        <v/>
      </c>
      <c r="HB138" s="611" t="str">
        <f t="shared" si="532"/>
        <v/>
      </c>
      <c r="HC138" s="609" t="str">
        <f t="shared" si="533"/>
        <v/>
      </c>
      <c r="HD138" s="610" t="str">
        <f t="shared" si="534"/>
        <v/>
      </c>
      <c r="HE138" s="210" t="str">
        <f>IFERROR(IF(OR(GY138="SUPPLEMENTARY",GY138="RE-EXAM"),'Supp. Result Entry'!AS137,""),"")</f>
        <v/>
      </c>
      <c r="HF138" s="613" t="str">
        <f t="shared" si="535"/>
        <v/>
      </c>
      <c r="HG138" s="598" t="str">
        <f t="shared" si="536"/>
        <v/>
      </c>
      <c r="HH138" s="598" t="str">
        <f>IF(AND(HE138="",HF138="",HG138=""),"",IF(OR(GY138="SUPPLEMENTARY",GY138="RE-EXAM"),'Supp. Result Entry'!AS137,GY138))</f>
        <v/>
      </c>
      <c r="HI138" s="180"/>
      <c r="HY138" s="212" t="str">
        <f>IF('Supp. Result Entry'!U137="","",'Supp. Result Entry'!$U$6)</f>
        <v/>
      </c>
      <c r="HZ138" s="213" t="str">
        <f>IF('Supp. Result Entry'!X137="","",'Supp. Result Entry'!$X$6)</f>
        <v/>
      </c>
      <c r="IA138" s="213" t="str">
        <f>IF('Supp. Result Entry'!AA137="","",'Supp. Result Entry'!$AA$6)</f>
        <v/>
      </c>
      <c r="IB138" s="213" t="str">
        <f>IF('Supp. Result Entry'!AD137="","",'Supp. Result Entry'!$AD$6)</f>
        <v/>
      </c>
      <c r="IC138" s="213" t="str">
        <f>IF('Supp. Result Entry'!AG137="","",'Supp. Result Entry'!$AG$6)</f>
        <v/>
      </c>
      <c r="ID138" s="213" t="str">
        <f>IF('Supp. Result Entry'!AJ137="","",'Supp. Result Entry'!$AJ$6)</f>
        <v/>
      </c>
      <c r="IE138" s="213" t="str">
        <f>IF('Supp. Result Entry'!V137="","",'Supp. Result Entry'!V137)</f>
        <v/>
      </c>
      <c r="IF138" s="213" t="str">
        <f>IF('Supp. Result Entry'!Y137="","",'Supp. Result Entry'!Y137)</f>
        <v/>
      </c>
      <c r="IG138" s="213" t="str">
        <f>IF('Supp. Result Entry'!AB137="","",'Supp. Result Entry'!AB137)</f>
        <v/>
      </c>
      <c r="IH138" s="213" t="str">
        <f>IF('Supp. Result Entry'!AE137="","",'Supp. Result Entry'!AE137)</f>
        <v/>
      </c>
      <c r="II138" s="213" t="str">
        <f>IF('Supp. Result Entry'!AH137="","",'Supp. Result Entry'!AH137)</f>
        <v/>
      </c>
      <c r="IJ138" s="213" t="str">
        <f>IF('Supp. Result Entry'!AK137="","",'Supp. Result Entry'!AK137)</f>
        <v/>
      </c>
      <c r="IK138" s="213" t="str">
        <f>IF('Supp. Result Entry'!W137="","",'Supp. Result Entry'!W137)</f>
        <v/>
      </c>
      <c r="IL138" s="213" t="str">
        <f>IF('Supp. Result Entry'!Z137="","",'Supp. Result Entry'!Z137)</f>
        <v/>
      </c>
      <c r="IM138" s="213" t="str">
        <f>IF('Supp. Result Entry'!AC137="","",'Supp. Result Entry'!AC137)</f>
        <v/>
      </c>
      <c r="IN138" s="213" t="str">
        <f>IF('Supp. Result Entry'!AF137="","",'Supp. Result Entry'!AF137)</f>
        <v/>
      </c>
      <c r="IO138" s="213" t="str">
        <f>IF('Supp. Result Entry'!AI137="","",'Supp. Result Entry'!AI137)</f>
        <v/>
      </c>
      <c r="IP138" s="213" t="str">
        <f>IF('Supp. Result Entry'!AL137="","",'Supp. Result Entry'!AL137)</f>
        <v/>
      </c>
      <c r="IQ138" s="213">
        <f>COUNTIF('Supp. Result Entry'!K137:Q137,"S")</f>
        <v>0</v>
      </c>
      <c r="IR138" s="213">
        <f t="shared" si="537"/>
        <v>0</v>
      </c>
      <c r="IS138" s="213">
        <f t="shared" si="538"/>
        <v>0</v>
      </c>
      <c r="IT138" s="213" t="str">
        <f t="shared" si="406"/>
        <v/>
      </c>
      <c r="IU138" s="213" t="str">
        <f t="shared" si="407"/>
        <v/>
      </c>
      <c r="IV138" s="213" t="str">
        <f t="shared" si="408"/>
        <v/>
      </c>
      <c r="IW138" s="213" t="str">
        <f t="shared" si="409"/>
        <v/>
      </c>
      <c r="IX138" s="213" t="str">
        <f t="shared" si="410"/>
        <v/>
      </c>
      <c r="IY138" s="213" t="str">
        <f t="shared" si="539"/>
        <v/>
      </c>
      <c r="IZ138" s="213" t="str">
        <f t="shared" si="540"/>
        <v/>
      </c>
      <c r="JA138" s="213" t="str">
        <f t="shared" si="411"/>
        <v/>
      </c>
      <c r="JB138" s="211" t="str">
        <f t="shared" si="541"/>
        <v/>
      </c>
    </row>
    <row r="139" spans="1:262" s="211" customFormat="1" ht="21" customHeight="1">
      <c r="A139" s="184">
        <v>132</v>
      </c>
      <c r="B139" s="185" t="str">
        <f>IF('Marks Entry'!B139="","",'Marks Entry'!B139)</f>
        <v/>
      </c>
      <c r="C139" s="186" t="str">
        <f>IF('Marks Entry'!D139="","",'Marks Entry'!D139)</f>
        <v/>
      </c>
      <c r="D139" s="187" t="str">
        <f>IF('Marks Entry'!E139="","",'Marks Entry'!E139)</f>
        <v/>
      </c>
      <c r="E139" s="188" t="str">
        <f>IF('Marks Entry'!F139="","",'Marks Entry'!F139)</f>
        <v/>
      </c>
      <c r="F139" s="188" t="str">
        <f>IF('Marks Entry'!G139="","",'Marks Entry'!G139)</f>
        <v/>
      </c>
      <c r="G139" s="188" t="str">
        <f>IF('Marks Entry'!H139="","",'Marks Entry'!H139)</f>
        <v/>
      </c>
      <c r="H139" s="189" t="str">
        <f>IF('Marks Entry'!I139="","",'Marks Entry'!I139)</f>
        <v/>
      </c>
      <c r="I139" s="190" t="str">
        <f>IF('Marks Entry'!J139="","",'Marks Entry'!J139)</f>
        <v/>
      </c>
      <c r="J139" s="545" t="str">
        <f>IF('Marks Entry'!K139="","",'Marks Entry'!K139)</f>
        <v/>
      </c>
      <c r="K139" s="545" t="str">
        <f>IF('Marks Entry'!L139="","",'Marks Entry'!L139)</f>
        <v/>
      </c>
      <c r="L139" s="545" t="str">
        <f>IF('Marks Entry'!M139="","",'Marks Entry'!M139)</f>
        <v/>
      </c>
      <c r="M139" s="546" t="str">
        <f t="shared" si="412"/>
        <v/>
      </c>
      <c r="N139" s="545" t="str">
        <f>IF('Marks Entry'!N139="","",'Marks Entry'!N139)</f>
        <v/>
      </c>
      <c r="O139" s="546" t="str">
        <f t="shared" si="413"/>
        <v/>
      </c>
      <c r="P139" s="545" t="str">
        <f>IF('Marks Entry'!O139="","",'Marks Entry'!O139)</f>
        <v/>
      </c>
      <c r="Q139" s="547" t="str">
        <f t="shared" si="414"/>
        <v/>
      </c>
      <c r="R139" s="153">
        <f t="shared" si="415"/>
        <v>0</v>
      </c>
      <c r="S139" s="153">
        <f t="shared" si="416"/>
        <v>0</v>
      </c>
      <c r="T139" s="154" t="str">
        <f t="shared" si="417"/>
        <v/>
      </c>
      <c r="U139" s="153" t="str">
        <f t="shared" si="418"/>
        <v/>
      </c>
      <c r="V139" s="153" t="str">
        <f t="shared" si="419"/>
        <v/>
      </c>
      <c r="W139" s="153" t="str">
        <f t="shared" si="420"/>
        <v/>
      </c>
      <c r="X139" s="545" t="str">
        <f>IF('Marks Entry'!P139="","",'Marks Entry'!P139)</f>
        <v/>
      </c>
      <c r="Y139" s="545" t="str">
        <f>IF('Marks Entry'!Q139="","",'Marks Entry'!Q139)</f>
        <v/>
      </c>
      <c r="Z139" s="545" t="str">
        <f>IF('Marks Entry'!R139="","",'Marks Entry'!R139)</f>
        <v/>
      </c>
      <c r="AA139" s="546" t="str">
        <f t="shared" si="421"/>
        <v/>
      </c>
      <c r="AB139" s="545" t="str">
        <f>IF('Marks Entry'!S139="","",'Marks Entry'!S139)</f>
        <v/>
      </c>
      <c r="AC139" s="546" t="str">
        <f t="shared" si="422"/>
        <v/>
      </c>
      <c r="AD139" s="545" t="str">
        <f>IF('Marks Entry'!T139="","",'Marks Entry'!T139)</f>
        <v/>
      </c>
      <c r="AE139" s="547" t="str">
        <f t="shared" si="423"/>
        <v/>
      </c>
      <c r="AF139" s="153">
        <f t="shared" si="424"/>
        <v>0</v>
      </c>
      <c r="AG139" s="153">
        <f t="shared" si="425"/>
        <v>0</v>
      </c>
      <c r="AH139" s="154" t="str">
        <f t="shared" si="426"/>
        <v/>
      </c>
      <c r="AI139" s="153" t="str">
        <f t="shared" si="427"/>
        <v/>
      </c>
      <c r="AJ139" s="153" t="str">
        <f t="shared" si="428"/>
        <v/>
      </c>
      <c r="AK139" s="153" t="str">
        <f t="shared" si="429"/>
        <v/>
      </c>
      <c r="AL139" s="573" t="str">
        <f>IF('Marks Entry'!U139="","",'Marks Entry'!U139)</f>
        <v/>
      </c>
      <c r="AM139" s="573" t="str">
        <f>IF('Marks Entry'!V139="","",'Marks Entry'!V139)</f>
        <v/>
      </c>
      <c r="AN139" s="573" t="str">
        <f>IF('Marks Entry'!W139="","",'Marks Entry'!W139)</f>
        <v/>
      </c>
      <c r="AO139" s="573" t="str">
        <f>IF('Marks Entry'!X139="","",'Marks Entry'!X139)</f>
        <v/>
      </c>
      <c r="AP139" s="572" t="str">
        <f t="shared" si="430"/>
        <v/>
      </c>
      <c r="AQ139" s="573" t="str">
        <f>IF('Marks Entry'!Y139="","",'Marks Entry'!Y139)</f>
        <v/>
      </c>
      <c r="AR139" s="573" t="str">
        <f>IF('Marks Entry'!Z139="","",'Marks Entry'!Z139)</f>
        <v/>
      </c>
      <c r="AS139" s="572" t="str">
        <f t="shared" si="431"/>
        <v/>
      </c>
      <c r="AT139" s="572" t="str">
        <f t="shared" si="432"/>
        <v/>
      </c>
      <c r="AU139" s="573" t="str">
        <f>IF('Marks Entry'!AA139="","",'Marks Entry'!AA139)</f>
        <v/>
      </c>
      <c r="AV139" s="573" t="str">
        <f>IF('Marks Entry'!AB139="","",'Marks Entry'!AB139)</f>
        <v/>
      </c>
      <c r="AW139" s="572" t="str">
        <f t="shared" si="433"/>
        <v/>
      </c>
      <c r="AX139" s="157" t="str">
        <f t="shared" si="434"/>
        <v/>
      </c>
      <c r="AY139" s="157" t="str">
        <f t="shared" si="435"/>
        <v/>
      </c>
      <c r="AZ139" s="192" t="str">
        <f t="shared" si="436"/>
        <v/>
      </c>
      <c r="BA139" s="153">
        <f t="shared" si="437"/>
        <v>0</v>
      </c>
      <c r="BB139" s="154">
        <f t="shared" si="438"/>
        <v>0</v>
      </c>
      <c r="BC139" s="154" t="str">
        <f t="shared" si="439"/>
        <v/>
      </c>
      <c r="BD139" s="154" t="str">
        <f t="shared" si="440"/>
        <v/>
      </c>
      <c r="BE139" s="154" t="str">
        <f t="shared" si="441"/>
        <v/>
      </c>
      <c r="BF139" s="153" t="str">
        <f t="shared" si="442"/>
        <v/>
      </c>
      <c r="BG139" s="154" t="str">
        <f t="shared" si="443"/>
        <v/>
      </c>
      <c r="BH139" s="153" t="str">
        <f t="shared" si="444"/>
        <v/>
      </c>
      <c r="BI139" s="580" t="str">
        <f>IF('Marks Entry'!AC139="","",'Marks Entry'!AC139)</f>
        <v/>
      </c>
      <c r="BJ139" s="580" t="str">
        <f>IF('Marks Entry'!AD139="","",'Marks Entry'!AD139)</f>
        <v/>
      </c>
      <c r="BK139" s="580" t="str">
        <f>IF('Marks Entry'!AE139="","",'Marks Entry'!AE139)</f>
        <v/>
      </c>
      <c r="BL139" s="580" t="str">
        <f>IF('Marks Entry'!AF139="","",'Marks Entry'!AF139)</f>
        <v/>
      </c>
      <c r="BM139" s="581" t="str">
        <f t="shared" si="445"/>
        <v/>
      </c>
      <c r="BN139" s="580" t="str">
        <f>IF('Marks Entry'!AG139="","",'Marks Entry'!AG139)</f>
        <v/>
      </c>
      <c r="BO139" s="580" t="str">
        <f>IF('Marks Entry'!AH139="","",'Marks Entry'!AH139)</f>
        <v/>
      </c>
      <c r="BP139" s="581" t="str">
        <f t="shared" si="446"/>
        <v/>
      </c>
      <c r="BQ139" s="581" t="str">
        <f t="shared" si="447"/>
        <v/>
      </c>
      <c r="BR139" s="580" t="str">
        <f>IF('Marks Entry'!AI139="","",'Marks Entry'!AI139)</f>
        <v/>
      </c>
      <c r="BS139" s="580" t="str">
        <f>IF('Marks Entry'!AJ139="","",'Marks Entry'!AJ139)</f>
        <v/>
      </c>
      <c r="BT139" s="581" t="str">
        <f t="shared" si="448"/>
        <v/>
      </c>
      <c r="BU139" s="157" t="str">
        <f t="shared" si="449"/>
        <v/>
      </c>
      <c r="BV139" s="157" t="str">
        <f t="shared" si="450"/>
        <v/>
      </c>
      <c r="BW139" s="192" t="str">
        <f t="shared" si="451"/>
        <v/>
      </c>
      <c r="BX139" s="153">
        <f t="shared" si="452"/>
        <v>0</v>
      </c>
      <c r="BY139" s="154">
        <f t="shared" si="453"/>
        <v>0</v>
      </c>
      <c r="BZ139" s="154" t="str">
        <f t="shared" si="454"/>
        <v/>
      </c>
      <c r="CA139" s="154" t="str">
        <f t="shared" si="455"/>
        <v/>
      </c>
      <c r="CB139" s="154" t="str">
        <f t="shared" si="456"/>
        <v/>
      </c>
      <c r="CC139" s="153" t="str">
        <f t="shared" si="457"/>
        <v/>
      </c>
      <c r="CD139" s="154" t="str">
        <f t="shared" si="458"/>
        <v/>
      </c>
      <c r="CE139" s="153" t="str">
        <f t="shared" si="459"/>
        <v/>
      </c>
      <c r="CF139" s="580" t="str">
        <f>IF('Marks Entry'!AK139="","",'Marks Entry'!AK139)</f>
        <v/>
      </c>
      <c r="CG139" s="580" t="str">
        <f>IF('Marks Entry'!AL139="","",'Marks Entry'!AL139)</f>
        <v/>
      </c>
      <c r="CH139" s="580" t="str">
        <f>IF('Marks Entry'!AM139="","",'Marks Entry'!AM139)</f>
        <v/>
      </c>
      <c r="CI139" s="580" t="str">
        <f>IF('Marks Entry'!AN139="","",'Marks Entry'!AN139)</f>
        <v/>
      </c>
      <c r="CJ139" s="581" t="str">
        <f t="shared" si="460"/>
        <v/>
      </c>
      <c r="CK139" s="580" t="str">
        <f>IF('Marks Entry'!AO139="","",'Marks Entry'!AO139)</f>
        <v/>
      </c>
      <c r="CL139" s="580" t="str">
        <f>IF('Marks Entry'!AP139="","",'Marks Entry'!AP139)</f>
        <v/>
      </c>
      <c r="CM139" s="581" t="str">
        <f t="shared" si="461"/>
        <v/>
      </c>
      <c r="CN139" s="581" t="str">
        <f t="shared" si="462"/>
        <v/>
      </c>
      <c r="CO139" s="580" t="str">
        <f>IF('Marks Entry'!AQ139="","",'Marks Entry'!AQ139)</f>
        <v/>
      </c>
      <c r="CP139" s="580" t="str">
        <f>IF('Marks Entry'!AR139="","",'Marks Entry'!AR139)</f>
        <v/>
      </c>
      <c r="CQ139" s="581" t="str">
        <f t="shared" si="463"/>
        <v/>
      </c>
      <c r="CR139" s="157" t="str">
        <f t="shared" si="464"/>
        <v/>
      </c>
      <c r="CS139" s="157" t="str">
        <f t="shared" si="465"/>
        <v/>
      </c>
      <c r="CT139" s="192" t="str">
        <f t="shared" si="466"/>
        <v/>
      </c>
      <c r="CU139" s="153">
        <f t="shared" si="467"/>
        <v>0</v>
      </c>
      <c r="CV139" s="154">
        <f t="shared" si="468"/>
        <v>0</v>
      </c>
      <c r="CW139" s="154" t="str">
        <f t="shared" si="469"/>
        <v/>
      </c>
      <c r="CX139" s="154" t="str">
        <f t="shared" si="470"/>
        <v/>
      </c>
      <c r="CY139" s="154" t="str">
        <f t="shared" si="471"/>
        <v/>
      </c>
      <c r="CZ139" s="153" t="str">
        <f t="shared" si="472"/>
        <v/>
      </c>
      <c r="DA139" s="154" t="str">
        <f t="shared" si="473"/>
        <v/>
      </c>
      <c r="DB139" s="153" t="str">
        <f t="shared" si="474"/>
        <v/>
      </c>
      <c r="DC139" s="154">
        <f t="shared" si="475"/>
        <v>0</v>
      </c>
      <c r="DD139" s="826" t="str">
        <f>IF('Marks Entry'!AS139="","",IF(OR('Master Sheet'!$D$19="YES",'Marks Entry'!$BA$1=1),'Marks Entry'!AS139,""))</f>
        <v/>
      </c>
      <c r="DE139" s="826" t="str">
        <f>IF('Marks Entry'!AT139="","",IF(OR('Master Sheet'!$D$19="YES",'Marks Entry'!$BA$1=1),'Marks Entry'!AT139,""))</f>
        <v/>
      </c>
      <c r="DF139" s="826" t="str">
        <f>IF('Marks Entry'!AU139="","",IF(OR('Master Sheet'!$D$19="YES",'Marks Entry'!$BA$1=1),'Marks Entry'!AU139,""))</f>
        <v/>
      </c>
      <c r="DG139" s="826" t="str">
        <f>IF('Marks Entry'!AV139="","",IF(OR('Master Sheet'!$D$19="YES",'Marks Entry'!$BA$1=1),'Marks Entry'!AV139,""))</f>
        <v/>
      </c>
      <c r="DH139" s="827" t="str">
        <f t="shared" si="476"/>
        <v/>
      </c>
      <c r="DI139" s="826" t="str">
        <f>IF('Marks Entry'!AW139="","",IF(OR('Master Sheet'!$D$19="YES",'Marks Entry'!$BA$1=1),'Marks Entry'!AW139,""))</f>
        <v/>
      </c>
      <c r="DJ139" s="826" t="str">
        <f>IF('Marks Entry'!AX139="","",IF(OR('Master Sheet'!$D$19="YES",'Marks Entry'!$BA$1=1),'Marks Entry'!AX139,""))</f>
        <v/>
      </c>
      <c r="DK139" s="827" t="str">
        <f t="shared" si="477"/>
        <v/>
      </c>
      <c r="DL139" s="827" t="str">
        <f t="shared" si="478"/>
        <v/>
      </c>
      <c r="DM139" s="826" t="str">
        <f>IF('Marks Entry'!AY139="","",IF(OR('Master Sheet'!$D$19="YES",'Marks Entry'!$BA$1=1),'Marks Entry'!AY139,""))</f>
        <v/>
      </c>
      <c r="DN139" s="826" t="str">
        <f>IF('Marks Entry'!AZ139="","",IF(OR('Master Sheet'!$D$19="YES",'Marks Entry'!$BA$1=1),'Marks Entry'!AZ139,""))</f>
        <v/>
      </c>
      <c r="DO139" s="826" t="str">
        <f>IF('Marks Entry'!BA139="","",IF(OR('Master Sheet'!$D$19="YES",'Marks Entry'!$BA$1=1),'Marks Entry'!BA139,""))</f>
        <v/>
      </c>
      <c r="DP139" s="827" t="str">
        <f t="shared" si="479"/>
        <v/>
      </c>
      <c r="DQ139" s="157" t="str">
        <f t="shared" si="480"/>
        <v/>
      </c>
      <c r="DR139" s="157" t="str">
        <f t="shared" si="481"/>
        <v/>
      </c>
      <c r="DS139" s="157" t="str">
        <f t="shared" si="482"/>
        <v/>
      </c>
      <c r="DT139" s="192" t="str">
        <f t="shared" si="483"/>
        <v/>
      </c>
      <c r="DU139" s="153">
        <f t="shared" si="484"/>
        <v>0</v>
      </c>
      <c r="DV139" s="154" t="e">
        <f t="shared" si="485"/>
        <v>#VALUE!</v>
      </c>
      <c r="DW139" s="154" t="str">
        <f t="shared" si="486"/>
        <v/>
      </c>
      <c r="DX139" s="154" t="str">
        <f>IF(OR($B139="NSO",$B139=0,DS139=""),"",IF(AND(DJ139="",DO139=""),"",IF('Master Sheet'!$D$19="YES",$DO$6-COUNTIF(DO139,"ML")*DO$6,DS$6-(COUNTIF(DJ139,"ML")*DJ$6)-(COUNTIF(DO139,"ML")*DO$6))))</f>
        <v/>
      </c>
      <c r="DY139" s="154" t="str">
        <f>IF(OR($B139="NSO",$B139=0),"",IF(AND(DH139="",DI139="",DM139=""),"",IF(AND('Master Sheet'!$D$19="YES",'Marks Entry'!$BA$1=1),100,IF(AND(DJ139="",DO139=""),SUM(($DQ$7+$DR$7)-(DU139+DV139)),SUM(($DQ$6+$DR$6)-(DU139+DV139))))))</f>
        <v/>
      </c>
      <c r="DZ139" s="153" t="str">
        <f t="shared" si="487"/>
        <v/>
      </c>
      <c r="EA139" s="154" t="str">
        <f t="shared" si="488"/>
        <v/>
      </c>
      <c r="EB139" s="153" t="str">
        <f t="shared" si="489"/>
        <v/>
      </c>
      <c r="EC139" s="584" t="str">
        <f>IF('Marks Entry'!BB139="","",'Marks Entry'!BB139)</f>
        <v/>
      </c>
      <c r="ED139" s="584" t="str">
        <f>IF('Marks Entry'!BC139="","",'Marks Entry'!BC139)</f>
        <v/>
      </c>
      <c r="EE139" s="584" t="str">
        <f>IF('Marks Entry'!BD139="","",'Marks Entry'!BD139)</f>
        <v/>
      </c>
      <c r="EF139" s="590" t="str">
        <f t="shared" si="490"/>
        <v/>
      </c>
      <c r="EG139" s="595">
        <f t="shared" si="491"/>
        <v>0</v>
      </c>
      <c r="EH139" s="595">
        <f t="shared" si="492"/>
        <v>0</v>
      </c>
      <c r="EI139" s="193" t="str">
        <f t="shared" si="493"/>
        <v/>
      </c>
      <c r="EJ139" s="595" t="str">
        <f t="shared" si="494"/>
        <v/>
      </c>
      <c r="EK139" s="595" t="str">
        <f t="shared" si="495"/>
        <v/>
      </c>
      <c r="EL139" s="194" t="str">
        <f t="shared" si="496"/>
        <v/>
      </c>
      <c r="EM139" s="194" t="str">
        <f t="shared" si="497"/>
        <v/>
      </c>
      <c r="EN139" s="194" t="str">
        <f t="shared" si="498"/>
        <v/>
      </c>
      <c r="EO139" s="194" t="str">
        <f t="shared" si="499"/>
        <v/>
      </c>
      <c r="EP139" s="194" t="str">
        <f t="shared" si="500"/>
        <v/>
      </c>
      <c r="EQ139" s="194" t="str">
        <f t="shared" si="501"/>
        <v/>
      </c>
      <c r="ER139" s="195">
        <f t="shared" si="502"/>
        <v>0</v>
      </c>
      <c r="ES139" s="195">
        <f t="shared" si="503"/>
        <v>0</v>
      </c>
      <c r="ET139" s="195">
        <f t="shared" si="504"/>
        <v>0</v>
      </c>
      <c r="EU139" s="195">
        <f t="shared" si="505"/>
        <v>0</v>
      </c>
      <c r="EV139" s="195">
        <f t="shared" si="506"/>
        <v>0</v>
      </c>
      <c r="EW139" s="195" t="str">
        <f t="shared" si="507"/>
        <v/>
      </c>
      <c r="EX139" s="196" t="str">
        <f t="shared" si="508"/>
        <v/>
      </c>
      <c r="EY139" s="197" t="str">
        <f>IF('Marks Entry'!BE139="","",'Marks Entry'!BE139)</f>
        <v/>
      </c>
      <c r="EZ139" s="197" t="str">
        <f>IF('Marks Entry'!BF139="","",'Marks Entry'!BF139)</f>
        <v/>
      </c>
      <c r="FA139" s="197" t="str">
        <f>IF('Marks Entry'!BG139="","",'Marks Entry'!BG139)</f>
        <v/>
      </c>
      <c r="FB139" s="596" t="str">
        <f t="shared" si="509"/>
        <v/>
      </c>
      <c r="FC139" s="197" t="str">
        <f>IF('Marks Entry'!BH139="","",'Marks Entry'!BH139)</f>
        <v/>
      </c>
      <c r="FD139" s="197" t="str">
        <f>IF('Marks Entry'!BI139="","",'Marks Entry'!BI139)</f>
        <v/>
      </c>
      <c r="FE139" s="198" t="str">
        <f t="shared" si="510"/>
        <v/>
      </c>
      <c r="FF139" s="199" t="str">
        <f t="shared" si="511"/>
        <v/>
      </c>
      <c r="FG139" s="200" t="str">
        <f>IF(AND(E139=""),"",IF('Student DATA Entry'!L135="","",'Student DATA Entry'!L135))</f>
        <v/>
      </c>
      <c r="FH139" s="201" t="str">
        <f>IF(AND(E139=""),"",IF('Student DATA Entry'!M135="","",'Student DATA Entry'!M135))</f>
        <v/>
      </c>
      <c r="FI139" s="202" t="str">
        <f t="shared" si="512"/>
        <v/>
      </c>
      <c r="FJ139" s="189" t="str">
        <f t="shared" si="513"/>
        <v/>
      </c>
      <c r="FK139" s="189" t="str">
        <f t="shared" si="514"/>
        <v/>
      </c>
      <c r="FL139" s="203" t="str">
        <f t="shared" si="383"/>
        <v/>
      </c>
      <c r="FM139" s="189" t="str">
        <f t="shared" si="515"/>
        <v/>
      </c>
      <c r="FN139" s="204" t="str">
        <f t="shared" si="516"/>
        <v/>
      </c>
      <c r="FO139" s="203" t="str">
        <f t="shared" si="384"/>
        <v/>
      </c>
      <c r="FP139" s="205" t="str">
        <f t="shared" si="517"/>
        <v/>
      </c>
      <c r="FQ139" s="189" t="str">
        <f t="shared" si="385"/>
        <v/>
      </c>
      <c r="FR139" s="189" t="str">
        <f t="shared" si="386"/>
        <v/>
      </c>
      <c r="FS139" s="189" t="str">
        <f t="shared" si="387"/>
        <v/>
      </c>
      <c r="FT139" s="189" t="str">
        <f t="shared" si="388"/>
        <v/>
      </c>
      <c r="FU139" s="189" t="str">
        <f t="shared" si="518"/>
        <v/>
      </c>
      <c r="FV139" s="206" t="str">
        <f t="shared" si="389"/>
        <v/>
      </c>
      <c r="FW139" s="205" t="str">
        <f t="shared" si="519"/>
        <v/>
      </c>
      <c r="FX139" s="189" t="str">
        <f t="shared" si="390"/>
        <v/>
      </c>
      <c r="FY139" s="189" t="str">
        <f t="shared" si="391"/>
        <v/>
      </c>
      <c r="FZ139" s="189" t="str">
        <f t="shared" si="392"/>
        <v/>
      </c>
      <c r="GA139" s="189" t="str">
        <f t="shared" si="393"/>
        <v/>
      </c>
      <c r="GB139" s="189" t="str">
        <f t="shared" si="520"/>
        <v/>
      </c>
      <c r="GC139" s="206" t="str">
        <f t="shared" si="394"/>
        <v/>
      </c>
      <c r="GD139" s="205" t="str">
        <f t="shared" si="521"/>
        <v/>
      </c>
      <c r="GE139" s="189" t="str">
        <f t="shared" si="395"/>
        <v/>
      </c>
      <c r="GF139" s="189" t="str">
        <f t="shared" si="396"/>
        <v/>
      </c>
      <c r="GG139" s="189" t="str">
        <f t="shared" si="397"/>
        <v/>
      </c>
      <c r="GH139" s="189" t="str">
        <f t="shared" si="398"/>
        <v/>
      </c>
      <c r="GI139" s="189" t="str">
        <f t="shared" si="522"/>
        <v/>
      </c>
      <c r="GJ139" s="206" t="str">
        <f t="shared" si="399"/>
        <v/>
      </c>
      <c r="GK139" s="205" t="str">
        <f t="shared" si="523"/>
        <v/>
      </c>
      <c r="GL139" s="189" t="str">
        <f t="shared" si="400"/>
        <v/>
      </c>
      <c r="GM139" s="189" t="str">
        <f t="shared" si="401"/>
        <v/>
      </c>
      <c r="GN139" s="189" t="str">
        <f t="shared" si="402"/>
        <v/>
      </c>
      <c r="GO139" s="189" t="str">
        <f t="shared" si="403"/>
        <v/>
      </c>
      <c r="GP139" s="189" t="str">
        <f t="shared" si="524"/>
        <v/>
      </c>
      <c r="GQ139" s="206" t="str">
        <f t="shared" si="404"/>
        <v/>
      </c>
      <c r="GR139" s="189" t="str">
        <f t="shared" si="525"/>
        <v/>
      </c>
      <c r="GS139" s="189" t="str">
        <f t="shared" si="526"/>
        <v/>
      </c>
      <c r="GT139" s="207" t="str">
        <f t="shared" si="527"/>
        <v xml:space="preserve">    </v>
      </c>
      <c r="GU139" s="207" t="str">
        <f t="shared" si="528"/>
        <v xml:space="preserve">    </v>
      </c>
      <c r="GV139" s="207" t="str">
        <f t="shared" si="529"/>
        <v xml:space="preserve">    </v>
      </c>
      <c r="GW139" s="207" t="str">
        <f t="shared" si="530"/>
        <v xml:space="preserve">       </v>
      </c>
      <c r="GX139" s="598" t="str">
        <f t="shared" si="531"/>
        <v xml:space="preserve">     </v>
      </c>
      <c r="GY139" s="208" t="str">
        <f t="shared" si="405"/>
        <v/>
      </c>
      <c r="GZ139" s="606" t="str">
        <f>IF(AND(Q139="",AE139="",AZ139="",BW139="",CT139=""),"",IF(AND('Master Sheet'!$D$19="YES",'Marks Entry'!$BA$1=1),SUM(Q139,AE139,AZ139,BW139,DT139),SUM(Q139,AE139,AZ139,BW139,CT139)))</f>
        <v/>
      </c>
      <c r="HA139" s="209" t="str">
        <f>IF(GZ139="","",IF(AND('Master Sheet'!$D$19="YES",'Marks Entry'!$BA$1=1),GZ139/((900)-DC139)*100,GZ139/((1000)-DC139)*100))</f>
        <v/>
      </c>
      <c r="HB139" s="611" t="str">
        <f t="shared" si="532"/>
        <v/>
      </c>
      <c r="HC139" s="609" t="str">
        <f t="shared" si="533"/>
        <v/>
      </c>
      <c r="HD139" s="610" t="str">
        <f t="shared" si="534"/>
        <v/>
      </c>
      <c r="HE139" s="210" t="str">
        <f>IFERROR(IF(OR(GY139="SUPPLEMENTARY",GY139="RE-EXAM"),'Supp. Result Entry'!AS138,""),"")</f>
        <v/>
      </c>
      <c r="HF139" s="613" t="str">
        <f t="shared" si="535"/>
        <v/>
      </c>
      <c r="HG139" s="598" t="str">
        <f t="shared" si="536"/>
        <v/>
      </c>
      <c r="HH139" s="598" t="str">
        <f>IF(AND(HE139="",HF139="",HG139=""),"",IF(OR(GY139="SUPPLEMENTARY",GY139="RE-EXAM"),'Supp. Result Entry'!AS138,GY139))</f>
        <v/>
      </c>
      <c r="HI139" s="180"/>
      <c r="HY139" s="212" t="str">
        <f>IF('Supp. Result Entry'!U138="","",'Supp. Result Entry'!$U$6)</f>
        <v/>
      </c>
      <c r="HZ139" s="213" t="str">
        <f>IF('Supp. Result Entry'!X138="","",'Supp. Result Entry'!$X$6)</f>
        <v/>
      </c>
      <c r="IA139" s="213" t="str">
        <f>IF('Supp. Result Entry'!AA138="","",'Supp. Result Entry'!$AA$6)</f>
        <v/>
      </c>
      <c r="IB139" s="213" t="str">
        <f>IF('Supp. Result Entry'!AD138="","",'Supp. Result Entry'!$AD$6)</f>
        <v/>
      </c>
      <c r="IC139" s="213" t="str">
        <f>IF('Supp. Result Entry'!AG138="","",'Supp. Result Entry'!$AG$6)</f>
        <v/>
      </c>
      <c r="ID139" s="213" t="str">
        <f>IF('Supp. Result Entry'!AJ138="","",'Supp. Result Entry'!$AJ$6)</f>
        <v/>
      </c>
      <c r="IE139" s="213" t="str">
        <f>IF('Supp. Result Entry'!V138="","",'Supp. Result Entry'!V138)</f>
        <v/>
      </c>
      <c r="IF139" s="213" t="str">
        <f>IF('Supp. Result Entry'!Y138="","",'Supp. Result Entry'!Y138)</f>
        <v/>
      </c>
      <c r="IG139" s="213" t="str">
        <f>IF('Supp. Result Entry'!AB138="","",'Supp. Result Entry'!AB138)</f>
        <v/>
      </c>
      <c r="IH139" s="213" t="str">
        <f>IF('Supp. Result Entry'!AE138="","",'Supp. Result Entry'!AE138)</f>
        <v/>
      </c>
      <c r="II139" s="213" t="str">
        <f>IF('Supp. Result Entry'!AH138="","",'Supp. Result Entry'!AH138)</f>
        <v/>
      </c>
      <c r="IJ139" s="213" t="str">
        <f>IF('Supp. Result Entry'!AK138="","",'Supp. Result Entry'!AK138)</f>
        <v/>
      </c>
      <c r="IK139" s="213" t="str">
        <f>IF('Supp. Result Entry'!W138="","",'Supp. Result Entry'!W138)</f>
        <v/>
      </c>
      <c r="IL139" s="213" t="str">
        <f>IF('Supp. Result Entry'!Z138="","",'Supp. Result Entry'!Z138)</f>
        <v/>
      </c>
      <c r="IM139" s="213" t="str">
        <f>IF('Supp. Result Entry'!AC138="","",'Supp. Result Entry'!AC138)</f>
        <v/>
      </c>
      <c r="IN139" s="213" t="str">
        <f>IF('Supp. Result Entry'!AF138="","",'Supp. Result Entry'!AF138)</f>
        <v/>
      </c>
      <c r="IO139" s="213" t="str">
        <f>IF('Supp. Result Entry'!AI138="","",'Supp. Result Entry'!AI138)</f>
        <v/>
      </c>
      <c r="IP139" s="213" t="str">
        <f>IF('Supp. Result Entry'!AL138="","",'Supp. Result Entry'!AL138)</f>
        <v/>
      </c>
      <c r="IQ139" s="213">
        <f>COUNTIF('Supp. Result Entry'!K138:Q138,"S")</f>
        <v>0</v>
      </c>
      <c r="IR139" s="213">
        <f t="shared" si="537"/>
        <v>0</v>
      </c>
      <c r="IS139" s="213">
        <f t="shared" si="538"/>
        <v>0</v>
      </c>
      <c r="IT139" s="213" t="str">
        <f t="shared" si="406"/>
        <v/>
      </c>
      <c r="IU139" s="213" t="str">
        <f t="shared" si="407"/>
        <v/>
      </c>
      <c r="IV139" s="213" t="str">
        <f t="shared" si="408"/>
        <v/>
      </c>
      <c r="IW139" s="213" t="str">
        <f t="shared" si="409"/>
        <v/>
      </c>
      <c r="IX139" s="213" t="str">
        <f t="shared" si="410"/>
        <v/>
      </c>
      <c r="IY139" s="213" t="str">
        <f t="shared" si="539"/>
        <v/>
      </c>
      <c r="IZ139" s="213" t="str">
        <f t="shared" si="540"/>
        <v/>
      </c>
      <c r="JA139" s="213" t="str">
        <f t="shared" si="411"/>
        <v/>
      </c>
      <c r="JB139" s="211" t="str">
        <f t="shared" si="541"/>
        <v/>
      </c>
    </row>
    <row r="140" spans="1:262" s="211" customFormat="1" ht="21" customHeight="1">
      <c r="A140" s="184">
        <v>133</v>
      </c>
      <c r="B140" s="185" t="str">
        <f>IF('Marks Entry'!B140="","",'Marks Entry'!B140)</f>
        <v/>
      </c>
      <c r="C140" s="186" t="str">
        <f>IF('Marks Entry'!D140="","",'Marks Entry'!D140)</f>
        <v/>
      </c>
      <c r="D140" s="187" t="str">
        <f>IF('Marks Entry'!E140="","",'Marks Entry'!E140)</f>
        <v/>
      </c>
      <c r="E140" s="188" t="str">
        <f>IF('Marks Entry'!F140="","",'Marks Entry'!F140)</f>
        <v/>
      </c>
      <c r="F140" s="188" t="str">
        <f>IF('Marks Entry'!G140="","",'Marks Entry'!G140)</f>
        <v/>
      </c>
      <c r="G140" s="188" t="str">
        <f>IF('Marks Entry'!H140="","",'Marks Entry'!H140)</f>
        <v/>
      </c>
      <c r="H140" s="189" t="str">
        <f>IF('Marks Entry'!I140="","",'Marks Entry'!I140)</f>
        <v/>
      </c>
      <c r="I140" s="190" t="str">
        <f>IF('Marks Entry'!J140="","",'Marks Entry'!J140)</f>
        <v/>
      </c>
      <c r="J140" s="545" t="str">
        <f>IF('Marks Entry'!K140="","",'Marks Entry'!K140)</f>
        <v/>
      </c>
      <c r="K140" s="545" t="str">
        <f>IF('Marks Entry'!L140="","",'Marks Entry'!L140)</f>
        <v/>
      </c>
      <c r="L140" s="545" t="str">
        <f>IF('Marks Entry'!M140="","",'Marks Entry'!M140)</f>
        <v/>
      </c>
      <c r="M140" s="546" t="str">
        <f t="shared" si="412"/>
        <v/>
      </c>
      <c r="N140" s="545" t="str">
        <f>IF('Marks Entry'!N140="","",'Marks Entry'!N140)</f>
        <v/>
      </c>
      <c r="O140" s="546" t="str">
        <f t="shared" si="413"/>
        <v/>
      </c>
      <c r="P140" s="545" t="str">
        <f>IF('Marks Entry'!O140="","",'Marks Entry'!O140)</f>
        <v/>
      </c>
      <c r="Q140" s="547" t="str">
        <f t="shared" si="414"/>
        <v/>
      </c>
      <c r="R140" s="153">
        <f t="shared" si="415"/>
        <v>0</v>
      </c>
      <c r="S140" s="153">
        <f t="shared" si="416"/>
        <v>0</v>
      </c>
      <c r="T140" s="154" t="str">
        <f t="shared" si="417"/>
        <v/>
      </c>
      <c r="U140" s="153" t="str">
        <f t="shared" si="418"/>
        <v/>
      </c>
      <c r="V140" s="153" t="str">
        <f t="shared" si="419"/>
        <v/>
      </c>
      <c r="W140" s="153" t="str">
        <f t="shared" si="420"/>
        <v/>
      </c>
      <c r="X140" s="545" t="str">
        <f>IF('Marks Entry'!P140="","",'Marks Entry'!P140)</f>
        <v/>
      </c>
      <c r="Y140" s="545" t="str">
        <f>IF('Marks Entry'!Q140="","",'Marks Entry'!Q140)</f>
        <v/>
      </c>
      <c r="Z140" s="545" t="str">
        <f>IF('Marks Entry'!R140="","",'Marks Entry'!R140)</f>
        <v/>
      </c>
      <c r="AA140" s="546" t="str">
        <f t="shared" si="421"/>
        <v/>
      </c>
      <c r="AB140" s="545" t="str">
        <f>IF('Marks Entry'!S140="","",'Marks Entry'!S140)</f>
        <v/>
      </c>
      <c r="AC140" s="546" t="str">
        <f t="shared" si="422"/>
        <v/>
      </c>
      <c r="AD140" s="545" t="str">
        <f>IF('Marks Entry'!T140="","",'Marks Entry'!T140)</f>
        <v/>
      </c>
      <c r="AE140" s="547" t="str">
        <f t="shared" si="423"/>
        <v/>
      </c>
      <c r="AF140" s="153">
        <f t="shared" si="424"/>
        <v>0</v>
      </c>
      <c r="AG140" s="153">
        <f t="shared" si="425"/>
        <v>0</v>
      </c>
      <c r="AH140" s="154" t="str">
        <f t="shared" si="426"/>
        <v/>
      </c>
      <c r="AI140" s="153" t="str">
        <f t="shared" si="427"/>
        <v/>
      </c>
      <c r="AJ140" s="153" t="str">
        <f t="shared" si="428"/>
        <v/>
      </c>
      <c r="AK140" s="153" t="str">
        <f t="shared" si="429"/>
        <v/>
      </c>
      <c r="AL140" s="573" t="str">
        <f>IF('Marks Entry'!U140="","",'Marks Entry'!U140)</f>
        <v/>
      </c>
      <c r="AM140" s="573" t="str">
        <f>IF('Marks Entry'!V140="","",'Marks Entry'!V140)</f>
        <v/>
      </c>
      <c r="AN140" s="573" t="str">
        <f>IF('Marks Entry'!W140="","",'Marks Entry'!W140)</f>
        <v/>
      </c>
      <c r="AO140" s="573" t="str">
        <f>IF('Marks Entry'!X140="","",'Marks Entry'!X140)</f>
        <v/>
      </c>
      <c r="AP140" s="572" t="str">
        <f t="shared" si="430"/>
        <v/>
      </c>
      <c r="AQ140" s="573" t="str">
        <f>IF('Marks Entry'!Y140="","",'Marks Entry'!Y140)</f>
        <v/>
      </c>
      <c r="AR140" s="573" t="str">
        <f>IF('Marks Entry'!Z140="","",'Marks Entry'!Z140)</f>
        <v/>
      </c>
      <c r="AS140" s="572" t="str">
        <f t="shared" si="431"/>
        <v/>
      </c>
      <c r="AT140" s="572" t="str">
        <f t="shared" si="432"/>
        <v/>
      </c>
      <c r="AU140" s="573" t="str">
        <f>IF('Marks Entry'!AA140="","",'Marks Entry'!AA140)</f>
        <v/>
      </c>
      <c r="AV140" s="573" t="str">
        <f>IF('Marks Entry'!AB140="","",'Marks Entry'!AB140)</f>
        <v/>
      </c>
      <c r="AW140" s="572" t="str">
        <f t="shared" si="433"/>
        <v/>
      </c>
      <c r="AX140" s="157" t="str">
        <f t="shared" si="434"/>
        <v/>
      </c>
      <c r="AY140" s="157" t="str">
        <f t="shared" si="435"/>
        <v/>
      </c>
      <c r="AZ140" s="192" t="str">
        <f t="shared" si="436"/>
        <v/>
      </c>
      <c r="BA140" s="153">
        <f t="shared" si="437"/>
        <v>0</v>
      </c>
      <c r="BB140" s="154">
        <f t="shared" si="438"/>
        <v>0</v>
      </c>
      <c r="BC140" s="154" t="str">
        <f t="shared" si="439"/>
        <v/>
      </c>
      <c r="BD140" s="154" t="str">
        <f t="shared" si="440"/>
        <v/>
      </c>
      <c r="BE140" s="154" t="str">
        <f t="shared" si="441"/>
        <v/>
      </c>
      <c r="BF140" s="153" t="str">
        <f t="shared" si="442"/>
        <v/>
      </c>
      <c r="BG140" s="154" t="str">
        <f t="shared" si="443"/>
        <v/>
      </c>
      <c r="BH140" s="153" t="str">
        <f t="shared" si="444"/>
        <v/>
      </c>
      <c r="BI140" s="580" t="str">
        <f>IF('Marks Entry'!AC140="","",'Marks Entry'!AC140)</f>
        <v/>
      </c>
      <c r="BJ140" s="580" t="str">
        <f>IF('Marks Entry'!AD140="","",'Marks Entry'!AD140)</f>
        <v/>
      </c>
      <c r="BK140" s="580" t="str">
        <f>IF('Marks Entry'!AE140="","",'Marks Entry'!AE140)</f>
        <v/>
      </c>
      <c r="BL140" s="580" t="str">
        <f>IF('Marks Entry'!AF140="","",'Marks Entry'!AF140)</f>
        <v/>
      </c>
      <c r="BM140" s="581" t="str">
        <f t="shared" si="445"/>
        <v/>
      </c>
      <c r="BN140" s="580" t="str">
        <f>IF('Marks Entry'!AG140="","",'Marks Entry'!AG140)</f>
        <v/>
      </c>
      <c r="BO140" s="580" t="str">
        <f>IF('Marks Entry'!AH140="","",'Marks Entry'!AH140)</f>
        <v/>
      </c>
      <c r="BP140" s="581" t="str">
        <f t="shared" si="446"/>
        <v/>
      </c>
      <c r="BQ140" s="581" t="str">
        <f t="shared" si="447"/>
        <v/>
      </c>
      <c r="BR140" s="580" t="str">
        <f>IF('Marks Entry'!AI140="","",'Marks Entry'!AI140)</f>
        <v/>
      </c>
      <c r="BS140" s="580" t="str">
        <f>IF('Marks Entry'!AJ140="","",'Marks Entry'!AJ140)</f>
        <v/>
      </c>
      <c r="BT140" s="581" t="str">
        <f t="shared" si="448"/>
        <v/>
      </c>
      <c r="BU140" s="157" t="str">
        <f t="shared" si="449"/>
        <v/>
      </c>
      <c r="BV140" s="157" t="str">
        <f t="shared" si="450"/>
        <v/>
      </c>
      <c r="BW140" s="192" t="str">
        <f t="shared" si="451"/>
        <v/>
      </c>
      <c r="BX140" s="153">
        <f t="shared" si="452"/>
        <v>0</v>
      </c>
      <c r="BY140" s="154">
        <f t="shared" si="453"/>
        <v>0</v>
      </c>
      <c r="BZ140" s="154" t="str">
        <f t="shared" si="454"/>
        <v/>
      </c>
      <c r="CA140" s="154" t="str">
        <f t="shared" si="455"/>
        <v/>
      </c>
      <c r="CB140" s="154" t="str">
        <f t="shared" si="456"/>
        <v/>
      </c>
      <c r="CC140" s="153" t="str">
        <f t="shared" si="457"/>
        <v/>
      </c>
      <c r="CD140" s="154" t="str">
        <f t="shared" si="458"/>
        <v/>
      </c>
      <c r="CE140" s="153" t="str">
        <f t="shared" si="459"/>
        <v/>
      </c>
      <c r="CF140" s="580" t="str">
        <f>IF('Marks Entry'!AK140="","",'Marks Entry'!AK140)</f>
        <v/>
      </c>
      <c r="CG140" s="580" t="str">
        <f>IF('Marks Entry'!AL140="","",'Marks Entry'!AL140)</f>
        <v/>
      </c>
      <c r="CH140" s="580" t="str">
        <f>IF('Marks Entry'!AM140="","",'Marks Entry'!AM140)</f>
        <v/>
      </c>
      <c r="CI140" s="580" t="str">
        <f>IF('Marks Entry'!AN140="","",'Marks Entry'!AN140)</f>
        <v/>
      </c>
      <c r="CJ140" s="581" t="str">
        <f t="shared" si="460"/>
        <v/>
      </c>
      <c r="CK140" s="580" t="str">
        <f>IF('Marks Entry'!AO140="","",'Marks Entry'!AO140)</f>
        <v/>
      </c>
      <c r="CL140" s="580" t="str">
        <f>IF('Marks Entry'!AP140="","",'Marks Entry'!AP140)</f>
        <v/>
      </c>
      <c r="CM140" s="581" t="str">
        <f t="shared" si="461"/>
        <v/>
      </c>
      <c r="CN140" s="581" t="str">
        <f t="shared" si="462"/>
        <v/>
      </c>
      <c r="CO140" s="580" t="str">
        <f>IF('Marks Entry'!AQ140="","",'Marks Entry'!AQ140)</f>
        <v/>
      </c>
      <c r="CP140" s="580" t="str">
        <f>IF('Marks Entry'!AR140="","",'Marks Entry'!AR140)</f>
        <v/>
      </c>
      <c r="CQ140" s="581" t="str">
        <f t="shared" si="463"/>
        <v/>
      </c>
      <c r="CR140" s="157" t="str">
        <f t="shared" si="464"/>
        <v/>
      </c>
      <c r="CS140" s="157" t="str">
        <f t="shared" si="465"/>
        <v/>
      </c>
      <c r="CT140" s="192" t="str">
        <f t="shared" si="466"/>
        <v/>
      </c>
      <c r="CU140" s="153">
        <f t="shared" si="467"/>
        <v>0</v>
      </c>
      <c r="CV140" s="154">
        <f t="shared" si="468"/>
        <v>0</v>
      </c>
      <c r="CW140" s="154" t="str">
        <f t="shared" si="469"/>
        <v/>
      </c>
      <c r="CX140" s="154" t="str">
        <f t="shared" si="470"/>
        <v/>
      </c>
      <c r="CY140" s="154" t="str">
        <f t="shared" si="471"/>
        <v/>
      </c>
      <c r="CZ140" s="153" t="str">
        <f t="shared" si="472"/>
        <v/>
      </c>
      <c r="DA140" s="154" t="str">
        <f t="shared" si="473"/>
        <v/>
      </c>
      <c r="DB140" s="153" t="str">
        <f t="shared" si="474"/>
        <v/>
      </c>
      <c r="DC140" s="154">
        <f t="shared" si="475"/>
        <v>0</v>
      </c>
      <c r="DD140" s="826" t="str">
        <f>IF('Marks Entry'!AS140="","",IF(OR('Master Sheet'!$D$19="YES",'Marks Entry'!$BA$1=1),'Marks Entry'!AS140,""))</f>
        <v/>
      </c>
      <c r="DE140" s="826" t="str">
        <f>IF('Marks Entry'!AT140="","",IF(OR('Master Sheet'!$D$19="YES",'Marks Entry'!$BA$1=1),'Marks Entry'!AT140,""))</f>
        <v/>
      </c>
      <c r="DF140" s="826" t="str">
        <f>IF('Marks Entry'!AU140="","",IF(OR('Master Sheet'!$D$19="YES",'Marks Entry'!$BA$1=1),'Marks Entry'!AU140,""))</f>
        <v/>
      </c>
      <c r="DG140" s="826" t="str">
        <f>IF('Marks Entry'!AV140="","",IF(OR('Master Sheet'!$D$19="YES",'Marks Entry'!$BA$1=1),'Marks Entry'!AV140,""))</f>
        <v/>
      </c>
      <c r="DH140" s="827" t="str">
        <f t="shared" si="476"/>
        <v/>
      </c>
      <c r="DI140" s="826" t="str">
        <f>IF('Marks Entry'!AW140="","",IF(OR('Master Sheet'!$D$19="YES",'Marks Entry'!$BA$1=1),'Marks Entry'!AW140,""))</f>
        <v/>
      </c>
      <c r="DJ140" s="826" t="str">
        <f>IF('Marks Entry'!AX140="","",IF(OR('Master Sheet'!$D$19="YES",'Marks Entry'!$BA$1=1),'Marks Entry'!AX140,""))</f>
        <v/>
      </c>
      <c r="DK140" s="827" t="str">
        <f t="shared" si="477"/>
        <v/>
      </c>
      <c r="DL140" s="827" t="str">
        <f t="shared" si="478"/>
        <v/>
      </c>
      <c r="DM140" s="826" t="str">
        <f>IF('Marks Entry'!AY140="","",IF(OR('Master Sheet'!$D$19="YES",'Marks Entry'!$BA$1=1),'Marks Entry'!AY140,""))</f>
        <v/>
      </c>
      <c r="DN140" s="826" t="str">
        <f>IF('Marks Entry'!AZ140="","",IF(OR('Master Sheet'!$D$19="YES",'Marks Entry'!$BA$1=1),'Marks Entry'!AZ140,""))</f>
        <v/>
      </c>
      <c r="DO140" s="826" t="str">
        <f>IF('Marks Entry'!BA140="","",IF(OR('Master Sheet'!$D$19="YES",'Marks Entry'!$BA$1=1),'Marks Entry'!BA140,""))</f>
        <v/>
      </c>
      <c r="DP140" s="827" t="str">
        <f t="shared" si="479"/>
        <v/>
      </c>
      <c r="DQ140" s="157" t="str">
        <f t="shared" si="480"/>
        <v/>
      </c>
      <c r="DR140" s="157" t="str">
        <f t="shared" si="481"/>
        <v/>
      </c>
      <c r="DS140" s="157" t="str">
        <f t="shared" si="482"/>
        <v/>
      </c>
      <c r="DT140" s="192" t="str">
        <f t="shared" si="483"/>
        <v/>
      </c>
      <c r="DU140" s="153">
        <f t="shared" si="484"/>
        <v>0</v>
      </c>
      <c r="DV140" s="154" t="e">
        <f t="shared" si="485"/>
        <v>#VALUE!</v>
      </c>
      <c r="DW140" s="154" t="str">
        <f t="shared" si="486"/>
        <v/>
      </c>
      <c r="DX140" s="154" t="str">
        <f>IF(OR($B140="NSO",$B140=0,DS140=""),"",IF(AND(DJ140="",DO140=""),"",IF('Master Sheet'!$D$19="YES",$DO$6-COUNTIF(DO140,"ML")*DO$6,DS$6-(COUNTIF(DJ140,"ML")*DJ$6)-(COUNTIF(DO140,"ML")*DO$6))))</f>
        <v/>
      </c>
      <c r="DY140" s="154" t="str">
        <f>IF(OR($B140="NSO",$B140=0),"",IF(AND(DH140="",DI140="",DM140=""),"",IF(AND('Master Sheet'!$D$19="YES",'Marks Entry'!$BA$1=1),100,IF(AND(DJ140="",DO140=""),SUM(($DQ$7+$DR$7)-(DU140+DV140)),SUM(($DQ$6+$DR$6)-(DU140+DV140))))))</f>
        <v/>
      </c>
      <c r="DZ140" s="153" t="str">
        <f t="shared" si="487"/>
        <v/>
      </c>
      <c r="EA140" s="154" t="str">
        <f t="shared" si="488"/>
        <v/>
      </c>
      <c r="EB140" s="153" t="str">
        <f t="shared" si="489"/>
        <v/>
      </c>
      <c r="EC140" s="584" t="str">
        <f>IF('Marks Entry'!BB140="","",'Marks Entry'!BB140)</f>
        <v/>
      </c>
      <c r="ED140" s="584" t="str">
        <f>IF('Marks Entry'!BC140="","",'Marks Entry'!BC140)</f>
        <v/>
      </c>
      <c r="EE140" s="584" t="str">
        <f>IF('Marks Entry'!BD140="","",'Marks Entry'!BD140)</f>
        <v/>
      </c>
      <c r="EF140" s="590" t="str">
        <f t="shared" si="490"/>
        <v/>
      </c>
      <c r="EG140" s="595">
        <f t="shared" si="491"/>
        <v>0</v>
      </c>
      <c r="EH140" s="595">
        <f t="shared" si="492"/>
        <v>0</v>
      </c>
      <c r="EI140" s="193" t="str">
        <f t="shared" si="493"/>
        <v/>
      </c>
      <c r="EJ140" s="595" t="str">
        <f t="shared" si="494"/>
        <v/>
      </c>
      <c r="EK140" s="595" t="str">
        <f t="shared" si="495"/>
        <v/>
      </c>
      <c r="EL140" s="194" t="str">
        <f t="shared" si="496"/>
        <v/>
      </c>
      <c r="EM140" s="194" t="str">
        <f t="shared" si="497"/>
        <v/>
      </c>
      <c r="EN140" s="194" t="str">
        <f t="shared" si="498"/>
        <v/>
      </c>
      <c r="EO140" s="194" t="str">
        <f t="shared" si="499"/>
        <v/>
      </c>
      <c r="EP140" s="194" t="str">
        <f t="shared" si="500"/>
        <v/>
      </c>
      <c r="EQ140" s="194" t="str">
        <f t="shared" si="501"/>
        <v/>
      </c>
      <c r="ER140" s="195">
        <f t="shared" si="502"/>
        <v>0</v>
      </c>
      <c r="ES140" s="195">
        <f t="shared" si="503"/>
        <v>0</v>
      </c>
      <c r="ET140" s="195">
        <f t="shared" si="504"/>
        <v>0</v>
      </c>
      <c r="EU140" s="195">
        <f t="shared" si="505"/>
        <v>0</v>
      </c>
      <c r="EV140" s="195">
        <f t="shared" si="506"/>
        <v>0</v>
      </c>
      <c r="EW140" s="195" t="str">
        <f t="shared" si="507"/>
        <v/>
      </c>
      <c r="EX140" s="196" t="str">
        <f t="shared" si="508"/>
        <v/>
      </c>
      <c r="EY140" s="197" t="str">
        <f>IF('Marks Entry'!BE140="","",'Marks Entry'!BE140)</f>
        <v/>
      </c>
      <c r="EZ140" s="197" t="str">
        <f>IF('Marks Entry'!BF140="","",'Marks Entry'!BF140)</f>
        <v/>
      </c>
      <c r="FA140" s="197" t="str">
        <f>IF('Marks Entry'!BG140="","",'Marks Entry'!BG140)</f>
        <v/>
      </c>
      <c r="FB140" s="596" t="str">
        <f t="shared" si="509"/>
        <v/>
      </c>
      <c r="FC140" s="197" t="str">
        <f>IF('Marks Entry'!BH140="","",'Marks Entry'!BH140)</f>
        <v/>
      </c>
      <c r="FD140" s="197" t="str">
        <f>IF('Marks Entry'!BI140="","",'Marks Entry'!BI140)</f>
        <v/>
      </c>
      <c r="FE140" s="198" t="str">
        <f t="shared" si="510"/>
        <v/>
      </c>
      <c r="FF140" s="199" t="str">
        <f t="shared" si="511"/>
        <v/>
      </c>
      <c r="FG140" s="200" t="str">
        <f>IF(AND(E140=""),"",IF('Student DATA Entry'!L136="","",'Student DATA Entry'!L136))</f>
        <v/>
      </c>
      <c r="FH140" s="201" t="str">
        <f>IF(AND(E140=""),"",IF('Student DATA Entry'!M136="","",'Student DATA Entry'!M136))</f>
        <v/>
      </c>
      <c r="FI140" s="202" t="str">
        <f t="shared" si="512"/>
        <v/>
      </c>
      <c r="FJ140" s="189" t="str">
        <f t="shared" si="513"/>
        <v/>
      </c>
      <c r="FK140" s="189" t="str">
        <f t="shared" si="514"/>
        <v/>
      </c>
      <c r="FL140" s="203" t="str">
        <f t="shared" si="383"/>
        <v/>
      </c>
      <c r="FM140" s="189" t="str">
        <f t="shared" si="515"/>
        <v/>
      </c>
      <c r="FN140" s="204" t="str">
        <f t="shared" si="516"/>
        <v/>
      </c>
      <c r="FO140" s="203" t="str">
        <f t="shared" si="384"/>
        <v/>
      </c>
      <c r="FP140" s="205" t="str">
        <f t="shared" si="517"/>
        <v/>
      </c>
      <c r="FQ140" s="189" t="str">
        <f t="shared" si="385"/>
        <v/>
      </c>
      <c r="FR140" s="189" t="str">
        <f t="shared" si="386"/>
        <v/>
      </c>
      <c r="FS140" s="189" t="str">
        <f t="shared" si="387"/>
        <v/>
      </c>
      <c r="FT140" s="189" t="str">
        <f t="shared" si="388"/>
        <v/>
      </c>
      <c r="FU140" s="189" t="str">
        <f t="shared" si="518"/>
        <v/>
      </c>
      <c r="FV140" s="206" t="str">
        <f t="shared" si="389"/>
        <v/>
      </c>
      <c r="FW140" s="205" t="str">
        <f t="shared" si="519"/>
        <v/>
      </c>
      <c r="FX140" s="189" t="str">
        <f t="shared" si="390"/>
        <v/>
      </c>
      <c r="FY140" s="189" t="str">
        <f t="shared" si="391"/>
        <v/>
      </c>
      <c r="FZ140" s="189" t="str">
        <f t="shared" si="392"/>
        <v/>
      </c>
      <c r="GA140" s="189" t="str">
        <f t="shared" si="393"/>
        <v/>
      </c>
      <c r="GB140" s="189" t="str">
        <f t="shared" si="520"/>
        <v/>
      </c>
      <c r="GC140" s="206" t="str">
        <f t="shared" si="394"/>
        <v/>
      </c>
      <c r="GD140" s="205" t="str">
        <f t="shared" si="521"/>
        <v/>
      </c>
      <c r="GE140" s="189" t="str">
        <f t="shared" si="395"/>
        <v/>
      </c>
      <c r="GF140" s="189" t="str">
        <f t="shared" si="396"/>
        <v/>
      </c>
      <c r="GG140" s="189" t="str">
        <f t="shared" si="397"/>
        <v/>
      </c>
      <c r="GH140" s="189" t="str">
        <f t="shared" si="398"/>
        <v/>
      </c>
      <c r="GI140" s="189" t="str">
        <f t="shared" si="522"/>
        <v/>
      </c>
      <c r="GJ140" s="206" t="str">
        <f t="shared" si="399"/>
        <v/>
      </c>
      <c r="GK140" s="205" t="str">
        <f t="shared" si="523"/>
        <v/>
      </c>
      <c r="GL140" s="189" t="str">
        <f t="shared" si="400"/>
        <v/>
      </c>
      <c r="GM140" s="189" t="str">
        <f t="shared" si="401"/>
        <v/>
      </c>
      <c r="GN140" s="189" t="str">
        <f t="shared" si="402"/>
        <v/>
      </c>
      <c r="GO140" s="189" t="str">
        <f t="shared" si="403"/>
        <v/>
      </c>
      <c r="GP140" s="189" t="str">
        <f t="shared" si="524"/>
        <v/>
      </c>
      <c r="GQ140" s="206" t="str">
        <f t="shared" si="404"/>
        <v/>
      </c>
      <c r="GR140" s="189" t="str">
        <f t="shared" si="525"/>
        <v/>
      </c>
      <c r="GS140" s="189" t="str">
        <f t="shared" si="526"/>
        <v/>
      </c>
      <c r="GT140" s="207" t="str">
        <f t="shared" si="527"/>
        <v xml:space="preserve">    </v>
      </c>
      <c r="GU140" s="207" t="str">
        <f t="shared" si="528"/>
        <v xml:space="preserve">    </v>
      </c>
      <c r="GV140" s="207" t="str">
        <f t="shared" si="529"/>
        <v xml:space="preserve">    </v>
      </c>
      <c r="GW140" s="207" t="str">
        <f t="shared" si="530"/>
        <v xml:space="preserve">       </v>
      </c>
      <c r="GX140" s="598" t="str">
        <f t="shared" si="531"/>
        <v xml:space="preserve">     </v>
      </c>
      <c r="GY140" s="208" t="str">
        <f t="shared" si="405"/>
        <v/>
      </c>
      <c r="GZ140" s="606" t="str">
        <f>IF(AND(Q140="",AE140="",AZ140="",BW140="",CT140=""),"",IF(AND('Master Sheet'!$D$19="YES",'Marks Entry'!$BA$1=1),SUM(Q140,AE140,AZ140,BW140,DT140),SUM(Q140,AE140,AZ140,BW140,CT140)))</f>
        <v/>
      </c>
      <c r="HA140" s="209" t="str">
        <f>IF(GZ140="","",IF(AND('Master Sheet'!$D$19="YES",'Marks Entry'!$BA$1=1),GZ140/((900)-DC140)*100,GZ140/((1000)-DC140)*100))</f>
        <v/>
      </c>
      <c r="HB140" s="611" t="str">
        <f t="shared" si="532"/>
        <v/>
      </c>
      <c r="HC140" s="609" t="str">
        <f t="shared" si="533"/>
        <v/>
      </c>
      <c r="HD140" s="610" t="str">
        <f t="shared" si="534"/>
        <v/>
      </c>
      <c r="HE140" s="210" t="str">
        <f>IFERROR(IF(OR(GY140="SUPPLEMENTARY",GY140="RE-EXAM"),'Supp. Result Entry'!AS139,""),"")</f>
        <v/>
      </c>
      <c r="HF140" s="613" t="str">
        <f t="shared" si="535"/>
        <v/>
      </c>
      <c r="HG140" s="598" t="str">
        <f t="shared" si="536"/>
        <v/>
      </c>
      <c r="HH140" s="598" t="str">
        <f>IF(AND(HE140="",HF140="",HG140=""),"",IF(OR(GY140="SUPPLEMENTARY",GY140="RE-EXAM"),'Supp. Result Entry'!AS139,GY140))</f>
        <v/>
      </c>
      <c r="HI140" s="180"/>
      <c r="HY140" s="212" t="str">
        <f>IF('Supp. Result Entry'!U139="","",'Supp. Result Entry'!$U$6)</f>
        <v/>
      </c>
      <c r="HZ140" s="213" t="str">
        <f>IF('Supp. Result Entry'!X139="","",'Supp. Result Entry'!$X$6)</f>
        <v/>
      </c>
      <c r="IA140" s="213" t="str">
        <f>IF('Supp. Result Entry'!AA139="","",'Supp. Result Entry'!$AA$6)</f>
        <v/>
      </c>
      <c r="IB140" s="213" t="str">
        <f>IF('Supp. Result Entry'!AD139="","",'Supp. Result Entry'!$AD$6)</f>
        <v/>
      </c>
      <c r="IC140" s="213" t="str">
        <f>IF('Supp. Result Entry'!AG139="","",'Supp. Result Entry'!$AG$6)</f>
        <v/>
      </c>
      <c r="ID140" s="213" t="str">
        <f>IF('Supp. Result Entry'!AJ139="","",'Supp. Result Entry'!$AJ$6)</f>
        <v/>
      </c>
      <c r="IE140" s="213" t="str">
        <f>IF('Supp. Result Entry'!V139="","",'Supp. Result Entry'!V139)</f>
        <v/>
      </c>
      <c r="IF140" s="213" t="str">
        <f>IF('Supp. Result Entry'!Y139="","",'Supp. Result Entry'!Y139)</f>
        <v/>
      </c>
      <c r="IG140" s="213" t="str">
        <f>IF('Supp. Result Entry'!AB139="","",'Supp. Result Entry'!AB139)</f>
        <v/>
      </c>
      <c r="IH140" s="213" t="str">
        <f>IF('Supp. Result Entry'!AE139="","",'Supp. Result Entry'!AE139)</f>
        <v/>
      </c>
      <c r="II140" s="213" t="str">
        <f>IF('Supp. Result Entry'!AH139="","",'Supp. Result Entry'!AH139)</f>
        <v/>
      </c>
      <c r="IJ140" s="213" t="str">
        <f>IF('Supp. Result Entry'!AK139="","",'Supp. Result Entry'!AK139)</f>
        <v/>
      </c>
      <c r="IK140" s="213" t="str">
        <f>IF('Supp. Result Entry'!W139="","",'Supp. Result Entry'!W139)</f>
        <v/>
      </c>
      <c r="IL140" s="213" t="str">
        <f>IF('Supp. Result Entry'!Z139="","",'Supp. Result Entry'!Z139)</f>
        <v/>
      </c>
      <c r="IM140" s="213" t="str">
        <f>IF('Supp. Result Entry'!AC139="","",'Supp. Result Entry'!AC139)</f>
        <v/>
      </c>
      <c r="IN140" s="213" t="str">
        <f>IF('Supp. Result Entry'!AF139="","",'Supp. Result Entry'!AF139)</f>
        <v/>
      </c>
      <c r="IO140" s="213" t="str">
        <f>IF('Supp. Result Entry'!AI139="","",'Supp. Result Entry'!AI139)</f>
        <v/>
      </c>
      <c r="IP140" s="213" t="str">
        <f>IF('Supp. Result Entry'!AL139="","",'Supp. Result Entry'!AL139)</f>
        <v/>
      </c>
      <c r="IQ140" s="213">
        <f>COUNTIF('Supp. Result Entry'!K139:Q139,"S")</f>
        <v>0</v>
      </c>
      <c r="IR140" s="213">
        <f t="shared" si="537"/>
        <v>0</v>
      </c>
      <c r="IS140" s="213">
        <f t="shared" si="538"/>
        <v>0</v>
      </c>
      <c r="IT140" s="213" t="str">
        <f t="shared" si="406"/>
        <v/>
      </c>
      <c r="IU140" s="213" t="str">
        <f t="shared" si="407"/>
        <v/>
      </c>
      <c r="IV140" s="213" t="str">
        <f t="shared" si="408"/>
        <v/>
      </c>
      <c r="IW140" s="213" t="str">
        <f t="shared" si="409"/>
        <v/>
      </c>
      <c r="IX140" s="213" t="str">
        <f t="shared" si="410"/>
        <v/>
      </c>
      <c r="IY140" s="213" t="str">
        <f t="shared" si="539"/>
        <v/>
      </c>
      <c r="IZ140" s="213" t="str">
        <f t="shared" si="540"/>
        <v/>
      </c>
      <c r="JA140" s="213" t="str">
        <f t="shared" si="411"/>
        <v/>
      </c>
      <c r="JB140" s="211" t="str">
        <f t="shared" si="541"/>
        <v/>
      </c>
    </row>
    <row r="141" spans="1:262" s="211" customFormat="1" ht="21" customHeight="1">
      <c r="A141" s="184">
        <v>134</v>
      </c>
      <c r="B141" s="185" t="str">
        <f>IF('Marks Entry'!B141="","",'Marks Entry'!B141)</f>
        <v/>
      </c>
      <c r="C141" s="186" t="str">
        <f>IF('Marks Entry'!D141="","",'Marks Entry'!D141)</f>
        <v/>
      </c>
      <c r="D141" s="187" t="str">
        <f>IF('Marks Entry'!E141="","",'Marks Entry'!E141)</f>
        <v/>
      </c>
      <c r="E141" s="188" t="str">
        <f>IF('Marks Entry'!F141="","",'Marks Entry'!F141)</f>
        <v/>
      </c>
      <c r="F141" s="188" t="str">
        <f>IF('Marks Entry'!G141="","",'Marks Entry'!G141)</f>
        <v/>
      </c>
      <c r="G141" s="188" t="str">
        <f>IF('Marks Entry'!H141="","",'Marks Entry'!H141)</f>
        <v/>
      </c>
      <c r="H141" s="189" t="str">
        <f>IF('Marks Entry'!I141="","",'Marks Entry'!I141)</f>
        <v/>
      </c>
      <c r="I141" s="190" t="str">
        <f>IF('Marks Entry'!J141="","",'Marks Entry'!J141)</f>
        <v/>
      </c>
      <c r="J141" s="545" t="str">
        <f>IF('Marks Entry'!K141="","",'Marks Entry'!K141)</f>
        <v/>
      </c>
      <c r="K141" s="545" t="str">
        <f>IF('Marks Entry'!L141="","",'Marks Entry'!L141)</f>
        <v/>
      </c>
      <c r="L141" s="545" t="str">
        <f>IF('Marks Entry'!M141="","",'Marks Entry'!M141)</f>
        <v/>
      </c>
      <c r="M141" s="546" t="str">
        <f t="shared" si="412"/>
        <v/>
      </c>
      <c r="N141" s="545" t="str">
        <f>IF('Marks Entry'!N141="","",'Marks Entry'!N141)</f>
        <v/>
      </c>
      <c r="O141" s="546" t="str">
        <f t="shared" si="413"/>
        <v/>
      </c>
      <c r="P141" s="545" t="str">
        <f>IF('Marks Entry'!O141="","",'Marks Entry'!O141)</f>
        <v/>
      </c>
      <c r="Q141" s="547" t="str">
        <f t="shared" si="414"/>
        <v/>
      </c>
      <c r="R141" s="153">
        <f t="shared" si="415"/>
        <v>0</v>
      </c>
      <c r="S141" s="153">
        <f t="shared" si="416"/>
        <v>0</v>
      </c>
      <c r="T141" s="154" t="str">
        <f t="shared" si="417"/>
        <v/>
      </c>
      <c r="U141" s="153" t="str">
        <f t="shared" si="418"/>
        <v/>
      </c>
      <c r="V141" s="153" t="str">
        <f t="shared" si="419"/>
        <v/>
      </c>
      <c r="W141" s="153" t="str">
        <f t="shared" si="420"/>
        <v/>
      </c>
      <c r="X141" s="545" t="str">
        <f>IF('Marks Entry'!P141="","",'Marks Entry'!P141)</f>
        <v/>
      </c>
      <c r="Y141" s="545" t="str">
        <f>IF('Marks Entry'!Q141="","",'Marks Entry'!Q141)</f>
        <v/>
      </c>
      <c r="Z141" s="545" t="str">
        <f>IF('Marks Entry'!R141="","",'Marks Entry'!R141)</f>
        <v/>
      </c>
      <c r="AA141" s="546" t="str">
        <f t="shared" si="421"/>
        <v/>
      </c>
      <c r="AB141" s="545" t="str">
        <f>IF('Marks Entry'!S141="","",'Marks Entry'!S141)</f>
        <v/>
      </c>
      <c r="AC141" s="546" t="str">
        <f t="shared" si="422"/>
        <v/>
      </c>
      <c r="AD141" s="545" t="str">
        <f>IF('Marks Entry'!T141="","",'Marks Entry'!T141)</f>
        <v/>
      </c>
      <c r="AE141" s="547" t="str">
        <f t="shared" si="423"/>
        <v/>
      </c>
      <c r="AF141" s="153">
        <f t="shared" si="424"/>
        <v>0</v>
      </c>
      <c r="AG141" s="153">
        <f t="shared" si="425"/>
        <v>0</v>
      </c>
      <c r="AH141" s="154" t="str">
        <f t="shared" si="426"/>
        <v/>
      </c>
      <c r="AI141" s="153" t="str">
        <f t="shared" si="427"/>
        <v/>
      </c>
      <c r="AJ141" s="153" t="str">
        <f t="shared" si="428"/>
        <v/>
      </c>
      <c r="AK141" s="153" t="str">
        <f t="shared" si="429"/>
        <v/>
      </c>
      <c r="AL141" s="573" t="str">
        <f>IF('Marks Entry'!U141="","",'Marks Entry'!U141)</f>
        <v/>
      </c>
      <c r="AM141" s="573" t="str">
        <f>IF('Marks Entry'!V141="","",'Marks Entry'!V141)</f>
        <v/>
      </c>
      <c r="AN141" s="573" t="str">
        <f>IF('Marks Entry'!W141="","",'Marks Entry'!W141)</f>
        <v/>
      </c>
      <c r="AO141" s="573" t="str">
        <f>IF('Marks Entry'!X141="","",'Marks Entry'!X141)</f>
        <v/>
      </c>
      <c r="AP141" s="572" t="str">
        <f t="shared" si="430"/>
        <v/>
      </c>
      <c r="AQ141" s="573" t="str">
        <f>IF('Marks Entry'!Y141="","",'Marks Entry'!Y141)</f>
        <v/>
      </c>
      <c r="AR141" s="573" t="str">
        <f>IF('Marks Entry'!Z141="","",'Marks Entry'!Z141)</f>
        <v/>
      </c>
      <c r="AS141" s="572" t="str">
        <f t="shared" si="431"/>
        <v/>
      </c>
      <c r="AT141" s="572" t="str">
        <f t="shared" si="432"/>
        <v/>
      </c>
      <c r="AU141" s="573" t="str">
        <f>IF('Marks Entry'!AA141="","",'Marks Entry'!AA141)</f>
        <v/>
      </c>
      <c r="AV141" s="573" t="str">
        <f>IF('Marks Entry'!AB141="","",'Marks Entry'!AB141)</f>
        <v/>
      </c>
      <c r="AW141" s="572" t="str">
        <f t="shared" si="433"/>
        <v/>
      </c>
      <c r="AX141" s="157" t="str">
        <f t="shared" si="434"/>
        <v/>
      </c>
      <c r="AY141" s="157" t="str">
        <f t="shared" si="435"/>
        <v/>
      </c>
      <c r="AZ141" s="192" t="str">
        <f t="shared" si="436"/>
        <v/>
      </c>
      <c r="BA141" s="153">
        <f t="shared" si="437"/>
        <v>0</v>
      </c>
      <c r="BB141" s="154">
        <f t="shared" si="438"/>
        <v>0</v>
      </c>
      <c r="BC141" s="154" t="str">
        <f t="shared" si="439"/>
        <v/>
      </c>
      <c r="BD141" s="154" t="str">
        <f t="shared" si="440"/>
        <v/>
      </c>
      <c r="BE141" s="154" t="str">
        <f t="shared" si="441"/>
        <v/>
      </c>
      <c r="BF141" s="153" t="str">
        <f t="shared" si="442"/>
        <v/>
      </c>
      <c r="BG141" s="154" t="str">
        <f t="shared" si="443"/>
        <v/>
      </c>
      <c r="BH141" s="153" t="str">
        <f t="shared" si="444"/>
        <v/>
      </c>
      <c r="BI141" s="580" t="str">
        <f>IF('Marks Entry'!AC141="","",'Marks Entry'!AC141)</f>
        <v/>
      </c>
      <c r="BJ141" s="580" t="str">
        <f>IF('Marks Entry'!AD141="","",'Marks Entry'!AD141)</f>
        <v/>
      </c>
      <c r="BK141" s="580" t="str">
        <f>IF('Marks Entry'!AE141="","",'Marks Entry'!AE141)</f>
        <v/>
      </c>
      <c r="BL141" s="580" t="str">
        <f>IF('Marks Entry'!AF141="","",'Marks Entry'!AF141)</f>
        <v/>
      </c>
      <c r="BM141" s="581" t="str">
        <f t="shared" si="445"/>
        <v/>
      </c>
      <c r="BN141" s="580" t="str">
        <f>IF('Marks Entry'!AG141="","",'Marks Entry'!AG141)</f>
        <v/>
      </c>
      <c r="BO141" s="580" t="str">
        <f>IF('Marks Entry'!AH141="","",'Marks Entry'!AH141)</f>
        <v/>
      </c>
      <c r="BP141" s="581" t="str">
        <f t="shared" si="446"/>
        <v/>
      </c>
      <c r="BQ141" s="581" t="str">
        <f t="shared" si="447"/>
        <v/>
      </c>
      <c r="BR141" s="580" t="str">
        <f>IF('Marks Entry'!AI141="","",'Marks Entry'!AI141)</f>
        <v/>
      </c>
      <c r="BS141" s="580" t="str">
        <f>IF('Marks Entry'!AJ141="","",'Marks Entry'!AJ141)</f>
        <v/>
      </c>
      <c r="BT141" s="581" t="str">
        <f t="shared" si="448"/>
        <v/>
      </c>
      <c r="BU141" s="157" t="str">
        <f t="shared" si="449"/>
        <v/>
      </c>
      <c r="BV141" s="157" t="str">
        <f t="shared" si="450"/>
        <v/>
      </c>
      <c r="BW141" s="192" t="str">
        <f t="shared" si="451"/>
        <v/>
      </c>
      <c r="BX141" s="153">
        <f t="shared" si="452"/>
        <v>0</v>
      </c>
      <c r="BY141" s="154">
        <f t="shared" si="453"/>
        <v>0</v>
      </c>
      <c r="BZ141" s="154" t="str">
        <f t="shared" si="454"/>
        <v/>
      </c>
      <c r="CA141" s="154" t="str">
        <f t="shared" si="455"/>
        <v/>
      </c>
      <c r="CB141" s="154" t="str">
        <f t="shared" si="456"/>
        <v/>
      </c>
      <c r="CC141" s="153" t="str">
        <f t="shared" si="457"/>
        <v/>
      </c>
      <c r="CD141" s="154" t="str">
        <f t="shared" si="458"/>
        <v/>
      </c>
      <c r="CE141" s="153" t="str">
        <f t="shared" si="459"/>
        <v/>
      </c>
      <c r="CF141" s="580" t="str">
        <f>IF('Marks Entry'!AK141="","",'Marks Entry'!AK141)</f>
        <v/>
      </c>
      <c r="CG141" s="580" t="str">
        <f>IF('Marks Entry'!AL141="","",'Marks Entry'!AL141)</f>
        <v/>
      </c>
      <c r="CH141" s="580" t="str">
        <f>IF('Marks Entry'!AM141="","",'Marks Entry'!AM141)</f>
        <v/>
      </c>
      <c r="CI141" s="580" t="str">
        <f>IF('Marks Entry'!AN141="","",'Marks Entry'!AN141)</f>
        <v/>
      </c>
      <c r="CJ141" s="581" t="str">
        <f t="shared" si="460"/>
        <v/>
      </c>
      <c r="CK141" s="580" t="str">
        <f>IF('Marks Entry'!AO141="","",'Marks Entry'!AO141)</f>
        <v/>
      </c>
      <c r="CL141" s="580" t="str">
        <f>IF('Marks Entry'!AP141="","",'Marks Entry'!AP141)</f>
        <v/>
      </c>
      <c r="CM141" s="581" t="str">
        <f t="shared" si="461"/>
        <v/>
      </c>
      <c r="CN141" s="581" t="str">
        <f t="shared" si="462"/>
        <v/>
      </c>
      <c r="CO141" s="580" t="str">
        <f>IF('Marks Entry'!AQ141="","",'Marks Entry'!AQ141)</f>
        <v/>
      </c>
      <c r="CP141" s="580" t="str">
        <f>IF('Marks Entry'!AR141="","",'Marks Entry'!AR141)</f>
        <v/>
      </c>
      <c r="CQ141" s="581" t="str">
        <f t="shared" si="463"/>
        <v/>
      </c>
      <c r="CR141" s="157" t="str">
        <f t="shared" si="464"/>
        <v/>
      </c>
      <c r="CS141" s="157" t="str">
        <f t="shared" si="465"/>
        <v/>
      </c>
      <c r="CT141" s="192" t="str">
        <f t="shared" si="466"/>
        <v/>
      </c>
      <c r="CU141" s="153">
        <f t="shared" si="467"/>
        <v>0</v>
      </c>
      <c r="CV141" s="154">
        <f t="shared" si="468"/>
        <v>0</v>
      </c>
      <c r="CW141" s="154" t="str">
        <f t="shared" si="469"/>
        <v/>
      </c>
      <c r="CX141" s="154" t="str">
        <f t="shared" si="470"/>
        <v/>
      </c>
      <c r="CY141" s="154" t="str">
        <f t="shared" si="471"/>
        <v/>
      </c>
      <c r="CZ141" s="153" t="str">
        <f t="shared" si="472"/>
        <v/>
      </c>
      <c r="DA141" s="154" t="str">
        <f t="shared" si="473"/>
        <v/>
      </c>
      <c r="DB141" s="153" t="str">
        <f t="shared" si="474"/>
        <v/>
      </c>
      <c r="DC141" s="154">
        <f t="shared" si="475"/>
        <v>0</v>
      </c>
      <c r="DD141" s="826" t="str">
        <f>IF('Marks Entry'!AS141="","",IF(OR('Master Sheet'!$D$19="YES",'Marks Entry'!$BA$1=1),'Marks Entry'!AS141,""))</f>
        <v/>
      </c>
      <c r="DE141" s="826" t="str">
        <f>IF('Marks Entry'!AT141="","",IF(OR('Master Sheet'!$D$19="YES",'Marks Entry'!$BA$1=1),'Marks Entry'!AT141,""))</f>
        <v/>
      </c>
      <c r="DF141" s="826" t="str">
        <f>IF('Marks Entry'!AU141="","",IF(OR('Master Sheet'!$D$19="YES",'Marks Entry'!$BA$1=1),'Marks Entry'!AU141,""))</f>
        <v/>
      </c>
      <c r="DG141" s="826" t="str">
        <f>IF('Marks Entry'!AV141="","",IF(OR('Master Sheet'!$D$19="YES",'Marks Entry'!$BA$1=1),'Marks Entry'!AV141,""))</f>
        <v/>
      </c>
      <c r="DH141" s="827" t="str">
        <f t="shared" si="476"/>
        <v/>
      </c>
      <c r="DI141" s="826" t="str">
        <f>IF('Marks Entry'!AW141="","",IF(OR('Master Sheet'!$D$19="YES",'Marks Entry'!$BA$1=1),'Marks Entry'!AW141,""))</f>
        <v/>
      </c>
      <c r="DJ141" s="826" t="str">
        <f>IF('Marks Entry'!AX141="","",IF(OR('Master Sheet'!$D$19="YES",'Marks Entry'!$BA$1=1),'Marks Entry'!AX141,""))</f>
        <v/>
      </c>
      <c r="DK141" s="827" t="str">
        <f t="shared" si="477"/>
        <v/>
      </c>
      <c r="DL141" s="827" t="str">
        <f t="shared" si="478"/>
        <v/>
      </c>
      <c r="DM141" s="826" t="str">
        <f>IF('Marks Entry'!AY141="","",IF(OR('Master Sheet'!$D$19="YES",'Marks Entry'!$BA$1=1),'Marks Entry'!AY141,""))</f>
        <v/>
      </c>
      <c r="DN141" s="826" t="str">
        <f>IF('Marks Entry'!AZ141="","",IF(OR('Master Sheet'!$D$19="YES",'Marks Entry'!$BA$1=1),'Marks Entry'!AZ141,""))</f>
        <v/>
      </c>
      <c r="DO141" s="826" t="str">
        <f>IF('Marks Entry'!BA141="","",IF(OR('Master Sheet'!$D$19="YES",'Marks Entry'!$BA$1=1),'Marks Entry'!BA141,""))</f>
        <v/>
      </c>
      <c r="DP141" s="827" t="str">
        <f t="shared" si="479"/>
        <v/>
      </c>
      <c r="DQ141" s="157" t="str">
        <f t="shared" si="480"/>
        <v/>
      </c>
      <c r="DR141" s="157" t="str">
        <f t="shared" si="481"/>
        <v/>
      </c>
      <c r="DS141" s="157" t="str">
        <f t="shared" si="482"/>
        <v/>
      </c>
      <c r="DT141" s="192" t="str">
        <f t="shared" si="483"/>
        <v/>
      </c>
      <c r="DU141" s="153">
        <f t="shared" si="484"/>
        <v>0</v>
      </c>
      <c r="DV141" s="154" t="e">
        <f t="shared" si="485"/>
        <v>#VALUE!</v>
      </c>
      <c r="DW141" s="154" t="str">
        <f t="shared" si="486"/>
        <v/>
      </c>
      <c r="DX141" s="154" t="str">
        <f>IF(OR($B141="NSO",$B141=0,DS141=""),"",IF(AND(DJ141="",DO141=""),"",IF('Master Sheet'!$D$19="YES",$DO$6-COUNTIF(DO141,"ML")*DO$6,DS$6-(COUNTIF(DJ141,"ML")*DJ$6)-(COUNTIF(DO141,"ML")*DO$6))))</f>
        <v/>
      </c>
      <c r="DY141" s="154" t="str">
        <f>IF(OR($B141="NSO",$B141=0),"",IF(AND(DH141="",DI141="",DM141=""),"",IF(AND('Master Sheet'!$D$19="YES",'Marks Entry'!$BA$1=1),100,IF(AND(DJ141="",DO141=""),SUM(($DQ$7+$DR$7)-(DU141+DV141)),SUM(($DQ$6+$DR$6)-(DU141+DV141))))))</f>
        <v/>
      </c>
      <c r="DZ141" s="153" t="str">
        <f t="shared" si="487"/>
        <v/>
      </c>
      <c r="EA141" s="154" t="str">
        <f t="shared" si="488"/>
        <v/>
      </c>
      <c r="EB141" s="153" t="str">
        <f t="shared" si="489"/>
        <v/>
      </c>
      <c r="EC141" s="584" t="str">
        <f>IF('Marks Entry'!BB141="","",'Marks Entry'!BB141)</f>
        <v/>
      </c>
      <c r="ED141" s="584" t="str">
        <f>IF('Marks Entry'!BC141="","",'Marks Entry'!BC141)</f>
        <v/>
      </c>
      <c r="EE141" s="584" t="str">
        <f>IF('Marks Entry'!BD141="","",'Marks Entry'!BD141)</f>
        <v/>
      </c>
      <c r="EF141" s="590" t="str">
        <f t="shared" si="490"/>
        <v/>
      </c>
      <c r="EG141" s="595">
        <f t="shared" si="491"/>
        <v>0</v>
      </c>
      <c r="EH141" s="595">
        <f t="shared" si="492"/>
        <v>0</v>
      </c>
      <c r="EI141" s="193" t="str">
        <f t="shared" si="493"/>
        <v/>
      </c>
      <c r="EJ141" s="595" t="str">
        <f t="shared" si="494"/>
        <v/>
      </c>
      <c r="EK141" s="595" t="str">
        <f t="shared" si="495"/>
        <v/>
      </c>
      <c r="EL141" s="194" t="str">
        <f t="shared" si="496"/>
        <v/>
      </c>
      <c r="EM141" s="194" t="str">
        <f t="shared" si="497"/>
        <v/>
      </c>
      <c r="EN141" s="194" t="str">
        <f t="shared" si="498"/>
        <v/>
      </c>
      <c r="EO141" s="194" t="str">
        <f t="shared" si="499"/>
        <v/>
      </c>
      <c r="EP141" s="194" t="str">
        <f t="shared" si="500"/>
        <v/>
      </c>
      <c r="EQ141" s="194" t="str">
        <f t="shared" si="501"/>
        <v/>
      </c>
      <c r="ER141" s="195">
        <f t="shared" si="502"/>
        <v>0</v>
      </c>
      <c r="ES141" s="195">
        <f t="shared" si="503"/>
        <v>0</v>
      </c>
      <c r="ET141" s="195">
        <f t="shared" si="504"/>
        <v>0</v>
      </c>
      <c r="EU141" s="195">
        <f t="shared" si="505"/>
        <v>0</v>
      </c>
      <c r="EV141" s="195">
        <f t="shared" si="506"/>
        <v>0</v>
      </c>
      <c r="EW141" s="195" t="str">
        <f t="shared" si="507"/>
        <v/>
      </c>
      <c r="EX141" s="196" t="str">
        <f t="shared" si="508"/>
        <v/>
      </c>
      <c r="EY141" s="197" t="str">
        <f>IF('Marks Entry'!BE141="","",'Marks Entry'!BE141)</f>
        <v/>
      </c>
      <c r="EZ141" s="197" t="str">
        <f>IF('Marks Entry'!BF141="","",'Marks Entry'!BF141)</f>
        <v/>
      </c>
      <c r="FA141" s="197" t="str">
        <f>IF('Marks Entry'!BG141="","",'Marks Entry'!BG141)</f>
        <v/>
      </c>
      <c r="FB141" s="596" t="str">
        <f t="shared" si="509"/>
        <v/>
      </c>
      <c r="FC141" s="197" t="str">
        <f>IF('Marks Entry'!BH141="","",'Marks Entry'!BH141)</f>
        <v/>
      </c>
      <c r="FD141" s="197" t="str">
        <f>IF('Marks Entry'!BI141="","",'Marks Entry'!BI141)</f>
        <v/>
      </c>
      <c r="FE141" s="198" t="str">
        <f t="shared" si="510"/>
        <v/>
      </c>
      <c r="FF141" s="199" t="str">
        <f t="shared" si="511"/>
        <v/>
      </c>
      <c r="FG141" s="200" t="str">
        <f>IF(AND(E141=""),"",IF('Student DATA Entry'!L137="","",'Student DATA Entry'!L137))</f>
        <v/>
      </c>
      <c r="FH141" s="201" t="str">
        <f>IF(AND(E141=""),"",IF('Student DATA Entry'!M137="","",'Student DATA Entry'!M137))</f>
        <v/>
      </c>
      <c r="FI141" s="202" t="str">
        <f t="shared" si="512"/>
        <v/>
      </c>
      <c r="FJ141" s="189" t="str">
        <f t="shared" si="513"/>
        <v/>
      </c>
      <c r="FK141" s="189" t="str">
        <f t="shared" si="514"/>
        <v/>
      </c>
      <c r="FL141" s="203" t="str">
        <f t="shared" si="383"/>
        <v/>
      </c>
      <c r="FM141" s="189" t="str">
        <f t="shared" si="515"/>
        <v/>
      </c>
      <c r="FN141" s="204" t="str">
        <f t="shared" si="516"/>
        <v/>
      </c>
      <c r="FO141" s="203" t="str">
        <f t="shared" si="384"/>
        <v/>
      </c>
      <c r="FP141" s="205" t="str">
        <f t="shared" si="517"/>
        <v/>
      </c>
      <c r="FQ141" s="189" t="str">
        <f t="shared" si="385"/>
        <v/>
      </c>
      <c r="FR141" s="189" t="str">
        <f t="shared" si="386"/>
        <v/>
      </c>
      <c r="FS141" s="189" t="str">
        <f t="shared" si="387"/>
        <v/>
      </c>
      <c r="FT141" s="189" t="str">
        <f t="shared" si="388"/>
        <v/>
      </c>
      <c r="FU141" s="189" t="str">
        <f t="shared" si="518"/>
        <v/>
      </c>
      <c r="FV141" s="206" t="str">
        <f t="shared" si="389"/>
        <v/>
      </c>
      <c r="FW141" s="205" t="str">
        <f t="shared" si="519"/>
        <v/>
      </c>
      <c r="FX141" s="189" t="str">
        <f t="shared" si="390"/>
        <v/>
      </c>
      <c r="FY141" s="189" t="str">
        <f t="shared" si="391"/>
        <v/>
      </c>
      <c r="FZ141" s="189" t="str">
        <f t="shared" si="392"/>
        <v/>
      </c>
      <c r="GA141" s="189" t="str">
        <f t="shared" si="393"/>
        <v/>
      </c>
      <c r="GB141" s="189" t="str">
        <f t="shared" si="520"/>
        <v/>
      </c>
      <c r="GC141" s="206" t="str">
        <f t="shared" si="394"/>
        <v/>
      </c>
      <c r="GD141" s="205" t="str">
        <f t="shared" si="521"/>
        <v/>
      </c>
      <c r="GE141" s="189" t="str">
        <f t="shared" si="395"/>
        <v/>
      </c>
      <c r="GF141" s="189" t="str">
        <f t="shared" si="396"/>
        <v/>
      </c>
      <c r="GG141" s="189" t="str">
        <f t="shared" si="397"/>
        <v/>
      </c>
      <c r="GH141" s="189" t="str">
        <f t="shared" si="398"/>
        <v/>
      </c>
      <c r="GI141" s="189" t="str">
        <f t="shared" si="522"/>
        <v/>
      </c>
      <c r="GJ141" s="206" t="str">
        <f t="shared" si="399"/>
        <v/>
      </c>
      <c r="GK141" s="205" t="str">
        <f t="shared" si="523"/>
        <v/>
      </c>
      <c r="GL141" s="189" t="str">
        <f t="shared" si="400"/>
        <v/>
      </c>
      <c r="GM141" s="189" t="str">
        <f t="shared" si="401"/>
        <v/>
      </c>
      <c r="GN141" s="189" t="str">
        <f t="shared" si="402"/>
        <v/>
      </c>
      <c r="GO141" s="189" t="str">
        <f t="shared" si="403"/>
        <v/>
      </c>
      <c r="GP141" s="189" t="str">
        <f t="shared" si="524"/>
        <v/>
      </c>
      <c r="GQ141" s="206" t="str">
        <f t="shared" si="404"/>
        <v/>
      </c>
      <c r="GR141" s="189" t="str">
        <f t="shared" si="525"/>
        <v/>
      </c>
      <c r="GS141" s="189" t="str">
        <f t="shared" si="526"/>
        <v/>
      </c>
      <c r="GT141" s="207" t="str">
        <f t="shared" si="527"/>
        <v xml:space="preserve">    </v>
      </c>
      <c r="GU141" s="207" t="str">
        <f t="shared" si="528"/>
        <v xml:space="preserve">    </v>
      </c>
      <c r="GV141" s="207" t="str">
        <f t="shared" si="529"/>
        <v xml:space="preserve">    </v>
      </c>
      <c r="GW141" s="207" t="str">
        <f t="shared" si="530"/>
        <v xml:space="preserve">       </v>
      </c>
      <c r="GX141" s="598" t="str">
        <f t="shared" si="531"/>
        <v xml:space="preserve">     </v>
      </c>
      <c r="GY141" s="208" t="str">
        <f t="shared" si="405"/>
        <v/>
      </c>
      <c r="GZ141" s="606" t="str">
        <f>IF(AND(Q141="",AE141="",AZ141="",BW141="",CT141=""),"",IF(AND('Master Sheet'!$D$19="YES",'Marks Entry'!$BA$1=1),SUM(Q141,AE141,AZ141,BW141,DT141),SUM(Q141,AE141,AZ141,BW141,CT141)))</f>
        <v/>
      </c>
      <c r="HA141" s="209" t="str">
        <f>IF(GZ141="","",IF(AND('Master Sheet'!$D$19="YES",'Marks Entry'!$BA$1=1),GZ141/((900)-DC141)*100,GZ141/((1000)-DC141)*100))</f>
        <v/>
      </c>
      <c r="HB141" s="611" t="str">
        <f t="shared" si="532"/>
        <v/>
      </c>
      <c r="HC141" s="609" t="str">
        <f t="shared" si="533"/>
        <v/>
      </c>
      <c r="HD141" s="610" t="str">
        <f t="shared" si="534"/>
        <v/>
      </c>
      <c r="HE141" s="210" t="str">
        <f>IFERROR(IF(OR(GY141="SUPPLEMENTARY",GY141="RE-EXAM"),'Supp. Result Entry'!AS140,""),"")</f>
        <v/>
      </c>
      <c r="HF141" s="613" t="str">
        <f t="shared" si="535"/>
        <v/>
      </c>
      <c r="HG141" s="598" t="str">
        <f t="shared" si="536"/>
        <v/>
      </c>
      <c r="HH141" s="598" t="str">
        <f>IF(AND(HE141="",HF141="",HG141=""),"",IF(OR(GY141="SUPPLEMENTARY",GY141="RE-EXAM"),'Supp. Result Entry'!AS140,GY141))</f>
        <v/>
      </c>
      <c r="HI141" s="180"/>
      <c r="HY141" s="212" t="str">
        <f>IF('Supp. Result Entry'!U140="","",'Supp. Result Entry'!$U$6)</f>
        <v/>
      </c>
      <c r="HZ141" s="213" t="str">
        <f>IF('Supp. Result Entry'!X140="","",'Supp. Result Entry'!$X$6)</f>
        <v/>
      </c>
      <c r="IA141" s="213" t="str">
        <f>IF('Supp. Result Entry'!AA140="","",'Supp. Result Entry'!$AA$6)</f>
        <v/>
      </c>
      <c r="IB141" s="213" t="str">
        <f>IF('Supp. Result Entry'!AD140="","",'Supp. Result Entry'!$AD$6)</f>
        <v/>
      </c>
      <c r="IC141" s="213" t="str">
        <f>IF('Supp. Result Entry'!AG140="","",'Supp. Result Entry'!$AG$6)</f>
        <v/>
      </c>
      <c r="ID141" s="213" t="str">
        <f>IF('Supp. Result Entry'!AJ140="","",'Supp. Result Entry'!$AJ$6)</f>
        <v/>
      </c>
      <c r="IE141" s="213" t="str">
        <f>IF('Supp. Result Entry'!V140="","",'Supp. Result Entry'!V140)</f>
        <v/>
      </c>
      <c r="IF141" s="213" t="str">
        <f>IF('Supp. Result Entry'!Y140="","",'Supp. Result Entry'!Y140)</f>
        <v/>
      </c>
      <c r="IG141" s="213" t="str">
        <f>IF('Supp. Result Entry'!AB140="","",'Supp. Result Entry'!AB140)</f>
        <v/>
      </c>
      <c r="IH141" s="213" t="str">
        <f>IF('Supp. Result Entry'!AE140="","",'Supp. Result Entry'!AE140)</f>
        <v/>
      </c>
      <c r="II141" s="213" t="str">
        <f>IF('Supp. Result Entry'!AH140="","",'Supp. Result Entry'!AH140)</f>
        <v/>
      </c>
      <c r="IJ141" s="213" t="str">
        <f>IF('Supp. Result Entry'!AK140="","",'Supp. Result Entry'!AK140)</f>
        <v/>
      </c>
      <c r="IK141" s="213" t="str">
        <f>IF('Supp. Result Entry'!W140="","",'Supp. Result Entry'!W140)</f>
        <v/>
      </c>
      <c r="IL141" s="213" t="str">
        <f>IF('Supp. Result Entry'!Z140="","",'Supp. Result Entry'!Z140)</f>
        <v/>
      </c>
      <c r="IM141" s="213" t="str">
        <f>IF('Supp. Result Entry'!AC140="","",'Supp. Result Entry'!AC140)</f>
        <v/>
      </c>
      <c r="IN141" s="213" t="str">
        <f>IF('Supp. Result Entry'!AF140="","",'Supp. Result Entry'!AF140)</f>
        <v/>
      </c>
      <c r="IO141" s="213" t="str">
        <f>IF('Supp. Result Entry'!AI140="","",'Supp. Result Entry'!AI140)</f>
        <v/>
      </c>
      <c r="IP141" s="213" t="str">
        <f>IF('Supp. Result Entry'!AL140="","",'Supp. Result Entry'!AL140)</f>
        <v/>
      </c>
      <c r="IQ141" s="213">
        <f>COUNTIF('Supp. Result Entry'!K140:Q140,"S")</f>
        <v>0</v>
      </c>
      <c r="IR141" s="213">
        <f t="shared" si="537"/>
        <v>0</v>
      </c>
      <c r="IS141" s="213">
        <f t="shared" si="538"/>
        <v>0</v>
      </c>
      <c r="IT141" s="213" t="str">
        <f t="shared" si="406"/>
        <v/>
      </c>
      <c r="IU141" s="213" t="str">
        <f t="shared" si="407"/>
        <v/>
      </c>
      <c r="IV141" s="213" t="str">
        <f t="shared" si="408"/>
        <v/>
      </c>
      <c r="IW141" s="213" t="str">
        <f t="shared" si="409"/>
        <v/>
      </c>
      <c r="IX141" s="213" t="str">
        <f t="shared" si="410"/>
        <v/>
      </c>
      <c r="IY141" s="213" t="str">
        <f t="shared" si="539"/>
        <v/>
      </c>
      <c r="IZ141" s="213" t="str">
        <f t="shared" si="540"/>
        <v/>
      </c>
      <c r="JA141" s="213" t="str">
        <f t="shared" si="411"/>
        <v/>
      </c>
      <c r="JB141" s="211" t="str">
        <f t="shared" si="541"/>
        <v/>
      </c>
    </row>
    <row r="142" spans="1:262" s="211" customFormat="1" ht="21" customHeight="1">
      <c r="A142" s="184">
        <v>135</v>
      </c>
      <c r="B142" s="185" t="str">
        <f>IF('Marks Entry'!B142="","",'Marks Entry'!B142)</f>
        <v/>
      </c>
      <c r="C142" s="186" t="str">
        <f>IF('Marks Entry'!D142="","",'Marks Entry'!D142)</f>
        <v/>
      </c>
      <c r="D142" s="187" t="str">
        <f>IF('Marks Entry'!E142="","",'Marks Entry'!E142)</f>
        <v/>
      </c>
      <c r="E142" s="188" t="str">
        <f>IF('Marks Entry'!F142="","",'Marks Entry'!F142)</f>
        <v/>
      </c>
      <c r="F142" s="188" t="str">
        <f>IF('Marks Entry'!G142="","",'Marks Entry'!G142)</f>
        <v/>
      </c>
      <c r="G142" s="188" t="str">
        <f>IF('Marks Entry'!H142="","",'Marks Entry'!H142)</f>
        <v/>
      </c>
      <c r="H142" s="189" t="str">
        <f>IF('Marks Entry'!I142="","",'Marks Entry'!I142)</f>
        <v/>
      </c>
      <c r="I142" s="190" t="str">
        <f>IF('Marks Entry'!J142="","",'Marks Entry'!J142)</f>
        <v/>
      </c>
      <c r="J142" s="545" t="str">
        <f>IF('Marks Entry'!K142="","",'Marks Entry'!K142)</f>
        <v/>
      </c>
      <c r="K142" s="545" t="str">
        <f>IF('Marks Entry'!L142="","",'Marks Entry'!L142)</f>
        <v/>
      </c>
      <c r="L142" s="545" t="str">
        <f>IF('Marks Entry'!M142="","",'Marks Entry'!M142)</f>
        <v/>
      </c>
      <c r="M142" s="546" t="str">
        <f t="shared" si="412"/>
        <v/>
      </c>
      <c r="N142" s="545" t="str">
        <f>IF('Marks Entry'!N142="","",'Marks Entry'!N142)</f>
        <v/>
      </c>
      <c r="O142" s="546" t="str">
        <f t="shared" si="413"/>
        <v/>
      </c>
      <c r="P142" s="545" t="str">
        <f>IF('Marks Entry'!O142="","",'Marks Entry'!O142)</f>
        <v/>
      </c>
      <c r="Q142" s="547" t="str">
        <f t="shared" si="414"/>
        <v/>
      </c>
      <c r="R142" s="153">
        <f t="shared" si="415"/>
        <v>0</v>
      </c>
      <c r="S142" s="153">
        <f t="shared" si="416"/>
        <v>0</v>
      </c>
      <c r="T142" s="154" t="str">
        <f t="shared" si="417"/>
        <v/>
      </c>
      <c r="U142" s="153" t="str">
        <f t="shared" si="418"/>
        <v/>
      </c>
      <c r="V142" s="153" t="str">
        <f t="shared" si="419"/>
        <v/>
      </c>
      <c r="W142" s="153" t="str">
        <f t="shared" si="420"/>
        <v/>
      </c>
      <c r="X142" s="545" t="str">
        <f>IF('Marks Entry'!P142="","",'Marks Entry'!P142)</f>
        <v/>
      </c>
      <c r="Y142" s="545" t="str">
        <f>IF('Marks Entry'!Q142="","",'Marks Entry'!Q142)</f>
        <v/>
      </c>
      <c r="Z142" s="545" t="str">
        <f>IF('Marks Entry'!R142="","",'Marks Entry'!R142)</f>
        <v/>
      </c>
      <c r="AA142" s="546" t="str">
        <f t="shared" si="421"/>
        <v/>
      </c>
      <c r="AB142" s="545" t="str">
        <f>IF('Marks Entry'!S142="","",'Marks Entry'!S142)</f>
        <v/>
      </c>
      <c r="AC142" s="546" t="str">
        <f t="shared" si="422"/>
        <v/>
      </c>
      <c r="AD142" s="545" t="str">
        <f>IF('Marks Entry'!T142="","",'Marks Entry'!T142)</f>
        <v/>
      </c>
      <c r="AE142" s="547" t="str">
        <f t="shared" si="423"/>
        <v/>
      </c>
      <c r="AF142" s="153">
        <f t="shared" si="424"/>
        <v>0</v>
      </c>
      <c r="AG142" s="153">
        <f t="shared" si="425"/>
        <v>0</v>
      </c>
      <c r="AH142" s="154" t="str">
        <f t="shared" si="426"/>
        <v/>
      </c>
      <c r="AI142" s="153" t="str">
        <f t="shared" si="427"/>
        <v/>
      </c>
      <c r="AJ142" s="153" t="str">
        <f t="shared" si="428"/>
        <v/>
      </c>
      <c r="AK142" s="153" t="str">
        <f t="shared" si="429"/>
        <v/>
      </c>
      <c r="AL142" s="573" t="str">
        <f>IF('Marks Entry'!U142="","",'Marks Entry'!U142)</f>
        <v/>
      </c>
      <c r="AM142" s="573" t="str">
        <f>IF('Marks Entry'!V142="","",'Marks Entry'!V142)</f>
        <v/>
      </c>
      <c r="AN142" s="573" t="str">
        <f>IF('Marks Entry'!W142="","",'Marks Entry'!W142)</f>
        <v/>
      </c>
      <c r="AO142" s="573" t="str">
        <f>IF('Marks Entry'!X142="","",'Marks Entry'!X142)</f>
        <v/>
      </c>
      <c r="AP142" s="572" t="str">
        <f t="shared" si="430"/>
        <v/>
      </c>
      <c r="AQ142" s="573" t="str">
        <f>IF('Marks Entry'!Y142="","",'Marks Entry'!Y142)</f>
        <v/>
      </c>
      <c r="AR142" s="573" t="str">
        <f>IF('Marks Entry'!Z142="","",'Marks Entry'!Z142)</f>
        <v/>
      </c>
      <c r="AS142" s="572" t="str">
        <f t="shared" si="431"/>
        <v/>
      </c>
      <c r="AT142" s="572" t="str">
        <f t="shared" si="432"/>
        <v/>
      </c>
      <c r="AU142" s="573" t="str">
        <f>IF('Marks Entry'!AA142="","",'Marks Entry'!AA142)</f>
        <v/>
      </c>
      <c r="AV142" s="573" t="str">
        <f>IF('Marks Entry'!AB142="","",'Marks Entry'!AB142)</f>
        <v/>
      </c>
      <c r="AW142" s="572" t="str">
        <f t="shared" si="433"/>
        <v/>
      </c>
      <c r="AX142" s="157" t="str">
        <f t="shared" si="434"/>
        <v/>
      </c>
      <c r="AY142" s="157" t="str">
        <f t="shared" si="435"/>
        <v/>
      </c>
      <c r="AZ142" s="192" t="str">
        <f t="shared" si="436"/>
        <v/>
      </c>
      <c r="BA142" s="153">
        <f t="shared" si="437"/>
        <v>0</v>
      </c>
      <c r="BB142" s="154">
        <f t="shared" si="438"/>
        <v>0</v>
      </c>
      <c r="BC142" s="154" t="str">
        <f t="shared" si="439"/>
        <v/>
      </c>
      <c r="BD142" s="154" t="str">
        <f t="shared" si="440"/>
        <v/>
      </c>
      <c r="BE142" s="154" t="str">
        <f t="shared" si="441"/>
        <v/>
      </c>
      <c r="BF142" s="153" t="str">
        <f t="shared" si="442"/>
        <v/>
      </c>
      <c r="BG142" s="154" t="str">
        <f t="shared" si="443"/>
        <v/>
      </c>
      <c r="BH142" s="153" t="str">
        <f t="shared" si="444"/>
        <v/>
      </c>
      <c r="BI142" s="580" t="str">
        <f>IF('Marks Entry'!AC142="","",'Marks Entry'!AC142)</f>
        <v/>
      </c>
      <c r="BJ142" s="580" t="str">
        <f>IF('Marks Entry'!AD142="","",'Marks Entry'!AD142)</f>
        <v/>
      </c>
      <c r="BK142" s="580" t="str">
        <f>IF('Marks Entry'!AE142="","",'Marks Entry'!AE142)</f>
        <v/>
      </c>
      <c r="BL142" s="580" t="str">
        <f>IF('Marks Entry'!AF142="","",'Marks Entry'!AF142)</f>
        <v/>
      </c>
      <c r="BM142" s="581" t="str">
        <f t="shared" si="445"/>
        <v/>
      </c>
      <c r="BN142" s="580" t="str">
        <f>IF('Marks Entry'!AG142="","",'Marks Entry'!AG142)</f>
        <v/>
      </c>
      <c r="BO142" s="580" t="str">
        <f>IF('Marks Entry'!AH142="","",'Marks Entry'!AH142)</f>
        <v/>
      </c>
      <c r="BP142" s="581" t="str">
        <f t="shared" si="446"/>
        <v/>
      </c>
      <c r="BQ142" s="581" t="str">
        <f t="shared" si="447"/>
        <v/>
      </c>
      <c r="BR142" s="580" t="str">
        <f>IF('Marks Entry'!AI142="","",'Marks Entry'!AI142)</f>
        <v/>
      </c>
      <c r="BS142" s="580" t="str">
        <f>IF('Marks Entry'!AJ142="","",'Marks Entry'!AJ142)</f>
        <v/>
      </c>
      <c r="BT142" s="581" t="str">
        <f t="shared" si="448"/>
        <v/>
      </c>
      <c r="BU142" s="157" t="str">
        <f t="shared" si="449"/>
        <v/>
      </c>
      <c r="BV142" s="157" t="str">
        <f t="shared" si="450"/>
        <v/>
      </c>
      <c r="BW142" s="192" t="str">
        <f t="shared" si="451"/>
        <v/>
      </c>
      <c r="BX142" s="153">
        <f t="shared" si="452"/>
        <v>0</v>
      </c>
      <c r="BY142" s="154">
        <f t="shared" si="453"/>
        <v>0</v>
      </c>
      <c r="BZ142" s="154" t="str">
        <f t="shared" si="454"/>
        <v/>
      </c>
      <c r="CA142" s="154" t="str">
        <f t="shared" si="455"/>
        <v/>
      </c>
      <c r="CB142" s="154" t="str">
        <f t="shared" si="456"/>
        <v/>
      </c>
      <c r="CC142" s="153" t="str">
        <f t="shared" si="457"/>
        <v/>
      </c>
      <c r="CD142" s="154" t="str">
        <f t="shared" si="458"/>
        <v/>
      </c>
      <c r="CE142" s="153" t="str">
        <f t="shared" si="459"/>
        <v/>
      </c>
      <c r="CF142" s="580" t="str">
        <f>IF('Marks Entry'!AK142="","",'Marks Entry'!AK142)</f>
        <v/>
      </c>
      <c r="CG142" s="580" t="str">
        <f>IF('Marks Entry'!AL142="","",'Marks Entry'!AL142)</f>
        <v/>
      </c>
      <c r="CH142" s="580" t="str">
        <f>IF('Marks Entry'!AM142="","",'Marks Entry'!AM142)</f>
        <v/>
      </c>
      <c r="CI142" s="580" t="str">
        <f>IF('Marks Entry'!AN142="","",'Marks Entry'!AN142)</f>
        <v/>
      </c>
      <c r="CJ142" s="581" t="str">
        <f t="shared" si="460"/>
        <v/>
      </c>
      <c r="CK142" s="580" t="str">
        <f>IF('Marks Entry'!AO142="","",'Marks Entry'!AO142)</f>
        <v/>
      </c>
      <c r="CL142" s="580" t="str">
        <f>IF('Marks Entry'!AP142="","",'Marks Entry'!AP142)</f>
        <v/>
      </c>
      <c r="CM142" s="581" t="str">
        <f t="shared" si="461"/>
        <v/>
      </c>
      <c r="CN142" s="581" t="str">
        <f t="shared" si="462"/>
        <v/>
      </c>
      <c r="CO142" s="580" t="str">
        <f>IF('Marks Entry'!AQ142="","",'Marks Entry'!AQ142)</f>
        <v/>
      </c>
      <c r="CP142" s="580" t="str">
        <f>IF('Marks Entry'!AR142="","",'Marks Entry'!AR142)</f>
        <v/>
      </c>
      <c r="CQ142" s="581" t="str">
        <f t="shared" si="463"/>
        <v/>
      </c>
      <c r="CR142" s="157" t="str">
        <f t="shared" si="464"/>
        <v/>
      </c>
      <c r="CS142" s="157" t="str">
        <f t="shared" si="465"/>
        <v/>
      </c>
      <c r="CT142" s="192" t="str">
        <f t="shared" si="466"/>
        <v/>
      </c>
      <c r="CU142" s="153">
        <f t="shared" si="467"/>
        <v>0</v>
      </c>
      <c r="CV142" s="154">
        <f t="shared" si="468"/>
        <v>0</v>
      </c>
      <c r="CW142" s="154" t="str">
        <f t="shared" si="469"/>
        <v/>
      </c>
      <c r="CX142" s="154" t="str">
        <f t="shared" si="470"/>
        <v/>
      </c>
      <c r="CY142" s="154" t="str">
        <f t="shared" si="471"/>
        <v/>
      </c>
      <c r="CZ142" s="153" t="str">
        <f t="shared" si="472"/>
        <v/>
      </c>
      <c r="DA142" s="154" t="str">
        <f t="shared" si="473"/>
        <v/>
      </c>
      <c r="DB142" s="153" t="str">
        <f t="shared" si="474"/>
        <v/>
      </c>
      <c r="DC142" s="154">
        <f t="shared" si="475"/>
        <v>0</v>
      </c>
      <c r="DD142" s="826" t="str">
        <f>IF('Marks Entry'!AS142="","",IF(OR('Master Sheet'!$D$19="YES",'Marks Entry'!$BA$1=1),'Marks Entry'!AS142,""))</f>
        <v/>
      </c>
      <c r="DE142" s="826" t="str">
        <f>IF('Marks Entry'!AT142="","",IF(OR('Master Sheet'!$D$19="YES",'Marks Entry'!$BA$1=1),'Marks Entry'!AT142,""))</f>
        <v/>
      </c>
      <c r="DF142" s="826" t="str">
        <f>IF('Marks Entry'!AU142="","",IF(OR('Master Sheet'!$D$19="YES",'Marks Entry'!$BA$1=1),'Marks Entry'!AU142,""))</f>
        <v/>
      </c>
      <c r="DG142" s="826" t="str">
        <f>IF('Marks Entry'!AV142="","",IF(OR('Master Sheet'!$D$19="YES",'Marks Entry'!$BA$1=1),'Marks Entry'!AV142,""))</f>
        <v/>
      </c>
      <c r="DH142" s="827" t="str">
        <f t="shared" si="476"/>
        <v/>
      </c>
      <c r="DI142" s="826" t="str">
        <f>IF('Marks Entry'!AW142="","",IF(OR('Master Sheet'!$D$19="YES",'Marks Entry'!$BA$1=1),'Marks Entry'!AW142,""))</f>
        <v/>
      </c>
      <c r="DJ142" s="826" t="str">
        <f>IF('Marks Entry'!AX142="","",IF(OR('Master Sheet'!$D$19="YES",'Marks Entry'!$BA$1=1),'Marks Entry'!AX142,""))</f>
        <v/>
      </c>
      <c r="DK142" s="827" t="str">
        <f t="shared" si="477"/>
        <v/>
      </c>
      <c r="DL142" s="827" t="str">
        <f t="shared" si="478"/>
        <v/>
      </c>
      <c r="DM142" s="826" t="str">
        <f>IF('Marks Entry'!AY142="","",IF(OR('Master Sheet'!$D$19="YES",'Marks Entry'!$BA$1=1),'Marks Entry'!AY142,""))</f>
        <v/>
      </c>
      <c r="DN142" s="826" t="str">
        <f>IF('Marks Entry'!AZ142="","",IF(OR('Master Sheet'!$D$19="YES",'Marks Entry'!$BA$1=1),'Marks Entry'!AZ142,""))</f>
        <v/>
      </c>
      <c r="DO142" s="826" t="str">
        <f>IF('Marks Entry'!BA142="","",IF(OR('Master Sheet'!$D$19="YES",'Marks Entry'!$BA$1=1),'Marks Entry'!BA142,""))</f>
        <v/>
      </c>
      <c r="DP142" s="827" t="str">
        <f t="shared" si="479"/>
        <v/>
      </c>
      <c r="DQ142" s="157" t="str">
        <f t="shared" si="480"/>
        <v/>
      </c>
      <c r="DR142" s="157" t="str">
        <f t="shared" si="481"/>
        <v/>
      </c>
      <c r="DS142" s="157" t="str">
        <f t="shared" si="482"/>
        <v/>
      </c>
      <c r="DT142" s="192" t="str">
        <f t="shared" si="483"/>
        <v/>
      </c>
      <c r="DU142" s="153">
        <f t="shared" si="484"/>
        <v>0</v>
      </c>
      <c r="DV142" s="154" t="e">
        <f t="shared" si="485"/>
        <v>#VALUE!</v>
      </c>
      <c r="DW142" s="154" t="str">
        <f t="shared" si="486"/>
        <v/>
      </c>
      <c r="DX142" s="154" t="str">
        <f>IF(OR($B142="NSO",$B142=0,DS142=""),"",IF(AND(DJ142="",DO142=""),"",IF('Master Sheet'!$D$19="YES",$DO$6-COUNTIF(DO142,"ML")*DO$6,DS$6-(COUNTIF(DJ142,"ML")*DJ$6)-(COUNTIF(DO142,"ML")*DO$6))))</f>
        <v/>
      </c>
      <c r="DY142" s="154" t="str">
        <f>IF(OR($B142="NSO",$B142=0),"",IF(AND(DH142="",DI142="",DM142=""),"",IF(AND('Master Sheet'!$D$19="YES",'Marks Entry'!$BA$1=1),100,IF(AND(DJ142="",DO142=""),SUM(($DQ$7+$DR$7)-(DU142+DV142)),SUM(($DQ$6+$DR$6)-(DU142+DV142))))))</f>
        <v/>
      </c>
      <c r="DZ142" s="153" t="str">
        <f t="shared" si="487"/>
        <v/>
      </c>
      <c r="EA142" s="154" t="str">
        <f t="shared" si="488"/>
        <v/>
      </c>
      <c r="EB142" s="153" t="str">
        <f t="shared" si="489"/>
        <v/>
      </c>
      <c r="EC142" s="584" t="str">
        <f>IF('Marks Entry'!BB142="","",'Marks Entry'!BB142)</f>
        <v/>
      </c>
      <c r="ED142" s="584" t="str">
        <f>IF('Marks Entry'!BC142="","",'Marks Entry'!BC142)</f>
        <v/>
      </c>
      <c r="EE142" s="584" t="str">
        <f>IF('Marks Entry'!BD142="","",'Marks Entry'!BD142)</f>
        <v/>
      </c>
      <c r="EF142" s="590" t="str">
        <f t="shared" si="490"/>
        <v/>
      </c>
      <c r="EG142" s="595">
        <f t="shared" si="491"/>
        <v>0</v>
      </c>
      <c r="EH142" s="595">
        <f t="shared" si="492"/>
        <v>0</v>
      </c>
      <c r="EI142" s="193" t="str">
        <f t="shared" si="493"/>
        <v/>
      </c>
      <c r="EJ142" s="595" t="str">
        <f t="shared" si="494"/>
        <v/>
      </c>
      <c r="EK142" s="595" t="str">
        <f t="shared" si="495"/>
        <v/>
      </c>
      <c r="EL142" s="194" t="str">
        <f t="shared" si="496"/>
        <v/>
      </c>
      <c r="EM142" s="194" t="str">
        <f t="shared" si="497"/>
        <v/>
      </c>
      <c r="EN142" s="194" t="str">
        <f t="shared" si="498"/>
        <v/>
      </c>
      <c r="EO142" s="194" t="str">
        <f t="shared" si="499"/>
        <v/>
      </c>
      <c r="EP142" s="194" t="str">
        <f t="shared" si="500"/>
        <v/>
      </c>
      <c r="EQ142" s="194" t="str">
        <f t="shared" si="501"/>
        <v/>
      </c>
      <c r="ER142" s="195">
        <f t="shared" si="502"/>
        <v>0</v>
      </c>
      <c r="ES142" s="195">
        <f t="shared" si="503"/>
        <v>0</v>
      </c>
      <c r="ET142" s="195">
        <f t="shared" si="504"/>
        <v>0</v>
      </c>
      <c r="EU142" s="195">
        <f t="shared" si="505"/>
        <v>0</v>
      </c>
      <c r="EV142" s="195">
        <f t="shared" si="506"/>
        <v>0</v>
      </c>
      <c r="EW142" s="195" t="str">
        <f t="shared" si="507"/>
        <v/>
      </c>
      <c r="EX142" s="196" t="str">
        <f t="shared" si="508"/>
        <v/>
      </c>
      <c r="EY142" s="197" t="str">
        <f>IF('Marks Entry'!BE142="","",'Marks Entry'!BE142)</f>
        <v/>
      </c>
      <c r="EZ142" s="197" t="str">
        <f>IF('Marks Entry'!BF142="","",'Marks Entry'!BF142)</f>
        <v/>
      </c>
      <c r="FA142" s="197" t="str">
        <f>IF('Marks Entry'!BG142="","",'Marks Entry'!BG142)</f>
        <v/>
      </c>
      <c r="FB142" s="596" t="str">
        <f t="shared" si="509"/>
        <v/>
      </c>
      <c r="FC142" s="197" t="str">
        <f>IF('Marks Entry'!BH142="","",'Marks Entry'!BH142)</f>
        <v/>
      </c>
      <c r="FD142" s="197" t="str">
        <f>IF('Marks Entry'!BI142="","",'Marks Entry'!BI142)</f>
        <v/>
      </c>
      <c r="FE142" s="198" t="str">
        <f t="shared" si="510"/>
        <v/>
      </c>
      <c r="FF142" s="199" t="str">
        <f t="shared" si="511"/>
        <v/>
      </c>
      <c r="FG142" s="200" t="str">
        <f>IF(AND(E142=""),"",IF('Student DATA Entry'!L138="","",'Student DATA Entry'!L138))</f>
        <v/>
      </c>
      <c r="FH142" s="201" t="str">
        <f>IF(AND(E142=""),"",IF('Student DATA Entry'!M138="","",'Student DATA Entry'!M138))</f>
        <v/>
      </c>
      <c r="FI142" s="202" t="str">
        <f t="shared" si="512"/>
        <v/>
      </c>
      <c r="FJ142" s="189" t="str">
        <f t="shared" si="513"/>
        <v/>
      </c>
      <c r="FK142" s="189" t="str">
        <f t="shared" si="514"/>
        <v/>
      </c>
      <c r="FL142" s="203" t="str">
        <f t="shared" si="383"/>
        <v/>
      </c>
      <c r="FM142" s="189" t="str">
        <f t="shared" si="515"/>
        <v/>
      </c>
      <c r="FN142" s="204" t="str">
        <f t="shared" si="516"/>
        <v/>
      </c>
      <c r="FO142" s="203" t="str">
        <f t="shared" si="384"/>
        <v/>
      </c>
      <c r="FP142" s="205" t="str">
        <f t="shared" si="517"/>
        <v/>
      </c>
      <c r="FQ142" s="189" t="str">
        <f t="shared" si="385"/>
        <v/>
      </c>
      <c r="FR142" s="189" t="str">
        <f t="shared" si="386"/>
        <v/>
      </c>
      <c r="FS142" s="189" t="str">
        <f t="shared" si="387"/>
        <v/>
      </c>
      <c r="FT142" s="189" t="str">
        <f t="shared" si="388"/>
        <v/>
      </c>
      <c r="FU142" s="189" t="str">
        <f t="shared" si="518"/>
        <v/>
      </c>
      <c r="FV142" s="206" t="str">
        <f t="shared" si="389"/>
        <v/>
      </c>
      <c r="FW142" s="205" t="str">
        <f t="shared" si="519"/>
        <v/>
      </c>
      <c r="FX142" s="189" t="str">
        <f t="shared" si="390"/>
        <v/>
      </c>
      <c r="FY142" s="189" t="str">
        <f t="shared" si="391"/>
        <v/>
      </c>
      <c r="FZ142" s="189" t="str">
        <f t="shared" si="392"/>
        <v/>
      </c>
      <c r="GA142" s="189" t="str">
        <f t="shared" si="393"/>
        <v/>
      </c>
      <c r="GB142" s="189" t="str">
        <f t="shared" si="520"/>
        <v/>
      </c>
      <c r="GC142" s="206" t="str">
        <f t="shared" si="394"/>
        <v/>
      </c>
      <c r="GD142" s="205" t="str">
        <f t="shared" si="521"/>
        <v/>
      </c>
      <c r="GE142" s="189" t="str">
        <f t="shared" si="395"/>
        <v/>
      </c>
      <c r="GF142" s="189" t="str">
        <f t="shared" si="396"/>
        <v/>
      </c>
      <c r="GG142" s="189" t="str">
        <f t="shared" si="397"/>
        <v/>
      </c>
      <c r="GH142" s="189" t="str">
        <f t="shared" si="398"/>
        <v/>
      </c>
      <c r="GI142" s="189" t="str">
        <f t="shared" si="522"/>
        <v/>
      </c>
      <c r="GJ142" s="206" t="str">
        <f t="shared" si="399"/>
        <v/>
      </c>
      <c r="GK142" s="205" t="str">
        <f t="shared" si="523"/>
        <v/>
      </c>
      <c r="GL142" s="189" t="str">
        <f t="shared" si="400"/>
        <v/>
      </c>
      <c r="GM142" s="189" t="str">
        <f t="shared" si="401"/>
        <v/>
      </c>
      <c r="GN142" s="189" t="str">
        <f t="shared" si="402"/>
        <v/>
      </c>
      <c r="GO142" s="189" t="str">
        <f t="shared" si="403"/>
        <v/>
      </c>
      <c r="GP142" s="189" t="str">
        <f t="shared" si="524"/>
        <v/>
      </c>
      <c r="GQ142" s="206" t="str">
        <f t="shared" si="404"/>
        <v/>
      </c>
      <c r="GR142" s="189" t="str">
        <f t="shared" si="525"/>
        <v/>
      </c>
      <c r="GS142" s="189" t="str">
        <f t="shared" si="526"/>
        <v/>
      </c>
      <c r="GT142" s="207" t="str">
        <f t="shared" si="527"/>
        <v xml:space="preserve">    </v>
      </c>
      <c r="GU142" s="207" t="str">
        <f t="shared" si="528"/>
        <v xml:space="preserve">    </v>
      </c>
      <c r="GV142" s="207" t="str">
        <f t="shared" si="529"/>
        <v xml:space="preserve">    </v>
      </c>
      <c r="GW142" s="207" t="str">
        <f t="shared" si="530"/>
        <v xml:space="preserve">       </v>
      </c>
      <c r="GX142" s="598" t="str">
        <f t="shared" si="531"/>
        <v xml:space="preserve">     </v>
      </c>
      <c r="GY142" s="208" t="str">
        <f t="shared" si="405"/>
        <v/>
      </c>
      <c r="GZ142" s="606" t="str">
        <f>IF(AND(Q142="",AE142="",AZ142="",BW142="",CT142=""),"",IF(AND('Master Sheet'!$D$19="YES",'Marks Entry'!$BA$1=1),SUM(Q142,AE142,AZ142,BW142,DT142),SUM(Q142,AE142,AZ142,BW142,CT142)))</f>
        <v/>
      </c>
      <c r="HA142" s="209" t="str">
        <f>IF(GZ142="","",IF(AND('Master Sheet'!$D$19="YES",'Marks Entry'!$BA$1=1),GZ142/((900)-DC142)*100,GZ142/((1000)-DC142)*100))</f>
        <v/>
      </c>
      <c r="HB142" s="611" t="str">
        <f t="shared" si="532"/>
        <v/>
      </c>
      <c r="HC142" s="609" t="str">
        <f t="shared" si="533"/>
        <v/>
      </c>
      <c r="HD142" s="610" t="str">
        <f t="shared" si="534"/>
        <v/>
      </c>
      <c r="HE142" s="210" t="str">
        <f>IFERROR(IF(OR(GY142="SUPPLEMENTARY",GY142="RE-EXAM"),'Supp. Result Entry'!AS141,""),"")</f>
        <v/>
      </c>
      <c r="HF142" s="613" t="str">
        <f t="shared" si="535"/>
        <v/>
      </c>
      <c r="HG142" s="598" t="str">
        <f t="shared" si="536"/>
        <v/>
      </c>
      <c r="HH142" s="598" t="str">
        <f>IF(AND(HE142="",HF142="",HG142=""),"",IF(OR(GY142="SUPPLEMENTARY",GY142="RE-EXAM"),'Supp. Result Entry'!AS141,GY142))</f>
        <v/>
      </c>
      <c r="HI142" s="180"/>
      <c r="HY142" s="212" t="str">
        <f>IF('Supp. Result Entry'!U141="","",'Supp. Result Entry'!$U$6)</f>
        <v/>
      </c>
      <c r="HZ142" s="213" t="str">
        <f>IF('Supp. Result Entry'!X141="","",'Supp. Result Entry'!$X$6)</f>
        <v/>
      </c>
      <c r="IA142" s="213" t="str">
        <f>IF('Supp. Result Entry'!AA141="","",'Supp. Result Entry'!$AA$6)</f>
        <v/>
      </c>
      <c r="IB142" s="213" t="str">
        <f>IF('Supp. Result Entry'!AD141="","",'Supp. Result Entry'!$AD$6)</f>
        <v/>
      </c>
      <c r="IC142" s="213" t="str">
        <f>IF('Supp. Result Entry'!AG141="","",'Supp. Result Entry'!$AG$6)</f>
        <v/>
      </c>
      <c r="ID142" s="213" t="str">
        <f>IF('Supp. Result Entry'!AJ141="","",'Supp. Result Entry'!$AJ$6)</f>
        <v/>
      </c>
      <c r="IE142" s="213" t="str">
        <f>IF('Supp. Result Entry'!V141="","",'Supp. Result Entry'!V141)</f>
        <v/>
      </c>
      <c r="IF142" s="213" t="str">
        <f>IF('Supp. Result Entry'!Y141="","",'Supp. Result Entry'!Y141)</f>
        <v/>
      </c>
      <c r="IG142" s="213" t="str">
        <f>IF('Supp. Result Entry'!AB141="","",'Supp. Result Entry'!AB141)</f>
        <v/>
      </c>
      <c r="IH142" s="213" t="str">
        <f>IF('Supp. Result Entry'!AE141="","",'Supp. Result Entry'!AE141)</f>
        <v/>
      </c>
      <c r="II142" s="213" t="str">
        <f>IF('Supp. Result Entry'!AH141="","",'Supp. Result Entry'!AH141)</f>
        <v/>
      </c>
      <c r="IJ142" s="213" t="str">
        <f>IF('Supp. Result Entry'!AK141="","",'Supp. Result Entry'!AK141)</f>
        <v/>
      </c>
      <c r="IK142" s="213" t="str">
        <f>IF('Supp. Result Entry'!W141="","",'Supp. Result Entry'!W141)</f>
        <v/>
      </c>
      <c r="IL142" s="213" t="str">
        <f>IF('Supp. Result Entry'!Z141="","",'Supp. Result Entry'!Z141)</f>
        <v/>
      </c>
      <c r="IM142" s="213" t="str">
        <f>IF('Supp. Result Entry'!AC141="","",'Supp. Result Entry'!AC141)</f>
        <v/>
      </c>
      <c r="IN142" s="213" t="str">
        <f>IF('Supp. Result Entry'!AF141="","",'Supp. Result Entry'!AF141)</f>
        <v/>
      </c>
      <c r="IO142" s="213" t="str">
        <f>IF('Supp. Result Entry'!AI141="","",'Supp. Result Entry'!AI141)</f>
        <v/>
      </c>
      <c r="IP142" s="213" t="str">
        <f>IF('Supp. Result Entry'!AL141="","",'Supp. Result Entry'!AL141)</f>
        <v/>
      </c>
      <c r="IQ142" s="213">
        <f>COUNTIF('Supp. Result Entry'!K141:Q141,"S")</f>
        <v>0</v>
      </c>
      <c r="IR142" s="213">
        <f t="shared" si="537"/>
        <v>0</v>
      </c>
      <c r="IS142" s="213">
        <f t="shared" si="538"/>
        <v>0</v>
      </c>
      <c r="IT142" s="213" t="str">
        <f t="shared" si="406"/>
        <v/>
      </c>
      <c r="IU142" s="213" t="str">
        <f t="shared" si="407"/>
        <v/>
      </c>
      <c r="IV142" s="213" t="str">
        <f t="shared" si="408"/>
        <v/>
      </c>
      <c r="IW142" s="213" t="str">
        <f t="shared" si="409"/>
        <v/>
      </c>
      <c r="IX142" s="213" t="str">
        <f t="shared" si="410"/>
        <v/>
      </c>
      <c r="IY142" s="213" t="str">
        <f t="shared" si="539"/>
        <v/>
      </c>
      <c r="IZ142" s="213" t="str">
        <f t="shared" si="540"/>
        <v/>
      </c>
      <c r="JA142" s="213" t="str">
        <f t="shared" si="411"/>
        <v/>
      </c>
      <c r="JB142" s="211" t="str">
        <f t="shared" si="541"/>
        <v/>
      </c>
    </row>
    <row r="143" spans="1:262" s="211" customFormat="1" ht="21" customHeight="1">
      <c r="A143" s="184">
        <v>136</v>
      </c>
      <c r="B143" s="185" t="str">
        <f>IF('Marks Entry'!B143="","",'Marks Entry'!B143)</f>
        <v/>
      </c>
      <c r="C143" s="186" t="str">
        <f>IF('Marks Entry'!D143="","",'Marks Entry'!D143)</f>
        <v/>
      </c>
      <c r="D143" s="187" t="str">
        <f>IF('Marks Entry'!E143="","",'Marks Entry'!E143)</f>
        <v/>
      </c>
      <c r="E143" s="188" t="str">
        <f>IF('Marks Entry'!F143="","",'Marks Entry'!F143)</f>
        <v/>
      </c>
      <c r="F143" s="188" t="str">
        <f>IF('Marks Entry'!G143="","",'Marks Entry'!G143)</f>
        <v/>
      </c>
      <c r="G143" s="188" t="str">
        <f>IF('Marks Entry'!H143="","",'Marks Entry'!H143)</f>
        <v/>
      </c>
      <c r="H143" s="189" t="str">
        <f>IF('Marks Entry'!I143="","",'Marks Entry'!I143)</f>
        <v/>
      </c>
      <c r="I143" s="190" t="str">
        <f>IF('Marks Entry'!J143="","",'Marks Entry'!J143)</f>
        <v/>
      </c>
      <c r="J143" s="545" t="str">
        <f>IF('Marks Entry'!K143="","",'Marks Entry'!K143)</f>
        <v/>
      </c>
      <c r="K143" s="545" t="str">
        <f>IF('Marks Entry'!L143="","",'Marks Entry'!L143)</f>
        <v/>
      </c>
      <c r="L143" s="545" t="str">
        <f>IF('Marks Entry'!M143="","",'Marks Entry'!M143)</f>
        <v/>
      </c>
      <c r="M143" s="546" t="str">
        <f t="shared" si="412"/>
        <v/>
      </c>
      <c r="N143" s="545" t="str">
        <f>IF('Marks Entry'!N143="","",'Marks Entry'!N143)</f>
        <v/>
      </c>
      <c r="O143" s="546" t="str">
        <f t="shared" si="413"/>
        <v/>
      </c>
      <c r="P143" s="545" t="str">
        <f>IF('Marks Entry'!O143="","",'Marks Entry'!O143)</f>
        <v/>
      </c>
      <c r="Q143" s="547" t="str">
        <f t="shared" si="414"/>
        <v/>
      </c>
      <c r="R143" s="153">
        <f t="shared" si="415"/>
        <v>0</v>
      </c>
      <c r="S143" s="153">
        <f t="shared" si="416"/>
        <v>0</v>
      </c>
      <c r="T143" s="154" t="str">
        <f t="shared" si="417"/>
        <v/>
      </c>
      <c r="U143" s="153" t="str">
        <f t="shared" si="418"/>
        <v/>
      </c>
      <c r="V143" s="153" t="str">
        <f t="shared" si="419"/>
        <v/>
      </c>
      <c r="W143" s="153" t="str">
        <f t="shared" si="420"/>
        <v/>
      </c>
      <c r="X143" s="545" t="str">
        <f>IF('Marks Entry'!P143="","",'Marks Entry'!P143)</f>
        <v/>
      </c>
      <c r="Y143" s="545" t="str">
        <f>IF('Marks Entry'!Q143="","",'Marks Entry'!Q143)</f>
        <v/>
      </c>
      <c r="Z143" s="545" t="str">
        <f>IF('Marks Entry'!R143="","",'Marks Entry'!R143)</f>
        <v/>
      </c>
      <c r="AA143" s="546" t="str">
        <f t="shared" si="421"/>
        <v/>
      </c>
      <c r="AB143" s="545" t="str">
        <f>IF('Marks Entry'!S143="","",'Marks Entry'!S143)</f>
        <v/>
      </c>
      <c r="AC143" s="546" t="str">
        <f t="shared" si="422"/>
        <v/>
      </c>
      <c r="AD143" s="545" t="str">
        <f>IF('Marks Entry'!T143="","",'Marks Entry'!T143)</f>
        <v/>
      </c>
      <c r="AE143" s="547" t="str">
        <f t="shared" si="423"/>
        <v/>
      </c>
      <c r="AF143" s="153">
        <f t="shared" si="424"/>
        <v>0</v>
      </c>
      <c r="AG143" s="153">
        <f t="shared" si="425"/>
        <v>0</v>
      </c>
      <c r="AH143" s="154" t="str">
        <f t="shared" si="426"/>
        <v/>
      </c>
      <c r="AI143" s="153" t="str">
        <f t="shared" si="427"/>
        <v/>
      </c>
      <c r="AJ143" s="153" t="str">
        <f t="shared" si="428"/>
        <v/>
      </c>
      <c r="AK143" s="153" t="str">
        <f t="shared" si="429"/>
        <v/>
      </c>
      <c r="AL143" s="573" t="str">
        <f>IF('Marks Entry'!U143="","",'Marks Entry'!U143)</f>
        <v/>
      </c>
      <c r="AM143" s="573" t="str">
        <f>IF('Marks Entry'!V143="","",'Marks Entry'!V143)</f>
        <v/>
      </c>
      <c r="AN143" s="573" t="str">
        <f>IF('Marks Entry'!W143="","",'Marks Entry'!W143)</f>
        <v/>
      </c>
      <c r="AO143" s="573" t="str">
        <f>IF('Marks Entry'!X143="","",'Marks Entry'!X143)</f>
        <v/>
      </c>
      <c r="AP143" s="572" t="str">
        <f t="shared" si="430"/>
        <v/>
      </c>
      <c r="AQ143" s="573" t="str">
        <f>IF('Marks Entry'!Y143="","",'Marks Entry'!Y143)</f>
        <v/>
      </c>
      <c r="AR143" s="573" t="str">
        <f>IF('Marks Entry'!Z143="","",'Marks Entry'!Z143)</f>
        <v/>
      </c>
      <c r="AS143" s="572" t="str">
        <f t="shared" si="431"/>
        <v/>
      </c>
      <c r="AT143" s="572" t="str">
        <f t="shared" si="432"/>
        <v/>
      </c>
      <c r="AU143" s="573" t="str">
        <f>IF('Marks Entry'!AA143="","",'Marks Entry'!AA143)</f>
        <v/>
      </c>
      <c r="AV143" s="573" t="str">
        <f>IF('Marks Entry'!AB143="","",'Marks Entry'!AB143)</f>
        <v/>
      </c>
      <c r="AW143" s="572" t="str">
        <f t="shared" si="433"/>
        <v/>
      </c>
      <c r="AX143" s="157" t="str">
        <f t="shared" si="434"/>
        <v/>
      </c>
      <c r="AY143" s="157" t="str">
        <f t="shared" si="435"/>
        <v/>
      </c>
      <c r="AZ143" s="192" t="str">
        <f t="shared" si="436"/>
        <v/>
      </c>
      <c r="BA143" s="153">
        <f t="shared" si="437"/>
        <v>0</v>
      </c>
      <c r="BB143" s="154">
        <f t="shared" si="438"/>
        <v>0</v>
      </c>
      <c r="BC143" s="154" t="str">
        <f t="shared" si="439"/>
        <v/>
      </c>
      <c r="BD143" s="154" t="str">
        <f t="shared" si="440"/>
        <v/>
      </c>
      <c r="BE143" s="154" t="str">
        <f t="shared" si="441"/>
        <v/>
      </c>
      <c r="BF143" s="153" t="str">
        <f t="shared" si="442"/>
        <v/>
      </c>
      <c r="BG143" s="154" t="str">
        <f t="shared" si="443"/>
        <v/>
      </c>
      <c r="BH143" s="153" t="str">
        <f t="shared" si="444"/>
        <v/>
      </c>
      <c r="BI143" s="580" t="str">
        <f>IF('Marks Entry'!AC143="","",'Marks Entry'!AC143)</f>
        <v/>
      </c>
      <c r="BJ143" s="580" t="str">
        <f>IF('Marks Entry'!AD143="","",'Marks Entry'!AD143)</f>
        <v/>
      </c>
      <c r="BK143" s="580" t="str">
        <f>IF('Marks Entry'!AE143="","",'Marks Entry'!AE143)</f>
        <v/>
      </c>
      <c r="BL143" s="580" t="str">
        <f>IF('Marks Entry'!AF143="","",'Marks Entry'!AF143)</f>
        <v/>
      </c>
      <c r="BM143" s="581" t="str">
        <f t="shared" si="445"/>
        <v/>
      </c>
      <c r="BN143" s="580" t="str">
        <f>IF('Marks Entry'!AG143="","",'Marks Entry'!AG143)</f>
        <v/>
      </c>
      <c r="BO143" s="580" t="str">
        <f>IF('Marks Entry'!AH143="","",'Marks Entry'!AH143)</f>
        <v/>
      </c>
      <c r="BP143" s="581" t="str">
        <f t="shared" si="446"/>
        <v/>
      </c>
      <c r="BQ143" s="581" t="str">
        <f t="shared" si="447"/>
        <v/>
      </c>
      <c r="BR143" s="580" t="str">
        <f>IF('Marks Entry'!AI143="","",'Marks Entry'!AI143)</f>
        <v/>
      </c>
      <c r="BS143" s="580" t="str">
        <f>IF('Marks Entry'!AJ143="","",'Marks Entry'!AJ143)</f>
        <v/>
      </c>
      <c r="BT143" s="581" t="str">
        <f t="shared" si="448"/>
        <v/>
      </c>
      <c r="BU143" s="157" t="str">
        <f t="shared" si="449"/>
        <v/>
      </c>
      <c r="BV143" s="157" t="str">
        <f t="shared" si="450"/>
        <v/>
      </c>
      <c r="BW143" s="192" t="str">
        <f t="shared" si="451"/>
        <v/>
      </c>
      <c r="BX143" s="153">
        <f t="shared" si="452"/>
        <v>0</v>
      </c>
      <c r="BY143" s="154">
        <f t="shared" si="453"/>
        <v>0</v>
      </c>
      <c r="BZ143" s="154" t="str">
        <f t="shared" si="454"/>
        <v/>
      </c>
      <c r="CA143" s="154" t="str">
        <f t="shared" si="455"/>
        <v/>
      </c>
      <c r="CB143" s="154" t="str">
        <f t="shared" si="456"/>
        <v/>
      </c>
      <c r="CC143" s="153" t="str">
        <f t="shared" si="457"/>
        <v/>
      </c>
      <c r="CD143" s="154" t="str">
        <f t="shared" si="458"/>
        <v/>
      </c>
      <c r="CE143" s="153" t="str">
        <f t="shared" si="459"/>
        <v/>
      </c>
      <c r="CF143" s="580" t="str">
        <f>IF('Marks Entry'!AK143="","",'Marks Entry'!AK143)</f>
        <v/>
      </c>
      <c r="CG143" s="580" t="str">
        <f>IF('Marks Entry'!AL143="","",'Marks Entry'!AL143)</f>
        <v/>
      </c>
      <c r="CH143" s="580" t="str">
        <f>IF('Marks Entry'!AM143="","",'Marks Entry'!AM143)</f>
        <v/>
      </c>
      <c r="CI143" s="580" t="str">
        <f>IF('Marks Entry'!AN143="","",'Marks Entry'!AN143)</f>
        <v/>
      </c>
      <c r="CJ143" s="581" t="str">
        <f t="shared" si="460"/>
        <v/>
      </c>
      <c r="CK143" s="580" t="str">
        <f>IF('Marks Entry'!AO143="","",'Marks Entry'!AO143)</f>
        <v/>
      </c>
      <c r="CL143" s="580" t="str">
        <f>IF('Marks Entry'!AP143="","",'Marks Entry'!AP143)</f>
        <v/>
      </c>
      <c r="CM143" s="581" t="str">
        <f t="shared" si="461"/>
        <v/>
      </c>
      <c r="CN143" s="581" t="str">
        <f t="shared" si="462"/>
        <v/>
      </c>
      <c r="CO143" s="580" t="str">
        <f>IF('Marks Entry'!AQ143="","",'Marks Entry'!AQ143)</f>
        <v/>
      </c>
      <c r="CP143" s="580" t="str">
        <f>IF('Marks Entry'!AR143="","",'Marks Entry'!AR143)</f>
        <v/>
      </c>
      <c r="CQ143" s="581" t="str">
        <f t="shared" si="463"/>
        <v/>
      </c>
      <c r="CR143" s="157" t="str">
        <f t="shared" si="464"/>
        <v/>
      </c>
      <c r="CS143" s="157" t="str">
        <f t="shared" si="465"/>
        <v/>
      </c>
      <c r="CT143" s="192" t="str">
        <f t="shared" si="466"/>
        <v/>
      </c>
      <c r="CU143" s="153">
        <f t="shared" si="467"/>
        <v>0</v>
      </c>
      <c r="CV143" s="154">
        <f t="shared" si="468"/>
        <v>0</v>
      </c>
      <c r="CW143" s="154" t="str">
        <f t="shared" si="469"/>
        <v/>
      </c>
      <c r="CX143" s="154" t="str">
        <f t="shared" si="470"/>
        <v/>
      </c>
      <c r="CY143" s="154" t="str">
        <f t="shared" si="471"/>
        <v/>
      </c>
      <c r="CZ143" s="153" t="str">
        <f t="shared" si="472"/>
        <v/>
      </c>
      <c r="DA143" s="154" t="str">
        <f t="shared" si="473"/>
        <v/>
      </c>
      <c r="DB143" s="153" t="str">
        <f t="shared" si="474"/>
        <v/>
      </c>
      <c r="DC143" s="154">
        <f t="shared" si="475"/>
        <v>0</v>
      </c>
      <c r="DD143" s="826" t="str">
        <f>IF('Marks Entry'!AS143="","",IF(OR('Master Sheet'!$D$19="YES",'Marks Entry'!$BA$1=1),'Marks Entry'!AS143,""))</f>
        <v/>
      </c>
      <c r="DE143" s="826" t="str">
        <f>IF('Marks Entry'!AT143="","",IF(OR('Master Sheet'!$D$19="YES",'Marks Entry'!$BA$1=1),'Marks Entry'!AT143,""))</f>
        <v/>
      </c>
      <c r="DF143" s="826" t="str">
        <f>IF('Marks Entry'!AU143="","",IF(OR('Master Sheet'!$D$19="YES",'Marks Entry'!$BA$1=1),'Marks Entry'!AU143,""))</f>
        <v/>
      </c>
      <c r="DG143" s="826" t="str">
        <f>IF('Marks Entry'!AV143="","",IF(OR('Master Sheet'!$D$19="YES",'Marks Entry'!$BA$1=1),'Marks Entry'!AV143,""))</f>
        <v/>
      </c>
      <c r="DH143" s="827" t="str">
        <f t="shared" si="476"/>
        <v/>
      </c>
      <c r="DI143" s="826" t="str">
        <f>IF('Marks Entry'!AW143="","",IF(OR('Master Sheet'!$D$19="YES",'Marks Entry'!$BA$1=1),'Marks Entry'!AW143,""))</f>
        <v/>
      </c>
      <c r="DJ143" s="826" t="str">
        <f>IF('Marks Entry'!AX143="","",IF(OR('Master Sheet'!$D$19="YES",'Marks Entry'!$BA$1=1),'Marks Entry'!AX143,""))</f>
        <v/>
      </c>
      <c r="DK143" s="827" t="str">
        <f t="shared" si="477"/>
        <v/>
      </c>
      <c r="DL143" s="827" t="str">
        <f t="shared" si="478"/>
        <v/>
      </c>
      <c r="DM143" s="826" t="str">
        <f>IF('Marks Entry'!AY143="","",IF(OR('Master Sheet'!$D$19="YES",'Marks Entry'!$BA$1=1),'Marks Entry'!AY143,""))</f>
        <v/>
      </c>
      <c r="DN143" s="826" t="str">
        <f>IF('Marks Entry'!AZ143="","",IF(OR('Master Sheet'!$D$19="YES",'Marks Entry'!$BA$1=1),'Marks Entry'!AZ143,""))</f>
        <v/>
      </c>
      <c r="DO143" s="826" t="str">
        <f>IF('Marks Entry'!BA143="","",IF(OR('Master Sheet'!$D$19="YES",'Marks Entry'!$BA$1=1),'Marks Entry'!BA143,""))</f>
        <v/>
      </c>
      <c r="DP143" s="827" t="str">
        <f t="shared" si="479"/>
        <v/>
      </c>
      <c r="DQ143" s="157" t="str">
        <f t="shared" si="480"/>
        <v/>
      </c>
      <c r="DR143" s="157" t="str">
        <f t="shared" si="481"/>
        <v/>
      </c>
      <c r="DS143" s="157" t="str">
        <f t="shared" si="482"/>
        <v/>
      </c>
      <c r="DT143" s="192" t="str">
        <f t="shared" si="483"/>
        <v/>
      </c>
      <c r="DU143" s="153">
        <f t="shared" si="484"/>
        <v>0</v>
      </c>
      <c r="DV143" s="154" t="e">
        <f t="shared" si="485"/>
        <v>#VALUE!</v>
      </c>
      <c r="DW143" s="154" t="str">
        <f t="shared" si="486"/>
        <v/>
      </c>
      <c r="DX143" s="154" t="str">
        <f>IF(OR($B143="NSO",$B143=0,DS143=""),"",IF(AND(DJ143="",DO143=""),"",IF('Master Sheet'!$D$19="YES",$DO$6-COUNTIF(DO143,"ML")*DO$6,DS$6-(COUNTIF(DJ143,"ML")*DJ$6)-(COUNTIF(DO143,"ML")*DO$6))))</f>
        <v/>
      </c>
      <c r="DY143" s="154" t="str">
        <f>IF(OR($B143="NSO",$B143=0),"",IF(AND(DH143="",DI143="",DM143=""),"",IF(AND('Master Sheet'!$D$19="YES",'Marks Entry'!$BA$1=1),100,IF(AND(DJ143="",DO143=""),SUM(($DQ$7+$DR$7)-(DU143+DV143)),SUM(($DQ$6+$DR$6)-(DU143+DV143))))))</f>
        <v/>
      </c>
      <c r="DZ143" s="153" t="str">
        <f t="shared" si="487"/>
        <v/>
      </c>
      <c r="EA143" s="154" t="str">
        <f t="shared" si="488"/>
        <v/>
      </c>
      <c r="EB143" s="153" t="str">
        <f t="shared" si="489"/>
        <v/>
      </c>
      <c r="EC143" s="584" t="str">
        <f>IF('Marks Entry'!BB143="","",'Marks Entry'!BB143)</f>
        <v/>
      </c>
      <c r="ED143" s="584" t="str">
        <f>IF('Marks Entry'!BC143="","",'Marks Entry'!BC143)</f>
        <v/>
      </c>
      <c r="EE143" s="584" t="str">
        <f>IF('Marks Entry'!BD143="","",'Marks Entry'!BD143)</f>
        <v/>
      </c>
      <c r="EF143" s="590" t="str">
        <f t="shared" si="490"/>
        <v/>
      </c>
      <c r="EG143" s="595">
        <f t="shared" si="491"/>
        <v>0</v>
      </c>
      <c r="EH143" s="595">
        <f t="shared" si="492"/>
        <v>0</v>
      </c>
      <c r="EI143" s="193" t="str">
        <f t="shared" si="493"/>
        <v/>
      </c>
      <c r="EJ143" s="595" t="str">
        <f t="shared" si="494"/>
        <v/>
      </c>
      <c r="EK143" s="595" t="str">
        <f t="shared" si="495"/>
        <v/>
      </c>
      <c r="EL143" s="194" t="str">
        <f t="shared" si="496"/>
        <v/>
      </c>
      <c r="EM143" s="194" t="str">
        <f t="shared" si="497"/>
        <v/>
      </c>
      <c r="EN143" s="194" t="str">
        <f t="shared" si="498"/>
        <v/>
      </c>
      <c r="EO143" s="194" t="str">
        <f t="shared" si="499"/>
        <v/>
      </c>
      <c r="EP143" s="194" t="str">
        <f t="shared" si="500"/>
        <v/>
      </c>
      <c r="EQ143" s="194" t="str">
        <f t="shared" si="501"/>
        <v/>
      </c>
      <c r="ER143" s="195">
        <f t="shared" si="502"/>
        <v>0</v>
      </c>
      <c r="ES143" s="195">
        <f t="shared" si="503"/>
        <v>0</v>
      </c>
      <c r="ET143" s="195">
        <f t="shared" si="504"/>
        <v>0</v>
      </c>
      <c r="EU143" s="195">
        <f t="shared" si="505"/>
        <v>0</v>
      </c>
      <c r="EV143" s="195">
        <f t="shared" si="506"/>
        <v>0</v>
      </c>
      <c r="EW143" s="195" t="str">
        <f t="shared" si="507"/>
        <v/>
      </c>
      <c r="EX143" s="196" t="str">
        <f t="shared" si="508"/>
        <v/>
      </c>
      <c r="EY143" s="197" t="str">
        <f>IF('Marks Entry'!BE143="","",'Marks Entry'!BE143)</f>
        <v/>
      </c>
      <c r="EZ143" s="197" t="str">
        <f>IF('Marks Entry'!BF143="","",'Marks Entry'!BF143)</f>
        <v/>
      </c>
      <c r="FA143" s="197" t="str">
        <f>IF('Marks Entry'!BG143="","",'Marks Entry'!BG143)</f>
        <v/>
      </c>
      <c r="FB143" s="596" t="str">
        <f t="shared" si="509"/>
        <v/>
      </c>
      <c r="FC143" s="197" t="str">
        <f>IF('Marks Entry'!BH143="","",'Marks Entry'!BH143)</f>
        <v/>
      </c>
      <c r="FD143" s="197" t="str">
        <f>IF('Marks Entry'!BI143="","",'Marks Entry'!BI143)</f>
        <v/>
      </c>
      <c r="FE143" s="198" t="str">
        <f t="shared" si="510"/>
        <v/>
      </c>
      <c r="FF143" s="199" t="str">
        <f t="shared" si="511"/>
        <v/>
      </c>
      <c r="FG143" s="200" t="str">
        <f>IF(AND(E143=""),"",IF('Student DATA Entry'!L139="","",'Student DATA Entry'!L139))</f>
        <v/>
      </c>
      <c r="FH143" s="201" t="str">
        <f>IF(AND(E143=""),"",IF('Student DATA Entry'!M139="","",'Student DATA Entry'!M139))</f>
        <v/>
      </c>
      <c r="FI143" s="202" t="str">
        <f t="shared" si="512"/>
        <v/>
      </c>
      <c r="FJ143" s="189" t="str">
        <f t="shared" si="513"/>
        <v/>
      </c>
      <c r="FK143" s="189" t="str">
        <f t="shared" si="514"/>
        <v/>
      </c>
      <c r="FL143" s="203" t="str">
        <f t="shared" si="383"/>
        <v/>
      </c>
      <c r="FM143" s="189" t="str">
        <f t="shared" si="515"/>
        <v/>
      </c>
      <c r="FN143" s="204" t="str">
        <f t="shared" si="516"/>
        <v/>
      </c>
      <c r="FO143" s="203" t="str">
        <f t="shared" si="384"/>
        <v/>
      </c>
      <c r="FP143" s="205" t="str">
        <f t="shared" si="517"/>
        <v/>
      </c>
      <c r="FQ143" s="189" t="str">
        <f t="shared" si="385"/>
        <v/>
      </c>
      <c r="FR143" s="189" t="str">
        <f t="shared" si="386"/>
        <v/>
      </c>
      <c r="FS143" s="189" t="str">
        <f t="shared" si="387"/>
        <v/>
      </c>
      <c r="FT143" s="189" t="str">
        <f t="shared" si="388"/>
        <v/>
      </c>
      <c r="FU143" s="189" t="str">
        <f t="shared" si="518"/>
        <v/>
      </c>
      <c r="FV143" s="206" t="str">
        <f t="shared" si="389"/>
        <v/>
      </c>
      <c r="FW143" s="205" t="str">
        <f t="shared" si="519"/>
        <v/>
      </c>
      <c r="FX143" s="189" t="str">
        <f t="shared" si="390"/>
        <v/>
      </c>
      <c r="FY143" s="189" t="str">
        <f t="shared" si="391"/>
        <v/>
      </c>
      <c r="FZ143" s="189" t="str">
        <f t="shared" si="392"/>
        <v/>
      </c>
      <c r="GA143" s="189" t="str">
        <f t="shared" si="393"/>
        <v/>
      </c>
      <c r="GB143" s="189" t="str">
        <f t="shared" si="520"/>
        <v/>
      </c>
      <c r="GC143" s="206" t="str">
        <f t="shared" si="394"/>
        <v/>
      </c>
      <c r="GD143" s="205" t="str">
        <f t="shared" si="521"/>
        <v/>
      </c>
      <c r="GE143" s="189" t="str">
        <f t="shared" si="395"/>
        <v/>
      </c>
      <c r="GF143" s="189" t="str">
        <f t="shared" si="396"/>
        <v/>
      </c>
      <c r="GG143" s="189" t="str">
        <f t="shared" si="397"/>
        <v/>
      </c>
      <c r="GH143" s="189" t="str">
        <f t="shared" si="398"/>
        <v/>
      </c>
      <c r="GI143" s="189" t="str">
        <f t="shared" si="522"/>
        <v/>
      </c>
      <c r="GJ143" s="206" t="str">
        <f t="shared" si="399"/>
        <v/>
      </c>
      <c r="GK143" s="205" t="str">
        <f t="shared" si="523"/>
        <v/>
      </c>
      <c r="GL143" s="189" t="str">
        <f t="shared" si="400"/>
        <v/>
      </c>
      <c r="GM143" s="189" t="str">
        <f t="shared" si="401"/>
        <v/>
      </c>
      <c r="GN143" s="189" t="str">
        <f t="shared" si="402"/>
        <v/>
      </c>
      <c r="GO143" s="189" t="str">
        <f t="shared" si="403"/>
        <v/>
      </c>
      <c r="GP143" s="189" t="str">
        <f t="shared" si="524"/>
        <v/>
      </c>
      <c r="GQ143" s="206" t="str">
        <f t="shared" si="404"/>
        <v/>
      </c>
      <c r="GR143" s="189" t="str">
        <f t="shared" si="525"/>
        <v/>
      </c>
      <c r="GS143" s="189" t="str">
        <f t="shared" si="526"/>
        <v/>
      </c>
      <c r="GT143" s="207" t="str">
        <f t="shared" si="527"/>
        <v xml:space="preserve">    </v>
      </c>
      <c r="GU143" s="207" t="str">
        <f t="shared" si="528"/>
        <v xml:space="preserve">    </v>
      </c>
      <c r="GV143" s="207" t="str">
        <f t="shared" si="529"/>
        <v xml:space="preserve">    </v>
      </c>
      <c r="GW143" s="207" t="str">
        <f t="shared" si="530"/>
        <v xml:space="preserve">       </v>
      </c>
      <c r="GX143" s="598" t="str">
        <f t="shared" si="531"/>
        <v xml:space="preserve">     </v>
      </c>
      <c r="GY143" s="208" t="str">
        <f t="shared" si="405"/>
        <v/>
      </c>
      <c r="GZ143" s="606" t="str">
        <f>IF(AND(Q143="",AE143="",AZ143="",BW143="",CT143=""),"",IF(AND('Master Sheet'!$D$19="YES",'Marks Entry'!$BA$1=1),SUM(Q143,AE143,AZ143,BW143,DT143),SUM(Q143,AE143,AZ143,BW143,CT143)))</f>
        <v/>
      </c>
      <c r="HA143" s="209" t="str">
        <f>IF(GZ143="","",IF(AND('Master Sheet'!$D$19="YES",'Marks Entry'!$BA$1=1),GZ143/((900)-DC143)*100,GZ143/((1000)-DC143)*100))</f>
        <v/>
      </c>
      <c r="HB143" s="611" t="str">
        <f t="shared" si="532"/>
        <v/>
      </c>
      <c r="HC143" s="609" t="str">
        <f t="shared" si="533"/>
        <v/>
      </c>
      <c r="HD143" s="610" t="str">
        <f t="shared" si="534"/>
        <v/>
      </c>
      <c r="HE143" s="210" t="str">
        <f>IFERROR(IF(OR(GY143="SUPPLEMENTARY",GY143="RE-EXAM"),'Supp. Result Entry'!AS142,""),"")</f>
        <v/>
      </c>
      <c r="HF143" s="613" t="str">
        <f t="shared" si="535"/>
        <v/>
      </c>
      <c r="HG143" s="598" t="str">
        <f t="shared" si="536"/>
        <v/>
      </c>
      <c r="HH143" s="598" t="str">
        <f>IF(AND(HE143="",HF143="",HG143=""),"",IF(OR(GY143="SUPPLEMENTARY",GY143="RE-EXAM"),'Supp. Result Entry'!AS142,GY143))</f>
        <v/>
      </c>
      <c r="HI143" s="180"/>
      <c r="HY143" s="212" t="str">
        <f>IF('Supp. Result Entry'!U142="","",'Supp. Result Entry'!$U$6)</f>
        <v/>
      </c>
      <c r="HZ143" s="213" t="str">
        <f>IF('Supp. Result Entry'!X142="","",'Supp. Result Entry'!$X$6)</f>
        <v/>
      </c>
      <c r="IA143" s="213" t="str">
        <f>IF('Supp. Result Entry'!AA142="","",'Supp. Result Entry'!$AA$6)</f>
        <v/>
      </c>
      <c r="IB143" s="213" t="str">
        <f>IF('Supp. Result Entry'!AD142="","",'Supp. Result Entry'!$AD$6)</f>
        <v/>
      </c>
      <c r="IC143" s="213" t="str">
        <f>IF('Supp. Result Entry'!AG142="","",'Supp. Result Entry'!$AG$6)</f>
        <v/>
      </c>
      <c r="ID143" s="213" t="str">
        <f>IF('Supp. Result Entry'!AJ142="","",'Supp. Result Entry'!$AJ$6)</f>
        <v/>
      </c>
      <c r="IE143" s="213" t="str">
        <f>IF('Supp. Result Entry'!V142="","",'Supp. Result Entry'!V142)</f>
        <v/>
      </c>
      <c r="IF143" s="213" t="str">
        <f>IF('Supp. Result Entry'!Y142="","",'Supp. Result Entry'!Y142)</f>
        <v/>
      </c>
      <c r="IG143" s="213" t="str">
        <f>IF('Supp. Result Entry'!AB142="","",'Supp. Result Entry'!AB142)</f>
        <v/>
      </c>
      <c r="IH143" s="213" t="str">
        <f>IF('Supp. Result Entry'!AE142="","",'Supp. Result Entry'!AE142)</f>
        <v/>
      </c>
      <c r="II143" s="213" t="str">
        <f>IF('Supp. Result Entry'!AH142="","",'Supp. Result Entry'!AH142)</f>
        <v/>
      </c>
      <c r="IJ143" s="213" t="str">
        <f>IF('Supp. Result Entry'!AK142="","",'Supp. Result Entry'!AK142)</f>
        <v/>
      </c>
      <c r="IK143" s="213" t="str">
        <f>IF('Supp. Result Entry'!W142="","",'Supp. Result Entry'!W142)</f>
        <v/>
      </c>
      <c r="IL143" s="213" t="str">
        <f>IF('Supp. Result Entry'!Z142="","",'Supp. Result Entry'!Z142)</f>
        <v/>
      </c>
      <c r="IM143" s="213" t="str">
        <f>IF('Supp. Result Entry'!AC142="","",'Supp. Result Entry'!AC142)</f>
        <v/>
      </c>
      <c r="IN143" s="213" t="str">
        <f>IF('Supp. Result Entry'!AF142="","",'Supp. Result Entry'!AF142)</f>
        <v/>
      </c>
      <c r="IO143" s="213" t="str">
        <f>IF('Supp. Result Entry'!AI142="","",'Supp. Result Entry'!AI142)</f>
        <v/>
      </c>
      <c r="IP143" s="213" t="str">
        <f>IF('Supp. Result Entry'!AL142="","",'Supp. Result Entry'!AL142)</f>
        <v/>
      </c>
      <c r="IQ143" s="213">
        <f>COUNTIF('Supp. Result Entry'!K142:Q142,"S")</f>
        <v>0</v>
      </c>
      <c r="IR143" s="213">
        <f t="shared" si="537"/>
        <v>0</v>
      </c>
      <c r="IS143" s="213">
        <f t="shared" si="538"/>
        <v>0</v>
      </c>
      <c r="IT143" s="213" t="str">
        <f t="shared" si="406"/>
        <v/>
      </c>
      <c r="IU143" s="213" t="str">
        <f t="shared" si="407"/>
        <v/>
      </c>
      <c r="IV143" s="213" t="str">
        <f t="shared" si="408"/>
        <v/>
      </c>
      <c r="IW143" s="213" t="str">
        <f t="shared" si="409"/>
        <v/>
      </c>
      <c r="IX143" s="213" t="str">
        <f t="shared" si="410"/>
        <v/>
      </c>
      <c r="IY143" s="213" t="str">
        <f t="shared" si="539"/>
        <v/>
      </c>
      <c r="IZ143" s="213" t="str">
        <f t="shared" si="540"/>
        <v/>
      </c>
      <c r="JA143" s="213" t="str">
        <f t="shared" si="411"/>
        <v/>
      </c>
      <c r="JB143" s="211" t="str">
        <f t="shared" si="541"/>
        <v/>
      </c>
    </row>
    <row r="144" spans="1:262" s="211" customFormat="1" ht="21" customHeight="1">
      <c r="A144" s="184">
        <v>137</v>
      </c>
      <c r="B144" s="185" t="str">
        <f>IF('Marks Entry'!B144="","",'Marks Entry'!B144)</f>
        <v/>
      </c>
      <c r="C144" s="186" t="str">
        <f>IF('Marks Entry'!D144="","",'Marks Entry'!D144)</f>
        <v/>
      </c>
      <c r="D144" s="187" t="str">
        <f>IF('Marks Entry'!E144="","",'Marks Entry'!E144)</f>
        <v/>
      </c>
      <c r="E144" s="188" t="str">
        <f>IF('Marks Entry'!F144="","",'Marks Entry'!F144)</f>
        <v/>
      </c>
      <c r="F144" s="188" t="str">
        <f>IF('Marks Entry'!G144="","",'Marks Entry'!G144)</f>
        <v/>
      </c>
      <c r="G144" s="188" t="str">
        <f>IF('Marks Entry'!H144="","",'Marks Entry'!H144)</f>
        <v/>
      </c>
      <c r="H144" s="189" t="str">
        <f>IF('Marks Entry'!I144="","",'Marks Entry'!I144)</f>
        <v/>
      </c>
      <c r="I144" s="190" t="str">
        <f>IF('Marks Entry'!J144="","",'Marks Entry'!J144)</f>
        <v/>
      </c>
      <c r="J144" s="545" t="str">
        <f>IF('Marks Entry'!K144="","",'Marks Entry'!K144)</f>
        <v/>
      </c>
      <c r="K144" s="545" t="str">
        <f>IF('Marks Entry'!L144="","",'Marks Entry'!L144)</f>
        <v/>
      </c>
      <c r="L144" s="545" t="str">
        <f>IF('Marks Entry'!M144="","",'Marks Entry'!M144)</f>
        <v/>
      </c>
      <c r="M144" s="546" t="str">
        <f t="shared" si="412"/>
        <v/>
      </c>
      <c r="N144" s="545" t="str">
        <f>IF('Marks Entry'!N144="","",'Marks Entry'!N144)</f>
        <v/>
      </c>
      <c r="O144" s="546" t="str">
        <f t="shared" si="413"/>
        <v/>
      </c>
      <c r="P144" s="545" t="str">
        <f>IF('Marks Entry'!O144="","",'Marks Entry'!O144)</f>
        <v/>
      </c>
      <c r="Q144" s="547" t="str">
        <f t="shared" si="414"/>
        <v/>
      </c>
      <c r="R144" s="153">
        <f t="shared" si="415"/>
        <v>0</v>
      </c>
      <c r="S144" s="153">
        <f t="shared" si="416"/>
        <v>0</v>
      </c>
      <c r="T144" s="154" t="str">
        <f t="shared" si="417"/>
        <v/>
      </c>
      <c r="U144" s="153" t="str">
        <f t="shared" si="418"/>
        <v/>
      </c>
      <c r="V144" s="153" t="str">
        <f t="shared" si="419"/>
        <v/>
      </c>
      <c r="W144" s="153" t="str">
        <f t="shared" si="420"/>
        <v/>
      </c>
      <c r="X144" s="545" t="str">
        <f>IF('Marks Entry'!P144="","",'Marks Entry'!P144)</f>
        <v/>
      </c>
      <c r="Y144" s="545" t="str">
        <f>IF('Marks Entry'!Q144="","",'Marks Entry'!Q144)</f>
        <v/>
      </c>
      <c r="Z144" s="545" t="str">
        <f>IF('Marks Entry'!R144="","",'Marks Entry'!R144)</f>
        <v/>
      </c>
      <c r="AA144" s="546" t="str">
        <f t="shared" si="421"/>
        <v/>
      </c>
      <c r="AB144" s="545" t="str">
        <f>IF('Marks Entry'!S144="","",'Marks Entry'!S144)</f>
        <v/>
      </c>
      <c r="AC144" s="546" t="str">
        <f t="shared" si="422"/>
        <v/>
      </c>
      <c r="AD144" s="545" t="str">
        <f>IF('Marks Entry'!T144="","",'Marks Entry'!T144)</f>
        <v/>
      </c>
      <c r="AE144" s="547" t="str">
        <f t="shared" si="423"/>
        <v/>
      </c>
      <c r="AF144" s="153">
        <f t="shared" si="424"/>
        <v>0</v>
      </c>
      <c r="AG144" s="153">
        <f t="shared" si="425"/>
        <v>0</v>
      </c>
      <c r="AH144" s="154" t="str">
        <f t="shared" si="426"/>
        <v/>
      </c>
      <c r="AI144" s="153" t="str">
        <f t="shared" si="427"/>
        <v/>
      </c>
      <c r="AJ144" s="153" t="str">
        <f t="shared" si="428"/>
        <v/>
      </c>
      <c r="AK144" s="153" t="str">
        <f t="shared" si="429"/>
        <v/>
      </c>
      <c r="AL144" s="573" t="str">
        <f>IF('Marks Entry'!U144="","",'Marks Entry'!U144)</f>
        <v/>
      </c>
      <c r="AM144" s="573" t="str">
        <f>IF('Marks Entry'!V144="","",'Marks Entry'!V144)</f>
        <v/>
      </c>
      <c r="AN144" s="573" t="str">
        <f>IF('Marks Entry'!W144="","",'Marks Entry'!W144)</f>
        <v/>
      </c>
      <c r="AO144" s="573" t="str">
        <f>IF('Marks Entry'!X144="","",'Marks Entry'!X144)</f>
        <v/>
      </c>
      <c r="AP144" s="572" t="str">
        <f t="shared" si="430"/>
        <v/>
      </c>
      <c r="AQ144" s="573" t="str">
        <f>IF('Marks Entry'!Y144="","",'Marks Entry'!Y144)</f>
        <v/>
      </c>
      <c r="AR144" s="573" t="str">
        <f>IF('Marks Entry'!Z144="","",'Marks Entry'!Z144)</f>
        <v/>
      </c>
      <c r="AS144" s="572" t="str">
        <f t="shared" si="431"/>
        <v/>
      </c>
      <c r="AT144" s="572" t="str">
        <f t="shared" si="432"/>
        <v/>
      </c>
      <c r="AU144" s="573" t="str">
        <f>IF('Marks Entry'!AA144="","",'Marks Entry'!AA144)</f>
        <v/>
      </c>
      <c r="AV144" s="573" t="str">
        <f>IF('Marks Entry'!AB144="","",'Marks Entry'!AB144)</f>
        <v/>
      </c>
      <c r="AW144" s="572" t="str">
        <f t="shared" si="433"/>
        <v/>
      </c>
      <c r="AX144" s="157" t="str">
        <f t="shared" si="434"/>
        <v/>
      </c>
      <c r="AY144" s="157" t="str">
        <f t="shared" si="435"/>
        <v/>
      </c>
      <c r="AZ144" s="192" t="str">
        <f t="shared" si="436"/>
        <v/>
      </c>
      <c r="BA144" s="153">
        <f t="shared" si="437"/>
        <v>0</v>
      </c>
      <c r="BB144" s="154">
        <f t="shared" si="438"/>
        <v>0</v>
      </c>
      <c r="BC144" s="154" t="str">
        <f t="shared" si="439"/>
        <v/>
      </c>
      <c r="BD144" s="154" t="str">
        <f t="shared" si="440"/>
        <v/>
      </c>
      <c r="BE144" s="154" t="str">
        <f t="shared" si="441"/>
        <v/>
      </c>
      <c r="BF144" s="153" t="str">
        <f t="shared" si="442"/>
        <v/>
      </c>
      <c r="BG144" s="154" t="str">
        <f t="shared" si="443"/>
        <v/>
      </c>
      <c r="BH144" s="153" t="str">
        <f t="shared" si="444"/>
        <v/>
      </c>
      <c r="BI144" s="580" t="str">
        <f>IF('Marks Entry'!AC144="","",'Marks Entry'!AC144)</f>
        <v/>
      </c>
      <c r="BJ144" s="580" t="str">
        <f>IF('Marks Entry'!AD144="","",'Marks Entry'!AD144)</f>
        <v/>
      </c>
      <c r="BK144" s="580" t="str">
        <f>IF('Marks Entry'!AE144="","",'Marks Entry'!AE144)</f>
        <v/>
      </c>
      <c r="BL144" s="580" t="str">
        <f>IF('Marks Entry'!AF144="","",'Marks Entry'!AF144)</f>
        <v/>
      </c>
      <c r="BM144" s="581" t="str">
        <f t="shared" si="445"/>
        <v/>
      </c>
      <c r="BN144" s="580" t="str">
        <f>IF('Marks Entry'!AG144="","",'Marks Entry'!AG144)</f>
        <v/>
      </c>
      <c r="BO144" s="580" t="str">
        <f>IF('Marks Entry'!AH144="","",'Marks Entry'!AH144)</f>
        <v/>
      </c>
      <c r="BP144" s="581" t="str">
        <f t="shared" si="446"/>
        <v/>
      </c>
      <c r="BQ144" s="581" t="str">
        <f t="shared" si="447"/>
        <v/>
      </c>
      <c r="BR144" s="580" t="str">
        <f>IF('Marks Entry'!AI144="","",'Marks Entry'!AI144)</f>
        <v/>
      </c>
      <c r="BS144" s="580" t="str">
        <f>IF('Marks Entry'!AJ144="","",'Marks Entry'!AJ144)</f>
        <v/>
      </c>
      <c r="BT144" s="581" t="str">
        <f t="shared" si="448"/>
        <v/>
      </c>
      <c r="BU144" s="157" t="str">
        <f t="shared" si="449"/>
        <v/>
      </c>
      <c r="BV144" s="157" t="str">
        <f t="shared" si="450"/>
        <v/>
      </c>
      <c r="BW144" s="192" t="str">
        <f t="shared" si="451"/>
        <v/>
      </c>
      <c r="BX144" s="153">
        <f t="shared" si="452"/>
        <v>0</v>
      </c>
      <c r="BY144" s="154">
        <f t="shared" si="453"/>
        <v>0</v>
      </c>
      <c r="BZ144" s="154" t="str">
        <f t="shared" si="454"/>
        <v/>
      </c>
      <c r="CA144" s="154" t="str">
        <f t="shared" si="455"/>
        <v/>
      </c>
      <c r="CB144" s="154" t="str">
        <f t="shared" si="456"/>
        <v/>
      </c>
      <c r="CC144" s="153" t="str">
        <f t="shared" si="457"/>
        <v/>
      </c>
      <c r="CD144" s="154" t="str">
        <f t="shared" si="458"/>
        <v/>
      </c>
      <c r="CE144" s="153" t="str">
        <f t="shared" si="459"/>
        <v/>
      </c>
      <c r="CF144" s="580" t="str">
        <f>IF('Marks Entry'!AK144="","",'Marks Entry'!AK144)</f>
        <v/>
      </c>
      <c r="CG144" s="580" t="str">
        <f>IF('Marks Entry'!AL144="","",'Marks Entry'!AL144)</f>
        <v/>
      </c>
      <c r="CH144" s="580" t="str">
        <f>IF('Marks Entry'!AM144="","",'Marks Entry'!AM144)</f>
        <v/>
      </c>
      <c r="CI144" s="580" t="str">
        <f>IF('Marks Entry'!AN144="","",'Marks Entry'!AN144)</f>
        <v/>
      </c>
      <c r="CJ144" s="581" t="str">
        <f t="shared" si="460"/>
        <v/>
      </c>
      <c r="CK144" s="580" t="str">
        <f>IF('Marks Entry'!AO144="","",'Marks Entry'!AO144)</f>
        <v/>
      </c>
      <c r="CL144" s="580" t="str">
        <f>IF('Marks Entry'!AP144="","",'Marks Entry'!AP144)</f>
        <v/>
      </c>
      <c r="CM144" s="581" t="str">
        <f t="shared" si="461"/>
        <v/>
      </c>
      <c r="CN144" s="581" t="str">
        <f t="shared" si="462"/>
        <v/>
      </c>
      <c r="CO144" s="580" t="str">
        <f>IF('Marks Entry'!AQ144="","",'Marks Entry'!AQ144)</f>
        <v/>
      </c>
      <c r="CP144" s="580" t="str">
        <f>IF('Marks Entry'!AR144="","",'Marks Entry'!AR144)</f>
        <v/>
      </c>
      <c r="CQ144" s="581" t="str">
        <f t="shared" si="463"/>
        <v/>
      </c>
      <c r="CR144" s="157" t="str">
        <f t="shared" si="464"/>
        <v/>
      </c>
      <c r="CS144" s="157" t="str">
        <f t="shared" si="465"/>
        <v/>
      </c>
      <c r="CT144" s="192" t="str">
        <f t="shared" si="466"/>
        <v/>
      </c>
      <c r="CU144" s="153">
        <f t="shared" si="467"/>
        <v>0</v>
      </c>
      <c r="CV144" s="154">
        <f t="shared" si="468"/>
        <v>0</v>
      </c>
      <c r="CW144" s="154" t="str">
        <f t="shared" si="469"/>
        <v/>
      </c>
      <c r="CX144" s="154" t="str">
        <f t="shared" si="470"/>
        <v/>
      </c>
      <c r="CY144" s="154" t="str">
        <f t="shared" si="471"/>
        <v/>
      </c>
      <c r="CZ144" s="153" t="str">
        <f t="shared" si="472"/>
        <v/>
      </c>
      <c r="DA144" s="154" t="str">
        <f t="shared" si="473"/>
        <v/>
      </c>
      <c r="DB144" s="153" t="str">
        <f t="shared" si="474"/>
        <v/>
      </c>
      <c r="DC144" s="154">
        <f t="shared" si="475"/>
        <v>0</v>
      </c>
      <c r="DD144" s="826" t="str">
        <f>IF('Marks Entry'!AS144="","",IF(OR('Master Sheet'!$D$19="YES",'Marks Entry'!$BA$1=1),'Marks Entry'!AS144,""))</f>
        <v/>
      </c>
      <c r="DE144" s="826" t="str">
        <f>IF('Marks Entry'!AT144="","",IF(OR('Master Sheet'!$D$19="YES",'Marks Entry'!$BA$1=1),'Marks Entry'!AT144,""))</f>
        <v/>
      </c>
      <c r="DF144" s="826" t="str">
        <f>IF('Marks Entry'!AU144="","",IF(OR('Master Sheet'!$D$19="YES",'Marks Entry'!$BA$1=1),'Marks Entry'!AU144,""))</f>
        <v/>
      </c>
      <c r="DG144" s="826" t="str">
        <f>IF('Marks Entry'!AV144="","",IF(OR('Master Sheet'!$D$19="YES",'Marks Entry'!$BA$1=1),'Marks Entry'!AV144,""))</f>
        <v/>
      </c>
      <c r="DH144" s="827" t="str">
        <f t="shared" si="476"/>
        <v/>
      </c>
      <c r="DI144" s="826" t="str">
        <f>IF('Marks Entry'!AW144="","",IF(OR('Master Sheet'!$D$19="YES",'Marks Entry'!$BA$1=1),'Marks Entry'!AW144,""))</f>
        <v/>
      </c>
      <c r="DJ144" s="826" t="str">
        <f>IF('Marks Entry'!AX144="","",IF(OR('Master Sheet'!$D$19="YES",'Marks Entry'!$BA$1=1),'Marks Entry'!AX144,""))</f>
        <v/>
      </c>
      <c r="DK144" s="827" t="str">
        <f t="shared" si="477"/>
        <v/>
      </c>
      <c r="DL144" s="827" t="str">
        <f t="shared" si="478"/>
        <v/>
      </c>
      <c r="DM144" s="826" t="str">
        <f>IF('Marks Entry'!AY144="","",IF(OR('Master Sheet'!$D$19="YES",'Marks Entry'!$BA$1=1),'Marks Entry'!AY144,""))</f>
        <v/>
      </c>
      <c r="DN144" s="826" t="str">
        <f>IF('Marks Entry'!AZ144="","",IF(OR('Master Sheet'!$D$19="YES",'Marks Entry'!$BA$1=1),'Marks Entry'!AZ144,""))</f>
        <v/>
      </c>
      <c r="DO144" s="826" t="str">
        <f>IF('Marks Entry'!BA144="","",IF(OR('Master Sheet'!$D$19="YES",'Marks Entry'!$BA$1=1),'Marks Entry'!BA144,""))</f>
        <v/>
      </c>
      <c r="DP144" s="827" t="str">
        <f t="shared" si="479"/>
        <v/>
      </c>
      <c r="DQ144" s="157" t="str">
        <f t="shared" si="480"/>
        <v/>
      </c>
      <c r="DR144" s="157" t="str">
        <f t="shared" si="481"/>
        <v/>
      </c>
      <c r="DS144" s="157" t="str">
        <f t="shared" si="482"/>
        <v/>
      </c>
      <c r="DT144" s="192" t="str">
        <f t="shared" si="483"/>
        <v/>
      </c>
      <c r="DU144" s="153">
        <f t="shared" si="484"/>
        <v>0</v>
      </c>
      <c r="DV144" s="154" t="e">
        <f t="shared" si="485"/>
        <v>#VALUE!</v>
      </c>
      <c r="DW144" s="154" t="str">
        <f t="shared" si="486"/>
        <v/>
      </c>
      <c r="DX144" s="154" t="str">
        <f>IF(OR($B144="NSO",$B144=0,DS144=""),"",IF(AND(DJ144="",DO144=""),"",IF('Master Sheet'!$D$19="YES",$DO$6-COUNTIF(DO144,"ML")*DO$6,DS$6-(COUNTIF(DJ144,"ML")*DJ$6)-(COUNTIF(DO144,"ML")*DO$6))))</f>
        <v/>
      </c>
      <c r="DY144" s="154" t="str">
        <f>IF(OR($B144="NSO",$B144=0),"",IF(AND(DH144="",DI144="",DM144=""),"",IF(AND('Master Sheet'!$D$19="YES",'Marks Entry'!$BA$1=1),100,IF(AND(DJ144="",DO144=""),SUM(($DQ$7+$DR$7)-(DU144+DV144)),SUM(($DQ$6+$DR$6)-(DU144+DV144))))))</f>
        <v/>
      </c>
      <c r="DZ144" s="153" t="str">
        <f t="shared" si="487"/>
        <v/>
      </c>
      <c r="EA144" s="154" t="str">
        <f t="shared" si="488"/>
        <v/>
      </c>
      <c r="EB144" s="153" t="str">
        <f t="shared" si="489"/>
        <v/>
      </c>
      <c r="EC144" s="584" t="str">
        <f>IF('Marks Entry'!BB144="","",'Marks Entry'!BB144)</f>
        <v/>
      </c>
      <c r="ED144" s="584" t="str">
        <f>IF('Marks Entry'!BC144="","",'Marks Entry'!BC144)</f>
        <v/>
      </c>
      <c r="EE144" s="584" t="str">
        <f>IF('Marks Entry'!BD144="","",'Marks Entry'!BD144)</f>
        <v/>
      </c>
      <c r="EF144" s="590" t="str">
        <f t="shared" si="490"/>
        <v/>
      </c>
      <c r="EG144" s="595">
        <f t="shared" si="491"/>
        <v>0</v>
      </c>
      <c r="EH144" s="595">
        <f t="shared" si="492"/>
        <v>0</v>
      </c>
      <c r="EI144" s="193" t="str">
        <f t="shared" si="493"/>
        <v/>
      </c>
      <c r="EJ144" s="595" t="str">
        <f t="shared" si="494"/>
        <v/>
      </c>
      <c r="EK144" s="595" t="str">
        <f t="shared" si="495"/>
        <v/>
      </c>
      <c r="EL144" s="194" t="str">
        <f t="shared" si="496"/>
        <v/>
      </c>
      <c r="EM144" s="194" t="str">
        <f t="shared" si="497"/>
        <v/>
      </c>
      <c r="EN144" s="194" t="str">
        <f t="shared" si="498"/>
        <v/>
      </c>
      <c r="EO144" s="194" t="str">
        <f t="shared" si="499"/>
        <v/>
      </c>
      <c r="EP144" s="194" t="str">
        <f t="shared" si="500"/>
        <v/>
      </c>
      <c r="EQ144" s="194" t="str">
        <f t="shared" si="501"/>
        <v/>
      </c>
      <c r="ER144" s="195">
        <f t="shared" si="502"/>
        <v>0</v>
      </c>
      <c r="ES144" s="195">
        <f t="shared" si="503"/>
        <v>0</v>
      </c>
      <c r="ET144" s="195">
        <f t="shared" si="504"/>
        <v>0</v>
      </c>
      <c r="EU144" s="195">
        <f t="shared" si="505"/>
        <v>0</v>
      </c>
      <c r="EV144" s="195">
        <f t="shared" si="506"/>
        <v>0</v>
      </c>
      <c r="EW144" s="195" t="str">
        <f t="shared" si="507"/>
        <v/>
      </c>
      <c r="EX144" s="196" t="str">
        <f t="shared" si="508"/>
        <v/>
      </c>
      <c r="EY144" s="197" t="str">
        <f>IF('Marks Entry'!BE144="","",'Marks Entry'!BE144)</f>
        <v/>
      </c>
      <c r="EZ144" s="197" t="str">
        <f>IF('Marks Entry'!BF144="","",'Marks Entry'!BF144)</f>
        <v/>
      </c>
      <c r="FA144" s="197" t="str">
        <f>IF('Marks Entry'!BG144="","",'Marks Entry'!BG144)</f>
        <v/>
      </c>
      <c r="FB144" s="596" t="str">
        <f t="shared" si="509"/>
        <v/>
      </c>
      <c r="FC144" s="197" t="str">
        <f>IF('Marks Entry'!BH144="","",'Marks Entry'!BH144)</f>
        <v/>
      </c>
      <c r="FD144" s="197" t="str">
        <f>IF('Marks Entry'!BI144="","",'Marks Entry'!BI144)</f>
        <v/>
      </c>
      <c r="FE144" s="198" t="str">
        <f t="shared" si="510"/>
        <v/>
      </c>
      <c r="FF144" s="199" t="str">
        <f t="shared" si="511"/>
        <v/>
      </c>
      <c r="FG144" s="200" t="str">
        <f>IF(AND(E144=""),"",IF('Student DATA Entry'!L140="","",'Student DATA Entry'!L140))</f>
        <v/>
      </c>
      <c r="FH144" s="201" t="str">
        <f>IF(AND(E144=""),"",IF('Student DATA Entry'!M140="","",'Student DATA Entry'!M140))</f>
        <v/>
      </c>
      <c r="FI144" s="202" t="str">
        <f t="shared" si="512"/>
        <v/>
      </c>
      <c r="FJ144" s="189" t="str">
        <f t="shared" si="513"/>
        <v/>
      </c>
      <c r="FK144" s="189" t="str">
        <f t="shared" si="514"/>
        <v/>
      </c>
      <c r="FL144" s="203" t="str">
        <f t="shared" si="383"/>
        <v/>
      </c>
      <c r="FM144" s="189" t="str">
        <f t="shared" si="515"/>
        <v/>
      </c>
      <c r="FN144" s="204" t="str">
        <f t="shared" si="516"/>
        <v/>
      </c>
      <c r="FO144" s="203" t="str">
        <f t="shared" si="384"/>
        <v/>
      </c>
      <c r="FP144" s="205" t="str">
        <f t="shared" si="517"/>
        <v/>
      </c>
      <c r="FQ144" s="189" t="str">
        <f t="shared" si="385"/>
        <v/>
      </c>
      <c r="FR144" s="189" t="str">
        <f t="shared" si="386"/>
        <v/>
      </c>
      <c r="FS144" s="189" t="str">
        <f t="shared" si="387"/>
        <v/>
      </c>
      <c r="FT144" s="189" t="str">
        <f t="shared" si="388"/>
        <v/>
      </c>
      <c r="FU144" s="189" t="str">
        <f t="shared" si="518"/>
        <v/>
      </c>
      <c r="FV144" s="206" t="str">
        <f t="shared" si="389"/>
        <v/>
      </c>
      <c r="FW144" s="205" t="str">
        <f t="shared" si="519"/>
        <v/>
      </c>
      <c r="FX144" s="189" t="str">
        <f t="shared" si="390"/>
        <v/>
      </c>
      <c r="FY144" s="189" t="str">
        <f t="shared" si="391"/>
        <v/>
      </c>
      <c r="FZ144" s="189" t="str">
        <f t="shared" si="392"/>
        <v/>
      </c>
      <c r="GA144" s="189" t="str">
        <f t="shared" si="393"/>
        <v/>
      </c>
      <c r="GB144" s="189" t="str">
        <f t="shared" si="520"/>
        <v/>
      </c>
      <c r="GC144" s="206" t="str">
        <f t="shared" si="394"/>
        <v/>
      </c>
      <c r="GD144" s="205" t="str">
        <f t="shared" si="521"/>
        <v/>
      </c>
      <c r="GE144" s="189" t="str">
        <f t="shared" si="395"/>
        <v/>
      </c>
      <c r="GF144" s="189" t="str">
        <f t="shared" si="396"/>
        <v/>
      </c>
      <c r="GG144" s="189" t="str">
        <f t="shared" si="397"/>
        <v/>
      </c>
      <c r="GH144" s="189" t="str">
        <f t="shared" si="398"/>
        <v/>
      </c>
      <c r="GI144" s="189" t="str">
        <f t="shared" si="522"/>
        <v/>
      </c>
      <c r="GJ144" s="206" t="str">
        <f t="shared" si="399"/>
        <v/>
      </c>
      <c r="GK144" s="205" t="str">
        <f t="shared" si="523"/>
        <v/>
      </c>
      <c r="GL144" s="189" t="str">
        <f t="shared" si="400"/>
        <v/>
      </c>
      <c r="GM144" s="189" t="str">
        <f t="shared" si="401"/>
        <v/>
      </c>
      <c r="GN144" s="189" t="str">
        <f t="shared" si="402"/>
        <v/>
      </c>
      <c r="GO144" s="189" t="str">
        <f t="shared" si="403"/>
        <v/>
      </c>
      <c r="GP144" s="189" t="str">
        <f t="shared" si="524"/>
        <v/>
      </c>
      <c r="GQ144" s="206" t="str">
        <f t="shared" si="404"/>
        <v/>
      </c>
      <c r="GR144" s="189" t="str">
        <f t="shared" si="525"/>
        <v/>
      </c>
      <c r="GS144" s="189" t="str">
        <f t="shared" si="526"/>
        <v/>
      </c>
      <c r="GT144" s="207" t="str">
        <f t="shared" si="527"/>
        <v xml:space="preserve">    </v>
      </c>
      <c r="GU144" s="207" t="str">
        <f t="shared" si="528"/>
        <v xml:space="preserve">    </v>
      </c>
      <c r="GV144" s="207" t="str">
        <f t="shared" si="529"/>
        <v xml:space="preserve">    </v>
      </c>
      <c r="GW144" s="207" t="str">
        <f t="shared" si="530"/>
        <v xml:space="preserve">       </v>
      </c>
      <c r="GX144" s="598" t="str">
        <f t="shared" si="531"/>
        <v xml:space="preserve">     </v>
      </c>
      <c r="GY144" s="208" t="str">
        <f t="shared" si="405"/>
        <v/>
      </c>
      <c r="GZ144" s="606" t="str">
        <f>IF(AND(Q144="",AE144="",AZ144="",BW144="",CT144=""),"",IF(AND('Master Sheet'!$D$19="YES",'Marks Entry'!$BA$1=1),SUM(Q144,AE144,AZ144,BW144,DT144),SUM(Q144,AE144,AZ144,BW144,CT144)))</f>
        <v/>
      </c>
      <c r="HA144" s="209" t="str">
        <f>IF(GZ144="","",IF(AND('Master Sheet'!$D$19="YES",'Marks Entry'!$BA$1=1),GZ144/((900)-DC144)*100,GZ144/((1000)-DC144)*100))</f>
        <v/>
      </c>
      <c r="HB144" s="611" t="str">
        <f t="shared" si="532"/>
        <v/>
      </c>
      <c r="HC144" s="609" t="str">
        <f t="shared" si="533"/>
        <v/>
      </c>
      <c r="HD144" s="610" t="str">
        <f t="shared" si="534"/>
        <v/>
      </c>
      <c r="HE144" s="210" t="str">
        <f>IFERROR(IF(OR(GY144="SUPPLEMENTARY",GY144="RE-EXAM"),'Supp. Result Entry'!AS143,""),"")</f>
        <v/>
      </c>
      <c r="HF144" s="613" t="str">
        <f t="shared" si="535"/>
        <v/>
      </c>
      <c r="HG144" s="598" t="str">
        <f t="shared" si="536"/>
        <v/>
      </c>
      <c r="HH144" s="598" t="str">
        <f>IF(AND(HE144="",HF144="",HG144=""),"",IF(OR(GY144="SUPPLEMENTARY",GY144="RE-EXAM"),'Supp. Result Entry'!AS143,GY144))</f>
        <v/>
      </c>
      <c r="HI144" s="180"/>
      <c r="HY144" s="212" t="str">
        <f>IF('Supp. Result Entry'!U143="","",'Supp. Result Entry'!$U$6)</f>
        <v/>
      </c>
      <c r="HZ144" s="213" t="str">
        <f>IF('Supp. Result Entry'!X143="","",'Supp. Result Entry'!$X$6)</f>
        <v/>
      </c>
      <c r="IA144" s="213" t="str">
        <f>IF('Supp. Result Entry'!AA143="","",'Supp. Result Entry'!$AA$6)</f>
        <v/>
      </c>
      <c r="IB144" s="213" t="str">
        <f>IF('Supp. Result Entry'!AD143="","",'Supp. Result Entry'!$AD$6)</f>
        <v/>
      </c>
      <c r="IC144" s="213" t="str">
        <f>IF('Supp. Result Entry'!AG143="","",'Supp. Result Entry'!$AG$6)</f>
        <v/>
      </c>
      <c r="ID144" s="213" t="str">
        <f>IF('Supp. Result Entry'!AJ143="","",'Supp. Result Entry'!$AJ$6)</f>
        <v/>
      </c>
      <c r="IE144" s="213" t="str">
        <f>IF('Supp. Result Entry'!V143="","",'Supp. Result Entry'!V143)</f>
        <v/>
      </c>
      <c r="IF144" s="213" t="str">
        <f>IF('Supp. Result Entry'!Y143="","",'Supp. Result Entry'!Y143)</f>
        <v/>
      </c>
      <c r="IG144" s="213" t="str">
        <f>IF('Supp. Result Entry'!AB143="","",'Supp. Result Entry'!AB143)</f>
        <v/>
      </c>
      <c r="IH144" s="213" t="str">
        <f>IF('Supp. Result Entry'!AE143="","",'Supp. Result Entry'!AE143)</f>
        <v/>
      </c>
      <c r="II144" s="213" t="str">
        <f>IF('Supp. Result Entry'!AH143="","",'Supp. Result Entry'!AH143)</f>
        <v/>
      </c>
      <c r="IJ144" s="213" t="str">
        <f>IF('Supp. Result Entry'!AK143="","",'Supp. Result Entry'!AK143)</f>
        <v/>
      </c>
      <c r="IK144" s="213" t="str">
        <f>IF('Supp. Result Entry'!W143="","",'Supp. Result Entry'!W143)</f>
        <v/>
      </c>
      <c r="IL144" s="213" t="str">
        <f>IF('Supp. Result Entry'!Z143="","",'Supp. Result Entry'!Z143)</f>
        <v/>
      </c>
      <c r="IM144" s="213" t="str">
        <f>IF('Supp. Result Entry'!AC143="","",'Supp. Result Entry'!AC143)</f>
        <v/>
      </c>
      <c r="IN144" s="213" t="str">
        <f>IF('Supp. Result Entry'!AF143="","",'Supp. Result Entry'!AF143)</f>
        <v/>
      </c>
      <c r="IO144" s="213" t="str">
        <f>IF('Supp. Result Entry'!AI143="","",'Supp. Result Entry'!AI143)</f>
        <v/>
      </c>
      <c r="IP144" s="213" t="str">
        <f>IF('Supp. Result Entry'!AL143="","",'Supp. Result Entry'!AL143)</f>
        <v/>
      </c>
      <c r="IQ144" s="213">
        <f>COUNTIF('Supp. Result Entry'!K143:Q143,"S")</f>
        <v>0</v>
      </c>
      <c r="IR144" s="213">
        <f t="shared" si="537"/>
        <v>0</v>
      </c>
      <c r="IS144" s="213">
        <f t="shared" si="538"/>
        <v>0</v>
      </c>
      <c r="IT144" s="213" t="str">
        <f t="shared" si="406"/>
        <v/>
      </c>
      <c r="IU144" s="213" t="str">
        <f t="shared" si="407"/>
        <v/>
      </c>
      <c r="IV144" s="213" t="str">
        <f t="shared" si="408"/>
        <v/>
      </c>
      <c r="IW144" s="213" t="str">
        <f t="shared" si="409"/>
        <v/>
      </c>
      <c r="IX144" s="213" t="str">
        <f t="shared" si="410"/>
        <v/>
      </c>
      <c r="IY144" s="213" t="str">
        <f t="shared" si="539"/>
        <v/>
      </c>
      <c r="IZ144" s="213" t="str">
        <f t="shared" si="540"/>
        <v/>
      </c>
      <c r="JA144" s="213" t="str">
        <f t="shared" si="411"/>
        <v/>
      </c>
      <c r="JB144" s="211" t="str">
        <f t="shared" si="541"/>
        <v/>
      </c>
    </row>
    <row r="145" spans="1:262" s="211" customFormat="1" ht="21" customHeight="1">
      <c r="A145" s="184">
        <v>138</v>
      </c>
      <c r="B145" s="185" t="str">
        <f>IF('Marks Entry'!B145="","",'Marks Entry'!B145)</f>
        <v/>
      </c>
      <c r="C145" s="186" t="str">
        <f>IF('Marks Entry'!D145="","",'Marks Entry'!D145)</f>
        <v/>
      </c>
      <c r="D145" s="187" t="str">
        <f>IF('Marks Entry'!E145="","",'Marks Entry'!E145)</f>
        <v/>
      </c>
      <c r="E145" s="188" t="str">
        <f>IF('Marks Entry'!F145="","",'Marks Entry'!F145)</f>
        <v/>
      </c>
      <c r="F145" s="188" t="str">
        <f>IF('Marks Entry'!G145="","",'Marks Entry'!G145)</f>
        <v/>
      </c>
      <c r="G145" s="188" t="str">
        <f>IF('Marks Entry'!H145="","",'Marks Entry'!H145)</f>
        <v/>
      </c>
      <c r="H145" s="189" t="str">
        <f>IF('Marks Entry'!I145="","",'Marks Entry'!I145)</f>
        <v/>
      </c>
      <c r="I145" s="190" t="str">
        <f>IF('Marks Entry'!J145="","",'Marks Entry'!J145)</f>
        <v/>
      </c>
      <c r="J145" s="545" t="str">
        <f>IF('Marks Entry'!K145="","",'Marks Entry'!K145)</f>
        <v/>
      </c>
      <c r="K145" s="545" t="str">
        <f>IF('Marks Entry'!L145="","",'Marks Entry'!L145)</f>
        <v/>
      </c>
      <c r="L145" s="545" t="str">
        <f>IF('Marks Entry'!M145="","",'Marks Entry'!M145)</f>
        <v/>
      </c>
      <c r="M145" s="546" t="str">
        <f t="shared" si="412"/>
        <v/>
      </c>
      <c r="N145" s="545" t="str">
        <f>IF('Marks Entry'!N145="","",'Marks Entry'!N145)</f>
        <v/>
      </c>
      <c r="O145" s="546" t="str">
        <f t="shared" si="413"/>
        <v/>
      </c>
      <c r="P145" s="545" t="str">
        <f>IF('Marks Entry'!O145="","",'Marks Entry'!O145)</f>
        <v/>
      </c>
      <c r="Q145" s="547" t="str">
        <f t="shared" si="414"/>
        <v/>
      </c>
      <c r="R145" s="153">
        <f t="shared" si="415"/>
        <v>0</v>
      </c>
      <c r="S145" s="153">
        <f t="shared" si="416"/>
        <v>0</v>
      </c>
      <c r="T145" s="154" t="str">
        <f t="shared" si="417"/>
        <v/>
      </c>
      <c r="U145" s="153" t="str">
        <f t="shared" si="418"/>
        <v/>
      </c>
      <c r="V145" s="153" t="str">
        <f t="shared" si="419"/>
        <v/>
      </c>
      <c r="W145" s="153" t="str">
        <f t="shared" si="420"/>
        <v/>
      </c>
      <c r="X145" s="545" t="str">
        <f>IF('Marks Entry'!P145="","",'Marks Entry'!P145)</f>
        <v/>
      </c>
      <c r="Y145" s="545" t="str">
        <f>IF('Marks Entry'!Q145="","",'Marks Entry'!Q145)</f>
        <v/>
      </c>
      <c r="Z145" s="545" t="str">
        <f>IF('Marks Entry'!R145="","",'Marks Entry'!R145)</f>
        <v/>
      </c>
      <c r="AA145" s="546" t="str">
        <f t="shared" si="421"/>
        <v/>
      </c>
      <c r="AB145" s="545" t="str">
        <f>IF('Marks Entry'!S145="","",'Marks Entry'!S145)</f>
        <v/>
      </c>
      <c r="AC145" s="546" t="str">
        <f t="shared" si="422"/>
        <v/>
      </c>
      <c r="AD145" s="545" t="str">
        <f>IF('Marks Entry'!T145="","",'Marks Entry'!T145)</f>
        <v/>
      </c>
      <c r="AE145" s="547" t="str">
        <f t="shared" si="423"/>
        <v/>
      </c>
      <c r="AF145" s="153">
        <f t="shared" si="424"/>
        <v>0</v>
      </c>
      <c r="AG145" s="153">
        <f t="shared" si="425"/>
        <v>0</v>
      </c>
      <c r="AH145" s="154" t="str">
        <f t="shared" si="426"/>
        <v/>
      </c>
      <c r="AI145" s="153" t="str">
        <f t="shared" si="427"/>
        <v/>
      </c>
      <c r="AJ145" s="153" t="str">
        <f t="shared" si="428"/>
        <v/>
      </c>
      <c r="AK145" s="153" t="str">
        <f t="shared" si="429"/>
        <v/>
      </c>
      <c r="AL145" s="573" t="str">
        <f>IF('Marks Entry'!U145="","",'Marks Entry'!U145)</f>
        <v/>
      </c>
      <c r="AM145" s="573" t="str">
        <f>IF('Marks Entry'!V145="","",'Marks Entry'!V145)</f>
        <v/>
      </c>
      <c r="AN145" s="573" t="str">
        <f>IF('Marks Entry'!W145="","",'Marks Entry'!W145)</f>
        <v/>
      </c>
      <c r="AO145" s="573" t="str">
        <f>IF('Marks Entry'!X145="","",'Marks Entry'!X145)</f>
        <v/>
      </c>
      <c r="AP145" s="572" t="str">
        <f t="shared" si="430"/>
        <v/>
      </c>
      <c r="AQ145" s="573" t="str">
        <f>IF('Marks Entry'!Y145="","",'Marks Entry'!Y145)</f>
        <v/>
      </c>
      <c r="AR145" s="573" t="str">
        <f>IF('Marks Entry'!Z145="","",'Marks Entry'!Z145)</f>
        <v/>
      </c>
      <c r="AS145" s="572" t="str">
        <f t="shared" si="431"/>
        <v/>
      </c>
      <c r="AT145" s="572" t="str">
        <f t="shared" si="432"/>
        <v/>
      </c>
      <c r="AU145" s="573" t="str">
        <f>IF('Marks Entry'!AA145="","",'Marks Entry'!AA145)</f>
        <v/>
      </c>
      <c r="AV145" s="573" t="str">
        <f>IF('Marks Entry'!AB145="","",'Marks Entry'!AB145)</f>
        <v/>
      </c>
      <c r="AW145" s="572" t="str">
        <f t="shared" si="433"/>
        <v/>
      </c>
      <c r="AX145" s="157" t="str">
        <f t="shared" si="434"/>
        <v/>
      </c>
      <c r="AY145" s="157" t="str">
        <f t="shared" si="435"/>
        <v/>
      </c>
      <c r="AZ145" s="192" t="str">
        <f t="shared" si="436"/>
        <v/>
      </c>
      <c r="BA145" s="153">
        <f t="shared" si="437"/>
        <v>0</v>
      </c>
      <c r="BB145" s="154">
        <f t="shared" si="438"/>
        <v>0</v>
      </c>
      <c r="BC145" s="154" t="str">
        <f t="shared" si="439"/>
        <v/>
      </c>
      <c r="BD145" s="154" t="str">
        <f t="shared" si="440"/>
        <v/>
      </c>
      <c r="BE145" s="154" t="str">
        <f t="shared" si="441"/>
        <v/>
      </c>
      <c r="BF145" s="153" t="str">
        <f t="shared" si="442"/>
        <v/>
      </c>
      <c r="BG145" s="154" t="str">
        <f t="shared" si="443"/>
        <v/>
      </c>
      <c r="BH145" s="153" t="str">
        <f t="shared" si="444"/>
        <v/>
      </c>
      <c r="BI145" s="580" t="str">
        <f>IF('Marks Entry'!AC145="","",'Marks Entry'!AC145)</f>
        <v/>
      </c>
      <c r="BJ145" s="580" t="str">
        <f>IF('Marks Entry'!AD145="","",'Marks Entry'!AD145)</f>
        <v/>
      </c>
      <c r="BK145" s="580" t="str">
        <f>IF('Marks Entry'!AE145="","",'Marks Entry'!AE145)</f>
        <v/>
      </c>
      <c r="BL145" s="580" t="str">
        <f>IF('Marks Entry'!AF145="","",'Marks Entry'!AF145)</f>
        <v/>
      </c>
      <c r="BM145" s="581" t="str">
        <f t="shared" si="445"/>
        <v/>
      </c>
      <c r="BN145" s="580" t="str">
        <f>IF('Marks Entry'!AG145="","",'Marks Entry'!AG145)</f>
        <v/>
      </c>
      <c r="BO145" s="580" t="str">
        <f>IF('Marks Entry'!AH145="","",'Marks Entry'!AH145)</f>
        <v/>
      </c>
      <c r="BP145" s="581" t="str">
        <f t="shared" si="446"/>
        <v/>
      </c>
      <c r="BQ145" s="581" t="str">
        <f t="shared" si="447"/>
        <v/>
      </c>
      <c r="BR145" s="580" t="str">
        <f>IF('Marks Entry'!AI145="","",'Marks Entry'!AI145)</f>
        <v/>
      </c>
      <c r="BS145" s="580" t="str">
        <f>IF('Marks Entry'!AJ145="","",'Marks Entry'!AJ145)</f>
        <v/>
      </c>
      <c r="BT145" s="581" t="str">
        <f t="shared" si="448"/>
        <v/>
      </c>
      <c r="BU145" s="157" t="str">
        <f t="shared" si="449"/>
        <v/>
      </c>
      <c r="BV145" s="157" t="str">
        <f t="shared" si="450"/>
        <v/>
      </c>
      <c r="BW145" s="192" t="str">
        <f t="shared" si="451"/>
        <v/>
      </c>
      <c r="BX145" s="153">
        <f t="shared" si="452"/>
        <v>0</v>
      </c>
      <c r="BY145" s="154">
        <f t="shared" si="453"/>
        <v>0</v>
      </c>
      <c r="BZ145" s="154" t="str">
        <f t="shared" si="454"/>
        <v/>
      </c>
      <c r="CA145" s="154" t="str">
        <f t="shared" si="455"/>
        <v/>
      </c>
      <c r="CB145" s="154" t="str">
        <f t="shared" si="456"/>
        <v/>
      </c>
      <c r="CC145" s="153" t="str">
        <f t="shared" si="457"/>
        <v/>
      </c>
      <c r="CD145" s="154" t="str">
        <f t="shared" si="458"/>
        <v/>
      </c>
      <c r="CE145" s="153" t="str">
        <f t="shared" si="459"/>
        <v/>
      </c>
      <c r="CF145" s="580" t="str">
        <f>IF('Marks Entry'!AK145="","",'Marks Entry'!AK145)</f>
        <v/>
      </c>
      <c r="CG145" s="580" t="str">
        <f>IF('Marks Entry'!AL145="","",'Marks Entry'!AL145)</f>
        <v/>
      </c>
      <c r="CH145" s="580" t="str">
        <f>IF('Marks Entry'!AM145="","",'Marks Entry'!AM145)</f>
        <v/>
      </c>
      <c r="CI145" s="580" t="str">
        <f>IF('Marks Entry'!AN145="","",'Marks Entry'!AN145)</f>
        <v/>
      </c>
      <c r="CJ145" s="581" t="str">
        <f t="shared" si="460"/>
        <v/>
      </c>
      <c r="CK145" s="580" t="str">
        <f>IF('Marks Entry'!AO145="","",'Marks Entry'!AO145)</f>
        <v/>
      </c>
      <c r="CL145" s="580" t="str">
        <f>IF('Marks Entry'!AP145="","",'Marks Entry'!AP145)</f>
        <v/>
      </c>
      <c r="CM145" s="581" t="str">
        <f t="shared" si="461"/>
        <v/>
      </c>
      <c r="CN145" s="581" t="str">
        <f t="shared" si="462"/>
        <v/>
      </c>
      <c r="CO145" s="580" t="str">
        <f>IF('Marks Entry'!AQ145="","",'Marks Entry'!AQ145)</f>
        <v/>
      </c>
      <c r="CP145" s="580" t="str">
        <f>IF('Marks Entry'!AR145="","",'Marks Entry'!AR145)</f>
        <v/>
      </c>
      <c r="CQ145" s="581" t="str">
        <f t="shared" si="463"/>
        <v/>
      </c>
      <c r="CR145" s="157" t="str">
        <f t="shared" si="464"/>
        <v/>
      </c>
      <c r="CS145" s="157" t="str">
        <f t="shared" si="465"/>
        <v/>
      </c>
      <c r="CT145" s="192" t="str">
        <f t="shared" si="466"/>
        <v/>
      </c>
      <c r="CU145" s="153">
        <f t="shared" si="467"/>
        <v>0</v>
      </c>
      <c r="CV145" s="154">
        <f t="shared" si="468"/>
        <v>0</v>
      </c>
      <c r="CW145" s="154" t="str">
        <f t="shared" si="469"/>
        <v/>
      </c>
      <c r="CX145" s="154" t="str">
        <f t="shared" si="470"/>
        <v/>
      </c>
      <c r="CY145" s="154" t="str">
        <f t="shared" si="471"/>
        <v/>
      </c>
      <c r="CZ145" s="153" t="str">
        <f t="shared" si="472"/>
        <v/>
      </c>
      <c r="DA145" s="154" t="str">
        <f t="shared" si="473"/>
        <v/>
      </c>
      <c r="DB145" s="153" t="str">
        <f t="shared" si="474"/>
        <v/>
      </c>
      <c r="DC145" s="154">
        <f t="shared" si="475"/>
        <v>0</v>
      </c>
      <c r="DD145" s="826" t="str">
        <f>IF('Marks Entry'!AS145="","",IF(OR('Master Sheet'!$D$19="YES",'Marks Entry'!$BA$1=1),'Marks Entry'!AS145,""))</f>
        <v/>
      </c>
      <c r="DE145" s="826" t="str">
        <f>IF('Marks Entry'!AT145="","",IF(OR('Master Sheet'!$D$19="YES",'Marks Entry'!$BA$1=1),'Marks Entry'!AT145,""))</f>
        <v/>
      </c>
      <c r="DF145" s="826" t="str">
        <f>IF('Marks Entry'!AU145="","",IF(OR('Master Sheet'!$D$19="YES",'Marks Entry'!$BA$1=1),'Marks Entry'!AU145,""))</f>
        <v/>
      </c>
      <c r="DG145" s="826" t="str">
        <f>IF('Marks Entry'!AV145="","",IF(OR('Master Sheet'!$D$19="YES",'Marks Entry'!$BA$1=1),'Marks Entry'!AV145,""))</f>
        <v/>
      </c>
      <c r="DH145" s="827" t="str">
        <f t="shared" si="476"/>
        <v/>
      </c>
      <c r="DI145" s="826" t="str">
        <f>IF('Marks Entry'!AW145="","",IF(OR('Master Sheet'!$D$19="YES",'Marks Entry'!$BA$1=1),'Marks Entry'!AW145,""))</f>
        <v/>
      </c>
      <c r="DJ145" s="826" t="str">
        <f>IF('Marks Entry'!AX145="","",IF(OR('Master Sheet'!$D$19="YES",'Marks Entry'!$BA$1=1),'Marks Entry'!AX145,""))</f>
        <v/>
      </c>
      <c r="DK145" s="827" t="str">
        <f t="shared" si="477"/>
        <v/>
      </c>
      <c r="DL145" s="827" t="str">
        <f t="shared" si="478"/>
        <v/>
      </c>
      <c r="DM145" s="826" t="str">
        <f>IF('Marks Entry'!AY145="","",IF(OR('Master Sheet'!$D$19="YES",'Marks Entry'!$BA$1=1),'Marks Entry'!AY145,""))</f>
        <v/>
      </c>
      <c r="DN145" s="826" t="str">
        <f>IF('Marks Entry'!AZ145="","",IF(OR('Master Sheet'!$D$19="YES",'Marks Entry'!$BA$1=1),'Marks Entry'!AZ145,""))</f>
        <v/>
      </c>
      <c r="DO145" s="826" t="str">
        <f>IF('Marks Entry'!BA145="","",IF(OR('Master Sheet'!$D$19="YES",'Marks Entry'!$BA$1=1),'Marks Entry'!BA145,""))</f>
        <v/>
      </c>
      <c r="DP145" s="827" t="str">
        <f t="shared" si="479"/>
        <v/>
      </c>
      <c r="DQ145" s="157" t="str">
        <f t="shared" si="480"/>
        <v/>
      </c>
      <c r="DR145" s="157" t="str">
        <f t="shared" si="481"/>
        <v/>
      </c>
      <c r="DS145" s="157" t="str">
        <f t="shared" si="482"/>
        <v/>
      </c>
      <c r="DT145" s="192" t="str">
        <f t="shared" si="483"/>
        <v/>
      </c>
      <c r="DU145" s="153">
        <f t="shared" si="484"/>
        <v>0</v>
      </c>
      <c r="DV145" s="154" t="e">
        <f t="shared" si="485"/>
        <v>#VALUE!</v>
      </c>
      <c r="DW145" s="154" t="str">
        <f t="shared" si="486"/>
        <v/>
      </c>
      <c r="DX145" s="154" t="str">
        <f>IF(OR($B145="NSO",$B145=0,DS145=""),"",IF(AND(DJ145="",DO145=""),"",IF('Master Sheet'!$D$19="YES",$DO$6-COUNTIF(DO145,"ML")*DO$6,DS$6-(COUNTIF(DJ145,"ML")*DJ$6)-(COUNTIF(DO145,"ML")*DO$6))))</f>
        <v/>
      </c>
      <c r="DY145" s="154" t="str">
        <f>IF(OR($B145="NSO",$B145=0),"",IF(AND(DH145="",DI145="",DM145=""),"",IF(AND('Master Sheet'!$D$19="YES",'Marks Entry'!$BA$1=1),100,IF(AND(DJ145="",DO145=""),SUM(($DQ$7+$DR$7)-(DU145+DV145)),SUM(($DQ$6+$DR$6)-(DU145+DV145))))))</f>
        <v/>
      </c>
      <c r="DZ145" s="153" t="str">
        <f t="shared" si="487"/>
        <v/>
      </c>
      <c r="EA145" s="154" t="str">
        <f t="shared" si="488"/>
        <v/>
      </c>
      <c r="EB145" s="153" t="str">
        <f t="shared" si="489"/>
        <v/>
      </c>
      <c r="EC145" s="584" t="str">
        <f>IF('Marks Entry'!BB145="","",'Marks Entry'!BB145)</f>
        <v/>
      </c>
      <c r="ED145" s="584" t="str">
        <f>IF('Marks Entry'!BC145="","",'Marks Entry'!BC145)</f>
        <v/>
      </c>
      <c r="EE145" s="584" t="str">
        <f>IF('Marks Entry'!BD145="","",'Marks Entry'!BD145)</f>
        <v/>
      </c>
      <c r="EF145" s="590" t="str">
        <f t="shared" si="490"/>
        <v/>
      </c>
      <c r="EG145" s="595">
        <f t="shared" si="491"/>
        <v>0</v>
      </c>
      <c r="EH145" s="595">
        <f t="shared" si="492"/>
        <v>0</v>
      </c>
      <c r="EI145" s="193" t="str">
        <f t="shared" si="493"/>
        <v/>
      </c>
      <c r="EJ145" s="595" t="str">
        <f t="shared" si="494"/>
        <v/>
      </c>
      <c r="EK145" s="595" t="str">
        <f t="shared" si="495"/>
        <v/>
      </c>
      <c r="EL145" s="194" t="str">
        <f t="shared" si="496"/>
        <v/>
      </c>
      <c r="EM145" s="194" t="str">
        <f t="shared" si="497"/>
        <v/>
      </c>
      <c r="EN145" s="194" t="str">
        <f t="shared" si="498"/>
        <v/>
      </c>
      <c r="EO145" s="194" t="str">
        <f t="shared" si="499"/>
        <v/>
      </c>
      <c r="EP145" s="194" t="str">
        <f t="shared" si="500"/>
        <v/>
      </c>
      <c r="EQ145" s="194" t="str">
        <f t="shared" si="501"/>
        <v/>
      </c>
      <c r="ER145" s="195">
        <f t="shared" si="502"/>
        <v>0</v>
      </c>
      <c r="ES145" s="195">
        <f t="shared" si="503"/>
        <v>0</v>
      </c>
      <c r="ET145" s="195">
        <f t="shared" si="504"/>
        <v>0</v>
      </c>
      <c r="EU145" s="195">
        <f t="shared" si="505"/>
        <v>0</v>
      </c>
      <c r="EV145" s="195">
        <f t="shared" si="506"/>
        <v>0</v>
      </c>
      <c r="EW145" s="195" t="str">
        <f t="shared" si="507"/>
        <v/>
      </c>
      <c r="EX145" s="196" t="str">
        <f t="shared" si="508"/>
        <v/>
      </c>
      <c r="EY145" s="197" t="str">
        <f>IF('Marks Entry'!BE145="","",'Marks Entry'!BE145)</f>
        <v/>
      </c>
      <c r="EZ145" s="197" t="str">
        <f>IF('Marks Entry'!BF145="","",'Marks Entry'!BF145)</f>
        <v/>
      </c>
      <c r="FA145" s="197" t="str">
        <f>IF('Marks Entry'!BG145="","",'Marks Entry'!BG145)</f>
        <v/>
      </c>
      <c r="FB145" s="596" t="str">
        <f t="shared" si="509"/>
        <v/>
      </c>
      <c r="FC145" s="197" t="str">
        <f>IF('Marks Entry'!BH145="","",'Marks Entry'!BH145)</f>
        <v/>
      </c>
      <c r="FD145" s="197" t="str">
        <f>IF('Marks Entry'!BI145="","",'Marks Entry'!BI145)</f>
        <v/>
      </c>
      <c r="FE145" s="198" t="str">
        <f t="shared" si="510"/>
        <v/>
      </c>
      <c r="FF145" s="199" t="str">
        <f t="shared" si="511"/>
        <v/>
      </c>
      <c r="FG145" s="200" t="str">
        <f>IF(AND(E145=""),"",IF('Student DATA Entry'!L141="","",'Student DATA Entry'!L141))</f>
        <v/>
      </c>
      <c r="FH145" s="201" t="str">
        <f>IF(AND(E145=""),"",IF('Student DATA Entry'!M141="","",'Student DATA Entry'!M141))</f>
        <v/>
      </c>
      <c r="FI145" s="202" t="str">
        <f t="shared" si="512"/>
        <v/>
      </c>
      <c r="FJ145" s="189" t="str">
        <f t="shared" si="513"/>
        <v/>
      </c>
      <c r="FK145" s="189" t="str">
        <f t="shared" si="514"/>
        <v/>
      </c>
      <c r="FL145" s="203" t="str">
        <f t="shared" si="383"/>
        <v/>
      </c>
      <c r="FM145" s="189" t="str">
        <f t="shared" si="515"/>
        <v/>
      </c>
      <c r="FN145" s="204" t="str">
        <f t="shared" si="516"/>
        <v/>
      </c>
      <c r="FO145" s="203" t="str">
        <f t="shared" si="384"/>
        <v/>
      </c>
      <c r="FP145" s="205" t="str">
        <f t="shared" si="517"/>
        <v/>
      </c>
      <c r="FQ145" s="189" t="str">
        <f t="shared" si="385"/>
        <v/>
      </c>
      <c r="FR145" s="189" t="str">
        <f t="shared" si="386"/>
        <v/>
      </c>
      <c r="FS145" s="189" t="str">
        <f t="shared" si="387"/>
        <v/>
      </c>
      <c r="FT145" s="189" t="str">
        <f t="shared" si="388"/>
        <v/>
      </c>
      <c r="FU145" s="189" t="str">
        <f t="shared" si="518"/>
        <v/>
      </c>
      <c r="FV145" s="206" t="str">
        <f t="shared" si="389"/>
        <v/>
      </c>
      <c r="FW145" s="205" t="str">
        <f t="shared" si="519"/>
        <v/>
      </c>
      <c r="FX145" s="189" t="str">
        <f t="shared" si="390"/>
        <v/>
      </c>
      <c r="FY145" s="189" t="str">
        <f t="shared" si="391"/>
        <v/>
      </c>
      <c r="FZ145" s="189" t="str">
        <f t="shared" si="392"/>
        <v/>
      </c>
      <c r="GA145" s="189" t="str">
        <f t="shared" si="393"/>
        <v/>
      </c>
      <c r="GB145" s="189" t="str">
        <f t="shared" si="520"/>
        <v/>
      </c>
      <c r="GC145" s="206" t="str">
        <f t="shared" si="394"/>
        <v/>
      </c>
      <c r="GD145" s="205" t="str">
        <f t="shared" si="521"/>
        <v/>
      </c>
      <c r="GE145" s="189" t="str">
        <f t="shared" si="395"/>
        <v/>
      </c>
      <c r="GF145" s="189" t="str">
        <f t="shared" si="396"/>
        <v/>
      </c>
      <c r="GG145" s="189" t="str">
        <f t="shared" si="397"/>
        <v/>
      </c>
      <c r="GH145" s="189" t="str">
        <f t="shared" si="398"/>
        <v/>
      </c>
      <c r="GI145" s="189" t="str">
        <f t="shared" si="522"/>
        <v/>
      </c>
      <c r="GJ145" s="206" t="str">
        <f t="shared" si="399"/>
        <v/>
      </c>
      <c r="GK145" s="205" t="str">
        <f t="shared" si="523"/>
        <v/>
      </c>
      <c r="GL145" s="189" t="str">
        <f t="shared" si="400"/>
        <v/>
      </c>
      <c r="GM145" s="189" t="str">
        <f t="shared" si="401"/>
        <v/>
      </c>
      <c r="GN145" s="189" t="str">
        <f t="shared" si="402"/>
        <v/>
      </c>
      <c r="GO145" s="189" t="str">
        <f t="shared" si="403"/>
        <v/>
      </c>
      <c r="GP145" s="189" t="str">
        <f t="shared" si="524"/>
        <v/>
      </c>
      <c r="GQ145" s="206" t="str">
        <f t="shared" si="404"/>
        <v/>
      </c>
      <c r="GR145" s="189" t="str">
        <f t="shared" si="525"/>
        <v/>
      </c>
      <c r="GS145" s="189" t="str">
        <f t="shared" si="526"/>
        <v/>
      </c>
      <c r="GT145" s="207" t="str">
        <f t="shared" si="527"/>
        <v xml:space="preserve">    </v>
      </c>
      <c r="GU145" s="207" t="str">
        <f t="shared" si="528"/>
        <v xml:space="preserve">    </v>
      </c>
      <c r="GV145" s="207" t="str">
        <f t="shared" si="529"/>
        <v xml:space="preserve">    </v>
      </c>
      <c r="GW145" s="207" t="str">
        <f t="shared" si="530"/>
        <v xml:space="preserve">       </v>
      </c>
      <c r="GX145" s="598" t="str">
        <f t="shared" si="531"/>
        <v xml:space="preserve">     </v>
      </c>
      <c r="GY145" s="208" t="str">
        <f t="shared" si="405"/>
        <v/>
      </c>
      <c r="GZ145" s="606" t="str">
        <f>IF(AND(Q145="",AE145="",AZ145="",BW145="",CT145=""),"",IF(AND('Master Sheet'!$D$19="YES",'Marks Entry'!$BA$1=1),SUM(Q145,AE145,AZ145,BW145,DT145),SUM(Q145,AE145,AZ145,BW145,CT145)))</f>
        <v/>
      </c>
      <c r="HA145" s="209" t="str">
        <f>IF(GZ145="","",IF(AND('Master Sheet'!$D$19="YES",'Marks Entry'!$BA$1=1),GZ145/((900)-DC145)*100,GZ145/((1000)-DC145)*100))</f>
        <v/>
      </c>
      <c r="HB145" s="611" t="str">
        <f t="shared" si="532"/>
        <v/>
      </c>
      <c r="HC145" s="609" t="str">
        <f t="shared" si="533"/>
        <v/>
      </c>
      <c r="HD145" s="610" t="str">
        <f t="shared" si="534"/>
        <v/>
      </c>
      <c r="HE145" s="210" t="str">
        <f>IFERROR(IF(OR(GY145="SUPPLEMENTARY",GY145="RE-EXAM"),'Supp. Result Entry'!AS144,""),"")</f>
        <v/>
      </c>
      <c r="HF145" s="613" t="str">
        <f t="shared" si="535"/>
        <v/>
      </c>
      <c r="HG145" s="598" t="str">
        <f t="shared" si="536"/>
        <v/>
      </c>
      <c r="HH145" s="598" t="str">
        <f>IF(AND(HE145="",HF145="",HG145=""),"",IF(OR(GY145="SUPPLEMENTARY",GY145="RE-EXAM"),'Supp. Result Entry'!AS144,GY145))</f>
        <v/>
      </c>
      <c r="HI145" s="180"/>
      <c r="HY145" s="212" t="str">
        <f>IF('Supp. Result Entry'!U144="","",'Supp. Result Entry'!$U$6)</f>
        <v/>
      </c>
      <c r="HZ145" s="213" t="str">
        <f>IF('Supp. Result Entry'!X144="","",'Supp. Result Entry'!$X$6)</f>
        <v/>
      </c>
      <c r="IA145" s="213" t="str">
        <f>IF('Supp. Result Entry'!AA144="","",'Supp. Result Entry'!$AA$6)</f>
        <v/>
      </c>
      <c r="IB145" s="213" t="str">
        <f>IF('Supp. Result Entry'!AD144="","",'Supp. Result Entry'!$AD$6)</f>
        <v/>
      </c>
      <c r="IC145" s="213" t="str">
        <f>IF('Supp. Result Entry'!AG144="","",'Supp. Result Entry'!$AG$6)</f>
        <v/>
      </c>
      <c r="ID145" s="213" t="str">
        <f>IF('Supp. Result Entry'!AJ144="","",'Supp. Result Entry'!$AJ$6)</f>
        <v/>
      </c>
      <c r="IE145" s="213" t="str">
        <f>IF('Supp. Result Entry'!V144="","",'Supp. Result Entry'!V144)</f>
        <v/>
      </c>
      <c r="IF145" s="213" t="str">
        <f>IF('Supp. Result Entry'!Y144="","",'Supp. Result Entry'!Y144)</f>
        <v/>
      </c>
      <c r="IG145" s="213" t="str">
        <f>IF('Supp. Result Entry'!AB144="","",'Supp. Result Entry'!AB144)</f>
        <v/>
      </c>
      <c r="IH145" s="213" t="str">
        <f>IF('Supp. Result Entry'!AE144="","",'Supp. Result Entry'!AE144)</f>
        <v/>
      </c>
      <c r="II145" s="213" t="str">
        <f>IF('Supp. Result Entry'!AH144="","",'Supp. Result Entry'!AH144)</f>
        <v/>
      </c>
      <c r="IJ145" s="213" t="str">
        <f>IF('Supp. Result Entry'!AK144="","",'Supp. Result Entry'!AK144)</f>
        <v/>
      </c>
      <c r="IK145" s="213" t="str">
        <f>IF('Supp. Result Entry'!W144="","",'Supp. Result Entry'!W144)</f>
        <v/>
      </c>
      <c r="IL145" s="213" t="str">
        <f>IF('Supp. Result Entry'!Z144="","",'Supp. Result Entry'!Z144)</f>
        <v/>
      </c>
      <c r="IM145" s="213" t="str">
        <f>IF('Supp. Result Entry'!AC144="","",'Supp. Result Entry'!AC144)</f>
        <v/>
      </c>
      <c r="IN145" s="213" t="str">
        <f>IF('Supp. Result Entry'!AF144="","",'Supp. Result Entry'!AF144)</f>
        <v/>
      </c>
      <c r="IO145" s="213" t="str">
        <f>IF('Supp. Result Entry'!AI144="","",'Supp. Result Entry'!AI144)</f>
        <v/>
      </c>
      <c r="IP145" s="213" t="str">
        <f>IF('Supp. Result Entry'!AL144="","",'Supp. Result Entry'!AL144)</f>
        <v/>
      </c>
      <c r="IQ145" s="213">
        <f>COUNTIF('Supp. Result Entry'!K144:Q144,"S")</f>
        <v>0</v>
      </c>
      <c r="IR145" s="213">
        <f t="shared" si="537"/>
        <v>0</v>
      </c>
      <c r="IS145" s="213">
        <f t="shared" si="538"/>
        <v>0</v>
      </c>
      <c r="IT145" s="213" t="str">
        <f t="shared" si="406"/>
        <v/>
      </c>
      <c r="IU145" s="213" t="str">
        <f t="shared" si="407"/>
        <v/>
      </c>
      <c r="IV145" s="213" t="str">
        <f t="shared" si="408"/>
        <v/>
      </c>
      <c r="IW145" s="213" t="str">
        <f t="shared" si="409"/>
        <v/>
      </c>
      <c r="IX145" s="213" t="str">
        <f t="shared" si="410"/>
        <v/>
      </c>
      <c r="IY145" s="213" t="str">
        <f t="shared" si="539"/>
        <v/>
      </c>
      <c r="IZ145" s="213" t="str">
        <f t="shared" si="540"/>
        <v/>
      </c>
      <c r="JA145" s="213" t="str">
        <f t="shared" si="411"/>
        <v/>
      </c>
      <c r="JB145" s="211" t="str">
        <f t="shared" si="541"/>
        <v/>
      </c>
    </row>
    <row r="146" spans="1:262" s="211" customFormat="1" ht="21" customHeight="1">
      <c r="A146" s="184">
        <v>139</v>
      </c>
      <c r="B146" s="185" t="str">
        <f>IF('Marks Entry'!B146="","",'Marks Entry'!B146)</f>
        <v/>
      </c>
      <c r="C146" s="186" t="str">
        <f>IF('Marks Entry'!D146="","",'Marks Entry'!D146)</f>
        <v/>
      </c>
      <c r="D146" s="187" t="str">
        <f>IF('Marks Entry'!E146="","",'Marks Entry'!E146)</f>
        <v/>
      </c>
      <c r="E146" s="188" t="str">
        <f>IF('Marks Entry'!F146="","",'Marks Entry'!F146)</f>
        <v/>
      </c>
      <c r="F146" s="188" t="str">
        <f>IF('Marks Entry'!G146="","",'Marks Entry'!G146)</f>
        <v/>
      </c>
      <c r="G146" s="188" t="str">
        <f>IF('Marks Entry'!H146="","",'Marks Entry'!H146)</f>
        <v/>
      </c>
      <c r="H146" s="189" t="str">
        <f>IF('Marks Entry'!I146="","",'Marks Entry'!I146)</f>
        <v/>
      </c>
      <c r="I146" s="190" t="str">
        <f>IF('Marks Entry'!J146="","",'Marks Entry'!J146)</f>
        <v/>
      </c>
      <c r="J146" s="545" t="str">
        <f>IF('Marks Entry'!K146="","",'Marks Entry'!K146)</f>
        <v/>
      </c>
      <c r="K146" s="545" t="str">
        <f>IF('Marks Entry'!L146="","",'Marks Entry'!L146)</f>
        <v/>
      </c>
      <c r="L146" s="545" t="str">
        <f>IF('Marks Entry'!M146="","",'Marks Entry'!M146)</f>
        <v/>
      </c>
      <c r="M146" s="546" t="str">
        <f t="shared" si="412"/>
        <v/>
      </c>
      <c r="N146" s="545" t="str">
        <f>IF('Marks Entry'!N146="","",'Marks Entry'!N146)</f>
        <v/>
      </c>
      <c r="O146" s="546" t="str">
        <f t="shared" si="413"/>
        <v/>
      </c>
      <c r="P146" s="545" t="str">
        <f>IF('Marks Entry'!O146="","",'Marks Entry'!O146)</f>
        <v/>
      </c>
      <c r="Q146" s="547" t="str">
        <f t="shared" si="414"/>
        <v/>
      </c>
      <c r="R146" s="153">
        <f t="shared" si="415"/>
        <v>0</v>
      </c>
      <c r="S146" s="153">
        <f t="shared" si="416"/>
        <v>0</v>
      </c>
      <c r="T146" s="154" t="str">
        <f t="shared" si="417"/>
        <v/>
      </c>
      <c r="U146" s="153" t="str">
        <f t="shared" si="418"/>
        <v/>
      </c>
      <c r="V146" s="153" t="str">
        <f t="shared" si="419"/>
        <v/>
      </c>
      <c r="W146" s="153" t="str">
        <f t="shared" si="420"/>
        <v/>
      </c>
      <c r="X146" s="545" t="str">
        <f>IF('Marks Entry'!P146="","",'Marks Entry'!P146)</f>
        <v/>
      </c>
      <c r="Y146" s="545" t="str">
        <f>IF('Marks Entry'!Q146="","",'Marks Entry'!Q146)</f>
        <v/>
      </c>
      <c r="Z146" s="545" t="str">
        <f>IF('Marks Entry'!R146="","",'Marks Entry'!R146)</f>
        <v/>
      </c>
      <c r="AA146" s="546" t="str">
        <f t="shared" si="421"/>
        <v/>
      </c>
      <c r="AB146" s="545" t="str">
        <f>IF('Marks Entry'!S146="","",'Marks Entry'!S146)</f>
        <v/>
      </c>
      <c r="AC146" s="546" t="str">
        <f t="shared" si="422"/>
        <v/>
      </c>
      <c r="AD146" s="545" t="str">
        <f>IF('Marks Entry'!T146="","",'Marks Entry'!T146)</f>
        <v/>
      </c>
      <c r="AE146" s="547" t="str">
        <f t="shared" si="423"/>
        <v/>
      </c>
      <c r="AF146" s="153">
        <f t="shared" si="424"/>
        <v>0</v>
      </c>
      <c r="AG146" s="153">
        <f t="shared" si="425"/>
        <v>0</v>
      </c>
      <c r="AH146" s="154" t="str">
        <f t="shared" si="426"/>
        <v/>
      </c>
      <c r="AI146" s="153" t="str">
        <f t="shared" si="427"/>
        <v/>
      </c>
      <c r="AJ146" s="153" t="str">
        <f t="shared" si="428"/>
        <v/>
      </c>
      <c r="AK146" s="153" t="str">
        <f t="shared" si="429"/>
        <v/>
      </c>
      <c r="AL146" s="573" t="str">
        <f>IF('Marks Entry'!U146="","",'Marks Entry'!U146)</f>
        <v/>
      </c>
      <c r="AM146" s="573" t="str">
        <f>IF('Marks Entry'!V146="","",'Marks Entry'!V146)</f>
        <v/>
      </c>
      <c r="AN146" s="573" t="str">
        <f>IF('Marks Entry'!W146="","",'Marks Entry'!W146)</f>
        <v/>
      </c>
      <c r="AO146" s="573" t="str">
        <f>IF('Marks Entry'!X146="","",'Marks Entry'!X146)</f>
        <v/>
      </c>
      <c r="AP146" s="572" t="str">
        <f t="shared" si="430"/>
        <v/>
      </c>
      <c r="AQ146" s="573" t="str">
        <f>IF('Marks Entry'!Y146="","",'Marks Entry'!Y146)</f>
        <v/>
      </c>
      <c r="AR146" s="573" t="str">
        <f>IF('Marks Entry'!Z146="","",'Marks Entry'!Z146)</f>
        <v/>
      </c>
      <c r="AS146" s="572" t="str">
        <f t="shared" si="431"/>
        <v/>
      </c>
      <c r="AT146" s="572" t="str">
        <f t="shared" si="432"/>
        <v/>
      </c>
      <c r="AU146" s="573" t="str">
        <f>IF('Marks Entry'!AA146="","",'Marks Entry'!AA146)</f>
        <v/>
      </c>
      <c r="AV146" s="573" t="str">
        <f>IF('Marks Entry'!AB146="","",'Marks Entry'!AB146)</f>
        <v/>
      </c>
      <c r="AW146" s="572" t="str">
        <f t="shared" si="433"/>
        <v/>
      </c>
      <c r="AX146" s="157" t="str">
        <f t="shared" si="434"/>
        <v/>
      </c>
      <c r="AY146" s="157" t="str">
        <f t="shared" si="435"/>
        <v/>
      </c>
      <c r="AZ146" s="192" t="str">
        <f t="shared" si="436"/>
        <v/>
      </c>
      <c r="BA146" s="153">
        <f t="shared" si="437"/>
        <v>0</v>
      </c>
      <c r="BB146" s="154">
        <f t="shared" si="438"/>
        <v>0</v>
      </c>
      <c r="BC146" s="154" t="str">
        <f t="shared" si="439"/>
        <v/>
      </c>
      <c r="BD146" s="154" t="str">
        <f t="shared" si="440"/>
        <v/>
      </c>
      <c r="BE146" s="154" t="str">
        <f t="shared" si="441"/>
        <v/>
      </c>
      <c r="BF146" s="153" t="str">
        <f t="shared" si="442"/>
        <v/>
      </c>
      <c r="BG146" s="154" t="str">
        <f t="shared" si="443"/>
        <v/>
      </c>
      <c r="BH146" s="153" t="str">
        <f t="shared" si="444"/>
        <v/>
      </c>
      <c r="BI146" s="580" t="str">
        <f>IF('Marks Entry'!AC146="","",'Marks Entry'!AC146)</f>
        <v/>
      </c>
      <c r="BJ146" s="580" t="str">
        <f>IF('Marks Entry'!AD146="","",'Marks Entry'!AD146)</f>
        <v/>
      </c>
      <c r="BK146" s="580" t="str">
        <f>IF('Marks Entry'!AE146="","",'Marks Entry'!AE146)</f>
        <v/>
      </c>
      <c r="BL146" s="580" t="str">
        <f>IF('Marks Entry'!AF146="","",'Marks Entry'!AF146)</f>
        <v/>
      </c>
      <c r="BM146" s="581" t="str">
        <f t="shared" si="445"/>
        <v/>
      </c>
      <c r="BN146" s="580" t="str">
        <f>IF('Marks Entry'!AG146="","",'Marks Entry'!AG146)</f>
        <v/>
      </c>
      <c r="BO146" s="580" t="str">
        <f>IF('Marks Entry'!AH146="","",'Marks Entry'!AH146)</f>
        <v/>
      </c>
      <c r="BP146" s="581" t="str">
        <f t="shared" si="446"/>
        <v/>
      </c>
      <c r="BQ146" s="581" t="str">
        <f t="shared" si="447"/>
        <v/>
      </c>
      <c r="BR146" s="580" t="str">
        <f>IF('Marks Entry'!AI146="","",'Marks Entry'!AI146)</f>
        <v/>
      </c>
      <c r="BS146" s="580" t="str">
        <f>IF('Marks Entry'!AJ146="","",'Marks Entry'!AJ146)</f>
        <v/>
      </c>
      <c r="BT146" s="581" t="str">
        <f t="shared" si="448"/>
        <v/>
      </c>
      <c r="BU146" s="157" t="str">
        <f t="shared" si="449"/>
        <v/>
      </c>
      <c r="BV146" s="157" t="str">
        <f t="shared" si="450"/>
        <v/>
      </c>
      <c r="BW146" s="192" t="str">
        <f t="shared" si="451"/>
        <v/>
      </c>
      <c r="BX146" s="153">
        <f t="shared" si="452"/>
        <v>0</v>
      </c>
      <c r="BY146" s="154">
        <f t="shared" si="453"/>
        <v>0</v>
      </c>
      <c r="BZ146" s="154" t="str">
        <f t="shared" si="454"/>
        <v/>
      </c>
      <c r="CA146" s="154" t="str">
        <f t="shared" si="455"/>
        <v/>
      </c>
      <c r="CB146" s="154" t="str">
        <f t="shared" si="456"/>
        <v/>
      </c>
      <c r="CC146" s="153" t="str">
        <f t="shared" si="457"/>
        <v/>
      </c>
      <c r="CD146" s="154" t="str">
        <f t="shared" si="458"/>
        <v/>
      </c>
      <c r="CE146" s="153" t="str">
        <f t="shared" si="459"/>
        <v/>
      </c>
      <c r="CF146" s="580" t="str">
        <f>IF('Marks Entry'!AK146="","",'Marks Entry'!AK146)</f>
        <v/>
      </c>
      <c r="CG146" s="580" t="str">
        <f>IF('Marks Entry'!AL146="","",'Marks Entry'!AL146)</f>
        <v/>
      </c>
      <c r="CH146" s="580" t="str">
        <f>IF('Marks Entry'!AM146="","",'Marks Entry'!AM146)</f>
        <v/>
      </c>
      <c r="CI146" s="580" t="str">
        <f>IF('Marks Entry'!AN146="","",'Marks Entry'!AN146)</f>
        <v/>
      </c>
      <c r="CJ146" s="581" t="str">
        <f t="shared" si="460"/>
        <v/>
      </c>
      <c r="CK146" s="580" t="str">
        <f>IF('Marks Entry'!AO146="","",'Marks Entry'!AO146)</f>
        <v/>
      </c>
      <c r="CL146" s="580" t="str">
        <f>IF('Marks Entry'!AP146="","",'Marks Entry'!AP146)</f>
        <v/>
      </c>
      <c r="CM146" s="581" t="str">
        <f t="shared" si="461"/>
        <v/>
      </c>
      <c r="CN146" s="581" t="str">
        <f t="shared" si="462"/>
        <v/>
      </c>
      <c r="CO146" s="580" t="str">
        <f>IF('Marks Entry'!AQ146="","",'Marks Entry'!AQ146)</f>
        <v/>
      </c>
      <c r="CP146" s="580" t="str">
        <f>IF('Marks Entry'!AR146="","",'Marks Entry'!AR146)</f>
        <v/>
      </c>
      <c r="CQ146" s="581" t="str">
        <f t="shared" si="463"/>
        <v/>
      </c>
      <c r="CR146" s="157" t="str">
        <f t="shared" si="464"/>
        <v/>
      </c>
      <c r="CS146" s="157" t="str">
        <f t="shared" si="465"/>
        <v/>
      </c>
      <c r="CT146" s="192" t="str">
        <f t="shared" si="466"/>
        <v/>
      </c>
      <c r="CU146" s="153">
        <f t="shared" si="467"/>
        <v>0</v>
      </c>
      <c r="CV146" s="154">
        <f t="shared" si="468"/>
        <v>0</v>
      </c>
      <c r="CW146" s="154" t="str">
        <f t="shared" si="469"/>
        <v/>
      </c>
      <c r="CX146" s="154" t="str">
        <f t="shared" si="470"/>
        <v/>
      </c>
      <c r="CY146" s="154" t="str">
        <f t="shared" si="471"/>
        <v/>
      </c>
      <c r="CZ146" s="153" t="str">
        <f t="shared" si="472"/>
        <v/>
      </c>
      <c r="DA146" s="154" t="str">
        <f t="shared" si="473"/>
        <v/>
      </c>
      <c r="DB146" s="153" t="str">
        <f t="shared" si="474"/>
        <v/>
      </c>
      <c r="DC146" s="154">
        <f t="shared" si="475"/>
        <v>0</v>
      </c>
      <c r="DD146" s="826" t="str">
        <f>IF('Marks Entry'!AS146="","",IF(OR('Master Sheet'!$D$19="YES",'Marks Entry'!$BA$1=1),'Marks Entry'!AS146,""))</f>
        <v/>
      </c>
      <c r="DE146" s="826" t="str">
        <f>IF('Marks Entry'!AT146="","",IF(OR('Master Sheet'!$D$19="YES",'Marks Entry'!$BA$1=1),'Marks Entry'!AT146,""))</f>
        <v/>
      </c>
      <c r="DF146" s="826" t="str">
        <f>IF('Marks Entry'!AU146="","",IF(OR('Master Sheet'!$D$19="YES",'Marks Entry'!$BA$1=1),'Marks Entry'!AU146,""))</f>
        <v/>
      </c>
      <c r="DG146" s="826" t="str">
        <f>IF('Marks Entry'!AV146="","",IF(OR('Master Sheet'!$D$19="YES",'Marks Entry'!$BA$1=1),'Marks Entry'!AV146,""))</f>
        <v/>
      </c>
      <c r="DH146" s="827" t="str">
        <f t="shared" si="476"/>
        <v/>
      </c>
      <c r="DI146" s="826" t="str">
        <f>IF('Marks Entry'!AW146="","",IF(OR('Master Sheet'!$D$19="YES",'Marks Entry'!$BA$1=1),'Marks Entry'!AW146,""))</f>
        <v/>
      </c>
      <c r="DJ146" s="826" t="str">
        <f>IF('Marks Entry'!AX146="","",IF(OR('Master Sheet'!$D$19="YES",'Marks Entry'!$BA$1=1),'Marks Entry'!AX146,""))</f>
        <v/>
      </c>
      <c r="DK146" s="827" t="str">
        <f t="shared" si="477"/>
        <v/>
      </c>
      <c r="DL146" s="827" t="str">
        <f t="shared" si="478"/>
        <v/>
      </c>
      <c r="DM146" s="826" t="str">
        <f>IF('Marks Entry'!AY146="","",IF(OR('Master Sheet'!$D$19="YES",'Marks Entry'!$BA$1=1),'Marks Entry'!AY146,""))</f>
        <v/>
      </c>
      <c r="DN146" s="826" t="str">
        <f>IF('Marks Entry'!AZ146="","",IF(OR('Master Sheet'!$D$19="YES",'Marks Entry'!$BA$1=1),'Marks Entry'!AZ146,""))</f>
        <v/>
      </c>
      <c r="DO146" s="826" t="str">
        <f>IF('Marks Entry'!BA146="","",IF(OR('Master Sheet'!$D$19="YES",'Marks Entry'!$BA$1=1),'Marks Entry'!BA146,""))</f>
        <v/>
      </c>
      <c r="DP146" s="827" t="str">
        <f t="shared" si="479"/>
        <v/>
      </c>
      <c r="DQ146" s="157" t="str">
        <f t="shared" si="480"/>
        <v/>
      </c>
      <c r="DR146" s="157" t="str">
        <f t="shared" si="481"/>
        <v/>
      </c>
      <c r="DS146" s="157" t="str">
        <f t="shared" si="482"/>
        <v/>
      </c>
      <c r="DT146" s="192" t="str">
        <f t="shared" si="483"/>
        <v/>
      </c>
      <c r="DU146" s="153">
        <f t="shared" si="484"/>
        <v>0</v>
      </c>
      <c r="DV146" s="154" t="e">
        <f t="shared" si="485"/>
        <v>#VALUE!</v>
      </c>
      <c r="DW146" s="154" t="str">
        <f t="shared" si="486"/>
        <v/>
      </c>
      <c r="DX146" s="154" t="str">
        <f>IF(OR($B146="NSO",$B146=0,DS146=""),"",IF(AND(DJ146="",DO146=""),"",IF('Master Sheet'!$D$19="YES",$DO$6-COUNTIF(DO146,"ML")*DO$6,DS$6-(COUNTIF(DJ146,"ML")*DJ$6)-(COUNTIF(DO146,"ML")*DO$6))))</f>
        <v/>
      </c>
      <c r="DY146" s="154" t="str">
        <f>IF(OR($B146="NSO",$B146=0),"",IF(AND(DH146="",DI146="",DM146=""),"",IF(AND('Master Sheet'!$D$19="YES",'Marks Entry'!$BA$1=1),100,IF(AND(DJ146="",DO146=""),SUM(($DQ$7+$DR$7)-(DU146+DV146)),SUM(($DQ$6+$DR$6)-(DU146+DV146))))))</f>
        <v/>
      </c>
      <c r="DZ146" s="153" t="str">
        <f t="shared" si="487"/>
        <v/>
      </c>
      <c r="EA146" s="154" t="str">
        <f t="shared" si="488"/>
        <v/>
      </c>
      <c r="EB146" s="153" t="str">
        <f t="shared" si="489"/>
        <v/>
      </c>
      <c r="EC146" s="584" t="str">
        <f>IF('Marks Entry'!BB146="","",'Marks Entry'!BB146)</f>
        <v/>
      </c>
      <c r="ED146" s="584" t="str">
        <f>IF('Marks Entry'!BC146="","",'Marks Entry'!BC146)</f>
        <v/>
      </c>
      <c r="EE146" s="584" t="str">
        <f>IF('Marks Entry'!BD146="","",'Marks Entry'!BD146)</f>
        <v/>
      </c>
      <c r="EF146" s="590" t="str">
        <f t="shared" si="490"/>
        <v/>
      </c>
      <c r="EG146" s="595">
        <f t="shared" si="491"/>
        <v>0</v>
      </c>
      <c r="EH146" s="595">
        <f t="shared" si="492"/>
        <v>0</v>
      </c>
      <c r="EI146" s="193" t="str">
        <f t="shared" si="493"/>
        <v/>
      </c>
      <c r="EJ146" s="595" t="str">
        <f t="shared" si="494"/>
        <v/>
      </c>
      <c r="EK146" s="595" t="str">
        <f t="shared" si="495"/>
        <v/>
      </c>
      <c r="EL146" s="194" t="str">
        <f t="shared" si="496"/>
        <v/>
      </c>
      <c r="EM146" s="194" t="str">
        <f t="shared" si="497"/>
        <v/>
      </c>
      <c r="EN146" s="194" t="str">
        <f t="shared" si="498"/>
        <v/>
      </c>
      <c r="EO146" s="194" t="str">
        <f t="shared" si="499"/>
        <v/>
      </c>
      <c r="EP146" s="194" t="str">
        <f t="shared" si="500"/>
        <v/>
      </c>
      <c r="EQ146" s="194" t="str">
        <f t="shared" si="501"/>
        <v/>
      </c>
      <c r="ER146" s="195">
        <f t="shared" si="502"/>
        <v>0</v>
      </c>
      <c r="ES146" s="195">
        <f t="shared" si="503"/>
        <v>0</v>
      </c>
      <c r="ET146" s="195">
        <f t="shared" si="504"/>
        <v>0</v>
      </c>
      <c r="EU146" s="195">
        <f t="shared" si="505"/>
        <v>0</v>
      </c>
      <c r="EV146" s="195">
        <f t="shared" si="506"/>
        <v>0</v>
      </c>
      <c r="EW146" s="195" t="str">
        <f t="shared" si="507"/>
        <v/>
      </c>
      <c r="EX146" s="196" t="str">
        <f t="shared" si="508"/>
        <v/>
      </c>
      <c r="EY146" s="197" t="str">
        <f>IF('Marks Entry'!BE146="","",'Marks Entry'!BE146)</f>
        <v/>
      </c>
      <c r="EZ146" s="197" t="str">
        <f>IF('Marks Entry'!BF146="","",'Marks Entry'!BF146)</f>
        <v/>
      </c>
      <c r="FA146" s="197" t="str">
        <f>IF('Marks Entry'!BG146="","",'Marks Entry'!BG146)</f>
        <v/>
      </c>
      <c r="FB146" s="596" t="str">
        <f t="shared" si="509"/>
        <v/>
      </c>
      <c r="FC146" s="197" t="str">
        <f>IF('Marks Entry'!BH146="","",'Marks Entry'!BH146)</f>
        <v/>
      </c>
      <c r="FD146" s="197" t="str">
        <f>IF('Marks Entry'!BI146="","",'Marks Entry'!BI146)</f>
        <v/>
      </c>
      <c r="FE146" s="198" t="str">
        <f t="shared" si="510"/>
        <v/>
      </c>
      <c r="FF146" s="199" t="str">
        <f t="shared" si="511"/>
        <v/>
      </c>
      <c r="FG146" s="200" t="str">
        <f>IF(AND(E146=""),"",IF('Student DATA Entry'!L142="","",'Student DATA Entry'!L142))</f>
        <v/>
      </c>
      <c r="FH146" s="201" t="str">
        <f>IF(AND(E146=""),"",IF('Student DATA Entry'!M142="","",'Student DATA Entry'!M142))</f>
        <v/>
      </c>
      <c r="FI146" s="202" t="str">
        <f t="shared" si="512"/>
        <v/>
      </c>
      <c r="FJ146" s="189" t="str">
        <f t="shared" si="513"/>
        <v/>
      </c>
      <c r="FK146" s="189" t="str">
        <f t="shared" si="514"/>
        <v/>
      </c>
      <c r="FL146" s="203" t="str">
        <f t="shared" si="383"/>
        <v/>
      </c>
      <c r="FM146" s="189" t="str">
        <f t="shared" si="515"/>
        <v/>
      </c>
      <c r="FN146" s="204" t="str">
        <f t="shared" si="516"/>
        <v/>
      </c>
      <c r="FO146" s="203" t="str">
        <f t="shared" si="384"/>
        <v/>
      </c>
      <c r="FP146" s="205" t="str">
        <f t="shared" si="517"/>
        <v/>
      </c>
      <c r="FQ146" s="189" t="str">
        <f t="shared" si="385"/>
        <v/>
      </c>
      <c r="FR146" s="189" t="str">
        <f t="shared" si="386"/>
        <v/>
      </c>
      <c r="FS146" s="189" t="str">
        <f t="shared" si="387"/>
        <v/>
      </c>
      <c r="FT146" s="189" t="str">
        <f t="shared" si="388"/>
        <v/>
      </c>
      <c r="FU146" s="189" t="str">
        <f t="shared" si="518"/>
        <v/>
      </c>
      <c r="FV146" s="206" t="str">
        <f t="shared" si="389"/>
        <v/>
      </c>
      <c r="FW146" s="205" t="str">
        <f t="shared" si="519"/>
        <v/>
      </c>
      <c r="FX146" s="189" t="str">
        <f t="shared" si="390"/>
        <v/>
      </c>
      <c r="FY146" s="189" t="str">
        <f t="shared" si="391"/>
        <v/>
      </c>
      <c r="FZ146" s="189" t="str">
        <f t="shared" si="392"/>
        <v/>
      </c>
      <c r="GA146" s="189" t="str">
        <f t="shared" si="393"/>
        <v/>
      </c>
      <c r="GB146" s="189" t="str">
        <f t="shared" si="520"/>
        <v/>
      </c>
      <c r="GC146" s="206" t="str">
        <f t="shared" si="394"/>
        <v/>
      </c>
      <c r="GD146" s="205" t="str">
        <f t="shared" si="521"/>
        <v/>
      </c>
      <c r="GE146" s="189" t="str">
        <f t="shared" si="395"/>
        <v/>
      </c>
      <c r="GF146" s="189" t="str">
        <f t="shared" si="396"/>
        <v/>
      </c>
      <c r="GG146" s="189" t="str">
        <f t="shared" si="397"/>
        <v/>
      </c>
      <c r="GH146" s="189" t="str">
        <f t="shared" si="398"/>
        <v/>
      </c>
      <c r="GI146" s="189" t="str">
        <f t="shared" si="522"/>
        <v/>
      </c>
      <c r="GJ146" s="206" t="str">
        <f t="shared" si="399"/>
        <v/>
      </c>
      <c r="GK146" s="205" t="str">
        <f t="shared" si="523"/>
        <v/>
      </c>
      <c r="GL146" s="189" t="str">
        <f t="shared" si="400"/>
        <v/>
      </c>
      <c r="GM146" s="189" t="str">
        <f t="shared" si="401"/>
        <v/>
      </c>
      <c r="GN146" s="189" t="str">
        <f t="shared" si="402"/>
        <v/>
      </c>
      <c r="GO146" s="189" t="str">
        <f t="shared" si="403"/>
        <v/>
      </c>
      <c r="GP146" s="189" t="str">
        <f t="shared" si="524"/>
        <v/>
      </c>
      <c r="GQ146" s="206" t="str">
        <f t="shared" si="404"/>
        <v/>
      </c>
      <c r="GR146" s="189" t="str">
        <f t="shared" si="525"/>
        <v/>
      </c>
      <c r="GS146" s="189" t="str">
        <f t="shared" si="526"/>
        <v/>
      </c>
      <c r="GT146" s="207" t="str">
        <f t="shared" si="527"/>
        <v xml:space="preserve">    </v>
      </c>
      <c r="GU146" s="207" t="str">
        <f t="shared" si="528"/>
        <v xml:space="preserve">    </v>
      </c>
      <c r="GV146" s="207" t="str">
        <f t="shared" si="529"/>
        <v xml:space="preserve">    </v>
      </c>
      <c r="GW146" s="207" t="str">
        <f t="shared" si="530"/>
        <v xml:space="preserve">       </v>
      </c>
      <c r="GX146" s="598" t="str">
        <f t="shared" si="531"/>
        <v xml:space="preserve">     </v>
      </c>
      <c r="GY146" s="208" t="str">
        <f t="shared" si="405"/>
        <v/>
      </c>
      <c r="GZ146" s="606" t="str">
        <f>IF(AND(Q146="",AE146="",AZ146="",BW146="",CT146=""),"",IF(AND('Master Sheet'!$D$19="YES",'Marks Entry'!$BA$1=1),SUM(Q146,AE146,AZ146,BW146,DT146),SUM(Q146,AE146,AZ146,BW146,CT146)))</f>
        <v/>
      </c>
      <c r="HA146" s="209" t="str">
        <f>IF(GZ146="","",IF(AND('Master Sheet'!$D$19="YES",'Marks Entry'!$BA$1=1),GZ146/((900)-DC146)*100,GZ146/((1000)-DC146)*100))</f>
        <v/>
      </c>
      <c r="HB146" s="611" t="str">
        <f t="shared" si="532"/>
        <v/>
      </c>
      <c r="HC146" s="609" t="str">
        <f t="shared" si="533"/>
        <v/>
      </c>
      <c r="HD146" s="610" t="str">
        <f t="shared" si="534"/>
        <v/>
      </c>
      <c r="HE146" s="210" t="str">
        <f>IFERROR(IF(OR(GY146="SUPPLEMENTARY",GY146="RE-EXAM"),'Supp. Result Entry'!AS145,""),"")</f>
        <v/>
      </c>
      <c r="HF146" s="613" t="str">
        <f t="shared" si="535"/>
        <v/>
      </c>
      <c r="HG146" s="598" t="str">
        <f t="shared" si="536"/>
        <v/>
      </c>
      <c r="HH146" s="598" t="str">
        <f>IF(AND(HE146="",HF146="",HG146=""),"",IF(OR(GY146="SUPPLEMENTARY",GY146="RE-EXAM"),'Supp. Result Entry'!AS145,GY146))</f>
        <v/>
      </c>
      <c r="HI146" s="180"/>
      <c r="HY146" s="212" t="str">
        <f>IF('Supp. Result Entry'!U145="","",'Supp. Result Entry'!$U$6)</f>
        <v/>
      </c>
      <c r="HZ146" s="213" t="str">
        <f>IF('Supp. Result Entry'!X145="","",'Supp. Result Entry'!$X$6)</f>
        <v/>
      </c>
      <c r="IA146" s="213" t="str">
        <f>IF('Supp. Result Entry'!AA145="","",'Supp. Result Entry'!$AA$6)</f>
        <v/>
      </c>
      <c r="IB146" s="213" t="str">
        <f>IF('Supp. Result Entry'!AD145="","",'Supp. Result Entry'!$AD$6)</f>
        <v/>
      </c>
      <c r="IC146" s="213" t="str">
        <f>IF('Supp. Result Entry'!AG145="","",'Supp. Result Entry'!$AG$6)</f>
        <v/>
      </c>
      <c r="ID146" s="213" t="str">
        <f>IF('Supp. Result Entry'!AJ145="","",'Supp. Result Entry'!$AJ$6)</f>
        <v/>
      </c>
      <c r="IE146" s="213" t="str">
        <f>IF('Supp. Result Entry'!V145="","",'Supp. Result Entry'!V145)</f>
        <v/>
      </c>
      <c r="IF146" s="213" t="str">
        <f>IF('Supp. Result Entry'!Y145="","",'Supp. Result Entry'!Y145)</f>
        <v/>
      </c>
      <c r="IG146" s="213" t="str">
        <f>IF('Supp. Result Entry'!AB145="","",'Supp. Result Entry'!AB145)</f>
        <v/>
      </c>
      <c r="IH146" s="213" t="str">
        <f>IF('Supp. Result Entry'!AE145="","",'Supp. Result Entry'!AE145)</f>
        <v/>
      </c>
      <c r="II146" s="213" t="str">
        <f>IF('Supp. Result Entry'!AH145="","",'Supp. Result Entry'!AH145)</f>
        <v/>
      </c>
      <c r="IJ146" s="213" t="str">
        <f>IF('Supp. Result Entry'!AK145="","",'Supp. Result Entry'!AK145)</f>
        <v/>
      </c>
      <c r="IK146" s="213" t="str">
        <f>IF('Supp. Result Entry'!W145="","",'Supp. Result Entry'!W145)</f>
        <v/>
      </c>
      <c r="IL146" s="213" t="str">
        <f>IF('Supp. Result Entry'!Z145="","",'Supp. Result Entry'!Z145)</f>
        <v/>
      </c>
      <c r="IM146" s="213" t="str">
        <f>IF('Supp. Result Entry'!AC145="","",'Supp. Result Entry'!AC145)</f>
        <v/>
      </c>
      <c r="IN146" s="213" t="str">
        <f>IF('Supp. Result Entry'!AF145="","",'Supp. Result Entry'!AF145)</f>
        <v/>
      </c>
      <c r="IO146" s="213" t="str">
        <f>IF('Supp. Result Entry'!AI145="","",'Supp. Result Entry'!AI145)</f>
        <v/>
      </c>
      <c r="IP146" s="213" t="str">
        <f>IF('Supp. Result Entry'!AL145="","",'Supp. Result Entry'!AL145)</f>
        <v/>
      </c>
      <c r="IQ146" s="213">
        <f>COUNTIF('Supp. Result Entry'!K145:Q145,"S")</f>
        <v>0</v>
      </c>
      <c r="IR146" s="213">
        <f t="shared" si="537"/>
        <v>0</v>
      </c>
      <c r="IS146" s="213">
        <f t="shared" si="538"/>
        <v>0</v>
      </c>
      <c r="IT146" s="213" t="str">
        <f t="shared" si="406"/>
        <v/>
      </c>
      <c r="IU146" s="213" t="str">
        <f t="shared" si="407"/>
        <v/>
      </c>
      <c r="IV146" s="213" t="str">
        <f t="shared" si="408"/>
        <v/>
      </c>
      <c r="IW146" s="213" t="str">
        <f t="shared" si="409"/>
        <v/>
      </c>
      <c r="IX146" s="213" t="str">
        <f t="shared" si="410"/>
        <v/>
      </c>
      <c r="IY146" s="213" t="str">
        <f t="shared" si="539"/>
        <v/>
      </c>
      <c r="IZ146" s="213" t="str">
        <f t="shared" si="540"/>
        <v/>
      </c>
      <c r="JA146" s="213" t="str">
        <f t="shared" si="411"/>
        <v/>
      </c>
      <c r="JB146" s="211" t="str">
        <f t="shared" si="541"/>
        <v/>
      </c>
    </row>
    <row r="147" spans="1:262" s="211" customFormat="1" ht="21" customHeight="1">
      <c r="A147" s="184">
        <v>140</v>
      </c>
      <c r="B147" s="185" t="str">
        <f>IF('Marks Entry'!B147="","",'Marks Entry'!B147)</f>
        <v/>
      </c>
      <c r="C147" s="186" t="str">
        <f>IF('Marks Entry'!D147="","",'Marks Entry'!D147)</f>
        <v/>
      </c>
      <c r="D147" s="187" t="str">
        <f>IF('Marks Entry'!E147="","",'Marks Entry'!E147)</f>
        <v/>
      </c>
      <c r="E147" s="188" t="str">
        <f>IF('Marks Entry'!F147="","",'Marks Entry'!F147)</f>
        <v/>
      </c>
      <c r="F147" s="188" t="str">
        <f>IF('Marks Entry'!G147="","",'Marks Entry'!G147)</f>
        <v/>
      </c>
      <c r="G147" s="188" t="str">
        <f>IF('Marks Entry'!H147="","",'Marks Entry'!H147)</f>
        <v/>
      </c>
      <c r="H147" s="189" t="str">
        <f>IF('Marks Entry'!I147="","",'Marks Entry'!I147)</f>
        <v/>
      </c>
      <c r="I147" s="190" t="str">
        <f>IF('Marks Entry'!J147="","",'Marks Entry'!J147)</f>
        <v/>
      </c>
      <c r="J147" s="545" t="str">
        <f>IF('Marks Entry'!K147="","",'Marks Entry'!K147)</f>
        <v/>
      </c>
      <c r="K147" s="545" t="str">
        <f>IF('Marks Entry'!L147="","",'Marks Entry'!L147)</f>
        <v/>
      </c>
      <c r="L147" s="545" t="str">
        <f>IF('Marks Entry'!M147="","",'Marks Entry'!M147)</f>
        <v/>
      </c>
      <c r="M147" s="546" t="str">
        <f t="shared" si="412"/>
        <v/>
      </c>
      <c r="N147" s="545" t="str">
        <f>IF('Marks Entry'!N147="","",'Marks Entry'!N147)</f>
        <v/>
      </c>
      <c r="O147" s="546" t="str">
        <f t="shared" si="413"/>
        <v/>
      </c>
      <c r="P147" s="545" t="str">
        <f>IF('Marks Entry'!O147="","",'Marks Entry'!O147)</f>
        <v/>
      </c>
      <c r="Q147" s="547" t="str">
        <f t="shared" si="414"/>
        <v/>
      </c>
      <c r="R147" s="153">
        <f t="shared" si="415"/>
        <v>0</v>
      </c>
      <c r="S147" s="153">
        <f t="shared" si="416"/>
        <v>0</v>
      </c>
      <c r="T147" s="154" t="str">
        <f t="shared" si="417"/>
        <v/>
      </c>
      <c r="U147" s="153" t="str">
        <f t="shared" si="418"/>
        <v/>
      </c>
      <c r="V147" s="153" t="str">
        <f t="shared" si="419"/>
        <v/>
      </c>
      <c r="W147" s="153" t="str">
        <f t="shared" si="420"/>
        <v/>
      </c>
      <c r="X147" s="545" t="str">
        <f>IF('Marks Entry'!P147="","",'Marks Entry'!P147)</f>
        <v/>
      </c>
      <c r="Y147" s="545" t="str">
        <f>IF('Marks Entry'!Q147="","",'Marks Entry'!Q147)</f>
        <v/>
      </c>
      <c r="Z147" s="545" t="str">
        <f>IF('Marks Entry'!R147="","",'Marks Entry'!R147)</f>
        <v/>
      </c>
      <c r="AA147" s="546" t="str">
        <f t="shared" si="421"/>
        <v/>
      </c>
      <c r="AB147" s="545" t="str">
        <f>IF('Marks Entry'!S147="","",'Marks Entry'!S147)</f>
        <v/>
      </c>
      <c r="AC147" s="546" t="str">
        <f t="shared" si="422"/>
        <v/>
      </c>
      <c r="AD147" s="545" t="str">
        <f>IF('Marks Entry'!T147="","",'Marks Entry'!T147)</f>
        <v/>
      </c>
      <c r="AE147" s="547" t="str">
        <f t="shared" si="423"/>
        <v/>
      </c>
      <c r="AF147" s="153">
        <f t="shared" si="424"/>
        <v>0</v>
      </c>
      <c r="AG147" s="153">
        <f t="shared" si="425"/>
        <v>0</v>
      </c>
      <c r="AH147" s="154" t="str">
        <f t="shared" si="426"/>
        <v/>
      </c>
      <c r="AI147" s="153" t="str">
        <f t="shared" si="427"/>
        <v/>
      </c>
      <c r="AJ147" s="153" t="str">
        <f t="shared" si="428"/>
        <v/>
      </c>
      <c r="AK147" s="153" t="str">
        <f t="shared" si="429"/>
        <v/>
      </c>
      <c r="AL147" s="573" t="str">
        <f>IF('Marks Entry'!U147="","",'Marks Entry'!U147)</f>
        <v/>
      </c>
      <c r="AM147" s="573" t="str">
        <f>IF('Marks Entry'!V147="","",'Marks Entry'!V147)</f>
        <v/>
      </c>
      <c r="AN147" s="573" t="str">
        <f>IF('Marks Entry'!W147="","",'Marks Entry'!W147)</f>
        <v/>
      </c>
      <c r="AO147" s="573" t="str">
        <f>IF('Marks Entry'!X147="","",'Marks Entry'!X147)</f>
        <v/>
      </c>
      <c r="AP147" s="572" t="str">
        <f t="shared" si="430"/>
        <v/>
      </c>
      <c r="AQ147" s="573" t="str">
        <f>IF('Marks Entry'!Y147="","",'Marks Entry'!Y147)</f>
        <v/>
      </c>
      <c r="AR147" s="573" t="str">
        <f>IF('Marks Entry'!Z147="","",'Marks Entry'!Z147)</f>
        <v/>
      </c>
      <c r="AS147" s="572" t="str">
        <f t="shared" si="431"/>
        <v/>
      </c>
      <c r="AT147" s="572" t="str">
        <f t="shared" si="432"/>
        <v/>
      </c>
      <c r="AU147" s="573" t="str">
        <f>IF('Marks Entry'!AA147="","",'Marks Entry'!AA147)</f>
        <v/>
      </c>
      <c r="AV147" s="573" t="str">
        <f>IF('Marks Entry'!AB147="","",'Marks Entry'!AB147)</f>
        <v/>
      </c>
      <c r="AW147" s="572" t="str">
        <f t="shared" si="433"/>
        <v/>
      </c>
      <c r="AX147" s="157" t="str">
        <f t="shared" si="434"/>
        <v/>
      </c>
      <c r="AY147" s="157" t="str">
        <f t="shared" si="435"/>
        <v/>
      </c>
      <c r="AZ147" s="192" t="str">
        <f t="shared" si="436"/>
        <v/>
      </c>
      <c r="BA147" s="153">
        <f t="shared" si="437"/>
        <v>0</v>
      </c>
      <c r="BB147" s="154">
        <f t="shared" si="438"/>
        <v>0</v>
      </c>
      <c r="BC147" s="154" t="str">
        <f t="shared" si="439"/>
        <v/>
      </c>
      <c r="BD147" s="154" t="str">
        <f t="shared" si="440"/>
        <v/>
      </c>
      <c r="BE147" s="154" t="str">
        <f t="shared" si="441"/>
        <v/>
      </c>
      <c r="BF147" s="153" t="str">
        <f t="shared" si="442"/>
        <v/>
      </c>
      <c r="BG147" s="154" t="str">
        <f t="shared" si="443"/>
        <v/>
      </c>
      <c r="BH147" s="153" t="str">
        <f t="shared" si="444"/>
        <v/>
      </c>
      <c r="BI147" s="580" t="str">
        <f>IF('Marks Entry'!AC147="","",'Marks Entry'!AC147)</f>
        <v/>
      </c>
      <c r="BJ147" s="580" t="str">
        <f>IF('Marks Entry'!AD147="","",'Marks Entry'!AD147)</f>
        <v/>
      </c>
      <c r="BK147" s="580" t="str">
        <f>IF('Marks Entry'!AE147="","",'Marks Entry'!AE147)</f>
        <v/>
      </c>
      <c r="BL147" s="580" t="str">
        <f>IF('Marks Entry'!AF147="","",'Marks Entry'!AF147)</f>
        <v/>
      </c>
      <c r="BM147" s="581" t="str">
        <f t="shared" si="445"/>
        <v/>
      </c>
      <c r="BN147" s="580" t="str">
        <f>IF('Marks Entry'!AG147="","",'Marks Entry'!AG147)</f>
        <v/>
      </c>
      <c r="BO147" s="580" t="str">
        <f>IF('Marks Entry'!AH147="","",'Marks Entry'!AH147)</f>
        <v/>
      </c>
      <c r="BP147" s="581" t="str">
        <f t="shared" si="446"/>
        <v/>
      </c>
      <c r="BQ147" s="581" t="str">
        <f t="shared" si="447"/>
        <v/>
      </c>
      <c r="BR147" s="580" t="str">
        <f>IF('Marks Entry'!AI147="","",'Marks Entry'!AI147)</f>
        <v/>
      </c>
      <c r="BS147" s="580" t="str">
        <f>IF('Marks Entry'!AJ147="","",'Marks Entry'!AJ147)</f>
        <v/>
      </c>
      <c r="BT147" s="581" t="str">
        <f t="shared" si="448"/>
        <v/>
      </c>
      <c r="BU147" s="157" t="str">
        <f t="shared" si="449"/>
        <v/>
      </c>
      <c r="BV147" s="157" t="str">
        <f t="shared" si="450"/>
        <v/>
      </c>
      <c r="BW147" s="192" t="str">
        <f t="shared" si="451"/>
        <v/>
      </c>
      <c r="BX147" s="153">
        <f t="shared" si="452"/>
        <v>0</v>
      </c>
      <c r="BY147" s="154">
        <f t="shared" si="453"/>
        <v>0</v>
      </c>
      <c r="BZ147" s="154" t="str">
        <f t="shared" si="454"/>
        <v/>
      </c>
      <c r="CA147" s="154" t="str">
        <f t="shared" si="455"/>
        <v/>
      </c>
      <c r="CB147" s="154" t="str">
        <f t="shared" si="456"/>
        <v/>
      </c>
      <c r="CC147" s="153" t="str">
        <f t="shared" si="457"/>
        <v/>
      </c>
      <c r="CD147" s="154" t="str">
        <f t="shared" si="458"/>
        <v/>
      </c>
      <c r="CE147" s="153" t="str">
        <f t="shared" si="459"/>
        <v/>
      </c>
      <c r="CF147" s="580" t="str">
        <f>IF('Marks Entry'!AK147="","",'Marks Entry'!AK147)</f>
        <v/>
      </c>
      <c r="CG147" s="580" t="str">
        <f>IF('Marks Entry'!AL147="","",'Marks Entry'!AL147)</f>
        <v/>
      </c>
      <c r="CH147" s="580" t="str">
        <f>IF('Marks Entry'!AM147="","",'Marks Entry'!AM147)</f>
        <v/>
      </c>
      <c r="CI147" s="580" t="str">
        <f>IF('Marks Entry'!AN147="","",'Marks Entry'!AN147)</f>
        <v/>
      </c>
      <c r="CJ147" s="581" t="str">
        <f t="shared" si="460"/>
        <v/>
      </c>
      <c r="CK147" s="580" t="str">
        <f>IF('Marks Entry'!AO147="","",'Marks Entry'!AO147)</f>
        <v/>
      </c>
      <c r="CL147" s="580" t="str">
        <f>IF('Marks Entry'!AP147="","",'Marks Entry'!AP147)</f>
        <v/>
      </c>
      <c r="CM147" s="581" t="str">
        <f t="shared" si="461"/>
        <v/>
      </c>
      <c r="CN147" s="581" t="str">
        <f t="shared" si="462"/>
        <v/>
      </c>
      <c r="CO147" s="580" t="str">
        <f>IF('Marks Entry'!AQ147="","",'Marks Entry'!AQ147)</f>
        <v/>
      </c>
      <c r="CP147" s="580" t="str">
        <f>IF('Marks Entry'!AR147="","",'Marks Entry'!AR147)</f>
        <v/>
      </c>
      <c r="CQ147" s="581" t="str">
        <f t="shared" si="463"/>
        <v/>
      </c>
      <c r="CR147" s="157" t="str">
        <f t="shared" si="464"/>
        <v/>
      </c>
      <c r="CS147" s="157" t="str">
        <f t="shared" si="465"/>
        <v/>
      </c>
      <c r="CT147" s="192" t="str">
        <f t="shared" si="466"/>
        <v/>
      </c>
      <c r="CU147" s="153">
        <f t="shared" si="467"/>
        <v>0</v>
      </c>
      <c r="CV147" s="154">
        <f t="shared" si="468"/>
        <v>0</v>
      </c>
      <c r="CW147" s="154" t="str">
        <f t="shared" si="469"/>
        <v/>
      </c>
      <c r="CX147" s="154" t="str">
        <f t="shared" si="470"/>
        <v/>
      </c>
      <c r="CY147" s="154" t="str">
        <f t="shared" si="471"/>
        <v/>
      </c>
      <c r="CZ147" s="153" t="str">
        <f t="shared" si="472"/>
        <v/>
      </c>
      <c r="DA147" s="154" t="str">
        <f t="shared" si="473"/>
        <v/>
      </c>
      <c r="DB147" s="153" t="str">
        <f t="shared" si="474"/>
        <v/>
      </c>
      <c r="DC147" s="154">
        <f t="shared" si="475"/>
        <v>0</v>
      </c>
      <c r="DD147" s="826" t="str">
        <f>IF('Marks Entry'!AS147="","",IF(OR('Master Sheet'!$D$19="YES",'Marks Entry'!$BA$1=1),'Marks Entry'!AS147,""))</f>
        <v/>
      </c>
      <c r="DE147" s="826" t="str">
        <f>IF('Marks Entry'!AT147="","",IF(OR('Master Sheet'!$D$19="YES",'Marks Entry'!$BA$1=1),'Marks Entry'!AT147,""))</f>
        <v/>
      </c>
      <c r="DF147" s="826" t="str">
        <f>IF('Marks Entry'!AU147="","",IF(OR('Master Sheet'!$D$19="YES",'Marks Entry'!$BA$1=1),'Marks Entry'!AU147,""))</f>
        <v/>
      </c>
      <c r="DG147" s="826" t="str">
        <f>IF('Marks Entry'!AV147="","",IF(OR('Master Sheet'!$D$19="YES",'Marks Entry'!$BA$1=1),'Marks Entry'!AV147,""))</f>
        <v/>
      </c>
      <c r="DH147" s="827" t="str">
        <f t="shared" si="476"/>
        <v/>
      </c>
      <c r="DI147" s="826" t="str">
        <f>IF('Marks Entry'!AW147="","",IF(OR('Master Sheet'!$D$19="YES",'Marks Entry'!$BA$1=1),'Marks Entry'!AW147,""))</f>
        <v/>
      </c>
      <c r="DJ147" s="826" t="str">
        <f>IF('Marks Entry'!AX147="","",IF(OR('Master Sheet'!$D$19="YES",'Marks Entry'!$BA$1=1),'Marks Entry'!AX147,""))</f>
        <v/>
      </c>
      <c r="DK147" s="827" t="str">
        <f t="shared" si="477"/>
        <v/>
      </c>
      <c r="DL147" s="827" t="str">
        <f t="shared" si="478"/>
        <v/>
      </c>
      <c r="DM147" s="826" t="str">
        <f>IF('Marks Entry'!AY147="","",IF(OR('Master Sheet'!$D$19="YES",'Marks Entry'!$BA$1=1),'Marks Entry'!AY147,""))</f>
        <v/>
      </c>
      <c r="DN147" s="826" t="str">
        <f>IF('Marks Entry'!AZ147="","",IF(OR('Master Sheet'!$D$19="YES",'Marks Entry'!$BA$1=1),'Marks Entry'!AZ147,""))</f>
        <v/>
      </c>
      <c r="DO147" s="826" t="str">
        <f>IF('Marks Entry'!BA147="","",IF(OR('Master Sheet'!$D$19="YES",'Marks Entry'!$BA$1=1),'Marks Entry'!BA147,""))</f>
        <v/>
      </c>
      <c r="DP147" s="827" t="str">
        <f t="shared" si="479"/>
        <v/>
      </c>
      <c r="DQ147" s="157" t="str">
        <f t="shared" si="480"/>
        <v/>
      </c>
      <c r="DR147" s="157" t="str">
        <f t="shared" si="481"/>
        <v/>
      </c>
      <c r="DS147" s="157" t="str">
        <f t="shared" si="482"/>
        <v/>
      </c>
      <c r="DT147" s="192" t="str">
        <f t="shared" si="483"/>
        <v/>
      </c>
      <c r="DU147" s="153">
        <f t="shared" si="484"/>
        <v>0</v>
      </c>
      <c r="DV147" s="154" t="e">
        <f t="shared" si="485"/>
        <v>#VALUE!</v>
      </c>
      <c r="DW147" s="154" t="str">
        <f t="shared" si="486"/>
        <v/>
      </c>
      <c r="DX147" s="154" t="str">
        <f>IF(OR($B147="NSO",$B147=0,DS147=""),"",IF(AND(DJ147="",DO147=""),"",IF('Master Sheet'!$D$19="YES",$DO$6-COUNTIF(DO147,"ML")*DO$6,DS$6-(COUNTIF(DJ147,"ML")*DJ$6)-(COUNTIF(DO147,"ML")*DO$6))))</f>
        <v/>
      </c>
      <c r="DY147" s="154" t="str">
        <f>IF(OR($B147="NSO",$B147=0),"",IF(AND(DH147="",DI147="",DM147=""),"",IF(AND('Master Sheet'!$D$19="YES",'Marks Entry'!$BA$1=1),100,IF(AND(DJ147="",DO147=""),SUM(($DQ$7+$DR$7)-(DU147+DV147)),SUM(($DQ$6+$DR$6)-(DU147+DV147))))))</f>
        <v/>
      </c>
      <c r="DZ147" s="153" t="str">
        <f t="shared" si="487"/>
        <v/>
      </c>
      <c r="EA147" s="154" t="str">
        <f t="shared" si="488"/>
        <v/>
      </c>
      <c r="EB147" s="153" t="str">
        <f t="shared" si="489"/>
        <v/>
      </c>
      <c r="EC147" s="584" t="str">
        <f>IF('Marks Entry'!BB147="","",'Marks Entry'!BB147)</f>
        <v/>
      </c>
      <c r="ED147" s="584" t="str">
        <f>IF('Marks Entry'!BC147="","",'Marks Entry'!BC147)</f>
        <v/>
      </c>
      <c r="EE147" s="584" t="str">
        <f>IF('Marks Entry'!BD147="","",'Marks Entry'!BD147)</f>
        <v/>
      </c>
      <c r="EF147" s="590" t="str">
        <f t="shared" si="490"/>
        <v/>
      </c>
      <c r="EG147" s="595">
        <f t="shared" si="491"/>
        <v>0</v>
      </c>
      <c r="EH147" s="595">
        <f t="shared" si="492"/>
        <v>0</v>
      </c>
      <c r="EI147" s="193" t="str">
        <f t="shared" si="493"/>
        <v/>
      </c>
      <c r="EJ147" s="595" t="str">
        <f t="shared" si="494"/>
        <v/>
      </c>
      <c r="EK147" s="595" t="str">
        <f t="shared" si="495"/>
        <v/>
      </c>
      <c r="EL147" s="194" t="str">
        <f t="shared" si="496"/>
        <v/>
      </c>
      <c r="EM147" s="194" t="str">
        <f t="shared" si="497"/>
        <v/>
      </c>
      <c r="EN147" s="194" t="str">
        <f t="shared" si="498"/>
        <v/>
      </c>
      <c r="EO147" s="194" t="str">
        <f t="shared" si="499"/>
        <v/>
      </c>
      <c r="EP147" s="194" t="str">
        <f t="shared" si="500"/>
        <v/>
      </c>
      <c r="EQ147" s="194" t="str">
        <f t="shared" si="501"/>
        <v/>
      </c>
      <c r="ER147" s="195">
        <f t="shared" si="502"/>
        <v>0</v>
      </c>
      <c r="ES147" s="195">
        <f t="shared" si="503"/>
        <v>0</v>
      </c>
      <c r="ET147" s="195">
        <f t="shared" si="504"/>
        <v>0</v>
      </c>
      <c r="EU147" s="195">
        <f t="shared" si="505"/>
        <v>0</v>
      </c>
      <c r="EV147" s="195">
        <f t="shared" si="506"/>
        <v>0</v>
      </c>
      <c r="EW147" s="195" t="str">
        <f t="shared" si="507"/>
        <v/>
      </c>
      <c r="EX147" s="196" t="str">
        <f t="shared" si="508"/>
        <v/>
      </c>
      <c r="EY147" s="197" t="str">
        <f>IF('Marks Entry'!BE147="","",'Marks Entry'!BE147)</f>
        <v/>
      </c>
      <c r="EZ147" s="197" t="str">
        <f>IF('Marks Entry'!BF147="","",'Marks Entry'!BF147)</f>
        <v/>
      </c>
      <c r="FA147" s="197" t="str">
        <f>IF('Marks Entry'!BG147="","",'Marks Entry'!BG147)</f>
        <v/>
      </c>
      <c r="FB147" s="596" t="str">
        <f t="shared" si="509"/>
        <v/>
      </c>
      <c r="FC147" s="197" t="str">
        <f>IF('Marks Entry'!BH147="","",'Marks Entry'!BH147)</f>
        <v/>
      </c>
      <c r="FD147" s="197" t="str">
        <f>IF('Marks Entry'!BI147="","",'Marks Entry'!BI147)</f>
        <v/>
      </c>
      <c r="FE147" s="198" t="str">
        <f t="shared" si="510"/>
        <v/>
      </c>
      <c r="FF147" s="199" t="str">
        <f t="shared" si="511"/>
        <v/>
      </c>
      <c r="FG147" s="200" t="str">
        <f>IF(AND(E147=""),"",IF('Student DATA Entry'!L143="","",'Student DATA Entry'!L143))</f>
        <v/>
      </c>
      <c r="FH147" s="201" t="str">
        <f>IF(AND(E147=""),"",IF('Student DATA Entry'!M143="","",'Student DATA Entry'!M143))</f>
        <v/>
      </c>
      <c r="FI147" s="202" t="str">
        <f t="shared" si="512"/>
        <v/>
      </c>
      <c r="FJ147" s="189" t="str">
        <f t="shared" si="513"/>
        <v/>
      </c>
      <c r="FK147" s="189" t="str">
        <f t="shared" si="514"/>
        <v/>
      </c>
      <c r="FL147" s="203" t="str">
        <f t="shared" si="383"/>
        <v/>
      </c>
      <c r="FM147" s="189" t="str">
        <f t="shared" si="515"/>
        <v/>
      </c>
      <c r="FN147" s="204" t="str">
        <f t="shared" si="516"/>
        <v/>
      </c>
      <c r="FO147" s="203" t="str">
        <f t="shared" si="384"/>
        <v/>
      </c>
      <c r="FP147" s="205" t="str">
        <f t="shared" si="517"/>
        <v/>
      </c>
      <c r="FQ147" s="189" t="str">
        <f t="shared" si="385"/>
        <v/>
      </c>
      <c r="FR147" s="189" t="str">
        <f t="shared" si="386"/>
        <v/>
      </c>
      <c r="FS147" s="189" t="str">
        <f t="shared" si="387"/>
        <v/>
      </c>
      <c r="FT147" s="189" t="str">
        <f t="shared" si="388"/>
        <v/>
      </c>
      <c r="FU147" s="189" t="str">
        <f t="shared" si="518"/>
        <v/>
      </c>
      <c r="FV147" s="206" t="str">
        <f t="shared" si="389"/>
        <v/>
      </c>
      <c r="FW147" s="205" t="str">
        <f t="shared" si="519"/>
        <v/>
      </c>
      <c r="FX147" s="189" t="str">
        <f t="shared" si="390"/>
        <v/>
      </c>
      <c r="FY147" s="189" t="str">
        <f t="shared" si="391"/>
        <v/>
      </c>
      <c r="FZ147" s="189" t="str">
        <f t="shared" si="392"/>
        <v/>
      </c>
      <c r="GA147" s="189" t="str">
        <f t="shared" si="393"/>
        <v/>
      </c>
      <c r="GB147" s="189" t="str">
        <f t="shared" si="520"/>
        <v/>
      </c>
      <c r="GC147" s="206" t="str">
        <f t="shared" si="394"/>
        <v/>
      </c>
      <c r="GD147" s="205" t="str">
        <f t="shared" si="521"/>
        <v/>
      </c>
      <c r="GE147" s="189" t="str">
        <f t="shared" si="395"/>
        <v/>
      </c>
      <c r="GF147" s="189" t="str">
        <f t="shared" si="396"/>
        <v/>
      </c>
      <c r="GG147" s="189" t="str">
        <f t="shared" si="397"/>
        <v/>
      </c>
      <c r="GH147" s="189" t="str">
        <f t="shared" si="398"/>
        <v/>
      </c>
      <c r="GI147" s="189" t="str">
        <f t="shared" si="522"/>
        <v/>
      </c>
      <c r="GJ147" s="206" t="str">
        <f t="shared" si="399"/>
        <v/>
      </c>
      <c r="GK147" s="205" t="str">
        <f t="shared" si="523"/>
        <v/>
      </c>
      <c r="GL147" s="189" t="str">
        <f t="shared" si="400"/>
        <v/>
      </c>
      <c r="GM147" s="189" t="str">
        <f t="shared" si="401"/>
        <v/>
      </c>
      <c r="GN147" s="189" t="str">
        <f t="shared" si="402"/>
        <v/>
      </c>
      <c r="GO147" s="189" t="str">
        <f t="shared" si="403"/>
        <v/>
      </c>
      <c r="GP147" s="189" t="str">
        <f t="shared" si="524"/>
        <v/>
      </c>
      <c r="GQ147" s="206" t="str">
        <f t="shared" si="404"/>
        <v/>
      </c>
      <c r="GR147" s="189" t="str">
        <f t="shared" si="525"/>
        <v/>
      </c>
      <c r="GS147" s="189" t="str">
        <f t="shared" si="526"/>
        <v/>
      </c>
      <c r="GT147" s="207" t="str">
        <f t="shared" si="527"/>
        <v xml:space="preserve">    </v>
      </c>
      <c r="GU147" s="207" t="str">
        <f t="shared" si="528"/>
        <v xml:space="preserve">    </v>
      </c>
      <c r="GV147" s="207" t="str">
        <f t="shared" si="529"/>
        <v xml:space="preserve">    </v>
      </c>
      <c r="GW147" s="207" t="str">
        <f t="shared" si="530"/>
        <v xml:space="preserve">       </v>
      </c>
      <c r="GX147" s="598" t="str">
        <f t="shared" si="531"/>
        <v xml:space="preserve">     </v>
      </c>
      <c r="GY147" s="208" t="str">
        <f t="shared" si="405"/>
        <v/>
      </c>
      <c r="GZ147" s="606" t="str">
        <f>IF(AND(Q147="",AE147="",AZ147="",BW147="",CT147=""),"",IF(AND('Master Sheet'!$D$19="YES",'Marks Entry'!$BA$1=1),SUM(Q147,AE147,AZ147,BW147,DT147),SUM(Q147,AE147,AZ147,BW147,CT147)))</f>
        <v/>
      </c>
      <c r="HA147" s="209" t="str">
        <f>IF(GZ147="","",IF(AND('Master Sheet'!$D$19="YES",'Marks Entry'!$BA$1=1),GZ147/((900)-DC147)*100,GZ147/((1000)-DC147)*100))</f>
        <v/>
      </c>
      <c r="HB147" s="611" t="str">
        <f t="shared" si="532"/>
        <v/>
      </c>
      <c r="HC147" s="609" t="str">
        <f t="shared" si="533"/>
        <v/>
      </c>
      <c r="HD147" s="610" t="str">
        <f t="shared" si="534"/>
        <v/>
      </c>
      <c r="HE147" s="210" t="str">
        <f>IFERROR(IF(OR(GY147="SUPPLEMENTARY",GY147="RE-EXAM"),'Supp. Result Entry'!AS146,""),"")</f>
        <v/>
      </c>
      <c r="HF147" s="613" t="str">
        <f t="shared" si="535"/>
        <v/>
      </c>
      <c r="HG147" s="598" t="str">
        <f t="shared" si="536"/>
        <v/>
      </c>
      <c r="HH147" s="598" t="str">
        <f>IF(AND(HE147="",HF147="",HG147=""),"",IF(OR(GY147="SUPPLEMENTARY",GY147="RE-EXAM"),'Supp. Result Entry'!AS146,GY147))</f>
        <v/>
      </c>
      <c r="HI147" s="180"/>
      <c r="HY147" s="212" t="str">
        <f>IF('Supp. Result Entry'!U146="","",'Supp. Result Entry'!$U$6)</f>
        <v/>
      </c>
      <c r="HZ147" s="213" t="str">
        <f>IF('Supp. Result Entry'!X146="","",'Supp. Result Entry'!$X$6)</f>
        <v/>
      </c>
      <c r="IA147" s="213" t="str">
        <f>IF('Supp. Result Entry'!AA146="","",'Supp. Result Entry'!$AA$6)</f>
        <v/>
      </c>
      <c r="IB147" s="213" t="str">
        <f>IF('Supp. Result Entry'!AD146="","",'Supp. Result Entry'!$AD$6)</f>
        <v/>
      </c>
      <c r="IC147" s="213" t="str">
        <f>IF('Supp. Result Entry'!AG146="","",'Supp. Result Entry'!$AG$6)</f>
        <v/>
      </c>
      <c r="ID147" s="213" t="str">
        <f>IF('Supp. Result Entry'!AJ146="","",'Supp. Result Entry'!$AJ$6)</f>
        <v/>
      </c>
      <c r="IE147" s="213" t="str">
        <f>IF('Supp. Result Entry'!V146="","",'Supp. Result Entry'!V146)</f>
        <v/>
      </c>
      <c r="IF147" s="213" t="str">
        <f>IF('Supp. Result Entry'!Y146="","",'Supp. Result Entry'!Y146)</f>
        <v/>
      </c>
      <c r="IG147" s="213" t="str">
        <f>IF('Supp. Result Entry'!AB146="","",'Supp. Result Entry'!AB146)</f>
        <v/>
      </c>
      <c r="IH147" s="213" t="str">
        <f>IF('Supp. Result Entry'!AE146="","",'Supp. Result Entry'!AE146)</f>
        <v/>
      </c>
      <c r="II147" s="213" t="str">
        <f>IF('Supp. Result Entry'!AH146="","",'Supp. Result Entry'!AH146)</f>
        <v/>
      </c>
      <c r="IJ147" s="213" t="str">
        <f>IF('Supp. Result Entry'!AK146="","",'Supp. Result Entry'!AK146)</f>
        <v/>
      </c>
      <c r="IK147" s="213" t="str">
        <f>IF('Supp. Result Entry'!W146="","",'Supp. Result Entry'!W146)</f>
        <v/>
      </c>
      <c r="IL147" s="213" t="str">
        <f>IF('Supp. Result Entry'!Z146="","",'Supp. Result Entry'!Z146)</f>
        <v/>
      </c>
      <c r="IM147" s="213" t="str">
        <f>IF('Supp. Result Entry'!AC146="","",'Supp. Result Entry'!AC146)</f>
        <v/>
      </c>
      <c r="IN147" s="213" t="str">
        <f>IF('Supp. Result Entry'!AF146="","",'Supp. Result Entry'!AF146)</f>
        <v/>
      </c>
      <c r="IO147" s="213" t="str">
        <f>IF('Supp. Result Entry'!AI146="","",'Supp. Result Entry'!AI146)</f>
        <v/>
      </c>
      <c r="IP147" s="213" t="str">
        <f>IF('Supp. Result Entry'!AL146="","",'Supp. Result Entry'!AL146)</f>
        <v/>
      </c>
      <c r="IQ147" s="213">
        <f>COUNTIF('Supp. Result Entry'!K146:Q146,"S")</f>
        <v>0</v>
      </c>
      <c r="IR147" s="213">
        <f t="shared" si="537"/>
        <v>0</v>
      </c>
      <c r="IS147" s="213">
        <f t="shared" si="538"/>
        <v>0</v>
      </c>
      <c r="IT147" s="213" t="str">
        <f t="shared" si="406"/>
        <v/>
      </c>
      <c r="IU147" s="213" t="str">
        <f t="shared" si="407"/>
        <v/>
      </c>
      <c r="IV147" s="213" t="str">
        <f t="shared" si="408"/>
        <v/>
      </c>
      <c r="IW147" s="213" t="str">
        <f t="shared" si="409"/>
        <v/>
      </c>
      <c r="IX147" s="213" t="str">
        <f t="shared" si="410"/>
        <v/>
      </c>
      <c r="IY147" s="213" t="str">
        <f t="shared" si="539"/>
        <v/>
      </c>
      <c r="IZ147" s="213" t="str">
        <f t="shared" si="540"/>
        <v/>
      </c>
      <c r="JA147" s="213" t="str">
        <f t="shared" si="411"/>
        <v/>
      </c>
      <c r="JB147" s="211" t="str">
        <f t="shared" si="541"/>
        <v/>
      </c>
    </row>
    <row r="148" spans="1:262" s="211" customFormat="1" ht="21" customHeight="1">
      <c r="A148" s="184">
        <v>141</v>
      </c>
      <c r="B148" s="185" t="str">
        <f>IF('Marks Entry'!B148="","",'Marks Entry'!B148)</f>
        <v/>
      </c>
      <c r="C148" s="186" t="str">
        <f>IF('Marks Entry'!D148="","",'Marks Entry'!D148)</f>
        <v/>
      </c>
      <c r="D148" s="187" t="str">
        <f>IF('Marks Entry'!E148="","",'Marks Entry'!E148)</f>
        <v/>
      </c>
      <c r="E148" s="188" t="str">
        <f>IF('Marks Entry'!F148="","",'Marks Entry'!F148)</f>
        <v/>
      </c>
      <c r="F148" s="188" t="str">
        <f>IF('Marks Entry'!G148="","",'Marks Entry'!G148)</f>
        <v/>
      </c>
      <c r="G148" s="188" t="str">
        <f>IF('Marks Entry'!H148="","",'Marks Entry'!H148)</f>
        <v/>
      </c>
      <c r="H148" s="189" t="str">
        <f>IF('Marks Entry'!I148="","",'Marks Entry'!I148)</f>
        <v/>
      </c>
      <c r="I148" s="190" t="str">
        <f>IF('Marks Entry'!J148="","",'Marks Entry'!J148)</f>
        <v/>
      </c>
      <c r="J148" s="545" t="str">
        <f>IF('Marks Entry'!K148="","",'Marks Entry'!K148)</f>
        <v/>
      </c>
      <c r="K148" s="545" t="str">
        <f>IF('Marks Entry'!L148="","",'Marks Entry'!L148)</f>
        <v/>
      </c>
      <c r="L148" s="545" t="str">
        <f>IF('Marks Entry'!M148="","",'Marks Entry'!M148)</f>
        <v/>
      </c>
      <c r="M148" s="546" t="str">
        <f t="shared" si="412"/>
        <v/>
      </c>
      <c r="N148" s="545" t="str">
        <f>IF('Marks Entry'!N148="","",'Marks Entry'!N148)</f>
        <v/>
      </c>
      <c r="O148" s="546" t="str">
        <f t="shared" si="413"/>
        <v/>
      </c>
      <c r="P148" s="545" t="str">
        <f>IF('Marks Entry'!O148="","",'Marks Entry'!O148)</f>
        <v/>
      </c>
      <c r="Q148" s="547" t="str">
        <f t="shared" si="414"/>
        <v/>
      </c>
      <c r="R148" s="153">
        <f t="shared" si="415"/>
        <v>0</v>
      </c>
      <c r="S148" s="153">
        <f t="shared" si="416"/>
        <v>0</v>
      </c>
      <c r="T148" s="154" t="str">
        <f t="shared" si="417"/>
        <v/>
      </c>
      <c r="U148" s="153" t="str">
        <f t="shared" si="418"/>
        <v/>
      </c>
      <c r="V148" s="153" t="str">
        <f t="shared" si="419"/>
        <v/>
      </c>
      <c r="W148" s="153" t="str">
        <f t="shared" si="420"/>
        <v/>
      </c>
      <c r="X148" s="545" t="str">
        <f>IF('Marks Entry'!P148="","",'Marks Entry'!P148)</f>
        <v/>
      </c>
      <c r="Y148" s="545" t="str">
        <f>IF('Marks Entry'!Q148="","",'Marks Entry'!Q148)</f>
        <v/>
      </c>
      <c r="Z148" s="545" t="str">
        <f>IF('Marks Entry'!R148="","",'Marks Entry'!R148)</f>
        <v/>
      </c>
      <c r="AA148" s="546" t="str">
        <f t="shared" si="421"/>
        <v/>
      </c>
      <c r="AB148" s="545" t="str">
        <f>IF('Marks Entry'!S148="","",'Marks Entry'!S148)</f>
        <v/>
      </c>
      <c r="AC148" s="546" t="str">
        <f t="shared" si="422"/>
        <v/>
      </c>
      <c r="AD148" s="545" t="str">
        <f>IF('Marks Entry'!T148="","",'Marks Entry'!T148)</f>
        <v/>
      </c>
      <c r="AE148" s="547" t="str">
        <f t="shared" si="423"/>
        <v/>
      </c>
      <c r="AF148" s="153">
        <f t="shared" si="424"/>
        <v>0</v>
      </c>
      <c r="AG148" s="153">
        <f t="shared" si="425"/>
        <v>0</v>
      </c>
      <c r="AH148" s="154" t="str">
        <f t="shared" si="426"/>
        <v/>
      </c>
      <c r="AI148" s="153" t="str">
        <f t="shared" si="427"/>
        <v/>
      </c>
      <c r="AJ148" s="153" t="str">
        <f t="shared" si="428"/>
        <v/>
      </c>
      <c r="AK148" s="153" t="str">
        <f t="shared" si="429"/>
        <v/>
      </c>
      <c r="AL148" s="573" t="str">
        <f>IF('Marks Entry'!U148="","",'Marks Entry'!U148)</f>
        <v/>
      </c>
      <c r="AM148" s="573" t="str">
        <f>IF('Marks Entry'!V148="","",'Marks Entry'!V148)</f>
        <v/>
      </c>
      <c r="AN148" s="573" t="str">
        <f>IF('Marks Entry'!W148="","",'Marks Entry'!W148)</f>
        <v/>
      </c>
      <c r="AO148" s="573" t="str">
        <f>IF('Marks Entry'!X148="","",'Marks Entry'!X148)</f>
        <v/>
      </c>
      <c r="AP148" s="572" t="str">
        <f t="shared" si="430"/>
        <v/>
      </c>
      <c r="AQ148" s="573" t="str">
        <f>IF('Marks Entry'!Y148="","",'Marks Entry'!Y148)</f>
        <v/>
      </c>
      <c r="AR148" s="573" t="str">
        <f>IF('Marks Entry'!Z148="","",'Marks Entry'!Z148)</f>
        <v/>
      </c>
      <c r="AS148" s="572" t="str">
        <f t="shared" si="431"/>
        <v/>
      </c>
      <c r="AT148" s="572" t="str">
        <f t="shared" si="432"/>
        <v/>
      </c>
      <c r="AU148" s="573" t="str">
        <f>IF('Marks Entry'!AA148="","",'Marks Entry'!AA148)</f>
        <v/>
      </c>
      <c r="AV148" s="573" t="str">
        <f>IF('Marks Entry'!AB148="","",'Marks Entry'!AB148)</f>
        <v/>
      </c>
      <c r="AW148" s="572" t="str">
        <f t="shared" si="433"/>
        <v/>
      </c>
      <c r="AX148" s="157" t="str">
        <f t="shared" si="434"/>
        <v/>
      </c>
      <c r="AY148" s="157" t="str">
        <f t="shared" si="435"/>
        <v/>
      </c>
      <c r="AZ148" s="192" t="str">
        <f t="shared" si="436"/>
        <v/>
      </c>
      <c r="BA148" s="153">
        <f t="shared" si="437"/>
        <v>0</v>
      </c>
      <c r="BB148" s="154">
        <f t="shared" si="438"/>
        <v>0</v>
      </c>
      <c r="BC148" s="154" t="str">
        <f t="shared" si="439"/>
        <v/>
      </c>
      <c r="BD148" s="154" t="str">
        <f t="shared" si="440"/>
        <v/>
      </c>
      <c r="BE148" s="154" t="str">
        <f t="shared" si="441"/>
        <v/>
      </c>
      <c r="BF148" s="153" t="str">
        <f t="shared" si="442"/>
        <v/>
      </c>
      <c r="BG148" s="154" t="str">
        <f t="shared" si="443"/>
        <v/>
      </c>
      <c r="BH148" s="153" t="str">
        <f t="shared" si="444"/>
        <v/>
      </c>
      <c r="BI148" s="580" t="str">
        <f>IF('Marks Entry'!AC148="","",'Marks Entry'!AC148)</f>
        <v/>
      </c>
      <c r="BJ148" s="580" t="str">
        <f>IF('Marks Entry'!AD148="","",'Marks Entry'!AD148)</f>
        <v/>
      </c>
      <c r="BK148" s="580" t="str">
        <f>IF('Marks Entry'!AE148="","",'Marks Entry'!AE148)</f>
        <v/>
      </c>
      <c r="BL148" s="580" t="str">
        <f>IF('Marks Entry'!AF148="","",'Marks Entry'!AF148)</f>
        <v/>
      </c>
      <c r="BM148" s="581" t="str">
        <f t="shared" si="445"/>
        <v/>
      </c>
      <c r="BN148" s="580" t="str">
        <f>IF('Marks Entry'!AG148="","",'Marks Entry'!AG148)</f>
        <v/>
      </c>
      <c r="BO148" s="580" t="str">
        <f>IF('Marks Entry'!AH148="","",'Marks Entry'!AH148)</f>
        <v/>
      </c>
      <c r="BP148" s="581" t="str">
        <f t="shared" si="446"/>
        <v/>
      </c>
      <c r="BQ148" s="581" t="str">
        <f t="shared" si="447"/>
        <v/>
      </c>
      <c r="BR148" s="580" t="str">
        <f>IF('Marks Entry'!AI148="","",'Marks Entry'!AI148)</f>
        <v/>
      </c>
      <c r="BS148" s="580" t="str">
        <f>IF('Marks Entry'!AJ148="","",'Marks Entry'!AJ148)</f>
        <v/>
      </c>
      <c r="BT148" s="581" t="str">
        <f t="shared" si="448"/>
        <v/>
      </c>
      <c r="BU148" s="157" t="str">
        <f t="shared" si="449"/>
        <v/>
      </c>
      <c r="BV148" s="157" t="str">
        <f t="shared" si="450"/>
        <v/>
      </c>
      <c r="BW148" s="192" t="str">
        <f t="shared" si="451"/>
        <v/>
      </c>
      <c r="BX148" s="153">
        <f t="shared" si="452"/>
        <v>0</v>
      </c>
      <c r="BY148" s="154">
        <f t="shared" si="453"/>
        <v>0</v>
      </c>
      <c r="BZ148" s="154" t="str">
        <f t="shared" si="454"/>
        <v/>
      </c>
      <c r="CA148" s="154" t="str">
        <f t="shared" si="455"/>
        <v/>
      </c>
      <c r="CB148" s="154" t="str">
        <f t="shared" si="456"/>
        <v/>
      </c>
      <c r="CC148" s="153" t="str">
        <f t="shared" si="457"/>
        <v/>
      </c>
      <c r="CD148" s="154" t="str">
        <f t="shared" si="458"/>
        <v/>
      </c>
      <c r="CE148" s="153" t="str">
        <f t="shared" si="459"/>
        <v/>
      </c>
      <c r="CF148" s="580" t="str">
        <f>IF('Marks Entry'!AK148="","",'Marks Entry'!AK148)</f>
        <v/>
      </c>
      <c r="CG148" s="580" t="str">
        <f>IF('Marks Entry'!AL148="","",'Marks Entry'!AL148)</f>
        <v/>
      </c>
      <c r="CH148" s="580" t="str">
        <f>IF('Marks Entry'!AM148="","",'Marks Entry'!AM148)</f>
        <v/>
      </c>
      <c r="CI148" s="580" t="str">
        <f>IF('Marks Entry'!AN148="","",'Marks Entry'!AN148)</f>
        <v/>
      </c>
      <c r="CJ148" s="581" t="str">
        <f t="shared" si="460"/>
        <v/>
      </c>
      <c r="CK148" s="580" t="str">
        <f>IF('Marks Entry'!AO148="","",'Marks Entry'!AO148)</f>
        <v/>
      </c>
      <c r="CL148" s="580" t="str">
        <f>IF('Marks Entry'!AP148="","",'Marks Entry'!AP148)</f>
        <v/>
      </c>
      <c r="CM148" s="581" t="str">
        <f t="shared" si="461"/>
        <v/>
      </c>
      <c r="CN148" s="581" t="str">
        <f t="shared" si="462"/>
        <v/>
      </c>
      <c r="CO148" s="580" t="str">
        <f>IF('Marks Entry'!AQ148="","",'Marks Entry'!AQ148)</f>
        <v/>
      </c>
      <c r="CP148" s="580" t="str">
        <f>IF('Marks Entry'!AR148="","",'Marks Entry'!AR148)</f>
        <v/>
      </c>
      <c r="CQ148" s="581" t="str">
        <f t="shared" si="463"/>
        <v/>
      </c>
      <c r="CR148" s="157" t="str">
        <f t="shared" si="464"/>
        <v/>
      </c>
      <c r="CS148" s="157" t="str">
        <f t="shared" si="465"/>
        <v/>
      </c>
      <c r="CT148" s="192" t="str">
        <f t="shared" si="466"/>
        <v/>
      </c>
      <c r="CU148" s="153">
        <f t="shared" si="467"/>
        <v>0</v>
      </c>
      <c r="CV148" s="154">
        <f t="shared" si="468"/>
        <v>0</v>
      </c>
      <c r="CW148" s="154" t="str">
        <f t="shared" si="469"/>
        <v/>
      </c>
      <c r="CX148" s="154" t="str">
        <f t="shared" si="470"/>
        <v/>
      </c>
      <c r="CY148" s="154" t="str">
        <f t="shared" si="471"/>
        <v/>
      </c>
      <c r="CZ148" s="153" t="str">
        <f t="shared" si="472"/>
        <v/>
      </c>
      <c r="DA148" s="154" t="str">
        <f t="shared" si="473"/>
        <v/>
      </c>
      <c r="DB148" s="153" t="str">
        <f t="shared" si="474"/>
        <v/>
      </c>
      <c r="DC148" s="154">
        <f t="shared" si="475"/>
        <v>0</v>
      </c>
      <c r="DD148" s="826" t="str">
        <f>IF('Marks Entry'!AS148="","",IF(OR('Master Sheet'!$D$19="YES",'Marks Entry'!$BA$1=1),'Marks Entry'!AS148,""))</f>
        <v/>
      </c>
      <c r="DE148" s="826" t="str">
        <f>IF('Marks Entry'!AT148="","",IF(OR('Master Sheet'!$D$19="YES",'Marks Entry'!$BA$1=1),'Marks Entry'!AT148,""))</f>
        <v/>
      </c>
      <c r="DF148" s="826" t="str">
        <f>IF('Marks Entry'!AU148="","",IF(OR('Master Sheet'!$D$19="YES",'Marks Entry'!$BA$1=1),'Marks Entry'!AU148,""))</f>
        <v/>
      </c>
      <c r="DG148" s="826" t="str">
        <f>IF('Marks Entry'!AV148="","",IF(OR('Master Sheet'!$D$19="YES",'Marks Entry'!$BA$1=1),'Marks Entry'!AV148,""))</f>
        <v/>
      </c>
      <c r="DH148" s="827" t="str">
        <f t="shared" si="476"/>
        <v/>
      </c>
      <c r="DI148" s="826" t="str">
        <f>IF('Marks Entry'!AW148="","",IF(OR('Master Sheet'!$D$19="YES",'Marks Entry'!$BA$1=1),'Marks Entry'!AW148,""))</f>
        <v/>
      </c>
      <c r="DJ148" s="826" t="str">
        <f>IF('Marks Entry'!AX148="","",IF(OR('Master Sheet'!$D$19="YES",'Marks Entry'!$BA$1=1),'Marks Entry'!AX148,""))</f>
        <v/>
      </c>
      <c r="DK148" s="827" t="str">
        <f t="shared" si="477"/>
        <v/>
      </c>
      <c r="DL148" s="827" t="str">
        <f t="shared" si="478"/>
        <v/>
      </c>
      <c r="DM148" s="826" t="str">
        <f>IF('Marks Entry'!AY148="","",IF(OR('Master Sheet'!$D$19="YES",'Marks Entry'!$BA$1=1),'Marks Entry'!AY148,""))</f>
        <v/>
      </c>
      <c r="DN148" s="826" t="str">
        <f>IF('Marks Entry'!AZ148="","",IF(OR('Master Sheet'!$D$19="YES",'Marks Entry'!$BA$1=1),'Marks Entry'!AZ148,""))</f>
        <v/>
      </c>
      <c r="DO148" s="826" t="str">
        <f>IF('Marks Entry'!BA148="","",IF(OR('Master Sheet'!$D$19="YES",'Marks Entry'!$BA$1=1),'Marks Entry'!BA148,""))</f>
        <v/>
      </c>
      <c r="DP148" s="827" t="str">
        <f t="shared" si="479"/>
        <v/>
      </c>
      <c r="DQ148" s="157" t="str">
        <f t="shared" si="480"/>
        <v/>
      </c>
      <c r="DR148" s="157" t="str">
        <f t="shared" si="481"/>
        <v/>
      </c>
      <c r="DS148" s="157" t="str">
        <f t="shared" si="482"/>
        <v/>
      </c>
      <c r="DT148" s="192" t="str">
        <f t="shared" si="483"/>
        <v/>
      </c>
      <c r="DU148" s="153">
        <f t="shared" si="484"/>
        <v>0</v>
      </c>
      <c r="DV148" s="154" t="e">
        <f t="shared" si="485"/>
        <v>#VALUE!</v>
      </c>
      <c r="DW148" s="154" t="str">
        <f t="shared" si="486"/>
        <v/>
      </c>
      <c r="DX148" s="154" t="str">
        <f>IF(OR($B148="NSO",$B148=0,DS148=""),"",IF(AND(DJ148="",DO148=""),"",IF('Master Sheet'!$D$19="YES",$DO$6-COUNTIF(DO148,"ML")*DO$6,DS$6-(COUNTIF(DJ148,"ML")*DJ$6)-(COUNTIF(DO148,"ML")*DO$6))))</f>
        <v/>
      </c>
      <c r="DY148" s="154" t="str">
        <f>IF(OR($B148="NSO",$B148=0),"",IF(AND(DH148="",DI148="",DM148=""),"",IF(AND('Master Sheet'!$D$19="YES",'Marks Entry'!$BA$1=1),100,IF(AND(DJ148="",DO148=""),SUM(($DQ$7+$DR$7)-(DU148+DV148)),SUM(($DQ$6+$DR$6)-(DU148+DV148))))))</f>
        <v/>
      </c>
      <c r="DZ148" s="153" t="str">
        <f t="shared" si="487"/>
        <v/>
      </c>
      <c r="EA148" s="154" t="str">
        <f t="shared" si="488"/>
        <v/>
      </c>
      <c r="EB148" s="153" t="str">
        <f t="shared" si="489"/>
        <v/>
      </c>
      <c r="EC148" s="584" t="str">
        <f>IF('Marks Entry'!BB148="","",'Marks Entry'!BB148)</f>
        <v/>
      </c>
      <c r="ED148" s="584" t="str">
        <f>IF('Marks Entry'!BC148="","",'Marks Entry'!BC148)</f>
        <v/>
      </c>
      <c r="EE148" s="584" t="str">
        <f>IF('Marks Entry'!BD148="","",'Marks Entry'!BD148)</f>
        <v/>
      </c>
      <c r="EF148" s="590" t="str">
        <f t="shared" si="490"/>
        <v/>
      </c>
      <c r="EG148" s="595">
        <f t="shared" si="491"/>
        <v>0</v>
      </c>
      <c r="EH148" s="595">
        <f t="shared" si="492"/>
        <v>0</v>
      </c>
      <c r="EI148" s="193" t="str">
        <f t="shared" si="493"/>
        <v/>
      </c>
      <c r="EJ148" s="595" t="str">
        <f t="shared" si="494"/>
        <v/>
      </c>
      <c r="EK148" s="595" t="str">
        <f t="shared" si="495"/>
        <v/>
      </c>
      <c r="EL148" s="194" t="str">
        <f t="shared" si="496"/>
        <v/>
      </c>
      <c r="EM148" s="194" t="str">
        <f t="shared" si="497"/>
        <v/>
      </c>
      <c r="EN148" s="194" t="str">
        <f t="shared" si="498"/>
        <v/>
      </c>
      <c r="EO148" s="194" t="str">
        <f t="shared" si="499"/>
        <v/>
      </c>
      <c r="EP148" s="194" t="str">
        <f t="shared" si="500"/>
        <v/>
      </c>
      <c r="EQ148" s="194" t="str">
        <f t="shared" si="501"/>
        <v/>
      </c>
      <c r="ER148" s="195">
        <f t="shared" si="502"/>
        <v>0</v>
      </c>
      <c r="ES148" s="195">
        <f t="shared" si="503"/>
        <v>0</v>
      </c>
      <c r="ET148" s="195">
        <f t="shared" si="504"/>
        <v>0</v>
      </c>
      <c r="EU148" s="195">
        <f t="shared" si="505"/>
        <v>0</v>
      </c>
      <c r="EV148" s="195">
        <f t="shared" si="506"/>
        <v>0</v>
      </c>
      <c r="EW148" s="195" t="str">
        <f t="shared" si="507"/>
        <v/>
      </c>
      <c r="EX148" s="196" t="str">
        <f t="shared" si="508"/>
        <v/>
      </c>
      <c r="EY148" s="197" t="str">
        <f>IF('Marks Entry'!BE148="","",'Marks Entry'!BE148)</f>
        <v/>
      </c>
      <c r="EZ148" s="197" t="str">
        <f>IF('Marks Entry'!BF148="","",'Marks Entry'!BF148)</f>
        <v/>
      </c>
      <c r="FA148" s="197" t="str">
        <f>IF('Marks Entry'!BG148="","",'Marks Entry'!BG148)</f>
        <v/>
      </c>
      <c r="FB148" s="596" t="str">
        <f t="shared" si="509"/>
        <v/>
      </c>
      <c r="FC148" s="197" t="str">
        <f>IF('Marks Entry'!BH148="","",'Marks Entry'!BH148)</f>
        <v/>
      </c>
      <c r="FD148" s="197" t="str">
        <f>IF('Marks Entry'!BI148="","",'Marks Entry'!BI148)</f>
        <v/>
      </c>
      <c r="FE148" s="198" t="str">
        <f t="shared" si="510"/>
        <v/>
      </c>
      <c r="FF148" s="199" t="str">
        <f t="shared" si="511"/>
        <v/>
      </c>
      <c r="FG148" s="200" t="str">
        <f>IF(AND(E148=""),"",IF('Student DATA Entry'!L144="","",'Student DATA Entry'!L144))</f>
        <v/>
      </c>
      <c r="FH148" s="201" t="str">
        <f>IF(AND(E148=""),"",IF('Student DATA Entry'!M144="","",'Student DATA Entry'!M144))</f>
        <v/>
      </c>
      <c r="FI148" s="202" t="str">
        <f t="shared" si="512"/>
        <v/>
      </c>
      <c r="FJ148" s="189" t="str">
        <f t="shared" si="513"/>
        <v/>
      </c>
      <c r="FK148" s="189" t="str">
        <f t="shared" si="514"/>
        <v/>
      </c>
      <c r="FL148" s="203" t="str">
        <f t="shared" si="383"/>
        <v/>
      </c>
      <c r="FM148" s="189" t="str">
        <f t="shared" si="515"/>
        <v/>
      </c>
      <c r="FN148" s="204" t="str">
        <f t="shared" si="516"/>
        <v/>
      </c>
      <c r="FO148" s="203" t="str">
        <f t="shared" si="384"/>
        <v/>
      </c>
      <c r="FP148" s="205" t="str">
        <f t="shared" si="517"/>
        <v/>
      </c>
      <c r="FQ148" s="189" t="str">
        <f t="shared" si="385"/>
        <v/>
      </c>
      <c r="FR148" s="189" t="str">
        <f t="shared" si="386"/>
        <v/>
      </c>
      <c r="FS148" s="189" t="str">
        <f t="shared" si="387"/>
        <v/>
      </c>
      <c r="FT148" s="189" t="str">
        <f t="shared" si="388"/>
        <v/>
      </c>
      <c r="FU148" s="189" t="str">
        <f t="shared" si="518"/>
        <v/>
      </c>
      <c r="FV148" s="206" t="str">
        <f t="shared" si="389"/>
        <v/>
      </c>
      <c r="FW148" s="205" t="str">
        <f t="shared" si="519"/>
        <v/>
      </c>
      <c r="FX148" s="189" t="str">
        <f t="shared" si="390"/>
        <v/>
      </c>
      <c r="FY148" s="189" t="str">
        <f t="shared" si="391"/>
        <v/>
      </c>
      <c r="FZ148" s="189" t="str">
        <f t="shared" si="392"/>
        <v/>
      </c>
      <c r="GA148" s="189" t="str">
        <f t="shared" si="393"/>
        <v/>
      </c>
      <c r="GB148" s="189" t="str">
        <f t="shared" si="520"/>
        <v/>
      </c>
      <c r="GC148" s="206" t="str">
        <f t="shared" si="394"/>
        <v/>
      </c>
      <c r="GD148" s="205" t="str">
        <f t="shared" si="521"/>
        <v/>
      </c>
      <c r="GE148" s="189" t="str">
        <f t="shared" si="395"/>
        <v/>
      </c>
      <c r="GF148" s="189" t="str">
        <f t="shared" si="396"/>
        <v/>
      </c>
      <c r="GG148" s="189" t="str">
        <f t="shared" si="397"/>
        <v/>
      </c>
      <c r="GH148" s="189" t="str">
        <f t="shared" si="398"/>
        <v/>
      </c>
      <c r="GI148" s="189" t="str">
        <f t="shared" si="522"/>
        <v/>
      </c>
      <c r="GJ148" s="206" t="str">
        <f t="shared" si="399"/>
        <v/>
      </c>
      <c r="GK148" s="205" t="str">
        <f t="shared" si="523"/>
        <v/>
      </c>
      <c r="GL148" s="189" t="str">
        <f t="shared" si="400"/>
        <v/>
      </c>
      <c r="GM148" s="189" t="str">
        <f t="shared" si="401"/>
        <v/>
      </c>
      <c r="GN148" s="189" t="str">
        <f t="shared" si="402"/>
        <v/>
      </c>
      <c r="GO148" s="189" t="str">
        <f t="shared" si="403"/>
        <v/>
      </c>
      <c r="GP148" s="189" t="str">
        <f t="shared" si="524"/>
        <v/>
      </c>
      <c r="GQ148" s="206" t="str">
        <f t="shared" si="404"/>
        <v/>
      </c>
      <c r="GR148" s="189" t="str">
        <f t="shared" si="525"/>
        <v/>
      </c>
      <c r="GS148" s="189" t="str">
        <f t="shared" si="526"/>
        <v/>
      </c>
      <c r="GT148" s="207" t="str">
        <f t="shared" si="527"/>
        <v xml:space="preserve">    </v>
      </c>
      <c r="GU148" s="207" t="str">
        <f t="shared" si="528"/>
        <v xml:space="preserve">    </v>
      </c>
      <c r="GV148" s="207" t="str">
        <f t="shared" si="529"/>
        <v xml:space="preserve">    </v>
      </c>
      <c r="GW148" s="207" t="str">
        <f t="shared" si="530"/>
        <v xml:space="preserve">       </v>
      </c>
      <c r="GX148" s="598" t="str">
        <f t="shared" si="531"/>
        <v xml:space="preserve">     </v>
      </c>
      <c r="GY148" s="208" t="str">
        <f t="shared" si="405"/>
        <v/>
      </c>
      <c r="GZ148" s="606" t="str">
        <f>IF(AND(Q148="",AE148="",AZ148="",BW148="",CT148=""),"",IF(AND('Master Sheet'!$D$19="YES",'Marks Entry'!$BA$1=1),SUM(Q148,AE148,AZ148,BW148,DT148),SUM(Q148,AE148,AZ148,BW148,CT148)))</f>
        <v/>
      </c>
      <c r="HA148" s="209" t="str">
        <f>IF(GZ148="","",IF(AND('Master Sheet'!$D$19="YES",'Marks Entry'!$BA$1=1),GZ148/((900)-DC148)*100,GZ148/((1000)-DC148)*100))</f>
        <v/>
      </c>
      <c r="HB148" s="611" t="str">
        <f t="shared" si="532"/>
        <v/>
      </c>
      <c r="HC148" s="609" t="str">
        <f t="shared" si="533"/>
        <v/>
      </c>
      <c r="HD148" s="610" t="str">
        <f t="shared" si="534"/>
        <v/>
      </c>
      <c r="HE148" s="210" t="str">
        <f>IFERROR(IF(OR(GY148="SUPPLEMENTARY",GY148="RE-EXAM"),'Supp. Result Entry'!AS147,""),"")</f>
        <v/>
      </c>
      <c r="HF148" s="613" t="str">
        <f t="shared" si="535"/>
        <v/>
      </c>
      <c r="HG148" s="598" t="str">
        <f t="shared" si="536"/>
        <v/>
      </c>
      <c r="HH148" s="598" t="str">
        <f>IF(AND(HE148="",HF148="",HG148=""),"",IF(OR(GY148="SUPPLEMENTARY",GY148="RE-EXAM"),'Supp. Result Entry'!AS147,GY148))</f>
        <v/>
      </c>
      <c r="HI148" s="180"/>
      <c r="HY148" s="212" t="str">
        <f>IF('Supp. Result Entry'!U147="","",'Supp. Result Entry'!$U$6)</f>
        <v/>
      </c>
      <c r="HZ148" s="213" t="str">
        <f>IF('Supp. Result Entry'!X147="","",'Supp. Result Entry'!$X$6)</f>
        <v/>
      </c>
      <c r="IA148" s="213" t="str">
        <f>IF('Supp. Result Entry'!AA147="","",'Supp. Result Entry'!$AA$6)</f>
        <v/>
      </c>
      <c r="IB148" s="213" t="str">
        <f>IF('Supp. Result Entry'!AD147="","",'Supp. Result Entry'!$AD$6)</f>
        <v/>
      </c>
      <c r="IC148" s="213" t="str">
        <f>IF('Supp. Result Entry'!AG147="","",'Supp. Result Entry'!$AG$6)</f>
        <v/>
      </c>
      <c r="ID148" s="213" t="str">
        <f>IF('Supp. Result Entry'!AJ147="","",'Supp. Result Entry'!$AJ$6)</f>
        <v/>
      </c>
      <c r="IE148" s="213" t="str">
        <f>IF('Supp. Result Entry'!V147="","",'Supp. Result Entry'!V147)</f>
        <v/>
      </c>
      <c r="IF148" s="213" t="str">
        <f>IF('Supp. Result Entry'!Y147="","",'Supp. Result Entry'!Y147)</f>
        <v/>
      </c>
      <c r="IG148" s="213" t="str">
        <f>IF('Supp. Result Entry'!AB147="","",'Supp. Result Entry'!AB147)</f>
        <v/>
      </c>
      <c r="IH148" s="213" t="str">
        <f>IF('Supp. Result Entry'!AE147="","",'Supp. Result Entry'!AE147)</f>
        <v/>
      </c>
      <c r="II148" s="213" t="str">
        <f>IF('Supp. Result Entry'!AH147="","",'Supp. Result Entry'!AH147)</f>
        <v/>
      </c>
      <c r="IJ148" s="213" t="str">
        <f>IF('Supp. Result Entry'!AK147="","",'Supp. Result Entry'!AK147)</f>
        <v/>
      </c>
      <c r="IK148" s="213" t="str">
        <f>IF('Supp. Result Entry'!W147="","",'Supp. Result Entry'!W147)</f>
        <v/>
      </c>
      <c r="IL148" s="213" t="str">
        <f>IF('Supp. Result Entry'!Z147="","",'Supp. Result Entry'!Z147)</f>
        <v/>
      </c>
      <c r="IM148" s="213" t="str">
        <f>IF('Supp. Result Entry'!AC147="","",'Supp. Result Entry'!AC147)</f>
        <v/>
      </c>
      <c r="IN148" s="213" t="str">
        <f>IF('Supp. Result Entry'!AF147="","",'Supp. Result Entry'!AF147)</f>
        <v/>
      </c>
      <c r="IO148" s="213" t="str">
        <f>IF('Supp. Result Entry'!AI147="","",'Supp. Result Entry'!AI147)</f>
        <v/>
      </c>
      <c r="IP148" s="213" t="str">
        <f>IF('Supp. Result Entry'!AL147="","",'Supp. Result Entry'!AL147)</f>
        <v/>
      </c>
      <c r="IQ148" s="213">
        <f>COUNTIF('Supp. Result Entry'!K147:Q147,"S")</f>
        <v>0</v>
      </c>
      <c r="IR148" s="213">
        <f t="shared" si="537"/>
        <v>0</v>
      </c>
      <c r="IS148" s="213">
        <f t="shared" si="538"/>
        <v>0</v>
      </c>
      <c r="IT148" s="213" t="str">
        <f t="shared" si="406"/>
        <v/>
      </c>
      <c r="IU148" s="213" t="str">
        <f t="shared" si="407"/>
        <v/>
      </c>
      <c r="IV148" s="213" t="str">
        <f t="shared" si="408"/>
        <v/>
      </c>
      <c r="IW148" s="213" t="str">
        <f t="shared" si="409"/>
        <v/>
      </c>
      <c r="IX148" s="213" t="str">
        <f t="shared" si="410"/>
        <v/>
      </c>
      <c r="IY148" s="213" t="str">
        <f t="shared" si="539"/>
        <v/>
      </c>
      <c r="IZ148" s="213" t="str">
        <f t="shared" si="540"/>
        <v/>
      </c>
      <c r="JA148" s="213" t="str">
        <f t="shared" si="411"/>
        <v/>
      </c>
      <c r="JB148" s="211" t="str">
        <f t="shared" si="541"/>
        <v/>
      </c>
    </row>
    <row r="149" spans="1:262" s="211" customFormat="1" ht="21" customHeight="1">
      <c r="A149" s="184">
        <v>142</v>
      </c>
      <c r="B149" s="185" t="str">
        <f>IF('Marks Entry'!B149="","",'Marks Entry'!B149)</f>
        <v/>
      </c>
      <c r="C149" s="186" t="str">
        <f>IF('Marks Entry'!D149="","",'Marks Entry'!D149)</f>
        <v/>
      </c>
      <c r="D149" s="187" t="str">
        <f>IF('Marks Entry'!E149="","",'Marks Entry'!E149)</f>
        <v/>
      </c>
      <c r="E149" s="188" t="str">
        <f>IF('Marks Entry'!F149="","",'Marks Entry'!F149)</f>
        <v/>
      </c>
      <c r="F149" s="188" t="str">
        <f>IF('Marks Entry'!G149="","",'Marks Entry'!G149)</f>
        <v/>
      </c>
      <c r="G149" s="188" t="str">
        <f>IF('Marks Entry'!H149="","",'Marks Entry'!H149)</f>
        <v/>
      </c>
      <c r="H149" s="189" t="str">
        <f>IF('Marks Entry'!I149="","",'Marks Entry'!I149)</f>
        <v/>
      </c>
      <c r="I149" s="190" t="str">
        <f>IF('Marks Entry'!J149="","",'Marks Entry'!J149)</f>
        <v/>
      </c>
      <c r="J149" s="545" t="str">
        <f>IF('Marks Entry'!K149="","",'Marks Entry'!K149)</f>
        <v/>
      </c>
      <c r="K149" s="545" t="str">
        <f>IF('Marks Entry'!L149="","",'Marks Entry'!L149)</f>
        <v/>
      </c>
      <c r="L149" s="545" t="str">
        <f>IF('Marks Entry'!M149="","",'Marks Entry'!M149)</f>
        <v/>
      </c>
      <c r="M149" s="546" t="str">
        <f t="shared" si="412"/>
        <v/>
      </c>
      <c r="N149" s="545" t="str">
        <f>IF('Marks Entry'!N149="","",'Marks Entry'!N149)</f>
        <v/>
      </c>
      <c r="O149" s="546" t="str">
        <f t="shared" si="413"/>
        <v/>
      </c>
      <c r="P149" s="545" t="str">
        <f>IF('Marks Entry'!O149="","",'Marks Entry'!O149)</f>
        <v/>
      </c>
      <c r="Q149" s="547" t="str">
        <f t="shared" si="414"/>
        <v/>
      </c>
      <c r="R149" s="153">
        <f t="shared" si="415"/>
        <v>0</v>
      </c>
      <c r="S149" s="153">
        <f t="shared" si="416"/>
        <v>0</v>
      </c>
      <c r="T149" s="154" t="str">
        <f t="shared" si="417"/>
        <v/>
      </c>
      <c r="U149" s="153" t="str">
        <f t="shared" si="418"/>
        <v/>
      </c>
      <c r="V149" s="153" t="str">
        <f t="shared" si="419"/>
        <v/>
      </c>
      <c r="W149" s="153" t="str">
        <f t="shared" si="420"/>
        <v/>
      </c>
      <c r="X149" s="545" t="str">
        <f>IF('Marks Entry'!P149="","",'Marks Entry'!P149)</f>
        <v/>
      </c>
      <c r="Y149" s="545" t="str">
        <f>IF('Marks Entry'!Q149="","",'Marks Entry'!Q149)</f>
        <v/>
      </c>
      <c r="Z149" s="545" t="str">
        <f>IF('Marks Entry'!R149="","",'Marks Entry'!R149)</f>
        <v/>
      </c>
      <c r="AA149" s="546" t="str">
        <f t="shared" si="421"/>
        <v/>
      </c>
      <c r="AB149" s="545" t="str">
        <f>IF('Marks Entry'!S149="","",'Marks Entry'!S149)</f>
        <v/>
      </c>
      <c r="AC149" s="546" t="str">
        <f t="shared" si="422"/>
        <v/>
      </c>
      <c r="AD149" s="545" t="str">
        <f>IF('Marks Entry'!T149="","",'Marks Entry'!T149)</f>
        <v/>
      </c>
      <c r="AE149" s="547" t="str">
        <f t="shared" si="423"/>
        <v/>
      </c>
      <c r="AF149" s="153">
        <f t="shared" si="424"/>
        <v>0</v>
      </c>
      <c r="AG149" s="153">
        <f t="shared" si="425"/>
        <v>0</v>
      </c>
      <c r="AH149" s="154" t="str">
        <f t="shared" si="426"/>
        <v/>
      </c>
      <c r="AI149" s="153" t="str">
        <f t="shared" si="427"/>
        <v/>
      </c>
      <c r="AJ149" s="153" t="str">
        <f t="shared" si="428"/>
        <v/>
      </c>
      <c r="AK149" s="153" t="str">
        <f t="shared" si="429"/>
        <v/>
      </c>
      <c r="AL149" s="573" t="str">
        <f>IF('Marks Entry'!U149="","",'Marks Entry'!U149)</f>
        <v/>
      </c>
      <c r="AM149" s="573" t="str">
        <f>IF('Marks Entry'!V149="","",'Marks Entry'!V149)</f>
        <v/>
      </c>
      <c r="AN149" s="573" t="str">
        <f>IF('Marks Entry'!W149="","",'Marks Entry'!W149)</f>
        <v/>
      </c>
      <c r="AO149" s="573" t="str">
        <f>IF('Marks Entry'!X149="","",'Marks Entry'!X149)</f>
        <v/>
      </c>
      <c r="AP149" s="572" t="str">
        <f t="shared" si="430"/>
        <v/>
      </c>
      <c r="AQ149" s="573" t="str">
        <f>IF('Marks Entry'!Y149="","",'Marks Entry'!Y149)</f>
        <v/>
      </c>
      <c r="AR149" s="573" t="str">
        <f>IF('Marks Entry'!Z149="","",'Marks Entry'!Z149)</f>
        <v/>
      </c>
      <c r="AS149" s="572" t="str">
        <f t="shared" si="431"/>
        <v/>
      </c>
      <c r="AT149" s="572" t="str">
        <f t="shared" si="432"/>
        <v/>
      </c>
      <c r="AU149" s="573" t="str">
        <f>IF('Marks Entry'!AA149="","",'Marks Entry'!AA149)</f>
        <v/>
      </c>
      <c r="AV149" s="573" t="str">
        <f>IF('Marks Entry'!AB149="","",'Marks Entry'!AB149)</f>
        <v/>
      </c>
      <c r="AW149" s="572" t="str">
        <f t="shared" si="433"/>
        <v/>
      </c>
      <c r="AX149" s="157" t="str">
        <f t="shared" si="434"/>
        <v/>
      </c>
      <c r="AY149" s="157" t="str">
        <f t="shared" si="435"/>
        <v/>
      </c>
      <c r="AZ149" s="192" t="str">
        <f t="shared" si="436"/>
        <v/>
      </c>
      <c r="BA149" s="153">
        <f t="shared" si="437"/>
        <v>0</v>
      </c>
      <c r="BB149" s="154">
        <f t="shared" si="438"/>
        <v>0</v>
      </c>
      <c r="BC149" s="154" t="str">
        <f t="shared" si="439"/>
        <v/>
      </c>
      <c r="BD149" s="154" t="str">
        <f t="shared" si="440"/>
        <v/>
      </c>
      <c r="BE149" s="154" t="str">
        <f t="shared" si="441"/>
        <v/>
      </c>
      <c r="BF149" s="153" t="str">
        <f t="shared" si="442"/>
        <v/>
      </c>
      <c r="BG149" s="154" t="str">
        <f t="shared" si="443"/>
        <v/>
      </c>
      <c r="BH149" s="153" t="str">
        <f t="shared" si="444"/>
        <v/>
      </c>
      <c r="BI149" s="580" t="str">
        <f>IF('Marks Entry'!AC149="","",'Marks Entry'!AC149)</f>
        <v/>
      </c>
      <c r="BJ149" s="580" t="str">
        <f>IF('Marks Entry'!AD149="","",'Marks Entry'!AD149)</f>
        <v/>
      </c>
      <c r="BK149" s="580" t="str">
        <f>IF('Marks Entry'!AE149="","",'Marks Entry'!AE149)</f>
        <v/>
      </c>
      <c r="BL149" s="580" t="str">
        <f>IF('Marks Entry'!AF149="","",'Marks Entry'!AF149)</f>
        <v/>
      </c>
      <c r="BM149" s="581" t="str">
        <f t="shared" si="445"/>
        <v/>
      </c>
      <c r="BN149" s="580" t="str">
        <f>IF('Marks Entry'!AG149="","",'Marks Entry'!AG149)</f>
        <v/>
      </c>
      <c r="BO149" s="580" t="str">
        <f>IF('Marks Entry'!AH149="","",'Marks Entry'!AH149)</f>
        <v/>
      </c>
      <c r="BP149" s="581" t="str">
        <f t="shared" si="446"/>
        <v/>
      </c>
      <c r="BQ149" s="581" t="str">
        <f t="shared" si="447"/>
        <v/>
      </c>
      <c r="BR149" s="580" t="str">
        <f>IF('Marks Entry'!AI149="","",'Marks Entry'!AI149)</f>
        <v/>
      </c>
      <c r="BS149" s="580" t="str">
        <f>IF('Marks Entry'!AJ149="","",'Marks Entry'!AJ149)</f>
        <v/>
      </c>
      <c r="BT149" s="581" t="str">
        <f t="shared" si="448"/>
        <v/>
      </c>
      <c r="BU149" s="157" t="str">
        <f t="shared" si="449"/>
        <v/>
      </c>
      <c r="BV149" s="157" t="str">
        <f t="shared" si="450"/>
        <v/>
      </c>
      <c r="BW149" s="192" t="str">
        <f t="shared" si="451"/>
        <v/>
      </c>
      <c r="BX149" s="153">
        <f t="shared" si="452"/>
        <v>0</v>
      </c>
      <c r="BY149" s="154">
        <f t="shared" si="453"/>
        <v>0</v>
      </c>
      <c r="BZ149" s="154" t="str">
        <f t="shared" si="454"/>
        <v/>
      </c>
      <c r="CA149" s="154" t="str">
        <f t="shared" si="455"/>
        <v/>
      </c>
      <c r="CB149" s="154" t="str">
        <f t="shared" si="456"/>
        <v/>
      </c>
      <c r="CC149" s="153" t="str">
        <f t="shared" si="457"/>
        <v/>
      </c>
      <c r="CD149" s="154" t="str">
        <f t="shared" si="458"/>
        <v/>
      </c>
      <c r="CE149" s="153" t="str">
        <f t="shared" si="459"/>
        <v/>
      </c>
      <c r="CF149" s="580" t="str">
        <f>IF('Marks Entry'!AK149="","",'Marks Entry'!AK149)</f>
        <v/>
      </c>
      <c r="CG149" s="580" t="str">
        <f>IF('Marks Entry'!AL149="","",'Marks Entry'!AL149)</f>
        <v/>
      </c>
      <c r="CH149" s="580" t="str">
        <f>IF('Marks Entry'!AM149="","",'Marks Entry'!AM149)</f>
        <v/>
      </c>
      <c r="CI149" s="580" t="str">
        <f>IF('Marks Entry'!AN149="","",'Marks Entry'!AN149)</f>
        <v/>
      </c>
      <c r="CJ149" s="581" t="str">
        <f t="shared" si="460"/>
        <v/>
      </c>
      <c r="CK149" s="580" t="str">
        <f>IF('Marks Entry'!AO149="","",'Marks Entry'!AO149)</f>
        <v/>
      </c>
      <c r="CL149" s="580" t="str">
        <f>IF('Marks Entry'!AP149="","",'Marks Entry'!AP149)</f>
        <v/>
      </c>
      <c r="CM149" s="581" t="str">
        <f t="shared" si="461"/>
        <v/>
      </c>
      <c r="CN149" s="581" t="str">
        <f t="shared" si="462"/>
        <v/>
      </c>
      <c r="CO149" s="580" t="str">
        <f>IF('Marks Entry'!AQ149="","",'Marks Entry'!AQ149)</f>
        <v/>
      </c>
      <c r="CP149" s="580" t="str">
        <f>IF('Marks Entry'!AR149="","",'Marks Entry'!AR149)</f>
        <v/>
      </c>
      <c r="CQ149" s="581" t="str">
        <f t="shared" si="463"/>
        <v/>
      </c>
      <c r="CR149" s="157" t="str">
        <f t="shared" si="464"/>
        <v/>
      </c>
      <c r="CS149" s="157" t="str">
        <f t="shared" si="465"/>
        <v/>
      </c>
      <c r="CT149" s="192" t="str">
        <f t="shared" si="466"/>
        <v/>
      </c>
      <c r="CU149" s="153">
        <f t="shared" si="467"/>
        <v>0</v>
      </c>
      <c r="CV149" s="154">
        <f t="shared" si="468"/>
        <v>0</v>
      </c>
      <c r="CW149" s="154" t="str">
        <f t="shared" si="469"/>
        <v/>
      </c>
      <c r="CX149" s="154" t="str">
        <f t="shared" si="470"/>
        <v/>
      </c>
      <c r="CY149" s="154" t="str">
        <f t="shared" si="471"/>
        <v/>
      </c>
      <c r="CZ149" s="153" t="str">
        <f t="shared" si="472"/>
        <v/>
      </c>
      <c r="DA149" s="154" t="str">
        <f t="shared" si="473"/>
        <v/>
      </c>
      <c r="DB149" s="153" t="str">
        <f t="shared" si="474"/>
        <v/>
      </c>
      <c r="DC149" s="154">
        <f t="shared" si="475"/>
        <v>0</v>
      </c>
      <c r="DD149" s="826" t="str">
        <f>IF('Marks Entry'!AS149="","",IF(OR('Master Sheet'!$D$19="YES",'Marks Entry'!$BA$1=1),'Marks Entry'!AS149,""))</f>
        <v/>
      </c>
      <c r="DE149" s="826" t="str">
        <f>IF('Marks Entry'!AT149="","",IF(OR('Master Sheet'!$D$19="YES",'Marks Entry'!$BA$1=1),'Marks Entry'!AT149,""))</f>
        <v/>
      </c>
      <c r="DF149" s="826" t="str">
        <f>IF('Marks Entry'!AU149="","",IF(OR('Master Sheet'!$D$19="YES",'Marks Entry'!$BA$1=1),'Marks Entry'!AU149,""))</f>
        <v/>
      </c>
      <c r="DG149" s="826" t="str">
        <f>IF('Marks Entry'!AV149="","",IF(OR('Master Sheet'!$D$19="YES",'Marks Entry'!$BA$1=1),'Marks Entry'!AV149,""))</f>
        <v/>
      </c>
      <c r="DH149" s="827" t="str">
        <f t="shared" si="476"/>
        <v/>
      </c>
      <c r="DI149" s="826" t="str">
        <f>IF('Marks Entry'!AW149="","",IF(OR('Master Sheet'!$D$19="YES",'Marks Entry'!$BA$1=1),'Marks Entry'!AW149,""))</f>
        <v/>
      </c>
      <c r="DJ149" s="826" t="str">
        <f>IF('Marks Entry'!AX149="","",IF(OR('Master Sheet'!$D$19="YES",'Marks Entry'!$BA$1=1),'Marks Entry'!AX149,""))</f>
        <v/>
      </c>
      <c r="DK149" s="827" t="str">
        <f t="shared" si="477"/>
        <v/>
      </c>
      <c r="DL149" s="827" t="str">
        <f t="shared" si="478"/>
        <v/>
      </c>
      <c r="DM149" s="826" t="str">
        <f>IF('Marks Entry'!AY149="","",IF(OR('Master Sheet'!$D$19="YES",'Marks Entry'!$BA$1=1),'Marks Entry'!AY149,""))</f>
        <v/>
      </c>
      <c r="DN149" s="826" t="str">
        <f>IF('Marks Entry'!AZ149="","",IF(OR('Master Sheet'!$D$19="YES",'Marks Entry'!$BA$1=1),'Marks Entry'!AZ149,""))</f>
        <v/>
      </c>
      <c r="DO149" s="826" t="str">
        <f>IF('Marks Entry'!BA149="","",IF(OR('Master Sheet'!$D$19="YES",'Marks Entry'!$BA$1=1),'Marks Entry'!BA149,""))</f>
        <v/>
      </c>
      <c r="DP149" s="827" t="str">
        <f t="shared" si="479"/>
        <v/>
      </c>
      <c r="DQ149" s="157" t="str">
        <f t="shared" si="480"/>
        <v/>
      </c>
      <c r="DR149" s="157" t="str">
        <f t="shared" si="481"/>
        <v/>
      </c>
      <c r="DS149" s="157" t="str">
        <f t="shared" si="482"/>
        <v/>
      </c>
      <c r="DT149" s="192" t="str">
        <f t="shared" si="483"/>
        <v/>
      </c>
      <c r="DU149" s="153">
        <f t="shared" si="484"/>
        <v>0</v>
      </c>
      <c r="DV149" s="154" t="e">
        <f t="shared" si="485"/>
        <v>#VALUE!</v>
      </c>
      <c r="DW149" s="154" t="str">
        <f t="shared" si="486"/>
        <v/>
      </c>
      <c r="DX149" s="154" t="str">
        <f>IF(OR($B149="NSO",$B149=0,DS149=""),"",IF(AND(DJ149="",DO149=""),"",IF('Master Sheet'!$D$19="YES",$DO$6-COUNTIF(DO149,"ML")*DO$6,DS$6-(COUNTIF(DJ149,"ML")*DJ$6)-(COUNTIF(DO149,"ML")*DO$6))))</f>
        <v/>
      </c>
      <c r="DY149" s="154" t="str">
        <f>IF(OR($B149="NSO",$B149=0),"",IF(AND(DH149="",DI149="",DM149=""),"",IF(AND('Master Sheet'!$D$19="YES",'Marks Entry'!$BA$1=1),100,IF(AND(DJ149="",DO149=""),SUM(($DQ$7+$DR$7)-(DU149+DV149)),SUM(($DQ$6+$DR$6)-(DU149+DV149))))))</f>
        <v/>
      </c>
      <c r="DZ149" s="153" t="str">
        <f t="shared" si="487"/>
        <v/>
      </c>
      <c r="EA149" s="154" t="str">
        <f t="shared" si="488"/>
        <v/>
      </c>
      <c r="EB149" s="153" t="str">
        <f t="shared" si="489"/>
        <v/>
      </c>
      <c r="EC149" s="584" t="str">
        <f>IF('Marks Entry'!BB149="","",'Marks Entry'!BB149)</f>
        <v/>
      </c>
      <c r="ED149" s="584" t="str">
        <f>IF('Marks Entry'!BC149="","",'Marks Entry'!BC149)</f>
        <v/>
      </c>
      <c r="EE149" s="584" t="str">
        <f>IF('Marks Entry'!BD149="","",'Marks Entry'!BD149)</f>
        <v/>
      </c>
      <c r="EF149" s="590" t="str">
        <f t="shared" si="490"/>
        <v/>
      </c>
      <c r="EG149" s="595">
        <f t="shared" si="491"/>
        <v>0</v>
      </c>
      <c r="EH149" s="595">
        <f t="shared" si="492"/>
        <v>0</v>
      </c>
      <c r="EI149" s="193" t="str">
        <f t="shared" si="493"/>
        <v/>
      </c>
      <c r="EJ149" s="595" t="str">
        <f t="shared" si="494"/>
        <v/>
      </c>
      <c r="EK149" s="595" t="str">
        <f t="shared" si="495"/>
        <v/>
      </c>
      <c r="EL149" s="194" t="str">
        <f t="shared" si="496"/>
        <v/>
      </c>
      <c r="EM149" s="194" t="str">
        <f t="shared" si="497"/>
        <v/>
      </c>
      <c r="EN149" s="194" t="str">
        <f t="shared" si="498"/>
        <v/>
      </c>
      <c r="EO149" s="194" t="str">
        <f t="shared" si="499"/>
        <v/>
      </c>
      <c r="EP149" s="194" t="str">
        <f t="shared" si="500"/>
        <v/>
      </c>
      <c r="EQ149" s="194" t="str">
        <f t="shared" si="501"/>
        <v/>
      </c>
      <c r="ER149" s="195">
        <f t="shared" si="502"/>
        <v>0</v>
      </c>
      <c r="ES149" s="195">
        <f t="shared" si="503"/>
        <v>0</v>
      </c>
      <c r="ET149" s="195">
        <f t="shared" si="504"/>
        <v>0</v>
      </c>
      <c r="EU149" s="195">
        <f t="shared" si="505"/>
        <v>0</v>
      </c>
      <c r="EV149" s="195">
        <f t="shared" si="506"/>
        <v>0</v>
      </c>
      <c r="EW149" s="195" t="str">
        <f t="shared" si="507"/>
        <v/>
      </c>
      <c r="EX149" s="196" t="str">
        <f t="shared" si="508"/>
        <v/>
      </c>
      <c r="EY149" s="197" t="str">
        <f>IF('Marks Entry'!BE149="","",'Marks Entry'!BE149)</f>
        <v/>
      </c>
      <c r="EZ149" s="197" t="str">
        <f>IF('Marks Entry'!BF149="","",'Marks Entry'!BF149)</f>
        <v/>
      </c>
      <c r="FA149" s="197" t="str">
        <f>IF('Marks Entry'!BG149="","",'Marks Entry'!BG149)</f>
        <v/>
      </c>
      <c r="FB149" s="596" t="str">
        <f t="shared" si="509"/>
        <v/>
      </c>
      <c r="FC149" s="197" t="str">
        <f>IF('Marks Entry'!BH149="","",'Marks Entry'!BH149)</f>
        <v/>
      </c>
      <c r="FD149" s="197" t="str">
        <f>IF('Marks Entry'!BI149="","",'Marks Entry'!BI149)</f>
        <v/>
      </c>
      <c r="FE149" s="198" t="str">
        <f t="shared" si="510"/>
        <v/>
      </c>
      <c r="FF149" s="199" t="str">
        <f t="shared" si="511"/>
        <v/>
      </c>
      <c r="FG149" s="200" t="str">
        <f>IF(AND(E149=""),"",IF('Student DATA Entry'!L145="","",'Student DATA Entry'!L145))</f>
        <v/>
      </c>
      <c r="FH149" s="201" t="str">
        <f>IF(AND(E149=""),"",IF('Student DATA Entry'!M145="","",'Student DATA Entry'!M145))</f>
        <v/>
      </c>
      <c r="FI149" s="202" t="str">
        <f t="shared" si="512"/>
        <v/>
      </c>
      <c r="FJ149" s="189" t="str">
        <f t="shared" si="513"/>
        <v/>
      </c>
      <c r="FK149" s="189" t="str">
        <f t="shared" si="514"/>
        <v/>
      </c>
      <c r="FL149" s="203" t="str">
        <f t="shared" si="383"/>
        <v/>
      </c>
      <c r="FM149" s="189" t="str">
        <f t="shared" si="515"/>
        <v/>
      </c>
      <c r="FN149" s="204" t="str">
        <f t="shared" si="516"/>
        <v/>
      </c>
      <c r="FO149" s="203" t="str">
        <f t="shared" si="384"/>
        <v/>
      </c>
      <c r="FP149" s="205" t="str">
        <f t="shared" si="517"/>
        <v/>
      </c>
      <c r="FQ149" s="189" t="str">
        <f t="shared" si="385"/>
        <v/>
      </c>
      <c r="FR149" s="189" t="str">
        <f t="shared" si="386"/>
        <v/>
      </c>
      <c r="FS149" s="189" t="str">
        <f t="shared" si="387"/>
        <v/>
      </c>
      <c r="FT149" s="189" t="str">
        <f t="shared" si="388"/>
        <v/>
      </c>
      <c r="FU149" s="189" t="str">
        <f t="shared" si="518"/>
        <v/>
      </c>
      <c r="FV149" s="206" t="str">
        <f t="shared" si="389"/>
        <v/>
      </c>
      <c r="FW149" s="205" t="str">
        <f t="shared" si="519"/>
        <v/>
      </c>
      <c r="FX149" s="189" t="str">
        <f t="shared" si="390"/>
        <v/>
      </c>
      <c r="FY149" s="189" t="str">
        <f t="shared" si="391"/>
        <v/>
      </c>
      <c r="FZ149" s="189" t="str">
        <f t="shared" si="392"/>
        <v/>
      </c>
      <c r="GA149" s="189" t="str">
        <f t="shared" si="393"/>
        <v/>
      </c>
      <c r="GB149" s="189" t="str">
        <f t="shared" si="520"/>
        <v/>
      </c>
      <c r="GC149" s="206" t="str">
        <f t="shared" si="394"/>
        <v/>
      </c>
      <c r="GD149" s="205" t="str">
        <f t="shared" si="521"/>
        <v/>
      </c>
      <c r="GE149" s="189" t="str">
        <f t="shared" si="395"/>
        <v/>
      </c>
      <c r="GF149" s="189" t="str">
        <f t="shared" si="396"/>
        <v/>
      </c>
      <c r="GG149" s="189" t="str">
        <f t="shared" si="397"/>
        <v/>
      </c>
      <c r="GH149" s="189" t="str">
        <f t="shared" si="398"/>
        <v/>
      </c>
      <c r="GI149" s="189" t="str">
        <f t="shared" si="522"/>
        <v/>
      </c>
      <c r="GJ149" s="206" t="str">
        <f t="shared" si="399"/>
        <v/>
      </c>
      <c r="GK149" s="205" t="str">
        <f t="shared" si="523"/>
        <v/>
      </c>
      <c r="GL149" s="189" t="str">
        <f t="shared" si="400"/>
        <v/>
      </c>
      <c r="GM149" s="189" t="str">
        <f t="shared" si="401"/>
        <v/>
      </c>
      <c r="GN149" s="189" t="str">
        <f t="shared" si="402"/>
        <v/>
      </c>
      <c r="GO149" s="189" t="str">
        <f t="shared" si="403"/>
        <v/>
      </c>
      <c r="GP149" s="189" t="str">
        <f t="shared" si="524"/>
        <v/>
      </c>
      <c r="GQ149" s="206" t="str">
        <f t="shared" si="404"/>
        <v/>
      </c>
      <c r="GR149" s="189" t="str">
        <f t="shared" si="525"/>
        <v/>
      </c>
      <c r="GS149" s="189" t="str">
        <f t="shared" si="526"/>
        <v/>
      </c>
      <c r="GT149" s="207" t="str">
        <f t="shared" si="527"/>
        <v xml:space="preserve">    </v>
      </c>
      <c r="GU149" s="207" t="str">
        <f t="shared" si="528"/>
        <v xml:space="preserve">    </v>
      </c>
      <c r="GV149" s="207" t="str">
        <f t="shared" si="529"/>
        <v xml:space="preserve">    </v>
      </c>
      <c r="GW149" s="207" t="str">
        <f t="shared" si="530"/>
        <v xml:space="preserve">       </v>
      </c>
      <c r="GX149" s="598" t="str">
        <f t="shared" si="531"/>
        <v xml:space="preserve">     </v>
      </c>
      <c r="GY149" s="208" t="str">
        <f t="shared" si="405"/>
        <v/>
      </c>
      <c r="GZ149" s="606" t="str">
        <f>IF(AND(Q149="",AE149="",AZ149="",BW149="",CT149=""),"",IF(AND('Master Sheet'!$D$19="YES",'Marks Entry'!$BA$1=1),SUM(Q149,AE149,AZ149,BW149,DT149),SUM(Q149,AE149,AZ149,BW149,CT149)))</f>
        <v/>
      </c>
      <c r="HA149" s="209" t="str">
        <f>IF(GZ149="","",IF(AND('Master Sheet'!$D$19="YES",'Marks Entry'!$BA$1=1),GZ149/((900)-DC149)*100,GZ149/((1000)-DC149)*100))</f>
        <v/>
      </c>
      <c r="HB149" s="611" t="str">
        <f t="shared" si="532"/>
        <v/>
      </c>
      <c r="HC149" s="609" t="str">
        <f t="shared" si="533"/>
        <v/>
      </c>
      <c r="HD149" s="610" t="str">
        <f t="shared" si="534"/>
        <v/>
      </c>
      <c r="HE149" s="210" t="str">
        <f>IFERROR(IF(OR(GY149="SUPPLEMENTARY",GY149="RE-EXAM"),'Supp. Result Entry'!AS148,""),"")</f>
        <v/>
      </c>
      <c r="HF149" s="613" t="str">
        <f t="shared" si="535"/>
        <v/>
      </c>
      <c r="HG149" s="598" t="str">
        <f t="shared" si="536"/>
        <v/>
      </c>
      <c r="HH149" s="598" t="str">
        <f>IF(AND(HE149="",HF149="",HG149=""),"",IF(OR(GY149="SUPPLEMENTARY",GY149="RE-EXAM"),'Supp. Result Entry'!AS148,GY149))</f>
        <v/>
      </c>
      <c r="HI149" s="180"/>
      <c r="HY149" s="212" t="str">
        <f>IF('Supp. Result Entry'!U148="","",'Supp. Result Entry'!$U$6)</f>
        <v/>
      </c>
      <c r="HZ149" s="213" t="str">
        <f>IF('Supp. Result Entry'!X148="","",'Supp. Result Entry'!$X$6)</f>
        <v/>
      </c>
      <c r="IA149" s="213" t="str">
        <f>IF('Supp. Result Entry'!AA148="","",'Supp. Result Entry'!$AA$6)</f>
        <v/>
      </c>
      <c r="IB149" s="213" t="str">
        <f>IF('Supp. Result Entry'!AD148="","",'Supp. Result Entry'!$AD$6)</f>
        <v/>
      </c>
      <c r="IC149" s="213" t="str">
        <f>IF('Supp. Result Entry'!AG148="","",'Supp. Result Entry'!$AG$6)</f>
        <v/>
      </c>
      <c r="ID149" s="213" t="str">
        <f>IF('Supp. Result Entry'!AJ148="","",'Supp. Result Entry'!$AJ$6)</f>
        <v/>
      </c>
      <c r="IE149" s="213" t="str">
        <f>IF('Supp. Result Entry'!V148="","",'Supp. Result Entry'!V148)</f>
        <v/>
      </c>
      <c r="IF149" s="213" t="str">
        <f>IF('Supp. Result Entry'!Y148="","",'Supp. Result Entry'!Y148)</f>
        <v/>
      </c>
      <c r="IG149" s="213" t="str">
        <f>IF('Supp. Result Entry'!AB148="","",'Supp. Result Entry'!AB148)</f>
        <v/>
      </c>
      <c r="IH149" s="213" t="str">
        <f>IF('Supp. Result Entry'!AE148="","",'Supp. Result Entry'!AE148)</f>
        <v/>
      </c>
      <c r="II149" s="213" t="str">
        <f>IF('Supp. Result Entry'!AH148="","",'Supp. Result Entry'!AH148)</f>
        <v/>
      </c>
      <c r="IJ149" s="213" t="str">
        <f>IF('Supp. Result Entry'!AK148="","",'Supp. Result Entry'!AK148)</f>
        <v/>
      </c>
      <c r="IK149" s="213" t="str">
        <f>IF('Supp. Result Entry'!W148="","",'Supp. Result Entry'!W148)</f>
        <v/>
      </c>
      <c r="IL149" s="213" t="str">
        <f>IF('Supp. Result Entry'!Z148="","",'Supp. Result Entry'!Z148)</f>
        <v/>
      </c>
      <c r="IM149" s="213" t="str">
        <f>IF('Supp. Result Entry'!AC148="","",'Supp. Result Entry'!AC148)</f>
        <v/>
      </c>
      <c r="IN149" s="213" t="str">
        <f>IF('Supp. Result Entry'!AF148="","",'Supp. Result Entry'!AF148)</f>
        <v/>
      </c>
      <c r="IO149" s="213" t="str">
        <f>IF('Supp. Result Entry'!AI148="","",'Supp. Result Entry'!AI148)</f>
        <v/>
      </c>
      <c r="IP149" s="213" t="str">
        <f>IF('Supp. Result Entry'!AL148="","",'Supp. Result Entry'!AL148)</f>
        <v/>
      </c>
      <c r="IQ149" s="213">
        <f>COUNTIF('Supp. Result Entry'!K148:Q148,"S")</f>
        <v>0</v>
      </c>
      <c r="IR149" s="213">
        <f t="shared" si="537"/>
        <v>0</v>
      </c>
      <c r="IS149" s="213">
        <f t="shared" si="538"/>
        <v>0</v>
      </c>
      <c r="IT149" s="213" t="str">
        <f t="shared" si="406"/>
        <v/>
      </c>
      <c r="IU149" s="213" t="str">
        <f t="shared" si="407"/>
        <v/>
      </c>
      <c r="IV149" s="213" t="str">
        <f t="shared" si="408"/>
        <v/>
      </c>
      <c r="IW149" s="213" t="str">
        <f t="shared" si="409"/>
        <v/>
      </c>
      <c r="IX149" s="213" t="str">
        <f t="shared" si="410"/>
        <v/>
      </c>
      <c r="IY149" s="213" t="str">
        <f t="shared" si="539"/>
        <v/>
      </c>
      <c r="IZ149" s="213" t="str">
        <f t="shared" si="540"/>
        <v/>
      </c>
      <c r="JA149" s="213" t="str">
        <f t="shared" si="411"/>
        <v/>
      </c>
      <c r="JB149" s="211" t="str">
        <f t="shared" si="541"/>
        <v/>
      </c>
    </row>
    <row r="150" spans="1:262" s="211" customFormat="1" ht="21" customHeight="1">
      <c r="A150" s="184">
        <v>143</v>
      </c>
      <c r="B150" s="185" t="str">
        <f>IF('Marks Entry'!B150="","",'Marks Entry'!B150)</f>
        <v/>
      </c>
      <c r="C150" s="186" t="str">
        <f>IF('Marks Entry'!D150="","",'Marks Entry'!D150)</f>
        <v/>
      </c>
      <c r="D150" s="187" t="str">
        <f>IF('Marks Entry'!E150="","",'Marks Entry'!E150)</f>
        <v/>
      </c>
      <c r="E150" s="188" t="str">
        <f>IF('Marks Entry'!F150="","",'Marks Entry'!F150)</f>
        <v/>
      </c>
      <c r="F150" s="188" t="str">
        <f>IF('Marks Entry'!G150="","",'Marks Entry'!G150)</f>
        <v/>
      </c>
      <c r="G150" s="188" t="str">
        <f>IF('Marks Entry'!H150="","",'Marks Entry'!H150)</f>
        <v/>
      </c>
      <c r="H150" s="189" t="str">
        <f>IF('Marks Entry'!I150="","",'Marks Entry'!I150)</f>
        <v/>
      </c>
      <c r="I150" s="190" t="str">
        <f>IF('Marks Entry'!J150="","",'Marks Entry'!J150)</f>
        <v/>
      </c>
      <c r="J150" s="545" t="str">
        <f>IF('Marks Entry'!K150="","",'Marks Entry'!K150)</f>
        <v/>
      </c>
      <c r="K150" s="545" t="str">
        <f>IF('Marks Entry'!L150="","",'Marks Entry'!L150)</f>
        <v/>
      </c>
      <c r="L150" s="545" t="str">
        <f>IF('Marks Entry'!M150="","",'Marks Entry'!M150)</f>
        <v/>
      </c>
      <c r="M150" s="546" t="str">
        <f t="shared" si="412"/>
        <v/>
      </c>
      <c r="N150" s="545" t="str">
        <f>IF('Marks Entry'!N150="","",'Marks Entry'!N150)</f>
        <v/>
      </c>
      <c r="O150" s="546" t="str">
        <f t="shared" si="413"/>
        <v/>
      </c>
      <c r="P150" s="545" t="str">
        <f>IF('Marks Entry'!O150="","",'Marks Entry'!O150)</f>
        <v/>
      </c>
      <c r="Q150" s="547" t="str">
        <f t="shared" si="414"/>
        <v/>
      </c>
      <c r="R150" s="153">
        <f t="shared" si="415"/>
        <v>0</v>
      </c>
      <c r="S150" s="153">
        <f t="shared" si="416"/>
        <v>0</v>
      </c>
      <c r="T150" s="154" t="str">
        <f t="shared" si="417"/>
        <v/>
      </c>
      <c r="U150" s="153" t="str">
        <f t="shared" si="418"/>
        <v/>
      </c>
      <c r="V150" s="153" t="str">
        <f t="shared" si="419"/>
        <v/>
      </c>
      <c r="W150" s="153" t="str">
        <f t="shared" si="420"/>
        <v/>
      </c>
      <c r="X150" s="545" t="str">
        <f>IF('Marks Entry'!P150="","",'Marks Entry'!P150)</f>
        <v/>
      </c>
      <c r="Y150" s="545" t="str">
        <f>IF('Marks Entry'!Q150="","",'Marks Entry'!Q150)</f>
        <v/>
      </c>
      <c r="Z150" s="545" t="str">
        <f>IF('Marks Entry'!R150="","",'Marks Entry'!R150)</f>
        <v/>
      </c>
      <c r="AA150" s="546" t="str">
        <f t="shared" si="421"/>
        <v/>
      </c>
      <c r="AB150" s="545" t="str">
        <f>IF('Marks Entry'!S150="","",'Marks Entry'!S150)</f>
        <v/>
      </c>
      <c r="AC150" s="546" t="str">
        <f t="shared" si="422"/>
        <v/>
      </c>
      <c r="AD150" s="545" t="str">
        <f>IF('Marks Entry'!T150="","",'Marks Entry'!T150)</f>
        <v/>
      </c>
      <c r="AE150" s="547" t="str">
        <f t="shared" si="423"/>
        <v/>
      </c>
      <c r="AF150" s="153">
        <f t="shared" si="424"/>
        <v>0</v>
      </c>
      <c r="AG150" s="153">
        <f t="shared" si="425"/>
        <v>0</v>
      </c>
      <c r="AH150" s="154" t="str">
        <f t="shared" si="426"/>
        <v/>
      </c>
      <c r="AI150" s="153" t="str">
        <f t="shared" si="427"/>
        <v/>
      </c>
      <c r="AJ150" s="153" t="str">
        <f t="shared" si="428"/>
        <v/>
      </c>
      <c r="AK150" s="153" t="str">
        <f t="shared" si="429"/>
        <v/>
      </c>
      <c r="AL150" s="573" t="str">
        <f>IF('Marks Entry'!U150="","",'Marks Entry'!U150)</f>
        <v/>
      </c>
      <c r="AM150" s="573" t="str">
        <f>IF('Marks Entry'!V150="","",'Marks Entry'!V150)</f>
        <v/>
      </c>
      <c r="AN150" s="573" t="str">
        <f>IF('Marks Entry'!W150="","",'Marks Entry'!W150)</f>
        <v/>
      </c>
      <c r="AO150" s="573" t="str">
        <f>IF('Marks Entry'!X150="","",'Marks Entry'!X150)</f>
        <v/>
      </c>
      <c r="AP150" s="572" t="str">
        <f t="shared" si="430"/>
        <v/>
      </c>
      <c r="AQ150" s="573" t="str">
        <f>IF('Marks Entry'!Y150="","",'Marks Entry'!Y150)</f>
        <v/>
      </c>
      <c r="AR150" s="573" t="str">
        <f>IF('Marks Entry'!Z150="","",'Marks Entry'!Z150)</f>
        <v/>
      </c>
      <c r="AS150" s="572" t="str">
        <f t="shared" si="431"/>
        <v/>
      </c>
      <c r="AT150" s="572" t="str">
        <f t="shared" si="432"/>
        <v/>
      </c>
      <c r="AU150" s="573" t="str">
        <f>IF('Marks Entry'!AA150="","",'Marks Entry'!AA150)</f>
        <v/>
      </c>
      <c r="AV150" s="573" t="str">
        <f>IF('Marks Entry'!AB150="","",'Marks Entry'!AB150)</f>
        <v/>
      </c>
      <c r="AW150" s="572" t="str">
        <f t="shared" si="433"/>
        <v/>
      </c>
      <c r="AX150" s="157" t="str">
        <f t="shared" si="434"/>
        <v/>
      </c>
      <c r="AY150" s="157" t="str">
        <f t="shared" si="435"/>
        <v/>
      </c>
      <c r="AZ150" s="192" t="str">
        <f t="shared" si="436"/>
        <v/>
      </c>
      <c r="BA150" s="153">
        <f t="shared" si="437"/>
        <v>0</v>
      </c>
      <c r="BB150" s="154">
        <f t="shared" si="438"/>
        <v>0</v>
      </c>
      <c r="BC150" s="154" t="str">
        <f t="shared" si="439"/>
        <v/>
      </c>
      <c r="BD150" s="154" t="str">
        <f t="shared" si="440"/>
        <v/>
      </c>
      <c r="BE150" s="154" t="str">
        <f t="shared" si="441"/>
        <v/>
      </c>
      <c r="BF150" s="153" t="str">
        <f t="shared" si="442"/>
        <v/>
      </c>
      <c r="BG150" s="154" t="str">
        <f t="shared" si="443"/>
        <v/>
      </c>
      <c r="BH150" s="153" t="str">
        <f t="shared" si="444"/>
        <v/>
      </c>
      <c r="BI150" s="580" t="str">
        <f>IF('Marks Entry'!AC150="","",'Marks Entry'!AC150)</f>
        <v/>
      </c>
      <c r="BJ150" s="580" t="str">
        <f>IF('Marks Entry'!AD150="","",'Marks Entry'!AD150)</f>
        <v/>
      </c>
      <c r="BK150" s="580" t="str">
        <f>IF('Marks Entry'!AE150="","",'Marks Entry'!AE150)</f>
        <v/>
      </c>
      <c r="BL150" s="580" t="str">
        <f>IF('Marks Entry'!AF150="","",'Marks Entry'!AF150)</f>
        <v/>
      </c>
      <c r="BM150" s="581" t="str">
        <f t="shared" si="445"/>
        <v/>
      </c>
      <c r="BN150" s="580" t="str">
        <f>IF('Marks Entry'!AG150="","",'Marks Entry'!AG150)</f>
        <v/>
      </c>
      <c r="BO150" s="580" t="str">
        <f>IF('Marks Entry'!AH150="","",'Marks Entry'!AH150)</f>
        <v/>
      </c>
      <c r="BP150" s="581" t="str">
        <f t="shared" si="446"/>
        <v/>
      </c>
      <c r="BQ150" s="581" t="str">
        <f t="shared" si="447"/>
        <v/>
      </c>
      <c r="BR150" s="580" t="str">
        <f>IF('Marks Entry'!AI150="","",'Marks Entry'!AI150)</f>
        <v/>
      </c>
      <c r="BS150" s="580" t="str">
        <f>IF('Marks Entry'!AJ150="","",'Marks Entry'!AJ150)</f>
        <v/>
      </c>
      <c r="BT150" s="581" t="str">
        <f t="shared" si="448"/>
        <v/>
      </c>
      <c r="BU150" s="157" t="str">
        <f t="shared" si="449"/>
        <v/>
      </c>
      <c r="BV150" s="157" t="str">
        <f t="shared" si="450"/>
        <v/>
      </c>
      <c r="BW150" s="192" t="str">
        <f t="shared" si="451"/>
        <v/>
      </c>
      <c r="BX150" s="153">
        <f t="shared" si="452"/>
        <v>0</v>
      </c>
      <c r="BY150" s="154">
        <f t="shared" si="453"/>
        <v>0</v>
      </c>
      <c r="BZ150" s="154" t="str">
        <f t="shared" si="454"/>
        <v/>
      </c>
      <c r="CA150" s="154" t="str">
        <f t="shared" si="455"/>
        <v/>
      </c>
      <c r="CB150" s="154" t="str">
        <f t="shared" si="456"/>
        <v/>
      </c>
      <c r="CC150" s="153" t="str">
        <f t="shared" si="457"/>
        <v/>
      </c>
      <c r="CD150" s="154" t="str">
        <f t="shared" si="458"/>
        <v/>
      </c>
      <c r="CE150" s="153" t="str">
        <f t="shared" si="459"/>
        <v/>
      </c>
      <c r="CF150" s="580" t="str">
        <f>IF('Marks Entry'!AK150="","",'Marks Entry'!AK150)</f>
        <v/>
      </c>
      <c r="CG150" s="580" t="str">
        <f>IF('Marks Entry'!AL150="","",'Marks Entry'!AL150)</f>
        <v/>
      </c>
      <c r="CH150" s="580" t="str">
        <f>IF('Marks Entry'!AM150="","",'Marks Entry'!AM150)</f>
        <v/>
      </c>
      <c r="CI150" s="580" t="str">
        <f>IF('Marks Entry'!AN150="","",'Marks Entry'!AN150)</f>
        <v/>
      </c>
      <c r="CJ150" s="581" t="str">
        <f t="shared" si="460"/>
        <v/>
      </c>
      <c r="CK150" s="580" t="str">
        <f>IF('Marks Entry'!AO150="","",'Marks Entry'!AO150)</f>
        <v/>
      </c>
      <c r="CL150" s="580" t="str">
        <f>IF('Marks Entry'!AP150="","",'Marks Entry'!AP150)</f>
        <v/>
      </c>
      <c r="CM150" s="581" t="str">
        <f t="shared" si="461"/>
        <v/>
      </c>
      <c r="CN150" s="581" t="str">
        <f t="shared" si="462"/>
        <v/>
      </c>
      <c r="CO150" s="580" t="str">
        <f>IF('Marks Entry'!AQ150="","",'Marks Entry'!AQ150)</f>
        <v/>
      </c>
      <c r="CP150" s="580" t="str">
        <f>IF('Marks Entry'!AR150="","",'Marks Entry'!AR150)</f>
        <v/>
      </c>
      <c r="CQ150" s="581" t="str">
        <f t="shared" si="463"/>
        <v/>
      </c>
      <c r="CR150" s="157" t="str">
        <f t="shared" si="464"/>
        <v/>
      </c>
      <c r="CS150" s="157" t="str">
        <f t="shared" si="465"/>
        <v/>
      </c>
      <c r="CT150" s="192" t="str">
        <f t="shared" si="466"/>
        <v/>
      </c>
      <c r="CU150" s="153">
        <f t="shared" si="467"/>
        <v>0</v>
      </c>
      <c r="CV150" s="154">
        <f t="shared" si="468"/>
        <v>0</v>
      </c>
      <c r="CW150" s="154" t="str">
        <f t="shared" si="469"/>
        <v/>
      </c>
      <c r="CX150" s="154" t="str">
        <f t="shared" si="470"/>
        <v/>
      </c>
      <c r="CY150" s="154" t="str">
        <f t="shared" si="471"/>
        <v/>
      </c>
      <c r="CZ150" s="153" t="str">
        <f t="shared" si="472"/>
        <v/>
      </c>
      <c r="DA150" s="154" t="str">
        <f t="shared" si="473"/>
        <v/>
      </c>
      <c r="DB150" s="153" t="str">
        <f t="shared" si="474"/>
        <v/>
      </c>
      <c r="DC150" s="154">
        <f t="shared" si="475"/>
        <v>0</v>
      </c>
      <c r="DD150" s="826" t="str">
        <f>IF('Marks Entry'!AS150="","",IF(OR('Master Sheet'!$D$19="YES",'Marks Entry'!$BA$1=1),'Marks Entry'!AS150,""))</f>
        <v/>
      </c>
      <c r="DE150" s="826" t="str">
        <f>IF('Marks Entry'!AT150="","",IF(OR('Master Sheet'!$D$19="YES",'Marks Entry'!$BA$1=1),'Marks Entry'!AT150,""))</f>
        <v/>
      </c>
      <c r="DF150" s="826" t="str">
        <f>IF('Marks Entry'!AU150="","",IF(OR('Master Sheet'!$D$19="YES",'Marks Entry'!$BA$1=1),'Marks Entry'!AU150,""))</f>
        <v/>
      </c>
      <c r="DG150" s="826" t="str">
        <f>IF('Marks Entry'!AV150="","",IF(OR('Master Sheet'!$D$19="YES",'Marks Entry'!$BA$1=1),'Marks Entry'!AV150,""))</f>
        <v/>
      </c>
      <c r="DH150" s="827" t="str">
        <f t="shared" si="476"/>
        <v/>
      </c>
      <c r="DI150" s="826" t="str">
        <f>IF('Marks Entry'!AW150="","",IF(OR('Master Sheet'!$D$19="YES",'Marks Entry'!$BA$1=1),'Marks Entry'!AW150,""))</f>
        <v/>
      </c>
      <c r="DJ150" s="826" t="str">
        <f>IF('Marks Entry'!AX150="","",IF(OR('Master Sheet'!$D$19="YES",'Marks Entry'!$BA$1=1),'Marks Entry'!AX150,""))</f>
        <v/>
      </c>
      <c r="DK150" s="827" t="str">
        <f t="shared" si="477"/>
        <v/>
      </c>
      <c r="DL150" s="827" t="str">
        <f t="shared" si="478"/>
        <v/>
      </c>
      <c r="DM150" s="826" t="str">
        <f>IF('Marks Entry'!AY150="","",IF(OR('Master Sheet'!$D$19="YES",'Marks Entry'!$BA$1=1),'Marks Entry'!AY150,""))</f>
        <v/>
      </c>
      <c r="DN150" s="826" t="str">
        <f>IF('Marks Entry'!AZ150="","",IF(OR('Master Sheet'!$D$19="YES",'Marks Entry'!$BA$1=1),'Marks Entry'!AZ150,""))</f>
        <v/>
      </c>
      <c r="DO150" s="826" t="str">
        <f>IF('Marks Entry'!BA150="","",IF(OR('Master Sheet'!$D$19="YES",'Marks Entry'!$BA$1=1),'Marks Entry'!BA150,""))</f>
        <v/>
      </c>
      <c r="DP150" s="827" t="str">
        <f t="shared" si="479"/>
        <v/>
      </c>
      <c r="DQ150" s="157" t="str">
        <f t="shared" si="480"/>
        <v/>
      </c>
      <c r="DR150" s="157" t="str">
        <f t="shared" si="481"/>
        <v/>
      </c>
      <c r="DS150" s="157" t="str">
        <f t="shared" si="482"/>
        <v/>
      </c>
      <c r="DT150" s="192" t="str">
        <f t="shared" si="483"/>
        <v/>
      </c>
      <c r="DU150" s="153">
        <f t="shared" si="484"/>
        <v>0</v>
      </c>
      <c r="DV150" s="154" t="e">
        <f t="shared" si="485"/>
        <v>#VALUE!</v>
      </c>
      <c r="DW150" s="154" t="str">
        <f t="shared" si="486"/>
        <v/>
      </c>
      <c r="DX150" s="154" t="str">
        <f>IF(OR($B150="NSO",$B150=0,DS150=""),"",IF(AND(DJ150="",DO150=""),"",IF('Master Sheet'!$D$19="YES",$DO$6-COUNTIF(DO150,"ML")*DO$6,DS$6-(COUNTIF(DJ150,"ML")*DJ$6)-(COUNTIF(DO150,"ML")*DO$6))))</f>
        <v/>
      </c>
      <c r="DY150" s="154" t="str">
        <f>IF(OR($B150="NSO",$B150=0),"",IF(AND(DH150="",DI150="",DM150=""),"",IF(AND('Master Sheet'!$D$19="YES",'Marks Entry'!$BA$1=1),100,IF(AND(DJ150="",DO150=""),SUM(($DQ$7+$DR$7)-(DU150+DV150)),SUM(($DQ$6+$DR$6)-(DU150+DV150))))))</f>
        <v/>
      </c>
      <c r="DZ150" s="153" t="str">
        <f t="shared" si="487"/>
        <v/>
      </c>
      <c r="EA150" s="154" t="str">
        <f t="shared" si="488"/>
        <v/>
      </c>
      <c r="EB150" s="153" t="str">
        <f t="shared" si="489"/>
        <v/>
      </c>
      <c r="EC150" s="584" t="str">
        <f>IF('Marks Entry'!BB150="","",'Marks Entry'!BB150)</f>
        <v/>
      </c>
      <c r="ED150" s="584" t="str">
        <f>IF('Marks Entry'!BC150="","",'Marks Entry'!BC150)</f>
        <v/>
      </c>
      <c r="EE150" s="584" t="str">
        <f>IF('Marks Entry'!BD150="","",'Marks Entry'!BD150)</f>
        <v/>
      </c>
      <c r="EF150" s="590" t="str">
        <f t="shared" si="490"/>
        <v/>
      </c>
      <c r="EG150" s="595">
        <f t="shared" si="491"/>
        <v>0</v>
      </c>
      <c r="EH150" s="595">
        <f t="shared" si="492"/>
        <v>0</v>
      </c>
      <c r="EI150" s="193" t="str">
        <f t="shared" si="493"/>
        <v/>
      </c>
      <c r="EJ150" s="595" t="str">
        <f t="shared" si="494"/>
        <v/>
      </c>
      <c r="EK150" s="595" t="str">
        <f t="shared" si="495"/>
        <v/>
      </c>
      <c r="EL150" s="194" t="str">
        <f t="shared" si="496"/>
        <v/>
      </c>
      <c r="EM150" s="194" t="str">
        <f t="shared" si="497"/>
        <v/>
      </c>
      <c r="EN150" s="194" t="str">
        <f t="shared" si="498"/>
        <v/>
      </c>
      <c r="EO150" s="194" t="str">
        <f t="shared" si="499"/>
        <v/>
      </c>
      <c r="EP150" s="194" t="str">
        <f t="shared" si="500"/>
        <v/>
      </c>
      <c r="EQ150" s="194" t="str">
        <f t="shared" si="501"/>
        <v/>
      </c>
      <c r="ER150" s="195">
        <f t="shared" si="502"/>
        <v>0</v>
      </c>
      <c r="ES150" s="195">
        <f t="shared" si="503"/>
        <v>0</v>
      </c>
      <c r="ET150" s="195">
        <f t="shared" si="504"/>
        <v>0</v>
      </c>
      <c r="EU150" s="195">
        <f t="shared" si="505"/>
        <v>0</v>
      </c>
      <c r="EV150" s="195">
        <f t="shared" si="506"/>
        <v>0</v>
      </c>
      <c r="EW150" s="195" t="str">
        <f t="shared" si="507"/>
        <v/>
      </c>
      <c r="EX150" s="196" t="str">
        <f t="shared" si="508"/>
        <v/>
      </c>
      <c r="EY150" s="197" t="str">
        <f>IF('Marks Entry'!BE150="","",'Marks Entry'!BE150)</f>
        <v/>
      </c>
      <c r="EZ150" s="197" t="str">
        <f>IF('Marks Entry'!BF150="","",'Marks Entry'!BF150)</f>
        <v/>
      </c>
      <c r="FA150" s="197" t="str">
        <f>IF('Marks Entry'!BG150="","",'Marks Entry'!BG150)</f>
        <v/>
      </c>
      <c r="FB150" s="596" t="str">
        <f t="shared" si="509"/>
        <v/>
      </c>
      <c r="FC150" s="197" t="str">
        <f>IF('Marks Entry'!BH150="","",'Marks Entry'!BH150)</f>
        <v/>
      </c>
      <c r="FD150" s="197" t="str">
        <f>IF('Marks Entry'!BI150="","",'Marks Entry'!BI150)</f>
        <v/>
      </c>
      <c r="FE150" s="198" t="str">
        <f t="shared" si="510"/>
        <v/>
      </c>
      <c r="FF150" s="199" t="str">
        <f t="shared" si="511"/>
        <v/>
      </c>
      <c r="FG150" s="200" t="str">
        <f>IF(AND(E150=""),"",IF('Student DATA Entry'!L146="","",'Student DATA Entry'!L146))</f>
        <v/>
      </c>
      <c r="FH150" s="201" t="str">
        <f>IF(AND(E150=""),"",IF('Student DATA Entry'!M146="","",'Student DATA Entry'!M146))</f>
        <v/>
      </c>
      <c r="FI150" s="202" t="str">
        <f t="shared" si="512"/>
        <v/>
      </c>
      <c r="FJ150" s="189" t="str">
        <f t="shared" si="513"/>
        <v/>
      </c>
      <c r="FK150" s="189" t="str">
        <f t="shared" si="514"/>
        <v/>
      </c>
      <c r="FL150" s="203" t="str">
        <f t="shared" si="383"/>
        <v/>
      </c>
      <c r="FM150" s="189" t="str">
        <f t="shared" si="515"/>
        <v/>
      </c>
      <c r="FN150" s="204" t="str">
        <f t="shared" si="516"/>
        <v/>
      </c>
      <c r="FO150" s="203" t="str">
        <f t="shared" si="384"/>
        <v/>
      </c>
      <c r="FP150" s="205" t="str">
        <f t="shared" si="517"/>
        <v/>
      </c>
      <c r="FQ150" s="189" t="str">
        <f t="shared" si="385"/>
        <v/>
      </c>
      <c r="FR150" s="189" t="str">
        <f t="shared" si="386"/>
        <v/>
      </c>
      <c r="FS150" s="189" t="str">
        <f t="shared" si="387"/>
        <v/>
      </c>
      <c r="FT150" s="189" t="str">
        <f t="shared" si="388"/>
        <v/>
      </c>
      <c r="FU150" s="189" t="str">
        <f t="shared" si="518"/>
        <v/>
      </c>
      <c r="FV150" s="206" t="str">
        <f t="shared" si="389"/>
        <v/>
      </c>
      <c r="FW150" s="205" t="str">
        <f t="shared" si="519"/>
        <v/>
      </c>
      <c r="FX150" s="189" t="str">
        <f t="shared" si="390"/>
        <v/>
      </c>
      <c r="FY150" s="189" t="str">
        <f t="shared" si="391"/>
        <v/>
      </c>
      <c r="FZ150" s="189" t="str">
        <f t="shared" si="392"/>
        <v/>
      </c>
      <c r="GA150" s="189" t="str">
        <f t="shared" si="393"/>
        <v/>
      </c>
      <c r="GB150" s="189" t="str">
        <f t="shared" si="520"/>
        <v/>
      </c>
      <c r="GC150" s="206" t="str">
        <f t="shared" si="394"/>
        <v/>
      </c>
      <c r="GD150" s="205" t="str">
        <f t="shared" si="521"/>
        <v/>
      </c>
      <c r="GE150" s="189" t="str">
        <f t="shared" si="395"/>
        <v/>
      </c>
      <c r="GF150" s="189" t="str">
        <f t="shared" si="396"/>
        <v/>
      </c>
      <c r="GG150" s="189" t="str">
        <f t="shared" si="397"/>
        <v/>
      </c>
      <c r="GH150" s="189" t="str">
        <f t="shared" si="398"/>
        <v/>
      </c>
      <c r="GI150" s="189" t="str">
        <f t="shared" si="522"/>
        <v/>
      </c>
      <c r="GJ150" s="206" t="str">
        <f t="shared" si="399"/>
        <v/>
      </c>
      <c r="GK150" s="205" t="str">
        <f t="shared" si="523"/>
        <v/>
      </c>
      <c r="GL150" s="189" t="str">
        <f t="shared" si="400"/>
        <v/>
      </c>
      <c r="GM150" s="189" t="str">
        <f t="shared" si="401"/>
        <v/>
      </c>
      <c r="GN150" s="189" t="str">
        <f t="shared" si="402"/>
        <v/>
      </c>
      <c r="GO150" s="189" t="str">
        <f t="shared" si="403"/>
        <v/>
      </c>
      <c r="GP150" s="189" t="str">
        <f t="shared" si="524"/>
        <v/>
      </c>
      <c r="GQ150" s="206" t="str">
        <f t="shared" si="404"/>
        <v/>
      </c>
      <c r="GR150" s="189" t="str">
        <f t="shared" si="525"/>
        <v/>
      </c>
      <c r="GS150" s="189" t="str">
        <f t="shared" si="526"/>
        <v/>
      </c>
      <c r="GT150" s="207" t="str">
        <f t="shared" si="527"/>
        <v xml:space="preserve">    </v>
      </c>
      <c r="GU150" s="207" t="str">
        <f t="shared" si="528"/>
        <v xml:space="preserve">    </v>
      </c>
      <c r="GV150" s="207" t="str">
        <f t="shared" si="529"/>
        <v xml:space="preserve">    </v>
      </c>
      <c r="GW150" s="207" t="str">
        <f t="shared" si="530"/>
        <v xml:space="preserve">       </v>
      </c>
      <c r="GX150" s="598" t="str">
        <f t="shared" si="531"/>
        <v xml:space="preserve">     </v>
      </c>
      <c r="GY150" s="208" t="str">
        <f t="shared" si="405"/>
        <v/>
      </c>
      <c r="GZ150" s="606" t="str">
        <f>IF(AND(Q150="",AE150="",AZ150="",BW150="",CT150=""),"",IF(AND('Master Sheet'!$D$19="YES",'Marks Entry'!$BA$1=1),SUM(Q150,AE150,AZ150,BW150,DT150),SUM(Q150,AE150,AZ150,BW150,CT150)))</f>
        <v/>
      </c>
      <c r="HA150" s="209" t="str">
        <f>IF(GZ150="","",IF(AND('Master Sheet'!$D$19="YES",'Marks Entry'!$BA$1=1),GZ150/((900)-DC150)*100,GZ150/((1000)-DC150)*100))</f>
        <v/>
      </c>
      <c r="HB150" s="611" t="str">
        <f t="shared" si="532"/>
        <v/>
      </c>
      <c r="HC150" s="609" t="str">
        <f t="shared" si="533"/>
        <v/>
      </c>
      <c r="HD150" s="610" t="str">
        <f t="shared" si="534"/>
        <v/>
      </c>
      <c r="HE150" s="210" t="str">
        <f>IFERROR(IF(OR(GY150="SUPPLEMENTARY",GY150="RE-EXAM"),'Supp. Result Entry'!AS149,""),"")</f>
        <v/>
      </c>
      <c r="HF150" s="613" t="str">
        <f t="shared" si="535"/>
        <v/>
      </c>
      <c r="HG150" s="598" t="str">
        <f t="shared" si="536"/>
        <v/>
      </c>
      <c r="HH150" s="598" t="str">
        <f>IF(AND(HE150="",HF150="",HG150=""),"",IF(OR(GY150="SUPPLEMENTARY",GY150="RE-EXAM"),'Supp. Result Entry'!AS149,GY150))</f>
        <v/>
      </c>
      <c r="HI150" s="180"/>
      <c r="HY150" s="212" t="str">
        <f>IF('Supp. Result Entry'!U149="","",'Supp. Result Entry'!$U$6)</f>
        <v/>
      </c>
      <c r="HZ150" s="213" t="str">
        <f>IF('Supp. Result Entry'!X149="","",'Supp. Result Entry'!$X$6)</f>
        <v/>
      </c>
      <c r="IA150" s="213" t="str">
        <f>IF('Supp. Result Entry'!AA149="","",'Supp. Result Entry'!$AA$6)</f>
        <v/>
      </c>
      <c r="IB150" s="213" t="str">
        <f>IF('Supp. Result Entry'!AD149="","",'Supp. Result Entry'!$AD$6)</f>
        <v/>
      </c>
      <c r="IC150" s="213" t="str">
        <f>IF('Supp. Result Entry'!AG149="","",'Supp. Result Entry'!$AG$6)</f>
        <v/>
      </c>
      <c r="ID150" s="213" t="str">
        <f>IF('Supp. Result Entry'!AJ149="","",'Supp. Result Entry'!$AJ$6)</f>
        <v/>
      </c>
      <c r="IE150" s="213" t="str">
        <f>IF('Supp. Result Entry'!V149="","",'Supp. Result Entry'!V149)</f>
        <v/>
      </c>
      <c r="IF150" s="213" t="str">
        <f>IF('Supp. Result Entry'!Y149="","",'Supp. Result Entry'!Y149)</f>
        <v/>
      </c>
      <c r="IG150" s="213" t="str">
        <f>IF('Supp. Result Entry'!AB149="","",'Supp. Result Entry'!AB149)</f>
        <v/>
      </c>
      <c r="IH150" s="213" t="str">
        <f>IF('Supp. Result Entry'!AE149="","",'Supp. Result Entry'!AE149)</f>
        <v/>
      </c>
      <c r="II150" s="213" t="str">
        <f>IF('Supp. Result Entry'!AH149="","",'Supp. Result Entry'!AH149)</f>
        <v/>
      </c>
      <c r="IJ150" s="213" t="str">
        <f>IF('Supp. Result Entry'!AK149="","",'Supp. Result Entry'!AK149)</f>
        <v/>
      </c>
      <c r="IK150" s="213" t="str">
        <f>IF('Supp. Result Entry'!W149="","",'Supp. Result Entry'!W149)</f>
        <v/>
      </c>
      <c r="IL150" s="213" t="str">
        <f>IF('Supp. Result Entry'!Z149="","",'Supp. Result Entry'!Z149)</f>
        <v/>
      </c>
      <c r="IM150" s="213" t="str">
        <f>IF('Supp. Result Entry'!AC149="","",'Supp. Result Entry'!AC149)</f>
        <v/>
      </c>
      <c r="IN150" s="213" t="str">
        <f>IF('Supp. Result Entry'!AF149="","",'Supp. Result Entry'!AF149)</f>
        <v/>
      </c>
      <c r="IO150" s="213" t="str">
        <f>IF('Supp. Result Entry'!AI149="","",'Supp. Result Entry'!AI149)</f>
        <v/>
      </c>
      <c r="IP150" s="213" t="str">
        <f>IF('Supp. Result Entry'!AL149="","",'Supp. Result Entry'!AL149)</f>
        <v/>
      </c>
      <c r="IQ150" s="213">
        <f>COUNTIF('Supp. Result Entry'!K149:Q149,"S")</f>
        <v>0</v>
      </c>
      <c r="IR150" s="213">
        <f t="shared" si="537"/>
        <v>0</v>
      </c>
      <c r="IS150" s="213">
        <f t="shared" si="538"/>
        <v>0</v>
      </c>
      <c r="IT150" s="213" t="str">
        <f t="shared" si="406"/>
        <v/>
      </c>
      <c r="IU150" s="213" t="str">
        <f t="shared" si="407"/>
        <v/>
      </c>
      <c r="IV150" s="213" t="str">
        <f t="shared" si="408"/>
        <v/>
      </c>
      <c r="IW150" s="213" t="str">
        <f t="shared" si="409"/>
        <v/>
      </c>
      <c r="IX150" s="213" t="str">
        <f t="shared" si="410"/>
        <v/>
      </c>
      <c r="IY150" s="213" t="str">
        <f t="shared" si="539"/>
        <v/>
      </c>
      <c r="IZ150" s="213" t="str">
        <f t="shared" si="540"/>
        <v/>
      </c>
      <c r="JA150" s="213" t="str">
        <f t="shared" si="411"/>
        <v/>
      </c>
      <c r="JB150" s="211" t="str">
        <f t="shared" si="541"/>
        <v/>
      </c>
    </row>
    <row r="151" spans="1:262" s="211" customFormat="1" ht="21" customHeight="1">
      <c r="A151" s="184">
        <v>144</v>
      </c>
      <c r="B151" s="185" t="str">
        <f>IF('Marks Entry'!B151="","",'Marks Entry'!B151)</f>
        <v/>
      </c>
      <c r="C151" s="186" t="str">
        <f>IF('Marks Entry'!D151="","",'Marks Entry'!D151)</f>
        <v/>
      </c>
      <c r="D151" s="187" t="str">
        <f>IF('Marks Entry'!E151="","",'Marks Entry'!E151)</f>
        <v/>
      </c>
      <c r="E151" s="188" t="str">
        <f>IF('Marks Entry'!F151="","",'Marks Entry'!F151)</f>
        <v/>
      </c>
      <c r="F151" s="188" t="str">
        <f>IF('Marks Entry'!G151="","",'Marks Entry'!G151)</f>
        <v/>
      </c>
      <c r="G151" s="188" t="str">
        <f>IF('Marks Entry'!H151="","",'Marks Entry'!H151)</f>
        <v/>
      </c>
      <c r="H151" s="189" t="str">
        <f>IF('Marks Entry'!I151="","",'Marks Entry'!I151)</f>
        <v/>
      </c>
      <c r="I151" s="190" t="str">
        <f>IF('Marks Entry'!J151="","",'Marks Entry'!J151)</f>
        <v/>
      </c>
      <c r="J151" s="545" t="str">
        <f>IF('Marks Entry'!K151="","",'Marks Entry'!K151)</f>
        <v/>
      </c>
      <c r="K151" s="545" t="str">
        <f>IF('Marks Entry'!L151="","",'Marks Entry'!L151)</f>
        <v/>
      </c>
      <c r="L151" s="545" t="str">
        <f>IF('Marks Entry'!M151="","",'Marks Entry'!M151)</f>
        <v/>
      </c>
      <c r="M151" s="546" t="str">
        <f t="shared" si="412"/>
        <v/>
      </c>
      <c r="N151" s="545" t="str">
        <f>IF('Marks Entry'!N151="","",'Marks Entry'!N151)</f>
        <v/>
      </c>
      <c r="O151" s="546" t="str">
        <f t="shared" si="413"/>
        <v/>
      </c>
      <c r="P151" s="545" t="str">
        <f>IF('Marks Entry'!O151="","",'Marks Entry'!O151)</f>
        <v/>
      </c>
      <c r="Q151" s="547" t="str">
        <f t="shared" si="414"/>
        <v/>
      </c>
      <c r="R151" s="153">
        <f t="shared" si="415"/>
        <v>0</v>
      </c>
      <c r="S151" s="153">
        <f t="shared" si="416"/>
        <v>0</v>
      </c>
      <c r="T151" s="154" t="str">
        <f t="shared" si="417"/>
        <v/>
      </c>
      <c r="U151" s="153" t="str">
        <f t="shared" si="418"/>
        <v/>
      </c>
      <c r="V151" s="153" t="str">
        <f t="shared" si="419"/>
        <v/>
      </c>
      <c r="W151" s="153" t="str">
        <f t="shared" si="420"/>
        <v/>
      </c>
      <c r="X151" s="545" t="str">
        <f>IF('Marks Entry'!P151="","",'Marks Entry'!P151)</f>
        <v/>
      </c>
      <c r="Y151" s="545" t="str">
        <f>IF('Marks Entry'!Q151="","",'Marks Entry'!Q151)</f>
        <v/>
      </c>
      <c r="Z151" s="545" t="str">
        <f>IF('Marks Entry'!R151="","",'Marks Entry'!R151)</f>
        <v/>
      </c>
      <c r="AA151" s="546" t="str">
        <f t="shared" si="421"/>
        <v/>
      </c>
      <c r="AB151" s="545" t="str">
        <f>IF('Marks Entry'!S151="","",'Marks Entry'!S151)</f>
        <v/>
      </c>
      <c r="AC151" s="546" t="str">
        <f t="shared" si="422"/>
        <v/>
      </c>
      <c r="AD151" s="545" t="str">
        <f>IF('Marks Entry'!T151="","",'Marks Entry'!T151)</f>
        <v/>
      </c>
      <c r="AE151" s="547" t="str">
        <f t="shared" si="423"/>
        <v/>
      </c>
      <c r="AF151" s="153">
        <f t="shared" si="424"/>
        <v>0</v>
      </c>
      <c r="AG151" s="153">
        <f t="shared" si="425"/>
        <v>0</v>
      </c>
      <c r="AH151" s="154" t="str">
        <f t="shared" si="426"/>
        <v/>
      </c>
      <c r="AI151" s="153" t="str">
        <f t="shared" si="427"/>
        <v/>
      </c>
      <c r="AJ151" s="153" t="str">
        <f t="shared" si="428"/>
        <v/>
      </c>
      <c r="AK151" s="153" t="str">
        <f t="shared" si="429"/>
        <v/>
      </c>
      <c r="AL151" s="573" t="str">
        <f>IF('Marks Entry'!U151="","",'Marks Entry'!U151)</f>
        <v/>
      </c>
      <c r="AM151" s="573" t="str">
        <f>IF('Marks Entry'!V151="","",'Marks Entry'!V151)</f>
        <v/>
      </c>
      <c r="AN151" s="573" t="str">
        <f>IF('Marks Entry'!W151="","",'Marks Entry'!W151)</f>
        <v/>
      </c>
      <c r="AO151" s="573" t="str">
        <f>IF('Marks Entry'!X151="","",'Marks Entry'!X151)</f>
        <v/>
      </c>
      <c r="AP151" s="572" t="str">
        <f t="shared" si="430"/>
        <v/>
      </c>
      <c r="AQ151" s="573" t="str">
        <f>IF('Marks Entry'!Y151="","",'Marks Entry'!Y151)</f>
        <v/>
      </c>
      <c r="AR151" s="573" t="str">
        <f>IF('Marks Entry'!Z151="","",'Marks Entry'!Z151)</f>
        <v/>
      </c>
      <c r="AS151" s="572" t="str">
        <f t="shared" si="431"/>
        <v/>
      </c>
      <c r="AT151" s="572" t="str">
        <f t="shared" si="432"/>
        <v/>
      </c>
      <c r="AU151" s="573" t="str">
        <f>IF('Marks Entry'!AA151="","",'Marks Entry'!AA151)</f>
        <v/>
      </c>
      <c r="AV151" s="573" t="str">
        <f>IF('Marks Entry'!AB151="","",'Marks Entry'!AB151)</f>
        <v/>
      </c>
      <c r="AW151" s="572" t="str">
        <f t="shared" si="433"/>
        <v/>
      </c>
      <c r="AX151" s="157" t="str">
        <f t="shared" si="434"/>
        <v/>
      </c>
      <c r="AY151" s="157" t="str">
        <f t="shared" si="435"/>
        <v/>
      </c>
      <c r="AZ151" s="192" t="str">
        <f t="shared" si="436"/>
        <v/>
      </c>
      <c r="BA151" s="153">
        <f t="shared" si="437"/>
        <v>0</v>
      </c>
      <c r="BB151" s="154">
        <f t="shared" si="438"/>
        <v>0</v>
      </c>
      <c r="BC151" s="154" t="str">
        <f t="shared" si="439"/>
        <v/>
      </c>
      <c r="BD151" s="154" t="str">
        <f t="shared" si="440"/>
        <v/>
      </c>
      <c r="BE151" s="154" t="str">
        <f t="shared" si="441"/>
        <v/>
      </c>
      <c r="BF151" s="153" t="str">
        <f t="shared" si="442"/>
        <v/>
      </c>
      <c r="BG151" s="154" t="str">
        <f t="shared" si="443"/>
        <v/>
      </c>
      <c r="BH151" s="153" t="str">
        <f t="shared" si="444"/>
        <v/>
      </c>
      <c r="BI151" s="580" t="str">
        <f>IF('Marks Entry'!AC151="","",'Marks Entry'!AC151)</f>
        <v/>
      </c>
      <c r="BJ151" s="580" t="str">
        <f>IF('Marks Entry'!AD151="","",'Marks Entry'!AD151)</f>
        <v/>
      </c>
      <c r="BK151" s="580" t="str">
        <f>IF('Marks Entry'!AE151="","",'Marks Entry'!AE151)</f>
        <v/>
      </c>
      <c r="BL151" s="580" t="str">
        <f>IF('Marks Entry'!AF151="","",'Marks Entry'!AF151)</f>
        <v/>
      </c>
      <c r="BM151" s="581" t="str">
        <f t="shared" si="445"/>
        <v/>
      </c>
      <c r="BN151" s="580" t="str">
        <f>IF('Marks Entry'!AG151="","",'Marks Entry'!AG151)</f>
        <v/>
      </c>
      <c r="BO151" s="580" t="str">
        <f>IF('Marks Entry'!AH151="","",'Marks Entry'!AH151)</f>
        <v/>
      </c>
      <c r="BP151" s="581" t="str">
        <f t="shared" si="446"/>
        <v/>
      </c>
      <c r="BQ151" s="581" t="str">
        <f t="shared" si="447"/>
        <v/>
      </c>
      <c r="BR151" s="580" t="str">
        <f>IF('Marks Entry'!AI151="","",'Marks Entry'!AI151)</f>
        <v/>
      </c>
      <c r="BS151" s="580" t="str">
        <f>IF('Marks Entry'!AJ151="","",'Marks Entry'!AJ151)</f>
        <v/>
      </c>
      <c r="BT151" s="581" t="str">
        <f t="shared" si="448"/>
        <v/>
      </c>
      <c r="BU151" s="157" t="str">
        <f t="shared" si="449"/>
        <v/>
      </c>
      <c r="BV151" s="157" t="str">
        <f t="shared" si="450"/>
        <v/>
      </c>
      <c r="BW151" s="192" t="str">
        <f t="shared" si="451"/>
        <v/>
      </c>
      <c r="BX151" s="153">
        <f t="shared" si="452"/>
        <v>0</v>
      </c>
      <c r="BY151" s="154">
        <f t="shared" si="453"/>
        <v>0</v>
      </c>
      <c r="BZ151" s="154" t="str">
        <f t="shared" si="454"/>
        <v/>
      </c>
      <c r="CA151" s="154" t="str">
        <f t="shared" si="455"/>
        <v/>
      </c>
      <c r="CB151" s="154" t="str">
        <f t="shared" si="456"/>
        <v/>
      </c>
      <c r="CC151" s="153" t="str">
        <f t="shared" si="457"/>
        <v/>
      </c>
      <c r="CD151" s="154" t="str">
        <f t="shared" si="458"/>
        <v/>
      </c>
      <c r="CE151" s="153" t="str">
        <f t="shared" si="459"/>
        <v/>
      </c>
      <c r="CF151" s="580" t="str">
        <f>IF('Marks Entry'!AK151="","",'Marks Entry'!AK151)</f>
        <v/>
      </c>
      <c r="CG151" s="580" t="str">
        <f>IF('Marks Entry'!AL151="","",'Marks Entry'!AL151)</f>
        <v/>
      </c>
      <c r="CH151" s="580" t="str">
        <f>IF('Marks Entry'!AM151="","",'Marks Entry'!AM151)</f>
        <v/>
      </c>
      <c r="CI151" s="580" t="str">
        <f>IF('Marks Entry'!AN151="","",'Marks Entry'!AN151)</f>
        <v/>
      </c>
      <c r="CJ151" s="581" t="str">
        <f t="shared" si="460"/>
        <v/>
      </c>
      <c r="CK151" s="580" t="str">
        <f>IF('Marks Entry'!AO151="","",'Marks Entry'!AO151)</f>
        <v/>
      </c>
      <c r="CL151" s="580" t="str">
        <f>IF('Marks Entry'!AP151="","",'Marks Entry'!AP151)</f>
        <v/>
      </c>
      <c r="CM151" s="581" t="str">
        <f t="shared" si="461"/>
        <v/>
      </c>
      <c r="CN151" s="581" t="str">
        <f t="shared" si="462"/>
        <v/>
      </c>
      <c r="CO151" s="580" t="str">
        <f>IF('Marks Entry'!AQ151="","",'Marks Entry'!AQ151)</f>
        <v/>
      </c>
      <c r="CP151" s="580" t="str">
        <f>IF('Marks Entry'!AR151="","",'Marks Entry'!AR151)</f>
        <v/>
      </c>
      <c r="CQ151" s="581" t="str">
        <f t="shared" si="463"/>
        <v/>
      </c>
      <c r="CR151" s="157" t="str">
        <f t="shared" si="464"/>
        <v/>
      </c>
      <c r="CS151" s="157" t="str">
        <f t="shared" si="465"/>
        <v/>
      </c>
      <c r="CT151" s="192" t="str">
        <f t="shared" si="466"/>
        <v/>
      </c>
      <c r="CU151" s="153">
        <f t="shared" si="467"/>
        <v>0</v>
      </c>
      <c r="CV151" s="154">
        <f t="shared" si="468"/>
        <v>0</v>
      </c>
      <c r="CW151" s="154" t="str">
        <f t="shared" si="469"/>
        <v/>
      </c>
      <c r="CX151" s="154" t="str">
        <f t="shared" si="470"/>
        <v/>
      </c>
      <c r="CY151" s="154" t="str">
        <f t="shared" si="471"/>
        <v/>
      </c>
      <c r="CZ151" s="153" t="str">
        <f t="shared" si="472"/>
        <v/>
      </c>
      <c r="DA151" s="154" t="str">
        <f t="shared" si="473"/>
        <v/>
      </c>
      <c r="DB151" s="153" t="str">
        <f t="shared" si="474"/>
        <v/>
      </c>
      <c r="DC151" s="154">
        <f t="shared" si="475"/>
        <v>0</v>
      </c>
      <c r="DD151" s="826" t="str">
        <f>IF('Marks Entry'!AS151="","",IF(OR('Master Sheet'!$D$19="YES",'Marks Entry'!$BA$1=1),'Marks Entry'!AS151,""))</f>
        <v/>
      </c>
      <c r="DE151" s="826" t="str">
        <f>IF('Marks Entry'!AT151="","",IF(OR('Master Sheet'!$D$19="YES",'Marks Entry'!$BA$1=1),'Marks Entry'!AT151,""))</f>
        <v/>
      </c>
      <c r="DF151" s="826" t="str">
        <f>IF('Marks Entry'!AU151="","",IF(OR('Master Sheet'!$D$19="YES",'Marks Entry'!$BA$1=1),'Marks Entry'!AU151,""))</f>
        <v/>
      </c>
      <c r="DG151" s="826" t="str">
        <f>IF('Marks Entry'!AV151="","",IF(OR('Master Sheet'!$D$19="YES",'Marks Entry'!$BA$1=1),'Marks Entry'!AV151,""))</f>
        <v/>
      </c>
      <c r="DH151" s="827" t="str">
        <f t="shared" si="476"/>
        <v/>
      </c>
      <c r="DI151" s="826" t="str">
        <f>IF('Marks Entry'!AW151="","",IF(OR('Master Sheet'!$D$19="YES",'Marks Entry'!$BA$1=1),'Marks Entry'!AW151,""))</f>
        <v/>
      </c>
      <c r="DJ151" s="826" t="str">
        <f>IF('Marks Entry'!AX151="","",IF(OR('Master Sheet'!$D$19="YES",'Marks Entry'!$BA$1=1),'Marks Entry'!AX151,""))</f>
        <v/>
      </c>
      <c r="DK151" s="827" t="str">
        <f t="shared" si="477"/>
        <v/>
      </c>
      <c r="DL151" s="827" t="str">
        <f t="shared" si="478"/>
        <v/>
      </c>
      <c r="DM151" s="826" t="str">
        <f>IF('Marks Entry'!AY151="","",IF(OR('Master Sheet'!$D$19="YES",'Marks Entry'!$BA$1=1),'Marks Entry'!AY151,""))</f>
        <v/>
      </c>
      <c r="DN151" s="826" t="str">
        <f>IF('Marks Entry'!AZ151="","",IF(OR('Master Sheet'!$D$19="YES",'Marks Entry'!$BA$1=1),'Marks Entry'!AZ151,""))</f>
        <v/>
      </c>
      <c r="DO151" s="826" t="str">
        <f>IF('Marks Entry'!BA151="","",IF(OR('Master Sheet'!$D$19="YES",'Marks Entry'!$BA$1=1),'Marks Entry'!BA151,""))</f>
        <v/>
      </c>
      <c r="DP151" s="827" t="str">
        <f t="shared" si="479"/>
        <v/>
      </c>
      <c r="DQ151" s="157" t="str">
        <f t="shared" si="480"/>
        <v/>
      </c>
      <c r="DR151" s="157" t="str">
        <f t="shared" si="481"/>
        <v/>
      </c>
      <c r="DS151" s="157" t="str">
        <f t="shared" si="482"/>
        <v/>
      </c>
      <c r="DT151" s="192" t="str">
        <f t="shared" si="483"/>
        <v/>
      </c>
      <c r="DU151" s="153">
        <f t="shared" si="484"/>
        <v>0</v>
      </c>
      <c r="DV151" s="154" t="e">
        <f t="shared" si="485"/>
        <v>#VALUE!</v>
      </c>
      <c r="DW151" s="154" t="str">
        <f t="shared" si="486"/>
        <v/>
      </c>
      <c r="DX151" s="154" t="str">
        <f>IF(OR($B151="NSO",$B151=0,DS151=""),"",IF(AND(DJ151="",DO151=""),"",IF('Master Sheet'!$D$19="YES",$DO$6-COUNTIF(DO151,"ML")*DO$6,DS$6-(COUNTIF(DJ151,"ML")*DJ$6)-(COUNTIF(DO151,"ML")*DO$6))))</f>
        <v/>
      </c>
      <c r="DY151" s="154" t="str">
        <f>IF(OR($B151="NSO",$B151=0),"",IF(AND(DH151="",DI151="",DM151=""),"",IF(AND('Master Sheet'!$D$19="YES",'Marks Entry'!$BA$1=1),100,IF(AND(DJ151="",DO151=""),SUM(($DQ$7+$DR$7)-(DU151+DV151)),SUM(($DQ$6+$DR$6)-(DU151+DV151))))))</f>
        <v/>
      </c>
      <c r="DZ151" s="153" t="str">
        <f t="shared" si="487"/>
        <v/>
      </c>
      <c r="EA151" s="154" t="str">
        <f t="shared" si="488"/>
        <v/>
      </c>
      <c r="EB151" s="153" t="str">
        <f t="shared" si="489"/>
        <v/>
      </c>
      <c r="EC151" s="584" t="str">
        <f>IF('Marks Entry'!BB151="","",'Marks Entry'!BB151)</f>
        <v/>
      </c>
      <c r="ED151" s="584" t="str">
        <f>IF('Marks Entry'!BC151="","",'Marks Entry'!BC151)</f>
        <v/>
      </c>
      <c r="EE151" s="584" t="str">
        <f>IF('Marks Entry'!BD151="","",'Marks Entry'!BD151)</f>
        <v/>
      </c>
      <c r="EF151" s="590" t="str">
        <f t="shared" si="490"/>
        <v/>
      </c>
      <c r="EG151" s="595">
        <f t="shared" si="491"/>
        <v>0</v>
      </c>
      <c r="EH151" s="595">
        <f t="shared" si="492"/>
        <v>0</v>
      </c>
      <c r="EI151" s="193" t="str">
        <f t="shared" si="493"/>
        <v/>
      </c>
      <c r="EJ151" s="595" t="str">
        <f t="shared" si="494"/>
        <v/>
      </c>
      <c r="EK151" s="595" t="str">
        <f t="shared" si="495"/>
        <v/>
      </c>
      <c r="EL151" s="194" t="str">
        <f t="shared" si="496"/>
        <v/>
      </c>
      <c r="EM151" s="194" t="str">
        <f t="shared" si="497"/>
        <v/>
      </c>
      <c r="EN151" s="194" t="str">
        <f t="shared" si="498"/>
        <v/>
      </c>
      <c r="EO151" s="194" t="str">
        <f t="shared" si="499"/>
        <v/>
      </c>
      <c r="EP151" s="194" t="str">
        <f t="shared" si="500"/>
        <v/>
      </c>
      <c r="EQ151" s="194" t="str">
        <f t="shared" si="501"/>
        <v/>
      </c>
      <c r="ER151" s="195">
        <f t="shared" si="502"/>
        <v>0</v>
      </c>
      <c r="ES151" s="195">
        <f t="shared" si="503"/>
        <v>0</v>
      </c>
      <c r="ET151" s="195">
        <f t="shared" si="504"/>
        <v>0</v>
      </c>
      <c r="EU151" s="195">
        <f t="shared" si="505"/>
        <v>0</v>
      </c>
      <c r="EV151" s="195">
        <f t="shared" si="506"/>
        <v>0</v>
      </c>
      <c r="EW151" s="195" t="str">
        <f t="shared" si="507"/>
        <v/>
      </c>
      <c r="EX151" s="196" t="str">
        <f t="shared" si="508"/>
        <v/>
      </c>
      <c r="EY151" s="197" t="str">
        <f>IF('Marks Entry'!BE151="","",'Marks Entry'!BE151)</f>
        <v/>
      </c>
      <c r="EZ151" s="197" t="str">
        <f>IF('Marks Entry'!BF151="","",'Marks Entry'!BF151)</f>
        <v/>
      </c>
      <c r="FA151" s="197" t="str">
        <f>IF('Marks Entry'!BG151="","",'Marks Entry'!BG151)</f>
        <v/>
      </c>
      <c r="FB151" s="596" t="str">
        <f t="shared" si="509"/>
        <v/>
      </c>
      <c r="FC151" s="197" t="str">
        <f>IF('Marks Entry'!BH151="","",'Marks Entry'!BH151)</f>
        <v/>
      </c>
      <c r="FD151" s="197" t="str">
        <f>IF('Marks Entry'!BI151="","",'Marks Entry'!BI151)</f>
        <v/>
      </c>
      <c r="FE151" s="198" t="str">
        <f t="shared" si="510"/>
        <v/>
      </c>
      <c r="FF151" s="199" t="str">
        <f t="shared" si="511"/>
        <v/>
      </c>
      <c r="FG151" s="200" t="str">
        <f>IF(AND(E151=""),"",IF('Student DATA Entry'!L147="","",'Student DATA Entry'!L147))</f>
        <v/>
      </c>
      <c r="FH151" s="201" t="str">
        <f>IF(AND(E151=""),"",IF('Student DATA Entry'!M147="","",'Student DATA Entry'!M147))</f>
        <v/>
      </c>
      <c r="FI151" s="202" t="str">
        <f t="shared" si="512"/>
        <v/>
      </c>
      <c r="FJ151" s="189" t="str">
        <f t="shared" si="513"/>
        <v/>
      </c>
      <c r="FK151" s="189" t="str">
        <f t="shared" si="514"/>
        <v/>
      </c>
      <c r="FL151" s="203" t="str">
        <f t="shared" si="383"/>
        <v/>
      </c>
      <c r="FM151" s="189" t="str">
        <f t="shared" si="515"/>
        <v/>
      </c>
      <c r="FN151" s="204" t="str">
        <f t="shared" si="516"/>
        <v/>
      </c>
      <c r="FO151" s="203" t="str">
        <f t="shared" si="384"/>
        <v/>
      </c>
      <c r="FP151" s="205" t="str">
        <f t="shared" si="517"/>
        <v/>
      </c>
      <c r="FQ151" s="189" t="str">
        <f t="shared" si="385"/>
        <v/>
      </c>
      <c r="FR151" s="189" t="str">
        <f t="shared" si="386"/>
        <v/>
      </c>
      <c r="FS151" s="189" t="str">
        <f t="shared" si="387"/>
        <v/>
      </c>
      <c r="FT151" s="189" t="str">
        <f t="shared" si="388"/>
        <v/>
      </c>
      <c r="FU151" s="189" t="str">
        <f t="shared" si="518"/>
        <v/>
      </c>
      <c r="FV151" s="206" t="str">
        <f t="shared" si="389"/>
        <v/>
      </c>
      <c r="FW151" s="205" t="str">
        <f t="shared" si="519"/>
        <v/>
      </c>
      <c r="FX151" s="189" t="str">
        <f t="shared" si="390"/>
        <v/>
      </c>
      <c r="FY151" s="189" t="str">
        <f t="shared" si="391"/>
        <v/>
      </c>
      <c r="FZ151" s="189" t="str">
        <f t="shared" si="392"/>
        <v/>
      </c>
      <c r="GA151" s="189" t="str">
        <f t="shared" si="393"/>
        <v/>
      </c>
      <c r="GB151" s="189" t="str">
        <f t="shared" si="520"/>
        <v/>
      </c>
      <c r="GC151" s="206" t="str">
        <f t="shared" si="394"/>
        <v/>
      </c>
      <c r="GD151" s="205" t="str">
        <f t="shared" si="521"/>
        <v/>
      </c>
      <c r="GE151" s="189" t="str">
        <f t="shared" si="395"/>
        <v/>
      </c>
      <c r="GF151" s="189" t="str">
        <f t="shared" si="396"/>
        <v/>
      </c>
      <c r="GG151" s="189" t="str">
        <f t="shared" si="397"/>
        <v/>
      </c>
      <c r="GH151" s="189" t="str">
        <f t="shared" si="398"/>
        <v/>
      </c>
      <c r="GI151" s="189" t="str">
        <f t="shared" si="522"/>
        <v/>
      </c>
      <c r="GJ151" s="206" t="str">
        <f t="shared" si="399"/>
        <v/>
      </c>
      <c r="GK151" s="205" t="str">
        <f t="shared" si="523"/>
        <v/>
      </c>
      <c r="GL151" s="189" t="str">
        <f t="shared" si="400"/>
        <v/>
      </c>
      <c r="GM151" s="189" t="str">
        <f t="shared" si="401"/>
        <v/>
      </c>
      <c r="GN151" s="189" t="str">
        <f t="shared" si="402"/>
        <v/>
      </c>
      <c r="GO151" s="189" t="str">
        <f t="shared" si="403"/>
        <v/>
      </c>
      <c r="GP151" s="189" t="str">
        <f t="shared" si="524"/>
        <v/>
      </c>
      <c r="GQ151" s="206" t="str">
        <f t="shared" si="404"/>
        <v/>
      </c>
      <c r="GR151" s="189" t="str">
        <f t="shared" si="525"/>
        <v/>
      </c>
      <c r="GS151" s="189" t="str">
        <f t="shared" si="526"/>
        <v/>
      </c>
      <c r="GT151" s="207" t="str">
        <f t="shared" si="527"/>
        <v xml:space="preserve">    </v>
      </c>
      <c r="GU151" s="207" t="str">
        <f t="shared" si="528"/>
        <v xml:space="preserve">    </v>
      </c>
      <c r="GV151" s="207" t="str">
        <f t="shared" si="529"/>
        <v xml:space="preserve">    </v>
      </c>
      <c r="GW151" s="207" t="str">
        <f t="shared" si="530"/>
        <v xml:space="preserve">       </v>
      </c>
      <c r="GX151" s="598" t="str">
        <f t="shared" si="531"/>
        <v xml:space="preserve">     </v>
      </c>
      <c r="GY151" s="208" t="str">
        <f t="shared" si="405"/>
        <v/>
      </c>
      <c r="GZ151" s="606" t="str">
        <f>IF(AND(Q151="",AE151="",AZ151="",BW151="",CT151=""),"",IF(AND('Master Sheet'!$D$19="YES",'Marks Entry'!$BA$1=1),SUM(Q151,AE151,AZ151,BW151,DT151),SUM(Q151,AE151,AZ151,BW151,CT151)))</f>
        <v/>
      </c>
      <c r="HA151" s="209" t="str">
        <f>IF(GZ151="","",IF(AND('Master Sheet'!$D$19="YES",'Marks Entry'!$BA$1=1),GZ151/((900)-DC151)*100,GZ151/((1000)-DC151)*100))</f>
        <v/>
      </c>
      <c r="HB151" s="611" t="str">
        <f t="shared" si="532"/>
        <v/>
      </c>
      <c r="HC151" s="609" t="str">
        <f t="shared" si="533"/>
        <v/>
      </c>
      <c r="HD151" s="610" t="str">
        <f t="shared" si="534"/>
        <v/>
      </c>
      <c r="HE151" s="210" t="str">
        <f>IFERROR(IF(OR(GY151="SUPPLEMENTARY",GY151="RE-EXAM"),'Supp. Result Entry'!AS150,""),"")</f>
        <v/>
      </c>
      <c r="HF151" s="613" t="str">
        <f t="shared" si="535"/>
        <v/>
      </c>
      <c r="HG151" s="598" t="str">
        <f t="shared" si="536"/>
        <v/>
      </c>
      <c r="HH151" s="598" t="str">
        <f>IF(AND(HE151="",HF151="",HG151=""),"",IF(OR(GY151="SUPPLEMENTARY",GY151="RE-EXAM"),'Supp. Result Entry'!AS150,GY151))</f>
        <v/>
      </c>
      <c r="HI151" s="180"/>
      <c r="HY151" s="212" t="str">
        <f>IF('Supp. Result Entry'!U150="","",'Supp. Result Entry'!$U$6)</f>
        <v/>
      </c>
      <c r="HZ151" s="213" t="str">
        <f>IF('Supp. Result Entry'!X150="","",'Supp. Result Entry'!$X$6)</f>
        <v/>
      </c>
      <c r="IA151" s="213" t="str">
        <f>IF('Supp. Result Entry'!AA150="","",'Supp. Result Entry'!$AA$6)</f>
        <v/>
      </c>
      <c r="IB151" s="213" t="str">
        <f>IF('Supp. Result Entry'!AD150="","",'Supp. Result Entry'!$AD$6)</f>
        <v/>
      </c>
      <c r="IC151" s="213" t="str">
        <f>IF('Supp. Result Entry'!AG150="","",'Supp. Result Entry'!$AG$6)</f>
        <v/>
      </c>
      <c r="ID151" s="213" t="str">
        <f>IF('Supp. Result Entry'!AJ150="","",'Supp. Result Entry'!$AJ$6)</f>
        <v/>
      </c>
      <c r="IE151" s="213" t="str">
        <f>IF('Supp. Result Entry'!V150="","",'Supp. Result Entry'!V150)</f>
        <v/>
      </c>
      <c r="IF151" s="213" t="str">
        <f>IF('Supp. Result Entry'!Y150="","",'Supp. Result Entry'!Y150)</f>
        <v/>
      </c>
      <c r="IG151" s="213" t="str">
        <f>IF('Supp. Result Entry'!AB150="","",'Supp. Result Entry'!AB150)</f>
        <v/>
      </c>
      <c r="IH151" s="213" t="str">
        <f>IF('Supp. Result Entry'!AE150="","",'Supp. Result Entry'!AE150)</f>
        <v/>
      </c>
      <c r="II151" s="213" t="str">
        <f>IF('Supp. Result Entry'!AH150="","",'Supp. Result Entry'!AH150)</f>
        <v/>
      </c>
      <c r="IJ151" s="213" t="str">
        <f>IF('Supp. Result Entry'!AK150="","",'Supp. Result Entry'!AK150)</f>
        <v/>
      </c>
      <c r="IK151" s="213" t="str">
        <f>IF('Supp. Result Entry'!W150="","",'Supp. Result Entry'!W150)</f>
        <v/>
      </c>
      <c r="IL151" s="213" t="str">
        <f>IF('Supp. Result Entry'!Z150="","",'Supp. Result Entry'!Z150)</f>
        <v/>
      </c>
      <c r="IM151" s="213" t="str">
        <f>IF('Supp. Result Entry'!AC150="","",'Supp. Result Entry'!AC150)</f>
        <v/>
      </c>
      <c r="IN151" s="213" t="str">
        <f>IF('Supp. Result Entry'!AF150="","",'Supp. Result Entry'!AF150)</f>
        <v/>
      </c>
      <c r="IO151" s="213" t="str">
        <f>IF('Supp. Result Entry'!AI150="","",'Supp. Result Entry'!AI150)</f>
        <v/>
      </c>
      <c r="IP151" s="213" t="str">
        <f>IF('Supp. Result Entry'!AL150="","",'Supp. Result Entry'!AL150)</f>
        <v/>
      </c>
      <c r="IQ151" s="213">
        <f>COUNTIF('Supp. Result Entry'!K150:Q150,"S")</f>
        <v>0</v>
      </c>
      <c r="IR151" s="213">
        <f t="shared" si="537"/>
        <v>0</v>
      </c>
      <c r="IS151" s="213">
        <f t="shared" si="538"/>
        <v>0</v>
      </c>
      <c r="IT151" s="213" t="str">
        <f t="shared" si="406"/>
        <v/>
      </c>
      <c r="IU151" s="213" t="str">
        <f t="shared" si="407"/>
        <v/>
      </c>
      <c r="IV151" s="213" t="str">
        <f t="shared" si="408"/>
        <v/>
      </c>
      <c r="IW151" s="213" t="str">
        <f t="shared" si="409"/>
        <v/>
      </c>
      <c r="IX151" s="213" t="str">
        <f t="shared" si="410"/>
        <v/>
      </c>
      <c r="IY151" s="213" t="str">
        <f t="shared" si="539"/>
        <v/>
      </c>
      <c r="IZ151" s="213" t="str">
        <f t="shared" si="540"/>
        <v/>
      </c>
      <c r="JA151" s="213" t="str">
        <f t="shared" si="411"/>
        <v/>
      </c>
      <c r="JB151" s="211" t="str">
        <f t="shared" si="541"/>
        <v/>
      </c>
    </row>
    <row r="152" spans="1:262" s="211" customFormat="1" ht="21" customHeight="1">
      <c r="A152" s="184">
        <v>145</v>
      </c>
      <c r="B152" s="185" t="str">
        <f>IF('Marks Entry'!B152="","",'Marks Entry'!B152)</f>
        <v/>
      </c>
      <c r="C152" s="186" t="str">
        <f>IF('Marks Entry'!D152="","",'Marks Entry'!D152)</f>
        <v/>
      </c>
      <c r="D152" s="187" t="str">
        <f>IF('Marks Entry'!E152="","",'Marks Entry'!E152)</f>
        <v/>
      </c>
      <c r="E152" s="188" t="str">
        <f>IF('Marks Entry'!F152="","",'Marks Entry'!F152)</f>
        <v/>
      </c>
      <c r="F152" s="188" t="str">
        <f>IF('Marks Entry'!G152="","",'Marks Entry'!G152)</f>
        <v/>
      </c>
      <c r="G152" s="188" t="str">
        <f>IF('Marks Entry'!H152="","",'Marks Entry'!H152)</f>
        <v/>
      </c>
      <c r="H152" s="189" t="str">
        <f>IF('Marks Entry'!I152="","",'Marks Entry'!I152)</f>
        <v/>
      </c>
      <c r="I152" s="190" t="str">
        <f>IF('Marks Entry'!J152="","",'Marks Entry'!J152)</f>
        <v/>
      </c>
      <c r="J152" s="545" t="str">
        <f>IF('Marks Entry'!K152="","",'Marks Entry'!K152)</f>
        <v/>
      </c>
      <c r="K152" s="545" t="str">
        <f>IF('Marks Entry'!L152="","",'Marks Entry'!L152)</f>
        <v/>
      </c>
      <c r="L152" s="545" t="str">
        <f>IF('Marks Entry'!M152="","",'Marks Entry'!M152)</f>
        <v/>
      </c>
      <c r="M152" s="546" t="str">
        <f t="shared" si="412"/>
        <v/>
      </c>
      <c r="N152" s="545" t="str">
        <f>IF('Marks Entry'!N152="","",'Marks Entry'!N152)</f>
        <v/>
      </c>
      <c r="O152" s="546" t="str">
        <f t="shared" si="413"/>
        <v/>
      </c>
      <c r="P152" s="545" t="str">
        <f>IF('Marks Entry'!O152="","",'Marks Entry'!O152)</f>
        <v/>
      </c>
      <c r="Q152" s="547" t="str">
        <f t="shared" si="414"/>
        <v/>
      </c>
      <c r="R152" s="153">
        <f t="shared" si="415"/>
        <v>0</v>
      </c>
      <c r="S152" s="153">
        <f t="shared" si="416"/>
        <v>0</v>
      </c>
      <c r="T152" s="154" t="str">
        <f t="shared" si="417"/>
        <v/>
      </c>
      <c r="U152" s="153" t="str">
        <f t="shared" si="418"/>
        <v/>
      </c>
      <c r="V152" s="153" t="str">
        <f t="shared" si="419"/>
        <v/>
      </c>
      <c r="W152" s="153" t="str">
        <f t="shared" si="420"/>
        <v/>
      </c>
      <c r="X152" s="545" t="str">
        <f>IF('Marks Entry'!P152="","",'Marks Entry'!P152)</f>
        <v/>
      </c>
      <c r="Y152" s="545" t="str">
        <f>IF('Marks Entry'!Q152="","",'Marks Entry'!Q152)</f>
        <v/>
      </c>
      <c r="Z152" s="545" t="str">
        <f>IF('Marks Entry'!R152="","",'Marks Entry'!R152)</f>
        <v/>
      </c>
      <c r="AA152" s="546" t="str">
        <f t="shared" si="421"/>
        <v/>
      </c>
      <c r="AB152" s="545" t="str">
        <f>IF('Marks Entry'!S152="","",'Marks Entry'!S152)</f>
        <v/>
      </c>
      <c r="AC152" s="546" t="str">
        <f t="shared" si="422"/>
        <v/>
      </c>
      <c r="AD152" s="545" t="str">
        <f>IF('Marks Entry'!T152="","",'Marks Entry'!T152)</f>
        <v/>
      </c>
      <c r="AE152" s="547" t="str">
        <f t="shared" si="423"/>
        <v/>
      </c>
      <c r="AF152" s="153">
        <f t="shared" si="424"/>
        <v>0</v>
      </c>
      <c r="AG152" s="153">
        <f t="shared" si="425"/>
        <v>0</v>
      </c>
      <c r="AH152" s="154" t="str">
        <f t="shared" si="426"/>
        <v/>
      </c>
      <c r="AI152" s="153" t="str">
        <f t="shared" si="427"/>
        <v/>
      </c>
      <c r="AJ152" s="153" t="str">
        <f t="shared" si="428"/>
        <v/>
      </c>
      <c r="AK152" s="153" t="str">
        <f t="shared" si="429"/>
        <v/>
      </c>
      <c r="AL152" s="573" t="str">
        <f>IF('Marks Entry'!U152="","",'Marks Entry'!U152)</f>
        <v/>
      </c>
      <c r="AM152" s="573" t="str">
        <f>IF('Marks Entry'!V152="","",'Marks Entry'!V152)</f>
        <v/>
      </c>
      <c r="AN152" s="573" t="str">
        <f>IF('Marks Entry'!W152="","",'Marks Entry'!W152)</f>
        <v/>
      </c>
      <c r="AO152" s="573" t="str">
        <f>IF('Marks Entry'!X152="","",'Marks Entry'!X152)</f>
        <v/>
      </c>
      <c r="AP152" s="572" t="str">
        <f t="shared" si="430"/>
        <v/>
      </c>
      <c r="AQ152" s="573" t="str">
        <f>IF('Marks Entry'!Y152="","",'Marks Entry'!Y152)</f>
        <v/>
      </c>
      <c r="AR152" s="573" t="str">
        <f>IF('Marks Entry'!Z152="","",'Marks Entry'!Z152)</f>
        <v/>
      </c>
      <c r="AS152" s="572" t="str">
        <f t="shared" si="431"/>
        <v/>
      </c>
      <c r="AT152" s="572" t="str">
        <f t="shared" si="432"/>
        <v/>
      </c>
      <c r="AU152" s="573" t="str">
        <f>IF('Marks Entry'!AA152="","",'Marks Entry'!AA152)</f>
        <v/>
      </c>
      <c r="AV152" s="573" t="str">
        <f>IF('Marks Entry'!AB152="","",'Marks Entry'!AB152)</f>
        <v/>
      </c>
      <c r="AW152" s="572" t="str">
        <f t="shared" si="433"/>
        <v/>
      </c>
      <c r="AX152" s="157" t="str">
        <f t="shared" si="434"/>
        <v/>
      </c>
      <c r="AY152" s="157" t="str">
        <f t="shared" si="435"/>
        <v/>
      </c>
      <c r="AZ152" s="192" t="str">
        <f t="shared" si="436"/>
        <v/>
      </c>
      <c r="BA152" s="153">
        <f t="shared" si="437"/>
        <v>0</v>
      </c>
      <c r="BB152" s="154">
        <f t="shared" si="438"/>
        <v>0</v>
      </c>
      <c r="BC152" s="154" t="str">
        <f t="shared" si="439"/>
        <v/>
      </c>
      <c r="BD152" s="154" t="str">
        <f t="shared" si="440"/>
        <v/>
      </c>
      <c r="BE152" s="154" t="str">
        <f t="shared" si="441"/>
        <v/>
      </c>
      <c r="BF152" s="153" t="str">
        <f t="shared" si="442"/>
        <v/>
      </c>
      <c r="BG152" s="154" t="str">
        <f t="shared" si="443"/>
        <v/>
      </c>
      <c r="BH152" s="153" t="str">
        <f t="shared" si="444"/>
        <v/>
      </c>
      <c r="BI152" s="580" t="str">
        <f>IF('Marks Entry'!AC152="","",'Marks Entry'!AC152)</f>
        <v/>
      </c>
      <c r="BJ152" s="580" t="str">
        <f>IF('Marks Entry'!AD152="","",'Marks Entry'!AD152)</f>
        <v/>
      </c>
      <c r="BK152" s="580" t="str">
        <f>IF('Marks Entry'!AE152="","",'Marks Entry'!AE152)</f>
        <v/>
      </c>
      <c r="BL152" s="580" t="str">
        <f>IF('Marks Entry'!AF152="","",'Marks Entry'!AF152)</f>
        <v/>
      </c>
      <c r="BM152" s="581" t="str">
        <f t="shared" si="445"/>
        <v/>
      </c>
      <c r="BN152" s="580" t="str">
        <f>IF('Marks Entry'!AG152="","",'Marks Entry'!AG152)</f>
        <v/>
      </c>
      <c r="BO152" s="580" t="str">
        <f>IF('Marks Entry'!AH152="","",'Marks Entry'!AH152)</f>
        <v/>
      </c>
      <c r="BP152" s="581" t="str">
        <f t="shared" si="446"/>
        <v/>
      </c>
      <c r="BQ152" s="581" t="str">
        <f t="shared" si="447"/>
        <v/>
      </c>
      <c r="BR152" s="580" t="str">
        <f>IF('Marks Entry'!AI152="","",'Marks Entry'!AI152)</f>
        <v/>
      </c>
      <c r="BS152" s="580" t="str">
        <f>IF('Marks Entry'!AJ152="","",'Marks Entry'!AJ152)</f>
        <v/>
      </c>
      <c r="BT152" s="581" t="str">
        <f t="shared" si="448"/>
        <v/>
      </c>
      <c r="BU152" s="157" t="str">
        <f t="shared" si="449"/>
        <v/>
      </c>
      <c r="BV152" s="157" t="str">
        <f t="shared" si="450"/>
        <v/>
      </c>
      <c r="BW152" s="192" t="str">
        <f t="shared" si="451"/>
        <v/>
      </c>
      <c r="BX152" s="153">
        <f t="shared" si="452"/>
        <v>0</v>
      </c>
      <c r="BY152" s="154">
        <f t="shared" si="453"/>
        <v>0</v>
      </c>
      <c r="BZ152" s="154" t="str">
        <f t="shared" si="454"/>
        <v/>
      </c>
      <c r="CA152" s="154" t="str">
        <f t="shared" si="455"/>
        <v/>
      </c>
      <c r="CB152" s="154" t="str">
        <f t="shared" si="456"/>
        <v/>
      </c>
      <c r="CC152" s="153" t="str">
        <f t="shared" si="457"/>
        <v/>
      </c>
      <c r="CD152" s="154" t="str">
        <f t="shared" si="458"/>
        <v/>
      </c>
      <c r="CE152" s="153" t="str">
        <f t="shared" si="459"/>
        <v/>
      </c>
      <c r="CF152" s="580" t="str">
        <f>IF('Marks Entry'!AK152="","",'Marks Entry'!AK152)</f>
        <v/>
      </c>
      <c r="CG152" s="580" t="str">
        <f>IF('Marks Entry'!AL152="","",'Marks Entry'!AL152)</f>
        <v/>
      </c>
      <c r="CH152" s="580" t="str">
        <f>IF('Marks Entry'!AM152="","",'Marks Entry'!AM152)</f>
        <v/>
      </c>
      <c r="CI152" s="580" t="str">
        <f>IF('Marks Entry'!AN152="","",'Marks Entry'!AN152)</f>
        <v/>
      </c>
      <c r="CJ152" s="581" t="str">
        <f t="shared" si="460"/>
        <v/>
      </c>
      <c r="CK152" s="580" t="str">
        <f>IF('Marks Entry'!AO152="","",'Marks Entry'!AO152)</f>
        <v/>
      </c>
      <c r="CL152" s="580" t="str">
        <f>IF('Marks Entry'!AP152="","",'Marks Entry'!AP152)</f>
        <v/>
      </c>
      <c r="CM152" s="581" t="str">
        <f t="shared" si="461"/>
        <v/>
      </c>
      <c r="CN152" s="581" t="str">
        <f t="shared" si="462"/>
        <v/>
      </c>
      <c r="CO152" s="580" t="str">
        <f>IF('Marks Entry'!AQ152="","",'Marks Entry'!AQ152)</f>
        <v/>
      </c>
      <c r="CP152" s="580" t="str">
        <f>IF('Marks Entry'!AR152="","",'Marks Entry'!AR152)</f>
        <v/>
      </c>
      <c r="CQ152" s="581" t="str">
        <f t="shared" si="463"/>
        <v/>
      </c>
      <c r="CR152" s="157" t="str">
        <f t="shared" si="464"/>
        <v/>
      </c>
      <c r="CS152" s="157" t="str">
        <f t="shared" si="465"/>
        <v/>
      </c>
      <c r="CT152" s="192" t="str">
        <f t="shared" si="466"/>
        <v/>
      </c>
      <c r="CU152" s="153">
        <f t="shared" si="467"/>
        <v>0</v>
      </c>
      <c r="CV152" s="154">
        <f t="shared" si="468"/>
        <v>0</v>
      </c>
      <c r="CW152" s="154" t="str">
        <f t="shared" si="469"/>
        <v/>
      </c>
      <c r="CX152" s="154" t="str">
        <f t="shared" si="470"/>
        <v/>
      </c>
      <c r="CY152" s="154" t="str">
        <f t="shared" si="471"/>
        <v/>
      </c>
      <c r="CZ152" s="153" t="str">
        <f t="shared" si="472"/>
        <v/>
      </c>
      <c r="DA152" s="154" t="str">
        <f t="shared" si="473"/>
        <v/>
      </c>
      <c r="DB152" s="153" t="str">
        <f t="shared" si="474"/>
        <v/>
      </c>
      <c r="DC152" s="154">
        <f t="shared" si="475"/>
        <v>0</v>
      </c>
      <c r="DD152" s="826" t="str">
        <f>IF('Marks Entry'!AS152="","",IF(OR('Master Sheet'!$D$19="YES",'Marks Entry'!$BA$1=1),'Marks Entry'!AS152,""))</f>
        <v/>
      </c>
      <c r="DE152" s="826" t="str">
        <f>IF('Marks Entry'!AT152="","",IF(OR('Master Sheet'!$D$19="YES",'Marks Entry'!$BA$1=1),'Marks Entry'!AT152,""))</f>
        <v/>
      </c>
      <c r="DF152" s="826" t="str">
        <f>IF('Marks Entry'!AU152="","",IF(OR('Master Sheet'!$D$19="YES",'Marks Entry'!$BA$1=1),'Marks Entry'!AU152,""))</f>
        <v/>
      </c>
      <c r="DG152" s="826" t="str">
        <f>IF('Marks Entry'!AV152="","",IF(OR('Master Sheet'!$D$19="YES",'Marks Entry'!$BA$1=1),'Marks Entry'!AV152,""))</f>
        <v/>
      </c>
      <c r="DH152" s="827" t="str">
        <f t="shared" si="476"/>
        <v/>
      </c>
      <c r="DI152" s="826" t="str">
        <f>IF('Marks Entry'!AW152="","",IF(OR('Master Sheet'!$D$19="YES",'Marks Entry'!$BA$1=1),'Marks Entry'!AW152,""))</f>
        <v/>
      </c>
      <c r="DJ152" s="826" t="str">
        <f>IF('Marks Entry'!AX152="","",IF(OR('Master Sheet'!$D$19="YES",'Marks Entry'!$BA$1=1),'Marks Entry'!AX152,""))</f>
        <v/>
      </c>
      <c r="DK152" s="827" t="str">
        <f t="shared" si="477"/>
        <v/>
      </c>
      <c r="DL152" s="827" t="str">
        <f t="shared" si="478"/>
        <v/>
      </c>
      <c r="DM152" s="826" t="str">
        <f>IF('Marks Entry'!AY152="","",IF(OR('Master Sheet'!$D$19="YES",'Marks Entry'!$BA$1=1),'Marks Entry'!AY152,""))</f>
        <v/>
      </c>
      <c r="DN152" s="826" t="str">
        <f>IF('Marks Entry'!AZ152="","",IF(OR('Master Sheet'!$D$19="YES",'Marks Entry'!$BA$1=1),'Marks Entry'!AZ152,""))</f>
        <v/>
      </c>
      <c r="DO152" s="826" t="str">
        <f>IF('Marks Entry'!BA152="","",IF(OR('Master Sheet'!$D$19="YES",'Marks Entry'!$BA$1=1),'Marks Entry'!BA152,""))</f>
        <v/>
      </c>
      <c r="DP152" s="827" t="str">
        <f t="shared" si="479"/>
        <v/>
      </c>
      <c r="DQ152" s="157" t="str">
        <f t="shared" si="480"/>
        <v/>
      </c>
      <c r="DR152" s="157" t="str">
        <f t="shared" si="481"/>
        <v/>
      </c>
      <c r="DS152" s="157" t="str">
        <f t="shared" si="482"/>
        <v/>
      </c>
      <c r="DT152" s="192" t="str">
        <f t="shared" si="483"/>
        <v/>
      </c>
      <c r="DU152" s="153">
        <f t="shared" si="484"/>
        <v>0</v>
      </c>
      <c r="DV152" s="154" t="e">
        <f t="shared" si="485"/>
        <v>#VALUE!</v>
      </c>
      <c r="DW152" s="154" t="str">
        <f t="shared" si="486"/>
        <v/>
      </c>
      <c r="DX152" s="154" t="str">
        <f>IF(OR($B152="NSO",$B152=0,DS152=""),"",IF(AND(DJ152="",DO152=""),"",IF('Master Sheet'!$D$19="YES",$DO$6-COUNTIF(DO152,"ML")*DO$6,DS$6-(COUNTIF(DJ152,"ML")*DJ$6)-(COUNTIF(DO152,"ML")*DO$6))))</f>
        <v/>
      </c>
      <c r="DY152" s="154" t="str">
        <f>IF(OR($B152="NSO",$B152=0),"",IF(AND(DH152="",DI152="",DM152=""),"",IF(AND('Master Sheet'!$D$19="YES",'Marks Entry'!$BA$1=1),100,IF(AND(DJ152="",DO152=""),SUM(($DQ$7+$DR$7)-(DU152+DV152)),SUM(($DQ$6+$DR$6)-(DU152+DV152))))))</f>
        <v/>
      </c>
      <c r="DZ152" s="153" t="str">
        <f t="shared" si="487"/>
        <v/>
      </c>
      <c r="EA152" s="154" t="str">
        <f t="shared" si="488"/>
        <v/>
      </c>
      <c r="EB152" s="153" t="str">
        <f t="shared" si="489"/>
        <v/>
      </c>
      <c r="EC152" s="584" t="str">
        <f>IF('Marks Entry'!BB152="","",'Marks Entry'!BB152)</f>
        <v/>
      </c>
      <c r="ED152" s="584" t="str">
        <f>IF('Marks Entry'!BC152="","",'Marks Entry'!BC152)</f>
        <v/>
      </c>
      <c r="EE152" s="584" t="str">
        <f>IF('Marks Entry'!BD152="","",'Marks Entry'!BD152)</f>
        <v/>
      </c>
      <c r="EF152" s="590" t="str">
        <f t="shared" si="490"/>
        <v/>
      </c>
      <c r="EG152" s="595">
        <f t="shared" si="491"/>
        <v>0</v>
      </c>
      <c r="EH152" s="595">
        <f t="shared" si="492"/>
        <v>0</v>
      </c>
      <c r="EI152" s="193" t="str">
        <f t="shared" si="493"/>
        <v/>
      </c>
      <c r="EJ152" s="595" t="str">
        <f t="shared" si="494"/>
        <v/>
      </c>
      <c r="EK152" s="595" t="str">
        <f t="shared" si="495"/>
        <v/>
      </c>
      <c r="EL152" s="194" t="str">
        <f t="shared" si="496"/>
        <v/>
      </c>
      <c r="EM152" s="194" t="str">
        <f t="shared" si="497"/>
        <v/>
      </c>
      <c r="EN152" s="194" t="str">
        <f t="shared" si="498"/>
        <v/>
      </c>
      <c r="EO152" s="194" t="str">
        <f t="shared" si="499"/>
        <v/>
      </c>
      <c r="EP152" s="194" t="str">
        <f t="shared" si="500"/>
        <v/>
      </c>
      <c r="EQ152" s="194" t="str">
        <f t="shared" si="501"/>
        <v/>
      </c>
      <c r="ER152" s="195">
        <f t="shared" si="502"/>
        <v>0</v>
      </c>
      <c r="ES152" s="195">
        <f t="shared" si="503"/>
        <v>0</v>
      </c>
      <c r="ET152" s="195">
        <f t="shared" si="504"/>
        <v>0</v>
      </c>
      <c r="EU152" s="195">
        <f t="shared" si="505"/>
        <v>0</v>
      </c>
      <c r="EV152" s="195">
        <f t="shared" si="506"/>
        <v>0</v>
      </c>
      <c r="EW152" s="195" t="str">
        <f t="shared" si="507"/>
        <v/>
      </c>
      <c r="EX152" s="196" t="str">
        <f t="shared" si="508"/>
        <v/>
      </c>
      <c r="EY152" s="197" t="str">
        <f>IF('Marks Entry'!BE152="","",'Marks Entry'!BE152)</f>
        <v/>
      </c>
      <c r="EZ152" s="197" t="str">
        <f>IF('Marks Entry'!BF152="","",'Marks Entry'!BF152)</f>
        <v/>
      </c>
      <c r="FA152" s="197" t="str">
        <f>IF('Marks Entry'!BG152="","",'Marks Entry'!BG152)</f>
        <v/>
      </c>
      <c r="FB152" s="596" t="str">
        <f t="shared" si="509"/>
        <v/>
      </c>
      <c r="FC152" s="197" t="str">
        <f>IF('Marks Entry'!BH152="","",'Marks Entry'!BH152)</f>
        <v/>
      </c>
      <c r="FD152" s="197" t="str">
        <f>IF('Marks Entry'!BI152="","",'Marks Entry'!BI152)</f>
        <v/>
      </c>
      <c r="FE152" s="198" t="str">
        <f t="shared" si="510"/>
        <v/>
      </c>
      <c r="FF152" s="199" t="str">
        <f t="shared" si="511"/>
        <v/>
      </c>
      <c r="FG152" s="200" t="str">
        <f>IF(AND(E152=""),"",IF('Student DATA Entry'!L148="","",'Student DATA Entry'!L148))</f>
        <v/>
      </c>
      <c r="FH152" s="201" t="str">
        <f>IF(AND(E152=""),"",IF('Student DATA Entry'!M148="","",'Student DATA Entry'!M148))</f>
        <v/>
      </c>
      <c r="FI152" s="202" t="str">
        <f t="shared" si="512"/>
        <v/>
      </c>
      <c r="FJ152" s="189" t="str">
        <f t="shared" si="513"/>
        <v/>
      </c>
      <c r="FK152" s="189" t="str">
        <f t="shared" si="514"/>
        <v/>
      </c>
      <c r="FL152" s="203" t="str">
        <f t="shared" si="383"/>
        <v/>
      </c>
      <c r="FM152" s="189" t="str">
        <f t="shared" si="515"/>
        <v/>
      </c>
      <c r="FN152" s="204" t="str">
        <f t="shared" si="516"/>
        <v/>
      </c>
      <c r="FO152" s="203" t="str">
        <f t="shared" si="384"/>
        <v/>
      </c>
      <c r="FP152" s="205" t="str">
        <f t="shared" si="517"/>
        <v/>
      </c>
      <c r="FQ152" s="189" t="str">
        <f t="shared" si="385"/>
        <v/>
      </c>
      <c r="FR152" s="189" t="str">
        <f t="shared" si="386"/>
        <v/>
      </c>
      <c r="FS152" s="189" t="str">
        <f t="shared" si="387"/>
        <v/>
      </c>
      <c r="FT152" s="189" t="str">
        <f t="shared" si="388"/>
        <v/>
      </c>
      <c r="FU152" s="189" t="str">
        <f t="shared" si="518"/>
        <v/>
      </c>
      <c r="FV152" s="206" t="str">
        <f t="shared" si="389"/>
        <v/>
      </c>
      <c r="FW152" s="205" t="str">
        <f t="shared" si="519"/>
        <v/>
      </c>
      <c r="FX152" s="189" t="str">
        <f t="shared" si="390"/>
        <v/>
      </c>
      <c r="FY152" s="189" t="str">
        <f t="shared" si="391"/>
        <v/>
      </c>
      <c r="FZ152" s="189" t="str">
        <f t="shared" si="392"/>
        <v/>
      </c>
      <c r="GA152" s="189" t="str">
        <f t="shared" si="393"/>
        <v/>
      </c>
      <c r="GB152" s="189" t="str">
        <f t="shared" si="520"/>
        <v/>
      </c>
      <c r="GC152" s="206" t="str">
        <f t="shared" si="394"/>
        <v/>
      </c>
      <c r="GD152" s="205" t="str">
        <f t="shared" si="521"/>
        <v/>
      </c>
      <c r="GE152" s="189" t="str">
        <f t="shared" si="395"/>
        <v/>
      </c>
      <c r="GF152" s="189" t="str">
        <f t="shared" si="396"/>
        <v/>
      </c>
      <c r="GG152" s="189" t="str">
        <f t="shared" si="397"/>
        <v/>
      </c>
      <c r="GH152" s="189" t="str">
        <f t="shared" si="398"/>
        <v/>
      </c>
      <c r="GI152" s="189" t="str">
        <f t="shared" si="522"/>
        <v/>
      </c>
      <c r="GJ152" s="206" t="str">
        <f t="shared" si="399"/>
        <v/>
      </c>
      <c r="GK152" s="205" t="str">
        <f t="shared" si="523"/>
        <v/>
      </c>
      <c r="GL152" s="189" t="str">
        <f t="shared" si="400"/>
        <v/>
      </c>
      <c r="GM152" s="189" t="str">
        <f t="shared" si="401"/>
        <v/>
      </c>
      <c r="GN152" s="189" t="str">
        <f t="shared" si="402"/>
        <v/>
      </c>
      <c r="GO152" s="189" t="str">
        <f t="shared" si="403"/>
        <v/>
      </c>
      <c r="GP152" s="189" t="str">
        <f t="shared" si="524"/>
        <v/>
      </c>
      <c r="GQ152" s="206" t="str">
        <f t="shared" si="404"/>
        <v/>
      </c>
      <c r="GR152" s="189" t="str">
        <f t="shared" si="525"/>
        <v/>
      </c>
      <c r="GS152" s="189" t="str">
        <f t="shared" si="526"/>
        <v/>
      </c>
      <c r="GT152" s="207" t="str">
        <f t="shared" si="527"/>
        <v xml:space="preserve">    </v>
      </c>
      <c r="GU152" s="207" t="str">
        <f t="shared" si="528"/>
        <v xml:space="preserve">    </v>
      </c>
      <c r="GV152" s="207" t="str">
        <f t="shared" si="529"/>
        <v xml:space="preserve">    </v>
      </c>
      <c r="GW152" s="207" t="str">
        <f t="shared" si="530"/>
        <v xml:space="preserve">       </v>
      </c>
      <c r="GX152" s="598" t="str">
        <f t="shared" si="531"/>
        <v xml:space="preserve">     </v>
      </c>
      <c r="GY152" s="208" t="str">
        <f t="shared" si="405"/>
        <v/>
      </c>
      <c r="GZ152" s="606" t="str">
        <f>IF(AND(Q152="",AE152="",AZ152="",BW152="",CT152=""),"",IF(AND('Master Sheet'!$D$19="YES",'Marks Entry'!$BA$1=1),SUM(Q152,AE152,AZ152,BW152,DT152),SUM(Q152,AE152,AZ152,BW152,CT152)))</f>
        <v/>
      </c>
      <c r="HA152" s="209" t="str">
        <f>IF(GZ152="","",IF(AND('Master Sheet'!$D$19="YES",'Marks Entry'!$BA$1=1),GZ152/((900)-DC152)*100,GZ152/((1000)-DC152)*100))</f>
        <v/>
      </c>
      <c r="HB152" s="611" t="str">
        <f t="shared" si="532"/>
        <v/>
      </c>
      <c r="HC152" s="609" t="str">
        <f t="shared" si="533"/>
        <v/>
      </c>
      <c r="HD152" s="610" t="str">
        <f t="shared" si="534"/>
        <v/>
      </c>
      <c r="HE152" s="210" t="str">
        <f>IFERROR(IF(OR(GY152="SUPPLEMENTARY",GY152="RE-EXAM"),'Supp. Result Entry'!AS151,""),"")</f>
        <v/>
      </c>
      <c r="HF152" s="613" t="str">
        <f t="shared" si="535"/>
        <v/>
      </c>
      <c r="HG152" s="598" t="str">
        <f t="shared" si="536"/>
        <v/>
      </c>
      <c r="HH152" s="598" t="str">
        <f>IF(AND(HE152="",HF152="",HG152=""),"",IF(OR(GY152="SUPPLEMENTARY",GY152="RE-EXAM"),'Supp. Result Entry'!AS151,GY152))</f>
        <v/>
      </c>
      <c r="HI152" s="180"/>
      <c r="HY152" s="212" t="str">
        <f>IF('Supp. Result Entry'!U151="","",'Supp. Result Entry'!$U$6)</f>
        <v/>
      </c>
      <c r="HZ152" s="213" t="str">
        <f>IF('Supp. Result Entry'!X151="","",'Supp. Result Entry'!$X$6)</f>
        <v/>
      </c>
      <c r="IA152" s="213" t="str">
        <f>IF('Supp. Result Entry'!AA151="","",'Supp. Result Entry'!$AA$6)</f>
        <v/>
      </c>
      <c r="IB152" s="213" t="str">
        <f>IF('Supp. Result Entry'!AD151="","",'Supp. Result Entry'!$AD$6)</f>
        <v/>
      </c>
      <c r="IC152" s="213" t="str">
        <f>IF('Supp. Result Entry'!AG151="","",'Supp. Result Entry'!$AG$6)</f>
        <v/>
      </c>
      <c r="ID152" s="213" t="str">
        <f>IF('Supp. Result Entry'!AJ151="","",'Supp. Result Entry'!$AJ$6)</f>
        <v/>
      </c>
      <c r="IE152" s="213" t="str">
        <f>IF('Supp. Result Entry'!V151="","",'Supp. Result Entry'!V151)</f>
        <v/>
      </c>
      <c r="IF152" s="213" t="str">
        <f>IF('Supp. Result Entry'!Y151="","",'Supp. Result Entry'!Y151)</f>
        <v/>
      </c>
      <c r="IG152" s="213" t="str">
        <f>IF('Supp. Result Entry'!AB151="","",'Supp. Result Entry'!AB151)</f>
        <v/>
      </c>
      <c r="IH152" s="213" t="str">
        <f>IF('Supp. Result Entry'!AE151="","",'Supp. Result Entry'!AE151)</f>
        <v/>
      </c>
      <c r="II152" s="213" t="str">
        <f>IF('Supp. Result Entry'!AH151="","",'Supp. Result Entry'!AH151)</f>
        <v/>
      </c>
      <c r="IJ152" s="213" t="str">
        <f>IF('Supp. Result Entry'!AK151="","",'Supp. Result Entry'!AK151)</f>
        <v/>
      </c>
      <c r="IK152" s="213" t="str">
        <f>IF('Supp. Result Entry'!W151="","",'Supp. Result Entry'!W151)</f>
        <v/>
      </c>
      <c r="IL152" s="213" t="str">
        <f>IF('Supp. Result Entry'!Z151="","",'Supp. Result Entry'!Z151)</f>
        <v/>
      </c>
      <c r="IM152" s="213" t="str">
        <f>IF('Supp. Result Entry'!AC151="","",'Supp. Result Entry'!AC151)</f>
        <v/>
      </c>
      <c r="IN152" s="213" t="str">
        <f>IF('Supp. Result Entry'!AF151="","",'Supp. Result Entry'!AF151)</f>
        <v/>
      </c>
      <c r="IO152" s="213" t="str">
        <f>IF('Supp. Result Entry'!AI151="","",'Supp. Result Entry'!AI151)</f>
        <v/>
      </c>
      <c r="IP152" s="213" t="str">
        <f>IF('Supp. Result Entry'!AL151="","",'Supp. Result Entry'!AL151)</f>
        <v/>
      </c>
      <c r="IQ152" s="213">
        <f>COUNTIF('Supp. Result Entry'!K151:Q151,"S")</f>
        <v>0</v>
      </c>
      <c r="IR152" s="213">
        <f t="shared" si="537"/>
        <v>0</v>
      </c>
      <c r="IS152" s="213">
        <f t="shared" si="538"/>
        <v>0</v>
      </c>
      <c r="IT152" s="213" t="str">
        <f t="shared" si="406"/>
        <v/>
      </c>
      <c r="IU152" s="213" t="str">
        <f t="shared" si="407"/>
        <v/>
      </c>
      <c r="IV152" s="213" t="str">
        <f t="shared" si="408"/>
        <v/>
      </c>
      <c r="IW152" s="213" t="str">
        <f t="shared" si="409"/>
        <v/>
      </c>
      <c r="IX152" s="213" t="str">
        <f t="shared" si="410"/>
        <v/>
      </c>
      <c r="IY152" s="213" t="str">
        <f t="shared" si="539"/>
        <v/>
      </c>
      <c r="IZ152" s="213" t="str">
        <f t="shared" si="540"/>
        <v/>
      </c>
      <c r="JA152" s="213" t="str">
        <f t="shared" si="411"/>
        <v/>
      </c>
      <c r="JB152" s="211" t="str">
        <f t="shared" si="541"/>
        <v/>
      </c>
    </row>
    <row r="153" spans="1:262" s="211" customFormat="1" ht="21" customHeight="1">
      <c r="A153" s="184">
        <v>146</v>
      </c>
      <c r="B153" s="185" t="str">
        <f>IF('Marks Entry'!B153="","",'Marks Entry'!B153)</f>
        <v/>
      </c>
      <c r="C153" s="186" t="str">
        <f>IF('Marks Entry'!D153="","",'Marks Entry'!D153)</f>
        <v/>
      </c>
      <c r="D153" s="187" t="str">
        <f>IF('Marks Entry'!E153="","",'Marks Entry'!E153)</f>
        <v/>
      </c>
      <c r="E153" s="188" t="str">
        <f>IF('Marks Entry'!F153="","",'Marks Entry'!F153)</f>
        <v/>
      </c>
      <c r="F153" s="188" t="str">
        <f>IF('Marks Entry'!G153="","",'Marks Entry'!G153)</f>
        <v/>
      </c>
      <c r="G153" s="188" t="str">
        <f>IF('Marks Entry'!H153="","",'Marks Entry'!H153)</f>
        <v/>
      </c>
      <c r="H153" s="189" t="str">
        <f>IF('Marks Entry'!I153="","",'Marks Entry'!I153)</f>
        <v/>
      </c>
      <c r="I153" s="190" t="str">
        <f>IF('Marks Entry'!J153="","",'Marks Entry'!J153)</f>
        <v/>
      </c>
      <c r="J153" s="545" t="str">
        <f>IF('Marks Entry'!K153="","",'Marks Entry'!K153)</f>
        <v/>
      </c>
      <c r="K153" s="545" t="str">
        <f>IF('Marks Entry'!L153="","",'Marks Entry'!L153)</f>
        <v/>
      </c>
      <c r="L153" s="545" t="str">
        <f>IF('Marks Entry'!M153="","",'Marks Entry'!M153)</f>
        <v/>
      </c>
      <c r="M153" s="546" t="str">
        <f t="shared" si="412"/>
        <v/>
      </c>
      <c r="N153" s="545" t="str">
        <f>IF('Marks Entry'!N153="","",'Marks Entry'!N153)</f>
        <v/>
      </c>
      <c r="O153" s="546" t="str">
        <f t="shared" si="413"/>
        <v/>
      </c>
      <c r="P153" s="545" t="str">
        <f>IF('Marks Entry'!O153="","",'Marks Entry'!O153)</f>
        <v/>
      </c>
      <c r="Q153" s="547" t="str">
        <f t="shared" si="414"/>
        <v/>
      </c>
      <c r="R153" s="153">
        <f t="shared" si="415"/>
        <v>0</v>
      </c>
      <c r="S153" s="153">
        <f t="shared" si="416"/>
        <v>0</v>
      </c>
      <c r="T153" s="154" t="str">
        <f t="shared" si="417"/>
        <v/>
      </c>
      <c r="U153" s="153" t="str">
        <f t="shared" si="418"/>
        <v/>
      </c>
      <c r="V153" s="153" t="str">
        <f t="shared" si="419"/>
        <v/>
      </c>
      <c r="W153" s="153" t="str">
        <f t="shared" si="420"/>
        <v/>
      </c>
      <c r="X153" s="545" t="str">
        <f>IF('Marks Entry'!P153="","",'Marks Entry'!P153)</f>
        <v/>
      </c>
      <c r="Y153" s="545" t="str">
        <f>IF('Marks Entry'!Q153="","",'Marks Entry'!Q153)</f>
        <v/>
      </c>
      <c r="Z153" s="545" t="str">
        <f>IF('Marks Entry'!R153="","",'Marks Entry'!R153)</f>
        <v/>
      </c>
      <c r="AA153" s="546" t="str">
        <f t="shared" si="421"/>
        <v/>
      </c>
      <c r="AB153" s="545" t="str">
        <f>IF('Marks Entry'!S153="","",'Marks Entry'!S153)</f>
        <v/>
      </c>
      <c r="AC153" s="546" t="str">
        <f t="shared" si="422"/>
        <v/>
      </c>
      <c r="AD153" s="545" t="str">
        <f>IF('Marks Entry'!T153="","",'Marks Entry'!T153)</f>
        <v/>
      </c>
      <c r="AE153" s="547" t="str">
        <f t="shared" si="423"/>
        <v/>
      </c>
      <c r="AF153" s="153">
        <f t="shared" si="424"/>
        <v>0</v>
      </c>
      <c r="AG153" s="153">
        <f t="shared" si="425"/>
        <v>0</v>
      </c>
      <c r="AH153" s="154" t="str">
        <f t="shared" si="426"/>
        <v/>
      </c>
      <c r="AI153" s="153" t="str">
        <f t="shared" si="427"/>
        <v/>
      </c>
      <c r="AJ153" s="153" t="str">
        <f t="shared" si="428"/>
        <v/>
      </c>
      <c r="AK153" s="153" t="str">
        <f t="shared" si="429"/>
        <v/>
      </c>
      <c r="AL153" s="573" t="str">
        <f>IF('Marks Entry'!U153="","",'Marks Entry'!U153)</f>
        <v/>
      </c>
      <c r="AM153" s="573" t="str">
        <f>IF('Marks Entry'!V153="","",'Marks Entry'!V153)</f>
        <v/>
      </c>
      <c r="AN153" s="573" t="str">
        <f>IF('Marks Entry'!W153="","",'Marks Entry'!W153)</f>
        <v/>
      </c>
      <c r="AO153" s="573" t="str">
        <f>IF('Marks Entry'!X153="","",'Marks Entry'!X153)</f>
        <v/>
      </c>
      <c r="AP153" s="572" t="str">
        <f t="shared" si="430"/>
        <v/>
      </c>
      <c r="AQ153" s="573" t="str">
        <f>IF('Marks Entry'!Y153="","",'Marks Entry'!Y153)</f>
        <v/>
      </c>
      <c r="AR153" s="573" t="str">
        <f>IF('Marks Entry'!Z153="","",'Marks Entry'!Z153)</f>
        <v/>
      </c>
      <c r="AS153" s="572" t="str">
        <f t="shared" si="431"/>
        <v/>
      </c>
      <c r="AT153" s="572" t="str">
        <f t="shared" si="432"/>
        <v/>
      </c>
      <c r="AU153" s="573" t="str">
        <f>IF('Marks Entry'!AA153="","",'Marks Entry'!AA153)</f>
        <v/>
      </c>
      <c r="AV153" s="573" t="str">
        <f>IF('Marks Entry'!AB153="","",'Marks Entry'!AB153)</f>
        <v/>
      </c>
      <c r="AW153" s="572" t="str">
        <f t="shared" si="433"/>
        <v/>
      </c>
      <c r="AX153" s="157" t="str">
        <f t="shared" si="434"/>
        <v/>
      </c>
      <c r="AY153" s="157" t="str">
        <f t="shared" si="435"/>
        <v/>
      </c>
      <c r="AZ153" s="192" t="str">
        <f t="shared" si="436"/>
        <v/>
      </c>
      <c r="BA153" s="153">
        <f t="shared" si="437"/>
        <v>0</v>
      </c>
      <c r="BB153" s="154">
        <f t="shared" si="438"/>
        <v>0</v>
      </c>
      <c r="BC153" s="154" t="str">
        <f t="shared" si="439"/>
        <v/>
      </c>
      <c r="BD153" s="154" t="str">
        <f t="shared" si="440"/>
        <v/>
      </c>
      <c r="BE153" s="154" t="str">
        <f t="shared" si="441"/>
        <v/>
      </c>
      <c r="BF153" s="153" t="str">
        <f t="shared" si="442"/>
        <v/>
      </c>
      <c r="BG153" s="154" t="str">
        <f t="shared" si="443"/>
        <v/>
      </c>
      <c r="BH153" s="153" t="str">
        <f t="shared" si="444"/>
        <v/>
      </c>
      <c r="BI153" s="580" t="str">
        <f>IF('Marks Entry'!AC153="","",'Marks Entry'!AC153)</f>
        <v/>
      </c>
      <c r="BJ153" s="580" t="str">
        <f>IF('Marks Entry'!AD153="","",'Marks Entry'!AD153)</f>
        <v/>
      </c>
      <c r="BK153" s="580" t="str">
        <f>IF('Marks Entry'!AE153="","",'Marks Entry'!AE153)</f>
        <v/>
      </c>
      <c r="BL153" s="580" t="str">
        <f>IF('Marks Entry'!AF153="","",'Marks Entry'!AF153)</f>
        <v/>
      </c>
      <c r="BM153" s="581" t="str">
        <f t="shared" si="445"/>
        <v/>
      </c>
      <c r="BN153" s="580" t="str">
        <f>IF('Marks Entry'!AG153="","",'Marks Entry'!AG153)</f>
        <v/>
      </c>
      <c r="BO153" s="580" t="str">
        <f>IF('Marks Entry'!AH153="","",'Marks Entry'!AH153)</f>
        <v/>
      </c>
      <c r="BP153" s="581" t="str">
        <f t="shared" si="446"/>
        <v/>
      </c>
      <c r="BQ153" s="581" t="str">
        <f t="shared" si="447"/>
        <v/>
      </c>
      <c r="BR153" s="580" t="str">
        <f>IF('Marks Entry'!AI153="","",'Marks Entry'!AI153)</f>
        <v/>
      </c>
      <c r="BS153" s="580" t="str">
        <f>IF('Marks Entry'!AJ153="","",'Marks Entry'!AJ153)</f>
        <v/>
      </c>
      <c r="BT153" s="581" t="str">
        <f t="shared" si="448"/>
        <v/>
      </c>
      <c r="BU153" s="157" t="str">
        <f t="shared" si="449"/>
        <v/>
      </c>
      <c r="BV153" s="157" t="str">
        <f t="shared" si="450"/>
        <v/>
      </c>
      <c r="BW153" s="192" t="str">
        <f t="shared" si="451"/>
        <v/>
      </c>
      <c r="BX153" s="153">
        <f t="shared" si="452"/>
        <v>0</v>
      </c>
      <c r="BY153" s="154">
        <f t="shared" si="453"/>
        <v>0</v>
      </c>
      <c r="BZ153" s="154" t="str">
        <f t="shared" si="454"/>
        <v/>
      </c>
      <c r="CA153" s="154" t="str">
        <f t="shared" si="455"/>
        <v/>
      </c>
      <c r="CB153" s="154" t="str">
        <f t="shared" si="456"/>
        <v/>
      </c>
      <c r="CC153" s="153" t="str">
        <f t="shared" si="457"/>
        <v/>
      </c>
      <c r="CD153" s="154" t="str">
        <f t="shared" si="458"/>
        <v/>
      </c>
      <c r="CE153" s="153" t="str">
        <f t="shared" si="459"/>
        <v/>
      </c>
      <c r="CF153" s="580" t="str">
        <f>IF('Marks Entry'!AK153="","",'Marks Entry'!AK153)</f>
        <v/>
      </c>
      <c r="CG153" s="580" t="str">
        <f>IF('Marks Entry'!AL153="","",'Marks Entry'!AL153)</f>
        <v/>
      </c>
      <c r="CH153" s="580" t="str">
        <f>IF('Marks Entry'!AM153="","",'Marks Entry'!AM153)</f>
        <v/>
      </c>
      <c r="CI153" s="580" t="str">
        <f>IF('Marks Entry'!AN153="","",'Marks Entry'!AN153)</f>
        <v/>
      </c>
      <c r="CJ153" s="581" t="str">
        <f t="shared" si="460"/>
        <v/>
      </c>
      <c r="CK153" s="580" t="str">
        <f>IF('Marks Entry'!AO153="","",'Marks Entry'!AO153)</f>
        <v/>
      </c>
      <c r="CL153" s="580" t="str">
        <f>IF('Marks Entry'!AP153="","",'Marks Entry'!AP153)</f>
        <v/>
      </c>
      <c r="CM153" s="581" t="str">
        <f t="shared" si="461"/>
        <v/>
      </c>
      <c r="CN153" s="581" t="str">
        <f t="shared" si="462"/>
        <v/>
      </c>
      <c r="CO153" s="580" t="str">
        <f>IF('Marks Entry'!AQ153="","",'Marks Entry'!AQ153)</f>
        <v/>
      </c>
      <c r="CP153" s="580" t="str">
        <f>IF('Marks Entry'!AR153="","",'Marks Entry'!AR153)</f>
        <v/>
      </c>
      <c r="CQ153" s="581" t="str">
        <f t="shared" si="463"/>
        <v/>
      </c>
      <c r="CR153" s="157" t="str">
        <f t="shared" si="464"/>
        <v/>
      </c>
      <c r="CS153" s="157" t="str">
        <f t="shared" si="465"/>
        <v/>
      </c>
      <c r="CT153" s="192" t="str">
        <f t="shared" si="466"/>
        <v/>
      </c>
      <c r="CU153" s="153">
        <f t="shared" si="467"/>
        <v>0</v>
      </c>
      <c r="CV153" s="154">
        <f t="shared" si="468"/>
        <v>0</v>
      </c>
      <c r="CW153" s="154" t="str">
        <f t="shared" si="469"/>
        <v/>
      </c>
      <c r="CX153" s="154" t="str">
        <f t="shared" si="470"/>
        <v/>
      </c>
      <c r="CY153" s="154" t="str">
        <f t="shared" si="471"/>
        <v/>
      </c>
      <c r="CZ153" s="153" t="str">
        <f t="shared" si="472"/>
        <v/>
      </c>
      <c r="DA153" s="154" t="str">
        <f t="shared" si="473"/>
        <v/>
      </c>
      <c r="DB153" s="153" t="str">
        <f t="shared" si="474"/>
        <v/>
      </c>
      <c r="DC153" s="154">
        <f t="shared" si="475"/>
        <v>0</v>
      </c>
      <c r="DD153" s="826" t="str">
        <f>IF('Marks Entry'!AS153="","",IF(OR('Master Sheet'!$D$19="YES",'Marks Entry'!$BA$1=1),'Marks Entry'!AS153,""))</f>
        <v/>
      </c>
      <c r="DE153" s="826" t="str">
        <f>IF('Marks Entry'!AT153="","",IF(OR('Master Sheet'!$D$19="YES",'Marks Entry'!$BA$1=1),'Marks Entry'!AT153,""))</f>
        <v/>
      </c>
      <c r="DF153" s="826" t="str">
        <f>IF('Marks Entry'!AU153="","",IF(OR('Master Sheet'!$D$19="YES",'Marks Entry'!$BA$1=1),'Marks Entry'!AU153,""))</f>
        <v/>
      </c>
      <c r="DG153" s="826" t="str">
        <f>IF('Marks Entry'!AV153="","",IF(OR('Master Sheet'!$D$19="YES",'Marks Entry'!$BA$1=1),'Marks Entry'!AV153,""))</f>
        <v/>
      </c>
      <c r="DH153" s="827" t="str">
        <f t="shared" si="476"/>
        <v/>
      </c>
      <c r="DI153" s="826" t="str">
        <f>IF('Marks Entry'!AW153="","",IF(OR('Master Sheet'!$D$19="YES",'Marks Entry'!$BA$1=1),'Marks Entry'!AW153,""))</f>
        <v/>
      </c>
      <c r="DJ153" s="826" t="str">
        <f>IF('Marks Entry'!AX153="","",IF(OR('Master Sheet'!$D$19="YES",'Marks Entry'!$BA$1=1),'Marks Entry'!AX153,""))</f>
        <v/>
      </c>
      <c r="DK153" s="827" t="str">
        <f t="shared" si="477"/>
        <v/>
      </c>
      <c r="DL153" s="827" t="str">
        <f t="shared" si="478"/>
        <v/>
      </c>
      <c r="DM153" s="826" t="str">
        <f>IF('Marks Entry'!AY153="","",IF(OR('Master Sheet'!$D$19="YES",'Marks Entry'!$BA$1=1),'Marks Entry'!AY153,""))</f>
        <v/>
      </c>
      <c r="DN153" s="826" t="str">
        <f>IF('Marks Entry'!AZ153="","",IF(OR('Master Sheet'!$D$19="YES",'Marks Entry'!$BA$1=1),'Marks Entry'!AZ153,""))</f>
        <v/>
      </c>
      <c r="DO153" s="826" t="str">
        <f>IF('Marks Entry'!BA153="","",IF(OR('Master Sheet'!$D$19="YES",'Marks Entry'!$BA$1=1),'Marks Entry'!BA153,""))</f>
        <v/>
      </c>
      <c r="DP153" s="827" t="str">
        <f t="shared" si="479"/>
        <v/>
      </c>
      <c r="DQ153" s="157" t="str">
        <f t="shared" si="480"/>
        <v/>
      </c>
      <c r="DR153" s="157" t="str">
        <f t="shared" si="481"/>
        <v/>
      </c>
      <c r="DS153" s="157" t="str">
        <f t="shared" si="482"/>
        <v/>
      </c>
      <c r="DT153" s="192" t="str">
        <f t="shared" si="483"/>
        <v/>
      </c>
      <c r="DU153" s="153">
        <f t="shared" si="484"/>
        <v>0</v>
      </c>
      <c r="DV153" s="154" t="e">
        <f t="shared" si="485"/>
        <v>#VALUE!</v>
      </c>
      <c r="DW153" s="154" t="str">
        <f t="shared" si="486"/>
        <v/>
      </c>
      <c r="DX153" s="154" t="str">
        <f>IF(OR($B153="NSO",$B153=0,DS153=""),"",IF(AND(DJ153="",DO153=""),"",IF('Master Sheet'!$D$19="YES",$DO$6-COUNTIF(DO153,"ML")*DO$6,DS$6-(COUNTIF(DJ153,"ML")*DJ$6)-(COUNTIF(DO153,"ML")*DO$6))))</f>
        <v/>
      </c>
      <c r="DY153" s="154" t="str">
        <f>IF(OR($B153="NSO",$B153=0),"",IF(AND(DH153="",DI153="",DM153=""),"",IF(AND('Master Sheet'!$D$19="YES",'Marks Entry'!$BA$1=1),100,IF(AND(DJ153="",DO153=""),SUM(($DQ$7+$DR$7)-(DU153+DV153)),SUM(($DQ$6+$DR$6)-(DU153+DV153))))))</f>
        <v/>
      </c>
      <c r="DZ153" s="153" t="str">
        <f t="shared" si="487"/>
        <v/>
      </c>
      <c r="EA153" s="154" t="str">
        <f t="shared" si="488"/>
        <v/>
      </c>
      <c r="EB153" s="153" t="str">
        <f t="shared" si="489"/>
        <v/>
      </c>
      <c r="EC153" s="584" t="str">
        <f>IF('Marks Entry'!BB153="","",'Marks Entry'!BB153)</f>
        <v/>
      </c>
      <c r="ED153" s="584" t="str">
        <f>IF('Marks Entry'!BC153="","",'Marks Entry'!BC153)</f>
        <v/>
      </c>
      <c r="EE153" s="584" t="str">
        <f>IF('Marks Entry'!BD153="","",'Marks Entry'!BD153)</f>
        <v/>
      </c>
      <c r="EF153" s="590" t="str">
        <f t="shared" si="490"/>
        <v/>
      </c>
      <c r="EG153" s="595">
        <f t="shared" si="491"/>
        <v>0</v>
      </c>
      <c r="EH153" s="595">
        <f t="shared" si="492"/>
        <v>0</v>
      </c>
      <c r="EI153" s="193" t="str">
        <f t="shared" si="493"/>
        <v/>
      </c>
      <c r="EJ153" s="595" t="str">
        <f t="shared" si="494"/>
        <v/>
      </c>
      <c r="EK153" s="595" t="str">
        <f t="shared" si="495"/>
        <v/>
      </c>
      <c r="EL153" s="194" t="str">
        <f t="shared" si="496"/>
        <v/>
      </c>
      <c r="EM153" s="194" t="str">
        <f t="shared" si="497"/>
        <v/>
      </c>
      <c r="EN153" s="194" t="str">
        <f t="shared" si="498"/>
        <v/>
      </c>
      <c r="EO153" s="194" t="str">
        <f t="shared" si="499"/>
        <v/>
      </c>
      <c r="EP153" s="194" t="str">
        <f t="shared" si="500"/>
        <v/>
      </c>
      <c r="EQ153" s="194" t="str">
        <f t="shared" si="501"/>
        <v/>
      </c>
      <c r="ER153" s="195">
        <f t="shared" si="502"/>
        <v>0</v>
      </c>
      <c r="ES153" s="195">
        <f t="shared" si="503"/>
        <v>0</v>
      </c>
      <c r="ET153" s="195">
        <f t="shared" si="504"/>
        <v>0</v>
      </c>
      <c r="EU153" s="195">
        <f t="shared" si="505"/>
        <v>0</v>
      </c>
      <c r="EV153" s="195">
        <f t="shared" si="506"/>
        <v>0</v>
      </c>
      <c r="EW153" s="195" t="str">
        <f t="shared" si="507"/>
        <v/>
      </c>
      <c r="EX153" s="196" t="str">
        <f t="shared" si="508"/>
        <v/>
      </c>
      <c r="EY153" s="197" t="str">
        <f>IF('Marks Entry'!BE153="","",'Marks Entry'!BE153)</f>
        <v/>
      </c>
      <c r="EZ153" s="197" t="str">
        <f>IF('Marks Entry'!BF153="","",'Marks Entry'!BF153)</f>
        <v/>
      </c>
      <c r="FA153" s="197" t="str">
        <f>IF('Marks Entry'!BG153="","",'Marks Entry'!BG153)</f>
        <v/>
      </c>
      <c r="FB153" s="596" t="str">
        <f t="shared" si="509"/>
        <v/>
      </c>
      <c r="FC153" s="197" t="str">
        <f>IF('Marks Entry'!BH153="","",'Marks Entry'!BH153)</f>
        <v/>
      </c>
      <c r="FD153" s="197" t="str">
        <f>IF('Marks Entry'!BI153="","",'Marks Entry'!BI153)</f>
        <v/>
      </c>
      <c r="FE153" s="198" t="str">
        <f t="shared" si="510"/>
        <v/>
      </c>
      <c r="FF153" s="199" t="str">
        <f t="shared" si="511"/>
        <v/>
      </c>
      <c r="FG153" s="200" t="str">
        <f>IF(AND(E153=""),"",IF('Student DATA Entry'!L149="","",'Student DATA Entry'!L149))</f>
        <v/>
      </c>
      <c r="FH153" s="201" t="str">
        <f>IF(AND(E153=""),"",IF('Student DATA Entry'!M149="","",'Student DATA Entry'!M149))</f>
        <v/>
      </c>
      <c r="FI153" s="202" t="str">
        <f t="shared" si="512"/>
        <v/>
      </c>
      <c r="FJ153" s="189" t="str">
        <f t="shared" si="513"/>
        <v/>
      </c>
      <c r="FK153" s="189" t="str">
        <f t="shared" si="514"/>
        <v/>
      </c>
      <c r="FL153" s="203" t="str">
        <f t="shared" si="383"/>
        <v/>
      </c>
      <c r="FM153" s="189" t="str">
        <f t="shared" si="515"/>
        <v/>
      </c>
      <c r="FN153" s="204" t="str">
        <f t="shared" si="516"/>
        <v/>
      </c>
      <c r="FO153" s="203" t="str">
        <f t="shared" si="384"/>
        <v/>
      </c>
      <c r="FP153" s="205" t="str">
        <f t="shared" si="517"/>
        <v/>
      </c>
      <c r="FQ153" s="189" t="str">
        <f t="shared" si="385"/>
        <v/>
      </c>
      <c r="FR153" s="189" t="str">
        <f t="shared" si="386"/>
        <v/>
      </c>
      <c r="FS153" s="189" t="str">
        <f t="shared" si="387"/>
        <v/>
      </c>
      <c r="FT153" s="189" t="str">
        <f t="shared" si="388"/>
        <v/>
      </c>
      <c r="FU153" s="189" t="str">
        <f t="shared" si="518"/>
        <v/>
      </c>
      <c r="FV153" s="206" t="str">
        <f t="shared" si="389"/>
        <v/>
      </c>
      <c r="FW153" s="205" t="str">
        <f t="shared" si="519"/>
        <v/>
      </c>
      <c r="FX153" s="189" t="str">
        <f t="shared" si="390"/>
        <v/>
      </c>
      <c r="FY153" s="189" t="str">
        <f t="shared" si="391"/>
        <v/>
      </c>
      <c r="FZ153" s="189" t="str">
        <f t="shared" si="392"/>
        <v/>
      </c>
      <c r="GA153" s="189" t="str">
        <f t="shared" si="393"/>
        <v/>
      </c>
      <c r="GB153" s="189" t="str">
        <f t="shared" si="520"/>
        <v/>
      </c>
      <c r="GC153" s="206" t="str">
        <f t="shared" si="394"/>
        <v/>
      </c>
      <c r="GD153" s="205" t="str">
        <f t="shared" si="521"/>
        <v/>
      </c>
      <c r="GE153" s="189" t="str">
        <f t="shared" si="395"/>
        <v/>
      </c>
      <c r="GF153" s="189" t="str">
        <f t="shared" si="396"/>
        <v/>
      </c>
      <c r="GG153" s="189" t="str">
        <f t="shared" si="397"/>
        <v/>
      </c>
      <c r="GH153" s="189" t="str">
        <f t="shared" si="398"/>
        <v/>
      </c>
      <c r="GI153" s="189" t="str">
        <f t="shared" si="522"/>
        <v/>
      </c>
      <c r="GJ153" s="206" t="str">
        <f t="shared" si="399"/>
        <v/>
      </c>
      <c r="GK153" s="205" t="str">
        <f t="shared" si="523"/>
        <v/>
      </c>
      <c r="GL153" s="189" t="str">
        <f t="shared" si="400"/>
        <v/>
      </c>
      <c r="GM153" s="189" t="str">
        <f t="shared" si="401"/>
        <v/>
      </c>
      <c r="GN153" s="189" t="str">
        <f t="shared" si="402"/>
        <v/>
      </c>
      <c r="GO153" s="189" t="str">
        <f t="shared" si="403"/>
        <v/>
      </c>
      <c r="GP153" s="189" t="str">
        <f t="shared" si="524"/>
        <v/>
      </c>
      <c r="GQ153" s="206" t="str">
        <f t="shared" si="404"/>
        <v/>
      </c>
      <c r="GR153" s="189" t="str">
        <f t="shared" si="525"/>
        <v/>
      </c>
      <c r="GS153" s="189" t="str">
        <f t="shared" si="526"/>
        <v/>
      </c>
      <c r="GT153" s="207" t="str">
        <f t="shared" si="527"/>
        <v xml:space="preserve">    </v>
      </c>
      <c r="GU153" s="207" t="str">
        <f t="shared" si="528"/>
        <v xml:space="preserve">    </v>
      </c>
      <c r="GV153" s="207" t="str">
        <f t="shared" si="529"/>
        <v xml:space="preserve">    </v>
      </c>
      <c r="GW153" s="207" t="str">
        <f t="shared" si="530"/>
        <v xml:space="preserve">       </v>
      </c>
      <c r="GX153" s="598" t="str">
        <f t="shared" si="531"/>
        <v xml:space="preserve">     </v>
      </c>
      <c r="GY153" s="208" t="str">
        <f t="shared" si="405"/>
        <v/>
      </c>
      <c r="GZ153" s="606" t="str">
        <f>IF(AND(Q153="",AE153="",AZ153="",BW153="",CT153=""),"",IF(AND('Master Sheet'!$D$19="YES",'Marks Entry'!$BA$1=1),SUM(Q153,AE153,AZ153,BW153,DT153),SUM(Q153,AE153,AZ153,BW153,CT153)))</f>
        <v/>
      </c>
      <c r="HA153" s="209" t="str">
        <f>IF(GZ153="","",IF(AND('Master Sheet'!$D$19="YES",'Marks Entry'!$BA$1=1),GZ153/((900)-DC153)*100,GZ153/((1000)-DC153)*100))</f>
        <v/>
      </c>
      <c r="HB153" s="611" t="str">
        <f t="shared" si="532"/>
        <v/>
      </c>
      <c r="HC153" s="609" t="str">
        <f t="shared" si="533"/>
        <v/>
      </c>
      <c r="HD153" s="610" t="str">
        <f t="shared" si="534"/>
        <v/>
      </c>
      <c r="HE153" s="210" t="str">
        <f>IFERROR(IF(OR(GY153="SUPPLEMENTARY",GY153="RE-EXAM"),'Supp. Result Entry'!AS152,""),"")</f>
        <v/>
      </c>
      <c r="HF153" s="613" t="str">
        <f t="shared" si="535"/>
        <v/>
      </c>
      <c r="HG153" s="598" t="str">
        <f t="shared" si="536"/>
        <v/>
      </c>
      <c r="HH153" s="598" t="str">
        <f>IF(AND(HE153="",HF153="",HG153=""),"",IF(OR(GY153="SUPPLEMENTARY",GY153="RE-EXAM"),'Supp. Result Entry'!AS152,GY153))</f>
        <v/>
      </c>
      <c r="HI153" s="180"/>
      <c r="HY153" s="212" t="str">
        <f>IF('Supp. Result Entry'!U152="","",'Supp. Result Entry'!$U$6)</f>
        <v/>
      </c>
      <c r="HZ153" s="213" t="str">
        <f>IF('Supp. Result Entry'!X152="","",'Supp. Result Entry'!$X$6)</f>
        <v/>
      </c>
      <c r="IA153" s="213" t="str">
        <f>IF('Supp. Result Entry'!AA152="","",'Supp. Result Entry'!$AA$6)</f>
        <v/>
      </c>
      <c r="IB153" s="213" t="str">
        <f>IF('Supp. Result Entry'!AD152="","",'Supp. Result Entry'!$AD$6)</f>
        <v/>
      </c>
      <c r="IC153" s="213" t="str">
        <f>IF('Supp. Result Entry'!AG152="","",'Supp. Result Entry'!$AG$6)</f>
        <v/>
      </c>
      <c r="ID153" s="213" t="str">
        <f>IF('Supp. Result Entry'!AJ152="","",'Supp. Result Entry'!$AJ$6)</f>
        <v/>
      </c>
      <c r="IE153" s="213" t="str">
        <f>IF('Supp. Result Entry'!V152="","",'Supp. Result Entry'!V152)</f>
        <v/>
      </c>
      <c r="IF153" s="213" t="str">
        <f>IF('Supp. Result Entry'!Y152="","",'Supp. Result Entry'!Y152)</f>
        <v/>
      </c>
      <c r="IG153" s="213" t="str">
        <f>IF('Supp. Result Entry'!AB152="","",'Supp. Result Entry'!AB152)</f>
        <v/>
      </c>
      <c r="IH153" s="213" t="str">
        <f>IF('Supp. Result Entry'!AE152="","",'Supp. Result Entry'!AE152)</f>
        <v/>
      </c>
      <c r="II153" s="213" t="str">
        <f>IF('Supp. Result Entry'!AH152="","",'Supp. Result Entry'!AH152)</f>
        <v/>
      </c>
      <c r="IJ153" s="213" t="str">
        <f>IF('Supp. Result Entry'!AK152="","",'Supp. Result Entry'!AK152)</f>
        <v/>
      </c>
      <c r="IK153" s="213" t="str">
        <f>IF('Supp. Result Entry'!W152="","",'Supp. Result Entry'!W152)</f>
        <v/>
      </c>
      <c r="IL153" s="213" t="str">
        <f>IF('Supp. Result Entry'!Z152="","",'Supp. Result Entry'!Z152)</f>
        <v/>
      </c>
      <c r="IM153" s="213" t="str">
        <f>IF('Supp. Result Entry'!AC152="","",'Supp. Result Entry'!AC152)</f>
        <v/>
      </c>
      <c r="IN153" s="213" t="str">
        <f>IF('Supp. Result Entry'!AF152="","",'Supp. Result Entry'!AF152)</f>
        <v/>
      </c>
      <c r="IO153" s="213" t="str">
        <f>IF('Supp. Result Entry'!AI152="","",'Supp. Result Entry'!AI152)</f>
        <v/>
      </c>
      <c r="IP153" s="213" t="str">
        <f>IF('Supp. Result Entry'!AL152="","",'Supp. Result Entry'!AL152)</f>
        <v/>
      </c>
      <c r="IQ153" s="213">
        <f>COUNTIF('Supp. Result Entry'!K152:Q152,"S")</f>
        <v>0</v>
      </c>
      <c r="IR153" s="213">
        <f t="shared" si="537"/>
        <v>0</v>
      </c>
      <c r="IS153" s="213">
        <f t="shared" si="538"/>
        <v>0</v>
      </c>
      <c r="IT153" s="213" t="str">
        <f t="shared" si="406"/>
        <v/>
      </c>
      <c r="IU153" s="213" t="str">
        <f t="shared" si="407"/>
        <v/>
      </c>
      <c r="IV153" s="213" t="str">
        <f t="shared" si="408"/>
        <v/>
      </c>
      <c r="IW153" s="213" t="str">
        <f t="shared" si="409"/>
        <v/>
      </c>
      <c r="IX153" s="213" t="str">
        <f t="shared" si="410"/>
        <v/>
      </c>
      <c r="IY153" s="213" t="str">
        <f t="shared" si="539"/>
        <v/>
      </c>
      <c r="IZ153" s="213" t="str">
        <f t="shared" si="540"/>
        <v/>
      </c>
      <c r="JA153" s="213" t="str">
        <f t="shared" si="411"/>
        <v/>
      </c>
      <c r="JB153" s="211" t="str">
        <f t="shared" si="541"/>
        <v/>
      </c>
    </row>
    <row r="154" spans="1:262" s="211" customFormat="1" ht="21" customHeight="1">
      <c r="A154" s="184">
        <v>147</v>
      </c>
      <c r="B154" s="185" t="str">
        <f>IF('Marks Entry'!B154="","",'Marks Entry'!B154)</f>
        <v/>
      </c>
      <c r="C154" s="186" t="str">
        <f>IF('Marks Entry'!D154="","",'Marks Entry'!D154)</f>
        <v/>
      </c>
      <c r="D154" s="187" t="str">
        <f>IF('Marks Entry'!E154="","",'Marks Entry'!E154)</f>
        <v/>
      </c>
      <c r="E154" s="188" t="str">
        <f>IF('Marks Entry'!F154="","",'Marks Entry'!F154)</f>
        <v/>
      </c>
      <c r="F154" s="188" t="str">
        <f>IF('Marks Entry'!G154="","",'Marks Entry'!G154)</f>
        <v/>
      </c>
      <c r="G154" s="188" t="str">
        <f>IF('Marks Entry'!H154="","",'Marks Entry'!H154)</f>
        <v/>
      </c>
      <c r="H154" s="189" t="str">
        <f>IF('Marks Entry'!I154="","",'Marks Entry'!I154)</f>
        <v/>
      </c>
      <c r="I154" s="190" t="str">
        <f>IF('Marks Entry'!J154="","",'Marks Entry'!J154)</f>
        <v/>
      </c>
      <c r="J154" s="545" t="str">
        <f>IF('Marks Entry'!K154="","",'Marks Entry'!K154)</f>
        <v/>
      </c>
      <c r="K154" s="545" t="str">
        <f>IF('Marks Entry'!L154="","",'Marks Entry'!L154)</f>
        <v/>
      </c>
      <c r="L154" s="545" t="str">
        <f>IF('Marks Entry'!M154="","",'Marks Entry'!M154)</f>
        <v/>
      </c>
      <c r="M154" s="546" t="str">
        <f t="shared" si="412"/>
        <v/>
      </c>
      <c r="N154" s="545" t="str">
        <f>IF('Marks Entry'!N154="","",'Marks Entry'!N154)</f>
        <v/>
      </c>
      <c r="O154" s="546" t="str">
        <f t="shared" si="413"/>
        <v/>
      </c>
      <c r="P154" s="545" t="str">
        <f>IF('Marks Entry'!O154="","",'Marks Entry'!O154)</f>
        <v/>
      </c>
      <c r="Q154" s="547" t="str">
        <f t="shared" si="414"/>
        <v/>
      </c>
      <c r="R154" s="153">
        <f t="shared" si="415"/>
        <v>0</v>
      </c>
      <c r="S154" s="153">
        <f t="shared" si="416"/>
        <v>0</v>
      </c>
      <c r="T154" s="154" t="str">
        <f t="shared" si="417"/>
        <v/>
      </c>
      <c r="U154" s="153" t="str">
        <f t="shared" si="418"/>
        <v/>
      </c>
      <c r="V154" s="153" t="str">
        <f t="shared" si="419"/>
        <v/>
      </c>
      <c r="W154" s="153" t="str">
        <f t="shared" si="420"/>
        <v/>
      </c>
      <c r="X154" s="545" t="str">
        <f>IF('Marks Entry'!P154="","",'Marks Entry'!P154)</f>
        <v/>
      </c>
      <c r="Y154" s="545" t="str">
        <f>IF('Marks Entry'!Q154="","",'Marks Entry'!Q154)</f>
        <v/>
      </c>
      <c r="Z154" s="545" t="str">
        <f>IF('Marks Entry'!R154="","",'Marks Entry'!R154)</f>
        <v/>
      </c>
      <c r="AA154" s="546" t="str">
        <f t="shared" si="421"/>
        <v/>
      </c>
      <c r="AB154" s="545" t="str">
        <f>IF('Marks Entry'!S154="","",'Marks Entry'!S154)</f>
        <v/>
      </c>
      <c r="AC154" s="546" t="str">
        <f t="shared" si="422"/>
        <v/>
      </c>
      <c r="AD154" s="545" t="str">
        <f>IF('Marks Entry'!T154="","",'Marks Entry'!T154)</f>
        <v/>
      </c>
      <c r="AE154" s="547" t="str">
        <f t="shared" si="423"/>
        <v/>
      </c>
      <c r="AF154" s="153">
        <f t="shared" si="424"/>
        <v>0</v>
      </c>
      <c r="AG154" s="153">
        <f t="shared" si="425"/>
        <v>0</v>
      </c>
      <c r="AH154" s="154" t="str">
        <f t="shared" si="426"/>
        <v/>
      </c>
      <c r="AI154" s="153" t="str">
        <f t="shared" si="427"/>
        <v/>
      </c>
      <c r="AJ154" s="153" t="str">
        <f t="shared" si="428"/>
        <v/>
      </c>
      <c r="AK154" s="153" t="str">
        <f t="shared" si="429"/>
        <v/>
      </c>
      <c r="AL154" s="573" t="str">
        <f>IF('Marks Entry'!U154="","",'Marks Entry'!U154)</f>
        <v/>
      </c>
      <c r="AM154" s="573" t="str">
        <f>IF('Marks Entry'!V154="","",'Marks Entry'!V154)</f>
        <v/>
      </c>
      <c r="AN154" s="573" t="str">
        <f>IF('Marks Entry'!W154="","",'Marks Entry'!W154)</f>
        <v/>
      </c>
      <c r="AO154" s="573" t="str">
        <f>IF('Marks Entry'!X154="","",'Marks Entry'!X154)</f>
        <v/>
      </c>
      <c r="AP154" s="572" t="str">
        <f t="shared" si="430"/>
        <v/>
      </c>
      <c r="AQ154" s="573" t="str">
        <f>IF('Marks Entry'!Y154="","",'Marks Entry'!Y154)</f>
        <v/>
      </c>
      <c r="AR154" s="573" t="str">
        <f>IF('Marks Entry'!Z154="","",'Marks Entry'!Z154)</f>
        <v/>
      </c>
      <c r="AS154" s="572" t="str">
        <f t="shared" si="431"/>
        <v/>
      </c>
      <c r="AT154" s="572" t="str">
        <f t="shared" si="432"/>
        <v/>
      </c>
      <c r="AU154" s="573" t="str">
        <f>IF('Marks Entry'!AA154="","",'Marks Entry'!AA154)</f>
        <v/>
      </c>
      <c r="AV154" s="573" t="str">
        <f>IF('Marks Entry'!AB154="","",'Marks Entry'!AB154)</f>
        <v/>
      </c>
      <c r="AW154" s="572" t="str">
        <f t="shared" si="433"/>
        <v/>
      </c>
      <c r="AX154" s="157" t="str">
        <f t="shared" si="434"/>
        <v/>
      </c>
      <c r="AY154" s="157" t="str">
        <f t="shared" si="435"/>
        <v/>
      </c>
      <c r="AZ154" s="192" t="str">
        <f t="shared" si="436"/>
        <v/>
      </c>
      <c r="BA154" s="153">
        <f t="shared" si="437"/>
        <v>0</v>
      </c>
      <c r="BB154" s="154">
        <f t="shared" si="438"/>
        <v>0</v>
      </c>
      <c r="BC154" s="154" t="str">
        <f t="shared" si="439"/>
        <v/>
      </c>
      <c r="BD154" s="154" t="str">
        <f t="shared" si="440"/>
        <v/>
      </c>
      <c r="BE154" s="154" t="str">
        <f t="shared" si="441"/>
        <v/>
      </c>
      <c r="BF154" s="153" t="str">
        <f t="shared" si="442"/>
        <v/>
      </c>
      <c r="BG154" s="154" t="str">
        <f t="shared" si="443"/>
        <v/>
      </c>
      <c r="BH154" s="153" t="str">
        <f t="shared" si="444"/>
        <v/>
      </c>
      <c r="BI154" s="580" t="str">
        <f>IF('Marks Entry'!AC154="","",'Marks Entry'!AC154)</f>
        <v/>
      </c>
      <c r="BJ154" s="580" t="str">
        <f>IF('Marks Entry'!AD154="","",'Marks Entry'!AD154)</f>
        <v/>
      </c>
      <c r="BK154" s="580" t="str">
        <f>IF('Marks Entry'!AE154="","",'Marks Entry'!AE154)</f>
        <v/>
      </c>
      <c r="BL154" s="580" t="str">
        <f>IF('Marks Entry'!AF154="","",'Marks Entry'!AF154)</f>
        <v/>
      </c>
      <c r="BM154" s="581" t="str">
        <f t="shared" si="445"/>
        <v/>
      </c>
      <c r="BN154" s="580" t="str">
        <f>IF('Marks Entry'!AG154="","",'Marks Entry'!AG154)</f>
        <v/>
      </c>
      <c r="BO154" s="580" t="str">
        <f>IF('Marks Entry'!AH154="","",'Marks Entry'!AH154)</f>
        <v/>
      </c>
      <c r="BP154" s="581" t="str">
        <f t="shared" si="446"/>
        <v/>
      </c>
      <c r="BQ154" s="581" t="str">
        <f t="shared" si="447"/>
        <v/>
      </c>
      <c r="BR154" s="580" t="str">
        <f>IF('Marks Entry'!AI154="","",'Marks Entry'!AI154)</f>
        <v/>
      </c>
      <c r="BS154" s="580" t="str">
        <f>IF('Marks Entry'!AJ154="","",'Marks Entry'!AJ154)</f>
        <v/>
      </c>
      <c r="BT154" s="581" t="str">
        <f t="shared" si="448"/>
        <v/>
      </c>
      <c r="BU154" s="157" t="str">
        <f t="shared" si="449"/>
        <v/>
      </c>
      <c r="BV154" s="157" t="str">
        <f t="shared" si="450"/>
        <v/>
      </c>
      <c r="BW154" s="192" t="str">
        <f t="shared" si="451"/>
        <v/>
      </c>
      <c r="BX154" s="153">
        <f t="shared" si="452"/>
        <v>0</v>
      </c>
      <c r="BY154" s="154">
        <f t="shared" si="453"/>
        <v>0</v>
      </c>
      <c r="BZ154" s="154" t="str">
        <f t="shared" si="454"/>
        <v/>
      </c>
      <c r="CA154" s="154" t="str">
        <f t="shared" si="455"/>
        <v/>
      </c>
      <c r="CB154" s="154" t="str">
        <f t="shared" si="456"/>
        <v/>
      </c>
      <c r="CC154" s="153" t="str">
        <f t="shared" si="457"/>
        <v/>
      </c>
      <c r="CD154" s="154" t="str">
        <f t="shared" si="458"/>
        <v/>
      </c>
      <c r="CE154" s="153" t="str">
        <f t="shared" si="459"/>
        <v/>
      </c>
      <c r="CF154" s="580" t="str">
        <f>IF('Marks Entry'!AK154="","",'Marks Entry'!AK154)</f>
        <v/>
      </c>
      <c r="CG154" s="580" t="str">
        <f>IF('Marks Entry'!AL154="","",'Marks Entry'!AL154)</f>
        <v/>
      </c>
      <c r="CH154" s="580" t="str">
        <f>IF('Marks Entry'!AM154="","",'Marks Entry'!AM154)</f>
        <v/>
      </c>
      <c r="CI154" s="580" t="str">
        <f>IF('Marks Entry'!AN154="","",'Marks Entry'!AN154)</f>
        <v/>
      </c>
      <c r="CJ154" s="581" t="str">
        <f t="shared" si="460"/>
        <v/>
      </c>
      <c r="CK154" s="580" t="str">
        <f>IF('Marks Entry'!AO154="","",'Marks Entry'!AO154)</f>
        <v/>
      </c>
      <c r="CL154" s="580" t="str">
        <f>IF('Marks Entry'!AP154="","",'Marks Entry'!AP154)</f>
        <v/>
      </c>
      <c r="CM154" s="581" t="str">
        <f t="shared" si="461"/>
        <v/>
      </c>
      <c r="CN154" s="581" t="str">
        <f t="shared" si="462"/>
        <v/>
      </c>
      <c r="CO154" s="580" t="str">
        <f>IF('Marks Entry'!AQ154="","",'Marks Entry'!AQ154)</f>
        <v/>
      </c>
      <c r="CP154" s="580" t="str">
        <f>IF('Marks Entry'!AR154="","",'Marks Entry'!AR154)</f>
        <v/>
      </c>
      <c r="CQ154" s="581" t="str">
        <f t="shared" si="463"/>
        <v/>
      </c>
      <c r="CR154" s="157" t="str">
        <f t="shared" si="464"/>
        <v/>
      </c>
      <c r="CS154" s="157" t="str">
        <f t="shared" si="465"/>
        <v/>
      </c>
      <c r="CT154" s="192" t="str">
        <f t="shared" si="466"/>
        <v/>
      </c>
      <c r="CU154" s="153">
        <f t="shared" si="467"/>
        <v>0</v>
      </c>
      <c r="CV154" s="154">
        <f t="shared" si="468"/>
        <v>0</v>
      </c>
      <c r="CW154" s="154" t="str">
        <f t="shared" si="469"/>
        <v/>
      </c>
      <c r="CX154" s="154" t="str">
        <f t="shared" si="470"/>
        <v/>
      </c>
      <c r="CY154" s="154" t="str">
        <f t="shared" si="471"/>
        <v/>
      </c>
      <c r="CZ154" s="153" t="str">
        <f t="shared" si="472"/>
        <v/>
      </c>
      <c r="DA154" s="154" t="str">
        <f t="shared" si="473"/>
        <v/>
      </c>
      <c r="DB154" s="153" t="str">
        <f t="shared" si="474"/>
        <v/>
      </c>
      <c r="DC154" s="154">
        <f t="shared" si="475"/>
        <v>0</v>
      </c>
      <c r="DD154" s="826" t="str">
        <f>IF('Marks Entry'!AS154="","",IF(OR('Master Sheet'!$D$19="YES",'Marks Entry'!$BA$1=1),'Marks Entry'!AS154,""))</f>
        <v/>
      </c>
      <c r="DE154" s="826" t="str">
        <f>IF('Marks Entry'!AT154="","",IF(OR('Master Sheet'!$D$19="YES",'Marks Entry'!$BA$1=1),'Marks Entry'!AT154,""))</f>
        <v/>
      </c>
      <c r="DF154" s="826" t="str">
        <f>IF('Marks Entry'!AU154="","",IF(OR('Master Sheet'!$D$19="YES",'Marks Entry'!$BA$1=1),'Marks Entry'!AU154,""))</f>
        <v/>
      </c>
      <c r="DG154" s="826" t="str">
        <f>IF('Marks Entry'!AV154="","",IF(OR('Master Sheet'!$D$19="YES",'Marks Entry'!$BA$1=1),'Marks Entry'!AV154,""))</f>
        <v/>
      </c>
      <c r="DH154" s="827" t="str">
        <f t="shared" si="476"/>
        <v/>
      </c>
      <c r="DI154" s="826" t="str">
        <f>IF('Marks Entry'!AW154="","",IF(OR('Master Sheet'!$D$19="YES",'Marks Entry'!$BA$1=1),'Marks Entry'!AW154,""))</f>
        <v/>
      </c>
      <c r="DJ154" s="826" t="str">
        <f>IF('Marks Entry'!AX154="","",IF(OR('Master Sheet'!$D$19="YES",'Marks Entry'!$BA$1=1),'Marks Entry'!AX154,""))</f>
        <v/>
      </c>
      <c r="DK154" s="827" t="str">
        <f t="shared" si="477"/>
        <v/>
      </c>
      <c r="DL154" s="827" t="str">
        <f t="shared" si="478"/>
        <v/>
      </c>
      <c r="DM154" s="826" t="str">
        <f>IF('Marks Entry'!AY154="","",IF(OR('Master Sheet'!$D$19="YES",'Marks Entry'!$BA$1=1),'Marks Entry'!AY154,""))</f>
        <v/>
      </c>
      <c r="DN154" s="826" t="str">
        <f>IF('Marks Entry'!AZ154="","",IF(OR('Master Sheet'!$D$19="YES",'Marks Entry'!$BA$1=1),'Marks Entry'!AZ154,""))</f>
        <v/>
      </c>
      <c r="DO154" s="826" t="str">
        <f>IF('Marks Entry'!BA154="","",IF(OR('Master Sheet'!$D$19="YES",'Marks Entry'!$BA$1=1),'Marks Entry'!BA154,""))</f>
        <v/>
      </c>
      <c r="DP154" s="827" t="str">
        <f t="shared" si="479"/>
        <v/>
      </c>
      <c r="DQ154" s="157" t="str">
        <f t="shared" si="480"/>
        <v/>
      </c>
      <c r="DR154" s="157" t="str">
        <f t="shared" si="481"/>
        <v/>
      </c>
      <c r="DS154" s="157" t="str">
        <f t="shared" si="482"/>
        <v/>
      </c>
      <c r="DT154" s="192" t="str">
        <f t="shared" si="483"/>
        <v/>
      </c>
      <c r="DU154" s="153">
        <f t="shared" si="484"/>
        <v>0</v>
      </c>
      <c r="DV154" s="154" t="e">
        <f t="shared" si="485"/>
        <v>#VALUE!</v>
      </c>
      <c r="DW154" s="154" t="str">
        <f t="shared" si="486"/>
        <v/>
      </c>
      <c r="DX154" s="154" t="str">
        <f>IF(OR($B154="NSO",$B154=0,DS154=""),"",IF(AND(DJ154="",DO154=""),"",IF('Master Sheet'!$D$19="YES",$DO$6-COUNTIF(DO154,"ML")*DO$6,DS$6-(COUNTIF(DJ154,"ML")*DJ$6)-(COUNTIF(DO154,"ML")*DO$6))))</f>
        <v/>
      </c>
      <c r="DY154" s="154" t="str">
        <f>IF(OR($B154="NSO",$B154=0),"",IF(AND(DH154="",DI154="",DM154=""),"",IF(AND('Master Sheet'!$D$19="YES",'Marks Entry'!$BA$1=1),100,IF(AND(DJ154="",DO154=""),SUM(($DQ$7+$DR$7)-(DU154+DV154)),SUM(($DQ$6+$DR$6)-(DU154+DV154))))))</f>
        <v/>
      </c>
      <c r="DZ154" s="153" t="str">
        <f t="shared" si="487"/>
        <v/>
      </c>
      <c r="EA154" s="154" t="str">
        <f t="shared" si="488"/>
        <v/>
      </c>
      <c r="EB154" s="153" t="str">
        <f t="shared" si="489"/>
        <v/>
      </c>
      <c r="EC154" s="584" t="str">
        <f>IF('Marks Entry'!BB154="","",'Marks Entry'!BB154)</f>
        <v/>
      </c>
      <c r="ED154" s="584" t="str">
        <f>IF('Marks Entry'!BC154="","",'Marks Entry'!BC154)</f>
        <v/>
      </c>
      <c r="EE154" s="584" t="str">
        <f>IF('Marks Entry'!BD154="","",'Marks Entry'!BD154)</f>
        <v/>
      </c>
      <c r="EF154" s="590" t="str">
        <f t="shared" si="490"/>
        <v/>
      </c>
      <c r="EG154" s="595">
        <f t="shared" si="491"/>
        <v>0</v>
      </c>
      <c r="EH154" s="595">
        <f t="shared" si="492"/>
        <v>0</v>
      </c>
      <c r="EI154" s="193" t="str">
        <f t="shared" si="493"/>
        <v/>
      </c>
      <c r="EJ154" s="595" t="str">
        <f t="shared" si="494"/>
        <v/>
      </c>
      <c r="EK154" s="595" t="str">
        <f t="shared" si="495"/>
        <v/>
      </c>
      <c r="EL154" s="194" t="str">
        <f t="shared" si="496"/>
        <v/>
      </c>
      <c r="EM154" s="194" t="str">
        <f t="shared" si="497"/>
        <v/>
      </c>
      <c r="EN154" s="194" t="str">
        <f t="shared" si="498"/>
        <v/>
      </c>
      <c r="EO154" s="194" t="str">
        <f t="shared" si="499"/>
        <v/>
      </c>
      <c r="EP154" s="194" t="str">
        <f t="shared" si="500"/>
        <v/>
      </c>
      <c r="EQ154" s="194" t="str">
        <f t="shared" si="501"/>
        <v/>
      </c>
      <c r="ER154" s="195">
        <f t="shared" si="502"/>
        <v>0</v>
      </c>
      <c r="ES154" s="195">
        <f t="shared" si="503"/>
        <v>0</v>
      </c>
      <c r="ET154" s="195">
        <f t="shared" si="504"/>
        <v>0</v>
      </c>
      <c r="EU154" s="195">
        <f t="shared" si="505"/>
        <v>0</v>
      </c>
      <c r="EV154" s="195">
        <f t="shared" si="506"/>
        <v>0</v>
      </c>
      <c r="EW154" s="195" t="str">
        <f t="shared" si="507"/>
        <v/>
      </c>
      <c r="EX154" s="196" t="str">
        <f t="shared" si="508"/>
        <v/>
      </c>
      <c r="EY154" s="197" t="str">
        <f>IF('Marks Entry'!BE154="","",'Marks Entry'!BE154)</f>
        <v/>
      </c>
      <c r="EZ154" s="197" t="str">
        <f>IF('Marks Entry'!BF154="","",'Marks Entry'!BF154)</f>
        <v/>
      </c>
      <c r="FA154" s="197" t="str">
        <f>IF('Marks Entry'!BG154="","",'Marks Entry'!BG154)</f>
        <v/>
      </c>
      <c r="FB154" s="596" t="str">
        <f t="shared" si="509"/>
        <v/>
      </c>
      <c r="FC154" s="197" t="str">
        <f>IF('Marks Entry'!BH154="","",'Marks Entry'!BH154)</f>
        <v/>
      </c>
      <c r="FD154" s="197" t="str">
        <f>IF('Marks Entry'!BI154="","",'Marks Entry'!BI154)</f>
        <v/>
      </c>
      <c r="FE154" s="198" t="str">
        <f t="shared" si="510"/>
        <v/>
      </c>
      <c r="FF154" s="199" t="str">
        <f t="shared" si="511"/>
        <v/>
      </c>
      <c r="FG154" s="200" t="str">
        <f>IF(AND(E154=""),"",IF('Student DATA Entry'!L150="","",'Student DATA Entry'!L150))</f>
        <v/>
      </c>
      <c r="FH154" s="201" t="str">
        <f>IF(AND(E154=""),"",IF('Student DATA Entry'!M150="","",'Student DATA Entry'!M150))</f>
        <v/>
      </c>
      <c r="FI154" s="202" t="str">
        <f t="shared" si="512"/>
        <v/>
      </c>
      <c r="FJ154" s="189" t="str">
        <f t="shared" si="513"/>
        <v/>
      </c>
      <c r="FK154" s="189" t="str">
        <f t="shared" si="514"/>
        <v/>
      </c>
      <c r="FL154" s="203" t="str">
        <f t="shared" si="383"/>
        <v/>
      </c>
      <c r="FM154" s="189" t="str">
        <f t="shared" si="515"/>
        <v/>
      </c>
      <c r="FN154" s="204" t="str">
        <f t="shared" si="516"/>
        <v/>
      </c>
      <c r="FO154" s="203" t="str">
        <f t="shared" si="384"/>
        <v/>
      </c>
      <c r="FP154" s="205" t="str">
        <f t="shared" si="517"/>
        <v/>
      </c>
      <c r="FQ154" s="189" t="str">
        <f t="shared" si="385"/>
        <v/>
      </c>
      <c r="FR154" s="189" t="str">
        <f t="shared" si="386"/>
        <v/>
      </c>
      <c r="FS154" s="189" t="str">
        <f t="shared" si="387"/>
        <v/>
      </c>
      <c r="FT154" s="189" t="str">
        <f t="shared" si="388"/>
        <v/>
      </c>
      <c r="FU154" s="189" t="str">
        <f t="shared" si="518"/>
        <v/>
      </c>
      <c r="FV154" s="206" t="str">
        <f t="shared" si="389"/>
        <v/>
      </c>
      <c r="FW154" s="205" t="str">
        <f t="shared" si="519"/>
        <v/>
      </c>
      <c r="FX154" s="189" t="str">
        <f t="shared" si="390"/>
        <v/>
      </c>
      <c r="FY154" s="189" t="str">
        <f t="shared" si="391"/>
        <v/>
      </c>
      <c r="FZ154" s="189" t="str">
        <f t="shared" si="392"/>
        <v/>
      </c>
      <c r="GA154" s="189" t="str">
        <f t="shared" si="393"/>
        <v/>
      </c>
      <c r="GB154" s="189" t="str">
        <f t="shared" si="520"/>
        <v/>
      </c>
      <c r="GC154" s="206" t="str">
        <f t="shared" si="394"/>
        <v/>
      </c>
      <c r="GD154" s="205" t="str">
        <f t="shared" si="521"/>
        <v/>
      </c>
      <c r="GE154" s="189" t="str">
        <f t="shared" si="395"/>
        <v/>
      </c>
      <c r="GF154" s="189" t="str">
        <f t="shared" si="396"/>
        <v/>
      </c>
      <c r="GG154" s="189" t="str">
        <f t="shared" si="397"/>
        <v/>
      </c>
      <c r="GH154" s="189" t="str">
        <f t="shared" si="398"/>
        <v/>
      </c>
      <c r="GI154" s="189" t="str">
        <f t="shared" si="522"/>
        <v/>
      </c>
      <c r="GJ154" s="206" t="str">
        <f t="shared" si="399"/>
        <v/>
      </c>
      <c r="GK154" s="205" t="str">
        <f t="shared" si="523"/>
        <v/>
      </c>
      <c r="GL154" s="189" t="str">
        <f t="shared" si="400"/>
        <v/>
      </c>
      <c r="GM154" s="189" t="str">
        <f t="shared" si="401"/>
        <v/>
      </c>
      <c r="GN154" s="189" t="str">
        <f t="shared" si="402"/>
        <v/>
      </c>
      <c r="GO154" s="189" t="str">
        <f t="shared" si="403"/>
        <v/>
      </c>
      <c r="GP154" s="189" t="str">
        <f t="shared" si="524"/>
        <v/>
      </c>
      <c r="GQ154" s="206" t="str">
        <f t="shared" si="404"/>
        <v/>
      </c>
      <c r="GR154" s="189" t="str">
        <f t="shared" si="525"/>
        <v/>
      </c>
      <c r="GS154" s="189" t="str">
        <f t="shared" si="526"/>
        <v/>
      </c>
      <c r="GT154" s="207" t="str">
        <f t="shared" si="527"/>
        <v xml:space="preserve">    </v>
      </c>
      <c r="GU154" s="207" t="str">
        <f t="shared" si="528"/>
        <v xml:space="preserve">    </v>
      </c>
      <c r="GV154" s="207" t="str">
        <f t="shared" si="529"/>
        <v xml:space="preserve">    </v>
      </c>
      <c r="GW154" s="207" t="str">
        <f t="shared" si="530"/>
        <v xml:space="preserve">       </v>
      </c>
      <c r="GX154" s="598" t="str">
        <f t="shared" si="531"/>
        <v xml:space="preserve">     </v>
      </c>
      <c r="GY154" s="208" t="str">
        <f t="shared" si="405"/>
        <v/>
      </c>
      <c r="GZ154" s="606" t="str">
        <f>IF(AND(Q154="",AE154="",AZ154="",BW154="",CT154=""),"",IF(AND('Master Sheet'!$D$19="YES",'Marks Entry'!$BA$1=1),SUM(Q154,AE154,AZ154,BW154,DT154),SUM(Q154,AE154,AZ154,BW154,CT154)))</f>
        <v/>
      </c>
      <c r="HA154" s="209" t="str">
        <f>IF(GZ154="","",IF(AND('Master Sheet'!$D$19="YES",'Marks Entry'!$BA$1=1),GZ154/((900)-DC154)*100,GZ154/((1000)-DC154)*100))</f>
        <v/>
      </c>
      <c r="HB154" s="611" t="str">
        <f t="shared" si="532"/>
        <v/>
      </c>
      <c r="HC154" s="609" t="str">
        <f t="shared" si="533"/>
        <v/>
      </c>
      <c r="HD154" s="610" t="str">
        <f t="shared" si="534"/>
        <v/>
      </c>
      <c r="HE154" s="210" t="str">
        <f>IFERROR(IF(OR(GY154="SUPPLEMENTARY",GY154="RE-EXAM"),'Supp. Result Entry'!AS153,""),"")</f>
        <v/>
      </c>
      <c r="HF154" s="613" t="str">
        <f t="shared" si="535"/>
        <v/>
      </c>
      <c r="HG154" s="598" t="str">
        <f t="shared" si="536"/>
        <v/>
      </c>
      <c r="HH154" s="598" t="str">
        <f>IF(AND(HE154="",HF154="",HG154=""),"",IF(OR(GY154="SUPPLEMENTARY",GY154="RE-EXAM"),'Supp. Result Entry'!AS153,GY154))</f>
        <v/>
      </c>
      <c r="HI154" s="180"/>
      <c r="HY154" s="212" t="str">
        <f>IF('Supp. Result Entry'!U153="","",'Supp. Result Entry'!$U$6)</f>
        <v/>
      </c>
      <c r="HZ154" s="213" t="str">
        <f>IF('Supp. Result Entry'!X153="","",'Supp. Result Entry'!$X$6)</f>
        <v/>
      </c>
      <c r="IA154" s="213" t="str">
        <f>IF('Supp. Result Entry'!AA153="","",'Supp. Result Entry'!$AA$6)</f>
        <v/>
      </c>
      <c r="IB154" s="213" t="str">
        <f>IF('Supp. Result Entry'!AD153="","",'Supp. Result Entry'!$AD$6)</f>
        <v/>
      </c>
      <c r="IC154" s="213" t="str">
        <f>IF('Supp. Result Entry'!AG153="","",'Supp. Result Entry'!$AG$6)</f>
        <v/>
      </c>
      <c r="ID154" s="213" t="str">
        <f>IF('Supp. Result Entry'!AJ153="","",'Supp. Result Entry'!$AJ$6)</f>
        <v/>
      </c>
      <c r="IE154" s="213" t="str">
        <f>IF('Supp. Result Entry'!V153="","",'Supp. Result Entry'!V153)</f>
        <v/>
      </c>
      <c r="IF154" s="213" t="str">
        <f>IF('Supp. Result Entry'!Y153="","",'Supp. Result Entry'!Y153)</f>
        <v/>
      </c>
      <c r="IG154" s="213" t="str">
        <f>IF('Supp. Result Entry'!AB153="","",'Supp. Result Entry'!AB153)</f>
        <v/>
      </c>
      <c r="IH154" s="213" t="str">
        <f>IF('Supp. Result Entry'!AE153="","",'Supp. Result Entry'!AE153)</f>
        <v/>
      </c>
      <c r="II154" s="213" t="str">
        <f>IF('Supp. Result Entry'!AH153="","",'Supp. Result Entry'!AH153)</f>
        <v/>
      </c>
      <c r="IJ154" s="213" t="str">
        <f>IF('Supp. Result Entry'!AK153="","",'Supp. Result Entry'!AK153)</f>
        <v/>
      </c>
      <c r="IK154" s="213" t="str">
        <f>IF('Supp. Result Entry'!W153="","",'Supp. Result Entry'!W153)</f>
        <v/>
      </c>
      <c r="IL154" s="213" t="str">
        <f>IF('Supp. Result Entry'!Z153="","",'Supp. Result Entry'!Z153)</f>
        <v/>
      </c>
      <c r="IM154" s="213" t="str">
        <f>IF('Supp. Result Entry'!AC153="","",'Supp. Result Entry'!AC153)</f>
        <v/>
      </c>
      <c r="IN154" s="213" t="str">
        <f>IF('Supp. Result Entry'!AF153="","",'Supp. Result Entry'!AF153)</f>
        <v/>
      </c>
      <c r="IO154" s="213" t="str">
        <f>IF('Supp. Result Entry'!AI153="","",'Supp. Result Entry'!AI153)</f>
        <v/>
      </c>
      <c r="IP154" s="213" t="str">
        <f>IF('Supp. Result Entry'!AL153="","",'Supp. Result Entry'!AL153)</f>
        <v/>
      </c>
      <c r="IQ154" s="213">
        <f>COUNTIF('Supp. Result Entry'!K153:Q153,"S")</f>
        <v>0</v>
      </c>
      <c r="IR154" s="213">
        <f t="shared" si="537"/>
        <v>0</v>
      </c>
      <c r="IS154" s="213">
        <f t="shared" si="538"/>
        <v>0</v>
      </c>
      <c r="IT154" s="213" t="str">
        <f t="shared" si="406"/>
        <v/>
      </c>
      <c r="IU154" s="213" t="str">
        <f t="shared" si="407"/>
        <v/>
      </c>
      <c r="IV154" s="213" t="str">
        <f t="shared" si="408"/>
        <v/>
      </c>
      <c r="IW154" s="213" t="str">
        <f t="shared" si="409"/>
        <v/>
      </c>
      <c r="IX154" s="213" t="str">
        <f t="shared" si="410"/>
        <v/>
      </c>
      <c r="IY154" s="213" t="str">
        <f t="shared" si="539"/>
        <v/>
      </c>
      <c r="IZ154" s="213" t="str">
        <f t="shared" si="540"/>
        <v/>
      </c>
      <c r="JA154" s="213" t="str">
        <f t="shared" si="411"/>
        <v/>
      </c>
      <c r="JB154" s="211" t="str">
        <f t="shared" si="541"/>
        <v/>
      </c>
    </row>
    <row r="155" spans="1:262" s="211" customFormat="1" ht="21" customHeight="1">
      <c r="A155" s="184">
        <v>148</v>
      </c>
      <c r="B155" s="185" t="str">
        <f>IF('Marks Entry'!B155="","",'Marks Entry'!B155)</f>
        <v/>
      </c>
      <c r="C155" s="186" t="str">
        <f>IF('Marks Entry'!D155="","",'Marks Entry'!D155)</f>
        <v/>
      </c>
      <c r="D155" s="187" t="str">
        <f>IF('Marks Entry'!E155="","",'Marks Entry'!E155)</f>
        <v/>
      </c>
      <c r="E155" s="188" t="str">
        <f>IF('Marks Entry'!F155="","",'Marks Entry'!F155)</f>
        <v/>
      </c>
      <c r="F155" s="188" t="str">
        <f>IF('Marks Entry'!G155="","",'Marks Entry'!G155)</f>
        <v/>
      </c>
      <c r="G155" s="188" t="str">
        <f>IF('Marks Entry'!H155="","",'Marks Entry'!H155)</f>
        <v/>
      </c>
      <c r="H155" s="189" t="str">
        <f>IF('Marks Entry'!I155="","",'Marks Entry'!I155)</f>
        <v/>
      </c>
      <c r="I155" s="190" t="str">
        <f>IF('Marks Entry'!J155="","",'Marks Entry'!J155)</f>
        <v/>
      </c>
      <c r="J155" s="545" t="str">
        <f>IF('Marks Entry'!K155="","",'Marks Entry'!K155)</f>
        <v/>
      </c>
      <c r="K155" s="545" t="str">
        <f>IF('Marks Entry'!L155="","",'Marks Entry'!L155)</f>
        <v/>
      </c>
      <c r="L155" s="545" t="str">
        <f>IF('Marks Entry'!M155="","",'Marks Entry'!M155)</f>
        <v/>
      </c>
      <c r="M155" s="546" t="str">
        <f t="shared" si="412"/>
        <v/>
      </c>
      <c r="N155" s="545" t="str">
        <f>IF('Marks Entry'!N155="","",'Marks Entry'!N155)</f>
        <v/>
      </c>
      <c r="O155" s="546" t="str">
        <f t="shared" si="413"/>
        <v/>
      </c>
      <c r="P155" s="545" t="str">
        <f>IF('Marks Entry'!O155="","",'Marks Entry'!O155)</f>
        <v/>
      </c>
      <c r="Q155" s="547" t="str">
        <f t="shared" si="414"/>
        <v/>
      </c>
      <c r="R155" s="153">
        <f t="shared" si="415"/>
        <v>0</v>
      </c>
      <c r="S155" s="153">
        <f t="shared" si="416"/>
        <v>0</v>
      </c>
      <c r="T155" s="154" t="str">
        <f t="shared" si="417"/>
        <v/>
      </c>
      <c r="U155" s="153" t="str">
        <f t="shared" si="418"/>
        <v/>
      </c>
      <c r="V155" s="153" t="str">
        <f t="shared" si="419"/>
        <v/>
      </c>
      <c r="W155" s="153" t="str">
        <f t="shared" si="420"/>
        <v/>
      </c>
      <c r="X155" s="545" t="str">
        <f>IF('Marks Entry'!P155="","",'Marks Entry'!P155)</f>
        <v/>
      </c>
      <c r="Y155" s="545" t="str">
        <f>IF('Marks Entry'!Q155="","",'Marks Entry'!Q155)</f>
        <v/>
      </c>
      <c r="Z155" s="545" t="str">
        <f>IF('Marks Entry'!R155="","",'Marks Entry'!R155)</f>
        <v/>
      </c>
      <c r="AA155" s="546" t="str">
        <f t="shared" si="421"/>
        <v/>
      </c>
      <c r="AB155" s="545" t="str">
        <f>IF('Marks Entry'!S155="","",'Marks Entry'!S155)</f>
        <v/>
      </c>
      <c r="AC155" s="546" t="str">
        <f t="shared" si="422"/>
        <v/>
      </c>
      <c r="AD155" s="545" t="str">
        <f>IF('Marks Entry'!T155="","",'Marks Entry'!T155)</f>
        <v/>
      </c>
      <c r="AE155" s="547" t="str">
        <f t="shared" si="423"/>
        <v/>
      </c>
      <c r="AF155" s="153">
        <f t="shared" si="424"/>
        <v>0</v>
      </c>
      <c r="AG155" s="153">
        <f t="shared" si="425"/>
        <v>0</v>
      </c>
      <c r="AH155" s="154" t="str">
        <f t="shared" si="426"/>
        <v/>
      </c>
      <c r="AI155" s="153" t="str">
        <f t="shared" si="427"/>
        <v/>
      </c>
      <c r="AJ155" s="153" t="str">
        <f t="shared" si="428"/>
        <v/>
      </c>
      <c r="AK155" s="153" t="str">
        <f t="shared" si="429"/>
        <v/>
      </c>
      <c r="AL155" s="573" t="str">
        <f>IF('Marks Entry'!U155="","",'Marks Entry'!U155)</f>
        <v/>
      </c>
      <c r="AM155" s="573" t="str">
        <f>IF('Marks Entry'!V155="","",'Marks Entry'!V155)</f>
        <v/>
      </c>
      <c r="AN155" s="573" t="str">
        <f>IF('Marks Entry'!W155="","",'Marks Entry'!W155)</f>
        <v/>
      </c>
      <c r="AO155" s="573" t="str">
        <f>IF('Marks Entry'!X155="","",'Marks Entry'!X155)</f>
        <v/>
      </c>
      <c r="AP155" s="572" t="str">
        <f t="shared" si="430"/>
        <v/>
      </c>
      <c r="AQ155" s="573" t="str">
        <f>IF('Marks Entry'!Y155="","",'Marks Entry'!Y155)</f>
        <v/>
      </c>
      <c r="AR155" s="573" t="str">
        <f>IF('Marks Entry'!Z155="","",'Marks Entry'!Z155)</f>
        <v/>
      </c>
      <c r="AS155" s="572" t="str">
        <f t="shared" si="431"/>
        <v/>
      </c>
      <c r="AT155" s="572" t="str">
        <f t="shared" si="432"/>
        <v/>
      </c>
      <c r="AU155" s="573" t="str">
        <f>IF('Marks Entry'!AA155="","",'Marks Entry'!AA155)</f>
        <v/>
      </c>
      <c r="AV155" s="573" t="str">
        <f>IF('Marks Entry'!AB155="","",'Marks Entry'!AB155)</f>
        <v/>
      </c>
      <c r="AW155" s="572" t="str">
        <f t="shared" si="433"/>
        <v/>
      </c>
      <c r="AX155" s="157" t="str">
        <f t="shared" si="434"/>
        <v/>
      </c>
      <c r="AY155" s="157" t="str">
        <f t="shared" si="435"/>
        <v/>
      </c>
      <c r="AZ155" s="192" t="str">
        <f t="shared" si="436"/>
        <v/>
      </c>
      <c r="BA155" s="153">
        <f t="shared" si="437"/>
        <v>0</v>
      </c>
      <c r="BB155" s="154">
        <f t="shared" si="438"/>
        <v>0</v>
      </c>
      <c r="BC155" s="154" t="str">
        <f t="shared" si="439"/>
        <v/>
      </c>
      <c r="BD155" s="154" t="str">
        <f t="shared" si="440"/>
        <v/>
      </c>
      <c r="BE155" s="154" t="str">
        <f t="shared" si="441"/>
        <v/>
      </c>
      <c r="BF155" s="153" t="str">
        <f t="shared" si="442"/>
        <v/>
      </c>
      <c r="BG155" s="154" t="str">
        <f t="shared" si="443"/>
        <v/>
      </c>
      <c r="BH155" s="153" t="str">
        <f t="shared" si="444"/>
        <v/>
      </c>
      <c r="BI155" s="580" t="str">
        <f>IF('Marks Entry'!AC155="","",'Marks Entry'!AC155)</f>
        <v/>
      </c>
      <c r="BJ155" s="580" t="str">
        <f>IF('Marks Entry'!AD155="","",'Marks Entry'!AD155)</f>
        <v/>
      </c>
      <c r="BK155" s="580" t="str">
        <f>IF('Marks Entry'!AE155="","",'Marks Entry'!AE155)</f>
        <v/>
      </c>
      <c r="BL155" s="580" t="str">
        <f>IF('Marks Entry'!AF155="","",'Marks Entry'!AF155)</f>
        <v/>
      </c>
      <c r="BM155" s="581" t="str">
        <f t="shared" si="445"/>
        <v/>
      </c>
      <c r="BN155" s="580" t="str">
        <f>IF('Marks Entry'!AG155="","",'Marks Entry'!AG155)</f>
        <v/>
      </c>
      <c r="BO155" s="580" t="str">
        <f>IF('Marks Entry'!AH155="","",'Marks Entry'!AH155)</f>
        <v/>
      </c>
      <c r="BP155" s="581" t="str">
        <f t="shared" si="446"/>
        <v/>
      </c>
      <c r="BQ155" s="581" t="str">
        <f t="shared" si="447"/>
        <v/>
      </c>
      <c r="BR155" s="580" t="str">
        <f>IF('Marks Entry'!AI155="","",'Marks Entry'!AI155)</f>
        <v/>
      </c>
      <c r="BS155" s="580" t="str">
        <f>IF('Marks Entry'!AJ155="","",'Marks Entry'!AJ155)</f>
        <v/>
      </c>
      <c r="BT155" s="581" t="str">
        <f t="shared" si="448"/>
        <v/>
      </c>
      <c r="BU155" s="157" t="str">
        <f t="shared" si="449"/>
        <v/>
      </c>
      <c r="BV155" s="157" t="str">
        <f t="shared" si="450"/>
        <v/>
      </c>
      <c r="BW155" s="192" t="str">
        <f t="shared" si="451"/>
        <v/>
      </c>
      <c r="BX155" s="153">
        <f t="shared" si="452"/>
        <v>0</v>
      </c>
      <c r="BY155" s="154">
        <f t="shared" si="453"/>
        <v>0</v>
      </c>
      <c r="BZ155" s="154" t="str">
        <f t="shared" si="454"/>
        <v/>
      </c>
      <c r="CA155" s="154" t="str">
        <f t="shared" si="455"/>
        <v/>
      </c>
      <c r="CB155" s="154" t="str">
        <f t="shared" si="456"/>
        <v/>
      </c>
      <c r="CC155" s="153" t="str">
        <f t="shared" si="457"/>
        <v/>
      </c>
      <c r="CD155" s="154" t="str">
        <f t="shared" si="458"/>
        <v/>
      </c>
      <c r="CE155" s="153" t="str">
        <f t="shared" si="459"/>
        <v/>
      </c>
      <c r="CF155" s="580" t="str">
        <f>IF('Marks Entry'!AK155="","",'Marks Entry'!AK155)</f>
        <v/>
      </c>
      <c r="CG155" s="580" t="str">
        <f>IF('Marks Entry'!AL155="","",'Marks Entry'!AL155)</f>
        <v/>
      </c>
      <c r="CH155" s="580" t="str">
        <f>IF('Marks Entry'!AM155="","",'Marks Entry'!AM155)</f>
        <v/>
      </c>
      <c r="CI155" s="580" t="str">
        <f>IF('Marks Entry'!AN155="","",'Marks Entry'!AN155)</f>
        <v/>
      </c>
      <c r="CJ155" s="581" t="str">
        <f t="shared" si="460"/>
        <v/>
      </c>
      <c r="CK155" s="580" t="str">
        <f>IF('Marks Entry'!AO155="","",'Marks Entry'!AO155)</f>
        <v/>
      </c>
      <c r="CL155" s="580" t="str">
        <f>IF('Marks Entry'!AP155="","",'Marks Entry'!AP155)</f>
        <v/>
      </c>
      <c r="CM155" s="581" t="str">
        <f t="shared" si="461"/>
        <v/>
      </c>
      <c r="CN155" s="581" t="str">
        <f t="shared" si="462"/>
        <v/>
      </c>
      <c r="CO155" s="580" t="str">
        <f>IF('Marks Entry'!AQ155="","",'Marks Entry'!AQ155)</f>
        <v/>
      </c>
      <c r="CP155" s="580" t="str">
        <f>IF('Marks Entry'!AR155="","",'Marks Entry'!AR155)</f>
        <v/>
      </c>
      <c r="CQ155" s="581" t="str">
        <f t="shared" si="463"/>
        <v/>
      </c>
      <c r="CR155" s="157" t="str">
        <f t="shared" si="464"/>
        <v/>
      </c>
      <c r="CS155" s="157" t="str">
        <f t="shared" si="465"/>
        <v/>
      </c>
      <c r="CT155" s="192" t="str">
        <f t="shared" si="466"/>
        <v/>
      </c>
      <c r="CU155" s="153">
        <f t="shared" si="467"/>
        <v>0</v>
      </c>
      <c r="CV155" s="154">
        <f t="shared" si="468"/>
        <v>0</v>
      </c>
      <c r="CW155" s="154" t="str">
        <f t="shared" si="469"/>
        <v/>
      </c>
      <c r="CX155" s="154" t="str">
        <f t="shared" si="470"/>
        <v/>
      </c>
      <c r="CY155" s="154" t="str">
        <f t="shared" si="471"/>
        <v/>
      </c>
      <c r="CZ155" s="153" t="str">
        <f t="shared" si="472"/>
        <v/>
      </c>
      <c r="DA155" s="154" t="str">
        <f t="shared" si="473"/>
        <v/>
      </c>
      <c r="DB155" s="153" t="str">
        <f t="shared" si="474"/>
        <v/>
      </c>
      <c r="DC155" s="154">
        <f t="shared" si="475"/>
        <v>0</v>
      </c>
      <c r="DD155" s="826" t="str">
        <f>IF('Marks Entry'!AS155="","",IF(OR('Master Sheet'!$D$19="YES",'Marks Entry'!$BA$1=1),'Marks Entry'!AS155,""))</f>
        <v/>
      </c>
      <c r="DE155" s="826" t="str">
        <f>IF('Marks Entry'!AT155="","",IF(OR('Master Sheet'!$D$19="YES",'Marks Entry'!$BA$1=1),'Marks Entry'!AT155,""))</f>
        <v/>
      </c>
      <c r="DF155" s="826" t="str">
        <f>IF('Marks Entry'!AU155="","",IF(OR('Master Sheet'!$D$19="YES",'Marks Entry'!$BA$1=1),'Marks Entry'!AU155,""))</f>
        <v/>
      </c>
      <c r="DG155" s="826" t="str">
        <f>IF('Marks Entry'!AV155="","",IF(OR('Master Sheet'!$D$19="YES",'Marks Entry'!$BA$1=1),'Marks Entry'!AV155,""))</f>
        <v/>
      </c>
      <c r="DH155" s="827" t="str">
        <f t="shared" si="476"/>
        <v/>
      </c>
      <c r="DI155" s="826" t="str">
        <f>IF('Marks Entry'!AW155="","",IF(OR('Master Sheet'!$D$19="YES",'Marks Entry'!$BA$1=1),'Marks Entry'!AW155,""))</f>
        <v/>
      </c>
      <c r="DJ155" s="826" t="str">
        <f>IF('Marks Entry'!AX155="","",IF(OR('Master Sheet'!$D$19="YES",'Marks Entry'!$BA$1=1),'Marks Entry'!AX155,""))</f>
        <v/>
      </c>
      <c r="DK155" s="827" t="str">
        <f t="shared" si="477"/>
        <v/>
      </c>
      <c r="DL155" s="827" t="str">
        <f t="shared" si="478"/>
        <v/>
      </c>
      <c r="DM155" s="826" t="str">
        <f>IF('Marks Entry'!AY155="","",IF(OR('Master Sheet'!$D$19="YES",'Marks Entry'!$BA$1=1),'Marks Entry'!AY155,""))</f>
        <v/>
      </c>
      <c r="DN155" s="826" t="str">
        <f>IF('Marks Entry'!AZ155="","",IF(OR('Master Sheet'!$D$19="YES",'Marks Entry'!$BA$1=1),'Marks Entry'!AZ155,""))</f>
        <v/>
      </c>
      <c r="DO155" s="826" t="str">
        <f>IF('Marks Entry'!BA155="","",IF(OR('Master Sheet'!$D$19="YES",'Marks Entry'!$BA$1=1),'Marks Entry'!BA155,""))</f>
        <v/>
      </c>
      <c r="DP155" s="827" t="str">
        <f t="shared" si="479"/>
        <v/>
      </c>
      <c r="DQ155" s="157" t="str">
        <f t="shared" si="480"/>
        <v/>
      </c>
      <c r="DR155" s="157" t="str">
        <f t="shared" si="481"/>
        <v/>
      </c>
      <c r="DS155" s="157" t="str">
        <f t="shared" si="482"/>
        <v/>
      </c>
      <c r="DT155" s="192" t="str">
        <f t="shared" si="483"/>
        <v/>
      </c>
      <c r="DU155" s="153">
        <f t="shared" si="484"/>
        <v>0</v>
      </c>
      <c r="DV155" s="154" t="e">
        <f t="shared" si="485"/>
        <v>#VALUE!</v>
      </c>
      <c r="DW155" s="154" t="str">
        <f t="shared" si="486"/>
        <v/>
      </c>
      <c r="DX155" s="154" t="str">
        <f>IF(OR($B155="NSO",$B155=0,DS155=""),"",IF(AND(DJ155="",DO155=""),"",IF('Master Sheet'!$D$19="YES",$DO$6-COUNTIF(DO155,"ML")*DO$6,DS$6-(COUNTIF(DJ155,"ML")*DJ$6)-(COUNTIF(DO155,"ML")*DO$6))))</f>
        <v/>
      </c>
      <c r="DY155" s="154" t="str">
        <f>IF(OR($B155="NSO",$B155=0),"",IF(AND(DH155="",DI155="",DM155=""),"",IF(AND('Master Sheet'!$D$19="YES",'Marks Entry'!$BA$1=1),100,IF(AND(DJ155="",DO155=""),SUM(($DQ$7+$DR$7)-(DU155+DV155)),SUM(($DQ$6+$DR$6)-(DU155+DV155))))))</f>
        <v/>
      </c>
      <c r="DZ155" s="153" t="str">
        <f t="shared" si="487"/>
        <v/>
      </c>
      <c r="EA155" s="154" t="str">
        <f t="shared" si="488"/>
        <v/>
      </c>
      <c r="EB155" s="153" t="str">
        <f t="shared" si="489"/>
        <v/>
      </c>
      <c r="EC155" s="584" t="str">
        <f>IF('Marks Entry'!BB155="","",'Marks Entry'!BB155)</f>
        <v/>
      </c>
      <c r="ED155" s="584" t="str">
        <f>IF('Marks Entry'!BC155="","",'Marks Entry'!BC155)</f>
        <v/>
      </c>
      <c r="EE155" s="584" t="str">
        <f>IF('Marks Entry'!BD155="","",'Marks Entry'!BD155)</f>
        <v/>
      </c>
      <c r="EF155" s="590" t="str">
        <f t="shared" si="490"/>
        <v/>
      </c>
      <c r="EG155" s="595">
        <f t="shared" si="491"/>
        <v>0</v>
      </c>
      <c r="EH155" s="595">
        <f t="shared" si="492"/>
        <v>0</v>
      </c>
      <c r="EI155" s="193" t="str">
        <f t="shared" si="493"/>
        <v/>
      </c>
      <c r="EJ155" s="595" t="str">
        <f t="shared" si="494"/>
        <v/>
      </c>
      <c r="EK155" s="595" t="str">
        <f t="shared" si="495"/>
        <v/>
      </c>
      <c r="EL155" s="194" t="str">
        <f t="shared" si="496"/>
        <v/>
      </c>
      <c r="EM155" s="194" t="str">
        <f t="shared" si="497"/>
        <v/>
      </c>
      <c r="EN155" s="194" t="str">
        <f t="shared" si="498"/>
        <v/>
      </c>
      <c r="EO155" s="194" t="str">
        <f t="shared" si="499"/>
        <v/>
      </c>
      <c r="EP155" s="194" t="str">
        <f t="shared" si="500"/>
        <v/>
      </c>
      <c r="EQ155" s="194" t="str">
        <f t="shared" si="501"/>
        <v/>
      </c>
      <c r="ER155" s="195">
        <f t="shared" si="502"/>
        <v>0</v>
      </c>
      <c r="ES155" s="195">
        <f t="shared" si="503"/>
        <v>0</v>
      </c>
      <c r="ET155" s="195">
        <f t="shared" si="504"/>
        <v>0</v>
      </c>
      <c r="EU155" s="195">
        <f t="shared" si="505"/>
        <v>0</v>
      </c>
      <c r="EV155" s="195">
        <f t="shared" si="506"/>
        <v>0</v>
      </c>
      <c r="EW155" s="195" t="str">
        <f t="shared" si="507"/>
        <v/>
      </c>
      <c r="EX155" s="196" t="str">
        <f t="shared" si="508"/>
        <v/>
      </c>
      <c r="EY155" s="197" t="str">
        <f>IF('Marks Entry'!BE155="","",'Marks Entry'!BE155)</f>
        <v/>
      </c>
      <c r="EZ155" s="197" t="str">
        <f>IF('Marks Entry'!BF155="","",'Marks Entry'!BF155)</f>
        <v/>
      </c>
      <c r="FA155" s="197" t="str">
        <f>IF('Marks Entry'!BG155="","",'Marks Entry'!BG155)</f>
        <v/>
      </c>
      <c r="FB155" s="596" t="str">
        <f t="shared" si="509"/>
        <v/>
      </c>
      <c r="FC155" s="197" t="str">
        <f>IF('Marks Entry'!BH155="","",'Marks Entry'!BH155)</f>
        <v/>
      </c>
      <c r="FD155" s="197" t="str">
        <f>IF('Marks Entry'!BI155="","",'Marks Entry'!BI155)</f>
        <v/>
      </c>
      <c r="FE155" s="198" t="str">
        <f t="shared" si="510"/>
        <v/>
      </c>
      <c r="FF155" s="199" t="str">
        <f t="shared" si="511"/>
        <v/>
      </c>
      <c r="FG155" s="200" t="str">
        <f>IF(AND(E155=""),"",IF('Student DATA Entry'!L151="","",'Student DATA Entry'!L151))</f>
        <v/>
      </c>
      <c r="FH155" s="201" t="str">
        <f>IF(AND(E155=""),"",IF('Student DATA Entry'!M151="","",'Student DATA Entry'!M151))</f>
        <v/>
      </c>
      <c r="FI155" s="202" t="str">
        <f t="shared" si="512"/>
        <v/>
      </c>
      <c r="FJ155" s="189" t="str">
        <f t="shared" si="513"/>
        <v/>
      </c>
      <c r="FK155" s="189" t="str">
        <f t="shared" si="514"/>
        <v/>
      </c>
      <c r="FL155" s="203" t="str">
        <f t="shared" si="383"/>
        <v/>
      </c>
      <c r="FM155" s="189" t="str">
        <f t="shared" si="515"/>
        <v/>
      </c>
      <c r="FN155" s="204" t="str">
        <f t="shared" si="516"/>
        <v/>
      </c>
      <c r="FO155" s="203" t="str">
        <f t="shared" si="384"/>
        <v/>
      </c>
      <c r="FP155" s="205" t="str">
        <f t="shared" si="517"/>
        <v/>
      </c>
      <c r="FQ155" s="189" t="str">
        <f t="shared" si="385"/>
        <v/>
      </c>
      <c r="FR155" s="189" t="str">
        <f t="shared" si="386"/>
        <v/>
      </c>
      <c r="FS155" s="189" t="str">
        <f t="shared" si="387"/>
        <v/>
      </c>
      <c r="FT155" s="189" t="str">
        <f t="shared" si="388"/>
        <v/>
      </c>
      <c r="FU155" s="189" t="str">
        <f t="shared" si="518"/>
        <v/>
      </c>
      <c r="FV155" s="206" t="str">
        <f t="shared" si="389"/>
        <v/>
      </c>
      <c r="FW155" s="205" t="str">
        <f t="shared" si="519"/>
        <v/>
      </c>
      <c r="FX155" s="189" t="str">
        <f t="shared" si="390"/>
        <v/>
      </c>
      <c r="FY155" s="189" t="str">
        <f t="shared" si="391"/>
        <v/>
      </c>
      <c r="FZ155" s="189" t="str">
        <f t="shared" si="392"/>
        <v/>
      </c>
      <c r="GA155" s="189" t="str">
        <f t="shared" si="393"/>
        <v/>
      </c>
      <c r="GB155" s="189" t="str">
        <f t="shared" si="520"/>
        <v/>
      </c>
      <c r="GC155" s="206" t="str">
        <f t="shared" si="394"/>
        <v/>
      </c>
      <c r="GD155" s="205" t="str">
        <f t="shared" si="521"/>
        <v/>
      </c>
      <c r="GE155" s="189" t="str">
        <f t="shared" si="395"/>
        <v/>
      </c>
      <c r="GF155" s="189" t="str">
        <f t="shared" si="396"/>
        <v/>
      </c>
      <c r="GG155" s="189" t="str">
        <f t="shared" si="397"/>
        <v/>
      </c>
      <c r="GH155" s="189" t="str">
        <f t="shared" si="398"/>
        <v/>
      </c>
      <c r="GI155" s="189" t="str">
        <f t="shared" si="522"/>
        <v/>
      </c>
      <c r="GJ155" s="206" t="str">
        <f t="shared" si="399"/>
        <v/>
      </c>
      <c r="GK155" s="205" t="str">
        <f t="shared" si="523"/>
        <v/>
      </c>
      <c r="GL155" s="189" t="str">
        <f t="shared" si="400"/>
        <v/>
      </c>
      <c r="GM155" s="189" t="str">
        <f t="shared" si="401"/>
        <v/>
      </c>
      <c r="GN155" s="189" t="str">
        <f t="shared" si="402"/>
        <v/>
      </c>
      <c r="GO155" s="189" t="str">
        <f t="shared" si="403"/>
        <v/>
      </c>
      <c r="GP155" s="189" t="str">
        <f t="shared" si="524"/>
        <v/>
      </c>
      <c r="GQ155" s="206" t="str">
        <f t="shared" si="404"/>
        <v/>
      </c>
      <c r="GR155" s="189" t="str">
        <f t="shared" si="525"/>
        <v/>
      </c>
      <c r="GS155" s="189" t="str">
        <f t="shared" si="526"/>
        <v/>
      </c>
      <c r="GT155" s="207" t="str">
        <f t="shared" si="527"/>
        <v xml:space="preserve">    </v>
      </c>
      <c r="GU155" s="207" t="str">
        <f t="shared" si="528"/>
        <v xml:space="preserve">    </v>
      </c>
      <c r="GV155" s="207" t="str">
        <f t="shared" si="529"/>
        <v xml:space="preserve">    </v>
      </c>
      <c r="GW155" s="207" t="str">
        <f t="shared" si="530"/>
        <v xml:space="preserve">       </v>
      </c>
      <c r="GX155" s="598" t="str">
        <f t="shared" si="531"/>
        <v xml:space="preserve">     </v>
      </c>
      <c r="GY155" s="208" t="str">
        <f t="shared" si="405"/>
        <v/>
      </c>
      <c r="GZ155" s="606" t="str">
        <f>IF(AND(Q155="",AE155="",AZ155="",BW155="",CT155=""),"",IF(AND('Master Sheet'!$D$19="YES",'Marks Entry'!$BA$1=1),SUM(Q155,AE155,AZ155,BW155,DT155),SUM(Q155,AE155,AZ155,BW155,CT155)))</f>
        <v/>
      </c>
      <c r="HA155" s="209" t="str">
        <f>IF(GZ155="","",IF(AND('Master Sheet'!$D$19="YES",'Marks Entry'!$BA$1=1),GZ155/((900)-DC155)*100,GZ155/((1000)-DC155)*100))</f>
        <v/>
      </c>
      <c r="HB155" s="611" t="str">
        <f t="shared" si="532"/>
        <v/>
      </c>
      <c r="HC155" s="609" t="str">
        <f t="shared" si="533"/>
        <v/>
      </c>
      <c r="HD155" s="610" t="str">
        <f t="shared" si="534"/>
        <v/>
      </c>
      <c r="HE155" s="210" t="str">
        <f>IFERROR(IF(OR(GY155="SUPPLEMENTARY",GY155="RE-EXAM"),'Supp. Result Entry'!AS154,""),"")</f>
        <v/>
      </c>
      <c r="HF155" s="613" t="str">
        <f t="shared" si="535"/>
        <v/>
      </c>
      <c r="HG155" s="598" t="str">
        <f t="shared" si="536"/>
        <v/>
      </c>
      <c r="HH155" s="598" t="str">
        <f>IF(AND(HE155="",HF155="",HG155=""),"",IF(OR(GY155="SUPPLEMENTARY",GY155="RE-EXAM"),'Supp. Result Entry'!AS154,GY155))</f>
        <v/>
      </c>
      <c r="HI155" s="180"/>
      <c r="HY155" s="212" t="str">
        <f>IF('Supp. Result Entry'!U154="","",'Supp. Result Entry'!$U$6)</f>
        <v/>
      </c>
      <c r="HZ155" s="213" t="str">
        <f>IF('Supp. Result Entry'!X154="","",'Supp. Result Entry'!$X$6)</f>
        <v/>
      </c>
      <c r="IA155" s="213" t="str">
        <f>IF('Supp. Result Entry'!AA154="","",'Supp. Result Entry'!$AA$6)</f>
        <v/>
      </c>
      <c r="IB155" s="213" t="str">
        <f>IF('Supp. Result Entry'!AD154="","",'Supp. Result Entry'!$AD$6)</f>
        <v/>
      </c>
      <c r="IC155" s="213" t="str">
        <f>IF('Supp. Result Entry'!AG154="","",'Supp. Result Entry'!$AG$6)</f>
        <v/>
      </c>
      <c r="ID155" s="213" t="str">
        <f>IF('Supp. Result Entry'!AJ154="","",'Supp. Result Entry'!$AJ$6)</f>
        <v/>
      </c>
      <c r="IE155" s="213" t="str">
        <f>IF('Supp. Result Entry'!V154="","",'Supp. Result Entry'!V154)</f>
        <v/>
      </c>
      <c r="IF155" s="213" t="str">
        <f>IF('Supp. Result Entry'!Y154="","",'Supp. Result Entry'!Y154)</f>
        <v/>
      </c>
      <c r="IG155" s="213" t="str">
        <f>IF('Supp. Result Entry'!AB154="","",'Supp. Result Entry'!AB154)</f>
        <v/>
      </c>
      <c r="IH155" s="213" t="str">
        <f>IF('Supp. Result Entry'!AE154="","",'Supp. Result Entry'!AE154)</f>
        <v/>
      </c>
      <c r="II155" s="213" t="str">
        <f>IF('Supp. Result Entry'!AH154="","",'Supp. Result Entry'!AH154)</f>
        <v/>
      </c>
      <c r="IJ155" s="213" t="str">
        <f>IF('Supp. Result Entry'!AK154="","",'Supp. Result Entry'!AK154)</f>
        <v/>
      </c>
      <c r="IK155" s="213" t="str">
        <f>IF('Supp. Result Entry'!W154="","",'Supp. Result Entry'!W154)</f>
        <v/>
      </c>
      <c r="IL155" s="213" t="str">
        <f>IF('Supp. Result Entry'!Z154="","",'Supp. Result Entry'!Z154)</f>
        <v/>
      </c>
      <c r="IM155" s="213" t="str">
        <f>IF('Supp. Result Entry'!AC154="","",'Supp. Result Entry'!AC154)</f>
        <v/>
      </c>
      <c r="IN155" s="213" t="str">
        <f>IF('Supp. Result Entry'!AF154="","",'Supp. Result Entry'!AF154)</f>
        <v/>
      </c>
      <c r="IO155" s="213" t="str">
        <f>IF('Supp. Result Entry'!AI154="","",'Supp. Result Entry'!AI154)</f>
        <v/>
      </c>
      <c r="IP155" s="213" t="str">
        <f>IF('Supp. Result Entry'!AL154="","",'Supp. Result Entry'!AL154)</f>
        <v/>
      </c>
      <c r="IQ155" s="213">
        <f>COUNTIF('Supp. Result Entry'!K154:Q154,"S")</f>
        <v>0</v>
      </c>
      <c r="IR155" s="213">
        <f t="shared" si="537"/>
        <v>0</v>
      </c>
      <c r="IS155" s="213">
        <f t="shared" si="538"/>
        <v>0</v>
      </c>
      <c r="IT155" s="213" t="str">
        <f t="shared" si="406"/>
        <v/>
      </c>
      <c r="IU155" s="213" t="str">
        <f t="shared" si="407"/>
        <v/>
      </c>
      <c r="IV155" s="213" t="str">
        <f t="shared" si="408"/>
        <v/>
      </c>
      <c r="IW155" s="213" t="str">
        <f t="shared" si="409"/>
        <v/>
      </c>
      <c r="IX155" s="213" t="str">
        <f t="shared" si="410"/>
        <v/>
      </c>
      <c r="IY155" s="213" t="str">
        <f t="shared" si="539"/>
        <v/>
      </c>
      <c r="IZ155" s="213" t="str">
        <f t="shared" si="540"/>
        <v/>
      </c>
      <c r="JA155" s="213" t="str">
        <f t="shared" si="411"/>
        <v/>
      </c>
      <c r="JB155" s="211" t="str">
        <f t="shared" si="541"/>
        <v/>
      </c>
    </row>
    <row r="156" spans="1:262" s="211" customFormat="1" ht="21" customHeight="1">
      <c r="A156" s="184">
        <v>149</v>
      </c>
      <c r="B156" s="185" t="str">
        <f>IF('Marks Entry'!B156="","",'Marks Entry'!B156)</f>
        <v/>
      </c>
      <c r="C156" s="186" t="str">
        <f>IF('Marks Entry'!D156="","",'Marks Entry'!D156)</f>
        <v/>
      </c>
      <c r="D156" s="187" t="str">
        <f>IF('Marks Entry'!E156="","",'Marks Entry'!E156)</f>
        <v/>
      </c>
      <c r="E156" s="188" t="str">
        <f>IF('Marks Entry'!F156="","",'Marks Entry'!F156)</f>
        <v/>
      </c>
      <c r="F156" s="188" t="str">
        <f>IF('Marks Entry'!G156="","",'Marks Entry'!G156)</f>
        <v/>
      </c>
      <c r="G156" s="188" t="str">
        <f>IF('Marks Entry'!H156="","",'Marks Entry'!H156)</f>
        <v/>
      </c>
      <c r="H156" s="189" t="str">
        <f>IF('Marks Entry'!I156="","",'Marks Entry'!I156)</f>
        <v/>
      </c>
      <c r="I156" s="190" t="str">
        <f>IF('Marks Entry'!J156="","",'Marks Entry'!J156)</f>
        <v/>
      </c>
      <c r="J156" s="545" t="str">
        <f>IF('Marks Entry'!K156="","",'Marks Entry'!K156)</f>
        <v/>
      </c>
      <c r="K156" s="545" t="str">
        <f>IF('Marks Entry'!L156="","",'Marks Entry'!L156)</f>
        <v/>
      </c>
      <c r="L156" s="545" t="str">
        <f>IF('Marks Entry'!M156="","",'Marks Entry'!M156)</f>
        <v/>
      </c>
      <c r="M156" s="546" t="str">
        <f t="shared" si="412"/>
        <v/>
      </c>
      <c r="N156" s="545" t="str">
        <f>IF('Marks Entry'!N156="","",'Marks Entry'!N156)</f>
        <v/>
      </c>
      <c r="O156" s="546" t="str">
        <f t="shared" si="413"/>
        <v/>
      </c>
      <c r="P156" s="545" t="str">
        <f>IF('Marks Entry'!O156="","",'Marks Entry'!O156)</f>
        <v/>
      </c>
      <c r="Q156" s="547" t="str">
        <f t="shared" si="414"/>
        <v/>
      </c>
      <c r="R156" s="153">
        <f t="shared" si="415"/>
        <v>0</v>
      </c>
      <c r="S156" s="153">
        <f t="shared" si="416"/>
        <v>0</v>
      </c>
      <c r="T156" s="154" t="str">
        <f t="shared" si="417"/>
        <v/>
      </c>
      <c r="U156" s="153" t="str">
        <f t="shared" si="418"/>
        <v/>
      </c>
      <c r="V156" s="153" t="str">
        <f t="shared" si="419"/>
        <v/>
      </c>
      <c r="W156" s="153" t="str">
        <f t="shared" si="420"/>
        <v/>
      </c>
      <c r="X156" s="545" t="str">
        <f>IF('Marks Entry'!P156="","",'Marks Entry'!P156)</f>
        <v/>
      </c>
      <c r="Y156" s="545" t="str">
        <f>IF('Marks Entry'!Q156="","",'Marks Entry'!Q156)</f>
        <v/>
      </c>
      <c r="Z156" s="545" t="str">
        <f>IF('Marks Entry'!R156="","",'Marks Entry'!R156)</f>
        <v/>
      </c>
      <c r="AA156" s="546" t="str">
        <f t="shared" si="421"/>
        <v/>
      </c>
      <c r="AB156" s="545" t="str">
        <f>IF('Marks Entry'!S156="","",'Marks Entry'!S156)</f>
        <v/>
      </c>
      <c r="AC156" s="546" t="str">
        <f t="shared" si="422"/>
        <v/>
      </c>
      <c r="AD156" s="545" t="str">
        <f>IF('Marks Entry'!T156="","",'Marks Entry'!T156)</f>
        <v/>
      </c>
      <c r="AE156" s="547" t="str">
        <f t="shared" si="423"/>
        <v/>
      </c>
      <c r="AF156" s="153">
        <f t="shared" si="424"/>
        <v>0</v>
      </c>
      <c r="AG156" s="153">
        <f t="shared" si="425"/>
        <v>0</v>
      </c>
      <c r="AH156" s="154" t="str">
        <f t="shared" si="426"/>
        <v/>
      </c>
      <c r="AI156" s="153" t="str">
        <f t="shared" si="427"/>
        <v/>
      </c>
      <c r="AJ156" s="153" t="str">
        <f t="shared" si="428"/>
        <v/>
      </c>
      <c r="AK156" s="153" t="str">
        <f t="shared" si="429"/>
        <v/>
      </c>
      <c r="AL156" s="573" t="str">
        <f>IF('Marks Entry'!U156="","",'Marks Entry'!U156)</f>
        <v/>
      </c>
      <c r="AM156" s="573" t="str">
        <f>IF('Marks Entry'!V156="","",'Marks Entry'!V156)</f>
        <v/>
      </c>
      <c r="AN156" s="573" t="str">
        <f>IF('Marks Entry'!W156="","",'Marks Entry'!W156)</f>
        <v/>
      </c>
      <c r="AO156" s="573" t="str">
        <f>IF('Marks Entry'!X156="","",'Marks Entry'!X156)</f>
        <v/>
      </c>
      <c r="AP156" s="572" t="str">
        <f t="shared" si="430"/>
        <v/>
      </c>
      <c r="AQ156" s="573" t="str">
        <f>IF('Marks Entry'!Y156="","",'Marks Entry'!Y156)</f>
        <v/>
      </c>
      <c r="AR156" s="573" t="str">
        <f>IF('Marks Entry'!Z156="","",'Marks Entry'!Z156)</f>
        <v/>
      </c>
      <c r="AS156" s="572" t="str">
        <f t="shared" si="431"/>
        <v/>
      </c>
      <c r="AT156" s="572" t="str">
        <f t="shared" si="432"/>
        <v/>
      </c>
      <c r="AU156" s="573" t="str">
        <f>IF('Marks Entry'!AA156="","",'Marks Entry'!AA156)</f>
        <v/>
      </c>
      <c r="AV156" s="573" t="str">
        <f>IF('Marks Entry'!AB156="","",'Marks Entry'!AB156)</f>
        <v/>
      </c>
      <c r="AW156" s="572" t="str">
        <f t="shared" si="433"/>
        <v/>
      </c>
      <c r="AX156" s="157" t="str">
        <f t="shared" si="434"/>
        <v/>
      </c>
      <c r="AY156" s="157" t="str">
        <f t="shared" si="435"/>
        <v/>
      </c>
      <c r="AZ156" s="192" t="str">
        <f t="shared" si="436"/>
        <v/>
      </c>
      <c r="BA156" s="153">
        <f t="shared" si="437"/>
        <v>0</v>
      </c>
      <c r="BB156" s="154">
        <f t="shared" si="438"/>
        <v>0</v>
      </c>
      <c r="BC156" s="154" t="str">
        <f t="shared" si="439"/>
        <v/>
      </c>
      <c r="BD156" s="154" t="str">
        <f t="shared" si="440"/>
        <v/>
      </c>
      <c r="BE156" s="154" t="str">
        <f t="shared" si="441"/>
        <v/>
      </c>
      <c r="BF156" s="153" t="str">
        <f t="shared" si="442"/>
        <v/>
      </c>
      <c r="BG156" s="154" t="str">
        <f t="shared" si="443"/>
        <v/>
      </c>
      <c r="BH156" s="153" t="str">
        <f t="shared" si="444"/>
        <v/>
      </c>
      <c r="BI156" s="580" t="str">
        <f>IF('Marks Entry'!AC156="","",'Marks Entry'!AC156)</f>
        <v/>
      </c>
      <c r="BJ156" s="580" t="str">
        <f>IF('Marks Entry'!AD156="","",'Marks Entry'!AD156)</f>
        <v/>
      </c>
      <c r="BK156" s="580" t="str">
        <f>IF('Marks Entry'!AE156="","",'Marks Entry'!AE156)</f>
        <v/>
      </c>
      <c r="BL156" s="580" t="str">
        <f>IF('Marks Entry'!AF156="","",'Marks Entry'!AF156)</f>
        <v/>
      </c>
      <c r="BM156" s="581" t="str">
        <f t="shared" si="445"/>
        <v/>
      </c>
      <c r="BN156" s="580" t="str">
        <f>IF('Marks Entry'!AG156="","",'Marks Entry'!AG156)</f>
        <v/>
      </c>
      <c r="BO156" s="580" t="str">
        <f>IF('Marks Entry'!AH156="","",'Marks Entry'!AH156)</f>
        <v/>
      </c>
      <c r="BP156" s="581" t="str">
        <f t="shared" si="446"/>
        <v/>
      </c>
      <c r="BQ156" s="581" t="str">
        <f t="shared" si="447"/>
        <v/>
      </c>
      <c r="BR156" s="580" t="str">
        <f>IF('Marks Entry'!AI156="","",'Marks Entry'!AI156)</f>
        <v/>
      </c>
      <c r="BS156" s="580" t="str">
        <f>IF('Marks Entry'!AJ156="","",'Marks Entry'!AJ156)</f>
        <v/>
      </c>
      <c r="BT156" s="581" t="str">
        <f t="shared" si="448"/>
        <v/>
      </c>
      <c r="BU156" s="157" t="str">
        <f t="shared" si="449"/>
        <v/>
      </c>
      <c r="BV156" s="157" t="str">
        <f t="shared" si="450"/>
        <v/>
      </c>
      <c r="BW156" s="192" t="str">
        <f t="shared" si="451"/>
        <v/>
      </c>
      <c r="BX156" s="153">
        <f t="shared" si="452"/>
        <v>0</v>
      </c>
      <c r="BY156" s="154">
        <f t="shared" si="453"/>
        <v>0</v>
      </c>
      <c r="BZ156" s="154" t="str">
        <f t="shared" si="454"/>
        <v/>
      </c>
      <c r="CA156" s="154" t="str">
        <f t="shared" si="455"/>
        <v/>
      </c>
      <c r="CB156" s="154" t="str">
        <f t="shared" si="456"/>
        <v/>
      </c>
      <c r="CC156" s="153" t="str">
        <f t="shared" si="457"/>
        <v/>
      </c>
      <c r="CD156" s="154" t="str">
        <f t="shared" si="458"/>
        <v/>
      </c>
      <c r="CE156" s="153" t="str">
        <f t="shared" si="459"/>
        <v/>
      </c>
      <c r="CF156" s="580" t="str">
        <f>IF('Marks Entry'!AK156="","",'Marks Entry'!AK156)</f>
        <v/>
      </c>
      <c r="CG156" s="580" t="str">
        <f>IF('Marks Entry'!AL156="","",'Marks Entry'!AL156)</f>
        <v/>
      </c>
      <c r="CH156" s="580" t="str">
        <f>IF('Marks Entry'!AM156="","",'Marks Entry'!AM156)</f>
        <v/>
      </c>
      <c r="CI156" s="580" t="str">
        <f>IF('Marks Entry'!AN156="","",'Marks Entry'!AN156)</f>
        <v/>
      </c>
      <c r="CJ156" s="581" t="str">
        <f t="shared" si="460"/>
        <v/>
      </c>
      <c r="CK156" s="580" t="str">
        <f>IF('Marks Entry'!AO156="","",'Marks Entry'!AO156)</f>
        <v/>
      </c>
      <c r="CL156" s="580" t="str">
        <f>IF('Marks Entry'!AP156="","",'Marks Entry'!AP156)</f>
        <v/>
      </c>
      <c r="CM156" s="581" t="str">
        <f t="shared" si="461"/>
        <v/>
      </c>
      <c r="CN156" s="581" t="str">
        <f t="shared" si="462"/>
        <v/>
      </c>
      <c r="CO156" s="580" t="str">
        <f>IF('Marks Entry'!AQ156="","",'Marks Entry'!AQ156)</f>
        <v/>
      </c>
      <c r="CP156" s="580" t="str">
        <f>IF('Marks Entry'!AR156="","",'Marks Entry'!AR156)</f>
        <v/>
      </c>
      <c r="CQ156" s="581" t="str">
        <f t="shared" si="463"/>
        <v/>
      </c>
      <c r="CR156" s="157" t="str">
        <f t="shared" si="464"/>
        <v/>
      </c>
      <c r="CS156" s="157" t="str">
        <f t="shared" si="465"/>
        <v/>
      </c>
      <c r="CT156" s="192" t="str">
        <f t="shared" si="466"/>
        <v/>
      </c>
      <c r="CU156" s="153">
        <f t="shared" si="467"/>
        <v>0</v>
      </c>
      <c r="CV156" s="154">
        <f t="shared" si="468"/>
        <v>0</v>
      </c>
      <c r="CW156" s="154" t="str">
        <f t="shared" si="469"/>
        <v/>
      </c>
      <c r="CX156" s="154" t="str">
        <f t="shared" si="470"/>
        <v/>
      </c>
      <c r="CY156" s="154" t="str">
        <f t="shared" si="471"/>
        <v/>
      </c>
      <c r="CZ156" s="153" t="str">
        <f t="shared" si="472"/>
        <v/>
      </c>
      <c r="DA156" s="154" t="str">
        <f t="shared" si="473"/>
        <v/>
      </c>
      <c r="DB156" s="153" t="str">
        <f t="shared" si="474"/>
        <v/>
      </c>
      <c r="DC156" s="154">
        <f t="shared" si="475"/>
        <v>0</v>
      </c>
      <c r="DD156" s="826" t="str">
        <f>IF('Marks Entry'!AS156="","",IF(OR('Master Sheet'!$D$19="YES",'Marks Entry'!$BA$1=1),'Marks Entry'!AS156,""))</f>
        <v/>
      </c>
      <c r="DE156" s="826" t="str">
        <f>IF('Marks Entry'!AT156="","",IF(OR('Master Sheet'!$D$19="YES",'Marks Entry'!$BA$1=1),'Marks Entry'!AT156,""))</f>
        <v/>
      </c>
      <c r="DF156" s="826" t="str">
        <f>IF('Marks Entry'!AU156="","",IF(OR('Master Sheet'!$D$19="YES",'Marks Entry'!$BA$1=1),'Marks Entry'!AU156,""))</f>
        <v/>
      </c>
      <c r="DG156" s="826" t="str">
        <f>IF('Marks Entry'!AV156="","",IF(OR('Master Sheet'!$D$19="YES",'Marks Entry'!$BA$1=1),'Marks Entry'!AV156,""))</f>
        <v/>
      </c>
      <c r="DH156" s="827" t="str">
        <f t="shared" si="476"/>
        <v/>
      </c>
      <c r="DI156" s="826" t="str">
        <f>IF('Marks Entry'!AW156="","",IF(OR('Master Sheet'!$D$19="YES",'Marks Entry'!$BA$1=1),'Marks Entry'!AW156,""))</f>
        <v/>
      </c>
      <c r="DJ156" s="826" t="str">
        <f>IF('Marks Entry'!AX156="","",IF(OR('Master Sheet'!$D$19="YES",'Marks Entry'!$BA$1=1),'Marks Entry'!AX156,""))</f>
        <v/>
      </c>
      <c r="DK156" s="827" t="str">
        <f t="shared" si="477"/>
        <v/>
      </c>
      <c r="DL156" s="827" t="str">
        <f t="shared" si="478"/>
        <v/>
      </c>
      <c r="DM156" s="826" t="str">
        <f>IF('Marks Entry'!AY156="","",IF(OR('Master Sheet'!$D$19="YES",'Marks Entry'!$BA$1=1),'Marks Entry'!AY156,""))</f>
        <v/>
      </c>
      <c r="DN156" s="826" t="str">
        <f>IF('Marks Entry'!AZ156="","",IF(OR('Master Sheet'!$D$19="YES",'Marks Entry'!$BA$1=1),'Marks Entry'!AZ156,""))</f>
        <v/>
      </c>
      <c r="DO156" s="826" t="str">
        <f>IF('Marks Entry'!BA156="","",IF(OR('Master Sheet'!$D$19="YES",'Marks Entry'!$BA$1=1),'Marks Entry'!BA156,""))</f>
        <v/>
      </c>
      <c r="DP156" s="827" t="str">
        <f t="shared" si="479"/>
        <v/>
      </c>
      <c r="DQ156" s="157" t="str">
        <f t="shared" si="480"/>
        <v/>
      </c>
      <c r="DR156" s="157" t="str">
        <f t="shared" si="481"/>
        <v/>
      </c>
      <c r="DS156" s="157" t="str">
        <f t="shared" si="482"/>
        <v/>
      </c>
      <c r="DT156" s="192" t="str">
        <f t="shared" si="483"/>
        <v/>
      </c>
      <c r="DU156" s="153">
        <f t="shared" si="484"/>
        <v>0</v>
      </c>
      <c r="DV156" s="154" t="e">
        <f t="shared" si="485"/>
        <v>#VALUE!</v>
      </c>
      <c r="DW156" s="154" t="str">
        <f t="shared" si="486"/>
        <v/>
      </c>
      <c r="DX156" s="154" t="str">
        <f>IF(OR($B156="NSO",$B156=0,DS156=""),"",IF(AND(DJ156="",DO156=""),"",IF('Master Sheet'!$D$19="YES",$DO$6-COUNTIF(DO156,"ML")*DO$6,DS$6-(COUNTIF(DJ156,"ML")*DJ$6)-(COUNTIF(DO156,"ML")*DO$6))))</f>
        <v/>
      </c>
      <c r="DY156" s="154" t="str">
        <f>IF(OR($B156="NSO",$B156=0),"",IF(AND(DH156="",DI156="",DM156=""),"",IF(AND('Master Sheet'!$D$19="YES",'Marks Entry'!$BA$1=1),100,IF(AND(DJ156="",DO156=""),SUM(($DQ$7+$DR$7)-(DU156+DV156)),SUM(($DQ$6+$DR$6)-(DU156+DV156))))))</f>
        <v/>
      </c>
      <c r="DZ156" s="153" t="str">
        <f t="shared" si="487"/>
        <v/>
      </c>
      <c r="EA156" s="154" t="str">
        <f t="shared" si="488"/>
        <v/>
      </c>
      <c r="EB156" s="153" t="str">
        <f t="shared" si="489"/>
        <v/>
      </c>
      <c r="EC156" s="584" t="str">
        <f>IF('Marks Entry'!BB156="","",'Marks Entry'!BB156)</f>
        <v/>
      </c>
      <c r="ED156" s="584" t="str">
        <f>IF('Marks Entry'!BC156="","",'Marks Entry'!BC156)</f>
        <v/>
      </c>
      <c r="EE156" s="584" t="str">
        <f>IF('Marks Entry'!BD156="","",'Marks Entry'!BD156)</f>
        <v/>
      </c>
      <c r="EF156" s="590" t="str">
        <f t="shared" si="490"/>
        <v/>
      </c>
      <c r="EG156" s="595">
        <f t="shared" si="491"/>
        <v>0</v>
      </c>
      <c r="EH156" s="595">
        <f t="shared" si="492"/>
        <v>0</v>
      </c>
      <c r="EI156" s="193" t="str">
        <f t="shared" si="493"/>
        <v/>
      </c>
      <c r="EJ156" s="595" t="str">
        <f t="shared" si="494"/>
        <v/>
      </c>
      <c r="EK156" s="595" t="str">
        <f t="shared" si="495"/>
        <v/>
      </c>
      <c r="EL156" s="194" t="str">
        <f t="shared" si="496"/>
        <v/>
      </c>
      <c r="EM156" s="194" t="str">
        <f t="shared" si="497"/>
        <v/>
      </c>
      <c r="EN156" s="194" t="str">
        <f t="shared" si="498"/>
        <v/>
      </c>
      <c r="EO156" s="194" t="str">
        <f t="shared" si="499"/>
        <v/>
      </c>
      <c r="EP156" s="194" t="str">
        <f t="shared" si="500"/>
        <v/>
      </c>
      <c r="EQ156" s="194" t="str">
        <f t="shared" si="501"/>
        <v/>
      </c>
      <c r="ER156" s="195">
        <f t="shared" si="502"/>
        <v>0</v>
      </c>
      <c r="ES156" s="195">
        <f t="shared" si="503"/>
        <v>0</v>
      </c>
      <c r="ET156" s="195">
        <f t="shared" si="504"/>
        <v>0</v>
      </c>
      <c r="EU156" s="195">
        <f t="shared" si="505"/>
        <v>0</v>
      </c>
      <c r="EV156" s="195">
        <f t="shared" si="506"/>
        <v>0</v>
      </c>
      <c r="EW156" s="195" t="str">
        <f t="shared" si="507"/>
        <v/>
      </c>
      <c r="EX156" s="196" t="str">
        <f t="shared" si="508"/>
        <v/>
      </c>
      <c r="EY156" s="197" t="str">
        <f>IF('Marks Entry'!BE156="","",'Marks Entry'!BE156)</f>
        <v/>
      </c>
      <c r="EZ156" s="197" t="str">
        <f>IF('Marks Entry'!BF156="","",'Marks Entry'!BF156)</f>
        <v/>
      </c>
      <c r="FA156" s="197" t="str">
        <f>IF('Marks Entry'!BG156="","",'Marks Entry'!BG156)</f>
        <v/>
      </c>
      <c r="FB156" s="596" t="str">
        <f t="shared" si="509"/>
        <v/>
      </c>
      <c r="FC156" s="197" t="str">
        <f>IF('Marks Entry'!BH156="","",'Marks Entry'!BH156)</f>
        <v/>
      </c>
      <c r="FD156" s="197" t="str">
        <f>IF('Marks Entry'!BI156="","",'Marks Entry'!BI156)</f>
        <v/>
      </c>
      <c r="FE156" s="198" t="str">
        <f t="shared" si="510"/>
        <v/>
      </c>
      <c r="FF156" s="199" t="str">
        <f t="shared" si="511"/>
        <v/>
      </c>
      <c r="FG156" s="200" t="str">
        <f>IF(AND(E156=""),"",IF('Student DATA Entry'!L152="","",'Student DATA Entry'!L152))</f>
        <v/>
      </c>
      <c r="FH156" s="201" t="str">
        <f>IF(AND(E156=""),"",IF('Student DATA Entry'!M152="","",'Student DATA Entry'!M152))</f>
        <v/>
      </c>
      <c r="FI156" s="202" t="str">
        <f t="shared" si="512"/>
        <v/>
      </c>
      <c r="FJ156" s="189" t="str">
        <f t="shared" si="513"/>
        <v/>
      </c>
      <c r="FK156" s="189" t="str">
        <f t="shared" si="514"/>
        <v/>
      </c>
      <c r="FL156" s="203" t="str">
        <f t="shared" si="383"/>
        <v/>
      </c>
      <c r="FM156" s="189" t="str">
        <f t="shared" si="515"/>
        <v/>
      </c>
      <c r="FN156" s="204" t="str">
        <f t="shared" si="516"/>
        <v/>
      </c>
      <c r="FO156" s="203" t="str">
        <f t="shared" si="384"/>
        <v/>
      </c>
      <c r="FP156" s="205" t="str">
        <f t="shared" si="517"/>
        <v/>
      </c>
      <c r="FQ156" s="189" t="str">
        <f t="shared" si="385"/>
        <v/>
      </c>
      <c r="FR156" s="189" t="str">
        <f t="shared" si="386"/>
        <v/>
      </c>
      <c r="FS156" s="189" t="str">
        <f t="shared" si="387"/>
        <v/>
      </c>
      <c r="FT156" s="189" t="str">
        <f t="shared" si="388"/>
        <v/>
      </c>
      <c r="FU156" s="189" t="str">
        <f t="shared" si="518"/>
        <v/>
      </c>
      <c r="FV156" s="206" t="str">
        <f t="shared" si="389"/>
        <v/>
      </c>
      <c r="FW156" s="205" t="str">
        <f t="shared" si="519"/>
        <v/>
      </c>
      <c r="FX156" s="189" t="str">
        <f t="shared" si="390"/>
        <v/>
      </c>
      <c r="FY156" s="189" t="str">
        <f t="shared" si="391"/>
        <v/>
      </c>
      <c r="FZ156" s="189" t="str">
        <f t="shared" si="392"/>
        <v/>
      </c>
      <c r="GA156" s="189" t="str">
        <f t="shared" si="393"/>
        <v/>
      </c>
      <c r="GB156" s="189" t="str">
        <f t="shared" si="520"/>
        <v/>
      </c>
      <c r="GC156" s="206" t="str">
        <f t="shared" si="394"/>
        <v/>
      </c>
      <c r="GD156" s="205" t="str">
        <f t="shared" si="521"/>
        <v/>
      </c>
      <c r="GE156" s="189" t="str">
        <f t="shared" si="395"/>
        <v/>
      </c>
      <c r="GF156" s="189" t="str">
        <f t="shared" si="396"/>
        <v/>
      </c>
      <c r="GG156" s="189" t="str">
        <f t="shared" si="397"/>
        <v/>
      </c>
      <c r="GH156" s="189" t="str">
        <f t="shared" si="398"/>
        <v/>
      </c>
      <c r="GI156" s="189" t="str">
        <f t="shared" si="522"/>
        <v/>
      </c>
      <c r="GJ156" s="206" t="str">
        <f t="shared" si="399"/>
        <v/>
      </c>
      <c r="GK156" s="205" t="str">
        <f t="shared" si="523"/>
        <v/>
      </c>
      <c r="GL156" s="189" t="str">
        <f t="shared" si="400"/>
        <v/>
      </c>
      <c r="GM156" s="189" t="str">
        <f t="shared" si="401"/>
        <v/>
      </c>
      <c r="GN156" s="189" t="str">
        <f t="shared" si="402"/>
        <v/>
      </c>
      <c r="GO156" s="189" t="str">
        <f t="shared" si="403"/>
        <v/>
      </c>
      <c r="GP156" s="189" t="str">
        <f t="shared" si="524"/>
        <v/>
      </c>
      <c r="GQ156" s="206" t="str">
        <f t="shared" si="404"/>
        <v/>
      </c>
      <c r="GR156" s="189" t="str">
        <f t="shared" si="525"/>
        <v/>
      </c>
      <c r="GS156" s="189" t="str">
        <f t="shared" si="526"/>
        <v/>
      </c>
      <c r="GT156" s="207" t="str">
        <f t="shared" si="527"/>
        <v xml:space="preserve">    </v>
      </c>
      <c r="GU156" s="207" t="str">
        <f t="shared" si="528"/>
        <v xml:space="preserve">    </v>
      </c>
      <c r="GV156" s="207" t="str">
        <f t="shared" si="529"/>
        <v xml:space="preserve">    </v>
      </c>
      <c r="GW156" s="207" t="str">
        <f t="shared" si="530"/>
        <v xml:space="preserve">       </v>
      </c>
      <c r="GX156" s="598" t="str">
        <f t="shared" si="531"/>
        <v xml:space="preserve">     </v>
      </c>
      <c r="GY156" s="208" t="str">
        <f t="shared" si="405"/>
        <v/>
      </c>
      <c r="GZ156" s="606" t="str">
        <f>IF(AND(Q156="",AE156="",AZ156="",BW156="",CT156=""),"",IF(AND('Master Sheet'!$D$19="YES",'Marks Entry'!$BA$1=1),SUM(Q156,AE156,AZ156,BW156,DT156),SUM(Q156,AE156,AZ156,BW156,CT156)))</f>
        <v/>
      </c>
      <c r="HA156" s="209" t="str">
        <f>IF(GZ156="","",IF(AND('Master Sheet'!$D$19="YES",'Marks Entry'!$BA$1=1),GZ156/((900)-DC156)*100,GZ156/((1000)-DC156)*100))</f>
        <v/>
      </c>
      <c r="HB156" s="611" t="str">
        <f t="shared" si="532"/>
        <v/>
      </c>
      <c r="HC156" s="609" t="str">
        <f t="shared" si="533"/>
        <v/>
      </c>
      <c r="HD156" s="610" t="str">
        <f t="shared" si="534"/>
        <v/>
      </c>
      <c r="HE156" s="210" t="str">
        <f>IFERROR(IF(OR(GY156="SUPPLEMENTARY",GY156="RE-EXAM"),'Supp. Result Entry'!AS155,""),"")</f>
        <v/>
      </c>
      <c r="HF156" s="613" t="str">
        <f t="shared" si="535"/>
        <v/>
      </c>
      <c r="HG156" s="598" t="str">
        <f t="shared" si="536"/>
        <v/>
      </c>
      <c r="HH156" s="598" t="str">
        <f>IF(AND(HE156="",HF156="",HG156=""),"",IF(OR(GY156="SUPPLEMENTARY",GY156="RE-EXAM"),'Supp. Result Entry'!AS155,GY156))</f>
        <v/>
      </c>
      <c r="HI156" s="180"/>
      <c r="HY156" s="212" t="str">
        <f>IF('Supp. Result Entry'!U155="","",'Supp. Result Entry'!$U$6)</f>
        <v/>
      </c>
      <c r="HZ156" s="213" t="str">
        <f>IF('Supp. Result Entry'!X155="","",'Supp. Result Entry'!$X$6)</f>
        <v/>
      </c>
      <c r="IA156" s="213" t="str">
        <f>IF('Supp. Result Entry'!AA155="","",'Supp. Result Entry'!$AA$6)</f>
        <v/>
      </c>
      <c r="IB156" s="213" t="str">
        <f>IF('Supp. Result Entry'!AD155="","",'Supp. Result Entry'!$AD$6)</f>
        <v/>
      </c>
      <c r="IC156" s="213" t="str">
        <f>IF('Supp. Result Entry'!AG155="","",'Supp. Result Entry'!$AG$6)</f>
        <v/>
      </c>
      <c r="ID156" s="213" t="str">
        <f>IF('Supp. Result Entry'!AJ155="","",'Supp. Result Entry'!$AJ$6)</f>
        <v/>
      </c>
      <c r="IE156" s="213" t="str">
        <f>IF('Supp. Result Entry'!V155="","",'Supp. Result Entry'!V155)</f>
        <v/>
      </c>
      <c r="IF156" s="213" t="str">
        <f>IF('Supp. Result Entry'!Y155="","",'Supp. Result Entry'!Y155)</f>
        <v/>
      </c>
      <c r="IG156" s="213" t="str">
        <f>IF('Supp. Result Entry'!AB155="","",'Supp. Result Entry'!AB155)</f>
        <v/>
      </c>
      <c r="IH156" s="213" t="str">
        <f>IF('Supp. Result Entry'!AE155="","",'Supp. Result Entry'!AE155)</f>
        <v/>
      </c>
      <c r="II156" s="213" t="str">
        <f>IF('Supp. Result Entry'!AH155="","",'Supp. Result Entry'!AH155)</f>
        <v/>
      </c>
      <c r="IJ156" s="213" t="str">
        <f>IF('Supp. Result Entry'!AK155="","",'Supp. Result Entry'!AK155)</f>
        <v/>
      </c>
      <c r="IK156" s="213" t="str">
        <f>IF('Supp. Result Entry'!W155="","",'Supp. Result Entry'!W155)</f>
        <v/>
      </c>
      <c r="IL156" s="213" t="str">
        <f>IF('Supp. Result Entry'!Z155="","",'Supp. Result Entry'!Z155)</f>
        <v/>
      </c>
      <c r="IM156" s="213" t="str">
        <f>IF('Supp. Result Entry'!AC155="","",'Supp. Result Entry'!AC155)</f>
        <v/>
      </c>
      <c r="IN156" s="213" t="str">
        <f>IF('Supp. Result Entry'!AF155="","",'Supp. Result Entry'!AF155)</f>
        <v/>
      </c>
      <c r="IO156" s="213" t="str">
        <f>IF('Supp. Result Entry'!AI155="","",'Supp. Result Entry'!AI155)</f>
        <v/>
      </c>
      <c r="IP156" s="213" t="str">
        <f>IF('Supp. Result Entry'!AL155="","",'Supp. Result Entry'!AL155)</f>
        <v/>
      </c>
      <c r="IQ156" s="213">
        <f>COUNTIF('Supp. Result Entry'!K155:Q155,"S")</f>
        <v>0</v>
      </c>
      <c r="IR156" s="213">
        <f t="shared" si="537"/>
        <v>0</v>
      </c>
      <c r="IS156" s="213">
        <f t="shared" si="538"/>
        <v>0</v>
      </c>
      <c r="IT156" s="213" t="str">
        <f t="shared" si="406"/>
        <v/>
      </c>
      <c r="IU156" s="213" t="str">
        <f t="shared" si="407"/>
        <v/>
      </c>
      <c r="IV156" s="213" t="str">
        <f t="shared" si="408"/>
        <v/>
      </c>
      <c r="IW156" s="213" t="str">
        <f t="shared" si="409"/>
        <v/>
      </c>
      <c r="IX156" s="213" t="str">
        <f t="shared" si="410"/>
        <v/>
      </c>
      <c r="IY156" s="213" t="str">
        <f t="shared" si="539"/>
        <v/>
      </c>
      <c r="IZ156" s="213" t="str">
        <f t="shared" si="540"/>
        <v/>
      </c>
      <c r="JA156" s="213" t="str">
        <f t="shared" si="411"/>
        <v/>
      </c>
      <c r="JB156" s="211" t="str">
        <f t="shared" si="541"/>
        <v/>
      </c>
    </row>
    <row r="157" spans="1:262" s="211" customFormat="1" ht="21" customHeight="1">
      <c r="A157" s="184">
        <v>150</v>
      </c>
      <c r="B157" s="185" t="str">
        <f>IF('Marks Entry'!B157="","",'Marks Entry'!B157)</f>
        <v/>
      </c>
      <c r="C157" s="186" t="str">
        <f>IF('Marks Entry'!D157="","",'Marks Entry'!D157)</f>
        <v/>
      </c>
      <c r="D157" s="187" t="str">
        <f>IF('Marks Entry'!E157="","",'Marks Entry'!E157)</f>
        <v/>
      </c>
      <c r="E157" s="188" t="str">
        <f>IF('Marks Entry'!F157="","",'Marks Entry'!F157)</f>
        <v/>
      </c>
      <c r="F157" s="188" t="str">
        <f>IF('Marks Entry'!G157="","",'Marks Entry'!G157)</f>
        <v/>
      </c>
      <c r="G157" s="188" t="str">
        <f>IF('Marks Entry'!H157="","",'Marks Entry'!H157)</f>
        <v/>
      </c>
      <c r="H157" s="189" t="str">
        <f>IF('Marks Entry'!I157="","",'Marks Entry'!I157)</f>
        <v/>
      </c>
      <c r="I157" s="190" t="str">
        <f>IF('Marks Entry'!J157="","",'Marks Entry'!J157)</f>
        <v/>
      </c>
      <c r="J157" s="545" t="str">
        <f>IF('Marks Entry'!K157="","",'Marks Entry'!K157)</f>
        <v/>
      </c>
      <c r="K157" s="545" t="str">
        <f>IF('Marks Entry'!L157="","",'Marks Entry'!L157)</f>
        <v/>
      </c>
      <c r="L157" s="545" t="str">
        <f>IF('Marks Entry'!M157="","",'Marks Entry'!M157)</f>
        <v/>
      </c>
      <c r="M157" s="546" t="str">
        <f t="shared" si="412"/>
        <v/>
      </c>
      <c r="N157" s="545" t="str">
        <f>IF('Marks Entry'!N157="","",'Marks Entry'!N157)</f>
        <v/>
      </c>
      <c r="O157" s="546" t="str">
        <f t="shared" si="413"/>
        <v/>
      </c>
      <c r="P157" s="545" t="str">
        <f>IF('Marks Entry'!O157="","",'Marks Entry'!O157)</f>
        <v/>
      </c>
      <c r="Q157" s="547" t="str">
        <f t="shared" si="414"/>
        <v/>
      </c>
      <c r="R157" s="153">
        <f t="shared" si="415"/>
        <v>0</v>
      </c>
      <c r="S157" s="153">
        <f t="shared" si="416"/>
        <v>0</v>
      </c>
      <c r="T157" s="154" t="str">
        <f t="shared" si="417"/>
        <v/>
      </c>
      <c r="U157" s="153" t="str">
        <f t="shared" si="418"/>
        <v/>
      </c>
      <c r="V157" s="153" t="str">
        <f t="shared" si="419"/>
        <v/>
      </c>
      <c r="W157" s="153" t="str">
        <f t="shared" si="420"/>
        <v/>
      </c>
      <c r="X157" s="545" t="str">
        <f>IF('Marks Entry'!P157="","",'Marks Entry'!P157)</f>
        <v/>
      </c>
      <c r="Y157" s="545" t="str">
        <f>IF('Marks Entry'!Q157="","",'Marks Entry'!Q157)</f>
        <v/>
      </c>
      <c r="Z157" s="545" t="str">
        <f>IF('Marks Entry'!R157="","",'Marks Entry'!R157)</f>
        <v/>
      </c>
      <c r="AA157" s="546" t="str">
        <f t="shared" si="421"/>
        <v/>
      </c>
      <c r="AB157" s="545" t="str">
        <f>IF('Marks Entry'!S157="","",'Marks Entry'!S157)</f>
        <v/>
      </c>
      <c r="AC157" s="546" t="str">
        <f t="shared" si="422"/>
        <v/>
      </c>
      <c r="AD157" s="545" t="str">
        <f>IF('Marks Entry'!T157="","",'Marks Entry'!T157)</f>
        <v/>
      </c>
      <c r="AE157" s="547" t="str">
        <f t="shared" si="423"/>
        <v/>
      </c>
      <c r="AF157" s="153">
        <f t="shared" si="424"/>
        <v>0</v>
      </c>
      <c r="AG157" s="153">
        <f t="shared" si="425"/>
        <v>0</v>
      </c>
      <c r="AH157" s="154" t="str">
        <f t="shared" si="426"/>
        <v/>
      </c>
      <c r="AI157" s="153" t="str">
        <f t="shared" si="427"/>
        <v/>
      </c>
      <c r="AJ157" s="153" t="str">
        <f t="shared" si="428"/>
        <v/>
      </c>
      <c r="AK157" s="153" t="str">
        <f t="shared" si="429"/>
        <v/>
      </c>
      <c r="AL157" s="573" t="str">
        <f>IF('Marks Entry'!U157="","",'Marks Entry'!U157)</f>
        <v/>
      </c>
      <c r="AM157" s="573" t="str">
        <f>IF('Marks Entry'!V157="","",'Marks Entry'!V157)</f>
        <v/>
      </c>
      <c r="AN157" s="573" t="str">
        <f>IF('Marks Entry'!W157="","",'Marks Entry'!W157)</f>
        <v/>
      </c>
      <c r="AO157" s="573" t="str">
        <f>IF('Marks Entry'!X157="","",'Marks Entry'!X157)</f>
        <v/>
      </c>
      <c r="AP157" s="572" t="str">
        <f t="shared" si="430"/>
        <v/>
      </c>
      <c r="AQ157" s="573" t="str">
        <f>IF('Marks Entry'!Y157="","",'Marks Entry'!Y157)</f>
        <v/>
      </c>
      <c r="AR157" s="573" t="str">
        <f>IF('Marks Entry'!Z157="","",'Marks Entry'!Z157)</f>
        <v/>
      </c>
      <c r="AS157" s="572" t="str">
        <f t="shared" si="431"/>
        <v/>
      </c>
      <c r="AT157" s="572" t="str">
        <f t="shared" si="432"/>
        <v/>
      </c>
      <c r="AU157" s="573" t="str">
        <f>IF('Marks Entry'!AA157="","",'Marks Entry'!AA157)</f>
        <v/>
      </c>
      <c r="AV157" s="573" t="str">
        <f>IF('Marks Entry'!AB157="","",'Marks Entry'!AB157)</f>
        <v/>
      </c>
      <c r="AW157" s="572" t="str">
        <f t="shared" si="433"/>
        <v/>
      </c>
      <c r="AX157" s="157" t="str">
        <f t="shared" si="434"/>
        <v/>
      </c>
      <c r="AY157" s="157" t="str">
        <f t="shared" si="435"/>
        <v/>
      </c>
      <c r="AZ157" s="192" t="str">
        <f t="shared" si="436"/>
        <v/>
      </c>
      <c r="BA157" s="153">
        <f t="shared" si="437"/>
        <v>0</v>
      </c>
      <c r="BB157" s="154">
        <f t="shared" si="438"/>
        <v>0</v>
      </c>
      <c r="BC157" s="154" t="str">
        <f t="shared" si="439"/>
        <v/>
      </c>
      <c r="BD157" s="154" t="str">
        <f t="shared" si="440"/>
        <v/>
      </c>
      <c r="BE157" s="154" t="str">
        <f t="shared" si="441"/>
        <v/>
      </c>
      <c r="BF157" s="153" t="str">
        <f t="shared" si="442"/>
        <v/>
      </c>
      <c r="BG157" s="154" t="str">
        <f t="shared" si="443"/>
        <v/>
      </c>
      <c r="BH157" s="153" t="str">
        <f t="shared" si="444"/>
        <v/>
      </c>
      <c r="BI157" s="580" t="str">
        <f>IF('Marks Entry'!AC157="","",'Marks Entry'!AC157)</f>
        <v/>
      </c>
      <c r="BJ157" s="580" t="str">
        <f>IF('Marks Entry'!AD157="","",'Marks Entry'!AD157)</f>
        <v/>
      </c>
      <c r="BK157" s="580" t="str">
        <f>IF('Marks Entry'!AE157="","",'Marks Entry'!AE157)</f>
        <v/>
      </c>
      <c r="BL157" s="580" t="str">
        <f>IF('Marks Entry'!AF157="","",'Marks Entry'!AF157)</f>
        <v/>
      </c>
      <c r="BM157" s="581" t="str">
        <f t="shared" si="445"/>
        <v/>
      </c>
      <c r="BN157" s="580" t="str">
        <f>IF('Marks Entry'!AG157="","",'Marks Entry'!AG157)</f>
        <v/>
      </c>
      <c r="BO157" s="580" t="str">
        <f>IF('Marks Entry'!AH157="","",'Marks Entry'!AH157)</f>
        <v/>
      </c>
      <c r="BP157" s="581" t="str">
        <f t="shared" si="446"/>
        <v/>
      </c>
      <c r="BQ157" s="581" t="str">
        <f t="shared" si="447"/>
        <v/>
      </c>
      <c r="BR157" s="580" t="str">
        <f>IF('Marks Entry'!AI157="","",'Marks Entry'!AI157)</f>
        <v/>
      </c>
      <c r="BS157" s="580" t="str">
        <f>IF('Marks Entry'!AJ157="","",'Marks Entry'!AJ157)</f>
        <v/>
      </c>
      <c r="BT157" s="581" t="str">
        <f t="shared" si="448"/>
        <v/>
      </c>
      <c r="BU157" s="157" t="str">
        <f t="shared" si="449"/>
        <v/>
      </c>
      <c r="BV157" s="157" t="str">
        <f t="shared" si="450"/>
        <v/>
      </c>
      <c r="BW157" s="192" t="str">
        <f t="shared" si="451"/>
        <v/>
      </c>
      <c r="BX157" s="153">
        <f t="shared" si="452"/>
        <v>0</v>
      </c>
      <c r="BY157" s="154">
        <f t="shared" si="453"/>
        <v>0</v>
      </c>
      <c r="BZ157" s="154" t="str">
        <f t="shared" si="454"/>
        <v/>
      </c>
      <c r="CA157" s="154" t="str">
        <f t="shared" si="455"/>
        <v/>
      </c>
      <c r="CB157" s="154" t="str">
        <f t="shared" si="456"/>
        <v/>
      </c>
      <c r="CC157" s="153" t="str">
        <f t="shared" si="457"/>
        <v/>
      </c>
      <c r="CD157" s="154" t="str">
        <f t="shared" si="458"/>
        <v/>
      </c>
      <c r="CE157" s="153" t="str">
        <f t="shared" si="459"/>
        <v/>
      </c>
      <c r="CF157" s="580" t="str">
        <f>IF('Marks Entry'!AK157="","",'Marks Entry'!AK157)</f>
        <v/>
      </c>
      <c r="CG157" s="580" t="str">
        <f>IF('Marks Entry'!AL157="","",'Marks Entry'!AL157)</f>
        <v/>
      </c>
      <c r="CH157" s="580" t="str">
        <f>IF('Marks Entry'!AM157="","",'Marks Entry'!AM157)</f>
        <v/>
      </c>
      <c r="CI157" s="580" t="str">
        <f>IF('Marks Entry'!AN157="","",'Marks Entry'!AN157)</f>
        <v/>
      </c>
      <c r="CJ157" s="581" t="str">
        <f t="shared" si="460"/>
        <v/>
      </c>
      <c r="CK157" s="580" t="str">
        <f>IF('Marks Entry'!AO157="","",'Marks Entry'!AO157)</f>
        <v/>
      </c>
      <c r="CL157" s="580" t="str">
        <f>IF('Marks Entry'!AP157="","",'Marks Entry'!AP157)</f>
        <v/>
      </c>
      <c r="CM157" s="581" t="str">
        <f t="shared" si="461"/>
        <v/>
      </c>
      <c r="CN157" s="581" t="str">
        <f t="shared" si="462"/>
        <v/>
      </c>
      <c r="CO157" s="580" t="str">
        <f>IF('Marks Entry'!AQ157="","",'Marks Entry'!AQ157)</f>
        <v/>
      </c>
      <c r="CP157" s="580" t="str">
        <f>IF('Marks Entry'!AR157="","",'Marks Entry'!AR157)</f>
        <v/>
      </c>
      <c r="CQ157" s="581" t="str">
        <f t="shared" si="463"/>
        <v/>
      </c>
      <c r="CR157" s="157" t="str">
        <f t="shared" si="464"/>
        <v/>
      </c>
      <c r="CS157" s="157" t="str">
        <f t="shared" si="465"/>
        <v/>
      </c>
      <c r="CT157" s="192" t="str">
        <f t="shared" si="466"/>
        <v/>
      </c>
      <c r="CU157" s="153">
        <f t="shared" si="467"/>
        <v>0</v>
      </c>
      <c r="CV157" s="154">
        <f t="shared" si="468"/>
        <v>0</v>
      </c>
      <c r="CW157" s="154" t="str">
        <f t="shared" si="469"/>
        <v/>
      </c>
      <c r="CX157" s="154" t="str">
        <f t="shared" si="470"/>
        <v/>
      </c>
      <c r="CY157" s="154" t="str">
        <f t="shared" si="471"/>
        <v/>
      </c>
      <c r="CZ157" s="153" t="str">
        <f t="shared" si="472"/>
        <v/>
      </c>
      <c r="DA157" s="154" t="str">
        <f t="shared" si="473"/>
        <v/>
      </c>
      <c r="DB157" s="153" t="str">
        <f t="shared" si="474"/>
        <v/>
      </c>
      <c r="DC157" s="154">
        <f t="shared" si="475"/>
        <v>0</v>
      </c>
      <c r="DD157" s="826" t="str">
        <f>IF('Marks Entry'!AS157="","",IF(OR('Master Sheet'!$D$19="YES",'Marks Entry'!$BA$1=1),'Marks Entry'!AS157,""))</f>
        <v/>
      </c>
      <c r="DE157" s="826" t="str">
        <f>IF('Marks Entry'!AT157="","",IF(OR('Master Sheet'!$D$19="YES",'Marks Entry'!$BA$1=1),'Marks Entry'!AT157,""))</f>
        <v/>
      </c>
      <c r="DF157" s="826" t="str">
        <f>IF('Marks Entry'!AU157="","",IF(OR('Master Sheet'!$D$19="YES",'Marks Entry'!$BA$1=1),'Marks Entry'!AU157,""))</f>
        <v/>
      </c>
      <c r="DG157" s="826" t="str">
        <f>IF('Marks Entry'!AV157="","",IF(OR('Master Sheet'!$D$19="YES",'Marks Entry'!$BA$1=1),'Marks Entry'!AV157,""))</f>
        <v/>
      </c>
      <c r="DH157" s="827" t="str">
        <f t="shared" si="476"/>
        <v/>
      </c>
      <c r="DI157" s="826" t="str">
        <f>IF('Marks Entry'!AW157="","",IF(OR('Master Sheet'!$D$19="YES",'Marks Entry'!$BA$1=1),'Marks Entry'!AW157,""))</f>
        <v/>
      </c>
      <c r="DJ157" s="826" t="str">
        <f>IF('Marks Entry'!AX157="","",IF(OR('Master Sheet'!$D$19="YES",'Marks Entry'!$BA$1=1),'Marks Entry'!AX157,""))</f>
        <v/>
      </c>
      <c r="DK157" s="827" t="str">
        <f t="shared" si="477"/>
        <v/>
      </c>
      <c r="DL157" s="827" t="str">
        <f t="shared" si="478"/>
        <v/>
      </c>
      <c r="DM157" s="826" t="str">
        <f>IF('Marks Entry'!AY157="","",IF(OR('Master Sheet'!$D$19="YES",'Marks Entry'!$BA$1=1),'Marks Entry'!AY157,""))</f>
        <v/>
      </c>
      <c r="DN157" s="826" t="str">
        <f>IF('Marks Entry'!AZ157="","",IF(OR('Master Sheet'!$D$19="YES",'Marks Entry'!$BA$1=1),'Marks Entry'!AZ157,""))</f>
        <v/>
      </c>
      <c r="DO157" s="826" t="str">
        <f>IF('Marks Entry'!BA157="","",IF(OR('Master Sheet'!$D$19="YES",'Marks Entry'!$BA$1=1),'Marks Entry'!BA157,""))</f>
        <v/>
      </c>
      <c r="DP157" s="827" t="str">
        <f t="shared" si="479"/>
        <v/>
      </c>
      <c r="DQ157" s="157" t="str">
        <f t="shared" si="480"/>
        <v/>
      </c>
      <c r="DR157" s="157" t="str">
        <f t="shared" si="481"/>
        <v/>
      </c>
      <c r="DS157" s="157" t="str">
        <f t="shared" si="482"/>
        <v/>
      </c>
      <c r="DT157" s="192" t="str">
        <f t="shared" si="483"/>
        <v/>
      </c>
      <c r="DU157" s="153">
        <f t="shared" si="484"/>
        <v>0</v>
      </c>
      <c r="DV157" s="154" t="e">
        <f t="shared" si="485"/>
        <v>#VALUE!</v>
      </c>
      <c r="DW157" s="154" t="str">
        <f t="shared" si="486"/>
        <v/>
      </c>
      <c r="DX157" s="154" t="str">
        <f>IF(OR($B157="NSO",$B157=0,DS157=""),"",IF(AND(DJ157="",DO157=""),"",IF('Master Sheet'!$D$19="YES",$DO$6-COUNTIF(DO157,"ML")*DO$6,DS$6-(COUNTIF(DJ157,"ML")*DJ$6)-(COUNTIF(DO157,"ML")*DO$6))))</f>
        <v/>
      </c>
      <c r="DY157" s="154" t="str">
        <f>IF(OR($B157="NSO",$B157=0),"",IF(AND(DH157="",DI157="",DM157=""),"",IF(AND('Master Sheet'!$D$19="YES",'Marks Entry'!$BA$1=1),100,IF(AND(DJ157="",DO157=""),SUM(($DQ$7+$DR$7)-(DU157+DV157)),SUM(($DQ$6+$DR$6)-(DU157+DV157))))))</f>
        <v/>
      </c>
      <c r="DZ157" s="153" t="str">
        <f t="shared" si="487"/>
        <v/>
      </c>
      <c r="EA157" s="154" t="str">
        <f t="shared" si="488"/>
        <v/>
      </c>
      <c r="EB157" s="153" t="str">
        <f t="shared" si="489"/>
        <v/>
      </c>
      <c r="EC157" s="584" t="str">
        <f>IF('Marks Entry'!BB157="","",'Marks Entry'!BB157)</f>
        <v/>
      </c>
      <c r="ED157" s="584" t="str">
        <f>IF('Marks Entry'!BC157="","",'Marks Entry'!BC157)</f>
        <v/>
      </c>
      <c r="EE157" s="584" t="str">
        <f>IF('Marks Entry'!BD157="","",'Marks Entry'!BD157)</f>
        <v/>
      </c>
      <c r="EF157" s="590" t="str">
        <f t="shared" si="490"/>
        <v/>
      </c>
      <c r="EG157" s="595">
        <f t="shared" si="491"/>
        <v>0</v>
      </c>
      <c r="EH157" s="595">
        <f t="shared" si="492"/>
        <v>0</v>
      </c>
      <c r="EI157" s="193" t="str">
        <f t="shared" si="493"/>
        <v/>
      </c>
      <c r="EJ157" s="595" t="str">
        <f t="shared" si="494"/>
        <v/>
      </c>
      <c r="EK157" s="595" t="str">
        <f t="shared" si="495"/>
        <v/>
      </c>
      <c r="EL157" s="194" t="str">
        <f t="shared" si="496"/>
        <v/>
      </c>
      <c r="EM157" s="194" t="str">
        <f t="shared" si="497"/>
        <v/>
      </c>
      <c r="EN157" s="194" t="str">
        <f t="shared" si="498"/>
        <v/>
      </c>
      <c r="EO157" s="194" t="str">
        <f t="shared" si="499"/>
        <v/>
      </c>
      <c r="EP157" s="194" t="str">
        <f t="shared" si="500"/>
        <v/>
      </c>
      <c r="EQ157" s="194" t="str">
        <f t="shared" si="501"/>
        <v/>
      </c>
      <c r="ER157" s="195">
        <f t="shared" si="502"/>
        <v>0</v>
      </c>
      <c r="ES157" s="195">
        <f t="shared" si="503"/>
        <v>0</v>
      </c>
      <c r="ET157" s="195">
        <f t="shared" si="504"/>
        <v>0</v>
      </c>
      <c r="EU157" s="195">
        <f t="shared" si="505"/>
        <v>0</v>
      </c>
      <c r="EV157" s="195">
        <f t="shared" si="506"/>
        <v>0</v>
      </c>
      <c r="EW157" s="195" t="str">
        <f t="shared" si="507"/>
        <v/>
      </c>
      <c r="EX157" s="196" t="str">
        <f t="shared" si="508"/>
        <v/>
      </c>
      <c r="EY157" s="197" t="str">
        <f>IF('Marks Entry'!BE157="","",'Marks Entry'!BE157)</f>
        <v/>
      </c>
      <c r="EZ157" s="197" t="str">
        <f>IF('Marks Entry'!BF157="","",'Marks Entry'!BF157)</f>
        <v/>
      </c>
      <c r="FA157" s="197" t="str">
        <f>IF('Marks Entry'!BG157="","",'Marks Entry'!BG157)</f>
        <v/>
      </c>
      <c r="FB157" s="596" t="str">
        <f t="shared" si="509"/>
        <v/>
      </c>
      <c r="FC157" s="197" t="str">
        <f>IF('Marks Entry'!BH157="","",'Marks Entry'!BH157)</f>
        <v/>
      </c>
      <c r="FD157" s="197" t="str">
        <f>IF('Marks Entry'!BI157="","",'Marks Entry'!BI157)</f>
        <v/>
      </c>
      <c r="FE157" s="198" t="str">
        <f t="shared" si="510"/>
        <v/>
      </c>
      <c r="FF157" s="199" t="str">
        <f t="shared" si="511"/>
        <v/>
      </c>
      <c r="FG157" s="200" t="str">
        <f>IF(AND(E157=""),"",IF('Student DATA Entry'!L153="","",'Student DATA Entry'!L153))</f>
        <v/>
      </c>
      <c r="FH157" s="201" t="str">
        <f>IF(AND(E157=""),"",IF('Student DATA Entry'!M153="","",'Student DATA Entry'!M153))</f>
        <v/>
      </c>
      <c r="FI157" s="202" t="str">
        <f t="shared" si="512"/>
        <v/>
      </c>
      <c r="FJ157" s="189" t="str">
        <f t="shared" si="513"/>
        <v/>
      </c>
      <c r="FK157" s="189" t="str">
        <f t="shared" si="514"/>
        <v/>
      </c>
      <c r="FL157" s="203" t="str">
        <f t="shared" si="383"/>
        <v/>
      </c>
      <c r="FM157" s="189" t="str">
        <f t="shared" si="515"/>
        <v/>
      </c>
      <c r="FN157" s="204" t="str">
        <f t="shared" si="516"/>
        <v/>
      </c>
      <c r="FO157" s="203" t="str">
        <f t="shared" si="384"/>
        <v/>
      </c>
      <c r="FP157" s="205" t="str">
        <f t="shared" si="517"/>
        <v/>
      </c>
      <c r="FQ157" s="189" t="str">
        <f t="shared" si="385"/>
        <v/>
      </c>
      <c r="FR157" s="189" t="str">
        <f t="shared" si="386"/>
        <v/>
      </c>
      <c r="FS157" s="189" t="str">
        <f t="shared" si="387"/>
        <v/>
      </c>
      <c r="FT157" s="189" t="str">
        <f t="shared" si="388"/>
        <v/>
      </c>
      <c r="FU157" s="189" t="str">
        <f t="shared" si="518"/>
        <v/>
      </c>
      <c r="FV157" s="206" t="str">
        <f t="shared" si="389"/>
        <v/>
      </c>
      <c r="FW157" s="205" t="str">
        <f t="shared" si="519"/>
        <v/>
      </c>
      <c r="FX157" s="189" t="str">
        <f t="shared" si="390"/>
        <v/>
      </c>
      <c r="FY157" s="189" t="str">
        <f t="shared" si="391"/>
        <v/>
      </c>
      <c r="FZ157" s="189" t="str">
        <f t="shared" si="392"/>
        <v/>
      </c>
      <c r="GA157" s="189" t="str">
        <f t="shared" si="393"/>
        <v/>
      </c>
      <c r="GB157" s="189" t="str">
        <f t="shared" si="520"/>
        <v/>
      </c>
      <c r="GC157" s="206" t="str">
        <f t="shared" si="394"/>
        <v/>
      </c>
      <c r="GD157" s="205" t="str">
        <f t="shared" si="521"/>
        <v/>
      </c>
      <c r="GE157" s="189" t="str">
        <f t="shared" si="395"/>
        <v/>
      </c>
      <c r="GF157" s="189" t="str">
        <f t="shared" si="396"/>
        <v/>
      </c>
      <c r="GG157" s="189" t="str">
        <f t="shared" si="397"/>
        <v/>
      </c>
      <c r="GH157" s="189" t="str">
        <f t="shared" si="398"/>
        <v/>
      </c>
      <c r="GI157" s="189" t="str">
        <f t="shared" si="522"/>
        <v/>
      </c>
      <c r="GJ157" s="206" t="str">
        <f t="shared" si="399"/>
        <v/>
      </c>
      <c r="GK157" s="205" t="str">
        <f t="shared" si="523"/>
        <v/>
      </c>
      <c r="GL157" s="189" t="str">
        <f t="shared" si="400"/>
        <v/>
      </c>
      <c r="GM157" s="189" t="str">
        <f t="shared" si="401"/>
        <v/>
      </c>
      <c r="GN157" s="189" t="str">
        <f t="shared" si="402"/>
        <v/>
      </c>
      <c r="GO157" s="189" t="str">
        <f t="shared" si="403"/>
        <v/>
      </c>
      <c r="GP157" s="189" t="str">
        <f t="shared" si="524"/>
        <v/>
      </c>
      <c r="GQ157" s="206" t="str">
        <f t="shared" si="404"/>
        <v/>
      </c>
      <c r="GR157" s="189" t="str">
        <f t="shared" si="525"/>
        <v/>
      </c>
      <c r="GS157" s="189" t="str">
        <f t="shared" si="526"/>
        <v/>
      </c>
      <c r="GT157" s="207" t="str">
        <f t="shared" si="527"/>
        <v xml:space="preserve">    </v>
      </c>
      <c r="GU157" s="207" t="str">
        <f t="shared" si="528"/>
        <v xml:space="preserve">    </v>
      </c>
      <c r="GV157" s="207" t="str">
        <f t="shared" si="529"/>
        <v xml:space="preserve">    </v>
      </c>
      <c r="GW157" s="207" t="str">
        <f t="shared" si="530"/>
        <v xml:space="preserve">       </v>
      </c>
      <c r="GX157" s="598" t="str">
        <f t="shared" si="531"/>
        <v xml:space="preserve">     </v>
      </c>
      <c r="GY157" s="208" t="str">
        <f t="shared" si="405"/>
        <v/>
      </c>
      <c r="GZ157" s="606" t="str">
        <f>IF(AND(Q157="",AE157="",AZ157="",BW157="",CT157=""),"",IF(AND('Master Sheet'!$D$19="YES",'Marks Entry'!$BA$1=1),SUM(Q157,AE157,AZ157,BW157,DT157),SUM(Q157,AE157,AZ157,BW157,CT157)))</f>
        <v/>
      </c>
      <c r="HA157" s="209" t="str">
        <f>IF(GZ157="","",IF(AND('Master Sheet'!$D$19="YES",'Marks Entry'!$BA$1=1),GZ157/((900)-DC157)*100,GZ157/((1000)-DC157)*100))</f>
        <v/>
      </c>
      <c r="HB157" s="611" t="str">
        <f t="shared" si="532"/>
        <v/>
      </c>
      <c r="HC157" s="609" t="str">
        <f t="shared" si="533"/>
        <v/>
      </c>
      <c r="HD157" s="610" t="str">
        <f t="shared" si="534"/>
        <v/>
      </c>
      <c r="HE157" s="210" t="str">
        <f>IFERROR(IF(OR(GY157="SUPPLEMENTARY",GY157="RE-EXAM"),'Supp. Result Entry'!AS156,""),"")</f>
        <v/>
      </c>
      <c r="HF157" s="613" t="str">
        <f t="shared" si="535"/>
        <v/>
      </c>
      <c r="HG157" s="598" t="str">
        <f t="shared" si="536"/>
        <v/>
      </c>
      <c r="HH157" s="598" t="str">
        <f>IF(AND(HE157="",HF157="",HG157=""),"",IF(OR(GY157="SUPPLEMENTARY",GY157="RE-EXAM"),'Supp. Result Entry'!AS156,GY157))</f>
        <v/>
      </c>
      <c r="HI157" s="180"/>
      <c r="HY157" s="212" t="str">
        <f>IF('Supp. Result Entry'!U156="","",'Supp. Result Entry'!$U$6)</f>
        <v/>
      </c>
      <c r="HZ157" s="213" t="str">
        <f>IF('Supp. Result Entry'!X156="","",'Supp. Result Entry'!$X$6)</f>
        <v/>
      </c>
      <c r="IA157" s="213" t="str">
        <f>IF('Supp. Result Entry'!AA156="","",'Supp. Result Entry'!$AA$6)</f>
        <v/>
      </c>
      <c r="IB157" s="213" t="str">
        <f>IF('Supp. Result Entry'!AD156="","",'Supp. Result Entry'!$AD$6)</f>
        <v/>
      </c>
      <c r="IC157" s="213" t="str">
        <f>IF('Supp. Result Entry'!AG156="","",'Supp. Result Entry'!$AG$6)</f>
        <v/>
      </c>
      <c r="ID157" s="213" t="str">
        <f>IF('Supp. Result Entry'!AJ156="","",'Supp. Result Entry'!$AJ$6)</f>
        <v/>
      </c>
      <c r="IE157" s="213" t="str">
        <f>IF('Supp. Result Entry'!V156="","",'Supp. Result Entry'!V156)</f>
        <v/>
      </c>
      <c r="IF157" s="213" t="str">
        <f>IF('Supp. Result Entry'!Y156="","",'Supp. Result Entry'!Y156)</f>
        <v/>
      </c>
      <c r="IG157" s="213" t="str">
        <f>IF('Supp. Result Entry'!AB156="","",'Supp. Result Entry'!AB156)</f>
        <v/>
      </c>
      <c r="IH157" s="213" t="str">
        <f>IF('Supp. Result Entry'!AE156="","",'Supp. Result Entry'!AE156)</f>
        <v/>
      </c>
      <c r="II157" s="213" t="str">
        <f>IF('Supp. Result Entry'!AH156="","",'Supp. Result Entry'!AH156)</f>
        <v/>
      </c>
      <c r="IJ157" s="213" t="str">
        <f>IF('Supp. Result Entry'!AK156="","",'Supp. Result Entry'!AK156)</f>
        <v/>
      </c>
      <c r="IK157" s="213" t="str">
        <f>IF('Supp. Result Entry'!W156="","",'Supp. Result Entry'!W156)</f>
        <v/>
      </c>
      <c r="IL157" s="213" t="str">
        <f>IF('Supp. Result Entry'!Z156="","",'Supp. Result Entry'!Z156)</f>
        <v/>
      </c>
      <c r="IM157" s="213" t="str">
        <f>IF('Supp. Result Entry'!AC156="","",'Supp. Result Entry'!AC156)</f>
        <v/>
      </c>
      <c r="IN157" s="213" t="str">
        <f>IF('Supp. Result Entry'!AF156="","",'Supp. Result Entry'!AF156)</f>
        <v/>
      </c>
      <c r="IO157" s="213" t="str">
        <f>IF('Supp. Result Entry'!AI156="","",'Supp. Result Entry'!AI156)</f>
        <v/>
      </c>
      <c r="IP157" s="213" t="str">
        <f>IF('Supp. Result Entry'!AL156="","",'Supp. Result Entry'!AL156)</f>
        <v/>
      </c>
      <c r="IQ157" s="213">
        <f>COUNTIF('Supp. Result Entry'!K156:Q156,"S")</f>
        <v>0</v>
      </c>
      <c r="IR157" s="213">
        <f t="shared" si="537"/>
        <v>0</v>
      </c>
      <c r="IS157" s="213">
        <f t="shared" si="538"/>
        <v>0</v>
      </c>
      <c r="IT157" s="213" t="str">
        <f t="shared" si="406"/>
        <v/>
      </c>
      <c r="IU157" s="213" t="str">
        <f t="shared" si="407"/>
        <v/>
      </c>
      <c r="IV157" s="213" t="str">
        <f t="shared" si="408"/>
        <v/>
      </c>
      <c r="IW157" s="213" t="str">
        <f t="shared" si="409"/>
        <v/>
      </c>
      <c r="IX157" s="213" t="str">
        <f t="shared" si="410"/>
        <v/>
      </c>
      <c r="IY157" s="213" t="str">
        <f t="shared" si="539"/>
        <v/>
      </c>
      <c r="IZ157" s="213" t="str">
        <f t="shared" si="540"/>
        <v/>
      </c>
      <c r="JA157" s="213" t="str">
        <f t="shared" si="411"/>
        <v/>
      </c>
      <c r="JB157" s="211" t="str">
        <f t="shared" si="541"/>
        <v/>
      </c>
    </row>
    <row r="158" spans="1:262" s="211" customFormat="1" ht="21" customHeight="1">
      <c r="A158" s="184">
        <v>151</v>
      </c>
      <c r="B158" s="185" t="str">
        <f>IF('Marks Entry'!B158="","",'Marks Entry'!B158)</f>
        <v/>
      </c>
      <c r="C158" s="186" t="str">
        <f>IF('Marks Entry'!D158="","",'Marks Entry'!D158)</f>
        <v/>
      </c>
      <c r="D158" s="187" t="str">
        <f>IF('Marks Entry'!E158="","",'Marks Entry'!E158)</f>
        <v/>
      </c>
      <c r="E158" s="188" t="str">
        <f>IF('Marks Entry'!F158="","",'Marks Entry'!F158)</f>
        <v/>
      </c>
      <c r="F158" s="188" t="str">
        <f>IF('Marks Entry'!G158="","",'Marks Entry'!G158)</f>
        <v/>
      </c>
      <c r="G158" s="188" t="str">
        <f>IF('Marks Entry'!H158="","",'Marks Entry'!H158)</f>
        <v/>
      </c>
      <c r="H158" s="189" t="str">
        <f>IF('Marks Entry'!I158="","",'Marks Entry'!I158)</f>
        <v/>
      </c>
      <c r="I158" s="190" t="str">
        <f>IF('Marks Entry'!J158="","",'Marks Entry'!J158)</f>
        <v/>
      </c>
      <c r="J158" s="545" t="str">
        <f>IF('Marks Entry'!K158="","",'Marks Entry'!K158)</f>
        <v/>
      </c>
      <c r="K158" s="545" t="str">
        <f>IF('Marks Entry'!L158="","",'Marks Entry'!L158)</f>
        <v/>
      </c>
      <c r="L158" s="545" t="str">
        <f>IF('Marks Entry'!M158="","",'Marks Entry'!M158)</f>
        <v/>
      </c>
      <c r="M158" s="546" t="str">
        <f t="shared" si="412"/>
        <v/>
      </c>
      <c r="N158" s="545" t="str">
        <f>IF('Marks Entry'!N158="","",'Marks Entry'!N158)</f>
        <v/>
      </c>
      <c r="O158" s="546" t="str">
        <f t="shared" si="413"/>
        <v/>
      </c>
      <c r="P158" s="545" t="str">
        <f>IF('Marks Entry'!O158="","",'Marks Entry'!O158)</f>
        <v/>
      </c>
      <c r="Q158" s="547" t="str">
        <f t="shared" si="414"/>
        <v/>
      </c>
      <c r="R158" s="153">
        <f t="shared" si="415"/>
        <v>0</v>
      </c>
      <c r="S158" s="153">
        <f t="shared" si="416"/>
        <v>0</v>
      </c>
      <c r="T158" s="154" t="str">
        <f t="shared" si="417"/>
        <v/>
      </c>
      <c r="U158" s="153" t="str">
        <f t="shared" si="418"/>
        <v/>
      </c>
      <c r="V158" s="153" t="str">
        <f t="shared" si="419"/>
        <v/>
      </c>
      <c r="W158" s="153" t="str">
        <f t="shared" si="420"/>
        <v/>
      </c>
      <c r="X158" s="545" t="str">
        <f>IF('Marks Entry'!P158="","",'Marks Entry'!P158)</f>
        <v/>
      </c>
      <c r="Y158" s="545" t="str">
        <f>IF('Marks Entry'!Q158="","",'Marks Entry'!Q158)</f>
        <v/>
      </c>
      <c r="Z158" s="545" t="str">
        <f>IF('Marks Entry'!R158="","",'Marks Entry'!R158)</f>
        <v/>
      </c>
      <c r="AA158" s="546" t="str">
        <f t="shared" si="421"/>
        <v/>
      </c>
      <c r="AB158" s="545" t="str">
        <f>IF('Marks Entry'!S158="","",'Marks Entry'!S158)</f>
        <v/>
      </c>
      <c r="AC158" s="546" t="str">
        <f t="shared" si="422"/>
        <v/>
      </c>
      <c r="AD158" s="545" t="str">
        <f>IF('Marks Entry'!T158="","",'Marks Entry'!T158)</f>
        <v/>
      </c>
      <c r="AE158" s="547" t="str">
        <f t="shared" si="423"/>
        <v/>
      </c>
      <c r="AF158" s="153">
        <f t="shared" si="424"/>
        <v>0</v>
      </c>
      <c r="AG158" s="153">
        <f t="shared" si="425"/>
        <v>0</v>
      </c>
      <c r="AH158" s="154" t="str">
        <f t="shared" si="426"/>
        <v/>
      </c>
      <c r="AI158" s="153" t="str">
        <f t="shared" si="427"/>
        <v/>
      </c>
      <c r="AJ158" s="153" t="str">
        <f t="shared" si="428"/>
        <v/>
      </c>
      <c r="AK158" s="153" t="str">
        <f t="shared" si="429"/>
        <v/>
      </c>
      <c r="AL158" s="573" t="str">
        <f>IF('Marks Entry'!U158="","",'Marks Entry'!U158)</f>
        <v/>
      </c>
      <c r="AM158" s="573" t="str">
        <f>IF('Marks Entry'!V158="","",'Marks Entry'!V158)</f>
        <v/>
      </c>
      <c r="AN158" s="573" t="str">
        <f>IF('Marks Entry'!W158="","",'Marks Entry'!W158)</f>
        <v/>
      </c>
      <c r="AO158" s="573" t="str">
        <f>IF('Marks Entry'!X158="","",'Marks Entry'!X158)</f>
        <v/>
      </c>
      <c r="AP158" s="572" t="str">
        <f t="shared" si="430"/>
        <v/>
      </c>
      <c r="AQ158" s="573" t="str">
        <f>IF('Marks Entry'!Y158="","",'Marks Entry'!Y158)</f>
        <v/>
      </c>
      <c r="AR158" s="573" t="str">
        <f>IF('Marks Entry'!Z158="","",'Marks Entry'!Z158)</f>
        <v/>
      </c>
      <c r="AS158" s="572" t="str">
        <f t="shared" si="431"/>
        <v/>
      </c>
      <c r="AT158" s="572" t="str">
        <f t="shared" si="432"/>
        <v/>
      </c>
      <c r="AU158" s="573" t="str">
        <f>IF('Marks Entry'!AA158="","",'Marks Entry'!AA158)</f>
        <v/>
      </c>
      <c r="AV158" s="573" t="str">
        <f>IF('Marks Entry'!AB158="","",'Marks Entry'!AB158)</f>
        <v/>
      </c>
      <c r="AW158" s="572" t="str">
        <f t="shared" si="433"/>
        <v/>
      </c>
      <c r="AX158" s="157" t="str">
        <f t="shared" si="434"/>
        <v/>
      </c>
      <c r="AY158" s="157" t="str">
        <f t="shared" si="435"/>
        <v/>
      </c>
      <c r="AZ158" s="192" t="str">
        <f t="shared" si="436"/>
        <v/>
      </c>
      <c r="BA158" s="153">
        <f t="shared" si="437"/>
        <v>0</v>
      </c>
      <c r="BB158" s="154">
        <f t="shared" si="438"/>
        <v>0</v>
      </c>
      <c r="BC158" s="154" t="str">
        <f t="shared" si="439"/>
        <v/>
      </c>
      <c r="BD158" s="154" t="str">
        <f t="shared" si="440"/>
        <v/>
      </c>
      <c r="BE158" s="154" t="str">
        <f t="shared" si="441"/>
        <v/>
      </c>
      <c r="BF158" s="153" t="str">
        <f t="shared" si="442"/>
        <v/>
      </c>
      <c r="BG158" s="154" t="str">
        <f t="shared" si="443"/>
        <v/>
      </c>
      <c r="BH158" s="153" t="str">
        <f t="shared" si="444"/>
        <v/>
      </c>
      <c r="BI158" s="580" t="str">
        <f>IF('Marks Entry'!AC158="","",'Marks Entry'!AC158)</f>
        <v/>
      </c>
      <c r="BJ158" s="580" t="str">
        <f>IF('Marks Entry'!AD158="","",'Marks Entry'!AD158)</f>
        <v/>
      </c>
      <c r="BK158" s="580" t="str">
        <f>IF('Marks Entry'!AE158="","",'Marks Entry'!AE158)</f>
        <v/>
      </c>
      <c r="BL158" s="580" t="str">
        <f>IF('Marks Entry'!AF158="","",'Marks Entry'!AF158)</f>
        <v/>
      </c>
      <c r="BM158" s="581" t="str">
        <f t="shared" si="445"/>
        <v/>
      </c>
      <c r="BN158" s="580" t="str">
        <f>IF('Marks Entry'!AG158="","",'Marks Entry'!AG158)</f>
        <v/>
      </c>
      <c r="BO158" s="580" t="str">
        <f>IF('Marks Entry'!AH158="","",'Marks Entry'!AH158)</f>
        <v/>
      </c>
      <c r="BP158" s="581" t="str">
        <f t="shared" si="446"/>
        <v/>
      </c>
      <c r="BQ158" s="581" t="str">
        <f t="shared" si="447"/>
        <v/>
      </c>
      <c r="BR158" s="580" t="str">
        <f>IF('Marks Entry'!AI158="","",'Marks Entry'!AI158)</f>
        <v/>
      </c>
      <c r="BS158" s="580" t="str">
        <f>IF('Marks Entry'!AJ158="","",'Marks Entry'!AJ158)</f>
        <v/>
      </c>
      <c r="BT158" s="581" t="str">
        <f t="shared" si="448"/>
        <v/>
      </c>
      <c r="BU158" s="157" t="str">
        <f t="shared" si="449"/>
        <v/>
      </c>
      <c r="BV158" s="157" t="str">
        <f t="shared" si="450"/>
        <v/>
      </c>
      <c r="BW158" s="192" t="str">
        <f t="shared" si="451"/>
        <v/>
      </c>
      <c r="BX158" s="153">
        <f t="shared" si="452"/>
        <v>0</v>
      </c>
      <c r="BY158" s="154">
        <f t="shared" si="453"/>
        <v>0</v>
      </c>
      <c r="BZ158" s="154" t="str">
        <f t="shared" si="454"/>
        <v/>
      </c>
      <c r="CA158" s="154" t="str">
        <f t="shared" si="455"/>
        <v/>
      </c>
      <c r="CB158" s="154" t="str">
        <f t="shared" si="456"/>
        <v/>
      </c>
      <c r="CC158" s="153" t="str">
        <f t="shared" si="457"/>
        <v/>
      </c>
      <c r="CD158" s="154" t="str">
        <f t="shared" si="458"/>
        <v/>
      </c>
      <c r="CE158" s="153" t="str">
        <f t="shared" si="459"/>
        <v/>
      </c>
      <c r="CF158" s="580" t="str">
        <f>IF('Marks Entry'!AK158="","",'Marks Entry'!AK158)</f>
        <v/>
      </c>
      <c r="CG158" s="580" t="str">
        <f>IF('Marks Entry'!AL158="","",'Marks Entry'!AL158)</f>
        <v/>
      </c>
      <c r="CH158" s="580" t="str">
        <f>IF('Marks Entry'!AM158="","",'Marks Entry'!AM158)</f>
        <v/>
      </c>
      <c r="CI158" s="580" t="str">
        <f>IF('Marks Entry'!AN158="","",'Marks Entry'!AN158)</f>
        <v/>
      </c>
      <c r="CJ158" s="581" t="str">
        <f t="shared" si="460"/>
        <v/>
      </c>
      <c r="CK158" s="580" t="str">
        <f>IF('Marks Entry'!AO158="","",'Marks Entry'!AO158)</f>
        <v/>
      </c>
      <c r="CL158" s="580" t="str">
        <f>IF('Marks Entry'!AP158="","",'Marks Entry'!AP158)</f>
        <v/>
      </c>
      <c r="CM158" s="581" t="str">
        <f t="shared" si="461"/>
        <v/>
      </c>
      <c r="CN158" s="581" t="str">
        <f t="shared" si="462"/>
        <v/>
      </c>
      <c r="CO158" s="580" t="str">
        <f>IF('Marks Entry'!AQ158="","",'Marks Entry'!AQ158)</f>
        <v/>
      </c>
      <c r="CP158" s="580" t="str">
        <f>IF('Marks Entry'!AR158="","",'Marks Entry'!AR158)</f>
        <v/>
      </c>
      <c r="CQ158" s="581" t="str">
        <f t="shared" si="463"/>
        <v/>
      </c>
      <c r="CR158" s="157" t="str">
        <f t="shared" si="464"/>
        <v/>
      </c>
      <c r="CS158" s="157" t="str">
        <f t="shared" si="465"/>
        <v/>
      </c>
      <c r="CT158" s="192" t="str">
        <f t="shared" si="466"/>
        <v/>
      </c>
      <c r="CU158" s="153">
        <f t="shared" si="467"/>
        <v>0</v>
      </c>
      <c r="CV158" s="154">
        <f t="shared" si="468"/>
        <v>0</v>
      </c>
      <c r="CW158" s="154" t="str">
        <f t="shared" si="469"/>
        <v/>
      </c>
      <c r="CX158" s="154" t="str">
        <f t="shared" si="470"/>
        <v/>
      </c>
      <c r="CY158" s="154" t="str">
        <f t="shared" si="471"/>
        <v/>
      </c>
      <c r="CZ158" s="153" t="str">
        <f t="shared" si="472"/>
        <v/>
      </c>
      <c r="DA158" s="154" t="str">
        <f t="shared" si="473"/>
        <v/>
      </c>
      <c r="DB158" s="153" t="str">
        <f t="shared" si="474"/>
        <v/>
      </c>
      <c r="DC158" s="154">
        <f t="shared" si="475"/>
        <v>0</v>
      </c>
      <c r="DD158" s="826" t="str">
        <f>IF('Marks Entry'!AS158="","",IF(OR('Master Sheet'!$D$19="YES",'Marks Entry'!$BA$1=1),'Marks Entry'!AS158,""))</f>
        <v/>
      </c>
      <c r="DE158" s="826" t="str">
        <f>IF('Marks Entry'!AT158="","",IF(OR('Master Sheet'!$D$19="YES",'Marks Entry'!$BA$1=1),'Marks Entry'!AT158,""))</f>
        <v/>
      </c>
      <c r="DF158" s="826" t="str">
        <f>IF('Marks Entry'!AU158="","",IF(OR('Master Sheet'!$D$19="YES",'Marks Entry'!$BA$1=1),'Marks Entry'!AU158,""))</f>
        <v/>
      </c>
      <c r="DG158" s="826" t="str">
        <f>IF('Marks Entry'!AV158="","",IF(OR('Master Sheet'!$D$19="YES",'Marks Entry'!$BA$1=1),'Marks Entry'!AV158,""))</f>
        <v/>
      </c>
      <c r="DH158" s="827" t="str">
        <f t="shared" si="476"/>
        <v/>
      </c>
      <c r="DI158" s="826" t="str">
        <f>IF('Marks Entry'!AW158="","",IF(OR('Master Sheet'!$D$19="YES",'Marks Entry'!$BA$1=1),'Marks Entry'!AW158,""))</f>
        <v/>
      </c>
      <c r="DJ158" s="826" t="str">
        <f>IF('Marks Entry'!AX158="","",IF(OR('Master Sheet'!$D$19="YES",'Marks Entry'!$BA$1=1),'Marks Entry'!AX158,""))</f>
        <v/>
      </c>
      <c r="DK158" s="827" t="str">
        <f t="shared" si="477"/>
        <v/>
      </c>
      <c r="DL158" s="827" t="str">
        <f t="shared" si="478"/>
        <v/>
      </c>
      <c r="DM158" s="826" t="str">
        <f>IF('Marks Entry'!AY158="","",IF(OR('Master Sheet'!$D$19="YES",'Marks Entry'!$BA$1=1),'Marks Entry'!AY158,""))</f>
        <v/>
      </c>
      <c r="DN158" s="826" t="str">
        <f>IF('Marks Entry'!AZ158="","",IF(OR('Master Sheet'!$D$19="YES",'Marks Entry'!$BA$1=1),'Marks Entry'!AZ158,""))</f>
        <v/>
      </c>
      <c r="DO158" s="826" t="str">
        <f>IF('Marks Entry'!BA158="","",IF(OR('Master Sheet'!$D$19="YES",'Marks Entry'!$BA$1=1),'Marks Entry'!BA158,""))</f>
        <v/>
      </c>
      <c r="DP158" s="827" t="str">
        <f t="shared" si="479"/>
        <v/>
      </c>
      <c r="DQ158" s="157" t="str">
        <f t="shared" si="480"/>
        <v/>
      </c>
      <c r="DR158" s="157" t="str">
        <f t="shared" si="481"/>
        <v/>
      </c>
      <c r="DS158" s="157" t="str">
        <f t="shared" si="482"/>
        <v/>
      </c>
      <c r="DT158" s="192" t="str">
        <f t="shared" si="483"/>
        <v/>
      </c>
      <c r="DU158" s="153">
        <f t="shared" si="484"/>
        <v>0</v>
      </c>
      <c r="DV158" s="154" t="e">
        <f t="shared" si="485"/>
        <v>#VALUE!</v>
      </c>
      <c r="DW158" s="154" t="str">
        <f t="shared" si="486"/>
        <v/>
      </c>
      <c r="DX158" s="154" t="str">
        <f>IF(OR($B158="NSO",$B158=0,DS158=""),"",IF(AND(DJ158="",DO158=""),"",IF('Master Sheet'!$D$19="YES",$DO$6-COUNTIF(DO158,"ML")*DO$6,DS$6-(COUNTIF(DJ158,"ML")*DJ$6)-(COUNTIF(DO158,"ML")*DO$6))))</f>
        <v/>
      </c>
      <c r="DY158" s="154" t="str">
        <f>IF(OR($B158="NSO",$B158=0),"",IF(AND(DH158="",DI158="",DM158=""),"",IF(AND('Master Sheet'!$D$19="YES",'Marks Entry'!$BA$1=1),100,IF(AND(DJ158="",DO158=""),SUM(($DQ$7+$DR$7)-(DU158+DV158)),SUM(($DQ$6+$DR$6)-(DU158+DV158))))))</f>
        <v/>
      </c>
      <c r="DZ158" s="153" t="str">
        <f t="shared" si="487"/>
        <v/>
      </c>
      <c r="EA158" s="154" t="str">
        <f t="shared" si="488"/>
        <v/>
      </c>
      <c r="EB158" s="153" t="str">
        <f t="shared" si="489"/>
        <v/>
      </c>
      <c r="EC158" s="584" t="str">
        <f>IF('Marks Entry'!BB158="","",'Marks Entry'!BB158)</f>
        <v/>
      </c>
      <c r="ED158" s="584" t="str">
        <f>IF('Marks Entry'!BC158="","",'Marks Entry'!BC158)</f>
        <v/>
      </c>
      <c r="EE158" s="584" t="str">
        <f>IF('Marks Entry'!BD158="","",'Marks Entry'!BD158)</f>
        <v/>
      </c>
      <c r="EF158" s="590" t="str">
        <f t="shared" si="490"/>
        <v/>
      </c>
      <c r="EG158" s="595">
        <f t="shared" si="491"/>
        <v>0</v>
      </c>
      <c r="EH158" s="595">
        <f t="shared" si="492"/>
        <v>0</v>
      </c>
      <c r="EI158" s="193" t="str">
        <f t="shared" si="493"/>
        <v/>
      </c>
      <c r="EJ158" s="595" t="str">
        <f t="shared" si="494"/>
        <v/>
      </c>
      <c r="EK158" s="595" t="str">
        <f t="shared" si="495"/>
        <v/>
      </c>
      <c r="EL158" s="194" t="str">
        <f t="shared" si="496"/>
        <v/>
      </c>
      <c r="EM158" s="194" t="str">
        <f t="shared" si="497"/>
        <v/>
      </c>
      <c r="EN158" s="194" t="str">
        <f t="shared" si="498"/>
        <v/>
      </c>
      <c r="EO158" s="194" t="str">
        <f t="shared" si="499"/>
        <v/>
      </c>
      <c r="EP158" s="194" t="str">
        <f t="shared" si="500"/>
        <v/>
      </c>
      <c r="EQ158" s="194" t="str">
        <f t="shared" si="501"/>
        <v/>
      </c>
      <c r="ER158" s="195">
        <f t="shared" si="502"/>
        <v>0</v>
      </c>
      <c r="ES158" s="195">
        <f t="shared" si="503"/>
        <v>0</v>
      </c>
      <c r="ET158" s="195">
        <f t="shared" si="504"/>
        <v>0</v>
      </c>
      <c r="EU158" s="195">
        <f t="shared" si="505"/>
        <v>0</v>
      </c>
      <c r="EV158" s="195">
        <f t="shared" si="506"/>
        <v>0</v>
      </c>
      <c r="EW158" s="195" t="str">
        <f t="shared" si="507"/>
        <v/>
      </c>
      <c r="EX158" s="196" t="str">
        <f t="shared" si="508"/>
        <v/>
      </c>
      <c r="EY158" s="197" t="str">
        <f>IF('Marks Entry'!BE158="","",'Marks Entry'!BE158)</f>
        <v/>
      </c>
      <c r="EZ158" s="197" t="str">
        <f>IF('Marks Entry'!BF158="","",'Marks Entry'!BF158)</f>
        <v/>
      </c>
      <c r="FA158" s="197" t="str">
        <f>IF('Marks Entry'!BG158="","",'Marks Entry'!BG158)</f>
        <v/>
      </c>
      <c r="FB158" s="596" t="str">
        <f t="shared" si="509"/>
        <v/>
      </c>
      <c r="FC158" s="197" t="str">
        <f>IF('Marks Entry'!BH158="","",'Marks Entry'!BH158)</f>
        <v/>
      </c>
      <c r="FD158" s="197" t="str">
        <f>IF('Marks Entry'!BI158="","",'Marks Entry'!BI158)</f>
        <v/>
      </c>
      <c r="FE158" s="198" t="str">
        <f t="shared" si="510"/>
        <v/>
      </c>
      <c r="FF158" s="199" t="str">
        <f t="shared" si="511"/>
        <v/>
      </c>
      <c r="FG158" s="200" t="str">
        <f>IF(AND(E158=""),"",IF('Student DATA Entry'!L154="","",'Student DATA Entry'!L154))</f>
        <v/>
      </c>
      <c r="FH158" s="201" t="str">
        <f>IF(AND(E158=""),"",IF('Student DATA Entry'!M154="","",'Student DATA Entry'!M154))</f>
        <v/>
      </c>
      <c r="FI158" s="202" t="str">
        <f t="shared" si="512"/>
        <v/>
      </c>
      <c r="FJ158" s="189" t="str">
        <f t="shared" si="513"/>
        <v/>
      </c>
      <c r="FK158" s="189" t="str">
        <f t="shared" si="514"/>
        <v/>
      </c>
      <c r="FL158" s="203" t="str">
        <f t="shared" si="383"/>
        <v/>
      </c>
      <c r="FM158" s="189" t="str">
        <f t="shared" si="515"/>
        <v/>
      </c>
      <c r="FN158" s="204" t="str">
        <f t="shared" si="516"/>
        <v/>
      </c>
      <c r="FO158" s="203" t="str">
        <f t="shared" si="384"/>
        <v/>
      </c>
      <c r="FP158" s="205" t="str">
        <f t="shared" si="517"/>
        <v/>
      </c>
      <c r="FQ158" s="189" t="str">
        <f t="shared" si="385"/>
        <v/>
      </c>
      <c r="FR158" s="189" t="str">
        <f t="shared" si="386"/>
        <v/>
      </c>
      <c r="FS158" s="189" t="str">
        <f t="shared" si="387"/>
        <v/>
      </c>
      <c r="FT158" s="189" t="str">
        <f t="shared" si="388"/>
        <v/>
      </c>
      <c r="FU158" s="189" t="str">
        <f t="shared" si="518"/>
        <v/>
      </c>
      <c r="FV158" s="206" t="str">
        <f t="shared" si="389"/>
        <v/>
      </c>
      <c r="FW158" s="205" t="str">
        <f t="shared" si="519"/>
        <v/>
      </c>
      <c r="FX158" s="189" t="str">
        <f t="shared" si="390"/>
        <v/>
      </c>
      <c r="FY158" s="189" t="str">
        <f t="shared" si="391"/>
        <v/>
      </c>
      <c r="FZ158" s="189" t="str">
        <f t="shared" si="392"/>
        <v/>
      </c>
      <c r="GA158" s="189" t="str">
        <f t="shared" si="393"/>
        <v/>
      </c>
      <c r="GB158" s="189" t="str">
        <f t="shared" si="520"/>
        <v/>
      </c>
      <c r="GC158" s="206" t="str">
        <f t="shared" si="394"/>
        <v/>
      </c>
      <c r="GD158" s="205" t="str">
        <f t="shared" si="521"/>
        <v/>
      </c>
      <c r="GE158" s="189" t="str">
        <f t="shared" si="395"/>
        <v/>
      </c>
      <c r="GF158" s="189" t="str">
        <f t="shared" si="396"/>
        <v/>
      </c>
      <c r="GG158" s="189" t="str">
        <f t="shared" si="397"/>
        <v/>
      </c>
      <c r="GH158" s="189" t="str">
        <f t="shared" si="398"/>
        <v/>
      </c>
      <c r="GI158" s="189" t="str">
        <f t="shared" si="522"/>
        <v/>
      </c>
      <c r="GJ158" s="206" t="str">
        <f t="shared" si="399"/>
        <v/>
      </c>
      <c r="GK158" s="205" t="str">
        <f t="shared" si="523"/>
        <v/>
      </c>
      <c r="GL158" s="189" t="str">
        <f t="shared" si="400"/>
        <v/>
      </c>
      <c r="GM158" s="189" t="str">
        <f t="shared" si="401"/>
        <v/>
      </c>
      <c r="GN158" s="189" t="str">
        <f t="shared" si="402"/>
        <v/>
      </c>
      <c r="GO158" s="189" t="str">
        <f t="shared" si="403"/>
        <v/>
      </c>
      <c r="GP158" s="189" t="str">
        <f t="shared" si="524"/>
        <v/>
      </c>
      <c r="GQ158" s="206" t="str">
        <f t="shared" si="404"/>
        <v/>
      </c>
      <c r="GR158" s="189" t="str">
        <f t="shared" si="525"/>
        <v/>
      </c>
      <c r="GS158" s="189" t="str">
        <f t="shared" si="526"/>
        <v/>
      </c>
      <c r="GT158" s="207" t="str">
        <f t="shared" si="527"/>
        <v xml:space="preserve">    </v>
      </c>
      <c r="GU158" s="207" t="str">
        <f t="shared" si="528"/>
        <v xml:space="preserve">    </v>
      </c>
      <c r="GV158" s="207" t="str">
        <f t="shared" si="529"/>
        <v xml:space="preserve">    </v>
      </c>
      <c r="GW158" s="207" t="str">
        <f t="shared" si="530"/>
        <v xml:space="preserve">       </v>
      </c>
      <c r="GX158" s="598" t="str">
        <f t="shared" si="531"/>
        <v xml:space="preserve">     </v>
      </c>
      <c r="GY158" s="208" t="str">
        <f t="shared" si="405"/>
        <v/>
      </c>
      <c r="GZ158" s="606" t="str">
        <f>IF(AND(Q158="",AE158="",AZ158="",BW158="",CT158=""),"",IF(AND('Master Sheet'!$D$19="YES",'Marks Entry'!$BA$1=1),SUM(Q158,AE158,AZ158,BW158,DT158),SUM(Q158,AE158,AZ158,BW158,CT158)))</f>
        <v/>
      </c>
      <c r="HA158" s="209" t="str">
        <f>IF(GZ158="","",IF(AND('Master Sheet'!$D$19="YES",'Marks Entry'!$BA$1=1),GZ158/((900)-DC158)*100,GZ158/((1000)-DC158)*100))</f>
        <v/>
      </c>
      <c r="HB158" s="611" t="str">
        <f t="shared" si="532"/>
        <v/>
      </c>
      <c r="HC158" s="609" t="str">
        <f t="shared" si="533"/>
        <v/>
      </c>
      <c r="HD158" s="610" t="str">
        <f t="shared" si="534"/>
        <v/>
      </c>
      <c r="HE158" s="210" t="str">
        <f>IFERROR(IF(OR(GY158="SUPPLEMENTARY",GY158="RE-EXAM"),'Supp. Result Entry'!AS157,""),"")</f>
        <v/>
      </c>
      <c r="HF158" s="613" t="str">
        <f t="shared" si="535"/>
        <v/>
      </c>
      <c r="HG158" s="598" t="str">
        <f t="shared" si="536"/>
        <v/>
      </c>
      <c r="HH158" s="598" t="str">
        <f>IF(AND(HE158="",HF158="",HG158=""),"",IF(OR(GY158="SUPPLEMENTARY",GY158="RE-EXAM"),'Supp. Result Entry'!AS157,GY158))</f>
        <v/>
      </c>
      <c r="HI158" s="180"/>
      <c r="HY158" s="212" t="str">
        <f>IF('Supp. Result Entry'!U157="","",'Supp. Result Entry'!$U$6)</f>
        <v/>
      </c>
      <c r="HZ158" s="213" t="str">
        <f>IF('Supp. Result Entry'!X157="","",'Supp. Result Entry'!$X$6)</f>
        <v/>
      </c>
      <c r="IA158" s="213" t="str">
        <f>IF('Supp. Result Entry'!AA157="","",'Supp. Result Entry'!$AA$6)</f>
        <v/>
      </c>
      <c r="IB158" s="213" t="str">
        <f>IF('Supp. Result Entry'!AD157="","",'Supp. Result Entry'!$AD$6)</f>
        <v/>
      </c>
      <c r="IC158" s="213" t="str">
        <f>IF('Supp. Result Entry'!AG157="","",'Supp. Result Entry'!$AG$6)</f>
        <v/>
      </c>
      <c r="ID158" s="213" t="str">
        <f>IF('Supp. Result Entry'!AJ157="","",'Supp. Result Entry'!$AJ$6)</f>
        <v/>
      </c>
      <c r="IE158" s="213" t="str">
        <f>IF('Supp. Result Entry'!V157="","",'Supp. Result Entry'!V157)</f>
        <v/>
      </c>
      <c r="IF158" s="213" t="str">
        <f>IF('Supp. Result Entry'!Y157="","",'Supp. Result Entry'!Y157)</f>
        <v/>
      </c>
      <c r="IG158" s="213" t="str">
        <f>IF('Supp. Result Entry'!AB157="","",'Supp. Result Entry'!AB157)</f>
        <v/>
      </c>
      <c r="IH158" s="213" t="str">
        <f>IF('Supp. Result Entry'!AE157="","",'Supp. Result Entry'!AE157)</f>
        <v/>
      </c>
      <c r="II158" s="213" t="str">
        <f>IF('Supp. Result Entry'!AH157="","",'Supp. Result Entry'!AH157)</f>
        <v/>
      </c>
      <c r="IJ158" s="213" t="str">
        <f>IF('Supp. Result Entry'!AK157="","",'Supp. Result Entry'!AK157)</f>
        <v/>
      </c>
      <c r="IK158" s="213" t="str">
        <f>IF('Supp. Result Entry'!W157="","",'Supp. Result Entry'!W157)</f>
        <v/>
      </c>
      <c r="IL158" s="213" t="str">
        <f>IF('Supp. Result Entry'!Z157="","",'Supp. Result Entry'!Z157)</f>
        <v/>
      </c>
      <c r="IM158" s="213" t="str">
        <f>IF('Supp. Result Entry'!AC157="","",'Supp. Result Entry'!AC157)</f>
        <v/>
      </c>
      <c r="IN158" s="213" t="str">
        <f>IF('Supp. Result Entry'!AF157="","",'Supp. Result Entry'!AF157)</f>
        <v/>
      </c>
      <c r="IO158" s="213" t="str">
        <f>IF('Supp. Result Entry'!AI157="","",'Supp. Result Entry'!AI157)</f>
        <v/>
      </c>
      <c r="IP158" s="213" t="str">
        <f>IF('Supp. Result Entry'!AL157="","",'Supp. Result Entry'!AL157)</f>
        <v/>
      </c>
      <c r="IQ158" s="213">
        <f>COUNTIF('Supp. Result Entry'!K157:Q157,"S")</f>
        <v>0</v>
      </c>
      <c r="IR158" s="213">
        <f t="shared" si="537"/>
        <v>0</v>
      </c>
      <c r="IS158" s="213">
        <f t="shared" si="538"/>
        <v>0</v>
      </c>
      <c r="IT158" s="213" t="str">
        <f t="shared" si="406"/>
        <v/>
      </c>
      <c r="IU158" s="213" t="str">
        <f t="shared" si="407"/>
        <v/>
      </c>
      <c r="IV158" s="213" t="str">
        <f t="shared" si="408"/>
        <v/>
      </c>
      <c r="IW158" s="213" t="str">
        <f t="shared" si="409"/>
        <v/>
      </c>
      <c r="IX158" s="213" t="str">
        <f t="shared" si="410"/>
        <v/>
      </c>
      <c r="IY158" s="213" t="str">
        <f t="shared" si="539"/>
        <v/>
      </c>
      <c r="IZ158" s="213" t="str">
        <f t="shared" si="540"/>
        <v/>
      </c>
      <c r="JA158" s="213" t="str">
        <f t="shared" si="411"/>
        <v/>
      </c>
      <c r="JB158" s="211" t="str">
        <f t="shared" si="541"/>
        <v/>
      </c>
    </row>
    <row r="159" spans="1:262" s="211" customFormat="1" ht="21" customHeight="1">
      <c r="A159" s="184">
        <v>152</v>
      </c>
      <c r="B159" s="185" t="str">
        <f>IF('Marks Entry'!B159="","",'Marks Entry'!B159)</f>
        <v/>
      </c>
      <c r="C159" s="186" t="str">
        <f>IF('Marks Entry'!D159="","",'Marks Entry'!D159)</f>
        <v/>
      </c>
      <c r="D159" s="187" t="str">
        <f>IF('Marks Entry'!E159="","",'Marks Entry'!E159)</f>
        <v/>
      </c>
      <c r="E159" s="188" t="str">
        <f>IF('Marks Entry'!F159="","",'Marks Entry'!F159)</f>
        <v/>
      </c>
      <c r="F159" s="188" t="str">
        <f>IF('Marks Entry'!G159="","",'Marks Entry'!G159)</f>
        <v/>
      </c>
      <c r="G159" s="188" t="str">
        <f>IF('Marks Entry'!H159="","",'Marks Entry'!H159)</f>
        <v/>
      </c>
      <c r="H159" s="189" t="str">
        <f>IF('Marks Entry'!I159="","",'Marks Entry'!I159)</f>
        <v/>
      </c>
      <c r="I159" s="190" t="str">
        <f>IF('Marks Entry'!J159="","",'Marks Entry'!J159)</f>
        <v/>
      </c>
      <c r="J159" s="545" t="str">
        <f>IF('Marks Entry'!K159="","",'Marks Entry'!K159)</f>
        <v/>
      </c>
      <c r="K159" s="545" t="str">
        <f>IF('Marks Entry'!L159="","",'Marks Entry'!L159)</f>
        <v/>
      </c>
      <c r="L159" s="545" t="str">
        <f>IF('Marks Entry'!M159="","",'Marks Entry'!M159)</f>
        <v/>
      </c>
      <c r="M159" s="546" t="str">
        <f t="shared" si="412"/>
        <v/>
      </c>
      <c r="N159" s="545" t="str">
        <f>IF('Marks Entry'!N159="","",'Marks Entry'!N159)</f>
        <v/>
      </c>
      <c r="O159" s="546" t="str">
        <f t="shared" si="413"/>
        <v/>
      </c>
      <c r="P159" s="545" t="str">
        <f>IF('Marks Entry'!O159="","",'Marks Entry'!O159)</f>
        <v/>
      </c>
      <c r="Q159" s="547" t="str">
        <f t="shared" si="414"/>
        <v/>
      </c>
      <c r="R159" s="153">
        <f t="shared" si="415"/>
        <v>0</v>
      </c>
      <c r="S159" s="153">
        <f t="shared" si="416"/>
        <v>0</v>
      </c>
      <c r="T159" s="154" t="str">
        <f t="shared" si="417"/>
        <v/>
      </c>
      <c r="U159" s="153" t="str">
        <f t="shared" si="418"/>
        <v/>
      </c>
      <c r="V159" s="153" t="str">
        <f t="shared" si="419"/>
        <v/>
      </c>
      <c r="W159" s="153" t="str">
        <f t="shared" si="420"/>
        <v/>
      </c>
      <c r="X159" s="545" t="str">
        <f>IF('Marks Entry'!P159="","",'Marks Entry'!P159)</f>
        <v/>
      </c>
      <c r="Y159" s="545" t="str">
        <f>IF('Marks Entry'!Q159="","",'Marks Entry'!Q159)</f>
        <v/>
      </c>
      <c r="Z159" s="545" t="str">
        <f>IF('Marks Entry'!R159="","",'Marks Entry'!R159)</f>
        <v/>
      </c>
      <c r="AA159" s="546" t="str">
        <f t="shared" si="421"/>
        <v/>
      </c>
      <c r="AB159" s="545" t="str">
        <f>IF('Marks Entry'!S159="","",'Marks Entry'!S159)</f>
        <v/>
      </c>
      <c r="AC159" s="546" t="str">
        <f t="shared" si="422"/>
        <v/>
      </c>
      <c r="AD159" s="545" t="str">
        <f>IF('Marks Entry'!T159="","",'Marks Entry'!T159)</f>
        <v/>
      </c>
      <c r="AE159" s="547" t="str">
        <f t="shared" si="423"/>
        <v/>
      </c>
      <c r="AF159" s="153">
        <f t="shared" si="424"/>
        <v>0</v>
      </c>
      <c r="AG159" s="153">
        <f t="shared" si="425"/>
        <v>0</v>
      </c>
      <c r="AH159" s="154" t="str">
        <f t="shared" si="426"/>
        <v/>
      </c>
      <c r="AI159" s="153" t="str">
        <f t="shared" si="427"/>
        <v/>
      </c>
      <c r="AJ159" s="153" t="str">
        <f t="shared" si="428"/>
        <v/>
      </c>
      <c r="AK159" s="153" t="str">
        <f t="shared" si="429"/>
        <v/>
      </c>
      <c r="AL159" s="573" t="str">
        <f>IF('Marks Entry'!U159="","",'Marks Entry'!U159)</f>
        <v/>
      </c>
      <c r="AM159" s="573" t="str">
        <f>IF('Marks Entry'!V159="","",'Marks Entry'!V159)</f>
        <v/>
      </c>
      <c r="AN159" s="573" t="str">
        <f>IF('Marks Entry'!W159="","",'Marks Entry'!W159)</f>
        <v/>
      </c>
      <c r="AO159" s="573" t="str">
        <f>IF('Marks Entry'!X159="","",'Marks Entry'!X159)</f>
        <v/>
      </c>
      <c r="AP159" s="572" t="str">
        <f t="shared" si="430"/>
        <v/>
      </c>
      <c r="AQ159" s="573" t="str">
        <f>IF('Marks Entry'!Y159="","",'Marks Entry'!Y159)</f>
        <v/>
      </c>
      <c r="AR159" s="573" t="str">
        <f>IF('Marks Entry'!Z159="","",'Marks Entry'!Z159)</f>
        <v/>
      </c>
      <c r="AS159" s="572" t="str">
        <f t="shared" si="431"/>
        <v/>
      </c>
      <c r="AT159" s="572" t="str">
        <f t="shared" si="432"/>
        <v/>
      </c>
      <c r="AU159" s="573" t="str">
        <f>IF('Marks Entry'!AA159="","",'Marks Entry'!AA159)</f>
        <v/>
      </c>
      <c r="AV159" s="573" t="str">
        <f>IF('Marks Entry'!AB159="","",'Marks Entry'!AB159)</f>
        <v/>
      </c>
      <c r="AW159" s="572" t="str">
        <f t="shared" si="433"/>
        <v/>
      </c>
      <c r="AX159" s="157" t="str">
        <f t="shared" si="434"/>
        <v/>
      </c>
      <c r="AY159" s="157" t="str">
        <f t="shared" si="435"/>
        <v/>
      </c>
      <c r="AZ159" s="192" t="str">
        <f t="shared" si="436"/>
        <v/>
      </c>
      <c r="BA159" s="153">
        <f t="shared" si="437"/>
        <v>0</v>
      </c>
      <c r="BB159" s="154">
        <f t="shared" si="438"/>
        <v>0</v>
      </c>
      <c r="BC159" s="154" t="str">
        <f t="shared" si="439"/>
        <v/>
      </c>
      <c r="BD159" s="154" t="str">
        <f t="shared" si="440"/>
        <v/>
      </c>
      <c r="BE159" s="154" t="str">
        <f t="shared" si="441"/>
        <v/>
      </c>
      <c r="BF159" s="153" t="str">
        <f t="shared" si="442"/>
        <v/>
      </c>
      <c r="BG159" s="154" t="str">
        <f t="shared" si="443"/>
        <v/>
      </c>
      <c r="BH159" s="153" t="str">
        <f t="shared" si="444"/>
        <v/>
      </c>
      <c r="BI159" s="580" t="str">
        <f>IF('Marks Entry'!AC159="","",'Marks Entry'!AC159)</f>
        <v/>
      </c>
      <c r="BJ159" s="580" t="str">
        <f>IF('Marks Entry'!AD159="","",'Marks Entry'!AD159)</f>
        <v/>
      </c>
      <c r="BK159" s="580" t="str">
        <f>IF('Marks Entry'!AE159="","",'Marks Entry'!AE159)</f>
        <v/>
      </c>
      <c r="BL159" s="580" t="str">
        <f>IF('Marks Entry'!AF159="","",'Marks Entry'!AF159)</f>
        <v/>
      </c>
      <c r="BM159" s="581" t="str">
        <f t="shared" si="445"/>
        <v/>
      </c>
      <c r="BN159" s="580" t="str">
        <f>IF('Marks Entry'!AG159="","",'Marks Entry'!AG159)</f>
        <v/>
      </c>
      <c r="BO159" s="580" t="str">
        <f>IF('Marks Entry'!AH159="","",'Marks Entry'!AH159)</f>
        <v/>
      </c>
      <c r="BP159" s="581" t="str">
        <f t="shared" si="446"/>
        <v/>
      </c>
      <c r="BQ159" s="581" t="str">
        <f t="shared" si="447"/>
        <v/>
      </c>
      <c r="BR159" s="580" t="str">
        <f>IF('Marks Entry'!AI159="","",'Marks Entry'!AI159)</f>
        <v/>
      </c>
      <c r="BS159" s="580" t="str">
        <f>IF('Marks Entry'!AJ159="","",'Marks Entry'!AJ159)</f>
        <v/>
      </c>
      <c r="BT159" s="581" t="str">
        <f t="shared" si="448"/>
        <v/>
      </c>
      <c r="BU159" s="157" t="str">
        <f t="shared" si="449"/>
        <v/>
      </c>
      <c r="BV159" s="157" t="str">
        <f t="shared" si="450"/>
        <v/>
      </c>
      <c r="BW159" s="192" t="str">
        <f t="shared" si="451"/>
        <v/>
      </c>
      <c r="BX159" s="153">
        <f t="shared" si="452"/>
        <v>0</v>
      </c>
      <c r="BY159" s="154">
        <f t="shared" si="453"/>
        <v>0</v>
      </c>
      <c r="BZ159" s="154" t="str">
        <f t="shared" si="454"/>
        <v/>
      </c>
      <c r="CA159" s="154" t="str">
        <f t="shared" si="455"/>
        <v/>
      </c>
      <c r="CB159" s="154" t="str">
        <f t="shared" si="456"/>
        <v/>
      </c>
      <c r="CC159" s="153" t="str">
        <f t="shared" si="457"/>
        <v/>
      </c>
      <c r="CD159" s="154" t="str">
        <f t="shared" si="458"/>
        <v/>
      </c>
      <c r="CE159" s="153" t="str">
        <f t="shared" si="459"/>
        <v/>
      </c>
      <c r="CF159" s="580" t="str">
        <f>IF('Marks Entry'!AK159="","",'Marks Entry'!AK159)</f>
        <v/>
      </c>
      <c r="CG159" s="580" t="str">
        <f>IF('Marks Entry'!AL159="","",'Marks Entry'!AL159)</f>
        <v/>
      </c>
      <c r="CH159" s="580" t="str">
        <f>IF('Marks Entry'!AM159="","",'Marks Entry'!AM159)</f>
        <v/>
      </c>
      <c r="CI159" s="580" t="str">
        <f>IF('Marks Entry'!AN159="","",'Marks Entry'!AN159)</f>
        <v/>
      </c>
      <c r="CJ159" s="581" t="str">
        <f t="shared" si="460"/>
        <v/>
      </c>
      <c r="CK159" s="580" t="str">
        <f>IF('Marks Entry'!AO159="","",'Marks Entry'!AO159)</f>
        <v/>
      </c>
      <c r="CL159" s="580" t="str">
        <f>IF('Marks Entry'!AP159="","",'Marks Entry'!AP159)</f>
        <v/>
      </c>
      <c r="CM159" s="581" t="str">
        <f t="shared" si="461"/>
        <v/>
      </c>
      <c r="CN159" s="581" t="str">
        <f t="shared" si="462"/>
        <v/>
      </c>
      <c r="CO159" s="580" t="str">
        <f>IF('Marks Entry'!AQ159="","",'Marks Entry'!AQ159)</f>
        <v/>
      </c>
      <c r="CP159" s="580" t="str">
        <f>IF('Marks Entry'!AR159="","",'Marks Entry'!AR159)</f>
        <v/>
      </c>
      <c r="CQ159" s="581" t="str">
        <f t="shared" si="463"/>
        <v/>
      </c>
      <c r="CR159" s="157" t="str">
        <f t="shared" si="464"/>
        <v/>
      </c>
      <c r="CS159" s="157" t="str">
        <f t="shared" si="465"/>
        <v/>
      </c>
      <c r="CT159" s="192" t="str">
        <f t="shared" si="466"/>
        <v/>
      </c>
      <c r="CU159" s="153">
        <f t="shared" si="467"/>
        <v>0</v>
      </c>
      <c r="CV159" s="154">
        <f t="shared" si="468"/>
        <v>0</v>
      </c>
      <c r="CW159" s="154" t="str">
        <f t="shared" si="469"/>
        <v/>
      </c>
      <c r="CX159" s="154" t="str">
        <f t="shared" si="470"/>
        <v/>
      </c>
      <c r="CY159" s="154" t="str">
        <f t="shared" si="471"/>
        <v/>
      </c>
      <c r="CZ159" s="153" t="str">
        <f t="shared" si="472"/>
        <v/>
      </c>
      <c r="DA159" s="154" t="str">
        <f t="shared" si="473"/>
        <v/>
      </c>
      <c r="DB159" s="153" t="str">
        <f t="shared" si="474"/>
        <v/>
      </c>
      <c r="DC159" s="154">
        <f t="shared" si="475"/>
        <v>0</v>
      </c>
      <c r="DD159" s="826" t="str">
        <f>IF('Marks Entry'!AS159="","",IF(OR('Master Sheet'!$D$19="YES",'Marks Entry'!$BA$1=1),'Marks Entry'!AS159,""))</f>
        <v/>
      </c>
      <c r="DE159" s="826" t="str">
        <f>IF('Marks Entry'!AT159="","",IF(OR('Master Sheet'!$D$19="YES",'Marks Entry'!$BA$1=1),'Marks Entry'!AT159,""))</f>
        <v/>
      </c>
      <c r="DF159" s="826" t="str">
        <f>IF('Marks Entry'!AU159="","",IF(OR('Master Sheet'!$D$19="YES",'Marks Entry'!$BA$1=1),'Marks Entry'!AU159,""))</f>
        <v/>
      </c>
      <c r="DG159" s="826" t="str">
        <f>IF('Marks Entry'!AV159="","",IF(OR('Master Sheet'!$D$19="YES",'Marks Entry'!$BA$1=1),'Marks Entry'!AV159,""))</f>
        <v/>
      </c>
      <c r="DH159" s="827" t="str">
        <f t="shared" si="476"/>
        <v/>
      </c>
      <c r="DI159" s="826" t="str">
        <f>IF('Marks Entry'!AW159="","",IF(OR('Master Sheet'!$D$19="YES",'Marks Entry'!$BA$1=1),'Marks Entry'!AW159,""))</f>
        <v/>
      </c>
      <c r="DJ159" s="826" t="str">
        <f>IF('Marks Entry'!AX159="","",IF(OR('Master Sheet'!$D$19="YES",'Marks Entry'!$BA$1=1),'Marks Entry'!AX159,""))</f>
        <v/>
      </c>
      <c r="DK159" s="827" t="str">
        <f t="shared" si="477"/>
        <v/>
      </c>
      <c r="DL159" s="827" t="str">
        <f t="shared" si="478"/>
        <v/>
      </c>
      <c r="DM159" s="826" t="str">
        <f>IF('Marks Entry'!AY159="","",IF(OR('Master Sheet'!$D$19="YES",'Marks Entry'!$BA$1=1),'Marks Entry'!AY159,""))</f>
        <v/>
      </c>
      <c r="DN159" s="826" t="str">
        <f>IF('Marks Entry'!AZ159="","",IF(OR('Master Sheet'!$D$19="YES",'Marks Entry'!$BA$1=1),'Marks Entry'!AZ159,""))</f>
        <v/>
      </c>
      <c r="DO159" s="826" t="str">
        <f>IF('Marks Entry'!BA159="","",IF(OR('Master Sheet'!$D$19="YES",'Marks Entry'!$BA$1=1),'Marks Entry'!BA159,""))</f>
        <v/>
      </c>
      <c r="DP159" s="827" t="str">
        <f t="shared" si="479"/>
        <v/>
      </c>
      <c r="DQ159" s="157" t="str">
        <f t="shared" si="480"/>
        <v/>
      </c>
      <c r="DR159" s="157" t="str">
        <f t="shared" si="481"/>
        <v/>
      </c>
      <c r="DS159" s="157" t="str">
        <f t="shared" si="482"/>
        <v/>
      </c>
      <c r="DT159" s="192" t="str">
        <f t="shared" si="483"/>
        <v/>
      </c>
      <c r="DU159" s="153">
        <f t="shared" si="484"/>
        <v>0</v>
      </c>
      <c r="DV159" s="154" t="e">
        <f t="shared" si="485"/>
        <v>#VALUE!</v>
      </c>
      <c r="DW159" s="154" t="str">
        <f t="shared" si="486"/>
        <v/>
      </c>
      <c r="DX159" s="154" t="str">
        <f>IF(OR($B159="NSO",$B159=0,DS159=""),"",IF(AND(DJ159="",DO159=""),"",IF('Master Sheet'!$D$19="YES",$DO$6-COUNTIF(DO159,"ML")*DO$6,DS$6-(COUNTIF(DJ159,"ML")*DJ$6)-(COUNTIF(DO159,"ML")*DO$6))))</f>
        <v/>
      </c>
      <c r="DY159" s="154" t="str">
        <f>IF(OR($B159="NSO",$B159=0),"",IF(AND(DH159="",DI159="",DM159=""),"",IF(AND('Master Sheet'!$D$19="YES",'Marks Entry'!$BA$1=1),100,IF(AND(DJ159="",DO159=""),SUM(($DQ$7+$DR$7)-(DU159+DV159)),SUM(($DQ$6+$DR$6)-(DU159+DV159))))))</f>
        <v/>
      </c>
      <c r="DZ159" s="153" t="str">
        <f t="shared" si="487"/>
        <v/>
      </c>
      <c r="EA159" s="154" t="str">
        <f t="shared" si="488"/>
        <v/>
      </c>
      <c r="EB159" s="153" t="str">
        <f t="shared" si="489"/>
        <v/>
      </c>
      <c r="EC159" s="584" t="str">
        <f>IF('Marks Entry'!BB159="","",'Marks Entry'!BB159)</f>
        <v/>
      </c>
      <c r="ED159" s="584" t="str">
        <f>IF('Marks Entry'!BC159="","",'Marks Entry'!BC159)</f>
        <v/>
      </c>
      <c r="EE159" s="584" t="str">
        <f>IF('Marks Entry'!BD159="","",'Marks Entry'!BD159)</f>
        <v/>
      </c>
      <c r="EF159" s="590" t="str">
        <f t="shared" si="490"/>
        <v/>
      </c>
      <c r="EG159" s="595">
        <f t="shared" si="491"/>
        <v>0</v>
      </c>
      <c r="EH159" s="595">
        <f t="shared" si="492"/>
        <v>0</v>
      </c>
      <c r="EI159" s="193" t="str">
        <f t="shared" si="493"/>
        <v/>
      </c>
      <c r="EJ159" s="595" t="str">
        <f t="shared" si="494"/>
        <v/>
      </c>
      <c r="EK159" s="595" t="str">
        <f t="shared" si="495"/>
        <v/>
      </c>
      <c r="EL159" s="194" t="str">
        <f t="shared" si="496"/>
        <v/>
      </c>
      <c r="EM159" s="194" t="str">
        <f t="shared" si="497"/>
        <v/>
      </c>
      <c r="EN159" s="194" t="str">
        <f t="shared" si="498"/>
        <v/>
      </c>
      <c r="EO159" s="194" t="str">
        <f t="shared" si="499"/>
        <v/>
      </c>
      <c r="EP159" s="194" t="str">
        <f t="shared" si="500"/>
        <v/>
      </c>
      <c r="EQ159" s="194" t="str">
        <f t="shared" si="501"/>
        <v/>
      </c>
      <c r="ER159" s="195">
        <f t="shared" si="502"/>
        <v>0</v>
      </c>
      <c r="ES159" s="195">
        <f t="shared" si="503"/>
        <v>0</v>
      </c>
      <c r="ET159" s="195">
        <f t="shared" si="504"/>
        <v>0</v>
      </c>
      <c r="EU159" s="195">
        <f t="shared" si="505"/>
        <v>0</v>
      </c>
      <c r="EV159" s="195">
        <f t="shared" si="506"/>
        <v>0</v>
      </c>
      <c r="EW159" s="195" t="str">
        <f t="shared" si="507"/>
        <v/>
      </c>
      <c r="EX159" s="196" t="str">
        <f t="shared" si="508"/>
        <v/>
      </c>
      <c r="EY159" s="197" t="str">
        <f>IF('Marks Entry'!BE159="","",'Marks Entry'!BE159)</f>
        <v/>
      </c>
      <c r="EZ159" s="197" t="str">
        <f>IF('Marks Entry'!BF159="","",'Marks Entry'!BF159)</f>
        <v/>
      </c>
      <c r="FA159" s="197" t="str">
        <f>IF('Marks Entry'!BG159="","",'Marks Entry'!BG159)</f>
        <v/>
      </c>
      <c r="FB159" s="596" t="str">
        <f t="shared" si="509"/>
        <v/>
      </c>
      <c r="FC159" s="197" t="str">
        <f>IF('Marks Entry'!BH159="","",'Marks Entry'!BH159)</f>
        <v/>
      </c>
      <c r="FD159" s="197" t="str">
        <f>IF('Marks Entry'!BI159="","",'Marks Entry'!BI159)</f>
        <v/>
      </c>
      <c r="FE159" s="198" t="str">
        <f t="shared" si="510"/>
        <v/>
      </c>
      <c r="FF159" s="199" t="str">
        <f t="shared" si="511"/>
        <v/>
      </c>
      <c r="FG159" s="200" t="str">
        <f>IF(AND(E159=""),"",IF('Student DATA Entry'!L155="","",'Student DATA Entry'!L155))</f>
        <v/>
      </c>
      <c r="FH159" s="201" t="str">
        <f>IF(AND(E159=""),"",IF('Student DATA Entry'!M155="","",'Student DATA Entry'!M155))</f>
        <v/>
      </c>
      <c r="FI159" s="202" t="str">
        <f t="shared" si="512"/>
        <v/>
      </c>
      <c r="FJ159" s="189" t="str">
        <f t="shared" si="513"/>
        <v/>
      </c>
      <c r="FK159" s="189" t="str">
        <f t="shared" si="514"/>
        <v/>
      </c>
      <c r="FL159" s="203" t="str">
        <f t="shared" si="383"/>
        <v/>
      </c>
      <c r="FM159" s="189" t="str">
        <f t="shared" si="515"/>
        <v/>
      </c>
      <c r="FN159" s="204" t="str">
        <f t="shared" si="516"/>
        <v/>
      </c>
      <c r="FO159" s="203" t="str">
        <f t="shared" si="384"/>
        <v/>
      </c>
      <c r="FP159" s="205" t="str">
        <f t="shared" si="517"/>
        <v/>
      </c>
      <c r="FQ159" s="189" t="str">
        <f t="shared" si="385"/>
        <v/>
      </c>
      <c r="FR159" s="189" t="str">
        <f t="shared" si="386"/>
        <v/>
      </c>
      <c r="FS159" s="189" t="str">
        <f t="shared" si="387"/>
        <v/>
      </c>
      <c r="FT159" s="189" t="str">
        <f t="shared" si="388"/>
        <v/>
      </c>
      <c r="FU159" s="189" t="str">
        <f t="shared" si="518"/>
        <v/>
      </c>
      <c r="FV159" s="206" t="str">
        <f t="shared" si="389"/>
        <v/>
      </c>
      <c r="FW159" s="205" t="str">
        <f t="shared" si="519"/>
        <v/>
      </c>
      <c r="FX159" s="189" t="str">
        <f t="shared" si="390"/>
        <v/>
      </c>
      <c r="FY159" s="189" t="str">
        <f t="shared" si="391"/>
        <v/>
      </c>
      <c r="FZ159" s="189" t="str">
        <f t="shared" si="392"/>
        <v/>
      </c>
      <c r="GA159" s="189" t="str">
        <f t="shared" si="393"/>
        <v/>
      </c>
      <c r="GB159" s="189" t="str">
        <f t="shared" si="520"/>
        <v/>
      </c>
      <c r="GC159" s="206" t="str">
        <f t="shared" si="394"/>
        <v/>
      </c>
      <c r="GD159" s="205" t="str">
        <f t="shared" si="521"/>
        <v/>
      </c>
      <c r="GE159" s="189" t="str">
        <f t="shared" si="395"/>
        <v/>
      </c>
      <c r="GF159" s="189" t="str">
        <f t="shared" si="396"/>
        <v/>
      </c>
      <c r="GG159" s="189" t="str">
        <f t="shared" si="397"/>
        <v/>
      </c>
      <c r="GH159" s="189" t="str">
        <f t="shared" si="398"/>
        <v/>
      </c>
      <c r="GI159" s="189" t="str">
        <f t="shared" si="522"/>
        <v/>
      </c>
      <c r="GJ159" s="206" t="str">
        <f t="shared" si="399"/>
        <v/>
      </c>
      <c r="GK159" s="205" t="str">
        <f t="shared" si="523"/>
        <v/>
      </c>
      <c r="GL159" s="189" t="str">
        <f t="shared" si="400"/>
        <v/>
      </c>
      <c r="GM159" s="189" t="str">
        <f t="shared" si="401"/>
        <v/>
      </c>
      <c r="GN159" s="189" t="str">
        <f t="shared" si="402"/>
        <v/>
      </c>
      <c r="GO159" s="189" t="str">
        <f t="shared" si="403"/>
        <v/>
      </c>
      <c r="GP159" s="189" t="str">
        <f t="shared" si="524"/>
        <v/>
      </c>
      <c r="GQ159" s="206" t="str">
        <f t="shared" si="404"/>
        <v/>
      </c>
      <c r="GR159" s="189" t="str">
        <f t="shared" si="525"/>
        <v/>
      </c>
      <c r="GS159" s="189" t="str">
        <f t="shared" si="526"/>
        <v/>
      </c>
      <c r="GT159" s="207" t="str">
        <f t="shared" si="527"/>
        <v xml:space="preserve">    </v>
      </c>
      <c r="GU159" s="207" t="str">
        <f t="shared" si="528"/>
        <v xml:space="preserve">    </v>
      </c>
      <c r="GV159" s="207" t="str">
        <f t="shared" si="529"/>
        <v xml:space="preserve">    </v>
      </c>
      <c r="GW159" s="207" t="str">
        <f t="shared" si="530"/>
        <v xml:space="preserve">       </v>
      </c>
      <c r="GX159" s="598" t="str">
        <f t="shared" si="531"/>
        <v xml:space="preserve">     </v>
      </c>
      <c r="GY159" s="208" t="str">
        <f t="shared" si="405"/>
        <v/>
      </c>
      <c r="GZ159" s="606" t="str">
        <f>IF(AND(Q159="",AE159="",AZ159="",BW159="",CT159=""),"",IF(AND('Master Sheet'!$D$19="YES",'Marks Entry'!$BA$1=1),SUM(Q159,AE159,AZ159,BW159,DT159),SUM(Q159,AE159,AZ159,BW159,CT159)))</f>
        <v/>
      </c>
      <c r="HA159" s="209" t="str">
        <f>IF(GZ159="","",IF(AND('Master Sheet'!$D$19="YES",'Marks Entry'!$BA$1=1),GZ159/((900)-DC159)*100,GZ159/((1000)-DC159)*100))</f>
        <v/>
      </c>
      <c r="HB159" s="611" t="str">
        <f t="shared" si="532"/>
        <v/>
      </c>
      <c r="HC159" s="609" t="str">
        <f t="shared" si="533"/>
        <v/>
      </c>
      <c r="HD159" s="610" t="str">
        <f t="shared" si="534"/>
        <v/>
      </c>
      <c r="HE159" s="210" t="str">
        <f>IFERROR(IF(OR(GY159="SUPPLEMENTARY",GY159="RE-EXAM"),'Supp. Result Entry'!AS158,""),"")</f>
        <v/>
      </c>
      <c r="HF159" s="613" t="str">
        <f t="shared" si="535"/>
        <v/>
      </c>
      <c r="HG159" s="598" t="str">
        <f t="shared" si="536"/>
        <v/>
      </c>
      <c r="HH159" s="598" t="str">
        <f>IF(AND(HE159="",HF159="",HG159=""),"",IF(OR(GY159="SUPPLEMENTARY",GY159="RE-EXAM"),'Supp. Result Entry'!AS158,GY159))</f>
        <v/>
      </c>
      <c r="HI159" s="180"/>
      <c r="HY159" s="212" t="str">
        <f>IF('Supp. Result Entry'!U158="","",'Supp. Result Entry'!$U$6)</f>
        <v/>
      </c>
      <c r="HZ159" s="213" t="str">
        <f>IF('Supp. Result Entry'!X158="","",'Supp. Result Entry'!$X$6)</f>
        <v/>
      </c>
      <c r="IA159" s="213" t="str">
        <f>IF('Supp. Result Entry'!AA158="","",'Supp. Result Entry'!$AA$6)</f>
        <v/>
      </c>
      <c r="IB159" s="213" t="str">
        <f>IF('Supp. Result Entry'!AD158="","",'Supp. Result Entry'!$AD$6)</f>
        <v/>
      </c>
      <c r="IC159" s="213" t="str">
        <f>IF('Supp. Result Entry'!AG158="","",'Supp. Result Entry'!$AG$6)</f>
        <v/>
      </c>
      <c r="ID159" s="213" t="str">
        <f>IF('Supp. Result Entry'!AJ158="","",'Supp. Result Entry'!$AJ$6)</f>
        <v/>
      </c>
      <c r="IE159" s="213" t="str">
        <f>IF('Supp. Result Entry'!V158="","",'Supp. Result Entry'!V158)</f>
        <v/>
      </c>
      <c r="IF159" s="213" t="str">
        <f>IF('Supp. Result Entry'!Y158="","",'Supp. Result Entry'!Y158)</f>
        <v/>
      </c>
      <c r="IG159" s="213" t="str">
        <f>IF('Supp. Result Entry'!AB158="","",'Supp. Result Entry'!AB158)</f>
        <v/>
      </c>
      <c r="IH159" s="213" t="str">
        <f>IF('Supp. Result Entry'!AE158="","",'Supp. Result Entry'!AE158)</f>
        <v/>
      </c>
      <c r="II159" s="213" t="str">
        <f>IF('Supp. Result Entry'!AH158="","",'Supp. Result Entry'!AH158)</f>
        <v/>
      </c>
      <c r="IJ159" s="213" t="str">
        <f>IF('Supp. Result Entry'!AK158="","",'Supp. Result Entry'!AK158)</f>
        <v/>
      </c>
      <c r="IK159" s="213" t="str">
        <f>IF('Supp. Result Entry'!W158="","",'Supp. Result Entry'!W158)</f>
        <v/>
      </c>
      <c r="IL159" s="213" t="str">
        <f>IF('Supp. Result Entry'!Z158="","",'Supp. Result Entry'!Z158)</f>
        <v/>
      </c>
      <c r="IM159" s="213" t="str">
        <f>IF('Supp. Result Entry'!AC158="","",'Supp. Result Entry'!AC158)</f>
        <v/>
      </c>
      <c r="IN159" s="213" t="str">
        <f>IF('Supp. Result Entry'!AF158="","",'Supp. Result Entry'!AF158)</f>
        <v/>
      </c>
      <c r="IO159" s="213" t="str">
        <f>IF('Supp. Result Entry'!AI158="","",'Supp. Result Entry'!AI158)</f>
        <v/>
      </c>
      <c r="IP159" s="213" t="str">
        <f>IF('Supp. Result Entry'!AL158="","",'Supp. Result Entry'!AL158)</f>
        <v/>
      </c>
      <c r="IQ159" s="213">
        <f>COUNTIF('Supp. Result Entry'!K158:Q158,"S")</f>
        <v>0</v>
      </c>
      <c r="IR159" s="213">
        <f t="shared" si="537"/>
        <v>0</v>
      </c>
      <c r="IS159" s="213">
        <f t="shared" si="538"/>
        <v>0</v>
      </c>
      <c r="IT159" s="213" t="str">
        <f t="shared" si="406"/>
        <v/>
      </c>
      <c r="IU159" s="213" t="str">
        <f t="shared" si="407"/>
        <v/>
      </c>
      <c r="IV159" s="213" t="str">
        <f t="shared" si="408"/>
        <v/>
      </c>
      <c r="IW159" s="213" t="str">
        <f t="shared" si="409"/>
        <v/>
      </c>
      <c r="IX159" s="213" t="str">
        <f t="shared" si="410"/>
        <v/>
      </c>
      <c r="IY159" s="213" t="str">
        <f t="shared" si="539"/>
        <v/>
      </c>
      <c r="IZ159" s="213" t="str">
        <f t="shared" si="540"/>
        <v/>
      </c>
      <c r="JA159" s="213" t="str">
        <f t="shared" si="411"/>
        <v/>
      </c>
      <c r="JB159" s="211" t="str">
        <f t="shared" si="541"/>
        <v/>
      </c>
    </row>
    <row r="160" spans="1:262" s="211" customFormat="1" ht="21" customHeight="1">
      <c r="A160" s="184">
        <v>153</v>
      </c>
      <c r="B160" s="185" t="str">
        <f>IF('Marks Entry'!B160="","",'Marks Entry'!B160)</f>
        <v/>
      </c>
      <c r="C160" s="186" t="str">
        <f>IF('Marks Entry'!D160="","",'Marks Entry'!D160)</f>
        <v/>
      </c>
      <c r="D160" s="187" t="str">
        <f>IF('Marks Entry'!E160="","",'Marks Entry'!E160)</f>
        <v/>
      </c>
      <c r="E160" s="188" t="str">
        <f>IF('Marks Entry'!F160="","",'Marks Entry'!F160)</f>
        <v/>
      </c>
      <c r="F160" s="188" t="str">
        <f>IF('Marks Entry'!G160="","",'Marks Entry'!G160)</f>
        <v/>
      </c>
      <c r="G160" s="188" t="str">
        <f>IF('Marks Entry'!H160="","",'Marks Entry'!H160)</f>
        <v/>
      </c>
      <c r="H160" s="189" t="str">
        <f>IF('Marks Entry'!I160="","",'Marks Entry'!I160)</f>
        <v/>
      </c>
      <c r="I160" s="190" t="str">
        <f>IF('Marks Entry'!J160="","",'Marks Entry'!J160)</f>
        <v/>
      </c>
      <c r="J160" s="545" t="str">
        <f>IF('Marks Entry'!K160="","",'Marks Entry'!K160)</f>
        <v/>
      </c>
      <c r="K160" s="545" t="str">
        <f>IF('Marks Entry'!L160="","",'Marks Entry'!L160)</f>
        <v/>
      </c>
      <c r="L160" s="545" t="str">
        <f>IF('Marks Entry'!M160="","",'Marks Entry'!M160)</f>
        <v/>
      </c>
      <c r="M160" s="546" t="str">
        <f t="shared" si="412"/>
        <v/>
      </c>
      <c r="N160" s="545" t="str">
        <f>IF('Marks Entry'!N160="","",'Marks Entry'!N160)</f>
        <v/>
      </c>
      <c r="O160" s="546" t="str">
        <f t="shared" si="413"/>
        <v/>
      </c>
      <c r="P160" s="545" t="str">
        <f>IF('Marks Entry'!O160="","",'Marks Entry'!O160)</f>
        <v/>
      </c>
      <c r="Q160" s="547" t="str">
        <f t="shared" si="414"/>
        <v/>
      </c>
      <c r="R160" s="153">
        <f t="shared" si="415"/>
        <v>0</v>
      </c>
      <c r="S160" s="153">
        <f t="shared" si="416"/>
        <v>0</v>
      </c>
      <c r="T160" s="154" t="str">
        <f t="shared" si="417"/>
        <v/>
      </c>
      <c r="U160" s="153" t="str">
        <f t="shared" si="418"/>
        <v/>
      </c>
      <c r="V160" s="153" t="str">
        <f t="shared" si="419"/>
        <v/>
      </c>
      <c r="W160" s="153" t="str">
        <f t="shared" si="420"/>
        <v/>
      </c>
      <c r="X160" s="545" t="str">
        <f>IF('Marks Entry'!P160="","",'Marks Entry'!P160)</f>
        <v/>
      </c>
      <c r="Y160" s="545" t="str">
        <f>IF('Marks Entry'!Q160="","",'Marks Entry'!Q160)</f>
        <v/>
      </c>
      <c r="Z160" s="545" t="str">
        <f>IF('Marks Entry'!R160="","",'Marks Entry'!R160)</f>
        <v/>
      </c>
      <c r="AA160" s="546" t="str">
        <f t="shared" si="421"/>
        <v/>
      </c>
      <c r="AB160" s="545" t="str">
        <f>IF('Marks Entry'!S160="","",'Marks Entry'!S160)</f>
        <v/>
      </c>
      <c r="AC160" s="546" t="str">
        <f t="shared" si="422"/>
        <v/>
      </c>
      <c r="AD160" s="545" t="str">
        <f>IF('Marks Entry'!T160="","",'Marks Entry'!T160)</f>
        <v/>
      </c>
      <c r="AE160" s="547" t="str">
        <f t="shared" si="423"/>
        <v/>
      </c>
      <c r="AF160" s="153">
        <f t="shared" si="424"/>
        <v>0</v>
      </c>
      <c r="AG160" s="153">
        <f t="shared" si="425"/>
        <v>0</v>
      </c>
      <c r="AH160" s="154" t="str">
        <f t="shared" si="426"/>
        <v/>
      </c>
      <c r="AI160" s="153" t="str">
        <f t="shared" si="427"/>
        <v/>
      </c>
      <c r="AJ160" s="153" t="str">
        <f t="shared" si="428"/>
        <v/>
      </c>
      <c r="AK160" s="153" t="str">
        <f t="shared" si="429"/>
        <v/>
      </c>
      <c r="AL160" s="573" t="str">
        <f>IF('Marks Entry'!U160="","",'Marks Entry'!U160)</f>
        <v/>
      </c>
      <c r="AM160" s="573" t="str">
        <f>IF('Marks Entry'!V160="","",'Marks Entry'!V160)</f>
        <v/>
      </c>
      <c r="AN160" s="573" t="str">
        <f>IF('Marks Entry'!W160="","",'Marks Entry'!W160)</f>
        <v/>
      </c>
      <c r="AO160" s="573" t="str">
        <f>IF('Marks Entry'!X160="","",'Marks Entry'!X160)</f>
        <v/>
      </c>
      <c r="AP160" s="572" t="str">
        <f t="shared" si="430"/>
        <v/>
      </c>
      <c r="AQ160" s="573" t="str">
        <f>IF('Marks Entry'!Y160="","",'Marks Entry'!Y160)</f>
        <v/>
      </c>
      <c r="AR160" s="573" t="str">
        <f>IF('Marks Entry'!Z160="","",'Marks Entry'!Z160)</f>
        <v/>
      </c>
      <c r="AS160" s="572" t="str">
        <f t="shared" si="431"/>
        <v/>
      </c>
      <c r="AT160" s="572" t="str">
        <f t="shared" si="432"/>
        <v/>
      </c>
      <c r="AU160" s="573" t="str">
        <f>IF('Marks Entry'!AA160="","",'Marks Entry'!AA160)</f>
        <v/>
      </c>
      <c r="AV160" s="573" t="str">
        <f>IF('Marks Entry'!AB160="","",'Marks Entry'!AB160)</f>
        <v/>
      </c>
      <c r="AW160" s="572" t="str">
        <f t="shared" si="433"/>
        <v/>
      </c>
      <c r="AX160" s="157" t="str">
        <f t="shared" si="434"/>
        <v/>
      </c>
      <c r="AY160" s="157" t="str">
        <f t="shared" si="435"/>
        <v/>
      </c>
      <c r="AZ160" s="192" t="str">
        <f t="shared" si="436"/>
        <v/>
      </c>
      <c r="BA160" s="153">
        <f t="shared" si="437"/>
        <v>0</v>
      </c>
      <c r="BB160" s="154">
        <f t="shared" si="438"/>
        <v>0</v>
      </c>
      <c r="BC160" s="154" t="str">
        <f t="shared" si="439"/>
        <v/>
      </c>
      <c r="BD160" s="154" t="str">
        <f t="shared" si="440"/>
        <v/>
      </c>
      <c r="BE160" s="154" t="str">
        <f t="shared" si="441"/>
        <v/>
      </c>
      <c r="BF160" s="153" t="str">
        <f t="shared" si="442"/>
        <v/>
      </c>
      <c r="BG160" s="154" t="str">
        <f t="shared" si="443"/>
        <v/>
      </c>
      <c r="BH160" s="153" t="str">
        <f t="shared" si="444"/>
        <v/>
      </c>
      <c r="BI160" s="580" t="str">
        <f>IF('Marks Entry'!AC160="","",'Marks Entry'!AC160)</f>
        <v/>
      </c>
      <c r="BJ160" s="580" t="str">
        <f>IF('Marks Entry'!AD160="","",'Marks Entry'!AD160)</f>
        <v/>
      </c>
      <c r="BK160" s="580" t="str">
        <f>IF('Marks Entry'!AE160="","",'Marks Entry'!AE160)</f>
        <v/>
      </c>
      <c r="BL160" s="580" t="str">
        <f>IF('Marks Entry'!AF160="","",'Marks Entry'!AF160)</f>
        <v/>
      </c>
      <c r="BM160" s="581" t="str">
        <f t="shared" si="445"/>
        <v/>
      </c>
      <c r="BN160" s="580" t="str">
        <f>IF('Marks Entry'!AG160="","",'Marks Entry'!AG160)</f>
        <v/>
      </c>
      <c r="BO160" s="580" t="str">
        <f>IF('Marks Entry'!AH160="","",'Marks Entry'!AH160)</f>
        <v/>
      </c>
      <c r="BP160" s="581" t="str">
        <f t="shared" si="446"/>
        <v/>
      </c>
      <c r="BQ160" s="581" t="str">
        <f t="shared" si="447"/>
        <v/>
      </c>
      <c r="BR160" s="580" t="str">
        <f>IF('Marks Entry'!AI160="","",'Marks Entry'!AI160)</f>
        <v/>
      </c>
      <c r="BS160" s="580" t="str">
        <f>IF('Marks Entry'!AJ160="","",'Marks Entry'!AJ160)</f>
        <v/>
      </c>
      <c r="BT160" s="581" t="str">
        <f t="shared" si="448"/>
        <v/>
      </c>
      <c r="BU160" s="157" t="str">
        <f t="shared" si="449"/>
        <v/>
      </c>
      <c r="BV160" s="157" t="str">
        <f t="shared" si="450"/>
        <v/>
      </c>
      <c r="BW160" s="192" t="str">
        <f t="shared" si="451"/>
        <v/>
      </c>
      <c r="BX160" s="153">
        <f t="shared" si="452"/>
        <v>0</v>
      </c>
      <c r="BY160" s="154">
        <f t="shared" si="453"/>
        <v>0</v>
      </c>
      <c r="BZ160" s="154" t="str">
        <f t="shared" si="454"/>
        <v/>
      </c>
      <c r="CA160" s="154" t="str">
        <f t="shared" si="455"/>
        <v/>
      </c>
      <c r="CB160" s="154" t="str">
        <f t="shared" si="456"/>
        <v/>
      </c>
      <c r="CC160" s="153" t="str">
        <f t="shared" si="457"/>
        <v/>
      </c>
      <c r="CD160" s="154" t="str">
        <f t="shared" si="458"/>
        <v/>
      </c>
      <c r="CE160" s="153" t="str">
        <f t="shared" si="459"/>
        <v/>
      </c>
      <c r="CF160" s="580" t="str">
        <f>IF('Marks Entry'!AK160="","",'Marks Entry'!AK160)</f>
        <v/>
      </c>
      <c r="CG160" s="580" t="str">
        <f>IF('Marks Entry'!AL160="","",'Marks Entry'!AL160)</f>
        <v/>
      </c>
      <c r="CH160" s="580" t="str">
        <f>IF('Marks Entry'!AM160="","",'Marks Entry'!AM160)</f>
        <v/>
      </c>
      <c r="CI160" s="580" t="str">
        <f>IF('Marks Entry'!AN160="","",'Marks Entry'!AN160)</f>
        <v/>
      </c>
      <c r="CJ160" s="581" t="str">
        <f t="shared" si="460"/>
        <v/>
      </c>
      <c r="CK160" s="580" t="str">
        <f>IF('Marks Entry'!AO160="","",'Marks Entry'!AO160)</f>
        <v/>
      </c>
      <c r="CL160" s="580" t="str">
        <f>IF('Marks Entry'!AP160="","",'Marks Entry'!AP160)</f>
        <v/>
      </c>
      <c r="CM160" s="581" t="str">
        <f t="shared" si="461"/>
        <v/>
      </c>
      <c r="CN160" s="581" t="str">
        <f t="shared" si="462"/>
        <v/>
      </c>
      <c r="CO160" s="580" t="str">
        <f>IF('Marks Entry'!AQ160="","",'Marks Entry'!AQ160)</f>
        <v/>
      </c>
      <c r="CP160" s="580" t="str">
        <f>IF('Marks Entry'!AR160="","",'Marks Entry'!AR160)</f>
        <v/>
      </c>
      <c r="CQ160" s="581" t="str">
        <f t="shared" si="463"/>
        <v/>
      </c>
      <c r="CR160" s="157" t="str">
        <f t="shared" si="464"/>
        <v/>
      </c>
      <c r="CS160" s="157" t="str">
        <f t="shared" si="465"/>
        <v/>
      </c>
      <c r="CT160" s="192" t="str">
        <f t="shared" si="466"/>
        <v/>
      </c>
      <c r="CU160" s="153">
        <f t="shared" si="467"/>
        <v>0</v>
      </c>
      <c r="CV160" s="154">
        <f t="shared" si="468"/>
        <v>0</v>
      </c>
      <c r="CW160" s="154" t="str">
        <f t="shared" si="469"/>
        <v/>
      </c>
      <c r="CX160" s="154" t="str">
        <f t="shared" si="470"/>
        <v/>
      </c>
      <c r="CY160" s="154" t="str">
        <f t="shared" si="471"/>
        <v/>
      </c>
      <c r="CZ160" s="153" t="str">
        <f t="shared" si="472"/>
        <v/>
      </c>
      <c r="DA160" s="154" t="str">
        <f t="shared" si="473"/>
        <v/>
      </c>
      <c r="DB160" s="153" t="str">
        <f t="shared" si="474"/>
        <v/>
      </c>
      <c r="DC160" s="154">
        <f t="shared" si="475"/>
        <v>0</v>
      </c>
      <c r="DD160" s="826" t="str">
        <f>IF('Marks Entry'!AS160="","",IF(OR('Master Sheet'!$D$19="YES",'Marks Entry'!$BA$1=1),'Marks Entry'!AS160,""))</f>
        <v/>
      </c>
      <c r="DE160" s="826" t="str">
        <f>IF('Marks Entry'!AT160="","",IF(OR('Master Sheet'!$D$19="YES",'Marks Entry'!$BA$1=1),'Marks Entry'!AT160,""))</f>
        <v/>
      </c>
      <c r="DF160" s="826" t="str">
        <f>IF('Marks Entry'!AU160="","",IF(OR('Master Sheet'!$D$19="YES",'Marks Entry'!$BA$1=1),'Marks Entry'!AU160,""))</f>
        <v/>
      </c>
      <c r="DG160" s="826" t="str">
        <f>IF('Marks Entry'!AV160="","",IF(OR('Master Sheet'!$D$19="YES",'Marks Entry'!$BA$1=1),'Marks Entry'!AV160,""))</f>
        <v/>
      </c>
      <c r="DH160" s="827" t="str">
        <f t="shared" si="476"/>
        <v/>
      </c>
      <c r="DI160" s="826" t="str">
        <f>IF('Marks Entry'!AW160="","",IF(OR('Master Sheet'!$D$19="YES",'Marks Entry'!$BA$1=1),'Marks Entry'!AW160,""))</f>
        <v/>
      </c>
      <c r="DJ160" s="826" t="str">
        <f>IF('Marks Entry'!AX160="","",IF(OR('Master Sheet'!$D$19="YES",'Marks Entry'!$BA$1=1),'Marks Entry'!AX160,""))</f>
        <v/>
      </c>
      <c r="DK160" s="827" t="str">
        <f t="shared" si="477"/>
        <v/>
      </c>
      <c r="DL160" s="827" t="str">
        <f t="shared" si="478"/>
        <v/>
      </c>
      <c r="DM160" s="826" t="str">
        <f>IF('Marks Entry'!AY160="","",IF(OR('Master Sheet'!$D$19="YES",'Marks Entry'!$BA$1=1),'Marks Entry'!AY160,""))</f>
        <v/>
      </c>
      <c r="DN160" s="826" t="str">
        <f>IF('Marks Entry'!AZ160="","",IF(OR('Master Sheet'!$D$19="YES",'Marks Entry'!$BA$1=1),'Marks Entry'!AZ160,""))</f>
        <v/>
      </c>
      <c r="DO160" s="826" t="str">
        <f>IF('Marks Entry'!BA160="","",IF(OR('Master Sheet'!$D$19="YES",'Marks Entry'!$BA$1=1),'Marks Entry'!BA160,""))</f>
        <v/>
      </c>
      <c r="DP160" s="827" t="str">
        <f t="shared" si="479"/>
        <v/>
      </c>
      <c r="DQ160" s="157" t="str">
        <f t="shared" si="480"/>
        <v/>
      </c>
      <c r="DR160" s="157" t="str">
        <f t="shared" si="481"/>
        <v/>
      </c>
      <c r="DS160" s="157" t="str">
        <f t="shared" si="482"/>
        <v/>
      </c>
      <c r="DT160" s="192" t="str">
        <f t="shared" si="483"/>
        <v/>
      </c>
      <c r="DU160" s="153">
        <f t="shared" si="484"/>
        <v>0</v>
      </c>
      <c r="DV160" s="154" t="e">
        <f t="shared" si="485"/>
        <v>#VALUE!</v>
      </c>
      <c r="DW160" s="154" t="str">
        <f t="shared" si="486"/>
        <v/>
      </c>
      <c r="DX160" s="154" t="str">
        <f>IF(OR($B160="NSO",$B160=0,DS160=""),"",IF(AND(DJ160="",DO160=""),"",IF('Master Sheet'!$D$19="YES",$DO$6-COUNTIF(DO160,"ML")*DO$6,DS$6-(COUNTIF(DJ160,"ML")*DJ$6)-(COUNTIF(DO160,"ML")*DO$6))))</f>
        <v/>
      </c>
      <c r="DY160" s="154" t="str">
        <f>IF(OR($B160="NSO",$B160=0),"",IF(AND(DH160="",DI160="",DM160=""),"",IF(AND('Master Sheet'!$D$19="YES",'Marks Entry'!$BA$1=1),100,IF(AND(DJ160="",DO160=""),SUM(($DQ$7+$DR$7)-(DU160+DV160)),SUM(($DQ$6+$DR$6)-(DU160+DV160))))))</f>
        <v/>
      </c>
      <c r="DZ160" s="153" t="str">
        <f t="shared" si="487"/>
        <v/>
      </c>
      <c r="EA160" s="154" t="str">
        <f t="shared" si="488"/>
        <v/>
      </c>
      <c r="EB160" s="153" t="str">
        <f t="shared" si="489"/>
        <v/>
      </c>
      <c r="EC160" s="584" t="str">
        <f>IF('Marks Entry'!BB160="","",'Marks Entry'!BB160)</f>
        <v/>
      </c>
      <c r="ED160" s="584" t="str">
        <f>IF('Marks Entry'!BC160="","",'Marks Entry'!BC160)</f>
        <v/>
      </c>
      <c r="EE160" s="584" t="str">
        <f>IF('Marks Entry'!BD160="","",'Marks Entry'!BD160)</f>
        <v/>
      </c>
      <c r="EF160" s="590" t="str">
        <f t="shared" si="490"/>
        <v/>
      </c>
      <c r="EG160" s="595">
        <f t="shared" si="491"/>
        <v>0</v>
      </c>
      <c r="EH160" s="595">
        <f t="shared" si="492"/>
        <v>0</v>
      </c>
      <c r="EI160" s="193" t="str">
        <f t="shared" si="493"/>
        <v/>
      </c>
      <c r="EJ160" s="595" t="str">
        <f t="shared" si="494"/>
        <v/>
      </c>
      <c r="EK160" s="595" t="str">
        <f t="shared" si="495"/>
        <v/>
      </c>
      <c r="EL160" s="194" t="str">
        <f t="shared" si="496"/>
        <v/>
      </c>
      <c r="EM160" s="194" t="str">
        <f t="shared" si="497"/>
        <v/>
      </c>
      <c r="EN160" s="194" t="str">
        <f t="shared" si="498"/>
        <v/>
      </c>
      <c r="EO160" s="194" t="str">
        <f t="shared" si="499"/>
        <v/>
      </c>
      <c r="EP160" s="194" t="str">
        <f t="shared" si="500"/>
        <v/>
      </c>
      <c r="EQ160" s="194" t="str">
        <f t="shared" si="501"/>
        <v/>
      </c>
      <c r="ER160" s="195">
        <f t="shared" si="502"/>
        <v>0</v>
      </c>
      <c r="ES160" s="195">
        <f t="shared" si="503"/>
        <v>0</v>
      </c>
      <c r="ET160" s="195">
        <f t="shared" si="504"/>
        <v>0</v>
      </c>
      <c r="EU160" s="195">
        <f t="shared" si="505"/>
        <v>0</v>
      </c>
      <c r="EV160" s="195">
        <f t="shared" si="506"/>
        <v>0</v>
      </c>
      <c r="EW160" s="195" t="str">
        <f t="shared" si="507"/>
        <v/>
      </c>
      <c r="EX160" s="196" t="str">
        <f t="shared" si="508"/>
        <v/>
      </c>
      <c r="EY160" s="197" t="str">
        <f>IF('Marks Entry'!BE160="","",'Marks Entry'!BE160)</f>
        <v/>
      </c>
      <c r="EZ160" s="197" t="str">
        <f>IF('Marks Entry'!BF160="","",'Marks Entry'!BF160)</f>
        <v/>
      </c>
      <c r="FA160" s="197" t="str">
        <f>IF('Marks Entry'!BG160="","",'Marks Entry'!BG160)</f>
        <v/>
      </c>
      <c r="FB160" s="596" t="str">
        <f t="shared" si="509"/>
        <v/>
      </c>
      <c r="FC160" s="197" t="str">
        <f>IF('Marks Entry'!BH160="","",'Marks Entry'!BH160)</f>
        <v/>
      </c>
      <c r="FD160" s="197" t="str">
        <f>IF('Marks Entry'!BI160="","",'Marks Entry'!BI160)</f>
        <v/>
      </c>
      <c r="FE160" s="198" t="str">
        <f t="shared" si="510"/>
        <v/>
      </c>
      <c r="FF160" s="199" t="str">
        <f t="shared" si="511"/>
        <v/>
      </c>
      <c r="FG160" s="200" t="str">
        <f>IF(AND(E160=""),"",IF('Student DATA Entry'!L156="","",'Student DATA Entry'!L156))</f>
        <v/>
      </c>
      <c r="FH160" s="201" t="str">
        <f>IF(AND(E160=""),"",IF('Student DATA Entry'!M156="","",'Student DATA Entry'!M156))</f>
        <v/>
      </c>
      <c r="FI160" s="202" t="str">
        <f t="shared" si="512"/>
        <v/>
      </c>
      <c r="FJ160" s="189" t="str">
        <f t="shared" si="513"/>
        <v/>
      </c>
      <c r="FK160" s="189" t="str">
        <f t="shared" si="514"/>
        <v/>
      </c>
      <c r="FL160" s="203" t="str">
        <f t="shared" si="383"/>
        <v/>
      </c>
      <c r="FM160" s="189" t="str">
        <f t="shared" si="515"/>
        <v/>
      </c>
      <c r="FN160" s="204" t="str">
        <f t="shared" si="516"/>
        <v/>
      </c>
      <c r="FO160" s="203" t="str">
        <f t="shared" si="384"/>
        <v/>
      </c>
      <c r="FP160" s="205" t="str">
        <f t="shared" si="517"/>
        <v/>
      </c>
      <c r="FQ160" s="189" t="str">
        <f t="shared" si="385"/>
        <v/>
      </c>
      <c r="FR160" s="189" t="str">
        <f t="shared" si="386"/>
        <v/>
      </c>
      <c r="FS160" s="189" t="str">
        <f t="shared" si="387"/>
        <v/>
      </c>
      <c r="FT160" s="189" t="str">
        <f t="shared" si="388"/>
        <v/>
      </c>
      <c r="FU160" s="189" t="str">
        <f t="shared" si="518"/>
        <v/>
      </c>
      <c r="FV160" s="206" t="str">
        <f t="shared" si="389"/>
        <v/>
      </c>
      <c r="FW160" s="205" t="str">
        <f t="shared" si="519"/>
        <v/>
      </c>
      <c r="FX160" s="189" t="str">
        <f t="shared" si="390"/>
        <v/>
      </c>
      <c r="FY160" s="189" t="str">
        <f t="shared" si="391"/>
        <v/>
      </c>
      <c r="FZ160" s="189" t="str">
        <f t="shared" si="392"/>
        <v/>
      </c>
      <c r="GA160" s="189" t="str">
        <f t="shared" si="393"/>
        <v/>
      </c>
      <c r="GB160" s="189" t="str">
        <f t="shared" si="520"/>
        <v/>
      </c>
      <c r="GC160" s="206" t="str">
        <f t="shared" si="394"/>
        <v/>
      </c>
      <c r="GD160" s="205" t="str">
        <f t="shared" si="521"/>
        <v/>
      </c>
      <c r="GE160" s="189" t="str">
        <f t="shared" si="395"/>
        <v/>
      </c>
      <c r="GF160" s="189" t="str">
        <f t="shared" si="396"/>
        <v/>
      </c>
      <c r="GG160" s="189" t="str">
        <f t="shared" si="397"/>
        <v/>
      </c>
      <c r="GH160" s="189" t="str">
        <f t="shared" si="398"/>
        <v/>
      </c>
      <c r="GI160" s="189" t="str">
        <f t="shared" si="522"/>
        <v/>
      </c>
      <c r="GJ160" s="206" t="str">
        <f t="shared" si="399"/>
        <v/>
      </c>
      <c r="GK160" s="205" t="str">
        <f t="shared" si="523"/>
        <v/>
      </c>
      <c r="GL160" s="189" t="str">
        <f t="shared" si="400"/>
        <v/>
      </c>
      <c r="GM160" s="189" t="str">
        <f t="shared" si="401"/>
        <v/>
      </c>
      <c r="GN160" s="189" t="str">
        <f t="shared" si="402"/>
        <v/>
      </c>
      <c r="GO160" s="189" t="str">
        <f t="shared" si="403"/>
        <v/>
      </c>
      <c r="GP160" s="189" t="str">
        <f t="shared" si="524"/>
        <v/>
      </c>
      <c r="GQ160" s="206" t="str">
        <f t="shared" si="404"/>
        <v/>
      </c>
      <c r="GR160" s="189" t="str">
        <f t="shared" si="525"/>
        <v/>
      </c>
      <c r="GS160" s="189" t="str">
        <f t="shared" si="526"/>
        <v/>
      </c>
      <c r="GT160" s="207" t="str">
        <f t="shared" si="527"/>
        <v xml:space="preserve">    </v>
      </c>
      <c r="GU160" s="207" t="str">
        <f t="shared" si="528"/>
        <v xml:space="preserve">    </v>
      </c>
      <c r="GV160" s="207" t="str">
        <f t="shared" si="529"/>
        <v xml:space="preserve">    </v>
      </c>
      <c r="GW160" s="207" t="str">
        <f t="shared" si="530"/>
        <v xml:space="preserve">       </v>
      </c>
      <c r="GX160" s="598" t="str">
        <f t="shared" si="531"/>
        <v xml:space="preserve">     </v>
      </c>
      <c r="GY160" s="208" t="str">
        <f t="shared" si="405"/>
        <v/>
      </c>
      <c r="GZ160" s="606" t="str">
        <f>IF(AND(Q160="",AE160="",AZ160="",BW160="",CT160=""),"",IF(AND('Master Sheet'!$D$19="YES",'Marks Entry'!$BA$1=1),SUM(Q160,AE160,AZ160,BW160,DT160),SUM(Q160,AE160,AZ160,BW160,CT160)))</f>
        <v/>
      </c>
      <c r="HA160" s="209" t="str">
        <f>IF(GZ160="","",IF(AND('Master Sheet'!$D$19="YES",'Marks Entry'!$BA$1=1),GZ160/((900)-DC160)*100,GZ160/((1000)-DC160)*100))</f>
        <v/>
      </c>
      <c r="HB160" s="611" t="str">
        <f t="shared" si="532"/>
        <v/>
      </c>
      <c r="HC160" s="609" t="str">
        <f t="shared" si="533"/>
        <v/>
      </c>
      <c r="HD160" s="610" t="str">
        <f t="shared" si="534"/>
        <v/>
      </c>
      <c r="HE160" s="210" t="str">
        <f>IFERROR(IF(OR(GY160="SUPPLEMENTARY",GY160="RE-EXAM"),'Supp. Result Entry'!AS159,""),"")</f>
        <v/>
      </c>
      <c r="HF160" s="613" t="str">
        <f t="shared" si="535"/>
        <v/>
      </c>
      <c r="HG160" s="598" t="str">
        <f t="shared" si="536"/>
        <v/>
      </c>
      <c r="HH160" s="598" t="str">
        <f>IF(AND(HE160="",HF160="",HG160=""),"",IF(OR(GY160="SUPPLEMENTARY",GY160="RE-EXAM"),'Supp. Result Entry'!AS159,GY160))</f>
        <v/>
      </c>
      <c r="HI160" s="180"/>
      <c r="HY160" s="212" t="str">
        <f>IF('Supp. Result Entry'!U159="","",'Supp. Result Entry'!$U$6)</f>
        <v/>
      </c>
      <c r="HZ160" s="213" t="str">
        <f>IF('Supp. Result Entry'!X159="","",'Supp. Result Entry'!$X$6)</f>
        <v/>
      </c>
      <c r="IA160" s="213" t="str">
        <f>IF('Supp. Result Entry'!AA159="","",'Supp. Result Entry'!$AA$6)</f>
        <v/>
      </c>
      <c r="IB160" s="213" t="str">
        <f>IF('Supp. Result Entry'!AD159="","",'Supp. Result Entry'!$AD$6)</f>
        <v/>
      </c>
      <c r="IC160" s="213" t="str">
        <f>IF('Supp. Result Entry'!AG159="","",'Supp. Result Entry'!$AG$6)</f>
        <v/>
      </c>
      <c r="ID160" s="213" t="str">
        <f>IF('Supp. Result Entry'!AJ159="","",'Supp. Result Entry'!$AJ$6)</f>
        <v/>
      </c>
      <c r="IE160" s="213" t="str">
        <f>IF('Supp. Result Entry'!V159="","",'Supp. Result Entry'!V159)</f>
        <v/>
      </c>
      <c r="IF160" s="213" t="str">
        <f>IF('Supp. Result Entry'!Y159="","",'Supp. Result Entry'!Y159)</f>
        <v/>
      </c>
      <c r="IG160" s="213" t="str">
        <f>IF('Supp. Result Entry'!AB159="","",'Supp. Result Entry'!AB159)</f>
        <v/>
      </c>
      <c r="IH160" s="213" t="str">
        <f>IF('Supp. Result Entry'!AE159="","",'Supp. Result Entry'!AE159)</f>
        <v/>
      </c>
      <c r="II160" s="213" t="str">
        <f>IF('Supp. Result Entry'!AH159="","",'Supp. Result Entry'!AH159)</f>
        <v/>
      </c>
      <c r="IJ160" s="213" t="str">
        <f>IF('Supp. Result Entry'!AK159="","",'Supp. Result Entry'!AK159)</f>
        <v/>
      </c>
      <c r="IK160" s="213" t="str">
        <f>IF('Supp. Result Entry'!W159="","",'Supp. Result Entry'!W159)</f>
        <v/>
      </c>
      <c r="IL160" s="213" t="str">
        <f>IF('Supp. Result Entry'!Z159="","",'Supp. Result Entry'!Z159)</f>
        <v/>
      </c>
      <c r="IM160" s="213" t="str">
        <f>IF('Supp. Result Entry'!AC159="","",'Supp. Result Entry'!AC159)</f>
        <v/>
      </c>
      <c r="IN160" s="213" t="str">
        <f>IF('Supp. Result Entry'!AF159="","",'Supp. Result Entry'!AF159)</f>
        <v/>
      </c>
      <c r="IO160" s="213" t="str">
        <f>IF('Supp. Result Entry'!AI159="","",'Supp. Result Entry'!AI159)</f>
        <v/>
      </c>
      <c r="IP160" s="213" t="str">
        <f>IF('Supp. Result Entry'!AL159="","",'Supp. Result Entry'!AL159)</f>
        <v/>
      </c>
      <c r="IQ160" s="213">
        <f>COUNTIF('Supp. Result Entry'!K159:Q159,"S")</f>
        <v>0</v>
      </c>
      <c r="IR160" s="213">
        <f t="shared" si="537"/>
        <v>0</v>
      </c>
      <c r="IS160" s="213">
        <f t="shared" si="538"/>
        <v>0</v>
      </c>
      <c r="IT160" s="213" t="str">
        <f t="shared" si="406"/>
        <v/>
      </c>
      <c r="IU160" s="213" t="str">
        <f t="shared" si="407"/>
        <v/>
      </c>
      <c r="IV160" s="213" t="str">
        <f t="shared" si="408"/>
        <v/>
      </c>
      <c r="IW160" s="213" t="str">
        <f t="shared" si="409"/>
        <v/>
      </c>
      <c r="IX160" s="213" t="str">
        <f t="shared" si="410"/>
        <v/>
      </c>
      <c r="IY160" s="213" t="str">
        <f t="shared" si="539"/>
        <v/>
      </c>
      <c r="IZ160" s="213" t="str">
        <f t="shared" si="540"/>
        <v/>
      </c>
      <c r="JA160" s="213" t="str">
        <f t="shared" si="411"/>
        <v/>
      </c>
      <c r="JB160" s="211" t="str">
        <f t="shared" si="541"/>
        <v/>
      </c>
    </row>
    <row r="161" spans="1:262" s="211" customFormat="1" ht="21" customHeight="1">
      <c r="A161" s="184">
        <v>154</v>
      </c>
      <c r="B161" s="185" t="str">
        <f>IF('Marks Entry'!B161="","",'Marks Entry'!B161)</f>
        <v/>
      </c>
      <c r="C161" s="186" t="str">
        <f>IF('Marks Entry'!D161="","",'Marks Entry'!D161)</f>
        <v/>
      </c>
      <c r="D161" s="187" t="str">
        <f>IF('Marks Entry'!E161="","",'Marks Entry'!E161)</f>
        <v/>
      </c>
      <c r="E161" s="188" t="str">
        <f>IF('Marks Entry'!F161="","",'Marks Entry'!F161)</f>
        <v/>
      </c>
      <c r="F161" s="188" t="str">
        <f>IF('Marks Entry'!G161="","",'Marks Entry'!G161)</f>
        <v/>
      </c>
      <c r="G161" s="188" t="str">
        <f>IF('Marks Entry'!H161="","",'Marks Entry'!H161)</f>
        <v/>
      </c>
      <c r="H161" s="189" t="str">
        <f>IF('Marks Entry'!I161="","",'Marks Entry'!I161)</f>
        <v/>
      </c>
      <c r="I161" s="190" t="str">
        <f>IF('Marks Entry'!J161="","",'Marks Entry'!J161)</f>
        <v/>
      </c>
      <c r="J161" s="545" t="str">
        <f>IF('Marks Entry'!K161="","",'Marks Entry'!K161)</f>
        <v/>
      </c>
      <c r="K161" s="545" t="str">
        <f>IF('Marks Entry'!L161="","",'Marks Entry'!L161)</f>
        <v/>
      </c>
      <c r="L161" s="545" t="str">
        <f>IF('Marks Entry'!M161="","",'Marks Entry'!M161)</f>
        <v/>
      </c>
      <c r="M161" s="546" t="str">
        <f t="shared" si="412"/>
        <v/>
      </c>
      <c r="N161" s="545" t="str">
        <f>IF('Marks Entry'!N161="","",'Marks Entry'!N161)</f>
        <v/>
      </c>
      <c r="O161" s="546" t="str">
        <f t="shared" si="413"/>
        <v/>
      </c>
      <c r="P161" s="545" t="str">
        <f>IF('Marks Entry'!O161="","",'Marks Entry'!O161)</f>
        <v/>
      </c>
      <c r="Q161" s="547" t="str">
        <f t="shared" si="414"/>
        <v/>
      </c>
      <c r="R161" s="153">
        <f t="shared" si="415"/>
        <v>0</v>
      </c>
      <c r="S161" s="153">
        <f t="shared" si="416"/>
        <v>0</v>
      </c>
      <c r="T161" s="154" t="str">
        <f t="shared" si="417"/>
        <v/>
      </c>
      <c r="U161" s="153" t="str">
        <f t="shared" si="418"/>
        <v/>
      </c>
      <c r="V161" s="153" t="str">
        <f t="shared" si="419"/>
        <v/>
      </c>
      <c r="W161" s="153" t="str">
        <f t="shared" si="420"/>
        <v/>
      </c>
      <c r="X161" s="545" t="str">
        <f>IF('Marks Entry'!P161="","",'Marks Entry'!P161)</f>
        <v/>
      </c>
      <c r="Y161" s="545" t="str">
        <f>IF('Marks Entry'!Q161="","",'Marks Entry'!Q161)</f>
        <v/>
      </c>
      <c r="Z161" s="545" t="str">
        <f>IF('Marks Entry'!R161="","",'Marks Entry'!R161)</f>
        <v/>
      </c>
      <c r="AA161" s="546" t="str">
        <f t="shared" si="421"/>
        <v/>
      </c>
      <c r="AB161" s="545" t="str">
        <f>IF('Marks Entry'!S161="","",'Marks Entry'!S161)</f>
        <v/>
      </c>
      <c r="AC161" s="546" t="str">
        <f t="shared" si="422"/>
        <v/>
      </c>
      <c r="AD161" s="545" t="str">
        <f>IF('Marks Entry'!T161="","",'Marks Entry'!T161)</f>
        <v/>
      </c>
      <c r="AE161" s="547" t="str">
        <f t="shared" si="423"/>
        <v/>
      </c>
      <c r="AF161" s="153">
        <f t="shared" si="424"/>
        <v>0</v>
      </c>
      <c r="AG161" s="153">
        <f t="shared" si="425"/>
        <v>0</v>
      </c>
      <c r="AH161" s="154" t="str">
        <f t="shared" si="426"/>
        <v/>
      </c>
      <c r="AI161" s="153" t="str">
        <f t="shared" si="427"/>
        <v/>
      </c>
      <c r="AJ161" s="153" t="str">
        <f t="shared" si="428"/>
        <v/>
      </c>
      <c r="AK161" s="153" t="str">
        <f t="shared" si="429"/>
        <v/>
      </c>
      <c r="AL161" s="573" t="str">
        <f>IF('Marks Entry'!U161="","",'Marks Entry'!U161)</f>
        <v/>
      </c>
      <c r="AM161" s="573" t="str">
        <f>IF('Marks Entry'!V161="","",'Marks Entry'!V161)</f>
        <v/>
      </c>
      <c r="AN161" s="573" t="str">
        <f>IF('Marks Entry'!W161="","",'Marks Entry'!W161)</f>
        <v/>
      </c>
      <c r="AO161" s="573" t="str">
        <f>IF('Marks Entry'!X161="","",'Marks Entry'!X161)</f>
        <v/>
      </c>
      <c r="AP161" s="572" t="str">
        <f t="shared" si="430"/>
        <v/>
      </c>
      <c r="AQ161" s="573" t="str">
        <f>IF('Marks Entry'!Y161="","",'Marks Entry'!Y161)</f>
        <v/>
      </c>
      <c r="AR161" s="573" t="str">
        <f>IF('Marks Entry'!Z161="","",'Marks Entry'!Z161)</f>
        <v/>
      </c>
      <c r="AS161" s="572" t="str">
        <f t="shared" si="431"/>
        <v/>
      </c>
      <c r="AT161" s="572" t="str">
        <f t="shared" si="432"/>
        <v/>
      </c>
      <c r="AU161" s="573" t="str">
        <f>IF('Marks Entry'!AA161="","",'Marks Entry'!AA161)</f>
        <v/>
      </c>
      <c r="AV161" s="573" t="str">
        <f>IF('Marks Entry'!AB161="","",'Marks Entry'!AB161)</f>
        <v/>
      </c>
      <c r="AW161" s="572" t="str">
        <f t="shared" si="433"/>
        <v/>
      </c>
      <c r="AX161" s="157" t="str">
        <f t="shared" si="434"/>
        <v/>
      </c>
      <c r="AY161" s="157" t="str">
        <f t="shared" si="435"/>
        <v/>
      </c>
      <c r="AZ161" s="192" t="str">
        <f t="shared" si="436"/>
        <v/>
      </c>
      <c r="BA161" s="153">
        <f t="shared" si="437"/>
        <v>0</v>
      </c>
      <c r="BB161" s="154">
        <f t="shared" si="438"/>
        <v>0</v>
      </c>
      <c r="BC161" s="154" t="str">
        <f t="shared" si="439"/>
        <v/>
      </c>
      <c r="BD161" s="154" t="str">
        <f t="shared" si="440"/>
        <v/>
      </c>
      <c r="BE161" s="154" t="str">
        <f t="shared" si="441"/>
        <v/>
      </c>
      <c r="BF161" s="153" t="str">
        <f t="shared" si="442"/>
        <v/>
      </c>
      <c r="BG161" s="154" t="str">
        <f t="shared" si="443"/>
        <v/>
      </c>
      <c r="BH161" s="153" t="str">
        <f t="shared" si="444"/>
        <v/>
      </c>
      <c r="BI161" s="580" t="str">
        <f>IF('Marks Entry'!AC161="","",'Marks Entry'!AC161)</f>
        <v/>
      </c>
      <c r="BJ161" s="580" t="str">
        <f>IF('Marks Entry'!AD161="","",'Marks Entry'!AD161)</f>
        <v/>
      </c>
      <c r="BK161" s="580" t="str">
        <f>IF('Marks Entry'!AE161="","",'Marks Entry'!AE161)</f>
        <v/>
      </c>
      <c r="BL161" s="580" t="str">
        <f>IF('Marks Entry'!AF161="","",'Marks Entry'!AF161)</f>
        <v/>
      </c>
      <c r="BM161" s="581" t="str">
        <f t="shared" si="445"/>
        <v/>
      </c>
      <c r="BN161" s="580" t="str">
        <f>IF('Marks Entry'!AG161="","",'Marks Entry'!AG161)</f>
        <v/>
      </c>
      <c r="BO161" s="580" t="str">
        <f>IF('Marks Entry'!AH161="","",'Marks Entry'!AH161)</f>
        <v/>
      </c>
      <c r="BP161" s="581" t="str">
        <f t="shared" si="446"/>
        <v/>
      </c>
      <c r="BQ161" s="581" t="str">
        <f t="shared" si="447"/>
        <v/>
      </c>
      <c r="BR161" s="580" t="str">
        <f>IF('Marks Entry'!AI161="","",'Marks Entry'!AI161)</f>
        <v/>
      </c>
      <c r="BS161" s="580" t="str">
        <f>IF('Marks Entry'!AJ161="","",'Marks Entry'!AJ161)</f>
        <v/>
      </c>
      <c r="BT161" s="581" t="str">
        <f t="shared" si="448"/>
        <v/>
      </c>
      <c r="BU161" s="157" t="str">
        <f t="shared" si="449"/>
        <v/>
      </c>
      <c r="BV161" s="157" t="str">
        <f t="shared" si="450"/>
        <v/>
      </c>
      <c r="BW161" s="192" t="str">
        <f t="shared" si="451"/>
        <v/>
      </c>
      <c r="BX161" s="153">
        <f t="shared" si="452"/>
        <v>0</v>
      </c>
      <c r="BY161" s="154">
        <f t="shared" si="453"/>
        <v>0</v>
      </c>
      <c r="BZ161" s="154" t="str">
        <f t="shared" si="454"/>
        <v/>
      </c>
      <c r="CA161" s="154" t="str">
        <f t="shared" si="455"/>
        <v/>
      </c>
      <c r="CB161" s="154" t="str">
        <f t="shared" si="456"/>
        <v/>
      </c>
      <c r="CC161" s="153" t="str">
        <f t="shared" si="457"/>
        <v/>
      </c>
      <c r="CD161" s="154" t="str">
        <f t="shared" si="458"/>
        <v/>
      </c>
      <c r="CE161" s="153" t="str">
        <f t="shared" si="459"/>
        <v/>
      </c>
      <c r="CF161" s="580" t="str">
        <f>IF('Marks Entry'!AK161="","",'Marks Entry'!AK161)</f>
        <v/>
      </c>
      <c r="CG161" s="580" t="str">
        <f>IF('Marks Entry'!AL161="","",'Marks Entry'!AL161)</f>
        <v/>
      </c>
      <c r="CH161" s="580" t="str">
        <f>IF('Marks Entry'!AM161="","",'Marks Entry'!AM161)</f>
        <v/>
      </c>
      <c r="CI161" s="580" t="str">
        <f>IF('Marks Entry'!AN161="","",'Marks Entry'!AN161)</f>
        <v/>
      </c>
      <c r="CJ161" s="581" t="str">
        <f t="shared" si="460"/>
        <v/>
      </c>
      <c r="CK161" s="580" t="str">
        <f>IF('Marks Entry'!AO161="","",'Marks Entry'!AO161)</f>
        <v/>
      </c>
      <c r="CL161" s="580" t="str">
        <f>IF('Marks Entry'!AP161="","",'Marks Entry'!AP161)</f>
        <v/>
      </c>
      <c r="CM161" s="581" t="str">
        <f t="shared" si="461"/>
        <v/>
      </c>
      <c r="CN161" s="581" t="str">
        <f t="shared" si="462"/>
        <v/>
      </c>
      <c r="CO161" s="580" t="str">
        <f>IF('Marks Entry'!AQ161="","",'Marks Entry'!AQ161)</f>
        <v/>
      </c>
      <c r="CP161" s="580" t="str">
        <f>IF('Marks Entry'!AR161="","",'Marks Entry'!AR161)</f>
        <v/>
      </c>
      <c r="CQ161" s="581" t="str">
        <f t="shared" si="463"/>
        <v/>
      </c>
      <c r="CR161" s="157" t="str">
        <f t="shared" si="464"/>
        <v/>
      </c>
      <c r="CS161" s="157" t="str">
        <f t="shared" si="465"/>
        <v/>
      </c>
      <c r="CT161" s="192" t="str">
        <f t="shared" si="466"/>
        <v/>
      </c>
      <c r="CU161" s="153">
        <f t="shared" si="467"/>
        <v>0</v>
      </c>
      <c r="CV161" s="154">
        <f t="shared" si="468"/>
        <v>0</v>
      </c>
      <c r="CW161" s="154" t="str">
        <f t="shared" si="469"/>
        <v/>
      </c>
      <c r="CX161" s="154" t="str">
        <f t="shared" si="470"/>
        <v/>
      </c>
      <c r="CY161" s="154" t="str">
        <f t="shared" si="471"/>
        <v/>
      </c>
      <c r="CZ161" s="153" t="str">
        <f t="shared" si="472"/>
        <v/>
      </c>
      <c r="DA161" s="154" t="str">
        <f t="shared" si="473"/>
        <v/>
      </c>
      <c r="DB161" s="153" t="str">
        <f t="shared" si="474"/>
        <v/>
      </c>
      <c r="DC161" s="154">
        <f t="shared" si="475"/>
        <v>0</v>
      </c>
      <c r="DD161" s="826" t="str">
        <f>IF('Marks Entry'!AS161="","",IF(OR('Master Sheet'!$D$19="YES",'Marks Entry'!$BA$1=1),'Marks Entry'!AS161,""))</f>
        <v/>
      </c>
      <c r="DE161" s="826" t="str">
        <f>IF('Marks Entry'!AT161="","",IF(OR('Master Sheet'!$D$19="YES",'Marks Entry'!$BA$1=1),'Marks Entry'!AT161,""))</f>
        <v/>
      </c>
      <c r="DF161" s="826" t="str">
        <f>IF('Marks Entry'!AU161="","",IF(OR('Master Sheet'!$D$19="YES",'Marks Entry'!$BA$1=1),'Marks Entry'!AU161,""))</f>
        <v/>
      </c>
      <c r="DG161" s="826" t="str">
        <f>IF('Marks Entry'!AV161="","",IF(OR('Master Sheet'!$D$19="YES",'Marks Entry'!$BA$1=1),'Marks Entry'!AV161,""))</f>
        <v/>
      </c>
      <c r="DH161" s="827" t="str">
        <f t="shared" si="476"/>
        <v/>
      </c>
      <c r="DI161" s="826" t="str">
        <f>IF('Marks Entry'!AW161="","",IF(OR('Master Sheet'!$D$19="YES",'Marks Entry'!$BA$1=1),'Marks Entry'!AW161,""))</f>
        <v/>
      </c>
      <c r="DJ161" s="826" t="str">
        <f>IF('Marks Entry'!AX161="","",IF(OR('Master Sheet'!$D$19="YES",'Marks Entry'!$BA$1=1),'Marks Entry'!AX161,""))</f>
        <v/>
      </c>
      <c r="DK161" s="827" t="str">
        <f t="shared" si="477"/>
        <v/>
      </c>
      <c r="DL161" s="827" t="str">
        <f t="shared" si="478"/>
        <v/>
      </c>
      <c r="DM161" s="826" t="str">
        <f>IF('Marks Entry'!AY161="","",IF(OR('Master Sheet'!$D$19="YES",'Marks Entry'!$BA$1=1),'Marks Entry'!AY161,""))</f>
        <v/>
      </c>
      <c r="DN161" s="826" t="str">
        <f>IF('Marks Entry'!AZ161="","",IF(OR('Master Sheet'!$D$19="YES",'Marks Entry'!$BA$1=1),'Marks Entry'!AZ161,""))</f>
        <v/>
      </c>
      <c r="DO161" s="826" t="str">
        <f>IF('Marks Entry'!BA161="","",IF(OR('Master Sheet'!$D$19="YES",'Marks Entry'!$BA$1=1),'Marks Entry'!BA161,""))</f>
        <v/>
      </c>
      <c r="DP161" s="827" t="str">
        <f t="shared" si="479"/>
        <v/>
      </c>
      <c r="DQ161" s="157" t="str">
        <f t="shared" si="480"/>
        <v/>
      </c>
      <c r="DR161" s="157" t="str">
        <f t="shared" si="481"/>
        <v/>
      </c>
      <c r="DS161" s="157" t="str">
        <f t="shared" si="482"/>
        <v/>
      </c>
      <c r="DT161" s="192" t="str">
        <f t="shared" si="483"/>
        <v/>
      </c>
      <c r="DU161" s="153">
        <f t="shared" si="484"/>
        <v>0</v>
      </c>
      <c r="DV161" s="154" t="e">
        <f t="shared" si="485"/>
        <v>#VALUE!</v>
      </c>
      <c r="DW161" s="154" t="str">
        <f t="shared" si="486"/>
        <v/>
      </c>
      <c r="DX161" s="154" t="str">
        <f>IF(OR($B161="NSO",$B161=0,DS161=""),"",IF(AND(DJ161="",DO161=""),"",IF('Master Sheet'!$D$19="YES",$DO$6-COUNTIF(DO161,"ML")*DO$6,DS$6-(COUNTIF(DJ161,"ML")*DJ$6)-(COUNTIF(DO161,"ML")*DO$6))))</f>
        <v/>
      </c>
      <c r="DY161" s="154" t="str">
        <f>IF(OR($B161="NSO",$B161=0),"",IF(AND(DH161="",DI161="",DM161=""),"",IF(AND('Master Sheet'!$D$19="YES",'Marks Entry'!$BA$1=1),100,IF(AND(DJ161="",DO161=""),SUM(($DQ$7+$DR$7)-(DU161+DV161)),SUM(($DQ$6+$DR$6)-(DU161+DV161))))))</f>
        <v/>
      </c>
      <c r="DZ161" s="153" t="str">
        <f t="shared" si="487"/>
        <v/>
      </c>
      <c r="EA161" s="154" t="str">
        <f t="shared" si="488"/>
        <v/>
      </c>
      <c r="EB161" s="153" t="str">
        <f t="shared" si="489"/>
        <v/>
      </c>
      <c r="EC161" s="584" t="str">
        <f>IF('Marks Entry'!BB161="","",'Marks Entry'!BB161)</f>
        <v/>
      </c>
      <c r="ED161" s="584" t="str">
        <f>IF('Marks Entry'!BC161="","",'Marks Entry'!BC161)</f>
        <v/>
      </c>
      <c r="EE161" s="584" t="str">
        <f>IF('Marks Entry'!BD161="","",'Marks Entry'!BD161)</f>
        <v/>
      </c>
      <c r="EF161" s="590" t="str">
        <f t="shared" si="490"/>
        <v/>
      </c>
      <c r="EG161" s="595">
        <f t="shared" si="491"/>
        <v>0</v>
      </c>
      <c r="EH161" s="595">
        <f t="shared" si="492"/>
        <v>0</v>
      </c>
      <c r="EI161" s="193" t="str">
        <f t="shared" si="493"/>
        <v/>
      </c>
      <c r="EJ161" s="595" t="str">
        <f t="shared" si="494"/>
        <v/>
      </c>
      <c r="EK161" s="595" t="str">
        <f t="shared" si="495"/>
        <v/>
      </c>
      <c r="EL161" s="194" t="str">
        <f t="shared" si="496"/>
        <v/>
      </c>
      <c r="EM161" s="194" t="str">
        <f t="shared" si="497"/>
        <v/>
      </c>
      <c r="EN161" s="194" t="str">
        <f t="shared" si="498"/>
        <v/>
      </c>
      <c r="EO161" s="194" t="str">
        <f t="shared" si="499"/>
        <v/>
      </c>
      <c r="EP161" s="194" t="str">
        <f t="shared" si="500"/>
        <v/>
      </c>
      <c r="EQ161" s="194" t="str">
        <f t="shared" si="501"/>
        <v/>
      </c>
      <c r="ER161" s="195">
        <f t="shared" si="502"/>
        <v>0</v>
      </c>
      <c r="ES161" s="195">
        <f t="shared" si="503"/>
        <v>0</v>
      </c>
      <c r="ET161" s="195">
        <f t="shared" si="504"/>
        <v>0</v>
      </c>
      <c r="EU161" s="195">
        <f t="shared" si="505"/>
        <v>0</v>
      </c>
      <c r="EV161" s="195">
        <f t="shared" si="506"/>
        <v>0</v>
      </c>
      <c r="EW161" s="195" t="str">
        <f t="shared" si="507"/>
        <v/>
      </c>
      <c r="EX161" s="196" t="str">
        <f t="shared" si="508"/>
        <v/>
      </c>
      <c r="EY161" s="197" t="str">
        <f>IF('Marks Entry'!BE161="","",'Marks Entry'!BE161)</f>
        <v/>
      </c>
      <c r="EZ161" s="197" t="str">
        <f>IF('Marks Entry'!BF161="","",'Marks Entry'!BF161)</f>
        <v/>
      </c>
      <c r="FA161" s="197" t="str">
        <f>IF('Marks Entry'!BG161="","",'Marks Entry'!BG161)</f>
        <v/>
      </c>
      <c r="FB161" s="596" t="str">
        <f t="shared" si="509"/>
        <v/>
      </c>
      <c r="FC161" s="197" t="str">
        <f>IF('Marks Entry'!BH161="","",'Marks Entry'!BH161)</f>
        <v/>
      </c>
      <c r="FD161" s="197" t="str">
        <f>IF('Marks Entry'!BI161="","",'Marks Entry'!BI161)</f>
        <v/>
      </c>
      <c r="FE161" s="198" t="str">
        <f t="shared" si="510"/>
        <v/>
      </c>
      <c r="FF161" s="199" t="str">
        <f t="shared" si="511"/>
        <v/>
      </c>
      <c r="FG161" s="200" t="str">
        <f>IF(AND(E161=""),"",IF('Student DATA Entry'!L157="","",'Student DATA Entry'!L157))</f>
        <v/>
      </c>
      <c r="FH161" s="201" t="str">
        <f>IF(AND(E161=""),"",IF('Student DATA Entry'!M157="","",'Student DATA Entry'!M157))</f>
        <v/>
      </c>
      <c r="FI161" s="202" t="str">
        <f t="shared" si="512"/>
        <v/>
      </c>
      <c r="FJ161" s="189" t="str">
        <f t="shared" si="513"/>
        <v/>
      </c>
      <c r="FK161" s="189" t="str">
        <f t="shared" si="514"/>
        <v/>
      </c>
      <c r="FL161" s="203" t="str">
        <f t="shared" si="383"/>
        <v/>
      </c>
      <c r="FM161" s="189" t="str">
        <f t="shared" si="515"/>
        <v/>
      </c>
      <c r="FN161" s="204" t="str">
        <f t="shared" si="516"/>
        <v/>
      </c>
      <c r="FO161" s="203" t="str">
        <f t="shared" si="384"/>
        <v/>
      </c>
      <c r="FP161" s="205" t="str">
        <f t="shared" si="517"/>
        <v/>
      </c>
      <c r="FQ161" s="189" t="str">
        <f t="shared" si="385"/>
        <v/>
      </c>
      <c r="FR161" s="189" t="str">
        <f t="shared" si="386"/>
        <v/>
      </c>
      <c r="FS161" s="189" t="str">
        <f t="shared" si="387"/>
        <v/>
      </c>
      <c r="FT161" s="189" t="str">
        <f t="shared" si="388"/>
        <v/>
      </c>
      <c r="FU161" s="189" t="str">
        <f t="shared" si="518"/>
        <v/>
      </c>
      <c r="FV161" s="206" t="str">
        <f t="shared" si="389"/>
        <v/>
      </c>
      <c r="FW161" s="205" t="str">
        <f t="shared" si="519"/>
        <v/>
      </c>
      <c r="FX161" s="189" t="str">
        <f t="shared" si="390"/>
        <v/>
      </c>
      <c r="FY161" s="189" t="str">
        <f t="shared" si="391"/>
        <v/>
      </c>
      <c r="FZ161" s="189" t="str">
        <f t="shared" si="392"/>
        <v/>
      </c>
      <c r="GA161" s="189" t="str">
        <f t="shared" si="393"/>
        <v/>
      </c>
      <c r="GB161" s="189" t="str">
        <f t="shared" si="520"/>
        <v/>
      </c>
      <c r="GC161" s="206" t="str">
        <f t="shared" si="394"/>
        <v/>
      </c>
      <c r="GD161" s="205" t="str">
        <f t="shared" si="521"/>
        <v/>
      </c>
      <c r="GE161" s="189" t="str">
        <f t="shared" si="395"/>
        <v/>
      </c>
      <c r="GF161" s="189" t="str">
        <f t="shared" si="396"/>
        <v/>
      </c>
      <c r="GG161" s="189" t="str">
        <f t="shared" si="397"/>
        <v/>
      </c>
      <c r="GH161" s="189" t="str">
        <f t="shared" si="398"/>
        <v/>
      </c>
      <c r="GI161" s="189" t="str">
        <f t="shared" si="522"/>
        <v/>
      </c>
      <c r="GJ161" s="206" t="str">
        <f t="shared" si="399"/>
        <v/>
      </c>
      <c r="GK161" s="205" t="str">
        <f t="shared" si="523"/>
        <v/>
      </c>
      <c r="GL161" s="189" t="str">
        <f t="shared" si="400"/>
        <v/>
      </c>
      <c r="GM161" s="189" t="str">
        <f t="shared" si="401"/>
        <v/>
      </c>
      <c r="GN161" s="189" t="str">
        <f t="shared" si="402"/>
        <v/>
      </c>
      <c r="GO161" s="189" t="str">
        <f t="shared" si="403"/>
        <v/>
      </c>
      <c r="GP161" s="189" t="str">
        <f t="shared" si="524"/>
        <v/>
      </c>
      <c r="GQ161" s="206" t="str">
        <f t="shared" si="404"/>
        <v/>
      </c>
      <c r="GR161" s="189" t="str">
        <f t="shared" si="525"/>
        <v/>
      </c>
      <c r="GS161" s="189" t="str">
        <f t="shared" si="526"/>
        <v/>
      </c>
      <c r="GT161" s="207" t="str">
        <f t="shared" si="527"/>
        <v xml:space="preserve">    </v>
      </c>
      <c r="GU161" s="207" t="str">
        <f t="shared" si="528"/>
        <v xml:space="preserve">    </v>
      </c>
      <c r="GV161" s="207" t="str">
        <f t="shared" si="529"/>
        <v xml:space="preserve">    </v>
      </c>
      <c r="GW161" s="207" t="str">
        <f t="shared" si="530"/>
        <v xml:space="preserve">       </v>
      </c>
      <c r="GX161" s="598" t="str">
        <f t="shared" si="531"/>
        <v xml:space="preserve">     </v>
      </c>
      <c r="GY161" s="208" t="str">
        <f t="shared" si="405"/>
        <v/>
      </c>
      <c r="GZ161" s="606" t="str">
        <f>IF(AND(Q161="",AE161="",AZ161="",BW161="",CT161=""),"",IF(AND('Master Sheet'!$D$19="YES",'Marks Entry'!$BA$1=1),SUM(Q161,AE161,AZ161,BW161,DT161),SUM(Q161,AE161,AZ161,BW161,CT161)))</f>
        <v/>
      </c>
      <c r="HA161" s="209" t="str">
        <f>IF(GZ161="","",IF(AND('Master Sheet'!$D$19="YES",'Marks Entry'!$BA$1=1),GZ161/((900)-DC161)*100,GZ161/((1000)-DC161)*100))</f>
        <v/>
      </c>
      <c r="HB161" s="611" t="str">
        <f t="shared" si="532"/>
        <v/>
      </c>
      <c r="HC161" s="609" t="str">
        <f t="shared" si="533"/>
        <v/>
      </c>
      <c r="HD161" s="610" t="str">
        <f t="shared" si="534"/>
        <v/>
      </c>
      <c r="HE161" s="210" t="str">
        <f>IFERROR(IF(OR(GY161="SUPPLEMENTARY",GY161="RE-EXAM"),'Supp. Result Entry'!AS160,""),"")</f>
        <v/>
      </c>
      <c r="HF161" s="613" t="str">
        <f t="shared" si="535"/>
        <v/>
      </c>
      <c r="HG161" s="598" t="str">
        <f t="shared" si="536"/>
        <v/>
      </c>
      <c r="HH161" s="598" t="str">
        <f>IF(AND(HE161="",HF161="",HG161=""),"",IF(OR(GY161="SUPPLEMENTARY",GY161="RE-EXAM"),'Supp. Result Entry'!AS160,GY161))</f>
        <v/>
      </c>
      <c r="HI161" s="180"/>
      <c r="HY161" s="212" t="str">
        <f>IF('Supp. Result Entry'!U160="","",'Supp. Result Entry'!$U$6)</f>
        <v/>
      </c>
      <c r="HZ161" s="213" t="str">
        <f>IF('Supp. Result Entry'!X160="","",'Supp. Result Entry'!$X$6)</f>
        <v/>
      </c>
      <c r="IA161" s="213" t="str">
        <f>IF('Supp. Result Entry'!AA160="","",'Supp. Result Entry'!$AA$6)</f>
        <v/>
      </c>
      <c r="IB161" s="213" t="str">
        <f>IF('Supp. Result Entry'!AD160="","",'Supp. Result Entry'!$AD$6)</f>
        <v/>
      </c>
      <c r="IC161" s="213" t="str">
        <f>IF('Supp. Result Entry'!AG160="","",'Supp. Result Entry'!$AG$6)</f>
        <v/>
      </c>
      <c r="ID161" s="213" t="str">
        <f>IF('Supp. Result Entry'!AJ160="","",'Supp. Result Entry'!$AJ$6)</f>
        <v/>
      </c>
      <c r="IE161" s="213" t="str">
        <f>IF('Supp. Result Entry'!V160="","",'Supp. Result Entry'!V160)</f>
        <v/>
      </c>
      <c r="IF161" s="213" t="str">
        <f>IF('Supp. Result Entry'!Y160="","",'Supp. Result Entry'!Y160)</f>
        <v/>
      </c>
      <c r="IG161" s="213" t="str">
        <f>IF('Supp. Result Entry'!AB160="","",'Supp. Result Entry'!AB160)</f>
        <v/>
      </c>
      <c r="IH161" s="213" t="str">
        <f>IF('Supp. Result Entry'!AE160="","",'Supp. Result Entry'!AE160)</f>
        <v/>
      </c>
      <c r="II161" s="213" t="str">
        <f>IF('Supp. Result Entry'!AH160="","",'Supp. Result Entry'!AH160)</f>
        <v/>
      </c>
      <c r="IJ161" s="213" t="str">
        <f>IF('Supp. Result Entry'!AK160="","",'Supp. Result Entry'!AK160)</f>
        <v/>
      </c>
      <c r="IK161" s="213" t="str">
        <f>IF('Supp. Result Entry'!W160="","",'Supp. Result Entry'!W160)</f>
        <v/>
      </c>
      <c r="IL161" s="213" t="str">
        <f>IF('Supp. Result Entry'!Z160="","",'Supp. Result Entry'!Z160)</f>
        <v/>
      </c>
      <c r="IM161" s="213" t="str">
        <f>IF('Supp. Result Entry'!AC160="","",'Supp. Result Entry'!AC160)</f>
        <v/>
      </c>
      <c r="IN161" s="213" t="str">
        <f>IF('Supp. Result Entry'!AF160="","",'Supp. Result Entry'!AF160)</f>
        <v/>
      </c>
      <c r="IO161" s="213" t="str">
        <f>IF('Supp. Result Entry'!AI160="","",'Supp. Result Entry'!AI160)</f>
        <v/>
      </c>
      <c r="IP161" s="213" t="str">
        <f>IF('Supp. Result Entry'!AL160="","",'Supp. Result Entry'!AL160)</f>
        <v/>
      </c>
      <c r="IQ161" s="213">
        <f>COUNTIF('Supp. Result Entry'!K160:Q160,"S")</f>
        <v>0</v>
      </c>
      <c r="IR161" s="213">
        <f t="shared" si="537"/>
        <v>0</v>
      </c>
      <c r="IS161" s="213">
        <f t="shared" si="538"/>
        <v>0</v>
      </c>
      <c r="IT161" s="213" t="str">
        <f t="shared" si="406"/>
        <v/>
      </c>
      <c r="IU161" s="213" t="str">
        <f t="shared" si="407"/>
        <v/>
      </c>
      <c r="IV161" s="213" t="str">
        <f t="shared" si="408"/>
        <v/>
      </c>
      <c r="IW161" s="213" t="str">
        <f t="shared" si="409"/>
        <v/>
      </c>
      <c r="IX161" s="213" t="str">
        <f t="shared" si="410"/>
        <v/>
      </c>
      <c r="IY161" s="213" t="str">
        <f t="shared" si="539"/>
        <v/>
      </c>
      <c r="IZ161" s="213" t="str">
        <f t="shared" si="540"/>
        <v/>
      </c>
      <c r="JA161" s="213" t="str">
        <f t="shared" si="411"/>
        <v/>
      </c>
      <c r="JB161" s="211" t="str">
        <f t="shared" si="541"/>
        <v/>
      </c>
    </row>
    <row r="162" spans="1:262" s="211" customFormat="1" ht="21" customHeight="1">
      <c r="A162" s="184">
        <v>155</v>
      </c>
      <c r="B162" s="185" t="str">
        <f>IF('Marks Entry'!B162="","",'Marks Entry'!B162)</f>
        <v/>
      </c>
      <c r="C162" s="186" t="str">
        <f>IF('Marks Entry'!D162="","",'Marks Entry'!D162)</f>
        <v/>
      </c>
      <c r="D162" s="187" t="str">
        <f>IF('Marks Entry'!E162="","",'Marks Entry'!E162)</f>
        <v/>
      </c>
      <c r="E162" s="188" t="str">
        <f>IF('Marks Entry'!F162="","",'Marks Entry'!F162)</f>
        <v/>
      </c>
      <c r="F162" s="188" t="str">
        <f>IF('Marks Entry'!G162="","",'Marks Entry'!G162)</f>
        <v/>
      </c>
      <c r="G162" s="188" t="str">
        <f>IF('Marks Entry'!H162="","",'Marks Entry'!H162)</f>
        <v/>
      </c>
      <c r="H162" s="189" t="str">
        <f>IF('Marks Entry'!I162="","",'Marks Entry'!I162)</f>
        <v/>
      </c>
      <c r="I162" s="190" t="str">
        <f>IF('Marks Entry'!J162="","",'Marks Entry'!J162)</f>
        <v/>
      </c>
      <c r="J162" s="545" t="str">
        <f>IF('Marks Entry'!K162="","",'Marks Entry'!K162)</f>
        <v/>
      </c>
      <c r="K162" s="545" t="str">
        <f>IF('Marks Entry'!L162="","",'Marks Entry'!L162)</f>
        <v/>
      </c>
      <c r="L162" s="545" t="str">
        <f>IF('Marks Entry'!M162="","",'Marks Entry'!M162)</f>
        <v/>
      </c>
      <c r="M162" s="546" t="str">
        <f t="shared" si="412"/>
        <v/>
      </c>
      <c r="N162" s="545" t="str">
        <f>IF('Marks Entry'!N162="","",'Marks Entry'!N162)</f>
        <v/>
      </c>
      <c r="O162" s="546" t="str">
        <f t="shared" si="413"/>
        <v/>
      </c>
      <c r="P162" s="545" t="str">
        <f>IF('Marks Entry'!O162="","",'Marks Entry'!O162)</f>
        <v/>
      </c>
      <c r="Q162" s="547" t="str">
        <f t="shared" si="414"/>
        <v/>
      </c>
      <c r="R162" s="153">
        <f t="shared" si="415"/>
        <v>0</v>
      </c>
      <c r="S162" s="153">
        <f t="shared" si="416"/>
        <v>0</v>
      </c>
      <c r="T162" s="154" t="str">
        <f t="shared" si="417"/>
        <v/>
      </c>
      <c r="U162" s="153" t="str">
        <f t="shared" si="418"/>
        <v/>
      </c>
      <c r="V162" s="153" t="str">
        <f t="shared" si="419"/>
        <v/>
      </c>
      <c r="W162" s="153" t="str">
        <f t="shared" si="420"/>
        <v/>
      </c>
      <c r="X162" s="545" t="str">
        <f>IF('Marks Entry'!P162="","",'Marks Entry'!P162)</f>
        <v/>
      </c>
      <c r="Y162" s="545" t="str">
        <f>IF('Marks Entry'!Q162="","",'Marks Entry'!Q162)</f>
        <v/>
      </c>
      <c r="Z162" s="545" t="str">
        <f>IF('Marks Entry'!R162="","",'Marks Entry'!R162)</f>
        <v/>
      </c>
      <c r="AA162" s="546" t="str">
        <f t="shared" si="421"/>
        <v/>
      </c>
      <c r="AB162" s="545" t="str">
        <f>IF('Marks Entry'!S162="","",'Marks Entry'!S162)</f>
        <v/>
      </c>
      <c r="AC162" s="546" t="str">
        <f t="shared" si="422"/>
        <v/>
      </c>
      <c r="AD162" s="545" t="str">
        <f>IF('Marks Entry'!T162="","",'Marks Entry'!T162)</f>
        <v/>
      </c>
      <c r="AE162" s="547" t="str">
        <f t="shared" si="423"/>
        <v/>
      </c>
      <c r="AF162" s="153">
        <f t="shared" si="424"/>
        <v>0</v>
      </c>
      <c r="AG162" s="153">
        <f t="shared" si="425"/>
        <v>0</v>
      </c>
      <c r="AH162" s="154" t="str">
        <f t="shared" si="426"/>
        <v/>
      </c>
      <c r="AI162" s="153" t="str">
        <f t="shared" si="427"/>
        <v/>
      </c>
      <c r="AJ162" s="153" t="str">
        <f t="shared" si="428"/>
        <v/>
      </c>
      <c r="AK162" s="153" t="str">
        <f t="shared" si="429"/>
        <v/>
      </c>
      <c r="AL162" s="573" t="str">
        <f>IF('Marks Entry'!U162="","",'Marks Entry'!U162)</f>
        <v/>
      </c>
      <c r="AM162" s="573" t="str">
        <f>IF('Marks Entry'!V162="","",'Marks Entry'!V162)</f>
        <v/>
      </c>
      <c r="AN162" s="573" t="str">
        <f>IF('Marks Entry'!W162="","",'Marks Entry'!W162)</f>
        <v/>
      </c>
      <c r="AO162" s="573" t="str">
        <f>IF('Marks Entry'!X162="","",'Marks Entry'!X162)</f>
        <v/>
      </c>
      <c r="AP162" s="572" t="str">
        <f t="shared" si="430"/>
        <v/>
      </c>
      <c r="AQ162" s="573" t="str">
        <f>IF('Marks Entry'!Y162="","",'Marks Entry'!Y162)</f>
        <v/>
      </c>
      <c r="AR162" s="573" t="str">
        <f>IF('Marks Entry'!Z162="","",'Marks Entry'!Z162)</f>
        <v/>
      </c>
      <c r="AS162" s="572" t="str">
        <f t="shared" si="431"/>
        <v/>
      </c>
      <c r="AT162" s="572" t="str">
        <f t="shared" si="432"/>
        <v/>
      </c>
      <c r="AU162" s="573" t="str">
        <f>IF('Marks Entry'!AA162="","",'Marks Entry'!AA162)</f>
        <v/>
      </c>
      <c r="AV162" s="573" t="str">
        <f>IF('Marks Entry'!AB162="","",'Marks Entry'!AB162)</f>
        <v/>
      </c>
      <c r="AW162" s="572" t="str">
        <f t="shared" si="433"/>
        <v/>
      </c>
      <c r="AX162" s="157" t="str">
        <f t="shared" si="434"/>
        <v/>
      </c>
      <c r="AY162" s="157" t="str">
        <f t="shared" si="435"/>
        <v/>
      </c>
      <c r="AZ162" s="192" t="str">
        <f t="shared" si="436"/>
        <v/>
      </c>
      <c r="BA162" s="153">
        <f t="shared" si="437"/>
        <v>0</v>
      </c>
      <c r="BB162" s="154">
        <f t="shared" si="438"/>
        <v>0</v>
      </c>
      <c r="BC162" s="154" t="str">
        <f t="shared" si="439"/>
        <v/>
      </c>
      <c r="BD162" s="154" t="str">
        <f t="shared" si="440"/>
        <v/>
      </c>
      <c r="BE162" s="154" t="str">
        <f t="shared" si="441"/>
        <v/>
      </c>
      <c r="BF162" s="153" t="str">
        <f t="shared" si="442"/>
        <v/>
      </c>
      <c r="BG162" s="154" t="str">
        <f t="shared" si="443"/>
        <v/>
      </c>
      <c r="BH162" s="153" t="str">
        <f t="shared" si="444"/>
        <v/>
      </c>
      <c r="BI162" s="580" t="str">
        <f>IF('Marks Entry'!AC162="","",'Marks Entry'!AC162)</f>
        <v/>
      </c>
      <c r="BJ162" s="580" t="str">
        <f>IF('Marks Entry'!AD162="","",'Marks Entry'!AD162)</f>
        <v/>
      </c>
      <c r="BK162" s="580" t="str">
        <f>IF('Marks Entry'!AE162="","",'Marks Entry'!AE162)</f>
        <v/>
      </c>
      <c r="BL162" s="580" t="str">
        <f>IF('Marks Entry'!AF162="","",'Marks Entry'!AF162)</f>
        <v/>
      </c>
      <c r="BM162" s="581" t="str">
        <f t="shared" si="445"/>
        <v/>
      </c>
      <c r="BN162" s="580" t="str">
        <f>IF('Marks Entry'!AG162="","",'Marks Entry'!AG162)</f>
        <v/>
      </c>
      <c r="BO162" s="580" t="str">
        <f>IF('Marks Entry'!AH162="","",'Marks Entry'!AH162)</f>
        <v/>
      </c>
      <c r="BP162" s="581" t="str">
        <f t="shared" si="446"/>
        <v/>
      </c>
      <c r="BQ162" s="581" t="str">
        <f t="shared" si="447"/>
        <v/>
      </c>
      <c r="BR162" s="580" t="str">
        <f>IF('Marks Entry'!AI162="","",'Marks Entry'!AI162)</f>
        <v/>
      </c>
      <c r="BS162" s="580" t="str">
        <f>IF('Marks Entry'!AJ162="","",'Marks Entry'!AJ162)</f>
        <v/>
      </c>
      <c r="BT162" s="581" t="str">
        <f t="shared" si="448"/>
        <v/>
      </c>
      <c r="BU162" s="157" t="str">
        <f t="shared" si="449"/>
        <v/>
      </c>
      <c r="BV162" s="157" t="str">
        <f t="shared" si="450"/>
        <v/>
      </c>
      <c r="BW162" s="192" t="str">
        <f t="shared" si="451"/>
        <v/>
      </c>
      <c r="BX162" s="153">
        <f t="shared" si="452"/>
        <v>0</v>
      </c>
      <c r="BY162" s="154">
        <f t="shared" si="453"/>
        <v>0</v>
      </c>
      <c r="BZ162" s="154" t="str">
        <f t="shared" si="454"/>
        <v/>
      </c>
      <c r="CA162" s="154" t="str">
        <f t="shared" si="455"/>
        <v/>
      </c>
      <c r="CB162" s="154" t="str">
        <f t="shared" si="456"/>
        <v/>
      </c>
      <c r="CC162" s="153" t="str">
        <f t="shared" si="457"/>
        <v/>
      </c>
      <c r="CD162" s="154" t="str">
        <f t="shared" si="458"/>
        <v/>
      </c>
      <c r="CE162" s="153" t="str">
        <f t="shared" si="459"/>
        <v/>
      </c>
      <c r="CF162" s="580" t="str">
        <f>IF('Marks Entry'!AK162="","",'Marks Entry'!AK162)</f>
        <v/>
      </c>
      <c r="CG162" s="580" t="str">
        <f>IF('Marks Entry'!AL162="","",'Marks Entry'!AL162)</f>
        <v/>
      </c>
      <c r="CH162" s="580" t="str">
        <f>IF('Marks Entry'!AM162="","",'Marks Entry'!AM162)</f>
        <v/>
      </c>
      <c r="CI162" s="580" t="str">
        <f>IF('Marks Entry'!AN162="","",'Marks Entry'!AN162)</f>
        <v/>
      </c>
      <c r="CJ162" s="581" t="str">
        <f t="shared" si="460"/>
        <v/>
      </c>
      <c r="CK162" s="580" t="str">
        <f>IF('Marks Entry'!AO162="","",'Marks Entry'!AO162)</f>
        <v/>
      </c>
      <c r="CL162" s="580" t="str">
        <f>IF('Marks Entry'!AP162="","",'Marks Entry'!AP162)</f>
        <v/>
      </c>
      <c r="CM162" s="581" t="str">
        <f t="shared" si="461"/>
        <v/>
      </c>
      <c r="CN162" s="581" t="str">
        <f t="shared" si="462"/>
        <v/>
      </c>
      <c r="CO162" s="580" t="str">
        <f>IF('Marks Entry'!AQ162="","",'Marks Entry'!AQ162)</f>
        <v/>
      </c>
      <c r="CP162" s="580" t="str">
        <f>IF('Marks Entry'!AR162="","",'Marks Entry'!AR162)</f>
        <v/>
      </c>
      <c r="CQ162" s="581" t="str">
        <f t="shared" si="463"/>
        <v/>
      </c>
      <c r="CR162" s="157" t="str">
        <f t="shared" si="464"/>
        <v/>
      </c>
      <c r="CS162" s="157" t="str">
        <f t="shared" si="465"/>
        <v/>
      </c>
      <c r="CT162" s="192" t="str">
        <f t="shared" si="466"/>
        <v/>
      </c>
      <c r="CU162" s="153">
        <f t="shared" si="467"/>
        <v>0</v>
      </c>
      <c r="CV162" s="154">
        <f t="shared" si="468"/>
        <v>0</v>
      </c>
      <c r="CW162" s="154" t="str">
        <f t="shared" si="469"/>
        <v/>
      </c>
      <c r="CX162" s="154" t="str">
        <f t="shared" si="470"/>
        <v/>
      </c>
      <c r="CY162" s="154" t="str">
        <f t="shared" si="471"/>
        <v/>
      </c>
      <c r="CZ162" s="153" t="str">
        <f t="shared" si="472"/>
        <v/>
      </c>
      <c r="DA162" s="154" t="str">
        <f t="shared" si="473"/>
        <v/>
      </c>
      <c r="DB162" s="153" t="str">
        <f t="shared" si="474"/>
        <v/>
      </c>
      <c r="DC162" s="154">
        <f t="shared" si="475"/>
        <v>0</v>
      </c>
      <c r="DD162" s="826" t="str">
        <f>IF('Marks Entry'!AS162="","",IF(OR('Master Sheet'!$D$19="YES",'Marks Entry'!$BA$1=1),'Marks Entry'!AS162,""))</f>
        <v/>
      </c>
      <c r="DE162" s="826" t="str">
        <f>IF('Marks Entry'!AT162="","",IF(OR('Master Sheet'!$D$19="YES",'Marks Entry'!$BA$1=1),'Marks Entry'!AT162,""))</f>
        <v/>
      </c>
      <c r="DF162" s="826" t="str">
        <f>IF('Marks Entry'!AU162="","",IF(OR('Master Sheet'!$D$19="YES",'Marks Entry'!$BA$1=1),'Marks Entry'!AU162,""))</f>
        <v/>
      </c>
      <c r="DG162" s="826" t="str">
        <f>IF('Marks Entry'!AV162="","",IF(OR('Master Sheet'!$D$19="YES",'Marks Entry'!$BA$1=1),'Marks Entry'!AV162,""))</f>
        <v/>
      </c>
      <c r="DH162" s="827" t="str">
        <f t="shared" si="476"/>
        <v/>
      </c>
      <c r="DI162" s="826" t="str">
        <f>IF('Marks Entry'!AW162="","",IF(OR('Master Sheet'!$D$19="YES",'Marks Entry'!$BA$1=1),'Marks Entry'!AW162,""))</f>
        <v/>
      </c>
      <c r="DJ162" s="826" t="str">
        <f>IF('Marks Entry'!AX162="","",IF(OR('Master Sheet'!$D$19="YES",'Marks Entry'!$BA$1=1),'Marks Entry'!AX162,""))</f>
        <v/>
      </c>
      <c r="DK162" s="827" t="str">
        <f t="shared" si="477"/>
        <v/>
      </c>
      <c r="DL162" s="827" t="str">
        <f t="shared" si="478"/>
        <v/>
      </c>
      <c r="DM162" s="826" t="str">
        <f>IF('Marks Entry'!AY162="","",IF(OR('Master Sheet'!$D$19="YES",'Marks Entry'!$BA$1=1),'Marks Entry'!AY162,""))</f>
        <v/>
      </c>
      <c r="DN162" s="826" t="str">
        <f>IF('Marks Entry'!AZ162="","",IF(OR('Master Sheet'!$D$19="YES",'Marks Entry'!$BA$1=1),'Marks Entry'!AZ162,""))</f>
        <v/>
      </c>
      <c r="DO162" s="826" t="str">
        <f>IF('Marks Entry'!BA162="","",IF(OR('Master Sheet'!$D$19="YES",'Marks Entry'!$BA$1=1),'Marks Entry'!BA162,""))</f>
        <v/>
      </c>
      <c r="DP162" s="827" t="str">
        <f t="shared" si="479"/>
        <v/>
      </c>
      <c r="DQ162" s="157" t="str">
        <f t="shared" si="480"/>
        <v/>
      </c>
      <c r="DR162" s="157" t="str">
        <f t="shared" si="481"/>
        <v/>
      </c>
      <c r="DS162" s="157" t="str">
        <f t="shared" si="482"/>
        <v/>
      </c>
      <c r="DT162" s="192" t="str">
        <f t="shared" si="483"/>
        <v/>
      </c>
      <c r="DU162" s="153">
        <f t="shared" si="484"/>
        <v>0</v>
      </c>
      <c r="DV162" s="154" t="e">
        <f t="shared" si="485"/>
        <v>#VALUE!</v>
      </c>
      <c r="DW162" s="154" t="str">
        <f t="shared" si="486"/>
        <v/>
      </c>
      <c r="DX162" s="154" t="str">
        <f>IF(OR($B162="NSO",$B162=0,DS162=""),"",IF(AND(DJ162="",DO162=""),"",IF('Master Sheet'!$D$19="YES",$DO$6-COUNTIF(DO162,"ML")*DO$6,DS$6-(COUNTIF(DJ162,"ML")*DJ$6)-(COUNTIF(DO162,"ML")*DO$6))))</f>
        <v/>
      </c>
      <c r="DY162" s="154" t="str">
        <f>IF(OR($B162="NSO",$B162=0),"",IF(AND(DH162="",DI162="",DM162=""),"",IF(AND('Master Sheet'!$D$19="YES",'Marks Entry'!$BA$1=1),100,IF(AND(DJ162="",DO162=""),SUM(($DQ$7+$DR$7)-(DU162+DV162)),SUM(($DQ$6+$DR$6)-(DU162+DV162))))))</f>
        <v/>
      </c>
      <c r="DZ162" s="153" t="str">
        <f t="shared" si="487"/>
        <v/>
      </c>
      <c r="EA162" s="154" t="str">
        <f t="shared" si="488"/>
        <v/>
      </c>
      <c r="EB162" s="153" t="str">
        <f t="shared" si="489"/>
        <v/>
      </c>
      <c r="EC162" s="584" t="str">
        <f>IF('Marks Entry'!BB162="","",'Marks Entry'!BB162)</f>
        <v/>
      </c>
      <c r="ED162" s="584" t="str">
        <f>IF('Marks Entry'!BC162="","",'Marks Entry'!BC162)</f>
        <v/>
      </c>
      <c r="EE162" s="584" t="str">
        <f>IF('Marks Entry'!BD162="","",'Marks Entry'!BD162)</f>
        <v/>
      </c>
      <c r="EF162" s="590" t="str">
        <f t="shared" si="490"/>
        <v/>
      </c>
      <c r="EG162" s="595">
        <f t="shared" si="491"/>
        <v>0</v>
      </c>
      <c r="EH162" s="595">
        <f t="shared" si="492"/>
        <v>0</v>
      </c>
      <c r="EI162" s="193" t="str">
        <f t="shared" si="493"/>
        <v/>
      </c>
      <c r="EJ162" s="595" t="str">
        <f t="shared" si="494"/>
        <v/>
      </c>
      <c r="EK162" s="595" t="str">
        <f t="shared" si="495"/>
        <v/>
      </c>
      <c r="EL162" s="194" t="str">
        <f t="shared" si="496"/>
        <v/>
      </c>
      <c r="EM162" s="194" t="str">
        <f t="shared" si="497"/>
        <v/>
      </c>
      <c r="EN162" s="194" t="str">
        <f t="shared" si="498"/>
        <v/>
      </c>
      <c r="EO162" s="194" t="str">
        <f t="shared" si="499"/>
        <v/>
      </c>
      <c r="EP162" s="194" t="str">
        <f t="shared" si="500"/>
        <v/>
      </c>
      <c r="EQ162" s="194" t="str">
        <f t="shared" si="501"/>
        <v/>
      </c>
      <c r="ER162" s="195">
        <f t="shared" si="502"/>
        <v>0</v>
      </c>
      <c r="ES162" s="195">
        <f t="shared" si="503"/>
        <v>0</v>
      </c>
      <c r="ET162" s="195">
        <f t="shared" si="504"/>
        <v>0</v>
      </c>
      <c r="EU162" s="195">
        <f t="shared" si="505"/>
        <v>0</v>
      </c>
      <c r="EV162" s="195">
        <f t="shared" si="506"/>
        <v>0</v>
      </c>
      <c r="EW162" s="195" t="str">
        <f t="shared" si="507"/>
        <v/>
      </c>
      <c r="EX162" s="196" t="str">
        <f t="shared" si="508"/>
        <v/>
      </c>
      <c r="EY162" s="197" t="str">
        <f>IF('Marks Entry'!BE162="","",'Marks Entry'!BE162)</f>
        <v/>
      </c>
      <c r="EZ162" s="197" t="str">
        <f>IF('Marks Entry'!BF162="","",'Marks Entry'!BF162)</f>
        <v/>
      </c>
      <c r="FA162" s="197" t="str">
        <f>IF('Marks Entry'!BG162="","",'Marks Entry'!BG162)</f>
        <v/>
      </c>
      <c r="FB162" s="596" t="str">
        <f t="shared" si="509"/>
        <v/>
      </c>
      <c r="FC162" s="197" t="str">
        <f>IF('Marks Entry'!BH162="","",'Marks Entry'!BH162)</f>
        <v/>
      </c>
      <c r="FD162" s="197" t="str">
        <f>IF('Marks Entry'!BI162="","",'Marks Entry'!BI162)</f>
        <v/>
      </c>
      <c r="FE162" s="198" t="str">
        <f t="shared" si="510"/>
        <v/>
      </c>
      <c r="FF162" s="199" t="str">
        <f t="shared" si="511"/>
        <v/>
      </c>
      <c r="FG162" s="200" t="str">
        <f>IF(AND(E162=""),"",IF('Student DATA Entry'!L158="","",'Student DATA Entry'!L158))</f>
        <v/>
      </c>
      <c r="FH162" s="201" t="str">
        <f>IF(AND(E162=""),"",IF('Student DATA Entry'!M158="","",'Student DATA Entry'!M158))</f>
        <v/>
      </c>
      <c r="FI162" s="202" t="str">
        <f t="shared" si="512"/>
        <v/>
      </c>
      <c r="FJ162" s="189" t="str">
        <f t="shared" si="513"/>
        <v/>
      </c>
      <c r="FK162" s="189" t="str">
        <f t="shared" si="514"/>
        <v/>
      </c>
      <c r="FL162" s="203" t="str">
        <f t="shared" si="383"/>
        <v/>
      </c>
      <c r="FM162" s="189" t="str">
        <f t="shared" si="515"/>
        <v/>
      </c>
      <c r="FN162" s="204" t="str">
        <f t="shared" si="516"/>
        <v/>
      </c>
      <c r="FO162" s="203" t="str">
        <f t="shared" si="384"/>
        <v/>
      </c>
      <c r="FP162" s="205" t="str">
        <f t="shared" si="517"/>
        <v/>
      </c>
      <c r="FQ162" s="189" t="str">
        <f t="shared" si="385"/>
        <v/>
      </c>
      <c r="FR162" s="189" t="str">
        <f t="shared" si="386"/>
        <v/>
      </c>
      <c r="FS162" s="189" t="str">
        <f t="shared" si="387"/>
        <v/>
      </c>
      <c r="FT162" s="189" t="str">
        <f t="shared" si="388"/>
        <v/>
      </c>
      <c r="FU162" s="189" t="str">
        <f t="shared" si="518"/>
        <v/>
      </c>
      <c r="FV162" s="206" t="str">
        <f t="shared" si="389"/>
        <v/>
      </c>
      <c r="FW162" s="205" t="str">
        <f t="shared" si="519"/>
        <v/>
      </c>
      <c r="FX162" s="189" t="str">
        <f t="shared" si="390"/>
        <v/>
      </c>
      <c r="FY162" s="189" t="str">
        <f t="shared" si="391"/>
        <v/>
      </c>
      <c r="FZ162" s="189" t="str">
        <f t="shared" si="392"/>
        <v/>
      </c>
      <c r="GA162" s="189" t="str">
        <f t="shared" si="393"/>
        <v/>
      </c>
      <c r="GB162" s="189" t="str">
        <f t="shared" si="520"/>
        <v/>
      </c>
      <c r="GC162" s="206" t="str">
        <f t="shared" si="394"/>
        <v/>
      </c>
      <c r="GD162" s="205" t="str">
        <f t="shared" si="521"/>
        <v/>
      </c>
      <c r="GE162" s="189" t="str">
        <f t="shared" si="395"/>
        <v/>
      </c>
      <c r="GF162" s="189" t="str">
        <f t="shared" si="396"/>
        <v/>
      </c>
      <c r="GG162" s="189" t="str">
        <f t="shared" si="397"/>
        <v/>
      </c>
      <c r="GH162" s="189" t="str">
        <f t="shared" si="398"/>
        <v/>
      </c>
      <c r="GI162" s="189" t="str">
        <f t="shared" si="522"/>
        <v/>
      </c>
      <c r="GJ162" s="206" t="str">
        <f t="shared" si="399"/>
        <v/>
      </c>
      <c r="GK162" s="205" t="str">
        <f t="shared" si="523"/>
        <v/>
      </c>
      <c r="GL162" s="189" t="str">
        <f t="shared" si="400"/>
        <v/>
      </c>
      <c r="GM162" s="189" t="str">
        <f t="shared" si="401"/>
        <v/>
      </c>
      <c r="GN162" s="189" t="str">
        <f t="shared" si="402"/>
        <v/>
      </c>
      <c r="GO162" s="189" t="str">
        <f t="shared" si="403"/>
        <v/>
      </c>
      <c r="GP162" s="189" t="str">
        <f t="shared" si="524"/>
        <v/>
      </c>
      <c r="GQ162" s="206" t="str">
        <f t="shared" si="404"/>
        <v/>
      </c>
      <c r="GR162" s="189" t="str">
        <f t="shared" si="525"/>
        <v/>
      </c>
      <c r="GS162" s="189" t="str">
        <f t="shared" si="526"/>
        <v/>
      </c>
      <c r="GT162" s="207" t="str">
        <f t="shared" si="527"/>
        <v xml:space="preserve">    </v>
      </c>
      <c r="GU162" s="207" t="str">
        <f t="shared" si="528"/>
        <v xml:space="preserve">    </v>
      </c>
      <c r="GV162" s="207" t="str">
        <f t="shared" si="529"/>
        <v xml:space="preserve">    </v>
      </c>
      <c r="GW162" s="207" t="str">
        <f t="shared" si="530"/>
        <v xml:space="preserve">       </v>
      </c>
      <c r="GX162" s="598" t="str">
        <f t="shared" si="531"/>
        <v xml:space="preserve">     </v>
      </c>
      <c r="GY162" s="208" t="str">
        <f t="shared" si="405"/>
        <v/>
      </c>
      <c r="GZ162" s="606" t="str">
        <f>IF(AND(Q162="",AE162="",AZ162="",BW162="",CT162=""),"",IF(AND('Master Sheet'!$D$19="YES",'Marks Entry'!$BA$1=1),SUM(Q162,AE162,AZ162,BW162,DT162),SUM(Q162,AE162,AZ162,BW162,CT162)))</f>
        <v/>
      </c>
      <c r="HA162" s="209" t="str">
        <f>IF(GZ162="","",IF(AND('Master Sheet'!$D$19="YES",'Marks Entry'!$BA$1=1),GZ162/((900)-DC162)*100,GZ162/((1000)-DC162)*100))</f>
        <v/>
      </c>
      <c r="HB162" s="611" t="str">
        <f t="shared" si="532"/>
        <v/>
      </c>
      <c r="HC162" s="609" t="str">
        <f t="shared" si="533"/>
        <v/>
      </c>
      <c r="HD162" s="610" t="str">
        <f t="shared" si="534"/>
        <v/>
      </c>
      <c r="HE162" s="210" t="str">
        <f>IFERROR(IF(OR(GY162="SUPPLEMENTARY",GY162="RE-EXAM"),'Supp. Result Entry'!AS161,""),"")</f>
        <v/>
      </c>
      <c r="HF162" s="613" t="str">
        <f t="shared" si="535"/>
        <v/>
      </c>
      <c r="HG162" s="598" t="str">
        <f t="shared" si="536"/>
        <v/>
      </c>
      <c r="HH162" s="598" t="str">
        <f>IF(AND(HE162="",HF162="",HG162=""),"",IF(OR(GY162="SUPPLEMENTARY",GY162="RE-EXAM"),'Supp. Result Entry'!AS161,GY162))</f>
        <v/>
      </c>
      <c r="HI162" s="180"/>
      <c r="HY162" s="212" t="str">
        <f>IF('Supp. Result Entry'!U161="","",'Supp. Result Entry'!$U$6)</f>
        <v/>
      </c>
      <c r="HZ162" s="213" t="str">
        <f>IF('Supp. Result Entry'!X161="","",'Supp. Result Entry'!$X$6)</f>
        <v/>
      </c>
      <c r="IA162" s="213" t="str">
        <f>IF('Supp. Result Entry'!AA161="","",'Supp. Result Entry'!$AA$6)</f>
        <v/>
      </c>
      <c r="IB162" s="213" t="str">
        <f>IF('Supp. Result Entry'!AD161="","",'Supp. Result Entry'!$AD$6)</f>
        <v/>
      </c>
      <c r="IC162" s="213" t="str">
        <f>IF('Supp. Result Entry'!AG161="","",'Supp. Result Entry'!$AG$6)</f>
        <v/>
      </c>
      <c r="ID162" s="213" t="str">
        <f>IF('Supp. Result Entry'!AJ161="","",'Supp. Result Entry'!$AJ$6)</f>
        <v/>
      </c>
      <c r="IE162" s="213" t="str">
        <f>IF('Supp. Result Entry'!V161="","",'Supp. Result Entry'!V161)</f>
        <v/>
      </c>
      <c r="IF162" s="213" t="str">
        <f>IF('Supp. Result Entry'!Y161="","",'Supp. Result Entry'!Y161)</f>
        <v/>
      </c>
      <c r="IG162" s="213" t="str">
        <f>IF('Supp. Result Entry'!AB161="","",'Supp. Result Entry'!AB161)</f>
        <v/>
      </c>
      <c r="IH162" s="213" t="str">
        <f>IF('Supp. Result Entry'!AE161="","",'Supp. Result Entry'!AE161)</f>
        <v/>
      </c>
      <c r="II162" s="213" t="str">
        <f>IF('Supp. Result Entry'!AH161="","",'Supp. Result Entry'!AH161)</f>
        <v/>
      </c>
      <c r="IJ162" s="213" t="str">
        <f>IF('Supp. Result Entry'!AK161="","",'Supp. Result Entry'!AK161)</f>
        <v/>
      </c>
      <c r="IK162" s="213" t="str">
        <f>IF('Supp. Result Entry'!W161="","",'Supp. Result Entry'!W161)</f>
        <v/>
      </c>
      <c r="IL162" s="213" t="str">
        <f>IF('Supp. Result Entry'!Z161="","",'Supp. Result Entry'!Z161)</f>
        <v/>
      </c>
      <c r="IM162" s="213" t="str">
        <f>IF('Supp. Result Entry'!AC161="","",'Supp. Result Entry'!AC161)</f>
        <v/>
      </c>
      <c r="IN162" s="213" t="str">
        <f>IF('Supp. Result Entry'!AF161="","",'Supp. Result Entry'!AF161)</f>
        <v/>
      </c>
      <c r="IO162" s="213" t="str">
        <f>IF('Supp. Result Entry'!AI161="","",'Supp. Result Entry'!AI161)</f>
        <v/>
      </c>
      <c r="IP162" s="213" t="str">
        <f>IF('Supp. Result Entry'!AL161="","",'Supp. Result Entry'!AL161)</f>
        <v/>
      </c>
      <c r="IQ162" s="213">
        <f>COUNTIF('Supp. Result Entry'!K161:Q161,"S")</f>
        <v>0</v>
      </c>
      <c r="IR162" s="213">
        <f t="shared" si="537"/>
        <v>0</v>
      </c>
      <c r="IS162" s="213">
        <f t="shared" si="538"/>
        <v>0</v>
      </c>
      <c r="IT162" s="213" t="str">
        <f t="shared" si="406"/>
        <v/>
      </c>
      <c r="IU162" s="213" t="str">
        <f t="shared" si="407"/>
        <v/>
      </c>
      <c r="IV162" s="213" t="str">
        <f t="shared" si="408"/>
        <v/>
      </c>
      <c r="IW162" s="213" t="str">
        <f t="shared" si="409"/>
        <v/>
      </c>
      <c r="IX162" s="213" t="str">
        <f t="shared" si="410"/>
        <v/>
      </c>
      <c r="IY162" s="213" t="str">
        <f t="shared" si="539"/>
        <v/>
      </c>
      <c r="IZ162" s="213" t="str">
        <f t="shared" si="540"/>
        <v/>
      </c>
      <c r="JA162" s="213" t="str">
        <f t="shared" si="411"/>
        <v/>
      </c>
      <c r="JB162" s="211" t="str">
        <f t="shared" si="541"/>
        <v/>
      </c>
    </row>
    <row r="163" spans="1:262" s="211" customFormat="1" ht="21" customHeight="1">
      <c r="A163" s="184">
        <v>156</v>
      </c>
      <c r="B163" s="185" t="str">
        <f>IF('Marks Entry'!B163="","",'Marks Entry'!B163)</f>
        <v/>
      </c>
      <c r="C163" s="186" t="str">
        <f>IF('Marks Entry'!D163="","",'Marks Entry'!D163)</f>
        <v/>
      </c>
      <c r="D163" s="187" t="str">
        <f>IF('Marks Entry'!E163="","",'Marks Entry'!E163)</f>
        <v/>
      </c>
      <c r="E163" s="188" t="str">
        <f>IF('Marks Entry'!F163="","",'Marks Entry'!F163)</f>
        <v/>
      </c>
      <c r="F163" s="188" t="str">
        <f>IF('Marks Entry'!G163="","",'Marks Entry'!G163)</f>
        <v/>
      </c>
      <c r="G163" s="188" t="str">
        <f>IF('Marks Entry'!H163="","",'Marks Entry'!H163)</f>
        <v/>
      </c>
      <c r="H163" s="189" t="str">
        <f>IF('Marks Entry'!I163="","",'Marks Entry'!I163)</f>
        <v/>
      </c>
      <c r="I163" s="190" t="str">
        <f>IF('Marks Entry'!J163="","",'Marks Entry'!J163)</f>
        <v/>
      </c>
      <c r="J163" s="545" t="str">
        <f>IF('Marks Entry'!K163="","",'Marks Entry'!K163)</f>
        <v/>
      </c>
      <c r="K163" s="545" t="str">
        <f>IF('Marks Entry'!L163="","",'Marks Entry'!L163)</f>
        <v/>
      </c>
      <c r="L163" s="545" t="str">
        <f>IF('Marks Entry'!M163="","",'Marks Entry'!M163)</f>
        <v/>
      </c>
      <c r="M163" s="546" t="str">
        <f t="shared" si="412"/>
        <v/>
      </c>
      <c r="N163" s="545" t="str">
        <f>IF('Marks Entry'!N163="","",'Marks Entry'!N163)</f>
        <v/>
      </c>
      <c r="O163" s="546" t="str">
        <f t="shared" si="413"/>
        <v/>
      </c>
      <c r="P163" s="545" t="str">
        <f>IF('Marks Entry'!O163="","",'Marks Entry'!O163)</f>
        <v/>
      </c>
      <c r="Q163" s="547" t="str">
        <f t="shared" si="414"/>
        <v/>
      </c>
      <c r="R163" s="153">
        <f t="shared" si="415"/>
        <v>0</v>
      </c>
      <c r="S163" s="153">
        <f t="shared" si="416"/>
        <v>0</v>
      </c>
      <c r="T163" s="154" t="str">
        <f t="shared" si="417"/>
        <v/>
      </c>
      <c r="U163" s="153" t="str">
        <f t="shared" si="418"/>
        <v/>
      </c>
      <c r="V163" s="153" t="str">
        <f t="shared" si="419"/>
        <v/>
      </c>
      <c r="W163" s="153" t="str">
        <f t="shared" si="420"/>
        <v/>
      </c>
      <c r="X163" s="545" t="str">
        <f>IF('Marks Entry'!P163="","",'Marks Entry'!P163)</f>
        <v/>
      </c>
      <c r="Y163" s="545" t="str">
        <f>IF('Marks Entry'!Q163="","",'Marks Entry'!Q163)</f>
        <v/>
      </c>
      <c r="Z163" s="545" t="str">
        <f>IF('Marks Entry'!R163="","",'Marks Entry'!R163)</f>
        <v/>
      </c>
      <c r="AA163" s="546" t="str">
        <f t="shared" si="421"/>
        <v/>
      </c>
      <c r="AB163" s="545" t="str">
        <f>IF('Marks Entry'!S163="","",'Marks Entry'!S163)</f>
        <v/>
      </c>
      <c r="AC163" s="546" t="str">
        <f t="shared" si="422"/>
        <v/>
      </c>
      <c r="AD163" s="545" t="str">
        <f>IF('Marks Entry'!T163="","",'Marks Entry'!T163)</f>
        <v/>
      </c>
      <c r="AE163" s="547" t="str">
        <f t="shared" si="423"/>
        <v/>
      </c>
      <c r="AF163" s="153">
        <f t="shared" si="424"/>
        <v>0</v>
      </c>
      <c r="AG163" s="153">
        <f t="shared" si="425"/>
        <v>0</v>
      </c>
      <c r="AH163" s="154" t="str">
        <f t="shared" si="426"/>
        <v/>
      </c>
      <c r="AI163" s="153" t="str">
        <f t="shared" si="427"/>
        <v/>
      </c>
      <c r="AJ163" s="153" t="str">
        <f t="shared" si="428"/>
        <v/>
      </c>
      <c r="AK163" s="153" t="str">
        <f t="shared" si="429"/>
        <v/>
      </c>
      <c r="AL163" s="573" t="str">
        <f>IF('Marks Entry'!U163="","",'Marks Entry'!U163)</f>
        <v/>
      </c>
      <c r="AM163" s="573" t="str">
        <f>IF('Marks Entry'!V163="","",'Marks Entry'!V163)</f>
        <v/>
      </c>
      <c r="AN163" s="573" t="str">
        <f>IF('Marks Entry'!W163="","",'Marks Entry'!W163)</f>
        <v/>
      </c>
      <c r="AO163" s="573" t="str">
        <f>IF('Marks Entry'!X163="","",'Marks Entry'!X163)</f>
        <v/>
      </c>
      <c r="AP163" s="572" t="str">
        <f t="shared" si="430"/>
        <v/>
      </c>
      <c r="AQ163" s="573" t="str">
        <f>IF('Marks Entry'!Y163="","",'Marks Entry'!Y163)</f>
        <v/>
      </c>
      <c r="AR163" s="573" t="str">
        <f>IF('Marks Entry'!Z163="","",'Marks Entry'!Z163)</f>
        <v/>
      </c>
      <c r="AS163" s="572" t="str">
        <f t="shared" si="431"/>
        <v/>
      </c>
      <c r="AT163" s="572" t="str">
        <f t="shared" si="432"/>
        <v/>
      </c>
      <c r="AU163" s="573" t="str">
        <f>IF('Marks Entry'!AA163="","",'Marks Entry'!AA163)</f>
        <v/>
      </c>
      <c r="AV163" s="573" t="str">
        <f>IF('Marks Entry'!AB163="","",'Marks Entry'!AB163)</f>
        <v/>
      </c>
      <c r="AW163" s="572" t="str">
        <f t="shared" si="433"/>
        <v/>
      </c>
      <c r="AX163" s="157" t="str">
        <f t="shared" si="434"/>
        <v/>
      </c>
      <c r="AY163" s="157" t="str">
        <f t="shared" si="435"/>
        <v/>
      </c>
      <c r="AZ163" s="192" t="str">
        <f t="shared" si="436"/>
        <v/>
      </c>
      <c r="BA163" s="153">
        <f t="shared" si="437"/>
        <v>0</v>
      </c>
      <c r="BB163" s="154">
        <f t="shared" si="438"/>
        <v>0</v>
      </c>
      <c r="BC163" s="154" t="str">
        <f t="shared" si="439"/>
        <v/>
      </c>
      <c r="BD163" s="154" t="str">
        <f t="shared" si="440"/>
        <v/>
      </c>
      <c r="BE163" s="154" t="str">
        <f t="shared" si="441"/>
        <v/>
      </c>
      <c r="BF163" s="153" t="str">
        <f t="shared" si="442"/>
        <v/>
      </c>
      <c r="BG163" s="154" t="str">
        <f t="shared" si="443"/>
        <v/>
      </c>
      <c r="BH163" s="153" t="str">
        <f t="shared" si="444"/>
        <v/>
      </c>
      <c r="BI163" s="580" t="str">
        <f>IF('Marks Entry'!AC163="","",'Marks Entry'!AC163)</f>
        <v/>
      </c>
      <c r="BJ163" s="580" t="str">
        <f>IF('Marks Entry'!AD163="","",'Marks Entry'!AD163)</f>
        <v/>
      </c>
      <c r="BK163" s="580" t="str">
        <f>IF('Marks Entry'!AE163="","",'Marks Entry'!AE163)</f>
        <v/>
      </c>
      <c r="BL163" s="580" t="str">
        <f>IF('Marks Entry'!AF163="","",'Marks Entry'!AF163)</f>
        <v/>
      </c>
      <c r="BM163" s="581" t="str">
        <f t="shared" si="445"/>
        <v/>
      </c>
      <c r="BN163" s="580" t="str">
        <f>IF('Marks Entry'!AG163="","",'Marks Entry'!AG163)</f>
        <v/>
      </c>
      <c r="BO163" s="580" t="str">
        <f>IF('Marks Entry'!AH163="","",'Marks Entry'!AH163)</f>
        <v/>
      </c>
      <c r="BP163" s="581" t="str">
        <f t="shared" si="446"/>
        <v/>
      </c>
      <c r="BQ163" s="581" t="str">
        <f t="shared" si="447"/>
        <v/>
      </c>
      <c r="BR163" s="580" t="str">
        <f>IF('Marks Entry'!AI163="","",'Marks Entry'!AI163)</f>
        <v/>
      </c>
      <c r="BS163" s="580" t="str">
        <f>IF('Marks Entry'!AJ163="","",'Marks Entry'!AJ163)</f>
        <v/>
      </c>
      <c r="BT163" s="581" t="str">
        <f t="shared" si="448"/>
        <v/>
      </c>
      <c r="BU163" s="157" t="str">
        <f t="shared" si="449"/>
        <v/>
      </c>
      <c r="BV163" s="157" t="str">
        <f t="shared" si="450"/>
        <v/>
      </c>
      <c r="BW163" s="192" t="str">
        <f t="shared" si="451"/>
        <v/>
      </c>
      <c r="BX163" s="153">
        <f t="shared" si="452"/>
        <v>0</v>
      </c>
      <c r="BY163" s="154">
        <f t="shared" si="453"/>
        <v>0</v>
      </c>
      <c r="BZ163" s="154" t="str">
        <f t="shared" si="454"/>
        <v/>
      </c>
      <c r="CA163" s="154" t="str">
        <f t="shared" si="455"/>
        <v/>
      </c>
      <c r="CB163" s="154" t="str">
        <f t="shared" si="456"/>
        <v/>
      </c>
      <c r="CC163" s="153" t="str">
        <f t="shared" si="457"/>
        <v/>
      </c>
      <c r="CD163" s="154" t="str">
        <f t="shared" si="458"/>
        <v/>
      </c>
      <c r="CE163" s="153" t="str">
        <f t="shared" si="459"/>
        <v/>
      </c>
      <c r="CF163" s="580" t="str">
        <f>IF('Marks Entry'!AK163="","",'Marks Entry'!AK163)</f>
        <v/>
      </c>
      <c r="CG163" s="580" t="str">
        <f>IF('Marks Entry'!AL163="","",'Marks Entry'!AL163)</f>
        <v/>
      </c>
      <c r="CH163" s="580" t="str">
        <f>IF('Marks Entry'!AM163="","",'Marks Entry'!AM163)</f>
        <v/>
      </c>
      <c r="CI163" s="580" t="str">
        <f>IF('Marks Entry'!AN163="","",'Marks Entry'!AN163)</f>
        <v/>
      </c>
      <c r="CJ163" s="581" t="str">
        <f t="shared" si="460"/>
        <v/>
      </c>
      <c r="CK163" s="580" t="str">
        <f>IF('Marks Entry'!AO163="","",'Marks Entry'!AO163)</f>
        <v/>
      </c>
      <c r="CL163" s="580" t="str">
        <f>IF('Marks Entry'!AP163="","",'Marks Entry'!AP163)</f>
        <v/>
      </c>
      <c r="CM163" s="581" t="str">
        <f t="shared" si="461"/>
        <v/>
      </c>
      <c r="CN163" s="581" t="str">
        <f t="shared" si="462"/>
        <v/>
      </c>
      <c r="CO163" s="580" t="str">
        <f>IF('Marks Entry'!AQ163="","",'Marks Entry'!AQ163)</f>
        <v/>
      </c>
      <c r="CP163" s="580" t="str">
        <f>IF('Marks Entry'!AR163="","",'Marks Entry'!AR163)</f>
        <v/>
      </c>
      <c r="CQ163" s="581" t="str">
        <f t="shared" si="463"/>
        <v/>
      </c>
      <c r="CR163" s="157" t="str">
        <f t="shared" si="464"/>
        <v/>
      </c>
      <c r="CS163" s="157" t="str">
        <f t="shared" si="465"/>
        <v/>
      </c>
      <c r="CT163" s="192" t="str">
        <f t="shared" si="466"/>
        <v/>
      </c>
      <c r="CU163" s="153">
        <f t="shared" si="467"/>
        <v>0</v>
      </c>
      <c r="CV163" s="154">
        <f t="shared" si="468"/>
        <v>0</v>
      </c>
      <c r="CW163" s="154" t="str">
        <f t="shared" si="469"/>
        <v/>
      </c>
      <c r="CX163" s="154" t="str">
        <f t="shared" si="470"/>
        <v/>
      </c>
      <c r="CY163" s="154" t="str">
        <f t="shared" si="471"/>
        <v/>
      </c>
      <c r="CZ163" s="153" t="str">
        <f t="shared" si="472"/>
        <v/>
      </c>
      <c r="DA163" s="154" t="str">
        <f t="shared" si="473"/>
        <v/>
      </c>
      <c r="DB163" s="153" t="str">
        <f t="shared" si="474"/>
        <v/>
      </c>
      <c r="DC163" s="154">
        <f t="shared" si="475"/>
        <v>0</v>
      </c>
      <c r="DD163" s="826" t="str">
        <f>IF('Marks Entry'!AS163="","",IF(OR('Master Sheet'!$D$19="YES",'Marks Entry'!$BA$1=1),'Marks Entry'!AS163,""))</f>
        <v/>
      </c>
      <c r="DE163" s="826" t="str">
        <f>IF('Marks Entry'!AT163="","",IF(OR('Master Sheet'!$D$19="YES",'Marks Entry'!$BA$1=1),'Marks Entry'!AT163,""))</f>
        <v/>
      </c>
      <c r="DF163" s="826" t="str">
        <f>IF('Marks Entry'!AU163="","",IF(OR('Master Sheet'!$D$19="YES",'Marks Entry'!$BA$1=1),'Marks Entry'!AU163,""))</f>
        <v/>
      </c>
      <c r="DG163" s="826" t="str">
        <f>IF('Marks Entry'!AV163="","",IF(OR('Master Sheet'!$D$19="YES",'Marks Entry'!$BA$1=1),'Marks Entry'!AV163,""))</f>
        <v/>
      </c>
      <c r="DH163" s="827" t="str">
        <f t="shared" si="476"/>
        <v/>
      </c>
      <c r="DI163" s="826" t="str">
        <f>IF('Marks Entry'!AW163="","",IF(OR('Master Sheet'!$D$19="YES",'Marks Entry'!$BA$1=1),'Marks Entry'!AW163,""))</f>
        <v/>
      </c>
      <c r="DJ163" s="826" t="str">
        <f>IF('Marks Entry'!AX163="","",IF(OR('Master Sheet'!$D$19="YES",'Marks Entry'!$BA$1=1),'Marks Entry'!AX163,""))</f>
        <v/>
      </c>
      <c r="DK163" s="827" t="str">
        <f t="shared" si="477"/>
        <v/>
      </c>
      <c r="DL163" s="827" t="str">
        <f t="shared" si="478"/>
        <v/>
      </c>
      <c r="DM163" s="826" t="str">
        <f>IF('Marks Entry'!AY163="","",IF(OR('Master Sheet'!$D$19="YES",'Marks Entry'!$BA$1=1),'Marks Entry'!AY163,""))</f>
        <v/>
      </c>
      <c r="DN163" s="826" t="str">
        <f>IF('Marks Entry'!AZ163="","",IF(OR('Master Sheet'!$D$19="YES",'Marks Entry'!$BA$1=1),'Marks Entry'!AZ163,""))</f>
        <v/>
      </c>
      <c r="DO163" s="826" t="str">
        <f>IF('Marks Entry'!BA163="","",IF(OR('Master Sheet'!$D$19="YES",'Marks Entry'!$BA$1=1),'Marks Entry'!BA163,""))</f>
        <v/>
      </c>
      <c r="DP163" s="827" t="str">
        <f t="shared" si="479"/>
        <v/>
      </c>
      <c r="DQ163" s="157" t="str">
        <f t="shared" si="480"/>
        <v/>
      </c>
      <c r="DR163" s="157" t="str">
        <f t="shared" si="481"/>
        <v/>
      </c>
      <c r="DS163" s="157" t="str">
        <f t="shared" si="482"/>
        <v/>
      </c>
      <c r="DT163" s="192" t="str">
        <f t="shared" si="483"/>
        <v/>
      </c>
      <c r="DU163" s="153">
        <f t="shared" si="484"/>
        <v>0</v>
      </c>
      <c r="DV163" s="154" t="e">
        <f t="shared" si="485"/>
        <v>#VALUE!</v>
      </c>
      <c r="DW163" s="154" t="str">
        <f t="shared" si="486"/>
        <v/>
      </c>
      <c r="DX163" s="154" t="str">
        <f>IF(OR($B163="NSO",$B163=0,DS163=""),"",IF(AND(DJ163="",DO163=""),"",IF('Master Sheet'!$D$19="YES",$DO$6-COUNTIF(DO163,"ML")*DO$6,DS$6-(COUNTIF(DJ163,"ML")*DJ$6)-(COUNTIF(DO163,"ML")*DO$6))))</f>
        <v/>
      </c>
      <c r="DY163" s="154" t="str">
        <f>IF(OR($B163="NSO",$B163=0),"",IF(AND(DH163="",DI163="",DM163=""),"",IF(AND('Master Sheet'!$D$19="YES",'Marks Entry'!$BA$1=1),100,IF(AND(DJ163="",DO163=""),SUM(($DQ$7+$DR$7)-(DU163+DV163)),SUM(($DQ$6+$DR$6)-(DU163+DV163))))))</f>
        <v/>
      </c>
      <c r="DZ163" s="153" t="str">
        <f t="shared" si="487"/>
        <v/>
      </c>
      <c r="EA163" s="154" t="str">
        <f t="shared" si="488"/>
        <v/>
      </c>
      <c r="EB163" s="153" t="str">
        <f t="shared" si="489"/>
        <v/>
      </c>
      <c r="EC163" s="584" t="str">
        <f>IF('Marks Entry'!BB163="","",'Marks Entry'!BB163)</f>
        <v/>
      </c>
      <c r="ED163" s="584" t="str">
        <f>IF('Marks Entry'!BC163="","",'Marks Entry'!BC163)</f>
        <v/>
      </c>
      <c r="EE163" s="584" t="str">
        <f>IF('Marks Entry'!BD163="","",'Marks Entry'!BD163)</f>
        <v/>
      </c>
      <c r="EF163" s="590" t="str">
        <f t="shared" si="490"/>
        <v/>
      </c>
      <c r="EG163" s="595">
        <f t="shared" si="491"/>
        <v>0</v>
      </c>
      <c r="EH163" s="595">
        <f t="shared" si="492"/>
        <v>0</v>
      </c>
      <c r="EI163" s="193" t="str">
        <f t="shared" si="493"/>
        <v/>
      </c>
      <c r="EJ163" s="595" t="str">
        <f t="shared" si="494"/>
        <v/>
      </c>
      <c r="EK163" s="595" t="str">
        <f t="shared" si="495"/>
        <v/>
      </c>
      <c r="EL163" s="194" t="str">
        <f t="shared" si="496"/>
        <v/>
      </c>
      <c r="EM163" s="194" t="str">
        <f t="shared" si="497"/>
        <v/>
      </c>
      <c r="EN163" s="194" t="str">
        <f t="shared" si="498"/>
        <v/>
      </c>
      <c r="EO163" s="194" t="str">
        <f t="shared" si="499"/>
        <v/>
      </c>
      <c r="EP163" s="194" t="str">
        <f t="shared" si="500"/>
        <v/>
      </c>
      <c r="EQ163" s="194" t="str">
        <f t="shared" si="501"/>
        <v/>
      </c>
      <c r="ER163" s="195">
        <f t="shared" si="502"/>
        <v>0</v>
      </c>
      <c r="ES163" s="195">
        <f t="shared" si="503"/>
        <v>0</v>
      </c>
      <c r="ET163" s="195">
        <f t="shared" si="504"/>
        <v>0</v>
      </c>
      <c r="EU163" s="195">
        <f t="shared" si="505"/>
        <v>0</v>
      </c>
      <c r="EV163" s="195">
        <f t="shared" si="506"/>
        <v>0</v>
      </c>
      <c r="EW163" s="195" t="str">
        <f t="shared" si="507"/>
        <v/>
      </c>
      <c r="EX163" s="196" t="str">
        <f t="shared" si="508"/>
        <v/>
      </c>
      <c r="EY163" s="197" t="str">
        <f>IF('Marks Entry'!BE163="","",'Marks Entry'!BE163)</f>
        <v/>
      </c>
      <c r="EZ163" s="197" t="str">
        <f>IF('Marks Entry'!BF163="","",'Marks Entry'!BF163)</f>
        <v/>
      </c>
      <c r="FA163" s="197" t="str">
        <f>IF('Marks Entry'!BG163="","",'Marks Entry'!BG163)</f>
        <v/>
      </c>
      <c r="FB163" s="596" t="str">
        <f t="shared" si="509"/>
        <v/>
      </c>
      <c r="FC163" s="197" t="str">
        <f>IF('Marks Entry'!BH163="","",'Marks Entry'!BH163)</f>
        <v/>
      </c>
      <c r="FD163" s="197" t="str">
        <f>IF('Marks Entry'!BI163="","",'Marks Entry'!BI163)</f>
        <v/>
      </c>
      <c r="FE163" s="198" t="str">
        <f t="shared" si="510"/>
        <v/>
      </c>
      <c r="FF163" s="199" t="str">
        <f t="shared" si="511"/>
        <v/>
      </c>
      <c r="FG163" s="200" t="str">
        <f>IF(AND(E163=""),"",IF('Student DATA Entry'!L159="","",'Student DATA Entry'!L159))</f>
        <v/>
      </c>
      <c r="FH163" s="201" t="str">
        <f>IF(AND(E163=""),"",IF('Student DATA Entry'!M159="","",'Student DATA Entry'!M159))</f>
        <v/>
      </c>
      <c r="FI163" s="202" t="str">
        <f t="shared" si="512"/>
        <v/>
      </c>
      <c r="FJ163" s="189" t="str">
        <f t="shared" si="513"/>
        <v/>
      </c>
      <c r="FK163" s="189" t="str">
        <f t="shared" si="514"/>
        <v/>
      </c>
      <c r="FL163" s="203" t="str">
        <f t="shared" si="383"/>
        <v/>
      </c>
      <c r="FM163" s="189" t="str">
        <f t="shared" si="515"/>
        <v/>
      </c>
      <c r="FN163" s="204" t="str">
        <f t="shared" si="516"/>
        <v/>
      </c>
      <c r="FO163" s="203" t="str">
        <f t="shared" si="384"/>
        <v/>
      </c>
      <c r="FP163" s="205" t="str">
        <f t="shared" si="517"/>
        <v/>
      </c>
      <c r="FQ163" s="189" t="str">
        <f t="shared" si="385"/>
        <v/>
      </c>
      <c r="FR163" s="189" t="str">
        <f t="shared" si="386"/>
        <v/>
      </c>
      <c r="FS163" s="189" t="str">
        <f t="shared" si="387"/>
        <v/>
      </c>
      <c r="FT163" s="189" t="str">
        <f t="shared" si="388"/>
        <v/>
      </c>
      <c r="FU163" s="189" t="str">
        <f t="shared" si="518"/>
        <v/>
      </c>
      <c r="FV163" s="206" t="str">
        <f t="shared" si="389"/>
        <v/>
      </c>
      <c r="FW163" s="205" t="str">
        <f t="shared" si="519"/>
        <v/>
      </c>
      <c r="FX163" s="189" t="str">
        <f t="shared" si="390"/>
        <v/>
      </c>
      <c r="FY163" s="189" t="str">
        <f t="shared" si="391"/>
        <v/>
      </c>
      <c r="FZ163" s="189" t="str">
        <f t="shared" si="392"/>
        <v/>
      </c>
      <c r="GA163" s="189" t="str">
        <f t="shared" si="393"/>
        <v/>
      </c>
      <c r="GB163" s="189" t="str">
        <f t="shared" si="520"/>
        <v/>
      </c>
      <c r="GC163" s="206" t="str">
        <f t="shared" si="394"/>
        <v/>
      </c>
      <c r="GD163" s="205" t="str">
        <f t="shared" si="521"/>
        <v/>
      </c>
      <c r="GE163" s="189" t="str">
        <f t="shared" si="395"/>
        <v/>
      </c>
      <c r="GF163" s="189" t="str">
        <f t="shared" si="396"/>
        <v/>
      </c>
      <c r="GG163" s="189" t="str">
        <f t="shared" si="397"/>
        <v/>
      </c>
      <c r="GH163" s="189" t="str">
        <f t="shared" si="398"/>
        <v/>
      </c>
      <c r="GI163" s="189" t="str">
        <f t="shared" si="522"/>
        <v/>
      </c>
      <c r="GJ163" s="206" t="str">
        <f t="shared" si="399"/>
        <v/>
      </c>
      <c r="GK163" s="205" t="str">
        <f t="shared" si="523"/>
        <v/>
      </c>
      <c r="GL163" s="189" t="str">
        <f t="shared" si="400"/>
        <v/>
      </c>
      <c r="GM163" s="189" t="str">
        <f t="shared" si="401"/>
        <v/>
      </c>
      <c r="GN163" s="189" t="str">
        <f t="shared" si="402"/>
        <v/>
      </c>
      <c r="GO163" s="189" t="str">
        <f t="shared" si="403"/>
        <v/>
      </c>
      <c r="GP163" s="189" t="str">
        <f t="shared" si="524"/>
        <v/>
      </c>
      <c r="GQ163" s="206" t="str">
        <f t="shared" si="404"/>
        <v/>
      </c>
      <c r="GR163" s="189" t="str">
        <f t="shared" si="525"/>
        <v/>
      </c>
      <c r="GS163" s="189" t="str">
        <f t="shared" si="526"/>
        <v/>
      </c>
      <c r="GT163" s="207" t="str">
        <f t="shared" si="527"/>
        <v xml:space="preserve">    </v>
      </c>
      <c r="GU163" s="207" t="str">
        <f t="shared" si="528"/>
        <v xml:space="preserve">    </v>
      </c>
      <c r="GV163" s="207" t="str">
        <f t="shared" si="529"/>
        <v xml:space="preserve">    </v>
      </c>
      <c r="GW163" s="207" t="str">
        <f t="shared" si="530"/>
        <v xml:space="preserve">       </v>
      </c>
      <c r="GX163" s="598" t="str">
        <f t="shared" si="531"/>
        <v xml:space="preserve">     </v>
      </c>
      <c r="GY163" s="208" t="str">
        <f t="shared" si="405"/>
        <v/>
      </c>
      <c r="GZ163" s="606" t="str">
        <f>IF(AND(Q163="",AE163="",AZ163="",BW163="",CT163=""),"",IF(AND('Master Sheet'!$D$19="YES",'Marks Entry'!$BA$1=1),SUM(Q163,AE163,AZ163,BW163,DT163),SUM(Q163,AE163,AZ163,BW163,CT163)))</f>
        <v/>
      </c>
      <c r="HA163" s="209" t="str">
        <f>IF(GZ163="","",IF(AND('Master Sheet'!$D$19="YES",'Marks Entry'!$BA$1=1),GZ163/((900)-DC163)*100,GZ163/((1000)-DC163)*100))</f>
        <v/>
      </c>
      <c r="HB163" s="611" t="str">
        <f t="shared" si="532"/>
        <v/>
      </c>
      <c r="HC163" s="609" t="str">
        <f t="shared" si="533"/>
        <v/>
      </c>
      <c r="HD163" s="610" t="str">
        <f t="shared" si="534"/>
        <v/>
      </c>
      <c r="HE163" s="210" t="str">
        <f>IFERROR(IF(OR(GY163="SUPPLEMENTARY",GY163="RE-EXAM"),'Supp. Result Entry'!AS162,""),"")</f>
        <v/>
      </c>
      <c r="HF163" s="613" t="str">
        <f t="shared" si="535"/>
        <v/>
      </c>
      <c r="HG163" s="598" t="str">
        <f t="shared" si="536"/>
        <v/>
      </c>
      <c r="HH163" s="598" t="str">
        <f>IF(AND(HE163="",HF163="",HG163=""),"",IF(OR(GY163="SUPPLEMENTARY",GY163="RE-EXAM"),'Supp. Result Entry'!AS162,GY163))</f>
        <v/>
      </c>
      <c r="HI163" s="180"/>
      <c r="HY163" s="212" t="str">
        <f>IF('Supp. Result Entry'!U162="","",'Supp. Result Entry'!$U$6)</f>
        <v/>
      </c>
      <c r="HZ163" s="213" t="str">
        <f>IF('Supp. Result Entry'!X162="","",'Supp. Result Entry'!$X$6)</f>
        <v/>
      </c>
      <c r="IA163" s="213" t="str">
        <f>IF('Supp. Result Entry'!AA162="","",'Supp. Result Entry'!$AA$6)</f>
        <v/>
      </c>
      <c r="IB163" s="213" t="str">
        <f>IF('Supp. Result Entry'!AD162="","",'Supp. Result Entry'!$AD$6)</f>
        <v/>
      </c>
      <c r="IC163" s="213" t="str">
        <f>IF('Supp. Result Entry'!AG162="","",'Supp. Result Entry'!$AG$6)</f>
        <v/>
      </c>
      <c r="ID163" s="213" t="str">
        <f>IF('Supp. Result Entry'!AJ162="","",'Supp. Result Entry'!$AJ$6)</f>
        <v/>
      </c>
      <c r="IE163" s="213" t="str">
        <f>IF('Supp. Result Entry'!V162="","",'Supp. Result Entry'!V162)</f>
        <v/>
      </c>
      <c r="IF163" s="213" t="str">
        <f>IF('Supp. Result Entry'!Y162="","",'Supp. Result Entry'!Y162)</f>
        <v/>
      </c>
      <c r="IG163" s="213" t="str">
        <f>IF('Supp. Result Entry'!AB162="","",'Supp. Result Entry'!AB162)</f>
        <v/>
      </c>
      <c r="IH163" s="213" t="str">
        <f>IF('Supp. Result Entry'!AE162="","",'Supp. Result Entry'!AE162)</f>
        <v/>
      </c>
      <c r="II163" s="213" t="str">
        <f>IF('Supp. Result Entry'!AH162="","",'Supp. Result Entry'!AH162)</f>
        <v/>
      </c>
      <c r="IJ163" s="213" t="str">
        <f>IF('Supp. Result Entry'!AK162="","",'Supp. Result Entry'!AK162)</f>
        <v/>
      </c>
      <c r="IK163" s="213" t="str">
        <f>IF('Supp. Result Entry'!W162="","",'Supp. Result Entry'!W162)</f>
        <v/>
      </c>
      <c r="IL163" s="213" t="str">
        <f>IF('Supp. Result Entry'!Z162="","",'Supp. Result Entry'!Z162)</f>
        <v/>
      </c>
      <c r="IM163" s="213" t="str">
        <f>IF('Supp. Result Entry'!AC162="","",'Supp. Result Entry'!AC162)</f>
        <v/>
      </c>
      <c r="IN163" s="213" t="str">
        <f>IF('Supp. Result Entry'!AF162="","",'Supp. Result Entry'!AF162)</f>
        <v/>
      </c>
      <c r="IO163" s="213" t="str">
        <f>IF('Supp. Result Entry'!AI162="","",'Supp. Result Entry'!AI162)</f>
        <v/>
      </c>
      <c r="IP163" s="213" t="str">
        <f>IF('Supp. Result Entry'!AL162="","",'Supp. Result Entry'!AL162)</f>
        <v/>
      </c>
      <c r="IQ163" s="213">
        <f>COUNTIF('Supp. Result Entry'!K162:Q162,"S")</f>
        <v>0</v>
      </c>
      <c r="IR163" s="213">
        <f t="shared" si="537"/>
        <v>0</v>
      </c>
      <c r="IS163" s="213">
        <f t="shared" si="538"/>
        <v>0</v>
      </c>
      <c r="IT163" s="213" t="str">
        <f t="shared" si="406"/>
        <v/>
      </c>
      <c r="IU163" s="213" t="str">
        <f t="shared" si="407"/>
        <v/>
      </c>
      <c r="IV163" s="213" t="str">
        <f t="shared" si="408"/>
        <v/>
      </c>
      <c r="IW163" s="213" t="str">
        <f t="shared" si="409"/>
        <v/>
      </c>
      <c r="IX163" s="213" t="str">
        <f t="shared" si="410"/>
        <v/>
      </c>
      <c r="IY163" s="213" t="str">
        <f t="shared" si="539"/>
        <v/>
      </c>
      <c r="IZ163" s="213" t="str">
        <f t="shared" si="540"/>
        <v/>
      </c>
      <c r="JA163" s="213" t="str">
        <f t="shared" si="411"/>
        <v/>
      </c>
      <c r="JB163" s="211" t="str">
        <f t="shared" si="541"/>
        <v/>
      </c>
    </row>
    <row r="164" spans="1:262" s="211" customFormat="1" ht="21" customHeight="1">
      <c r="A164" s="184">
        <v>157</v>
      </c>
      <c r="B164" s="185" t="str">
        <f>IF('Marks Entry'!B164="","",'Marks Entry'!B164)</f>
        <v/>
      </c>
      <c r="C164" s="186" t="str">
        <f>IF('Marks Entry'!D164="","",'Marks Entry'!D164)</f>
        <v/>
      </c>
      <c r="D164" s="187" t="str">
        <f>IF('Marks Entry'!E164="","",'Marks Entry'!E164)</f>
        <v/>
      </c>
      <c r="E164" s="188" t="str">
        <f>IF('Marks Entry'!F164="","",'Marks Entry'!F164)</f>
        <v/>
      </c>
      <c r="F164" s="188" t="str">
        <f>IF('Marks Entry'!G164="","",'Marks Entry'!G164)</f>
        <v/>
      </c>
      <c r="G164" s="188" t="str">
        <f>IF('Marks Entry'!H164="","",'Marks Entry'!H164)</f>
        <v/>
      </c>
      <c r="H164" s="189" t="str">
        <f>IF('Marks Entry'!I164="","",'Marks Entry'!I164)</f>
        <v/>
      </c>
      <c r="I164" s="190" t="str">
        <f>IF('Marks Entry'!J164="","",'Marks Entry'!J164)</f>
        <v/>
      </c>
      <c r="J164" s="545" t="str">
        <f>IF('Marks Entry'!K164="","",'Marks Entry'!K164)</f>
        <v/>
      </c>
      <c r="K164" s="545" t="str">
        <f>IF('Marks Entry'!L164="","",'Marks Entry'!L164)</f>
        <v/>
      </c>
      <c r="L164" s="545" t="str">
        <f>IF('Marks Entry'!M164="","",'Marks Entry'!M164)</f>
        <v/>
      </c>
      <c r="M164" s="546" t="str">
        <f t="shared" si="412"/>
        <v/>
      </c>
      <c r="N164" s="545" t="str">
        <f>IF('Marks Entry'!N164="","",'Marks Entry'!N164)</f>
        <v/>
      </c>
      <c r="O164" s="546" t="str">
        <f t="shared" si="413"/>
        <v/>
      </c>
      <c r="P164" s="545" t="str">
        <f>IF('Marks Entry'!O164="","",'Marks Entry'!O164)</f>
        <v/>
      </c>
      <c r="Q164" s="547" t="str">
        <f t="shared" si="414"/>
        <v/>
      </c>
      <c r="R164" s="153">
        <f t="shared" si="415"/>
        <v>0</v>
      </c>
      <c r="S164" s="153">
        <f t="shared" si="416"/>
        <v>0</v>
      </c>
      <c r="T164" s="154" t="str">
        <f t="shared" si="417"/>
        <v/>
      </c>
      <c r="U164" s="153" t="str">
        <f t="shared" si="418"/>
        <v/>
      </c>
      <c r="V164" s="153" t="str">
        <f t="shared" si="419"/>
        <v/>
      </c>
      <c r="W164" s="153" t="str">
        <f t="shared" si="420"/>
        <v/>
      </c>
      <c r="X164" s="545" t="str">
        <f>IF('Marks Entry'!P164="","",'Marks Entry'!P164)</f>
        <v/>
      </c>
      <c r="Y164" s="545" t="str">
        <f>IF('Marks Entry'!Q164="","",'Marks Entry'!Q164)</f>
        <v/>
      </c>
      <c r="Z164" s="545" t="str">
        <f>IF('Marks Entry'!R164="","",'Marks Entry'!R164)</f>
        <v/>
      </c>
      <c r="AA164" s="546" t="str">
        <f t="shared" si="421"/>
        <v/>
      </c>
      <c r="AB164" s="545" t="str">
        <f>IF('Marks Entry'!S164="","",'Marks Entry'!S164)</f>
        <v/>
      </c>
      <c r="AC164" s="546" t="str">
        <f t="shared" si="422"/>
        <v/>
      </c>
      <c r="AD164" s="545" t="str">
        <f>IF('Marks Entry'!T164="","",'Marks Entry'!T164)</f>
        <v/>
      </c>
      <c r="AE164" s="547" t="str">
        <f t="shared" si="423"/>
        <v/>
      </c>
      <c r="AF164" s="153">
        <f t="shared" si="424"/>
        <v>0</v>
      </c>
      <c r="AG164" s="153">
        <f t="shared" si="425"/>
        <v>0</v>
      </c>
      <c r="AH164" s="154" t="str">
        <f t="shared" si="426"/>
        <v/>
      </c>
      <c r="AI164" s="153" t="str">
        <f t="shared" si="427"/>
        <v/>
      </c>
      <c r="AJ164" s="153" t="str">
        <f t="shared" si="428"/>
        <v/>
      </c>
      <c r="AK164" s="153" t="str">
        <f t="shared" si="429"/>
        <v/>
      </c>
      <c r="AL164" s="573" t="str">
        <f>IF('Marks Entry'!U164="","",'Marks Entry'!U164)</f>
        <v/>
      </c>
      <c r="AM164" s="573" t="str">
        <f>IF('Marks Entry'!V164="","",'Marks Entry'!V164)</f>
        <v/>
      </c>
      <c r="AN164" s="573" t="str">
        <f>IF('Marks Entry'!W164="","",'Marks Entry'!W164)</f>
        <v/>
      </c>
      <c r="AO164" s="573" t="str">
        <f>IF('Marks Entry'!X164="","",'Marks Entry'!X164)</f>
        <v/>
      </c>
      <c r="AP164" s="572" t="str">
        <f t="shared" si="430"/>
        <v/>
      </c>
      <c r="AQ164" s="573" t="str">
        <f>IF('Marks Entry'!Y164="","",'Marks Entry'!Y164)</f>
        <v/>
      </c>
      <c r="AR164" s="573" t="str">
        <f>IF('Marks Entry'!Z164="","",'Marks Entry'!Z164)</f>
        <v/>
      </c>
      <c r="AS164" s="572" t="str">
        <f t="shared" si="431"/>
        <v/>
      </c>
      <c r="AT164" s="572" t="str">
        <f t="shared" si="432"/>
        <v/>
      </c>
      <c r="AU164" s="573" t="str">
        <f>IF('Marks Entry'!AA164="","",'Marks Entry'!AA164)</f>
        <v/>
      </c>
      <c r="AV164" s="573" t="str">
        <f>IF('Marks Entry'!AB164="","",'Marks Entry'!AB164)</f>
        <v/>
      </c>
      <c r="AW164" s="572" t="str">
        <f t="shared" si="433"/>
        <v/>
      </c>
      <c r="AX164" s="157" t="str">
        <f t="shared" si="434"/>
        <v/>
      </c>
      <c r="AY164" s="157" t="str">
        <f t="shared" si="435"/>
        <v/>
      </c>
      <c r="AZ164" s="192" t="str">
        <f t="shared" si="436"/>
        <v/>
      </c>
      <c r="BA164" s="153">
        <f t="shared" si="437"/>
        <v>0</v>
      </c>
      <c r="BB164" s="154">
        <f t="shared" si="438"/>
        <v>0</v>
      </c>
      <c r="BC164" s="154" t="str">
        <f t="shared" si="439"/>
        <v/>
      </c>
      <c r="BD164" s="154" t="str">
        <f t="shared" si="440"/>
        <v/>
      </c>
      <c r="BE164" s="154" t="str">
        <f t="shared" si="441"/>
        <v/>
      </c>
      <c r="BF164" s="153" t="str">
        <f t="shared" si="442"/>
        <v/>
      </c>
      <c r="BG164" s="154" t="str">
        <f t="shared" si="443"/>
        <v/>
      </c>
      <c r="BH164" s="153" t="str">
        <f t="shared" si="444"/>
        <v/>
      </c>
      <c r="BI164" s="580" t="str">
        <f>IF('Marks Entry'!AC164="","",'Marks Entry'!AC164)</f>
        <v/>
      </c>
      <c r="BJ164" s="580" t="str">
        <f>IF('Marks Entry'!AD164="","",'Marks Entry'!AD164)</f>
        <v/>
      </c>
      <c r="BK164" s="580" t="str">
        <f>IF('Marks Entry'!AE164="","",'Marks Entry'!AE164)</f>
        <v/>
      </c>
      <c r="BL164" s="580" t="str">
        <f>IF('Marks Entry'!AF164="","",'Marks Entry'!AF164)</f>
        <v/>
      </c>
      <c r="BM164" s="581" t="str">
        <f t="shared" si="445"/>
        <v/>
      </c>
      <c r="BN164" s="580" t="str">
        <f>IF('Marks Entry'!AG164="","",'Marks Entry'!AG164)</f>
        <v/>
      </c>
      <c r="BO164" s="580" t="str">
        <f>IF('Marks Entry'!AH164="","",'Marks Entry'!AH164)</f>
        <v/>
      </c>
      <c r="BP164" s="581" t="str">
        <f t="shared" si="446"/>
        <v/>
      </c>
      <c r="BQ164" s="581" t="str">
        <f t="shared" si="447"/>
        <v/>
      </c>
      <c r="BR164" s="580" t="str">
        <f>IF('Marks Entry'!AI164="","",'Marks Entry'!AI164)</f>
        <v/>
      </c>
      <c r="BS164" s="580" t="str">
        <f>IF('Marks Entry'!AJ164="","",'Marks Entry'!AJ164)</f>
        <v/>
      </c>
      <c r="BT164" s="581" t="str">
        <f t="shared" si="448"/>
        <v/>
      </c>
      <c r="BU164" s="157" t="str">
        <f t="shared" si="449"/>
        <v/>
      </c>
      <c r="BV164" s="157" t="str">
        <f t="shared" si="450"/>
        <v/>
      </c>
      <c r="BW164" s="192" t="str">
        <f t="shared" si="451"/>
        <v/>
      </c>
      <c r="BX164" s="153">
        <f t="shared" si="452"/>
        <v>0</v>
      </c>
      <c r="BY164" s="154">
        <f t="shared" si="453"/>
        <v>0</v>
      </c>
      <c r="BZ164" s="154" t="str">
        <f t="shared" si="454"/>
        <v/>
      </c>
      <c r="CA164" s="154" t="str">
        <f t="shared" si="455"/>
        <v/>
      </c>
      <c r="CB164" s="154" t="str">
        <f t="shared" si="456"/>
        <v/>
      </c>
      <c r="CC164" s="153" t="str">
        <f t="shared" si="457"/>
        <v/>
      </c>
      <c r="CD164" s="154" t="str">
        <f t="shared" si="458"/>
        <v/>
      </c>
      <c r="CE164" s="153" t="str">
        <f t="shared" si="459"/>
        <v/>
      </c>
      <c r="CF164" s="580" t="str">
        <f>IF('Marks Entry'!AK164="","",'Marks Entry'!AK164)</f>
        <v/>
      </c>
      <c r="CG164" s="580" t="str">
        <f>IF('Marks Entry'!AL164="","",'Marks Entry'!AL164)</f>
        <v/>
      </c>
      <c r="CH164" s="580" t="str">
        <f>IF('Marks Entry'!AM164="","",'Marks Entry'!AM164)</f>
        <v/>
      </c>
      <c r="CI164" s="580" t="str">
        <f>IF('Marks Entry'!AN164="","",'Marks Entry'!AN164)</f>
        <v/>
      </c>
      <c r="CJ164" s="581" t="str">
        <f t="shared" si="460"/>
        <v/>
      </c>
      <c r="CK164" s="580" t="str">
        <f>IF('Marks Entry'!AO164="","",'Marks Entry'!AO164)</f>
        <v/>
      </c>
      <c r="CL164" s="580" t="str">
        <f>IF('Marks Entry'!AP164="","",'Marks Entry'!AP164)</f>
        <v/>
      </c>
      <c r="CM164" s="581" t="str">
        <f t="shared" si="461"/>
        <v/>
      </c>
      <c r="CN164" s="581" t="str">
        <f t="shared" si="462"/>
        <v/>
      </c>
      <c r="CO164" s="580" t="str">
        <f>IF('Marks Entry'!AQ164="","",'Marks Entry'!AQ164)</f>
        <v/>
      </c>
      <c r="CP164" s="580" t="str">
        <f>IF('Marks Entry'!AR164="","",'Marks Entry'!AR164)</f>
        <v/>
      </c>
      <c r="CQ164" s="581" t="str">
        <f t="shared" si="463"/>
        <v/>
      </c>
      <c r="CR164" s="157" t="str">
        <f t="shared" si="464"/>
        <v/>
      </c>
      <c r="CS164" s="157" t="str">
        <f t="shared" si="465"/>
        <v/>
      </c>
      <c r="CT164" s="192" t="str">
        <f t="shared" si="466"/>
        <v/>
      </c>
      <c r="CU164" s="153">
        <f t="shared" si="467"/>
        <v>0</v>
      </c>
      <c r="CV164" s="154">
        <f t="shared" si="468"/>
        <v>0</v>
      </c>
      <c r="CW164" s="154" t="str">
        <f t="shared" si="469"/>
        <v/>
      </c>
      <c r="CX164" s="154" t="str">
        <f t="shared" si="470"/>
        <v/>
      </c>
      <c r="CY164" s="154" t="str">
        <f t="shared" si="471"/>
        <v/>
      </c>
      <c r="CZ164" s="153" t="str">
        <f t="shared" si="472"/>
        <v/>
      </c>
      <c r="DA164" s="154" t="str">
        <f t="shared" si="473"/>
        <v/>
      </c>
      <c r="DB164" s="153" t="str">
        <f t="shared" si="474"/>
        <v/>
      </c>
      <c r="DC164" s="154">
        <f t="shared" si="475"/>
        <v>0</v>
      </c>
      <c r="DD164" s="826" t="str">
        <f>IF('Marks Entry'!AS164="","",IF(OR('Master Sheet'!$D$19="YES",'Marks Entry'!$BA$1=1),'Marks Entry'!AS164,""))</f>
        <v/>
      </c>
      <c r="DE164" s="826" t="str">
        <f>IF('Marks Entry'!AT164="","",IF(OR('Master Sheet'!$D$19="YES",'Marks Entry'!$BA$1=1),'Marks Entry'!AT164,""))</f>
        <v/>
      </c>
      <c r="DF164" s="826" t="str">
        <f>IF('Marks Entry'!AU164="","",IF(OR('Master Sheet'!$D$19="YES",'Marks Entry'!$BA$1=1),'Marks Entry'!AU164,""))</f>
        <v/>
      </c>
      <c r="DG164" s="826" t="str">
        <f>IF('Marks Entry'!AV164="","",IF(OR('Master Sheet'!$D$19="YES",'Marks Entry'!$BA$1=1),'Marks Entry'!AV164,""))</f>
        <v/>
      </c>
      <c r="DH164" s="827" t="str">
        <f t="shared" si="476"/>
        <v/>
      </c>
      <c r="DI164" s="826" t="str">
        <f>IF('Marks Entry'!AW164="","",IF(OR('Master Sheet'!$D$19="YES",'Marks Entry'!$BA$1=1),'Marks Entry'!AW164,""))</f>
        <v/>
      </c>
      <c r="DJ164" s="826" t="str">
        <f>IF('Marks Entry'!AX164="","",IF(OR('Master Sheet'!$D$19="YES",'Marks Entry'!$BA$1=1),'Marks Entry'!AX164,""))</f>
        <v/>
      </c>
      <c r="DK164" s="827" t="str">
        <f t="shared" si="477"/>
        <v/>
      </c>
      <c r="DL164" s="827" t="str">
        <f t="shared" si="478"/>
        <v/>
      </c>
      <c r="DM164" s="826" t="str">
        <f>IF('Marks Entry'!AY164="","",IF(OR('Master Sheet'!$D$19="YES",'Marks Entry'!$BA$1=1),'Marks Entry'!AY164,""))</f>
        <v/>
      </c>
      <c r="DN164" s="826" t="str">
        <f>IF('Marks Entry'!AZ164="","",IF(OR('Master Sheet'!$D$19="YES",'Marks Entry'!$BA$1=1),'Marks Entry'!AZ164,""))</f>
        <v/>
      </c>
      <c r="DO164" s="826" t="str">
        <f>IF('Marks Entry'!BA164="","",IF(OR('Master Sheet'!$D$19="YES",'Marks Entry'!$BA$1=1),'Marks Entry'!BA164,""))</f>
        <v/>
      </c>
      <c r="DP164" s="827" t="str">
        <f t="shared" si="479"/>
        <v/>
      </c>
      <c r="DQ164" s="157" t="str">
        <f t="shared" si="480"/>
        <v/>
      </c>
      <c r="DR164" s="157" t="str">
        <f t="shared" si="481"/>
        <v/>
      </c>
      <c r="DS164" s="157" t="str">
        <f t="shared" si="482"/>
        <v/>
      </c>
      <c r="DT164" s="192" t="str">
        <f t="shared" si="483"/>
        <v/>
      </c>
      <c r="DU164" s="153">
        <f t="shared" si="484"/>
        <v>0</v>
      </c>
      <c r="DV164" s="154" t="e">
        <f t="shared" si="485"/>
        <v>#VALUE!</v>
      </c>
      <c r="DW164" s="154" t="str">
        <f t="shared" si="486"/>
        <v/>
      </c>
      <c r="DX164" s="154" t="str">
        <f>IF(OR($B164="NSO",$B164=0,DS164=""),"",IF(AND(DJ164="",DO164=""),"",IF('Master Sheet'!$D$19="YES",$DO$6-COUNTIF(DO164,"ML")*DO$6,DS$6-(COUNTIF(DJ164,"ML")*DJ$6)-(COUNTIF(DO164,"ML")*DO$6))))</f>
        <v/>
      </c>
      <c r="DY164" s="154" t="str">
        <f>IF(OR($B164="NSO",$B164=0),"",IF(AND(DH164="",DI164="",DM164=""),"",IF(AND('Master Sheet'!$D$19="YES",'Marks Entry'!$BA$1=1),100,IF(AND(DJ164="",DO164=""),SUM(($DQ$7+$DR$7)-(DU164+DV164)),SUM(($DQ$6+$DR$6)-(DU164+DV164))))))</f>
        <v/>
      </c>
      <c r="DZ164" s="153" t="str">
        <f t="shared" si="487"/>
        <v/>
      </c>
      <c r="EA164" s="154" t="str">
        <f t="shared" si="488"/>
        <v/>
      </c>
      <c r="EB164" s="153" t="str">
        <f t="shared" si="489"/>
        <v/>
      </c>
      <c r="EC164" s="584" t="str">
        <f>IF('Marks Entry'!BB164="","",'Marks Entry'!BB164)</f>
        <v/>
      </c>
      <c r="ED164" s="584" t="str">
        <f>IF('Marks Entry'!BC164="","",'Marks Entry'!BC164)</f>
        <v/>
      </c>
      <c r="EE164" s="584" t="str">
        <f>IF('Marks Entry'!BD164="","",'Marks Entry'!BD164)</f>
        <v/>
      </c>
      <c r="EF164" s="590" t="str">
        <f t="shared" si="490"/>
        <v/>
      </c>
      <c r="EG164" s="595">
        <f t="shared" si="491"/>
        <v>0</v>
      </c>
      <c r="EH164" s="595">
        <f t="shared" si="492"/>
        <v>0</v>
      </c>
      <c r="EI164" s="193" t="str">
        <f t="shared" si="493"/>
        <v/>
      </c>
      <c r="EJ164" s="595" t="str">
        <f t="shared" si="494"/>
        <v/>
      </c>
      <c r="EK164" s="595" t="str">
        <f t="shared" si="495"/>
        <v/>
      </c>
      <c r="EL164" s="194" t="str">
        <f t="shared" si="496"/>
        <v/>
      </c>
      <c r="EM164" s="194" t="str">
        <f t="shared" si="497"/>
        <v/>
      </c>
      <c r="EN164" s="194" t="str">
        <f t="shared" si="498"/>
        <v/>
      </c>
      <c r="EO164" s="194" t="str">
        <f t="shared" si="499"/>
        <v/>
      </c>
      <c r="EP164" s="194" t="str">
        <f t="shared" si="500"/>
        <v/>
      </c>
      <c r="EQ164" s="194" t="str">
        <f t="shared" si="501"/>
        <v/>
      </c>
      <c r="ER164" s="195">
        <f t="shared" si="502"/>
        <v>0</v>
      </c>
      <c r="ES164" s="195">
        <f t="shared" si="503"/>
        <v>0</v>
      </c>
      <c r="ET164" s="195">
        <f t="shared" si="504"/>
        <v>0</v>
      </c>
      <c r="EU164" s="195">
        <f t="shared" si="505"/>
        <v>0</v>
      </c>
      <c r="EV164" s="195">
        <f t="shared" si="506"/>
        <v>0</v>
      </c>
      <c r="EW164" s="195" t="str">
        <f t="shared" si="507"/>
        <v/>
      </c>
      <c r="EX164" s="196" t="str">
        <f t="shared" si="508"/>
        <v/>
      </c>
      <c r="EY164" s="197" t="str">
        <f>IF('Marks Entry'!BE164="","",'Marks Entry'!BE164)</f>
        <v/>
      </c>
      <c r="EZ164" s="197" t="str">
        <f>IF('Marks Entry'!BF164="","",'Marks Entry'!BF164)</f>
        <v/>
      </c>
      <c r="FA164" s="197" t="str">
        <f>IF('Marks Entry'!BG164="","",'Marks Entry'!BG164)</f>
        <v/>
      </c>
      <c r="FB164" s="596" t="str">
        <f t="shared" si="509"/>
        <v/>
      </c>
      <c r="FC164" s="197" t="str">
        <f>IF('Marks Entry'!BH164="","",'Marks Entry'!BH164)</f>
        <v/>
      </c>
      <c r="FD164" s="197" t="str">
        <f>IF('Marks Entry'!BI164="","",'Marks Entry'!BI164)</f>
        <v/>
      </c>
      <c r="FE164" s="198" t="str">
        <f t="shared" si="510"/>
        <v/>
      </c>
      <c r="FF164" s="199" t="str">
        <f t="shared" si="511"/>
        <v/>
      </c>
      <c r="FG164" s="200" t="str">
        <f>IF(AND(E164=""),"",IF('Student DATA Entry'!L160="","",'Student DATA Entry'!L160))</f>
        <v/>
      </c>
      <c r="FH164" s="201" t="str">
        <f>IF(AND(E164=""),"",IF('Student DATA Entry'!M160="","",'Student DATA Entry'!M160))</f>
        <v/>
      </c>
      <c r="FI164" s="202" t="str">
        <f t="shared" si="512"/>
        <v/>
      </c>
      <c r="FJ164" s="189" t="str">
        <f t="shared" si="513"/>
        <v/>
      </c>
      <c r="FK164" s="189" t="str">
        <f t="shared" si="514"/>
        <v/>
      </c>
      <c r="FL164" s="203" t="str">
        <f t="shared" si="383"/>
        <v/>
      </c>
      <c r="FM164" s="189" t="str">
        <f t="shared" si="515"/>
        <v/>
      </c>
      <c r="FN164" s="204" t="str">
        <f t="shared" si="516"/>
        <v/>
      </c>
      <c r="FO164" s="203" t="str">
        <f t="shared" si="384"/>
        <v/>
      </c>
      <c r="FP164" s="205" t="str">
        <f t="shared" si="517"/>
        <v/>
      </c>
      <c r="FQ164" s="189" t="str">
        <f t="shared" si="385"/>
        <v/>
      </c>
      <c r="FR164" s="189" t="str">
        <f t="shared" si="386"/>
        <v/>
      </c>
      <c r="FS164" s="189" t="str">
        <f t="shared" si="387"/>
        <v/>
      </c>
      <c r="FT164" s="189" t="str">
        <f t="shared" si="388"/>
        <v/>
      </c>
      <c r="FU164" s="189" t="str">
        <f t="shared" si="518"/>
        <v/>
      </c>
      <c r="FV164" s="206" t="str">
        <f t="shared" si="389"/>
        <v/>
      </c>
      <c r="FW164" s="205" t="str">
        <f t="shared" si="519"/>
        <v/>
      </c>
      <c r="FX164" s="189" t="str">
        <f t="shared" si="390"/>
        <v/>
      </c>
      <c r="FY164" s="189" t="str">
        <f t="shared" si="391"/>
        <v/>
      </c>
      <c r="FZ164" s="189" t="str">
        <f t="shared" si="392"/>
        <v/>
      </c>
      <c r="GA164" s="189" t="str">
        <f t="shared" si="393"/>
        <v/>
      </c>
      <c r="GB164" s="189" t="str">
        <f t="shared" si="520"/>
        <v/>
      </c>
      <c r="GC164" s="206" t="str">
        <f t="shared" si="394"/>
        <v/>
      </c>
      <c r="GD164" s="205" t="str">
        <f t="shared" si="521"/>
        <v/>
      </c>
      <c r="GE164" s="189" t="str">
        <f t="shared" si="395"/>
        <v/>
      </c>
      <c r="GF164" s="189" t="str">
        <f t="shared" si="396"/>
        <v/>
      </c>
      <c r="GG164" s="189" t="str">
        <f t="shared" si="397"/>
        <v/>
      </c>
      <c r="GH164" s="189" t="str">
        <f t="shared" si="398"/>
        <v/>
      </c>
      <c r="GI164" s="189" t="str">
        <f t="shared" si="522"/>
        <v/>
      </c>
      <c r="GJ164" s="206" t="str">
        <f t="shared" si="399"/>
        <v/>
      </c>
      <c r="GK164" s="205" t="str">
        <f t="shared" si="523"/>
        <v/>
      </c>
      <c r="GL164" s="189" t="str">
        <f t="shared" si="400"/>
        <v/>
      </c>
      <c r="GM164" s="189" t="str">
        <f t="shared" si="401"/>
        <v/>
      </c>
      <c r="GN164" s="189" t="str">
        <f t="shared" si="402"/>
        <v/>
      </c>
      <c r="GO164" s="189" t="str">
        <f t="shared" si="403"/>
        <v/>
      </c>
      <c r="GP164" s="189" t="str">
        <f t="shared" si="524"/>
        <v/>
      </c>
      <c r="GQ164" s="206" t="str">
        <f t="shared" si="404"/>
        <v/>
      </c>
      <c r="GR164" s="189" t="str">
        <f t="shared" si="525"/>
        <v/>
      </c>
      <c r="GS164" s="189" t="str">
        <f t="shared" si="526"/>
        <v/>
      </c>
      <c r="GT164" s="207" t="str">
        <f t="shared" si="527"/>
        <v xml:space="preserve">    </v>
      </c>
      <c r="GU164" s="207" t="str">
        <f t="shared" si="528"/>
        <v xml:space="preserve">    </v>
      </c>
      <c r="GV164" s="207" t="str">
        <f t="shared" si="529"/>
        <v xml:space="preserve">    </v>
      </c>
      <c r="GW164" s="207" t="str">
        <f t="shared" si="530"/>
        <v xml:space="preserve">       </v>
      </c>
      <c r="GX164" s="598" t="str">
        <f t="shared" si="531"/>
        <v xml:space="preserve">     </v>
      </c>
      <c r="GY164" s="208" t="str">
        <f t="shared" si="405"/>
        <v/>
      </c>
      <c r="GZ164" s="606" t="str">
        <f>IF(AND(Q164="",AE164="",AZ164="",BW164="",CT164=""),"",IF(AND('Master Sheet'!$D$19="YES",'Marks Entry'!$BA$1=1),SUM(Q164,AE164,AZ164,BW164,DT164),SUM(Q164,AE164,AZ164,BW164,CT164)))</f>
        <v/>
      </c>
      <c r="HA164" s="209" t="str">
        <f>IF(GZ164="","",IF(AND('Master Sheet'!$D$19="YES",'Marks Entry'!$BA$1=1),GZ164/((900)-DC164)*100,GZ164/((1000)-DC164)*100))</f>
        <v/>
      </c>
      <c r="HB164" s="611" t="str">
        <f t="shared" si="532"/>
        <v/>
      </c>
      <c r="HC164" s="609" t="str">
        <f t="shared" si="533"/>
        <v/>
      </c>
      <c r="HD164" s="610" t="str">
        <f t="shared" si="534"/>
        <v/>
      </c>
      <c r="HE164" s="210" t="str">
        <f>IFERROR(IF(OR(GY164="SUPPLEMENTARY",GY164="RE-EXAM"),'Supp. Result Entry'!AS163,""),"")</f>
        <v/>
      </c>
      <c r="HF164" s="613" t="str">
        <f t="shared" si="535"/>
        <v/>
      </c>
      <c r="HG164" s="598" t="str">
        <f t="shared" si="536"/>
        <v/>
      </c>
      <c r="HH164" s="598" t="str">
        <f>IF(AND(HE164="",HF164="",HG164=""),"",IF(OR(GY164="SUPPLEMENTARY",GY164="RE-EXAM"),'Supp. Result Entry'!AS163,GY164))</f>
        <v/>
      </c>
      <c r="HI164" s="180"/>
      <c r="HY164" s="212" t="str">
        <f>IF('Supp. Result Entry'!U163="","",'Supp. Result Entry'!$U$6)</f>
        <v/>
      </c>
      <c r="HZ164" s="213" t="str">
        <f>IF('Supp. Result Entry'!X163="","",'Supp. Result Entry'!$X$6)</f>
        <v/>
      </c>
      <c r="IA164" s="213" t="str">
        <f>IF('Supp. Result Entry'!AA163="","",'Supp. Result Entry'!$AA$6)</f>
        <v/>
      </c>
      <c r="IB164" s="213" t="str">
        <f>IF('Supp. Result Entry'!AD163="","",'Supp. Result Entry'!$AD$6)</f>
        <v/>
      </c>
      <c r="IC164" s="213" t="str">
        <f>IF('Supp. Result Entry'!AG163="","",'Supp. Result Entry'!$AG$6)</f>
        <v/>
      </c>
      <c r="ID164" s="213" t="str">
        <f>IF('Supp. Result Entry'!AJ163="","",'Supp. Result Entry'!$AJ$6)</f>
        <v/>
      </c>
      <c r="IE164" s="213" t="str">
        <f>IF('Supp. Result Entry'!V163="","",'Supp. Result Entry'!V163)</f>
        <v/>
      </c>
      <c r="IF164" s="213" t="str">
        <f>IF('Supp. Result Entry'!Y163="","",'Supp. Result Entry'!Y163)</f>
        <v/>
      </c>
      <c r="IG164" s="213" t="str">
        <f>IF('Supp. Result Entry'!AB163="","",'Supp. Result Entry'!AB163)</f>
        <v/>
      </c>
      <c r="IH164" s="213" t="str">
        <f>IF('Supp. Result Entry'!AE163="","",'Supp. Result Entry'!AE163)</f>
        <v/>
      </c>
      <c r="II164" s="213" t="str">
        <f>IF('Supp. Result Entry'!AH163="","",'Supp. Result Entry'!AH163)</f>
        <v/>
      </c>
      <c r="IJ164" s="213" t="str">
        <f>IF('Supp. Result Entry'!AK163="","",'Supp. Result Entry'!AK163)</f>
        <v/>
      </c>
      <c r="IK164" s="213" t="str">
        <f>IF('Supp. Result Entry'!W163="","",'Supp. Result Entry'!W163)</f>
        <v/>
      </c>
      <c r="IL164" s="213" t="str">
        <f>IF('Supp. Result Entry'!Z163="","",'Supp. Result Entry'!Z163)</f>
        <v/>
      </c>
      <c r="IM164" s="213" t="str">
        <f>IF('Supp. Result Entry'!AC163="","",'Supp. Result Entry'!AC163)</f>
        <v/>
      </c>
      <c r="IN164" s="213" t="str">
        <f>IF('Supp. Result Entry'!AF163="","",'Supp. Result Entry'!AF163)</f>
        <v/>
      </c>
      <c r="IO164" s="213" t="str">
        <f>IF('Supp. Result Entry'!AI163="","",'Supp. Result Entry'!AI163)</f>
        <v/>
      </c>
      <c r="IP164" s="213" t="str">
        <f>IF('Supp. Result Entry'!AL163="","",'Supp. Result Entry'!AL163)</f>
        <v/>
      </c>
      <c r="IQ164" s="213">
        <f>COUNTIF('Supp. Result Entry'!K163:Q163,"S")</f>
        <v>0</v>
      </c>
      <c r="IR164" s="213">
        <f t="shared" si="537"/>
        <v>0</v>
      </c>
      <c r="IS164" s="213">
        <f t="shared" si="538"/>
        <v>0</v>
      </c>
      <c r="IT164" s="213" t="str">
        <f t="shared" si="406"/>
        <v/>
      </c>
      <c r="IU164" s="213" t="str">
        <f t="shared" si="407"/>
        <v/>
      </c>
      <c r="IV164" s="213" t="str">
        <f t="shared" si="408"/>
        <v/>
      </c>
      <c r="IW164" s="213" t="str">
        <f t="shared" si="409"/>
        <v/>
      </c>
      <c r="IX164" s="213" t="str">
        <f t="shared" si="410"/>
        <v/>
      </c>
      <c r="IY164" s="213" t="str">
        <f t="shared" si="539"/>
        <v/>
      </c>
      <c r="IZ164" s="213" t="str">
        <f t="shared" si="540"/>
        <v/>
      </c>
      <c r="JA164" s="213" t="str">
        <f t="shared" si="411"/>
        <v/>
      </c>
      <c r="JB164" s="211" t="str">
        <f t="shared" si="541"/>
        <v/>
      </c>
    </row>
    <row r="165" spans="1:262" s="211" customFormat="1" ht="21" customHeight="1">
      <c r="A165" s="184">
        <v>158</v>
      </c>
      <c r="B165" s="185" t="str">
        <f>IF('Marks Entry'!B165="","",'Marks Entry'!B165)</f>
        <v/>
      </c>
      <c r="C165" s="186" t="str">
        <f>IF('Marks Entry'!D165="","",'Marks Entry'!D165)</f>
        <v/>
      </c>
      <c r="D165" s="187" t="str">
        <f>IF('Marks Entry'!E165="","",'Marks Entry'!E165)</f>
        <v/>
      </c>
      <c r="E165" s="188" t="str">
        <f>IF('Marks Entry'!F165="","",'Marks Entry'!F165)</f>
        <v/>
      </c>
      <c r="F165" s="188" t="str">
        <f>IF('Marks Entry'!G165="","",'Marks Entry'!G165)</f>
        <v/>
      </c>
      <c r="G165" s="188" t="str">
        <f>IF('Marks Entry'!H165="","",'Marks Entry'!H165)</f>
        <v/>
      </c>
      <c r="H165" s="189" t="str">
        <f>IF('Marks Entry'!I165="","",'Marks Entry'!I165)</f>
        <v/>
      </c>
      <c r="I165" s="190" t="str">
        <f>IF('Marks Entry'!J165="","",'Marks Entry'!J165)</f>
        <v/>
      </c>
      <c r="J165" s="545" t="str">
        <f>IF('Marks Entry'!K165="","",'Marks Entry'!K165)</f>
        <v/>
      </c>
      <c r="K165" s="545" t="str">
        <f>IF('Marks Entry'!L165="","",'Marks Entry'!L165)</f>
        <v/>
      </c>
      <c r="L165" s="545" t="str">
        <f>IF('Marks Entry'!M165="","",'Marks Entry'!M165)</f>
        <v/>
      </c>
      <c r="M165" s="546" t="str">
        <f t="shared" si="412"/>
        <v/>
      </c>
      <c r="N165" s="545" t="str">
        <f>IF('Marks Entry'!N165="","",'Marks Entry'!N165)</f>
        <v/>
      </c>
      <c r="O165" s="546" t="str">
        <f t="shared" si="413"/>
        <v/>
      </c>
      <c r="P165" s="545" t="str">
        <f>IF('Marks Entry'!O165="","",'Marks Entry'!O165)</f>
        <v/>
      </c>
      <c r="Q165" s="547" t="str">
        <f t="shared" si="414"/>
        <v/>
      </c>
      <c r="R165" s="153">
        <f t="shared" si="415"/>
        <v>0</v>
      </c>
      <c r="S165" s="153">
        <f t="shared" si="416"/>
        <v>0</v>
      </c>
      <c r="T165" s="154" t="str">
        <f t="shared" si="417"/>
        <v/>
      </c>
      <c r="U165" s="153" t="str">
        <f t="shared" si="418"/>
        <v/>
      </c>
      <c r="V165" s="153" t="str">
        <f t="shared" si="419"/>
        <v/>
      </c>
      <c r="W165" s="153" t="str">
        <f t="shared" si="420"/>
        <v/>
      </c>
      <c r="X165" s="545" t="str">
        <f>IF('Marks Entry'!P165="","",'Marks Entry'!P165)</f>
        <v/>
      </c>
      <c r="Y165" s="545" t="str">
        <f>IF('Marks Entry'!Q165="","",'Marks Entry'!Q165)</f>
        <v/>
      </c>
      <c r="Z165" s="545" t="str">
        <f>IF('Marks Entry'!R165="","",'Marks Entry'!R165)</f>
        <v/>
      </c>
      <c r="AA165" s="546" t="str">
        <f t="shared" si="421"/>
        <v/>
      </c>
      <c r="AB165" s="545" t="str">
        <f>IF('Marks Entry'!S165="","",'Marks Entry'!S165)</f>
        <v/>
      </c>
      <c r="AC165" s="546" t="str">
        <f t="shared" si="422"/>
        <v/>
      </c>
      <c r="AD165" s="545" t="str">
        <f>IF('Marks Entry'!T165="","",'Marks Entry'!T165)</f>
        <v/>
      </c>
      <c r="AE165" s="547" t="str">
        <f t="shared" si="423"/>
        <v/>
      </c>
      <c r="AF165" s="153">
        <f t="shared" si="424"/>
        <v>0</v>
      </c>
      <c r="AG165" s="153">
        <f t="shared" si="425"/>
        <v>0</v>
      </c>
      <c r="AH165" s="154" t="str">
        <f t="shared" si="426"/>
        <v/>
      </c>
      <c r="AI165" s="153" t="str">
        <f t="shared" si="427"/>
        <v/>
      </c>
      <c r="AJ165" s="153" t="str">
        <f t="shared" si="428"/>
        <v/>
      </c>
      <c r="AK165" s="153" t="str">
        <f t="shared" si="429"/>
        <v/>
      </c>
      <c r="AL165" s="573" t="str">
        <f>IF('Marks Entry'!U165="","",'Marks Entry'!U165)</f>
        <v/>
      </c>
      <c r="AM165" s="573" t="str">
        <f>IF('Marks Entry'!V165="","",'Marks Entry'!V165)</f>
        <v/>
      </c>
      <c r="AN165" s="573" t="str">
        <f>IF('Marks Entry'!W165="","",'Marks Entry'!W165)</f>
        <v/>
      </c>
      <c r="AO165" s="573" t="str">
        <f>IF('Marks Entry'!X165="","",'Marks Entry'!X165)</f>
        <v/>
      </c>
      <c r="AP165" s="572" t="str">
        <f t="shared" si="430"/>
        <v/>
      </c>
      <c r="AQ165" s="573" t="str">
        <f>IF('Marks Entry'!Y165="","",'Marks Entry'!Y165)</f>
        <v/>
      </c>
      <c r="AR165" s="573" t="str">
        <f>IF('Marks Entry'!Z165="","",'Marks Entry'!Z165)</f>
        <v/>
      </c>
      <c r="AS165" s="572" t="str">
        <f t="shared" si="431"/>
        <v/>
      </c>
      <c r="AT165" s="572" t="str">
        <f t="shared" si="432"/>
        <v/>
      </c>
      <c r="AU165" s="573" t="str">
        <f>IF('Marks Entry'!AA165="","",'Marks Entry'!AA165)</f>
        <v/>
      </c>
      <c r="AV165" s="573" t="str">
        <f>IF('Marks Entry'!AB165="","",'Marks Entry'!AB165)</f>
        <v/>
      </c>
      <c r="AW165" s="572" t="str">
        <f t="shared" si="433"/>
        <v/>
      </c>
      <c r="AX165" s="157" t="str">
        <f t="shared" si="434"/>
        <v/>
      </c>
      <c r="AY165" s="157" t="str">
        <f t="shared" si="435"/>
        <v/>
      </c>
      <c r="AZ165" s="192" t="str">
        <f t="shared" si="436"/>
        <v/>
      </c>
      <c r="BA165" s="153">
        <f t="shared" si="437"/>
        <v>0</v>
      </c>
      <c r="BB165" s="154">
        <f t="shared" si="438"/>
        <v>0</v>
      </c>
      <c r="BC165" s="154" t="str">
        <f t="shared" si="439"/>
        <v/>
      </c>
      <c r="BD165" s="154" t="str">
        <f t="shared" si="440"/>
        <v/>
      </c>
      <c r="BE165" s="154" t="str">
        <f t="shared" si="441"/>
        <v/>
      </c>
      <c r="BF165" s="153" t="str">
        <f t="shared" si="442"/>
        <v/>
      </c>
      <c r="BG165" s="154" t="str">
        <f t="shared" si="443"/>
        <v/>
      </c>
      <c r="BH165" s="153" t="str">
        <f t="shared" si="444"/>
        <v/>
      </c>
      <c r="BI165" s="580" t="str">
        <f>IF('Marks Entry'!AC165="","",'Marks Entry'!AC165)</f>
        <v/>
      </c>
      <c r="BJ165" s="580" t="str">
        <f>IF('Marks Entry'!AD165="","",'Marks Entry'!AD165)</f>
        <v/>
      </c>
      <c r="BK165" s="580" t="str">
        <f>IF('Marks Entry'!AE165="","",'Marks Entry'!AE165)</f>
        <v/>
      </c>
      <c r="BL165" s="580" t="str">
        <f>IF('Marks Entry'!AF165="","",'Marks Entry'!AF165)</f>
        <v/>
      </c>
      <c r="BM165" s="581" t="str">
        <f t="shared" si="445"/>
        <v/>
      </c>
      <c r="BN165" s="580" t="str">
        <f>IF('Marks Entry'!AG165="","",'Marks Entry'!AG165)</f>
        <v/>
      </c>
      <c r="BO165" s="580" t="str">
        <f>IF('Marks Entry'!AH165="","",'Marks Entry'!AH165)</f>
        <v/>
      </c>
      <c r="BP165" s="581" t="str">
        <f t="shared" si="446"/>
        <v/>
      </c>
      <c r="BQ165" s="581" t="str">
        <f t="shared" si="447"/>
        <v/>
      </c>
      <c r="BR165" s="580" t="str">
        <f>IF('Marks Entry'!AI165="","",'Marks Entry'!AI165)</f>
        <v/>
      </c>
      <c r="BS165" s="580" t="str">
        <f>IF('Marks Entry'!AJ165="","",'Marks Entry'!AJ165)</f>
        <v/>
      </c>
      <c r="BT165" s="581" t="str">
        <f t="shared" si="448"/>
        <v/>
      </c>
      <c r="BU165" s="157" t="str">
        <f t="shared" si="449"/>
        <v/>
      </c>
      <c r="BV165" s="157" t="str">
        <f t="shared" si="450"/>
        <v/>
      </c>
      <c r="BW165" s="192" t="str">
        <f t="shared" si="451"/>
        <v/>
      </c>
      <c r="BX165" s="153">
        <f t="shared" si="452"/>
        <v>0</v>
      </c>
      <c r="BY165" s="154">
        <f t="shared" si="453"/>
        <v>0</v>
      </c>
      <c r="BZ165" s="154" t="str">
        <f t="shared" si="454"/>
        <v/>
      </c>
      <c r="CA165" s="154" t="str">
        <f t="shared" si="455"/>
        <v/>
      </c>
      <c r="CB165" s="154" t="str">
        <f t="shared" si="456"/>
        <v/>
      </c>
      <c r="CC165" s="153" t="str">
        <f t="shared" si="457"/>
        <v/>
      </c>
      <c r="CD165" s="154" t="str">
        <f t="shared" si="458"/>
        <v/>
      </c>
      <c r="CE165" s="153" t="str">
        <f t="shared" si="459"/>
        <v/>
      </c>
      <c r="CF165" s="580" t="str">
        <f>IF('Marks Entry'!AK165="","",'Marks Entry'!AK165)</f>
        <v/>
      </c>
      <c r="CG165" s="580" t="str">
        <f>IF('Marks Entry'!AL165="","",'Marks Entry'!AL165)</f>
        <v/>
      </c>
      <c r="CH165" s="580" t="str">
        <f>IF('Marks Entry'!AM165="","",'Marks Entry'!AM165)</f>
        <v/>
      </c>
      <c r="CI165" s="580" t="str">
        <f>IF('Marks Entry'!AN165="","",'Marks Entry'!AN165)</f>
        <v/>
      </c>
      <c r="CJ165" s="581" t="str">
        <f t="shared" si="460"/>
        <v/>
      </c>
      <c r="CK165" s="580" t="str">
        <f>IF('Marks Entry'!AO165="","",'Marks Entry'!AO165)</f>
        <v/>
      </c>
      <c r="CL165" s="580" t="str">
        <f>IF('Marks Entry'!AP165="","",'Marks Entry'!AP165)</f>
        <v/>
      </c>
      <c r="CM165" s="581" t="str">
        <f t="shared" si="461"/>
        <v/>
      </c>
      <c r="CN165" s="581" t="str">
        <f t="shared" si="462"/>
        <v/>
      </c>
      <c r="CO165" s="580" t="str">
        <f>IF('Marks Entry'!AQ165="","",'Marks Entry'!AQ165)</f>
        <v/>
      </c>
      <c r="CP165" s="580" t="str">
        <f>IF('Marks Entry'!AR165="","",'Marks Entry'!AR165)</f>
        <v/>
      </c>
      <c r="CQ165" s="581" t="str">
        <f t="shared" si="463"/>
        <v/>
      </c>
      <c r="CR165" s="157" t="str">
        <f t="shared" si="464"/>
        <v/>
      </c>
      <c r="CS165" s="157" t="str">
        <f t="shared" si="465"/>
        <v/>
      </c>
      <c r="CT165" s="192" t="str">
        <f t="shared" si="466"/>
        <v/>
      </c>
      <c r="CU165" s="153">
        <f t="shared" si="467"/>
        <v>0</v>
      </c>
      <c r="CV165" s="154">
        <f t="shared" si="468"/>
        <v>0</v>
      </c>
      <c r="CW165" s="154" t="str">
        <f t="shared" si="469"/>
        <v/>
      </c>
      <c r="CX165" s="154" t="str">
        <f t="shared" si="470"/>
        <v/>
      </c>
      <c r="CY165" s="154" t="str">
        <f t="shared" si="471"/>
        <v/>
      </c>
      <c r="CZ165" s="153" t="str">
        <f t="shared" si="472"/>
        <v/>
      </c>
      <c r="DA165" s="154" t="str">
        <f t="shared" si="473"/>
        <v/>
      </c>
      <c r="DB165" s="153" t="str">
        <f t="shared" si="474"/>
        <v/>
      </c>
      <c r="DC165" s="154">
        <f t="shared" si="475"/>
        <v>0</v>
      </c>
      <c r="DD165" s="826" t="str">
        <f>IF('Marks Entry'!AS165="","",IF(OR('Master Sheet'!$D$19="YES",'Marks Entry'!$BA$1=1),'Marks Entry'!AS165,""))</f>
        <v/>
      </c>
      <c r="DE165" s="826" t="str">
        <f>IF('Marks Entry'!AT165="","",IF(OR('Master Sheet'!$D$19="YES",'Marks Entry'!$BA$1=1),'Marks Entry'!AT165,""))</f>
        <v/>
      </c>
      <c r="DF165" s="826" t="str">
        <f>IF('Marks Entry'!AU165="","",IF(OR('Master Sheet'!$D$19="YES",'Marks Entry'!$BA$1=1),'Marks Entry'!AU165,""))</f>
        <v/>
      </c>
      <c r="DG165" s="826" t="str">
        <f>IF('Marks Entry'!AV165="","",IF(OR('Master Sheet'!$D$19="YES",'Marks Entry'!$BA$1=1),'Marks Entry'!AV165,""))</f>
        <v/>
      </c>
      <c r="DH165" s="827" t="str">
        <f t="shared" si="476"/>
        <v/>
      </c>
      <c r="DI165" s="826" t="str">
        <f>IF('Marks Entry'!AW165="","",IF(OR('Master Sheet'!$D$19="YES",'Marks Entry'!$BA$1=1),'Marks Entry'!AW165,""))</f>
        <v/>
      </c>
      <c r="DJ165" s="826" t="str">
        <f>IF('Marks Entry'!AX165="","",IF(OR('Master Sheet'!$D$19="YES",'Marks Entry'!$BA$1=1),'Marks Entry'!AX165,""))</f>
        <v/>
      </c>
      <c r="DK165" s="827" t="str">
        <f t="shared" si="477"/>
        <v/>
      </c>
      <c r="DL165" s="827" t="str">
        <f t="shared" si="478"/>
        <v/>
      </c>
      <c r="DM165" s="826" t="str">
        <f>IF('Marks Entry'!AY165="","",IF(OR('Master Sheet'!$D$19="YES",'Marks Entry'!$BA$1=1),'Marks Entry'!AY165,""))</f>
        <v/>
      </c>
      <c r="DN165" s="826" t="str">
        <f>IF('Marks Entry'!AZ165="","",IF(OR('Master Sheet'!$D$19="YES",'Marks Entry'!$BA$1=1),'Marks Entry'!AZ165,""))</f>
        <v/>
      </c>
      <c r="DO165" s="826" t="str">
        <f>IF('Marks Entry'!BA165="","",IF(OR('Master Sheet'!$D$19="YES",'Marks Entry'!$BA$1=1),'Marks Entry'!BA165,""))</f>
        <v/>
      </c>
      <c r="DP165" s="827" t="str">
        <f t="shared" si="479"/>
        <v/>
      </c>
      <c r="DQ165" s="157" t="str">
        <f t="shared" si="480"/>
        <v/>
      </c>
      <c r="DR165" s="157" t="str">
        <f t="shared" si="481"/>
        <v/>
      </c>
      <c r="DS165" s="157" t="str">
        <f t="shared" si="482"/>
        <v/>
      </c>
      <c r="DT165" s="192" t="str">
        <f t="shared" si="483"/>
        <v/>
      </c>
      <c r="DU165" s="153">
        <f t="shared" si="484"/>
        <v>0</v>
      </c>
      <c r="DV165" s="154" t="e">
        <f t="shared" si="485"/>
        <v>#VALUE!</v>
      </c>
      <c r="DW165" s="154" t="str">
        <f t="shared" si="486"/>
        <v/>
      </c>
      <c r="DX165" s="154" t="str">
        <f>IF(OR($B165="NSO",$B165=0,DS165=""),"",IF(AND(DJ165="",DO165=""),"",IF('Master Sheet'!$D$19="YES",$DO$6-COUNTIF(DO165,"ML")*DO$6,DS$6-(COUNTIF(DJ165,"ML")*DJ$6)-(COUNTIF(DO165,"ML")*DO$6))))</f>
        <v/>
      </c>
      <c r="DY165" s="154" t="str">
        <f>IF(OR($B165="NSO",$B165=0),"",IF(AND(DH165="",DI165="",DM165=""),"",IF(AND('Master Sheet'!$D$19="YES",'Marks Entry'!$BA$1=1),100,IF(AND(DJ165="",DO165=""),SUM(($DQ$7+$DR$7)-(DU165+DV165)),SUM(($DQ$6+$DR$6)-(DU165+DV165))))))</f>
        <v/>
      </c>
      <c r="DZ165" s="153" t="str">
        <f t="shared" si="487"/>
        <v/>
      </c>
      <c r="EA165" s="154" t="str">
        <f t="shared" si="488"/>
        <v/>
      </c>
      <c r="EB165" s="153" t="str">
        <f t="shared" si="489"/>
        <v/>
      </c>
      <c r="EC165" s="584" t="str">
        <f>IF('Marks Entry'!BB165="","",'Marks Entry'!BB165)</f>
        <v/>
      </c>
      <c r="ED165" s="584" t="str">
        <f>IF('Marks Entry'!BC165="","",'Marks Entry'!BC165)</f>
        <v/>
      </c>
      <c r="EE165" s="584" t="str">
        <f>IF('Marks Entry'!BD165="","",'Marks Entry'!BD165)</f>
        <v/>
      </c>
      <c r="EF165" s="590" t="str">
        <f t="shared" si="490"/>
        <v/>
      </c>
      <c r="EG165" s="595">
        <f t="shared" si="491"/>
        <v>0</v>
      </c>
      <c r="EH165" s="595">
        <f t="shared" si="492"/>
        <v>0</v>
      </c>
      <c r="EI165" s="193" t="str">
        <f t="shared" si="493"/>
        <v/>
      </c>
      <c r="EJ165" s="595" t="str">
        <f t="shared" si="494"/>
        <v/>
      </c>
      <c r="EK165" s="595" t="str">
        <f t="shared" si="495"/>
        <v/>
      </c>
      <c r="EL165" s="194" t="str">
        <f t="shared" si="496"/>
        <v/>
      </c>
      <c r="EM165" s="194" t="str">
        <f t="shared" si="497"/>
        <v/>
      </c>
      <c r="EN165" s="194" t="str">
        <f t="shared" si="498"/>
        <v/>
      </c>
      <c r="EO165" s="194" t="str">
        <f t="shared" si="499"/>
        <v/>
      </c>
      <c r="EP165" s="194" t="str">
        <f t="shared" si="500"/>
        <v/>
      </c>
      <c r="EQ165" s="194" t="str">
        <f t="shared" si="501"/>
        <v/>
      </c>
      <c r="ER165" s="195">
        <f t="shared" si="502"/>
        <v>0</v>
      </c>
      <c r="ES165" s="195">
        <f t="shared" si="503"/>
        <v>0</v>
      </c>
      <c r="ET165" s="195">
        <f t="shared" si="504"/>
        <v>0</v>
      </c>
      <c r="EU165" s="195">
        <f t="shared" si="505"/>
        <v>0</v>
      </c>
      <c r="EV165" s="195">
        <f t="shared" si="506"/>
        <v>0</v>
      </c>
      <c r="EW165" s="195" t="str">
        <f t="shared" si="507"/>
        <v/>
      </c>
      <c r="EX165" s="196" t="str">
        <f t="shared" si="508"/>
        <v/>
      </c>
      <c r="EY165" s="197" t="str">
        <f>IF('Marks Entry'!BE165="","",'Marks Entry'!BE165)</f>
        <v/>
      </c>
      <c r="EZ165" s="197" t="str">
        <f>IF('Marks Entry'!BF165="","",'Marks Entry'!BF165)</f>
        <v/>
      </c>
      <c r="FA165" s="197" t="str">
        <f>IF('Marks Entry'!BG165="","",'Marks Entry'!BG165)</f>
        <v/>
      </c>
      <c r="FB165" s="596" t="str">
        <f t="shared" si="509"/>
        <v/>
      </c>
      <c r="FC165" s="197" t="str">
        <f>IF('Marks Entry'!BH165="","",'Marks Entry'!BH165)</f>
        <v/>
      </c>
      <c r="FD165" s="197" t="str">
        <f>IF('Marks Entry'!BI165="","",'Marks Entry'!BI165)</f>
        <v/>
      </c>
      <c r="FE165" s="198" t="str">
        <f t="shared" si="510"/>
        <v/>
      </c>
      <c r="FF165" s="199" t="str">
        <f t="shared" si="511"/>
        <v/>
      </c>
      <c r="FG165" s="200" t="str">
        <f>IF(AND(E165=""),"",IF('Student DATA Entry'!L161="","",'Student DATA Entry'!L161))</f>
        <v/>
      </c>
      <c r="FH165" s="201" t="str">
        <f>IF(AND(E165=""),"",IF('Student DATA Entry'!M161="","",'Student DATA Entry'!M161))</f>
        <v/>
      </c>
      <c r="FI165" s="202" t="str">
        <f t="shared" si="512"/>
        <v/>
      </c>
      <c r="FJ165" s="189" t="str">
        <f t="shared" si="513"/>
        <v/>
      </c>
      <c r="FK165" s="189" t="str">
        <f t="shared" si="514"/>
        <v/>
      </c>
      <c r="FL165" s="203" t="str">
        <f t="shared" si="383"/>
        <v/>
      </c>
      <c r="FM165" s="189" t="str">
        <f t="shared" si="515"/>
        <v/>
      </c>
      <c r="FN165" s="204" t="str">
        <f t="shared" si="516"/>
        <v/>
      </c>
      <c r="FO165" s="203" t="str">
        <f t="shared" si="384"/>
        <v/>
      </c>
      <c r="FP165" s="205" t="str">
        <f t="shared" si="517"/>
        <v/>
      </c>
      <c r="FQ165" s="189" t="str">
        <f t="shared" si="385"/>
        <v/>
      </c>
      <c r="FR165" s="189" t="str">
        <f t="shared" si="386"/>
        <v/>
      </c>
      <c r="FS165" s="189" t="str">
        <f t="shared" si="387"/>
        <v/>
      </c>
      <c r="FT165" s="189" t="str">
        <f t="shared" si="388"/>
        <v/>
      </c>
      <c r="FU165" s="189" t="str">
        <f t="shared" si="518"/>
        <v/>
      </c>
      <c r="FV165" s="206" t="str">
        <f t="shared" si="389"/>
        <v/>
      </c>
      <c r="FW165" s="205" t="str">
        <f t="shared" si="519"/>
        <v/>
      </c>
      <c r="FX165" s="189" t="str">
        <f t="shared" si="390"/>
        <v/>
      </c>
      <c r="FY165" s="189" t="str">
        <f t="shared" si="391"/>
        <v/>
      </c>
      <c r="FZ165" s="189" t="str">
        <f t="shared" si="392"/>
        <v/>
      </c>
      <c r="GA165" s="189" t="str">
        <f t="shared" si="393"/>
        <v/>
      </c>
      <c r="GB165" s="189" t="str">
        <f t="shared" si="520"/>
        <v/>
      </c>
      <c r="GC165" s="206" t="str">
        <f t="shared" si="394"/>
        <v/>
      </c>
      <c r="GD165" s="205" t="str">
        <f t="shared" si="521"/>
        <v/>
      </c>
      <c r="GE165" s="189" t="str">
        <f t="shared" si="395"/>
        <v/>
      </c>
      <c r="GF165" s="189" t="str">
        <f t="shared" si="396"/>
        <v/>
      </c>
      <c r="GG165" s="189" t="str">
        <f t="shared" si="397"/>
        <v/>
      </c>
      <c r="GH165" s="189" t="str">
        <f t="shared" si="398"/>
        <v/>
      </c>
      <c r="GI165" s="189" t="str">
        <f t="shared" si="522"/>
        <v/>
      </c>
      <c r="GJ165" s="206" t="str">
        <f t="shared" si="399"/>
        <v/>
      </c>
      <c r="GK165" s="205" t="str">
        <f t="shared" si="523"/>
        <v/>
      </c>
      <c r="GL165" s="189" t="str">
        <f t="shared" si="400"/>
        <v/>
      </c>
      <c r="GM165" s="189" t="str">
        <f t="shared" si="401"/>
        <v/>
      </c>
      <c r="GN165" s="189" t="str">
        <f t="shared" si="402"/>
        <v/>
      </c>
      <c r="GO165" s="189" t="str">
        <f t="shared" si="403"/>
        <v/>
      </c>
      <c r="GP165" s="189" t="str">
        <f t="shared" si="524"/>
        <v/>
      </c>
      <c r="GQ165" s="206" t="str">
        <f t="shared" si="404"/>
        <v/>
      </c>
      <c r="GR165" s="189" t="str">
        <f t="shared" si="525"/>
        <v/>
      </c>
      <c r="GS165" s="189" t="str">
        <f t="shared" si="526"/>
        <v/>
      </c>
      <c r="GT165" s="207" t="str">
        <f t="shared" si="527"/>
        <v xml:space="preserve">    </v>
      </c>
      <c r="GU165" s="207" t="str">
        <f t="shared" si="528"/>
        <v xml:space="preserve">    </v>
      </c>
      <c r="GV165" s="207" t="str">
        <f t="shared" si="529"/>
        <v xml:space="preserve">    </v>
      </c>
      <c r="GW165" s="207" t="str">
        <f t="shared" si="530"/>
        <v xml:space="preserve">       </v>
      </c>
      <c r="GX165" s="598" t="str">
        <f t="shared" si="531"/>
        <v xml:space="preserve">     </v>
      </c>
      <c r="GY165" s="208" t="str">
        <f t="shared" si="405"/>
        <v/>
      </c>
      <c r="GZ165" s="606" t="str">
        <f>IF(AND(Q165="",AE165="",AZ165="",BW165="",CT165=""),"",IF(AND('Master Sheet'!$D$19="YES",'Marks Entry'!$BA$1=1),SUM(Q165,AE165,AZ165,BW165,DT165),SUM(Q165,AE165,AZ165,BW165,CT165)))</f>
        <v/>
      </c>
      <c r="HA165" s="209" t="str">
        <f>IF(GZ165="","",IF(AND('Master Sheet'!$D$19="YES",'Marks Entry'!$BA$1=1),GZ165/((900)-DC165)*100,GZ165/((1000)-DC165)*100))</f>
        <v/>
      </c>
      <c r="HB165" s="611" t="str">
        <f t="shared" si="532"/>
        <v/>
      </c>
      <c r="HC165" s="609" t="str">
        <f t="shared" si="533"/>
        <v/>
      </c>
      <c r="HD165" s="610" t="str">
        <f t="shared" si="534"/>
        <v/>
      </c>
      <c r="HE165" s="210" t="str">
        <f>IFERROR(IF(OR(GY165="SUPPLEMENTARY",GY165="RE-EXAM"),'Supp. Result Entry'!AS164,""),"")</f>
        <v/>
      </c>
      <c r="HF165" s="613" t="str">
        <f t="shared" si="535"/>
        <v/>
      </c>
      <c r="HG165" s="598" t="str">
        <f t="shared" si="536"/>
        <v/>
      </c>
      <c r="HH165" s="598" t="str">
        <f>IF(AND(HE165="",HF165="",HG165=""),"",IF(OR(GY165="SUPPLEMENTARY",GY165="RE-EXAM"),'Supp. Result Entry'!AS164,GY165))</f>
        <v/>
      </c>
      <c r="HI165" s="180"/>
      <c r="HY165" s="212" t="str">
        <f>IF('Supp. Result Entry'!U164="","",'Supp. Result Entry'!$U$6)</f>
        <v/>
      </c>
      <c r="HZ165" s="213" t="str">
        <f>IF('Supp. Result Entry'!X164="","",'Supp. Result Entry'!$X$6)</f>
        <v/>
      </c>
      <c r="IA165" s="213" t="str">
        <f>IF('Supp. Result Entry'!AA164="","",'Supp. Result Entry'!$AA$6)</f>
        <v/>
      </c>
      <c r="IB165" s="213" t="str">
        <f>IF('Supp. Result Entry'!AD164="","",'Supp. Result Entry'!$AD$6)</f>
        <v/>
      </c>
      <c r="IC165" s="213" t="str">
        <f>IF('Supp. Result Entry'!AG164="","",'Supp. Result Entry'!$AG$6)</f>
        <v/>
      </c>
      <c r="ID165" s="213" t="str">
        <f>IF('Supp. Result Entry'!AJ164="","",'Supp. Result Entry'!$AJ$6)</f>
        <v/>
      </c>
      <c r="IE165" s="213" t="str">
        <f>IF('Supp. Result Entry'!V164="","",'Supp. Result Entry'!V164)</f>
        <v/>
      </c>
      <c r="IF165" s="213" t="str">
        <f>IF('Supp. Result Entry'!Y164="","",'Supp. Result Entry'!Y164)</f>
        <v/>
      </c>
      <c r="IG165" s="213" t="str">
        <f>IF('Supp. Result Entry'!AB164="","",'Supp. Result Entry'!AB164)</f>
        <v/>
      </c>
      <c r="IH165" s="213" t="str">
        <f>IF('Supp. Result Entry'!AE164="","",'Supp. Result Entry'!AE164)</f>
        <v/>
      </c>
      <c r="II165" s="213" t="str">
        <f>IF('Supp. Result Entry'!AH164="","",'Supp. Result Entry'!AH164)</f>
        <v/>
      </c>
      <c r="IJ165" s="213" t="str">
        <f>IF('Supp. Result Entry'!AK164="","",'Supp. Result Entry'!AK164)</f>
        <v/>
      </c>
      <c r="IK165" s="213" t="str">
        <f>IF('Supp. Result Entry'!W164="","",'Supp. Result Entry'!W164)</f>
        <v/>
      </c>
      <c r="IL165" s="213" t="str">
        <f>IF('Supp. Result Entry'!Z164="","",'Supp. Result Entry'!Z164)</f>
        <v/>
      </c>
      <c r="IM165" s="213" t="str">
        <f>IF('Supp. Result Entry'!AC164="","",'Supp. Result Entry'!AC164)</f>
        <v/>
      </c>
      <c r="IN165" s="213" t="str">
        <f>IF('Supp. Result Entry'!AF164="","",'Supp. Result Entry'!AF164)</f>
        <v/>
      </c>
      <c r="IO165" s="213" t="str">
        <f>IF('Supp. Result Entry'!AI164="","",'Supp. Result Entry'!AI164)</f>
        <v/>
      </c>
      <c r="IP165" s="213" t="str">
        <f>IF('Supp. Result Entry'!AL164="","",'Supp. Result Entry'!AL164)</f>
        <v/>
      </c>
      <c r="IQ165" s="213">
        <f>COUNTIF('Supp. Result Entry'!K164:Q164,"S")</f>
        <v>0</v>
      </c>
      <c r="IR165" s="213">
        <f t="shared" si="537"/>
        <v>0</v>
      </c>
      <c r="IS165" s="213">
        <f t="shared" si="538"/>
        <v>0</v>
      </c>
      <c r="IT165" s="213" t="str">
        <f t="shared" si="406"/>
        <v/>
      </c>
      <c r="IU165" s="213" t="str">
        <f t="shared" si="407"/>
        <v/>
      </c>
      <c r="IV165" s="213" t="str">
        <f t="shared" si="408"/>
        <v/>
      </c>
      <c r="IW165" s="213" t="str">
        <f t="shared" si="409"/>
        <v/>
      </c>
      <c r="IX165" s="213" t="str">
        <f t="shared" si="410"/>
        <v/>
      </c>
      <c r="IY165" s="213" t="str">
        <f t="shared" si="539"/>
        <v/>
      </c>
      <c r="IZ165" s="213" t="str">
        <f t="shared" si="540"/>
        <v/>
      </c>
      <c r="JA165" s="213" t="str">
        <f t="shared" si="411"/>
        <v/>
      </c>
      <c r="JB165" s="211" t="str">
        <f t="shared" si="541"/>
        <v/>
      </c>
    </row>
    <row r="166" spans="1:262" s="211" customFormat="1" ht="21" customHeight="1">
      <c r="A166" s="184">
        <v>159</v>
      </c>
      <c r="B166" s="185" t="str">
        <f>IF('Marks Entry'!B166="","",'Marks Entry'!B166)</f>
        <v/>
      </c>
      <c r="C166" s="186" t="str">
        <f>IF('Marks Entry'!D166="","",'Marks Entry'!D166)</f>
        <v/>
      </c>
      <c r="D166" s="187" t="str">
        <f>IF('Marks Entry'!E166="","",'Marks Entry'!E166)</f>
        <v/>
      </c>
      <c r="E166" s="188" t="str">
        <f>IF('Marks Entry'!F166="","",'Marks Entry'!F166)</f>
        <v/>
      </c>
      <c r="F166" s="188" t="str">
        <f>IF('Marks Entry'!G166="","",'Marks Entry'!G166)</f>
        <v/>
      </c>
      <c r="G166" s="188" t="str">
        <f>IF('Marks Entry'!H166="","",'Marks Entry'!H166)</f>
        <v/>
      </c>
      <c r="H166" s="189" t="str">
        <f>IF('Marks Entry'!I166="","",'Marks Entry'!I166)</f>
        <v/>
      </c>
      <c r="I166" s="190" t="str">
        <f>IF('Marks Entry'!J166="","",'Marks Entry'!J166)</f>
        <v/>
      </c>
      <c r="J166" s="545" t="str">
        <f>IF('Marks Entry'!K166="","",'Marks Entry'!K166)</f>
        <v/>
      </c>
      <c r="K166" s="545" t="str">
        <f>IF('Marks Entry'!L166="","",'Marks Entry'!L166)</f>
        <v/>
      </c>
      <c r="L166" s="545" t="str">
        <f>IF('Marks Entry'!M166="","",'Marks Entry'!M166)</f>
        <v/>
      </c>
      <c r="M166" s="546" t="str">
        <f t="shared" si="412"/>
        <v/>
      </c>
      <c r="N166" s="545" t="str">
        <f>IF('Marks Entry'!N166="","",'Marks Entry'!N166)</f>
        <v/>
      </c>
      <c r="O166" s="546" t="str">
        <f t="shared" si="413"/>
        <v/>
      </c>
      <c r="P166" s="545" t="str">
        <f>IF('Marks Entry'!O166="","",'Marks Entry'!O166)</f>
        <v/>
      </c>
      <c r="Q166" s="547" t="str">
        <f t="shared" si="414"/>
        <v/>
      </c>
      <c r="R166" s="153">
        <f t="shared" si="415"/>
        <v>0</v>
      </c>
      <c r="S166" s="153">
        <f t="shared" si="416"/>
        <v>0</v>
      </c>
      <c r="T166" s="154" t="str">
        <f t="shared" si="417"/>
        <v/>
      </c>
      <c r="U166" s="153" t="str">
        <f t="shared" si="418"/>
        <v/>
      </c>
      <c r="V166" s="153" t="str">
        <f t="shared" si="419"/>
        <v/>
      </c>
      <c r="W166" s="153" t="str">
        <f t="shared" si="420"/>
        <v/>
      </c>
      <c r="X166" s="545" t="str">
        <f>IF('Marks Entry'!P166="","",'Marks Entry'!P166)</f>
        <v/>
      </c>
      <c r="Y166" s="545" t="str">
        <f>IF('Marks Entry'!Q166="","",'Marks Entry'!Q166)</f>
        <v/>
      </c>
      <c r="Z166" s="545" t="str">
        <f>IF('Marks Entry'!R166="","",'Marks Entry'!R166)</f>
        <v/>
      </c>
      <c r="AA166" s="546" t="str">
        <f t="shared" si="421"/>
        <v/>
      </c>
      <c r="AB166" s="545" t="str">
        <f>IF('Marks Entry'!S166="","",'Marks Entry'!S166)</f>
        <v/>
      </c>
      <c r="AC166" s="546" t="str">
        <f t="shared" si="422"/>
        <v/>
      </c>
      <c r="AD166" s="545" t="str">
        <f>IF('Marks Entry'!T166="","",'Marks Entry'!T166)</f>
        <v/>
      </c>
      <c r="AE166" s="547" t="str">
        <f t="shared" si="423"/>
        <v/>
      </c>
      <c r="AF166" s="153">
        <f t="shared" si="424"/>
        <v>0</v>
      </c>
      <c r="AG166" s="153">
        <f t="shared" si="425"/>
        <v>0</v>
      </c>
      <c r="AH166" s="154" t="str">
        <f t="shared" si="426"/>
        <v/>
      </c>
      <c r="AI166" s="153" t="str">
        <f t="shared" si="427"/>
        <v/>
      </c>
      <c r="AJ166" s="153" t="str">
        <f t="shared" si="428"/>
        <v/>
      </c>
      <c r="AK166" s="153" t="str">
        <f t="shared" si="429"/>
        <v/>
      </c>
      <c r="AL166" s="573" t="str">
        <f>IF('Marks Entry'!U166="","",'Marks Entry'!U166)</f>
        <v/>
      </c>
      <c r="AM166" s="573" t="str">
        <f>IF('Marks Entry'!V166="","",'Marks Entry'!V166)</f>
        <v/>
      </c>
      <c r="AN166" s="573" t="str">
        <f>IF('Marks Entry'!W166="","",'Marks Entry'!W166)</f>
        <v/>
      </c>
      <c r="AO166" s="573" t="str">
        <f>IF('Marks Entry'!X166="","",'Marks Entry'!X166)</f>
        <v/>
      </c>
      <c r="AP166" s="572" t="str">
        <f t="shared" si="430"/>
        <v/>
      </c>
      <c r="AQ166" s="573" t="str">
        <f>IF('Marks Entry'!Y166="","",'Marks Entry'!Y166)</f>
        <v/>
      </c>
      <c r="AR166" s="573" t="str">
        <f>IF('Marks Entry'!Z166="","",'Marks Entry'!Z166)</f>
        <v/>
      </c>
      <c r="AS166" s="572" t="str">
        <f t="shared" si="431"/>
        <v/>
      </c>
      <c r="AT166" s="572" t="str">
        <f t="shared" si="432"/>
        <v/>
      </c>
      <c r="AU166" s="573" t="str">
        <f>IF('Marks Entry'!AA166="","",'Marks Entry'!AA166)</f>
        <v/>
      </c>
      <c r="AV166" s="573" t="str">
        <f>IF('Marks Entry'!AB166="","",'Marks Entry'!AB166)</f>
        <v/>
      </c>
      <c r="AW166" s="572" t="str">
        <f t="shared" si="433"/>
        <v/>
      </c>
      <c r="AX166" s="157" t="str">
        <f t="shared" si="434"/>
        <v/>
      </c>
      <c r="AY166" s="157" t="str">
        <f t="shared" si="435"/>
        <v/>
      </c>
      <c r="AZ166" s="192" t="str">
        <f t="shared" si="436"/>
        <v/>
      </c>
      <c r="BA166" s="153">
        <f t="shared" si="437"/>
        <v>0</v>
      </c>
      <c r="BB166" s="154">
        <f t="shared" si="438"/>
        <v>0</v>
      </c>
      <c r="BC166" s="154" t="str">
        <f t="shared" si="439"/>
        <v/>
      </c>
      <c r="BD166" s="154" t="str">
        <f t="shared" si="440"/>
        <v/>
      </c>
      <c r="BE166" s="154" t="str">
        <f t="shared" si="441"/>
        <v/>
      </c>
      <c r="BF166" s="153" t="str">
        <f t="shared" si="442"/>
        <v/>
      </c>
      <c r="BG166" s="154" t="str">
        <f t="shared" si="443"/>
        <v/>
      </c>
      <c r="BH166" s="153" t="str">
        <f t="shared" si="444"/>
        <v/>
      </c>
      <c r="BI166" s="580" t="str">
        <f>IF('Marks Entry'!AC166="","",'Marks Entry'!AC166)</f>
        <v/>
      </c>
      <c r="BJ166" s="580" t="str">
        <f>IF('Marks Entry'!AD166="","",'Marks Entry'!AD166)</f>
        <v/>
      </c>
      <c r="BK166" s="580" t="str">
        <f>IF('Marks Entry'!AE166="","",'Marks Entry'!AE166)</f>
        <v/>
      </c>
      <c r="BL166" s="580" t="str">
        <f>IF('Marks Entry'!AF166="","",'Marks Entry'!AF166)</f>
        <v/>
      </c>
      <c r="BM166" s="581" t="str">
        <f t="shared" si="445"/>
        <v/>
      </c>
      <c r="BN166" s="580" t="str">
        <f>IF('Marks Entry'!AG166="","",'Marks Entry'!AG166)</f>
        <v/>
      </c>
      <c r="BO166" s="580" t="str">
        <f>IF('Marks Entry'!AH166="","",'Marks Entry'!AH166)</f>
        <v/>
      </c>
      <c r="BP166" s="581" t="str">
        <f t="shared" si="446"/>
        <v/>
      </c>
      <c r="BQ166" s="581" t="str">
        <f t="shared" si="447"/>
        <v/>
      </c>
      <c r="BR166" s="580" t="str">
        <f>IF('Marks Entry'!AI166="","",'Marks Entry'!AI166)</f>
        <v/>
      </c>
      <c r="BS166" s="580" t="str">
        <f>IF('Marks Entry'!AJ166="","",'Marks Entry'!AJ166)</f>
        <v/>
      </c>
      <c r="BT166" s="581" t="str">
        <f t="shared" si="448"/>
        <v/>
      </c>
      <c r="BU166" s="157" t="str">
        <f t="shared" si="449"/>
        <v/>
      </c>
      <c r="BV166" s="157" t="str">
        <f t="shared" si="450"/>
        <v/>
      </c>
      <c r="BW166" s="192" t="str">
        <f t="shared" si="451"/>
        <v/>
      </c>
      <c r="BX166" s="153">
        <f t="shared" si="452"/>
        <v>0</v>
      </c>
      <c r="BY166" s="154">
        <f t="shared" si="453"/>
        <v>0</v>
      </c>
      <c r="BZ166" s="154" t="str">
        <f t="shared" si="454"/>
        <v/>
      </c>
      <c r="CA166" s="154" t="str">
        <f t="shared" si="455"/>
        <v/>
      </c>
      <c r="CB166" s="154" t="str">
        <f t="shared" si="456"/>
        <v/>
      </c>
      <c r="CC166" s="153" t="str">
        <f t="shared" si="457"/>
        <v/>
      </c>
      <c r="CD166" s="154" t="str">
        <f t="shared" si="458"/>
        <v/>
      </c>
      <c r="CE166" s="153" t="str">
        <f t="shared" si="459"/>
        <v/>
      </c>
      <c r="CF166" s="580" t="str">
        <f>IF('Marks Entry'!AK166="","",'Marks Entry'!AK166)</f>
        <v/>
      </c>
      <c r="CG166" s="580" t="str">
        <f>IF('Marks Entry'!AL166="","",'Marks Entry'!AL166)</f>
        <v/>
      </c>
      <c r="CH166" s="580" t="str">
        <f>IF('Marks Entry'!AM166="","",'Marks Entry'!AM166)</f>
        <v/>
      </c>
      <c r="CI166" s="580" t="str">
        <f>IF('Marks Entry'!AN166="","",'Marks Entry'!AN166)</f>
        <v/>
      </c>
      <c r="CJ166" s="581" t="str">
        <f t="shared" si="460"/>
        <v/>
      </c>
      <c r="CK166" s="580" t="str">
        <f>IF('Marks Entry'!AO166="","",'Marks Entry'!AO166)</f>
        <v/>
      </c>
      <c r="CL166" s="580" t="str">
        <f>IF('Marks Entry'!AP166="","",'Marks Entry'!AP166)</f>
        <v/>
      </c>
      <c r="CM166" s="581" t="str">
        <f t="shared" si="461"/>
        <v/>
      </c>
      <c r="CN166" s="581" t="str">
        <f t="shared" si="462"/>
        <v/>
      </c>
      <c r="CO166" s="580" t="str">
        <f>IF('Marks Entry'!AQ166="","",'Marks Entry'!AQ166)</f>
        <v/>
      </c>
      <c r="CP166" s="580" t="str">
        <f>IF('Marks Entry'!AR166="","",'Marks Entry'!AR166)</f>
        <v/>
      </c>
      <c r="CQ166" s="581" t="str">
        <f t="shared" si="463"/>
        <v/>
      </c>
      <c r="CR166" s="157" t="str">
        <f t="shared" si="464"/>
        <v/>
      </c>
      <c r="CS166" s="157" t="str">
        <f t="shared" si="465"/>
        <v/>
      </c>
      <c r="CT166" s="192" t="str">
        <f t="shared" si="466"/>
        <v/>
      </c>
      <c r="CU166" s="153">
        <f t="shared" si="467"/>
        <v>0</v>
      </c>
      <c r="CV166" s="154">
        <f t="shared" si="468"/>
        <v>0</v>
      </c>
      <c r="CW166" s="154" t="str">
        <f t="shared" si="469"/>
        <v/>
      </c>
      <c r="CX166" s="154" t="str">
        <f t="shared" si="470"/>
        <v/>
      </c>
      <c r="CY166" s="154" t="str">
        <f t="shared" si="471"/>
        <v/>
      </c>
      <c r="CZ166" s="153" t="str">
        <f t="shared" si="472"/>
        <v/>
      </c>
      <c r="DA166" s="154" t="str">
        <f t="shared" si="473"/>
        <v/>
      </c>
      <c r="DB166" s="153" t="str">
        <f t="shared" si="474"/>
        <v/>
      </c>
      <c r="DC166" s="154">
        <f t="shared" si="475"/>
        <v>0</v>
      </c>
      <c r="DD166" s="826" t="str">
        <f>IF('Marks Entry'!AS166="","",IF(OR('Master Sheet'!$D$19="YES",'Marks Entry'!$BA$1=1),'Marks Entry'!AS166,""))</f>
        <v/>
      </c>
      <c r="DE166" s="826" t="str">
        <f>IF('Marks Entry'!AT166="","",IF(OR('Master Sheet'!$D$19="YES",'Marks Entry'!$BA$1=1),'Marks Entry'!AT166,""))</f>
        <v/>
      </c>
      <c r="DF166" s="826" t="str">
        <f>IF('Marks Entry'!AU166="","",IF(OR('Master Sheet'!$D$19="YES",'Marks Entry'!$BA$1=1),'Marks Entry'!AU166,""))</f>
        <v/>
      </c>
      <c r="DG166" s="826" t="str">
        <f>IF('Marks Entry'!AV166="","",IF(OR('Master Sheet'!$D$19="YES",'Marks Entry'!$BA$1=1),'Marks Entry'!AV166,""))</f>
        <v/>
      </c>
      <c r="DH166" s="827" t="str">
        <f t="shared" si="476"/>
        <v/>
      </c>
      <c r="DI166" s="826" t="str">
        <f>IF('Marks Entry'!AW166="","",IF(OR('Master Sheet'!$D$19="YES",'Marks Entry'!$BA$1=1),'Marks Entry'!AW166,""))</f>
        <v/>
      </c>
      <c r="DJ166" s="826" t="str">
        <f>IF('Marks Entry'!AX166="","",IF(OR('Master Sheet'!$D$19="YES",'Marks Entry'!$BA$1=1),'Marks Entry'!AX166,""))</f>
        <v/>
      </c>
      <c r="DK166" s="827" t="str">
        <f t="shared" si="477"/>
        <v/>
      </c>
      <c r="DL166" s="827" t="str">
        <f t="shared" si="478"/>
        <v/>
      </c>
      <c r="DM166" s="826" t="str">
        <f>IF('Marks Entry'!AY166="","",IF(OR('Master Sheet'!$D$19="YES",'Marks Entry'!$BA$1=1),'Marks Entry'!AY166,""))</f>
        <v/>
      </c>
      <c r="DN166" s="826" t="str">
        <f>IF('Marks Entry'!AZ166="","",IF(OR('Master Sheet'!$D$19="YES",'Marks Entry'!$BA$1=1),'Marks Entry'!AZ166,""))</f>
        <v/>
      </c>
      <c r="DO166" s="826" t="str">
        <f>IF('Marks Entry'!BA166="","",IF(OR('Master Sheet'!$D$19="YES",'Marks Entry'!$BA$1=1),'Marks Entry'!BA166,""))</f>
        <v/>
      </c>
      <c r="DP166" s="827" t="str">
        <f t="shared" si="479"/>
        <v/>
      </c>
      <c r="DQ166" s="157" t="str">
        <f t="shared" si="480"/>
        <v/>
      </c>
      <c r="DR166" s="157" t="str">
        <f t="shared" si="481"/>
        <v/>
      </c>
      <c r="DS166" s="157" t="str">
        <f t="shared" si="482"/>
        <v/>
      </c>
      <c r="DT166" s="192" t="str">
        <f t="shared" si="483"/>
        <v/>
      </c>
      <c r="DU166" s="153">
        <f t="shared" si="484"/>
        <v>0</v>
      </c>
      <c r="DV166" s="154" t="e">
        <f t="shared" si="485"/>
        <v>#VALUE!</v>
      </c>
      <c r="DW166" s="154" t="str">
        <f t="shared" si="486"/>
        <v/>
      </c>
      <c r="DX166" s="154" t="str">
        <f>IF(OR($B166="NSO",$B166=0,DS166=""),"",IF(AND(DJ166="",DO166=""),"",IF('Master Sheet'!$D$19="YES",$DO$6-COUNTIF(DO166,"ML")*DO$6,DS$6-(COUNTIF(DJ166,"ML")*DJ$6)-(COUNTIF(DO166,"ML")*DO$6))))</f>
        <v/>
      </c>
      <c r="DY166" s="154" t="str">
        <f>IF(OR($B166="NSO",$B166=0),"",IF(AND(DH166="",DI166="",DM166=""),"",IF(AND('Master Sheet'!$D$19="YES",'Marks Entry'!$BA$1=1),100,IF(AND(DJ166="",DO166=""),SUM(($DQ$7+$DR$7)-(DU166+DV166)),SUM(($DQ$6+$DR$6)-(DU166+DV166))))))</f>
        <v/>
      </c>
      <c r="DZ166" s="153" t="str">
        <f t="shared" si="487"/>
        <v/>
      </c>
      <c r="EA166" s="154" t="str">
        <f t="shared" si="488"/>
        <v/>
      </c>
      <c r="EB166" s="153" t="str">
        <f t="shared" si="489"/>
        <v/>
      </c>
      <c r="EC166" s="584" t="str">
        <f>IF('Marks Entry'!BB166="","",'Marks Entry'!BB166)</f>
        <v/>
      </c>
      <c r="ED166" s="584" t="str">
        <f>IF('Marks Entry'!BC166="","",'Marks Entry'!BC166)</f>
        <v/>
      </c>
      <c r="EE166" s="584" t="str">
        <f>IF('Marks Entry'!BD166="","",'Marks Entry'!BD166)</f>
        <v/>
      </c>
      <c r="EF166" s="590" t="str">
        <f t="shared" si="490"/>
        <v/>
      </c>
      <c r="EG166" s="595">
        <f t="shared" si="491"/>
        <v>0</v>
      </c>
      <c r="EH166" s="595">
        <f t="shared" si="492"/>
        <v>0</v>
      </c>
      <c r="EI166" s="193" t="str">
        <f t="shared" si="493"/>
        <v/>
      </c>
      <c r="EJ166" s="595" t="str">
        <f t="shared" si="494"/>
        <v/>
      </c>
      <c r="EK166" s="595" t="str">
        <f t="shared" si="495"/>
        <v/>
      </c>
      <c r="EL166" s="194" t="str">
        <f t="shared" si="496"/>
        <v/>
      </c>
      <c r="EM166" s="194" t="str">
        <f t="shared" si="497"/>
        <v/>
      </c>
      <c r="EN166" s="194" t="str">
        <f t="shared" si="498"/>
        <v/>
      </c>
      <c r="EO166" s="194" t="str">
        <f t="shared" si="499"/>
        <v/>
      </c>
      <c r="EP166" s="194" t="str">
        <f t="shared" si="500"/>
        <v/>
      </c>
      <c r="EQ166" s="194" t="str">
        <f t="shared" si="501"/>
        <v/>
      </c>
      <c r="ER166" s="195">
        <f t="shared" si="502"/>
        <v>0</v>
      </c>
      <c r="ES166" s="195">
        <f t="shared" si="503"/>
        <v>0</v>
      </c>
      <c r="ET166" s="195">
        <f t="shared" si="504"/>
        <v>0</v>
      </c>
      <c r="EU166" s="195">
        <f t="shared" si="505"/>
        <v>0</v>
      </c>
      <c r="EV166" s="195">
        <f t="shared" si="506"/>
        <v>0</v>
      </c>
      <c r="EW166" s="195" t="str">
        <f t="shared" si="507"/>
        <v/>
      </c>
      <c r="EX166" s="196" t="str">
        <f t="shared" si="508"/>
        <v/>
      </c>
      <c r="EY166" s="197" t="str">
        <f>IF('Marks Entry'!BE166="","",'Marks Entry'!BE166)</f>
        <v/>
      </c>
      <c r="EZ166" s="197" t="str">
        <f>IF('Marks Entry'!BF166="","",'Marks Entry'!BF166)</f>
        <v/>
      </c>
      <c r="FA166" s="197" t="str">
        <f>IF('Marks Entry'!BG166="","",'Marks Entry'!BG166)</f>
        <v/>
      </c>
      <c r="FB166" s="596" t="str">
        <f t="shared" si="509"/>
        <v/>
      </c>
      <c r="FC166" s="197" t="str">
        <f>IF('Marks Entry'!BH166="","",'Marks Entry'!BH166)</f>
        <v/>
      </c>
      <c r="FD166" s="197" t="str">
        <f>IF('Marks Entry'!BI166="","",'Marks Entry'!BI166)</f>
        <v/>
      </c>
      <c r="FE166" s="198" t="str">
        <f t="shared" si="510"/>
        <v/>
      </c>
      <c r="FF166" s="199" t="str">
        <f t="shared" si="511"/>
        <v/>
      </c>
      <c r="FG166" s="200" t="str">
        <f>IF(AND(E166=""),"",IF('Student DATA Entry'!L162="","",'Student DATA Entry'!L162))</f>
        <v/>
      </c>
      <c r="FH166" s="201" t="str">
        <f>IF(AND(E166=""),"",IF('Student DATA Entry'!M162="","",'Student DATA Entry'!M162))</f>
        <v/>
      </c>
      <c r="FI166" s="202" t="str">
        <f t="shared" si="512"/>
        <v/>
      </c>
      <c r="FJ166" s="189" t="str">
        <f t="shared" si="513"/>
        <v/>
      </c>
      <c r="FK166" s="189" t="str">
        <f t="shared" si="514"/>
        <v/>
      </c>
      <c r="FL166" s="203" t="str">
        <f t="shared" si="383"/>
        <v/>
      </c>
      <c r="FM166" s="189" t="str">
        <f t="shared" si="515"/>
        <v/>
      </c>
      <c r="FN166" s="204" t="str">
        <f t="shared" si="516"/>
        <v/>
      </c>
      <c r="FO166" s="203" t="str">
        <f t="shared" si="384"/>
        <v/>
      </c>
      <c r="FP166" s="205" t="str">
        <f t="shared" si="517"/>
        <v/>
      </c>
      <c r="FQ166" s="189" t="str">
        <f t="shared" si="385"/>
        <v/>
      </c>
      <c r="FR166" s="189" t="str">
        <f t="shared" si="386"/>
        <v/>
      </c>
      <c r="FS166" s="189" t="str">
        <f t="shared" si="387"/>
        <v/>
      </c>
      <c r="FT166" s="189" t="str">
        <f t="shared" si="388"/>
        <v/>
      </c>
      <c r="FU166" s="189" t="str">
        <f t="shared" si="518"/>
        <v/>
      </c>
      <c r="FV166" s="206" t="str">
        <f t="shared" si="389"/>
        <v/>
      </c>
      <c r="FW166" s="205" t="str">
        <f t="shared" si="519"/>
        <v/>
      </c>
      <c r="FX166" s="189" t="str">
        <f t="shared" si="390"/>
        <v/>
      </c>
      <c r="FY166" s="189" t="str">
        <f t="shared" si="391"/>
        <v/>
      </c>
      <c r="FZ166" s="189" t="str">
        <f t="shared" si="392"/>
        <v/>
      </c>
      <c r="GA166" s="189" t="str">
        <f t="shared" si="393"/>
        <v/>
      </c>
      <c r="GB166" s="189" t="str">
        <f t="shared" si="520"/>
        <v/>
      </c>
      <c r="GC166" s="206" t="str">
        <f t="shared" si="394"/>
        <v/>
      </c>
      <c r="GD166" s="205" t="str">
        <f t="shared" si="521"/>
        <v/>
      </c>
      <c r="GE166" s="189" t="str">
        <f t="shared" si="395"/>
        <v/>
      </c>
      <c r="GF166" s="189" t="str">
        <f t="shared" si="396"/>
        <v/>
      </c>
      <c r="GG166" s="189" t="str">
        <f t="shared" si="397"/>
        <v/>
      </c>
      <c r="GH166" s="189" t="str">
        <f t="shared" si="398"/>
        <v/>
      </c>
      <c r="GI166" s="189" t="str">
        <f t="shared" si="522"/>
        <v/>
      </c>
      <c r="GJ166" s="206" t="str">
        <f t="shared" si="399"/>
        <v/>
      </c>
      <c r="GK166" s="205" t="str">
        <f t="shared" si="523"/>
        <v/>
      </c>
      <c r="GL166" s="189" t="str">
        <f t="shared" si="400"/>
        <v/>
      </c>
      <c r="GM166" s="189" t="str">
        <f t="shared" si="401"/>
        <v/>
      </c>
      <c r="GN166" s="189" t="str">
        <f t="shared" si="402"/>
        <v/>
      </c>
      <c r="GO166" s="189" t="str">
        <f t="shared" si="403"/>
        <v/>
      </c>
      <c r="GP166" s="189" t="str">
        <f t="shared" si="524"/>
        <v/>
      </c>
      <c r="GQ166" s="206" t="str">
        <f t="shared" si="404"/>
        <v/>
      </c>
      <c r="GR166" s="189" t="str">
        <f t="shared" si="525"/>
        <v/>
      </c>
      <c r="GS166" s="189" t="str">
        <f t="shared" si="526"/>
        <v/>
      </c>
      <c r="GT166" s="207" t="str">
        <f t="shared" si="527"/>
        <v xml:space="preserve">    </v>
      </c>
      <c r="GU166" s="207" t="str">
        <f t="shared" si="528"/>
        <v xml:space="preserve">    </v>
      </c>
      <c r="GV166" s="207" t="str">
        <f t="shared" si="529"/>
        <v xml:space="preserve">    </v>
      </c>
      <c r="GW166" s="207" t="str">
        <f t="shared" si="530"/>
        <v xml:space="preserve">       </v>
      </c>
      <c r="GX166" s="598" t="str">
        <f t="shared" si="531"/>
        <v xml:space="preserve">     </v>
      </c>
      <c r="GY166" s="208" t="str">
        <f t="shared" si="405"/>
        <v/>
      </c>
      <c r="GZ166" s="606" t="str">
        <f>IF(AND(Q166="",AE166="",AZ166="",BW166="",CT166=""),"",IF(AND('Master Sheet'!$D$19="YES",'Marks Entry'!$BA$1=1),SUM(Q166,AE166,AZ166,BW166,DT166),SUM(Q166,AE166,AZ166,BW166,CT166)))</f>
        <v/>
      </c>
      <c r="HA166" s="209" t="str">
        <f>IF(GZ166="","",IF(AND('Master Sheet'!$D$19="YES",'Marks Entry'!$BA$1=1),GZ166/((900)-DC166)*100,GZ166/((1000)-DC166)*100))</f>
        <v/>
      </c>
      <c r="HB166" s="611" t="str">
        <f t="shared" si="532"/>
        <v/>
      </c>
      <c r="HC166" s="609" t="str">
        <f t="shared" si="533"/>
        <v/>
      </c>
      <c r="HD166" s="610" t="str">
        <f t="shared" si="534"/>
        <v/>
      </c>
      <c r="HE166" s="210" t="str">
        <f>IFERROR(IF(OR(GY166="SUPPLEMENTARY",GY166="RE-EXAM"),'Supp. Result Entry'!AS165,""),"")</f>
        <v/>
      </c>
      <c r="HF166" s="613" t="str">
        <f t="shared" si="535"/>
        <v/>
      </c>
      <c r="HG166" s="598" t="str">
        <f t="shared" si="536"/>
        <v/>
      </c>
      <c r="HH166" s="598" t="str">
        <f>IF(AND(HE166="",HF166="",HG166=""),"",IF(OR(GY166="SUPPLEMENTARY",GY166="RE-EXAM"),'Supp. Result Entry'!AS165,GY166))</f>
        <v/>
      </c>
      <c r="HI166" s="180"/>
      <c r="HY166" s="212" t="str">
        <f>IF('Supp. Result Entry'!U165="","",'Supp. Result Entry'!$U$6)</f>
        <v/>
      </c>
      <c r="HZ166" s="213" t="str">
        <f>IF('Supp. Result Entry'!X165="","",'Supp. Result Entry'!$X$6)</f>
        <v/>
      </c>
      <c r="IA166" s="213" t="str">
        <f>IF('Supp. Result Entry'!AA165="","",'Supp. Result Entry'!$AA$6)</f>
        <v/>
      </c>
      <c r="IB166" s="213" t="str">
        <f>IF('Supp. Result Entry'!AD165="","",'Supp. Result Entry'!$AD$6)</f>
        <v/>
      </c>
      <c r="IC166" s="213" t="str">
        <f>IF('Supp. Result Entry'!AG165="","",'Supp. Result Entry'!$AG$6)</f>
        <v/>
      </c>
      <c r="ID166" s="213" t="str">
        <f>IF('Supp. Result Entry'!AJ165="","",'Supp. Result Entry'!$AJ$6)</f>
        <v/>
      </c>
      <c r="IE166" s="213" t="str">
        <f>IF('Supp. Result Entry'!V165="","",'Supp. Result Entry'!V165)</f>
        <v/>
      </c>
      <c r="IF166" s="213" t="str">
        <f>IF('Supp. Result Entry'!Y165="","",'Supp. Result Entry'!Y165)</f>
        <v/>
      </c>
      <c r="IG166" s="213" t="str">
        <f>IF('Supp. Result Entry'!AB165="","",'Supp. Result Entry'!AB165)</f>
        <v/>
      </c>
      <c r="IH166" s="213" t="str">
        <f>IF('Supp. Result Entry'!AE165="","",'Supp. Result Entry'!AE165)</f>
        <v/>
      </c>
      <c r="II166" s="213" t="str">
        <f>IF('Supp. Result Entry'!AH165="","",'Supp. Result Entry'!AH165)</f>
        <v/>
      </c>
      <c r="IJ166" s="213" t="str">
        <f>IF('Supp. Result Entry'!AK165="","",'Supp. Result Entry'!AK165)</f>
        <v/>
      </c>
      <c r="IK166" s="213" t="str">
        <f>IF('Supp. Result Entry'!W165="","",'Supp. Result Entry'!W165)</f>
        <v/>
      </c>
      <c r="IL166" s="213" t="str">
        <f>IF('Supp. Result Entry'!Z165="","",'Supp. Result Entry'!Z165)</f>
        <v/>
      </c>
      <c r="IM166" s="213" t="str">
        <f>IF('Supp. Result Entry'!AC165="","",'Supp. Result Entry'!AC165)</f>
        <v/>
      </c>
      <c r="IN166" s="213" t="str">
        <f>IF('Supp. Result Entry'!AF165="","",'Supp. Result Entry'!AF165)</f>
        <v/>
      </c>
      <c r="IO166" s="213" t="str">
        <f>IF('Supp. Result Entry'!AI165="","",'Supp. Result Entry'!AI165)</f>
        <v/>
      </c>
      <c r="IP166" s="213" t="str">
        <f>IF('Supp. Result Entry'!AL165="","",'Supp. Result Entry'!AL165)</f>
        <v/>
      </c>
      <c r="IQ166" s="213">
        <f>COUNTIF('Supp. Result Entry'!K165:Q165,"S")</f>
        <v>0</v>
      </c>
      <c r="IR166" s="213">
        <f t="shared" si="537"/>
        <v>0</v>
      </c>
      <c r="IS166" s="213">
        <f t="shared" si="538"/>
        <v>0</v>
      </c>
      <c r="IT166" s="213" t="str">
        <f t="shared" si="406"/>
        <v/>
      </c>
      <c r="IU166" s="213" t="str">
        <f t="shared" si="407"/>
        <v/>
      </c>
      <c r="IV166" s="213" t="str">
        <f t="shared" si="408"/>
        <v/>
      </c>
      <c r="IW166" s="213" t="str">
        <f t="shared" si="409"/>
        <v/>
      </c>
      <c r="IX166" s="213" t="str">
        <f t="shared" si="410"/>
        <v/>
      </c>
      <c r="IY166" s="213" t="str">
        <f t="shared" si="539"/>
        <v/>
      </c>
      <c r="IZ166" s="213" t="str">
        <f t="shared" si="540"/>
        <v/>
      </c>
      <c r="JA166" s="213" t="str">
        <f t="shared" si="411"/>
        <v/>
      </c>
      <c r="JB166" s="211" t="str">
        <f t="shared" si="541"/>
        <v/>
      </c>
    </row>
    <row r="167" spans="1:262" s="211" customFormat="1" ht="21" customHeight="1">
      <c r="A167" s="184">
        <v>160</v>
      </c>
      <c r="B167" s="185" t="str">
        <f>IF('Marks Entry'!B167="","",'Marks Entry'!B167)</f>
        <v/>
      </c>
      <c r="C167" s="186" t="str">
        <f>IF('Marks Entry'!D167="","",'Marks Entry'!D167)</f>
        <v/>
      </c>
      <c r="D167" s="187" t="str">
        <f>IF('Marks Entry'!E167="","",'Marks Entry'!E167)</f>
        <v/>
      </c>
      <c r="E167" s="188" t="str">
        <f>IF('Marks Entry'!F167="","",'Marks Entry'!F167)</f>
        <v/>
      </c>
      <c r="F167" s="188" t="str">
        <f>IF('Marks Entry'!G167="","",'Marks Entry'!G167)</f>
        <v/>
      </c>
      <c r="G167" s="188" t="str">
        <f>IF('Marks Entry'!H167="","",'Marks Entry'!H167)</f>
        <v/>
      </c>
      <c r="H167" s="189" t="str">
        <f>IF('Marks Entry'!I167="","",'Marks Entry'!I167)</f>
        <v/>
      </c>
      <c r="I167" s="190" t="str">
        <f>IF('Marks Entry'!J167="","",'Marks Entry'!J167)</f>
        <v/>
      </c>
      <c r="J167" s="545" t="str">
        <f>IF('Marks Entry'!K167="","",'Marks Entry'!K167)</f>
        <v/>
      </c>
      <c r="K167" s="545" t="str">
        <f>IF('Marks Entry'!L167="","",'Marks Entry'!L167)</f>
        <v/>
      </c>
      <c r="L167" s="545" t="str">
        <f>IF('Marks Entry'!M167="","",'Marks Entry'!M167)</f>
        <v/>
      </c>
      <c r="M167" s="546" t="str">
        <f t="shared" si="412"/>
        <v/>
      </c>
      <c r="N167" s="545" t="str">
        <f>IF('Marks Entry'!N167="","",'Marks Entry'!N167)</f>
        <v/>
      </c>
      <c r="O167" s="546" t="str">
        <f t="shared" si="413"/>
        <v/>
      </c>
      <c r="P167" s="545" t="str">
        <f>IF('Marks Entry'!O167="","",'Marks Entry'!O167)</f>
        <v/>
      </c>
      <c r="Q167" s="547" t="str">
        <f t="shared" si="414"/>
        <v/>
      </c>
      <c r="R167" s="153">
        <f t="shared" si="415"/>
        <v>0</v>
      </c>
      <c r="S167" s="153">
        <f t="shared" si="416"/>
        <v>0</v>
      </c>
      <c r="T167" s="154" t="str">
        <f t="shared" si="417"/>
        <v/>
      </c>
      <c r="U167" s="153" t="str">
        <f t="shared" si="418"/>
        <v/>
      </c>
      <c r="V167" s="153" t="str">
        <f t="shared" si="419"/>
        <v/>
      </c>
      <c r="W167" s="153" t="str">
        <f t="shared" si="420"/>
        <v/>
      </c>
      <c r="X167" s="545" t="str">
        <f>IF('Marks Entry'!P167="","",'Marks Entry'!P167)</f>
        <v/>
      </c>
      <c r="Y167" s="545" t="str">
        <f>IF('Marks Entry'!Q167="","",'Marks Entry'!Q167)</f>
        <v/>
      </c>
      <c r="Z167" s="545" t="str">
        <f>IF('Marks Entry'!R167="","",'Marks Entry'!R167)</f>
        <v/>
      </c>
      <c r="AA167" s="546" t="str">
        <f t="shared" si="421"/>
        <v/>
      </c>
      <c r="AB167" s="545" t="str">
        <f>IF('Marks Entry'!S167="","",'Marks Entry'!S167)</f>
        <v/>
      </c>
      <c r="AC167" s="546" t="str">
        <f t="shared" si="422"/>
        <v/>
      </c>
      <c r="AD167" s="545" t="str">
        <f>IF('Marks Entry'!T167="","",'Marks Entry'!T167)</f>
        <v/>
      </c>
      <c r="AE167" s="547" t="str">
        <f t="shared" si="423"/>
        <v/>
      </c>
      <c r="AF167" s="153">
        <f t="shared" si="424"/>
        <v>0</v>
      </c>
      <c r="AG167" s="153">
        <f t="shared" si="425"/>
        <v>0</v>
      </c>
      <c r="AH167" s="154" t="str">
        <f t="shared" si="426"/>
        <v/>
      </c>
      <c r="AI167" s="153" t="str">
        <f t="shared" si="427"/>
        <v/>
      </c>
      <c r="AJ167" s="153" t="str">
        <f t="shared" si="428"/>
        <v/>
      </c>
      <c r="AK167" s="153" t="str">
        <f t="shared" si="429"/>
        <v/>
      </c>
      <c r="AL167" s="573" t="str">
        <f>IF('Marks Entry'!U167="","",'Marks Entry'!U167)</f>
        <v/>
      </c>
      <c r="AM167" s="573" t="str">
        <f>IF('Marks Entry'!V167="","",'Marks Entry'!V167)</f>
        <v/>
      </c>
      <c r="AN167" s="573" t="str">
        <f>IF('Marks Entry'!W167="","",'Marks Entry'!W167)</f>
        <v/>
      </c>
      <c r="AO167" s="573" t="str">
        <f>IF('Marks Entry'!X167="","",'Marks Entry'!X167)</f>
        <v/>
      </c>
      <c r="AP167" s="572" t="str">
        <f t="shared" si="430"/>
        <v/>
      </c>
      <c r="AQ167" s="573" t="str">
        <f>IF('Marks Entry'!Y167="","",'Marks Entry'!Y167)</f>
        <v/>
      </c>
      <c r="AR167" s="573" t="str">
        <f>IF('Marks Entry'!Z167="","",'Marks Entry'!Z167)</f>
        <v/>
      </c>
      <c r="AS167" s="572" t="str">
        <f t="shared" si="431"/>
        <v/>
      </c>
      <c r="AT167" s="572" t="str">
        <f t="shared" si="432"/>
        <v/>
      </c>
      <c r="AU167" s="573" t="str">
        <f>IF('Marks Entry'!AA167="","",'Marks Entry'!AA167)</f>
        <v/>
      </c>
      <c r="AV167" s="573" t="str">
        <f>IF('Marks Entry'!AB167="","",'Marks Entry'!AB167)</f>
        <v/>
      </c>
      <c r="AW167" s="572" t="str">
        <f t="shared" si="433"/>
        <v/>
      </c>
      <c r="AX167" s="157" t="str">
        <f t="shared" si="434"/>
        <v/>
      </c>
      <c r="AY167" s="157" t="str">
        <f t="shared" si="435"/>
        <v/>
      </c>
      <c r="AZ167" s="192" t="str">
        <f t="shared" si="436"/>
        <v/>
      </c>
      <c r="BA167" s="153">
        <f t="shared" si="437"/>
        <v>0</v>
      </c>
      <c r="BB167" s="154">
        <f t="shared" si="438"/>
        <v>0</v>
      </c>
      <c r="BC167" s="154" t="str">
        <f t="shared" si="439"/>
        <v/>
      </c>
      <c r="BD167" s="154" t="str">
        <f t="shared" si="440"/>
        <v/>
      </c>
      <c r="BE167" s="154" t="str">
        <f t="shared" si="441"/>
        <v/>
      </c>
      <c r="BF167" s="153" t="str">
        <f t="shared" si="442"/>
        <v/>
      </c>
      <c r="BG167" s="154" t="str">
        <f t="shared" si="443"/>
        <v/>
      </c>
      <c r="BH167" s="153" t="str">
        <f t="shared" si="444"/>
        <v/>
      </c>
      <c r="BI167" s="580" t="str">
        <f>IF('Marks Entry'!AC167="","",'Marks Entry'!AC167)</f>
        <v/>
      </c>
      <c r="BJ167" s="580" t="str">
        <f>IF('Marks Entry'!AD167="","",'Marks Entry'!AD167)</f>
        <v/>
      </c>
      <c r="BK167" s="580" t="str">
        <f>IF('Marks Entry'!AE167="","",'Marks Entry'!AE167)</f>
        <v/>
      </c>
      <c r="BL167" s="580" t="str">
        <f>IF('Marks Entry'!AF167="","",'Marks Entry'!AF167)</f>
        <v/>
      </c>
      <c r="BM167" s="581" t="str">
        <f t="shared" si="445"/>
        <v/>
      </c>
      <c r="BN167" s="580" t="str">
        <f>IF('Marks Entry'!AG167="","",'Marks Entry'!AG167)</f>
        <v/>
      </c>
      <c r="BO167" s="580" t="str">
        <f>IF('Marks Entry'!AH167="","",'Marks Entry'!AH167)</f>
        <v/>
      </c>
      <c r="BP167" s="581" t="str">
        <f t="shared" si="446"/>
        <v/>
      </c>
      <c r="BQ167" s="581" t="str">
        <f t="shared" si="447"/>
        <v/>
      </c>
      <c r="BR167" s="580" t="str">
        <f>IF('Marks Entry'!AI167="","",'Marks Entry'!AI167)</f>
        <v/>
      </c>
      <c r="BS167" s="580" t="str">
        <f>IF('Marks Entry'!AJ167="","",'Marks Entry'!AJ167)</f>
        <v/>
      </c>
      <c r="BT167" s="581" t="str">
        <f t="shared" si="448"/>
        <v/>
      </c>
      <c r="BU167" s="157" t="str">
        <f t="shared" si="449"/>
        <v/>
      </c>
      <c r="BV167" s="157" t="str">
        <f t="shared" si="450"/>
        <v/>
      </c>
      <c r="BW167" s="192" t="str">
        <f t="shared" si="451"/>
        <v/>
      </c>
      <c r="BX167" s="153">
        <f t="shared" si="452"/>
        <v>0</v>
      </c>
      <c r="BY167" s="154">
        <f t="shared" si="453"/>
        <v>0</v>
      </c>
      <c r="BZ167" s="154" t="str">
        <f t="shared" si="454"/>
        <v/>
      </c>
      <c r="CA167" s="154" t="str">
        <f t="shared" si="455"/>
        <v/>
      </c>
      <c r="CB167" s="154" t="str">
        <f t="shared" si="456"/>
        <v/>
      </c>
      <c r="CC167" s="153" t="str">
        <f t="shared" si="457"/>
        <v/>
      </c>
      <c r="CD167" s="154" t="str">
        <f t="shared" si="458"/>
        <v/>
      </c>
      <c r="CE167" s="153" t="str">
        <f t="shared" si="459"/>
        <v/>
      </c>
      <c r="CF167" s="580" t="str">
        <f>IF('Marks Entry'!AK167="","",'Marks Entry'!AK167)</f>
        <v/>
      </c>
      <c r="CG167" s="580" t="str">
        <f>IF('Marks Entry'!AL167="","",'Marks Entry'!AL167)</f>
        <v/>
      </c>
      <c r="CH167" s="580" t="str">
        <f>IF('Marks Entry'!AM167="","",'Marks Entry'!AM167)</f>
        <v/>
      </c>
      <c r="CI167" s="580" t="str">
        <f>IF('Marks Entry'!AN167="","",'Marks Entry'!AN167)</f>
        <v/>
      </c>
      <c r="CJ167" s="581" t="str">
        <f t="shared" si="460"/>
        <v/>
      </c>
      <c r="CK167" s="580" t="str">
        <f>IF('Marks Entry'!AO167="","",'Marks Entry'!AO167)</f>
        <v/>
      </c>
      <c r="CL167" s="580" t="str">
        <f>IF('Marks Entry'!AP167="","",'Marks Entry'!AP167)</f>
        <v/>
      </c>
      <c r="CM167" s="581" t="str">
        <f t="shared" si="461"/>
        <v/>
      </c>
      <c r="CN167" s="581" t="str">
        <f t="shared" si="462"/>
        <v/>
      </c>
      <c r="CO167" s="580" t="str">
        <f>IF('Marks Entry'!AQ167="","",'Marks Entry'!AQ167)</f>
        <v/>
      </c>
      <c r="CP167" s="580" t="str">
        <f>IF('Marks Entry'!AR167="","",'Marks Entry'!AR167)</f>
        <v/>
      </c>
      <c r="CQ167" s="581" t="str">
        <f t="shared" si="463"/>
        <v/>
      </c>
      <c r="CR167" s="157" t="str">
        <f t="shared" si="464"/>
        <v/>
      </c>
      <c r="CS167" s="157" t="str">
        <f t="shared" si="465"/>
        <v/>
      </c>
      <c r="CT167" s="192" t="str">
        <f t="shared" si="466"/>
        <v/>
      </c>
      <c r="CU167" s="153">
        <f t="shared" si="467"/>
        <v>0</v>
      </c>
      <c r="CV167" s="154">
        <f t="shared" si="468"/>
        <v>0</v>
      </c>
      <c r="CW167" s="154" t="str">
        <f t="shared" si="469"/>
        <v/>
      </c>
      <c r="CX167" s="154" t="str">
        <f t="shared" si="470"/>
        <v/>
      </c>
      <c r="CY167" s="154" t="str">
        <f t="shared" si="471"/>
        <v/>
      </c>
      <c r="CZ167" s="153" t="str">
        <f t="shared" si="472"/>
        <v/>
      </c>
      <c r="DA167" s="154" t="str">
        <f t="shared" si="473"/>
        <v/>
      </c>
      <c r="DB167" s="153" t="str">
        <f t="shared" si="474"/>
        <v/>
      </c>
      <c r="DC167" s="154">
        <f t="shared" si="475"/>
        <v>0</v>
      </c>
      <c r="DD167" s="826" t="str">
        <f>IF('Marks Entry'!AS167="","",IF(OR('Master Sheet'!$D$19="YES",'Marks Entry'!$BA$1=1),'Marks Entry'!AS167,""))</f>
        <v/>
      </c>
      <c r="DE167" s="826" t="str">
        <f>IF('Marks Entry'!AT167="","",IF(OR('Master Sheet'!$D$19="YES",'Marks Entry'!$BA$1=1),'Marks Entry'!AT167,""))</f>
        <v/>
      </c>
      <c r="DF167" s="826" t="str">
        <f>IF('Marks Entry'!AU167="","",IF(OR('Master Sheet'!$D$19="YES",'Marks Entry'!$BA$1=1),'Marks Entry'!AU167,""))</f>
        <v/>
      </c>
      <c r="DG167" s="826" t="str">
        <f>IF('Marks Entry'!AV167="","",IF(OR('Master Sheet'!$D$19="YES",'Marks Entry'!$BA$1=1),'Marks Entry'!AV167,""))</f>
        <v/>
      </c>
      <c r="DH167" s="827" t="str">
        <f t="shared" si="476"/>
        <v/>
      </c>
      <c r="DI167" s="826" t="str">
        <f>IF('Marks Entry'!AW167="","",IF(OR('Master Sheet'!$D$19="YES",'Marks Entry'!$BA$1=1),'Marks Entry'!AW167,""))</f>
        <v/>
      </c>
      <c r="DJ167" s="826" t="str">
        <f>IF('Marks Entry'!AX167="","",IF(OR('Master Sheet'!$D$19="YES",'Marks Entry'!$BA$1=1),'Marks Entry'!AX167,""))</f>
        <v/>
      </c>
      <c r="DK167" s="827" t="str">
        <f t="shared" si="477"/>
        <v/>
      </c>
      <c r="DL167" s="827" t="str">
        <f t="shared" si="478"/>
        <v/>
      </c>
      <c r="DM167" s="826" t="str">
        <f>IF('Marks Entry'!AY167="","",IF(OR('Master Sheet'!$D$19="YES",'Marks Entry'!$BA$1=1),'Marks Entry'!AY167,""))</f>
        <v/>
      </c>
      <c r="DN167" s="826" t="str">
        <f>IF('Marks Entry'!AZ167="","",IF(OR('Master Sheet'!$D$19="YES",'Marks Entry'!$BA$1=1),'Marks Entry'!AZ167,""))</f>
        <v/>
      </c>
      <c r="DO167" s="826" t="str">
        <f>IF('Marks Entry'!BA167="","",IF(OR('Master Sheet'!$D$19="YES",'Marks Entry'!$BA$1=1),'Marks Entry'!BA167,""))</f>
        <v/>
      </c>
      <c r="DP167" s="827" t="str">
        <f t="shared" si="479"/>
        <v/>
      </c>
      <c r="DQ167" s="157" t="str">
        <f t="shared" si="480"/>
        <v/>
      </c>
      <c r="DR167" s="157" t="str">
        <f t="shared" si="481"/>
        <v/>
      </c>
      <c r="DS167" s="157" t="str">
        <f t="shared" si="482"/>
        <v/>
      </c>
      <c r="DT167" s="192" t="str">
        <f t="shared" si="483"/>
        <v/>
      </c>
      <c r="DU167" s="153">
        <f t="shared" si="484"/>
        <v>0</v>
      </c>
      <c r="DV167" s="154" t="e">
        <f t="shared" si="485"/>
        <v>#VALUE!</v>
      </c>
      <c r="DW167" s="154" t="str">
        <f t="shared" si="486"/>
        <v/>
      </c>
      <c r="DX167" s="154" t="str">
        <f>IF(OR($B167="NSO",$B167=0,DS167=""),"",IF(AND(DJ167="",DO167=""),"",IF('Master Sheet'!$D$19="YES",$DO$6-COUNTIF(DO167,"ML")*DO$6,DS$6-(COUNTIF(DJ167,"ML")*DJ$6)-(COUNTIF(DO167,"ML")*DO$6))))</f>
        <v/>
      </c>
      <c r="DY167" s="154" t="str">
        <f>IF(OR($B167="NSO",$B167=0),"",IF(AND(DH167="",DI167="",DM167=""),"",IF(AND('Master Sheet'!$D$19="YES",'Marks Entry'!$BA$1=1),100,IF(AND(DJ167="",DO167=""),SUM(($DQ$7+$DR$7)-(DU167+DV167)),SUM(($DQ$6+$DR$6)-(DU167+DV167))))))</f>
        <v/>
      </c>
      <c r="DZ167" s="153" t="str">
        <f t="shared" si="487"/>
        <v/>
      </c>
      <c r="EA167" s="154" t="str">
        <f t="shared" si="488"/>
        <v/>
      </c>
      <c r="EB167" s="153" t="str">
        <f t="shared" si="489"/>
        <v/>
      </c>
      <c r="EC167" s="584" t="str">
        <f>IF('Marks Entry'!BB167="","",'Marks Entry'!BB167)</f>
        <v/>
      </c>
      <c r="ED167" s="584" t="str">
        <f>IF('Marks Entry'!BC167="","",'Marks Entry'!BC167)</f>
        <v/>
      </c>
      <c r="EE167" s="584" t="str">
        <f>IF('Marks Entry'!BD167="","",'Marks Entry'!BD167)</f>
        <v/>
      </c>
      <c r="EF167" s="590" t="str">
        <f t="shared" si="490"/>
        <v/>
      </c>
      <c r="EG167" s="595">
        <f t="shared" si="491"/>
        <v>0</v>
      </c>
      <c r="EH167" s="595">
        <f t="shared" si="492"/>
        <v>0</v>
      </c>
      <c r="EI167" s="193" t="str">
        <f t="shared" si="493"/>
        <v/>
      </c>
      <c r="EJ167" s="595" t="str">
        <f t="shared" si="494"/>
        <v/>
      </c>
      <c r="EK167" s="595" t="str">
        <f t="shared" si="495"/>
        <v/>
      </c>
      <c r="EL167" s="194" t="str">
        <f t="shared" si="496"/>
        <v/>
      </c>
      <c r="EM167" s="194" t="str">
        <f t="shared" si="497"/>
        <v/>
      </c>
      <c r="EN167" s="194" t="str">
        <f t="shared" si="498"/>
        <v/>
      </c>
      <c r="EO167" s="194" t="str">
        <f t="shared" si="499"/>
        <v/>
      </c>
      <c r="EP167" s="194" t="str">
        <f t="shared" si="500"/>
        <v/>
      </c>
      <c r="EQ167" s="194" t="str">
        <f t="shared" si="501"/>
        <v/>
      </c>
      <c r="ER167" s="195">
        <f t="shared" si="502"/>
        <v>0</v>
      </c>
      <c r="ES167" s="195">
        <f t="shared" si="503"/>
        <v>0</v>
      </c>
      <c r="ET167" s="195">
        <f t="shared" si="504"/>
        <v>0</v>
      </c>
      <c r="EU167" s="195">
        <f t="shared" si="505"/>
        <v>0</v>
      </c>
      <c r="EV167" s="195">
        <f t="shared" si="506"/>
        <v>0</v>
      </c>
      <c r="EW167" s="195" t="str">
        <f t="shared" si="507"/>
        <v/>
      </c>
      <c r="EX167" s="196" t="str">
        <f t="shared" si="508"/>
        <v/>
      </c>
      <c r="EY167" s="197" t="str">
        <f>IF('Marks Entry'!BE167="","",'Marks Entry'!BE167)</f>
        <v/>
      </c>
      <c r="EZ167" s="197" t="str">
        <f>IF('Marks Entry'!BF167="","",'Marks Entry'!BF167)</f>
        <v/>
      </c>
      <c r="FA167" s="197" t="str">
        <f>IF('Marks Entry'!BG167="","",'Marks Entry'!BG167)</f>
        <v/>
      </c>
      <c r="FB167" s="596" t="str">
        <f t="shared" si="509"/>
        <v/>
      </c>
      <c r="FC167" s="197" t="str">
        <f>IF('Marks Entry'!BH167="","",'Marks Entry'!BH167)</f>
        <v/>
      </c>
      <c r="FD167" s="197" t="str">
        <f>IF('Marks Entry'!BI167="","",'Marks Entry'!BI167)</f>
        <v/>
      </c>
      <c r="FE167" s="198" t="str">
        <f t="shared" si="510"/>
        <v/>
      </c>
      <c r="FF167" s="199" t="str">
        <f t="shared" si="511"/>
        <v/>
      </c>
      <c r="FG167" s="200" t="str">
        <f>IF(AND(E167=""),"",IF('Student DATA Entry'!L163="","",'Student DATA Entry'!L163))</f>
        <v/>
      </c>
      <c r="FH167" s="201" t="str">
        <f>IF(AND(E167=""),"",IF('Student DATA Entry'!M163="","",'Student DATA Entry'!M163))</f>
        <v/>
      </c>
      <c r="FI167" s="202" t="str">
        <f t="shared" si="512"/>
        <v/>
      </c>
      <c r="FJ167" s="189" t="str">
        <f t="shared" si="513"/>
        <v/>
      </c>
      <c r="FK167" s="189" t="str">
        <f t="shared" si="514"/>
        <v/>
      </c>
      <c r="FL167" s="203" t="str">
        <f t="shared" si="383"/>
        <v/>
      </c>
      <c r="FM167" s="189" t="str">
        <f t="shared" si="515"/>
        <v/>
      </c>
      <c r="FN167" s="204" t="str">
        <f t="shared" si="516"/>
        <v/>
      </c>
      <c r="FO167" s="203" t="str">
        <f t="shared" si="384"/>
        <v/>
      </c>
      <c r="FP167" s="205" t="str">
        <f t="shared" si="517"/>
        <v/>
      </c>
      <c r="FQ167" s="189" t="str">
        <f t="shared" si="385"/>
        <v/>
      </c>
      <c r="FR167" s="189" t="str">
        <f t="shared" si="386"/>
        <v/>
      </c>
      <c r="FS167" s="189" t="str">
        <f t="shared" si="387"/>
        <v/>
      </c>
      <c r="FT167" s="189" t="str">
        <f t="shared" si="388"/>
        <v/>
      </c>
      <c r="FU167" s="189" t="str">
        <f t="shared" si="518"/>
        <v/>
      </c>
      <c r="FV167" s="206" t="str">
        <f t="shared" si="389"/>
        <v/>
      </c>
      <c r="FW167" s="205" t="str">
        <f t="shared" si="519"/>
        <v/>
      </c>
      <c r="FX167" s="189" t="str">
        <f t="shared" si="390"/>
        <v/>
      </c>
      <c r="FY167" s="189" t="str">
        <f t="shared" si="391"/>
        <v/>
      </c>
      <c r="FZ167" s="189" t="str">
        <f t="shared" si="392"/>
        <v/>
      </c>
      <c r="GA167" s="189" t="str">
        <f t="shared" si="393"/>
        <v/>
      </c>
      <c r="GB167" s="189" t="str">
        <f t="shared" si="520"/>
        <v/>
      </c>
      <c r="GC167" s="206" t="str">
        <f t="shared" si="394"/>
        <v/>
      </c>
      <c r="GD167" s="205" t="str">
        <f t="shared" si="521"/>
        <v/>
      </c>
      <c r="GE167" s="189" t="str">
        <f t="shared" si="395"/>
        <v/>
      </c>
      <c r="GF167" s="189" t="str">
        <f t="shared" si="396"/>
        <v/>
      </c>
      <c r="GG167" s="189" t="str">
        <f t="shared" si="397"/>
        <v/>
      </c>
      <c r="GH167" s="189" t="str">
        <f t="shared" si="398"/>
        <v/>
      </c>
      <c r="GI167" s="189" t="str">
        <f t="shared" si="522"/>
        <v/>
      </c>
      <c r="GJ167" s="206" t="str">
        <f t="shared" si="399"/>
        <v/>
      </c>
      <c r="GK167" s="205" t="str">
        <f t="shared" si="523"/>
        <v/>
      </c>
      <c r="GL167" s="189" t="str">
        <f t="shared" si="400"/>
        <v/>
      </c>
      <c r="GM167" s="189" t="str">
        <f t="shared" si="401"/>
        <v/>
      </c>
      <c r="GN167" s="189" t="str">
        <f t="shared" si="402"/>
        <v/>
      </c>
      <c r="GO167" s="189" t="str">
        <f t="shared" si="403"/>
        <v/>
      </c>
      <c r="GP167" s="189" t="str">
        <f t="shared" si="524"/>
        <v/>
      </c>
      <c r="GQ167" s="206" t="str">
        <f t="shared" si="404"/>
        <v/>
      </c>
      <c r="GR167" s="189" t="str">
        <f t="shared" si="525"/>
        <v/>
      </c>
      <c r="GS167" s="189" t="str">
        <f t="shared" si="526"/>
        <v/>
      </c>
      <c r="GT167" s="207" t="str">
        <f t="shared" si="527"/>
        <v xml:space="preserve">    </v>
      </c>
      <c r="GU167" s="207" t="str">
        <f t="shared" si="528"/>
        <v xml:space="preserve">    </v>
      </c>
      <c r="GV167" s="207" t="str">
        <f t="shared" si="529"/>
        <v xml:space="preserve">    </v>
      </c>
      <c r="GW167" s="207" t="str">
        <f t="shared" si="530"/>
        <v xml:space="preserve">       </v>
      </c>
      <c r="GX167" s="598" t="str">
        <f t="shared" si="531"/>
        <v xml:space="preserve">     </v>
      </c>
      <c r="GY167" s="208" t="str">
        <f t="shared" si="405"/>
        <v/>
      </c>
      <c r="GZ167" s="606" t="str">
        <f>IF(AND(Q167="",AE167="",AZ167="",BW167="",CT167=""),"",IF(AND('Master Sheet'!$D$19="YES",'Marks Entry'!$BA$1=1),SUM(Q167,AE167,AZ167,BW167,DT167),SUM(Q167,AE167,AZ167,BW167,CT167)))</f>
        <v/>
      </c>
      <c r="HA167" s="209" t="str">
        <f>IF(GZ167="","",IF(AND('Master Sheet'!$D$19="YES",'Marks Entry'!$BA$1=1),GZ167/((900)-DC167)*100,GZ167/((1000)-DC167)*100))</f>
        <v/>
      </c>
      <c r="HB167" s="611" t="str">
        <f t="shared" si="532"/>
        <v/>
      </c>
      <c r="HC167" s="609" t="str">
        <f t="shared" si="533"/>
        <v/>
      </c>
      <c r="HD167" s="610" t="str">
        <f t="shared" si="534"/>
        <v/>
      </c>
      <c r="HE167" s="210" t="str">
        <f>IFERROR(IF(OR(GY167="SUPPLEMENTARY",GY167="RE-EXAM"),'Supp. Result Entry'!AS166,""),"")</f>
        <v/>
      </c>
      <c r="HF167" s="613" t="str">
        <f t="shared" si="535"/>
        <v/>
      </c>
      <c r="HG167" s="598" t="str">
        <f t="shared" si="536"/>
        <v/>
      </c>
      <c r="HH167" s="598" t="str">
        <f>IF(AND(HE167="",HF167="",HG167=""),"",IF(OR(GY167="SUPPLEMENTARY",GY167="RE-EXAM"),'Supp. Result Entry'!AS166,GY167))</f>
        <v/>
      </c>
      <c r="HI167" s="180"/>
      <c r="HY167" s="212" t="str">
        <f>IF('Supp. Result Entry'!U166="","",'Supp. Result Entry'!$U$6)</f>
        <v/>
      </c>
      <c r="HZ167" s="213" t="str">
        <f>IF('Supp. Result Entry'!X166="","",'Supp. Result Entry'!$X$6)</f>
        <v/>
      </c>
      <c r="IA167" s="213" t="str">
        <f>IF('Supp. Result Entry'!AA166="","",'Supp. Result Entry'!$AA$6)</f>
        <v/>
      </c>
      <c r="IB167" s="213" t="str">
        <f>IF('Supp. Result Entry'!AD166="","",'Supp. Result Entry'!$AD$6)</f>
        <v/>
      </c>
      <c r="IC167" s="213" t="str">
        <f>IF('Supp. Result Entry'!AG166="","",'Supp. Result Entry'!$AG$6)</f>
        <v/>
      </c>
      <c r="ID167" s="213" t="str">
        <f>IF('Supp. Result Entry'!AJ166="","",'Supp. Result Entry'!$AJ$6)</f>
        <v/>
      </c>
      <c r="IE167" s="213" t="str">
        <f>IF('Supp. Result Entry'!V166="","",'Supp. Result Entry'!V166)</f>
        <v/>
      </c>
      <c r="IF167" s="213" t="str">
        <f>IF('Supp. Result Entry'!Y166="","",'Supp. Result Entry'!Y166)</f>
        <v/>
      </c>
      <c r="IG167" s="213" t="str">
        <f>IF('Supp. Result Entry'!AB166="","",'Supp. Result Entry'!AB166)</f>
        <v/>
      </c>
      <c r="IH167" s="213" t="str">
        <f>IF('Supp. Result Entry'!AE166="","",'Supp. Result Entry'!AE166)</f>
        <v/>
      </c>
      <c r="II167" s="213" t="str">
        <f>IF('Supp. Result Entry'!AH166="","",'Supp. Result Entry'!AH166)</f>
        <v/>
      </c>
      <c r="IJ167" s="213" t="str">
        <f>IF('Supp. Result Entry'!AK166="","",'Supp. Result Entry'!AK166)</f>
        <v/>
      </c>
      <c r="IK167" s="213" t="str">
        <f>IF('Supp. Result Entry'!W166="","",'Supp. Result Entry'!W166)</f>
        <v/>
      </c>
      <c r="IL167" s="213" t="str">
        <f>IF('Supp. Result Entry'!Z166="","",'Supp. Result Entry'!Z166)</f>
        <v/>
      </c>
      <c r="IM167" s="213" t="str">
        <f>IF('Supp. Result Entry'!AC166="","",'Supp. Result Entry'!AC166)</f>
        <v/>
      </c>
      <c r="IN167" s="213" t="str">
        <f>IF('Supp. Result Entry'!AF166="","",'Supp. Result Entry'!AF166)</f>
        <v/>
      </c>
      <c r="IO167" s="213" t="str">
        <f>IF('Supp. Result Entry'!AI166="","",'Supp. Result Entry'!AI166)</f>
        <v/>
      </c>
      <c r="IP167" s="213" t="str">
        <f>IF('Supp. Result Entry'!AL166="","",'Supp. Result Entry'!AL166)</f>
        <v/>
      </c>
      <c r="IQ167" s="213">
        <f>COUNTIF('Supp. Result Entry'!K166:Q166,"S")</f>
        <v>0</v>
      </c>
      <c r="IR167" s="213">
        <f t="shared" si="537"/>
        <v>0</v>
      </c>
      <c r="IS167" s="213">
        <f t="shared" si="538"/>
        <v>0</v>
      </c>
      <c r="IT167" s="213" t="str">
        <f t="shared" si="406"/>
        <v/>
      </c>
      <c r="IU167" s="213" t="str">
        <f t="shared" si="407"/>
        <v/>
      </c>
      <c r="IV167" s="213" t="str">
        <f t="shared" si="408"/>
        <v/>
      </c>
      <c r="IW167" s="213" t="str">
        <f t="shared" si="409"/>
        <v/>
      </c>
      <c r="IX167" s="213" t="str">
        <f t="shared" si="410"/>
        <v/>
      </c>
      <c r="IY167" s="213" t="str">
        <f t="shared" si="539"/>
        <v/>
      </c>
      <c r="IZ167" s="213" t="str">
        <f t="shared" si="540"/>
        <v/>
      </c>
      <c r="JA167" s="213" t="str">
        <f t="shared" si="411"/>
        <v/>
      </c>
      <c r="JB167" s="211" t="str">
        <f t="shared" si="541"/>
        <v/>
      </c>
    </row>
    <row r="168" spans="1:262" s="211" customFormat="1" ht="21" customHeight="1">
      <c r="A168" s="184">
        <v>161</v>
      </c>
      <c r="B168" s="185" t="str">
        <f>IF('Marks Entry'!B168="","",'Marks Entry'!B168)</f>
        <v/>
      </c>
      <c r="C168" s="186" t="str">
        <f>IF('Marks Entry'!D168="","",'Marks Entry'!D168)</f>
        <v/>
      </c>
      <c r="D168" s="187" t="str">
        <f>IF('Marks Entry'!E168="","",'Marks Entry'!E168)</f>
        <v/>
      </c>
      <c r="E168" s="188" t="str">
        <f>IF('Marks Entry'!F168="","",'Marks Entry'!F168)</f>
        <v/>
      </c>
      <c r="F168" s="188" t="str">
        <f>IF('Marks Entry'!G168="","",'Marks Entry'!G168)</f>
        <v/>
      </c>
      <c r="G168" s="188" t="str">
        <f>IF('Marks Entry'!H168="","",'Marks Entry'!H168)</f>
        <v/>
      </c>
      <c r="H168" s="189" t="str">
        <f>IF('Marks Entry'!I168="","",'Marks Entry'!I168)</f>
        <v/>
      </c>
      <c r="I168" s="190" t="str">
        <f>IF('Marks Entry'!J168="","",'Marks Entry'!J168)</f>
        <v/>
      </c>
      <c r="J168" s="545" t="str">
        <f>IF('Marks Entry'!K168="","",'Marks Entry'!K168)</f>
        <v/>
      </c>
      <c r="K168" s="545" t="str">
        <f>IF('Marks Entry'!L168="","",'Marks Entry'!L168)</f>
        <v/>
      </c>
      <c r="L168" s="545" t="str">
        <f>IF('Marks Entry'!M168="","",'Marks Entry'!M168)</f>
        <v/>
      </c>
      <c r="M168" s="546" t="str">
        <f t="shared" si="412"/>
        <v/>
      </c>
      <c r="N168" s="545" t="str">
        <f>IF('Marks Entry'!N168="","",'Marks Entry'!N168)</f>
        <v/>
      </c>
      <c r="O168" s="546" t="str">
        <f t="shared" si="413"/>
        <v/>
      </c>
      <c r="P168" s="545" t="str">
        <f>IF('Marks Entry'!O168="","",'Marks Entry'!O168)</f>
        <v/>
      </c>
      <c r="Q168" s="547" t="str">
        <f t="shared" si="414"/>
        <v/>
      </c>
      <c r="R168" s="153">
        <f t="shared" si="415"/>
        <v>0</v>
      </c>
      <c r="S168" s="153">
        <f t="shared" si="416"/>
        <v>0</v>
      </c>
      <c r="T168" s="154" t="str">
        <f t="shared" si="417"/>
        <v/>
      </c>
      <c r="U168" s="153" t="str">
        <f t="shared" si="418"/>
        <v/>
      </c>
      <c r="V168" s="153" t="str">
        <f t="shared" si="419"/>
        <v/>
      </c>
      <c r="W168" s="153" t="str">
        <f t="shared" si="420"/>
        <v/>
      </c>
      <c r="X168" s="545" t="str">
        <f>IF('Marks Entry'!P168="","",'Marks Entry'!P168)</f>
        <v/>
      </c>
      <c r="Y168" s="545" t="str">
        <f>IF('Marks Entry'!Q168="","",'Marks Entry'!Q168)</f>
        <v/>
      </c>
      <c r="Z168" s="545" t="str">
        <f>IF('Marks Entry'!R168="","",'Marks Entry'!R168)</f>
        <v/>
      </c>
      <c r="AA168" s="546" t="str">
        <f t="shared" si="421"/>
        <v/>
      </c>
      <c r="AB168" s="545" t="str">
        <f>IF('Marks Entry'!S168="","",'Marks Entry'!S168)</f>
        <v/>
      </c>
      <c r="AC168" s="546" t="str">
        <f t="shared" si="422"/>
        <v/>
      </c>
      <c r="AD168" s="545" t="str">
        <f>IF('Marks Entry'!T168="","",'Marks Entry'!T168)</f>
        <v/>
      </c>
      <c r="AE168" s="547" t="str">
        <f t="shared" si="423"/>
        <v/>
      </c>
      <c r="AF168" s="153">
        <f t="shared" si="424"/>
        <v>0</v>
      </c>
      <c r="AG168" s="153">
        <f t="shared" si="425"/>
        <v>0</v>
      </c>
      <c r="AH168" s="154" t="str">
        <f t="shared" si="426"/>
        <v/>
      </c>
      <c r="AI168" s="153" t="str">
        <f t="shared" si="427"/>
        <v/>
      </c>
      <c r="AJ168" s="153" t="str">
        <f t="shared" si="428"/>
        <v/>
      </c>
      <c r="AK168" s="153" t="str">
        <f t="shared" si="429"/>
        <v/>
      </c>
      <c r="AL168" s="573" t="str">
        <f>IF('Marks Entry'!U168="","",'Marks Entry'!U168)</f>
        <v/>
      </c>
      <c r="AM168" s="573" t="str">
        <f>IF('Marks Entry'!V168="","",'Marks Entry'!V168)</f>
        <v/>
      </c>
      <c r="AN168" s="573" t="str">
        <f>IF('Marks Entry'!W168="","",'Marks Entry'!W168)</f>
        <v/>
      </c>
      <c r="AO168" s="573" t="str">
        <f>IF('Marks Entry'!X168="","",'Marks Entry'!X168)</f>
        <v/>
      </c>
      <c r="AP168" s="572" t="str">
        <f t="shared" si="430"/>
        <v/>
      </c>
      <c r="AQ168" s="573" t="str">
        <f>IF('Marks Entry'!Y168="","",'Marks Entry'!Y168)</f>
        <v/>
      </c>
      <c r="AR168" s="573" t="str">
        <f>IF('Marks Entry'!Z168="","",'Marks Entry'!Z168)</f>
        <v/>
      </c>
      <c r="AS168" s="572" t="str">
        <f t="shared" si="431"/>
        <v/>
      </c>
      <c r="AT168" s="572" t="str">
        <f t="shared" si="432"/>
        <v/>
      </c>
      <c r="AU168" s="573" t="str">
        <f>IF('Marks Entry'!AA168="","",'Marks Entry'!AA168)</f>
        <v/>
      </c>
      <c r="AV168" s="573" t="str">
        <f>IF('Marks Entry'!AB168="","",'Marks Entry'!AB168)</f>
        <v/>
      </c>
      <c r="AW168" s="572" t="str">
        <f t="shared" si="433"/>
        <v/>
      </c>
      <c r="AX168" s="157" t="str">
        <f t="shared" si="434"/>
        <v/>
      </c>
      <c r="AY168" s="157" t="str">
        <f t="shared" si="435"/>
        <v/>
      </c>
      <c r="AZ168" s="192" t="str">
        <f t="shared" si="436"/>
        <v/>
      </c>
      <c r="BA168" s="153">
        <f t="shared" si="437"/>
        <v>0</v>
      </c>
      <c r="BB168" s="154">
        <f t="shared" si="438"/>
        <v>0</v>
      </c>
      <c r="BC168" s="154" t="str">
        <f t="shared" si="439"/>
        <v/>
      </c>
      <c r="BD168" s="154" t="str">
        <f t="shared" si="440"/>
        <v/>
      </c>
      <c r="BE168" s="154" t="str">
        <f t="shared" si="441"/>
        <v/>
      </c>
      <c r="BF168" s="153" t="str">
        <f t="shared" si="442"/>
        <v/>
      </c>
      <c r="BG168" s="154" t="str">
        <f t="shared" si="443"/>
        <v/>
      </c>
      <c r="BH168" s="153" t="str">
        <f t="shared" si="444"/>
        <v/>
      </c>
      <c r="BI168" s="580" t="str">
        <f>IF('Marks Entry'!AC168="","",'Marks Entry'!AC168)</f>
        <v/>
      </c>
      <c r="BJ168" s="580" t="str">
        <f>IF('Marks Entry'!AD168="","",'Marks Entry'!AD168)</f>
        <v/>
      </c>
      <c r="BK168" s="580" t="str">
        <f>IF('Marks Entry'!AE168="","",'Marks Entry'!AE168)</f>
        <v/>
      </c>
      <c r="BL168" s="580" t="str">
        <f>IF('Marks Entry'!AF168="","",'Marks Entry'!AF168)</f>
        <v/>
      </c>
      <c r="BM168" s="581" t="str">
        <f t="shared" si="445"/>
        <v/>
      </c>
      <c r="BN168" s="580" t="str">
        <f>IF('Marks Entry'!AG168="","",'Marks Entry'!AG168)</f>
        <v/>
      </c>
      <c r="BO168" s="580" t="str">
        <f>IF('Marks Entry'!AH168="","",'Marks Entry'!AH168)</f>
        <v/>
      </c>
      <c r="BP168" s="581" t="str">
        <f t="shared" si="446"/>
        <v/>
      </c>
      <c r="BQ168" s="581" t="str">
        <f t="shared" si="447"/>
        <v/>
      </c>
      <c r="BR168" s="580" t="str">
        <f>IF('Marks Entry'!AI168="","",'Marks Entry'!AI168)</f>
        <v/>
      </c>
      <c r="BS168" s="580" t="str">
        <f>IF('Marks Entry'!AJ168="","",'Marks Entry'!AJ168)</f>
        <v/>
      </c>
      <c r="BT168" s="581" t="str">
        <f t="shared" si="448"/>
        <v/>
      </c>
      <c r="BU168" s="157" t="str">
        <f t="shared" si="449"/>
        <v/>
      </c>
      <c r="BV168" s="157" t="str">
        <f t="shared" si="450"/>
        <v/>
      </c>
      <c r="BW168" s="192" t="str">
        <f t="shared" si="451"/>
        <v/>
      </c>
      <c r="BX168" s="153">
        <f t="shared" si="452"/>
        <v>0</v>
      </c>
      <c r="BY168" s="154">
        <f t="shared" si="453"/>
        <v>0</v>
      </c>
      <c r="BZ168" s="154" t="str">
        <f t="shared" si="454"/>
        <v/>
      </c>
      <c r="CA168" s="154" t="str">
        <f t="shared" si="455"/>
        <v/>
      </c>
      <c r="CB168" s="154" t="str">
        <f t="shared" si="456"/>
        <v/>
      </c>
      <c r="CC168" s="153" t="str">
        <f t="shared" si="457"/>
        <v/>
      </c>
      <c r="CD168" s="154" t="str">
        <f t="shared" si="458"/>
        <v/>
      </c>
      <c r="CE168" s="153" t="str">
        <f t="shared" si="459"/>
        <v/>
      </c>
      <c r="CF168" s="580" t="str">
        <f>IF('Marks Entry'!AK168="","",'Marks Entry'!AK168)</f>
        <v/>
      </c>
      <c r="CG168" s="580" t="str">
        <f>IF('Marks Entry'!AL168="","",'Marks Entry'!AL168)</f>
        <v/>
      </c>
      <c r="CH168" s="580" t="str">
        <f>IF('Marks Entry'!AM168="","",'Marks Entry'!AM168)</f>
        <v/>
      </c>
      <c r="CI168" s="580" t="str">
        <f>IF('Marks Entry'!AN168="","",'Marks Entry'!AN168)</f>
        <v/>
      </c>
      <c r="CJ168" s="581" t="str">
        <f t="shared" si="460"/>
        <v/>
      </c>
      <c r="CK168" s="580" t="str">
        <f>IF('Marks Entry'!AO168="","",'Marks Entry'!AO168)</f>
        <v/>
      </c>
      <c r="CL168" s="580" t="str">
        <f>IF('Marks Entry'!AP168="","",'Marks Entry'!AP168)</f>
        <v/>
      </c>
      <c r="CM168" s="581" t="str">
        <f t="shared" si="461"/>
        <v/>
      </c>
      <c r="CN168" s="581" t="str">
        <f t="shared" si="462"/>
        <v/>
      </c>
      <c r="CO168" s="580" t="str">
        <f>IF('Marks Entry'!AQ168="","",'Marks Entry'!AQ168)</f>
        <v/>
      </c>
      <c r="CP168" s="580" t="str">
        <f>IF('Marks Entry'!AR168="","",'Marks Entry'!AR168)</f>
        <v/>
      </c>
      <c r="CQ168" s="581" t="str">
        <f t="shared" si="463"/>
        <v/>
      </c>
      <c r="CR168" s="157" t="str">
        <f t="shared" si="464"/>
        <v/>
      </c>
      <c r="CS168" s="157" t="str">
        <f t="shared" si="465"/>
        <v/>
      </c>
      <c r="CT168" s="192" t="str">
        <f t="shared" si="466"/>
        <v/>
      </c>
      <c r="CU168" s="153">
        <f t="shared" si="467"/>
        <v>0</v>
      </c>
      <c r="CV168" s="154">
        <f t="shared" si="468"/>
        <v>0</v>
      </c>
      <c r="CW168" s="154" t="str">
        <f t="shared" si="469"/>
        <v/>
      </c>
      <c r="CX168" s="154" t="str">
        <f t="shared" si="470"/>
        <v/>
      </c>
      <c r="CY168" s="154" t="str">
        <f t="shared" si="471"/>
        <v/>
      </c>
      <c r="CZ168" s="153" t="str">
        <f t="shared" si="472"/>
        <v/>
      </c>
      <c r="DA168" s="154" t="str">
        <f t="shared" si="473"/>
        <v/>
      </c>
      <c r="DB168" s="153" t="str">
        <f t="shared" si="474"/>
        <v/>
      </c>
      <c r="DC168" s="154">
        <f t="shared" si="475"/>
        <v>0</v>
      </c>
      <c r="DD168" s="826" t="str">
        <f>IF('Marks Entry'!AS168="","",IF(OR('Master Sheet'!$D$19="YES",'Marks Entry'!$BA$1=1),'Marks Entry'!AS168,""))</f>
        <v/>
      </c>
      <c r="DE168" s="826" t="str">
        <f>IF('Marks Entry'!AT168="","",IF(OR('Master Sheet'!$D$19="YES",'Marks Entry'!$BA$1=1),'Marks Entry'!AT168,""))</f>
        <v/>
      </c>
      <c r="DF168" s="826" t="str">
        <f>IF('Marks Entry'!AU168="","",IF(OR('Master Sheet'!$D$19="YES",'Marks Entry'!$BA$1=1),'Marks Entry'!AU168,""))</f>
        <v/>
      </c>
      <c r="DG168" s="826" t="str">
        <f>IF('Marks Entry'!AV168="","",IF(OR('Master Sheet'!$D$19="YES",'Marks Entry'!$BA$1=1),'Marks Entry'!AV168,""))</f>
        <v/>
      </c>
      <c r="DH168" s="827" t="str">
        <f t="shared" si="476"/>
        <v/>
      </c>
      <c r="DI168" s="826" t="str">
        <f>IF('Marks Entry'!AW168="","",IF(OR('Master Sheet'!$D$19="YES",'Marks Entry'!$BA$1=1),'Marks Entry'!AW168,""))</f>
        <v/>
      </c>
      <c r="DJ168" s="826" t="str">
        <f>IF('Marks Entry'!AX168="","",IF(OR('Master Sheet'!$D$19="YES",'Marks Entry'!$BA$1=1),'Marks Entry'!AX168,""))</f>
        <v/>
      </c>
      <c r="DK168" s="827" t="str">
        <f t="shared" si="477"/>
        <v/>
      </c>
      <c r="DL168" s="827" t="str">
        <f t="shared" si="478"/>
        <v/>
      </c>
      <c r="DM168" s="826" t="str">
        <f>IF('Marks Entry'!AY168="","",IF(OR('Master Sheet'!$D$19="YES",'Marks Entry'!$BA$1=1),'Marks Entry'!AY168,""))</f>
        <v/>
      </c>
      <c r="DN168" s="826" t="str">
        <f>IF('Marks Entry'!AZ168="","",IF(OR('Master Sheet'!$D$19="YES",'Marks Entry'!$BA$1=1),'Marks Entry'!AZ168,""))</f>
        <v/>
      </c>
      <c r="DO168" s="826" t="str">
        <f>IF('Marks Entry'!BA168="","",IF(OR('Master Sheet'!$D$19="YES",'Marks Entry'!$BA$1=1),'Marks Entry'!BA168,""))</f>
        <v/>
      </c>
      <c r="DP168" s="827" t="str">
        <f t="shared" si="479"/>
        <v/>
      </c>
      <c r="DQ168" s="157" t="str">
        <f t="shared" si="480"/>
        <v/>
      </c>
      <c r="DR168" s="157" t="str">
        <f t="shared" si="481"/>
        <v/>
      </c>
      <c r="DS168" s="157" t="str">
        <f t="shared" si="482"/>
        <v/>
      </c>
      <c r="DT168" s="192" t="str">
        <f t="shared" si="483"/>
        <v/>
      </c>
      <c r="DU168" s="153">
        <f t="shared" si="484"/>
        <v>0</v>
      </c>
      <c r="DV168" s="154" t="e">
        <f t="shared" si="485"/>
        <v>#VALUE!</v>
      </c>
      <c r="DW168" s="154" t="str">
        <f t="shared" si="486"/>
        <v/>
      </c>
      <c r="DX168" s="154" t="str">
        <f>IF(OR($B168="NSO",$B168=0,DS168=""),"",IF(AND(DJ168="",DO168=""),"",IF('Master Sheet'!$D$19="YES",$DO$6-COUNTIF(DO168,"ML")*DO$6,DS$6-(COUNTIF(DJ168,"ML")*DJ$6)-(COUNTIF(DO168,"ML")*DO$6))))</f>
        <v/>
      </c>
      <c r="DY168" s="154" t="str">
        <f>IF(OR($B168="NSO",$B168=0),"",IF(AND(DH168="",DI168="",DM168=""),"",IF(AND('Master Sheet'!$D$19="YES",'Marks Entry'!$BA$1=1),100,IF(AND(DJ168="",DO168=""),SUM(($DQ$7+$DR$7)-(DU168+DV168)),SUM(($DQ$6+$DR$6)-(DU168+DV168))))))</f>
        <v/>
      </c>
      <c r="DZ168" s="153" t="str">
        <f t="shared" si="487"/>
        <v/>
      </c>
      <c r="EA168" s="154" t="str">
        <f t="shared" si="488"/>
        <v/>
      </c>
      <c r="EB168" s="153" t="str">
        <f t="shared" si="489"/>
        <v/>
      </c>
      <c r="EC168" s="584" t="str">
        <f>IF('Marks Entry'!BB168="","",'Marks Entry'!BB168)</f>
        <v/>
      </c>
      <c r="ED168" s="584" t="str">
        <f>IF('Marks Entry'!BC168="","",'Marks Entry'!BC168)</f>
        <v/>
      </c>
      <c r="EE168" s="584" t="str">
        <f>IF('Marks Entry'!BD168="","",'Marks Entry'!BD168)</f>
        <v/>
      </c>
      <c r="EF168" s="590" t="str">
        <f t="shared" si="490"/>
        <v/>
      </c>
      <c r="EG168" s="595">
        <f t="shared" si="491"/>
        <v>0</v>
      </c>
      <c r="EH168" s="595">
        <f t="shared" si="492"/>
        <v>0</v>
      </c>
      <c r="EI168" s="193" t="str">
        <f t="shared" si="493"/>
        <v/>
      </c>
      <c r="EJ168" s="595" t="str">
        <f t="shared" si="494"/>
        <v/>
      </c>
      <c r="EK168" s="595" t="str">
        <f t="shared" si="495"/>
        <v/>
      </c>
      <c r="EL168" s="194" t="str">
        <f t="shared" si="496"/>
        <v/>
      </c>
      <c r="EM168" s="194" t="str">
        <f t="shared" si="497"/>
        <v/>
      </c>
      <c r="EN168" s="194" t="str">
        <f t="shared" si="498"/>
        <v/>
      </c>
      <c r="EO168" s="194" t="str">
        <f t="shared" si="499"/>
        <v/>
      </c>
      <c r="EP168" s="194" t="str">
        <f t="shared" si="500"/>
        <v/>
      </c>
      <c r="EQ168" s="194" t="str">
        <f t="shared" si="501"/>
        <v/>
      </c>
      <c r="ER168" s="195">
        <f t="shared" si="502"/>
        <v>0</v>
      </c>
      <c r="ES168" s="195">
        <f t="shared" si="503"/>
        <v>0</v>
      </c>
      <c r="ET168" s="195">
        <f t="shared" si="504"/>
        <v>0</v>
      </c>
      <c r="EU168" s="195">
        <f t="shared" si="505"/>
        <v>0</v>
      </c>
      <c r="EV168" s="195">
        <f t="shared" si="506"/>
        <v>0</v>
      </c>
      <c r="EW168" s="195" t="str">
        <f t="shared" si="507"/>
        <v/>
      </c>
      <c r="EX168" s="196" t="str">
        <f t="shared" si="508"/>
        <v/>
      </c>
      <c r="EY168" s="197" t="str">
        <f>IF('Marks Entry'!BE168="","",'Marks Entry'!BE168)</f>
        <v/>
      </c>
      <c r="EZ168" s="197" t="str">
        <f>IF('Marks Entry'!BF168="","",'Marks Entry'!BF168)</f>
        <v/>
      </c>
      <c r="FA168" s="197" t="str">
        <f>IF('Marks Entry'!BG168="","",'Marks Entry'!BG168)</f>
        <v/>
      </c>
      <c r="FB168" s="596" t="str">
        <f t="shared" si="509"/>
        <v/>
      </c>
      <c r="FC168" s="197" t="str">
        <f>IF('Marks Entry'!BH168="","",'Marks Entry'!BH168)</f>
        <v/>
      </c>
      <c r="FD168" s="197" t="str">
        <f>IF('Marks Entry'!BI168="","",'Marks Entry'!BI168)</f>
        <v/>
      </c>
      <c r="FE168" s="198" t="str">
        <f t="shared" si="510"/>
        <v/>
      </c>
      <c r="FF168" s="199" t="str">
        <f t="shared" si="511"/>
        <v/>
      </c>
      <c r="FG168" s="200" t="str">
        <f>IF(AND(E168=""),"",IF('Student DATA Entry'!L164="","",'Student DATA Entry'!L164))</f>
        <v/>
      </c>
      <c r="FH168" s="201" t="str">
        <f>IF(AND(E168=""),"",IF('Student DATA Entry'!M164="","",'Student DATA Entry'!M164))</f>
        <v/>
      </c>
      <c r="FI168" s="202" t="str">
        <f t="shared" si="512"/>
        <v/>
      </c>
      <c r="FJ168" s="189" t="str">
        <f t="shared" si="513"/>
        <v/>
      </c>
      <c r="FK168" s="189" t="str">
        <f t="shared" si="514"/>
        <v/>
      </c>
      <c r="FL168" s="203" t="str">
        <f t="shared" ref="FL168:FL199" si="542">IF(FJ168="G",ROUNDUP(36%*T168-Q168,0),"")</f>
        <v/>
      </c>
      <c r="FM168" s="189" t="str">
        <f t="shared" si="515"/>
        <v/>
      </c>
      <c r="FN168" s="204" t="str">
        <f t="shared" si="516"/>
        <v/>
      </c>
      <c r="FO168" s="203" t="str">
        <f t="shared" ref="FO168:FO199" si="543">IF(FM168="G",ROUNDUP(36%*AH168-AE168,0),"")</f>
        <v/>
      </c>
      <c r="FP168" s="205" t="str">
        <f t="shared" si="517"/>
        <v/>
      </c>
      <c r="FQ168" s="189" t="str">
        <f t="shared" ref="FQ168:FQ199" si="544">IF(AL168="A",FP168,"")</f>
        <v/>
      </c>
      <c r="FR168" s="189" t="str">
        <f t="shared" ref="FR168:FR199" si="545">IF(AL168="B",FP168,"")</f>
        <v/>
      </c>
      <c r="FS168" s="189" t="str">
        <f t="shared" ref="FS168:FS199" si="546">IF(AL168="C",FP168,"")</f>
        <v/>
      </c>
      <c r="FT168" s="189" t="str">
        <f t="shared" ref="FT168:FT199" si="547">IF(AL168="D",FP168,"")</f>
        <v/>
      </c>
      <c r="FU168" s="189" t="str">
        <f t="shared" si="518"/>
        <v/>
      </c>
      <c r="FV168" s="206" t="str">
        <f t="shared" ref="FV168:FV199" si="548">IF(FP168="G",ROUNDUP(36%*BE168-AX168,0),"")</f>
        <v/>
      </c>
      <c r="FW168" s="205" t="str">
        <f t="shared" si="519"/>
        <v/>
      </c>
      <c r="FX168" s="189" t="str">
        <f t="shared" ref="FX168:FX199" si="549">IF(BI168="A",FW168,"")</f>
        <v/>
      </c>
      <c r="FY168" s="189" t="str">
        <f t="shared" ref="FY168:FY199" si="550">IF(BI168="B",FW168,"")</f>
        <v/>
      </c>
      <c r="FZ168" s="189" t="str">
        <f t="shared" ref="FZ168:FZ199" si="551">IF(BI168="C",FW168,"")</f>
        <v/>
      </c>
      <c r="GA168" s="189" t="str">
        <f t="shared" ref="GA168:GA199" si="552">IF(BI168="D",FW168,"")</f>
        <v/>
      </c>
      <c r="GB168" s="189" t="str">
        <f t="shared" si="520"/>
        <v/>
      </c>
      <c r="GC168" s="206" t="str">
        <f t="shared" ref="GC168:GC199" si="553">IF(FW168="G",ROUNDUP(36%*CB168-BU168,0),"")</f>
        <v/>
      </c>
      <c r="GD168" s="205" t="str">
        <f t="shared" si="521"/>
        <v/>
      </c>
      <c r="GE168" s="189" t="str">
        <f t="shared" ref="GE168:GE199" si="554">IF(CF168="A",GD168,"")</f>
        <v/>
      </c>
      <c r="GF168" s="189" t="str">
        <f t="shared" ref="GF168:GF199" si="555">IF(CF168="B",GD168,"")</f>
        <v/>
      </c>
      <c r="GG168" s="189" t="str">
        <f t="shared" ref="GG168:GG199" si="556">IF(CF168="C",GD168,"")</f>
        <v/>
      </c>
      <c r="GH168" s="189" t="str">
        <f t="shared" ref="GH168:GH199" si="557">IF(CF168="D",GD168,"")</f>
        <v/>
      </c>
      <c r="GI168" s="189" t="str">
        <f t="shared" si="522"/>
        <v/>
      </c>
      <c r="GJ168" s="206" t="str">
        <f t="shared" ref="GJ168:GJ199" si="558">IF(GD168="G",ROUNDUP(36%*CY168-CR168,0),"")</f>
        <v/>
      </c>
      <c r="GK168" s="205" t="str">
        <f t="shared" si="523"/>
        <v/>
      </c>
      <c r="GL168" s="189" t="str">
        <f t="shared" ref="GL168:GL199" si="559">IF(DD168="A",GK168,"")</f>
        <v/>
      </c>
      <c r="GM168" s="189" t="str">
        <f t="shared" ref="GM168:GM199" si="560">IF(DD168="B",GK168,"")</f>
        <v/>
      </c>
      <c r="GN168" s="189" t="str">
        <f t="shared" ref="GN168:GN199" si="561">IF(DD168="C",GK168,"")</f>
        <v/>
      </c>
      <c r="GO168" s="189" t="str">
        <f t="shared" ref="GO168:GO199" si="562">IF(DD168="D",GK168,"")</f>
        <v/>
      </c>
      <c r="GP168" s="189" t="str">
        <f t="shared" si="524"/>
        <v/>
      </c>
      <c r="GQ168" s="206" t="str">
        <f t="shared" ref="GQ168:GQ199" si="563">IF(GK168="G",ROUNDUP(36%*DY168-DQ168,0),"")</f>
        <v/>
      </c>
      <c r="GR168" s="189" t="str">
        <f t="shared" si="525"/>
        <v/>
      </c>
      <c r="GS168" s="189" t="str">
        <f t="shared" si="526"/>
        <v/>
      </c>
      <c r="GT168" s="207" t="str">
        <f t="shared" si="527"/>
        <v xml:space="preserve">    </v>
      </c>
      <c r="GU168" s="207" t="str">
        <f t="shared" si="528"/>
        <v xml:space="preserve">    </v>
      </c>
      <c r="GV168" s="207" t="str">
        <f t="shared" si="529"/>
        <v xml:space="preserve">    </v>
      </c>
      <c r="GW168" s="207" t="str">
        <f t="shared" si="530"/>
        <v xml:space="preserve">       </v>
      </c>
      <c r="GX168" s="598" t="str">
        <f t="shared" si="531"/>
        <v xml:space="preserve">     </v>
      </c>
      <c r="GY168" s="208" t="str">
        <f t="shared" ref="GY168:GY199" si="564">IF(B168="NSO","NSO",IF(AND(OR(EX168="PASS",EX168="BY GRACE PASS",EX168="RE-EXAM"),EW168="F"),"FAIL",IF(AND(OR(EX168="PASS",EX168="BY GRACE PASS"),EW168="RE"),"RE-EXAM",EX168)))</f>
        <v/>
      </c>
      <c r="GZ168" s="606" t="str">
        <f>IF(AND(Q168="",AE168="",AZ168="",BW168="",CT168=""),"",IF(AND('Master Sheet'!$D$19="YES",'Marks Entry'!$BA$1=1),SUM(Q168,AE168,AZ168,BW168,DT168),SUM(Q168,AE168,AZ168,BW168,CT168)))</f>
        <v/>
      </c>
      <c r="HA168" s="209" t="str">
        <f>IF(GZ168="","",IF(AND('Master Sheet'!$D$19="YES",'Marks Entry'!$BA$1=1),GZ168/((900)-DC168)*100,GZ168/((1000)-DC168)*100))</f>
        <v/>
      </c>
      <c r="HB168" s="611" t="str">
        <f t="shared" si="532"/>
        <v/>
      </c>
      <c r="HC168" s="609" t="str">
        <f t="shared" si="533"/>
        <v/>
      </c>
      <c r="HD168" s="610" t="str">
        <f t="shared" si="534"/>
        <v/>
      </c>
      <c r="HE168" s="210" t="str">
        <f>IFERROR(IF(OR(GY168="SUPPLEMENTARY",GY168="RE-EXAM"),'Supp. Result Entry'!AS167,""),"")</f>
        <v/>
      </c>
      <c r="HF168" s="613" t="str">
        <f t="shared" si="535"/>
        <v/>
      </c>
      <c r="HG168" s="598" t="str">
        <f t="shared" si="536"/>
        <v/>
      </c>
      <c r="HH168" s="598" t="str">
        <f>IF(AND(HE168="",HF168="",HG168=""),"",IF(OR(GY168="SUPPLEMENTARY",GY168="RE-EXAM"),'Supp. Result Entry'!AS167,GY168))</f>
        <v/>
      </c>
      <c r="HI168" s="180"/>
      <c r="HY168" s="212" t="str">
        <f>IF('Supp. Result Entry'!U167="","",'Supp. Result Entry'!$U$6)</f>
        <v/>
      </c>
      <c r="HZ168" s="213" t="str">
        <f>IF('Supp. Result Entry'!X167="","",'Supp. Result Entry'!$X$6)</f>
        <v/>
      </c>
      <c r="IA168" s="213" t="str">
        <f>IF('Supp. Result Entry'!AA167="","",'Supp. Result Entry'!$AA$6)</f>
        <v/>
      </c>
      <c r="IB168" s="213" t="str">
        <f>IF('Supp. Result Entry'!AD167="","",'Supp. Result Entry'!$AD$6)</f>
        <v/>
      </c>
      <c r="IC168" s="213" t="str">
        <f>IF('Supp. Result Entry'!AG167="","",'Supp. Result Entry'!$AG$6)</f>
        <v/>
      </c>
      <c r="ID168" s="213" t="str">
        <f>IF('Supp. Result Entry'!AJ167="","",'Supp. Result Entry'!$AJ$6)</f>
        <v/>
      </c>
      <c r="IE168" s="213" t="str">
        <f>IF('Supp. Result Entry'!V167="","",'Supp. Result Entry'!V167)</f>
        <v/>
      </c>
      <c r="IF168" s="213" t="str">
        <f>IF('Supp. Result Entry'!Y167="","",'Supp. Result Entry'!Y167)</f>
        <v/>
      </c>
      <c r="IG168" s="213" t="str">
        <f>IF('Supp. Result Entry'!AB167="","",'Supp. Result Entry'!AB167)</f>
        <v/>
      </c>
      <c r="IH168" s="213" t="str">
        <f>IF('Supp. Result Entry'!AE167="","",'Supp. Result Entry'!AE167)</f>
        <v/>
      </c>
      <c r="II168" s="213" t="str">
        <f>IF('Supp. Result Entry'!AH167="","",'Supp. Result Entry'!AH167)</f>
        <v/>
      </c>
      <c r="IJ168" s="213" t="str">
        <f>IF('Supp. Result Entry'!AK167="","",'Supp. Result Entry'!AK167)</f>
        <v/>
      </c>
      <c r="IK168" s="213" t="str">
        <f>IF('Supp. Result Entry'!W167="","",'Supp. Result Entry'!W167)</f>
        <v/>
      </c>
      <c r="IL168" s="213" t="str">
        <f>IF('Supp. Result Entry'!Z167="","",'Supp. Result Entry'!Z167)</f>
        <v/>
      </c>
      <c r="IM168" s="213" t="str">
        <f>IF('Supp. Result Entry'!AC167="","",'Supp. Result Entry'!AC167)</f>
        <v/>
      </c>
      <c r="IN168" s="213" t="str">
        <f>IF('Supp. Result Entry'!AF167="","",'Supp. Result Entry'!AF167)</f>
        <v/>
      </c>
      <c r="IO168" s="213" t="str">
        <f>IF('Supp. Result Entry'!AI167="","",'Supp. Result Entry'!AI167)</f>
        <v/>
      </c>
      <c r="IP168" s="213" t="str">
        <f>IF('Supp. Result Entry'!AL167="","",'Supp. Result Entry'!AL167)</f>
        <v/>
      </c>
      <c r="IQ168" s="213">
        <f>COUNTIF('Supp. Result Entry'!K167:Q167,"S")</f>
        <v>0</v>
      </c>
      <c r="IR168" s="213">
        <f t="shared" si="537"/>
        <v>0</v>
      </c>
      <c r="IS168" s="213">
        <f t="shared" si="538"/>
        <v>0</v>
      </c>
      <c r="IT168" s="213" t="str">
        <f t="shared" si="406"/>
        <v/>
      </c>
      <c r="IU168" s="213" t="str">
        <f t="shared" si="407"/>
        <v/>
      </c>
      <c r="IV168" s="213" t="str">
        <f t="shared" si="408"/>
        <v/>
      </c>
      <c r="IW168" s="213" t="str">
        <f t="shared" si="409"/>
        <v/>
      </c>
      <c r="IX168" s="213" t="str">
        <f t="shared" si="410"/>
        <v/>
      </c>
      <c r="IY168" s="213" t="str">
        <f t="shared" si="539"/>
        <v/>
      </c>
      <c r="IZ168" s="213" t="str">
        <f t="shared" si="540"/>
        <v/>
      </c>
      <c r="JA168" s="213" t="str">
        <f t="shared" si="411"/>
        <v/>
      </c>
      <c r="JB168" s="211" t="str">
        <f t="shared" si="541"/>
        <v/>
      </c>
    </row>
    <row r="169" spans="1:262" s="211" customFormat="1" ht="21" customHeight="1">
      <c r="A169" s="184">
        <v>162</v>
      </c>
      <c r="B169" s="185" t="str">
        <f>IF('Marks Entry'!B169="","",'Marks Entry'!B169)</f>
        <v/>
      </c>
      <c r="C169" s="186" t="str">
        <f>IF('Marks Entry'!D169="","",'Marks Entry'!D169)</f>
        <v/>
      </c>
      <c r="D169" s="187" t="str">
        <f>IF('Marks Entry'!E169="","",'Marks Entry'!E169)</f>
        <v/>
      </c>
      <c r="E169" s="188" t="str">
        <f>IF('Marks Entry'!F169="","",'Marks Entry'!F169)</f>
        <v/>
      </c>
      <c r="F169" s="188" t="str">
        <f>IF('Marks Entry'!G169="","",'Marks Entry'!G169)</f>
        <v/>
      </c>
      <c r="G169" s="188" t="str">
        <f>IF('Marks Entry'!H169="","",'Marks Entry'!H169)</f>
        <v/>
      </c>
      <c r="H169" s="189" t="str">
        <f>IF('Marks Entry'!I169="","",'Marks Entry'!I169)</f>
        <v/>
      </c>
      <c r="I169" s="190" t="str">
        <f>IF('Marks Entry'!J169="","",'Marks Entry'!J169)</f>
        <v/>
      </c>
      <c r="J169" s="545" t="str">
        <f>IF('Marks Entry'!K169="","",'Marks Entry'!K169)</f>
        <v/>
      </c>
      <c r="K169" s="545" t="str">
        <f>IF('Marks Entry'!L169="","",'Marks Entry'!L169)</f>
        <v/>
      </c>
      <c r="L169" s="545" t="str">
        <f>IF('Marks Entry'!M169="","",'Marks Entry'!M169)</f>
        <v/>
      </c>
      <c r="M169" s="546" t="str">
        <f t="shared" si="412"/>
        <v/>
      </c>
      <c r="N169" s="545" t="str">
        <f>IF('Marks Entry'!N169="","",'Marks Entry'!N169)</f>
        <v/>
      </c>
      <c r="O169" s="546" t="str">
        <f t="shared" si="413"/>
        <v/>
      </c>
      <c r="P169" s="545" t="str">
        <f>IF('Marks Entry'!O169="","",'Marks Entry'!O169)</f>
        <v/>
      </c>
      <c r="Q169" s="547" t="str">
        <f t="shared" si="414"/>
        <v/>
      </c>
      <c r="R169" s="153">
        <f t="shared" si="415"/>
        <v>0</v>
      </c>
      <c r="S169" s="153">
        <f t="shared" si="416"/>
        <v>0</v>
      </c>
      <c r="T169" s="154" t="str">
        <f t="shared" si="417"/>
        <v/>
      </c>
      <c r="U169" s="153" t="str">
        <f t="shared" si="418"/>
        <v/>
      </c>
      <c r="V169" s="153" t="str">
        <f t="shared" si="419"/>
        <v/>
      </c>
      <c r="W169" s="153" t="str">
        <f t="shared" si="420"/>
        <v/>
      </c>
      <c r="X169" s="545" t="str">
        <f>IF('Marks Entry'!P169="","",'Marks Entry'!P169)</f>
        <v/>
      </c>
      <c r="Y169" s="545" t="str">
        <f>IF('Marks Entry'!Q169="","",'Marks Entry'!Q169)</f>
        <v/>
      </c>
      <c r="Z169" s="545" t="str">
        <f>IF('Marks Entry'!R169="","",'Marks Entry'!R169)</f>
        <v/>
      </c>
      <c r="AA169" s="546" t="str">
        <f t="shared" si="421"/>
        <v/>
      </c>
      <c r="AB169" s="545" t="str">
        <f>IF('Marks Entry'!S169="","",'Marks Entry'!S169)</f>
        <v/>
      </c>
      <c r="AC169" s="546" t="str">
        <f t="shared" si="422"/>
        <v/>
      </c>
      <c r="AD169" s="545" t="str">
        <f>IF('Marks Entry'!T169="","",'Marks Entry'!T169)</f>
        <v/>
      </c>
      <c r="AE169" s="547" t="str">
        <f t="shared" si="423"/>
        <v/>
      </c>
      <c r="AF169" s="153">
        <f t="shared" si="424"/>
        <v>0</v>
      </c>
      <c r="AG169" s="153">
        <f t="shared" si="425"/>
        <v>0</v>
      </c>
      <c r="AH169" s="154" t="str">
        <f t="shared" si="426"/>
        <v/>
      </c>
      <c r="AI169" s="153" t="str">
        <f t="shared" si="427"/>
        <v/>
      </c>
      <c r="AJ169" s="153" t="str">
        <f t="shared" si="428"/>
        <v/>
      </c>
      <c r="AK169" s="153" t="str">
        <f t="shared" si="429"/>
        <v/>
      </c>
      <c r="AL169" s="573" t="str">
        <f>IF('Marks Entry'!U169="","",'Marks Entry'!U169)</f>
        <v/>
      </c>
      <c r="AM169" s="573" t="str">
        <f>IF('Marks Entry'!V169="","",'Marks Entry'!V169)</f>
        <v/>
      </c>
      <c r="AN169" s="573" t="str">
        <f>IF('Marks Entry'!W169="","",'Marks Entry'!W169)</f>
        <v/>
      </c>
      <c r="AO169" s="573" t="str">
        <f>IF('Marks Entry'!X169="","",'Marks Entry'!X169)</f>
        <v/>
      </c>
      <c r="AP169" s="572" t="str">
        <f t="shared" si="430"/>
        <v/>
      </c>
      <c r="AQ169" s="573" t="str">
        <f>IF('Marks Entry'!Y169="","",'Marks Entry'!Y169)</f>
        <v/>
      </c>
      <c r="AR169" s="573" t="str">
        <f>IF('Marks Entry'!Z169="","",'Marks Entry'!Z169)</f>
        <v/>
      </c>
      <c r="AS169" s="572" t="str">
        <f t="shared" si="431"/>
        <v/>
      </c>
      <c r="AT169" s="572" t="str">
        <f t="shared" si="432"/>
        <v/>
      </c>
      <c r="AU169" s="573" t="str">
        <f>IF('Marks Entry'!AA169="","",'Marks Entry'!AA169)</f>
        <v/>
      </c>
      <c r="AV169" s="573" t="str">
        <f>IF('Marks Entry'!AB169="","",'Marks Entry'!AB169)</f>
        <v/>
      </c>
      <c r="AW169" s="572" t="str">
        <f t="shared" si="433"/>
        <v/>
      </c>
      <c r="AX169" s="157" t="str">
        <f t="shared" si="434"/>
        <v/>
      </c>
      <c r="AY169" s="157" t="str">
        <f t="shared" si="435"/>
        <v/>
      </c>
      <c r="AZ169" s="192" t="str">
        <f t="shared" si="436"/>
        <v/>
      </c>
      <c r="BA169" s="153">
        <f t="shared" si="437"/>
        <v>0</v>
      </c>
      <c r="BB169" s="154">
        <f t="shared" si="438"/>
        <v>0</v>
      </c>
      <c r="BC169" s="154" t="str">
        <f t="shared" si="439"/>
        <v/>
      </c>
      <c r="BD169" s="154" t="str">
        <f t="shared" si="440"/>
        <v/>
      </c>
      <c r="BE169" s="154" t="str">
        <f t="shared" si="441"/>
        <v/>
      </c>
      <c r="BF169" s="153" t="str">
        <f t="shared" si="442"/>
        <v/>
      </c>
      <c r="BG169" s="154" t="str">
        <f t="shared" si="443"/>
        <v/>
      </c>
      <c r="BH169" s="153" t="str">
        <f t="shared" si="444"/>
        <v/>
      </c>
      <c r="BI169" s="580" t="str">
        <f>IF('Marks Entry'!AC169="","",'Marks Entry'!AC169)</f>
        <v/>
      </c>
      <c r="BJ169" s="580" t="str">
        <f>IF('Marks Entry'!AD169="","",'Marks Entry'!AD169)</f>
        <v/>
      </c>
      <c r="BK169" s="580" t="str">
        <f>IF('Marks Entry'!AE169="","",'Marks Entry'!AE169)</f>
        <v/>
      </c>
      <c r="BL169" s="580" t="str">
        <f>IF('Marks Entry'!AF169="","",'Marks Entry'!AF169)</f>
        <v/>
      </c>
      <c r="BM169" s="581" t="str">
        <f t="shared" si="445"/>
        <v/>
      </c>
      <c r="BN169" s="580" t="str">
        <f>IF('Marks Entry'!AG169="","",'Marks Entry'!AG169)</f>
        <v/>
      </c>
      <c r="BO169" s="580" t="str">
        <f>IF('Marks Entry'!AH169="","",'Marks Entry'!AH169)</f>
        <v/>
      </c>
      <c r="BP169" s="581" t="str">
        <f t="shared" si="446"/>
        <v/>
      </c>
      <c r="BQ169" s="581" t="str">
        <f t="shared" si="447"/>
        <v/>
      </c>
      <c r="BR169" s="580" t="str">
        <f>IF('Marks Entry'!AI169="","",'Marks Entry'!AI169)</f>
        <v/>
      </c>
      <c r="BS169" s="580" t="str">
        <f>IF('Marks Entry'!AJ169="","",'Marks Entry'!AJ169)</f>
        <v/>
      </c>
      <c r="BT169" s="581" t="str">
        <f t="shared" si="448"/>
        <v/>
      </c>
      <c r="BU169" s="157" t="str">
        <f t="shared" si="449"/>
        <v/>
      </c>
      <c r="BV169" s="157" t="str">
        <f t="shared" si="450"/>
        <v/>
      </c>
      <c r="BW169" s="192" t="str">
        <f t="shared" si="451"/>
        <v/>
      </c>
      <c r="BX169" s="153">
        <f t="shared" si="452"/>
        <v>0</v>
      </c>
      <c r="BY169" s="154">
        <f t="shared" si="453"/>
        <v>0</v>
      </c>
      <c r="BZ169" s="154" t="str">
        <f t="shared" si="454"/>
        <v/>
      </c>
      <c r="CA169" s="154" t="str">
        <f t="shared" si="455"/>
        <v/>
      </c>
      <c r="CB169" s="154" t="str">
        <f t="shared" si="456"/>
        <v/>
      </c>
      <c r="CC169" s="153" t="str">
        <f t="shared" si="457"/>
        <v/>
      </c>
      <c r="CD169" s="154" t="str">
        <f t="shared" si="458"/>
        <v/>
      </c>
      <c r="CE169" s="153" t="str">
        <f t="shared" si="459"/>
        <v/>
      </c>
      <c r="CF169" s="580" t="str">
        <f>IF('Marks Entry'!AK169="","",'Marks Entry'!AK169)</f>
        <v/>
      </c>
      <c r="CG169" s="580" t="str">
        <f>IF('Marks Entry'!AL169="","",'Marks Entry'!AL169)</f>
        <v/>
      </c>
      <c r="CH169" s="580" t="str">
        <f>IF('Marks Entry'!AM169="","",'Marks Entry'!AM169)</f>
        <v/>
      </c>
      <c r="CI169" s="580" t="str">
        <f>IF('Marks Entry'!AN169="","",'Marks Entry'!AN169)</f>
        <v/>
      </c>
      <c r="CJ169" s="581" t="str">
        <f t="shared" si="460"/>
        <v/>
      </c>
      <c r="CK169" s="580" t="str">
        <f>IF('Marks Entry'!AO169="","",'Marks Entry'!AO169)</f>
        <v/>
      </c>
      <c r="CL169" s="580" t="str">
        <f>IF('Marks Entry'!AP169="","",'Marks Entry'!AP169)</f>
        <v/>
      </c>
      <c r="CM169" s="581" t="str">
        <f t="shared" si="461"/>
        <v/>
      </c>
      <c r="CN169" s="581" t="str">
        <f t="shared" si="462"/>
        <v/>
      </c>
      <c r="CO169" s="580" t="str">
        <f>IF('Marks Entry'!AQ169="","",'Marks Entry'!AQ169)</f>
        <v/>
      </c>
      <c r="CP169" s="580" t="str">
        <f>IF('Marks Entry'!AR169="","",'Marks Entry'!AR169)</f>
        <v/>
      </c>
      <c r="CQ169" s="581" t="str">
        <f t="shared" si="463"/>
        <v/>
      </c>
      <c r="CR169" s="157" t="str">
        <f t="shared" si="464"/>
        <v/>
      </c>
      <c r="CS169" s="157" t="str">
        <f t="shared" si="465"/>
        <v/>
      </c>
      <c r="CT169" s="192" t="str">
        <f t="shared" si="466"/>
        <v/>
      </c>
      <c r="CU169" s="153">
        <f t="shared" si="467"/>
        <v>0</v>
      </c>
      <c r="CV169" s="154">
        <f t="shared" si="468"/>
        <v>0</v>
      </c>
      <c r="CW169" s="154" t="str">
        <f t="shared" si="469"/>
        <v/>
      </c>
      <c r="CX169" s="154" t="str">
        <f t="shared" si="470"/>
        <v/>
      </c>
      <c r="CY169" s="154" t="str">
        <f t="shared" si="471"/>
        <v/>
      </c>
      <c r="CZ169" s="153" t="str">
        <f t="shared" si="472"/>
        <v/>
      </c>
      <c r="DA169" s="154" t="str">
        <f t="shared" si="473"/>
        <v/>
      </c>
      <c r="DB169" s="153" t="str">
        <f t="shared" si="474"/>
        <v/>
      </c>
      <c r="DC169" s="154">
        <f t="shared" si="475"/>
        <v>0</v>
      </c>
      <c r="DD169" s="826" t="str">
        <f>IF('Marks Entry'!AS169="","",IF(OR('Master Sheet'!$D$19="YES",'Marks Entry'!$BA$1=1),'Marks Entry'!AS169,""))</f>
        <v/>
      </c>
      <c r="DE169" s="826" t="str">
        <f>IF('Marks Entry'!AT169="","",IF(OR('Master Sheet'!$D$19="YES",'Marks Entry'!$BA$1=1),'Marks Entry'!AT169,""))</f>
        <v/>
      </c>
      <c r="DF169" s="826" t="str">
        <f>IF('Marks Entry'!AU169="","",IF(OR('Master Sheet'!$D$19="YES",'Marks Entry'!$BA$1=1),'Marks Entry'!AU169,""))</f>
        <v/>
      </c>
      <c r="DG169" s="826" t="str">
        <f>IF('Marks Entry'!AV169="","",IF(OR('Master Sheet'!$D$19="YES",'Marks Entry'!$BA$1=1),'Marks Entry'!AV169,""))</f>
        <v/>
      </c>
      <c r="DH169" s="827" t="str">
        <f t="shared" si="476"/>
        <v/>
      </c>
      <c r="DI169" s="826" t="str">
        <f>IF('Marks Entry'!AW169="","",IF(OR('Master Sheet'!$D$19="YES",'Marks Entry'!$BA$1=1),'Marks Entry'!AW169,""))</f>
        <v/>
      </c>
      <c r="DJ169" s="826" t="str">
        <f>IF('Marks Entry'!AX169="","",IF(OR('Master Sheet'!$D$19="YES",'Marks Entry'!$BA$1=1),'Marks Entry'!AX169,""))</f>
        <v/>
      </c>
      <c r="DK169" s="827" t="str">
        <f t="shared" si="477"/>
        <v/>
      </c>
      <c r="DL169" s="827" t="str">
        <f t="shared" si="478"/>
        <v/>
      </c>
      <c r="DM169" s="826" t="str">
        <f>IF('Marks Entry'!AY169="","",IF(OR('Master Sheet'!$D$19="YES",'Marks Entry'!$BA$1=1),'Marks Entry'!AY169,""))</f>
        <v/>
      </c>
      <c r="DN169" s="826" t="str">
        <f>IF('Marks Entry'!AZ169="","",IF(OR('Master Sheet'!$D$19="YES",'Marks Entry'!$BA$1=1),'Marks Entry'!AZ169,""))</f>
        <v/>
      </c>
      <c r="DO169" s="826" t="str">
        <f>IF('Marks Entry'!BA169="","",IF(OR('Master Sheet'!$D$19="YES",'Marks Entry'!$BA$1=1),'Marks Entry'!BA169,""))</f>
        <v/>
      </c>
      <c r="DP169" s="827" t="str">
        <f t="shared" si="479"/>
        <v/>
      </c>
      <c r="DQ169" s="157" t="str">
        <f t="shared" si="480"/>
        <v/>
      </c>
      <c r="DR169" s="157" t="str">
        <f t="shared" si="481"/>
        <v/>
      </c>
      <c r="DS169" s="157" t="str">
        <f t="shared" si="482"/>
        <v/>
      </c>
      <c r="DT169" s="192" t="str">
        <f t="shared" si="483"/>
        <v/>
      </c>
      <c r="DU169" s="153">
        <f t="shared" si="484"/>
        <v>0</v>
      </c>
      <c r="DV169" s="154" t="e">
        <f t="shared" si="485"/>
        <v>#VALUE!</v>
      </c>
      <c r="DW169" s="154" t="str">
        <f t="shared" si="486"/>
        <v/>
      </c>
      <c r="DX169" s="154" t="str">
        <f>IF(OR($B169="NSO",$B169=0,DS169=""),"",IF(AND(DJ169="",DO169=""),"",IF('Master Sheet'!$D$19="YES",$DO$6-COUNTIF(DO169,"ML")*DO$6,DS$6-(COUNTIF(DJ169,"ML")*DJ$6)-(COUNTIF(DO169,"ML")*DO$6))))</f>
        <v/>
      </c>
      <c r="DY169" s="154" t="str">
        <f>IF(OR($B169="NSO",$B169=0),"",IF(AND(DH169="",DI169="",DM169=""),"",IF(AND('Master Sheet'!$D$19="YES",'Marks Entry'!$BA$1=1),100,IF(AND(DJ169="",DO169=""),SUM(($DQ$7+$DR$7)-(DU169+DV169)),SUM(($DQ$6+$DR$6)-(DU169+DV169))))))</f>
        <v/>
      </c>
      <c r="DZ169" s="153" t="str">
        <f t="shared" si="487"/>
        <v/>
      </c>
      <c r="EA169" s="154" t="str">
        <f t="shared" si="488"/>
        <v/>
      </c>
      <c r="EB169" s="153" t="str">
        <f t="shared" si="489"/>
        <v/>
      </c>
      <c r="EC169" s="584" t="str">
        <f>IF('Marks Entry'!BB169="","",'Marks Entry'!BB169)</f>
        <v/>
      </c>
      <c r="ED169" s="584" t="str">
        <f>IF('Marks Entry'!BC169="","",'Marks Entry'!BC169)</f>
        <v/>
      </c>
      <c r="EE169" s="584" t="str">
        <f>IF('Marks Entry'!BD169="","",'Marks Entry'!BD169)</f>
        <v/>
      </c>
      <c r="EF169" s="590" t="str">
        <f t="shared" si="490"/>
        <v/>
      </c>
      <c r="EG169" s="595">
        <f t="shared" si="491"/>
        <v>0</v>
      </c>
      <c r="EH169" s="595">
        <f t="shared" si="492"/>
        <v>0</v>
      </c>
      <c r="EI169" s="193" t="str">
        <f t="shared" si="493"/>
        <v/>
      </c>
      <c r="EJ169" s="595" t="str">
        <f t="shared" si="494"/>
        <v/>
      </c>
      <c r="EK169" s="595" t="str">
        <f t="shared" si="495"/>
        <v/>
      </c>
      <c r="EL169" s="194" t="str">
        <f t="shared" si="496"/>
        <v/>
      </c>
      <c r="EM169" s="194" t="str">
        <f t="shared" si="497"/>
        <v/>
      </c>
      <c r="EN169" s="194" t="str">
        <f t="shared" si="498"/>
        <v/>
      </c>
      <c r="EO169" s="194" t="str">
        <f t="shared" si="499"/>
        <v/>
      </c>
      <c r="EP169" s="194" t="str">
        <f t="shared" si="500"/>
        <v/>
      </c>
      <c r="EQ169" s="194" t="str">
        <f t="shared" si="501"/>
        <v/>
      </c>
      <c r="ER169" s="195">
        <f t="shared" si="502"/>
        <v>0</v>
      </c>
      <c r="ES169" s="195">
        <f t="shared" si="503"/>
        <v>0</v>
      </c>
      <c r="ET169" s="195">
        <f t="shared" si="504"/>
        <v>0</v>
      </c>
      <c r="EU169" s="195">
        <f t="shared" si="505"/>
        <v>0</v>
      </c>
      <c r="EV169" s="195">
        <f t="shared" si="506"/>
        <v>0</v>
      </c>
      <c r="EW169" s="195" t="str">
        <f t="shared" si="507"/>
        <v/>
      </c>
      <c r="EX169" s="196" t="str">
        <f t="shared" si="508"/>
        <v/>
      </c>
      <c r="EY169" s="197" t="str">
        <f>IF('Marks Entry'!BE169="","",'Marks Entry'!BE169)</f>
        <v/>
      </c>
      <c r="EZ169" s="197" t="str">
        <f>IF('Marks Entry'!BF169="","",'Marks Entry'!BF169)</f>
        <v/>
      </c>
      <c r="FA169" s="197" t="str">
        <f>IF('Marks Entry'!BG169="","",'Marks Entry'!BG169)</f>
        <v/>
      </c>
      <c r="FB169" s="596" t="str">
        <f t="shared" si="509"/>
        <v/>
      </c>
      <c r="FC169" s="197" t="str">
        <f>IF('Marks Entry'!BH169="","",'Marks Entry'!BH169)</f>
        <v/>
      </c>
      <c r="FD169" s="197" t="str">
        <f>IF('Marks Entry'!BI169="","",'Marks Entry'!BI169)</f>
        <v/>
      </c>
      <c r="FE169" s="198" t="str">
        <f t="shared" si="510"/>
        <v/>
      </c>
      <c r="FF169" s="199" t="str">
        <f t="shared" si="511"/>
        <v/>
      </c>
      <c r="FG169" s="200" t="str">
        <f>IF(AND(E169=""),"",IF('Student DATA Entry'!L165="","",'Student DATA Entry'!L165))</f>
        <v/>
      </c>
      <c r="FH169" s="201" t="str">
        <f>IF(AND(E169=""),"",IF('Student DATA Entry'!M165="","",'Student DATA Entry'!M165))</f>
        <v/>
      </c>
      <c r="FI169" s="202" t="str">
        <f t="shared" si="512"/>
        <v/>
      </c>
      <c r="FJ169" s="189" t="str">
        <f t="shared" si="513"/>
        <v/>
      </c>
      <c r="FK169" s="189" t="str">
        <f t="shared" si="514"/>
        <v/>
      </c>
      <c r="FL169" s="203" t="str">
        <f t="shared" si="542"/>
        <v/>
      </c>
      <c r="FM169" s="189" t="str">
        <f t="shared" si="515"/>
        <v/>
      </c>
      <c r="FN169" s="204" t="str">
        <f t="shared" si="516"/>
        <v/>
      </c>
      <c r="FO169" s="203" t="str">
        <f t="shared" si="543"/>
        <v/>
      </c>
      <c r="FP169" s="205" t="str">
        <f t="shared" si="517"/>
        <v/>
      </c>
      <c r="FQ169" s="189" t="str">
        <f t="shared" si="544"/>
        <v/>
      </c>
      <c r="FR169" s="189" t="str">
        <f t="shared" si="545"/>
        <v/>
      </c>
      <c r="FS169" s="189" t="str">
        <f t="shared" si="546"/>
        <v/>
      </c>
      <c r="FT169" s="189" t="str">
        <f t="shared" si="547"/>
        <v/>
      </c>
      <c r="FU169" s="189" t="str">
        <f t="shared" si="518"/>
        <v/>
      </c>
      <c r="FV169" s="206" t="str">
        <f t="shared" si="548"/>
        <v/>
      </c>
      <c r="FW169" s="205" t="str">
        <f t="shared" si="519"/>
        <v/>
      </c>
      <c r="FX169" s="189" t="str">
        <f t="shared" si="549"/>
        <v/>
      </c>
      <c r="FY169" s="189" t="str">
        <f t="shared" si="550"/>
        <v/>
      </c>
      <c r="FZ169" s="189" t="str">
        <f t="shared" si="551"/>
        <v/>
      </c>
      <c r="GA169" s="189" t="str">
        <f t="shared" si="552"/>
        <v/>
      </c>
      <c r="GB169" s="189" t="str">
        <f t="shared" si="520"/>
        <v/>
      </c>
      <c r="GC169" s="206" t="str">
        <f t="shared" si="553"/>
        <v/>
      </c>
      <c r="GD169" s="205" t="str">
        <f t="shared" si="521"/>
        <v/>
      </c>
      <c r="GE169" s="189" t="str">
        <f t="shared" si="554"/>
        <v/>
      </c>
      <c r="GF169" s="189" t="str">
        <f t="shared" si="555"/>
        <v/>
      </c>
      <c r="GG169" s="189" t="str">
        <f t="shared" si="556"/>
        <v/>
      </c>
      <c r="GH169" s="189" t="str">
        <f t="shared" si="557"/>
        <v/>
      </c>
      <c r="GI169" s="189" t="str">
        <f t="shared" si="522"/>
        <v/>
      </c>
      <c r="GJ169" s="206" t="str">
        <f t="shared" si="558"/>
        <v/>
      </c>
      <c r="GK169" s="205" t="str">
        <f t="shared" si="523"/>
        <v/>
      </c>
      <c r="GL169" s="189" t="str">
        <f t="shared" si="559"/>
        <v/>
      </c>
      <c r="GM169" s="189" t="str">
        <f t="shared" si="560"/>
        <v/>
      </c>
      <c r="GN169" s="189" t="str">
        <f t="shared" si="561"/>
        <v/>
      </c>
      <c r="GO169" s="189" t="str">
        <f t="shared" si="562"/>
        <v/>
      </c>
      <c r="GP169" s="189" t="str">
        <f t="shared" si="524"/>
        <v/>
      </c>
      <c r="GQ169" s="206" t="str">
        <f t="shared" si="563"/>
        <v/>
      </c>
      <c r="GR169" s="189" t="str">
        <f t="shared" si="525"/>
        <v/>
      </c>
      <c r="GS169" s="189" t="str">
        <f t="shared" si="526"/>
        <v/>
      </c>
      <c r="GT169" s="207" t="str">
        <f t="shared" si="527"/>
        <v xml:space="preserve">    </v>
      </c>
      <c r="GU169" s="207" t="str">
        <f t="shared" si="528"/>
        <v xml:space="preserve">    </v>
      </c>
      <c r="GV169" s="207" t="str">
        <f t="shared" si="529"/>
        <v xml:space="preserve">    </v>
      </c>
      <c r="GW169" s="207" t="str">
        <f t="shared" si="530"/>
        <v xml:space="preserve">       </v>
      </c>
      <c r="GX169" s="598" t="str">
        <f t="shared" si="531"/>
        <v xml:space="preserve">     </v>
      </c>
      <c r="GY169" s="208" t="str">
        <f t="shared" si="564"/>
        <v/>
      </c>
      <c r="GZ169" s="606" t="str">
        <f>IF(AND(Q169="",AE169="",AZ169="",BW169="",CT169=""),"",IF(AND('Master Sheet'!$D$19="YES",'Marks Entry'!$BA$1=1),SUM(Q169,AE169,AZ169,BW169,DT169),SUM(Q169,AE169,AZ169,BW169,CT169)))</f>
        <v/>
      </c>
      <c r="HA169" s="209" t="str">
        <f>IF(GZ169="","",IF(AND('Master Sheet'!$D$19="YES",'Marks Entry'!$BA$1=1),GZ169/((900)-DC169)*100,GZ169/((1000)-DC169)*100))</f>
        <v/>
      </c>
      <c r="HB169" s="611" t="str">
        <f t="shared" si="532"/>
        <v/>
      </c>
      <c r="HC169" s="609" t="str">
        <f t="shared" si="533"/>
        <v/>
      </c>
      <c r="HD169" s="610" t="str">
        <f t="shared" si="534"/>
        <v/>
      </c>
      <c r="HE169" s="210" t="str">
        <f>IFERROR(IF(OR(GY169="SUPPLEMENTARY",GY169="RE-EXAM"),'Supp. Result Entry'!AS168,""),"")</f>
        <v/>
      </c>
      <c r="HF169" s="613" t="str">
        <f t="shared" si="535"/>
        <v/>
      </c>
      <c r="HG169" s="598" t="str">
        <f t="shared" si="536"/>
        <v/>
      </c>
      <c r="HH169" s="598" t="str">
        <f>IF(AND(HE169="",HF169="",HG169=""),"",IF(OR(GY169="SUPPLEMENTARY",GY169="RE-EXAM"),'Supp. Result Entry'!AS168,GY169))</f>
        <v/>
      </c>
      <c r="HI169" s="180"/>
      <c r="HY169" s="212" t="str">
        <f>IF('Supp. Result Entry'!U168="","",'Supp. Result Entry'!$U$6)</f>
        <v/>
      </c>
      <c r="HZ169" s="213" t="str">
        <f>IF('Supp. Result Entry'!X168="","",'Supp. Result Entry'!$X$6)</f>
        <v/>
      </c>
      <c r="IA169" s="213" t="str">
        <f>IF('Supp. Result Entry'!AA168="","",'Supp. Result Entry'!$AA$6)</f>
        <v/>
      </c>
      <c r="IB169" s="213" t="str">
        <f>IF('Supp. Result Entry'!AD168="","",'Supp. Result Entry'!$AD$6)</f>
        <v/>
      </c>
      <c r="IC169" s="213" t="str">
        <f>IF('Supp. Result Entry'!AG168="","",'Supp. Result Entry'!$AG$6)</f>
        <v/>
      </c>
      <c r="ID169" s="213" t="str">
        <f>IF('Supp. Result Entry'!AJ168="","",'Supp. Result Entry'!$AJ$6)</f>
        <v/>
      </c>
      <c r="IE169" s="213" t="str">
        <f>IF('Supp. Result Entry'!V168="","",'Supp. Result Entry'!V168)</f>
        <v/>
      </c>
      <c r="IF169" s="213" t="str">
        <f>IF('Supp. Result Entry'!Y168="","",'Supp. Result Entry'!Y168)</f>
        <v/>
      </c>
      <c r="IG169" s="213" t="str">
        <f>IF('Supp. Result Entry'!AB168="","",'Supp. Result Entry'!AB168)</f>
        <v/>
      </c>
      <c r="IH169" s="213" t="str">
        <f>IF('Supp. Result Entry'!AE168="","",'Supp. Result Entry'!AE168)</f>
        <v/>
      </c>
      <c r="II169" s="213" t="str">
        <f>IF('Supp. Result Entry'!AH168="","",'Supp. Result Entry'!AH168)</f>
        <v/>
      </c>
      <c r="IJ169" s="213" t="str">
        <f>IF('Supp. Result Entry'!AK168="","",'Supp. Result Entry'!AK168)</f>
        <v/>
      </c>
      <c r="IK169" s="213" t="str">
        <f>IF('Supp. Result Entry'!W168="","",'Supp. Result Entry'!W168)</f>
        <v/>
      </c>
      <c r="IL169" s="213" t="str">
        <f>IF('Supp. Result Entry'!Z168="","",'Supp. Result Entry'!Z168)</f>
        <v/>
      </c>
      <c r="IM169" s="213" t="str">
        <f>IF('Supp. Result Entry'!AC168="","",'Supp. Result Entry'!AC168)</f>
        <v/>
      </c>
      <c r="IN169" s="213" t="str">
        <f>IF('Supp. Result Entry'!AF168="","",'Supp. Result Entry'!AF168)</f>
        <v/>
      </c>
      <c r="IO169" s="213" t="str">
        <f>IF('Supp. Result Entry'!AI168="","",'Supp. Result Entry'!AI168)</f>
        <v/>
      </c>
      <c r="IP169" s="213" t="str">
        <f>IF('Supp. Result Entry'!AL168="","",'Supp. Result Entry'!AL168)</f>
        <v/>
      </c>
      <c r="IQ169" s="213">
        <f>COUNTIF('Supp. Result Entry'!K168:Q168,"S")</f>
        <v>0</v>
      </c>
      <c r="IR169" s="213">
        <f t="shared" si="537"/>
        <v>0</v>
      </c>
      <c r="IS169" s="213">
        <f t="shared" si="538"/>
        <v>0</v>
      </c>
      <c r="IT169" s="213" t="str">
        <f t="shared" si="406"/>
        <v/>
      </c>
      <c r="IU169" s="213" t="str">
        <f t="shared" si="407"/>
        <v/>
      </c>
      <c r="IV169" s="213" t="str">
        <f t="shared" si="408"/>
        <v/>
      </c>
      <c r="IW169" s="213" t="str">
        <f t="shared" si="409"/>
        <v/>
      </c>
      <c r="IX169" s="213" t="str">
        <f t="shared" si="410"/>
        <v/>
      </c>
      <c r="IY169" s="213" t="str">
        <f t="shared" si="539"/>
        <v/>
      </c>
      <c r="IZ169" s="213" t="str">
        <f t="shared" si="540"/>
        <v/>
      </c>
      <c r="JA169" s="213" t="str">
        <f t="shared" si="411"/>
        <v/>
      </c>
      <c r="JB169" s="211" t="str">
        <f t="shared" si="541"/>
        <v/>
      </c>
    </row>
    <row r="170" spans="1:262" s="211" customFormat="1" ht="21" customHeight="1">
      <c r="A170" s="184">
        <v>163</v>
      </c>
      <c r="B170" s="185" t="str">
        <f>IF('Marks Entry'!B170="","",'Marks Entry'!B170)</f>
        <v/>
      </c>
      <c r="C170" s="186" t="str">
        <f>IF('Marks Entry'!D170="","",'Marks Entry'!D170)</f>
        <v/>
      </c>
      <c r="D170" s="187" t="str">
        <f>IF('Marks Entry'!E170="","",'Marks Entry'!E170)</f>
        <v/>
      </c>
      <c r="E170" s="188" t="str">
        <f>IF('Marks Entry'!F170="","",'Marks Entry'!F170)</f>
        <v/>
      </c>
      <c r="F170" s="188" t="str">
        <f>IF('Marks Entry'!G170="","",'Marks Entry'!G170)</f>
        <v/>
      </c>
      <c r="G170" s="188" t="str">
        <f>IF('Marks Entry'!H170="","",'Marks Entry'!H170)</f>
        <v/>
      </c>
      <c r="H170" s="189" t="str">
        <f>IF('Marks Entry'!I170="","",'Marks Entry'!I170)</f>
        <v/>
      </c>
      <c r="I170" s="190" t="str">
        <f>IF('Marks Entry'!J170="","",'Marks Entry'!J170)</f>
        <v/>
      </c>
      <c r="J170" s="545" t="str">
        <f>IF('Marks Entry'!K170="","",'Marks Entry'!K170)</f>
        <v/>
      </c>
      <c r="K170" s="545" t="str">
        <f>IF('Marks Entry'!L170="","",'Marks Entry'!L170)</f>
        <v/>
      </c>
      <c r="L170" s="545" t="str">
        <f>IF('Marks Entry'!M170="","",'Marks Entry'!M170)</f>
        <v/>
      </c>
      <c r="M170" s="546" t="str">
        <f t="shared" si="412"/>
        <v/>
      </c>
      <c r="N170" s="545" t="str">
        <f>IF('Marks Entry'!N170="","",'Marks Entry'!N170)</f>
        <v/>
      </c>
      <c r="O170" s="546" t="str">
        <f t="shared" si="413"/>
        <v/>
      </c>
      <c r="P170" s="545" t="str">
        <f>IF('Marks Entry'!O170="","",'Marks Entry'!O170)</f>
        <v/>
      </c>
      <c r="Q170" s="547" t="str">
        <f t="shared" si="414"/>
        <v/>
      </c>
      <c r="R170" s="153">
        <f t="shared" si="415"/>
        <v>0</v>
      </c>
      <c r="S170" s="153">
        <f t="shared" si="416"/>
        <v>0</v>
      </c>
      <c r="T170" s="154" t="str">
        <f t="shared" si="417"/>
        <v/>
      </c>
      <c r="U170" s="153" t="str">
        <f t="shared" si="418"/>
        <v/>
      </c>
      <c r="V170" s="153" t="str">
        <f t="shared" si="419"/>
        <v/>
      </c>
      <c r="W170" s="153" t="str">
        <f t="shared" si="420"/>
        <v/>
      </c>
      <c r="X170" s="545" t="str">
        <f>IF('Marks Entry'!P170="","",'Marks Entry'!P170)</f>
        <v/>
      </c>
      <c r="Y170" s="545" t="str">
        <f>IF('Marks Entry'!Q170="","",'Marks Entry'!Q170)</f>
        <v/>
      </c>
      <c r="Z170" s="545" t="str">
        <f>IF('Marks Entry'!R170="","",'Marks Entry'!R170)</f>
        <v/>
      </c>
      <c r="AA170" s="546" t="str">
        <f t="shared" si="421"/>
        <v/>
      </c>
      <c r="AB170" s="545" t="str">
        <f>IF('Marks Entry'!S170="","",'Marks Entry'!S170)</f>
        <v/>
      </c>
      <c r="AC170" s="546" t="str">
        <f t="shared" si="422"/>
        <v/>
      </c>
      <c r="AD170" s="545" t="str">
        <f>IF('Marks Entry'!T170="","",'Marks Entry'!T170)</f>
        <v/>
      </c>
      <c r="AE170" s="547" t="str">
        <f t="shared" si="423"/>
        <v/>
      </c>
      <c r="AF170" s="153">
        <f t="shared" si="424"/>
        <v>0</v>
      </c>
      <c r="AG170" s="153">
        <f t="shared" si="425"/>
        <v>0</v>
      </c>
      <c r="AH170" s="154" t="str">
        <f t="shared" si="426"/>
        <v/>
      </c>
      <c r="AI170" s="153" t="str">
        <f t="shared" si="427"/>
        <v/>
      </c>
      <c r="AJ170" s="153" t="str">
        <f t="shared" si="428"/>
        <v/>
      </c>
      <c r="AK170" s="153" t="str">
        <f t="shared" si="429"/>
        <v/>
      </c>
      <c r="AL170" s="573" t="str">
        <f>IF('Marks Entry'!U170="","",'Marks Entry'!U170)</f>
        <v/>
      </c>
      <c r="AM170" s="573" t="str">
        <f>IF('Marks Entry'!V170="","",'Marks Entry'!V170)</f>
        <v/>
      </c>
      <c r="AN170" s="573" t="str">
        <f>IF('Marks Entry'!W170="","",'Marks Entry'!W170)</f>
        <v/>
      </c>
      <c r="AO170" s="573" t="str">
        <f>IF('Marks Entry'!X170="","",'Marks Entry'!X170)</f>
        <v/>
      </c>
      <c r="AP170" s="572" t="str">
        <f t="shared" si="430"/>
        <v/>
      </c>
      <c r="AQ170" s="573" t="str">
        <f>IF('Marks Entry'!Y170="","",'Marks Entry'!Y170)</f>
        <v/>
      </c>
      <c r="AR170" s="573" t="str">
        <f>IF('Marks Entry'!Z170="","",'Marks Entry'!Z170)</f>
        <v/>
      </c>
      <c r="AS170" s="572" t="str">
        <f t="shared" si="431"/>
        <v/>
      </c>
      <c r="AT170" s="572" t="str">
        <f t="shared" si="432"/>
        <v/>
      </c>
      <c r="AU170" s="573" t="str">
        <f>IF('Marks Entry'!AA170="","",'Marks Entry'!AA170)</f>
        <v/>
      </c>
      <c r="AV170" s="573" t="str">
        <f>IF('Marks Entry'!AB170="","",'Marks Entry'!AB170)</f>
        <v/>
      </c>
      <c r="AW170" s="572" t="str">
        <f t="shared" si="433"/>
        <v/>
      </c>
      <c r="AX170" s="157" t="str">
        <f t="shared" si="434"/>
        <v/>
      </c>
      <c r="AY170" s="157" t="str">
        <f t="shared" si="435"/>
        <v/>
      </c>
      <c r="AZ170" s="192" t="str">
        <f t="shared" si="436"/>
        <v/>
      </c>
      <c r="BA170" s="153">
        <f t="shared" si="437"/>
        <v>0</v>
      </c>
      <c r="BB170" s="154">
        <f t="shared" si="438"/>
        <v>0</v>
      </c>
      <c r="BC170" s="154" t="str">
        <f t="shared" si="439"/>
        <v/>
      </c>
      <c r="BD170" s="154" t="str">
        <f t="shared" si="440"/>
        <v/>
      </c>
      <c r="BE170" s="154" t="str">
        <f t="shared" si="441"/>
        <v/>
      </c>
      <c r="BF170" s="153" t="str">
        <f t="shared" si="442"/>
        <v/>
      </c>
      <c r="BG170" s="154" t="str">
        <f t="shared" si="443"/>
        <v/>
      </c>
      <c r="BH170" s="153" t="str">
        <f t="shared" si="444"/>
        <v/>
      </c>
      <c r="BI170" s="580" t="str">
        <f>IF('Marks Entry'!AC170="","",'Marks Entry'!AC170)</f>
        <v/>
      </c>
      <c r="BJ170" s="580" t="str">
        <f>IF('Marks Entry'!AD170="","",'Marks Entry'!AD170)</f>
        <v/>
      </c>
      <c r="BK170" s="580" t="str">
        <f>IF('Marks Entry'!AE170="","",'Marks Entry'!AE170)</f>
        <v/>
      </c>
      <c r="BL170" s="580" t="str">
        <f>IF('Marks Entry'!AF170="","",'Marks Entry'!AF170)</f>
        <v/>
      </c>
      <c r="BM170" s="581" t="str">
        <f t="shared" si="445"/>
        <v/>
      </c>
      <c r="BN170" s="580" t="str">
        <f>IF('Marks Entry'!AG170="","",'Marks Entry'!AG170)</f>
        <v/>
      </c>
      <c r="BO170" s="580" t="str">
        <f>IF('Marks Entry'!AH170="","",'Marks Entry'!AH170)</f>
        <v/>
      </c>
      <c r="BP170" s="581" t="str">
        <f t="shared" si="446"/>
        <v/>
      </c>
      <c r="BQ170" s="581" t="str">
        <f t="shared" si="447"/>
        <v/>
      </c>
      <c r="BR170" s="580" t="str">
        <f>IF('Marks Entry'!AI170="","",'Marks Entry'!AI170)</f>
        <v/>
      </c>
      <c r="BS170" s="580" t="str">
        <f>IF('Marks Entry'!AJ170="","",'Marks Entry'!AJ170)</f>
        <v/>
      </c>
      <c r="BT170" s="581" t="str">
        <f t="shared" si="448"/>
        <v/>
      </c>
      <c r="BU170" s="157" t="str">
        <f t="shared" si="449"/>
        <v/>
      </c>
      <c r="BV170" s="157" t="str">
        <f t="shared" si="450"/>
        <v/>
      </c>
      <c r="BW170" s="192" t="str">
        <f t="shared" si="451"/>
        <v/>
      </c>
      <c r="BX170" s="153">
        <f t="shared" si="452"/>
        <v>0</v>
      </c>
      <c r="BY170" s="154">
        <f t="shared" si="453"/>
        <v>0</v>
      </c>
      <c r="BZ170" s="154" t="str">
        <f t="shared" si="454"/>
        <v/>
      </c>
      <c r="CA170" s="154" t="str">
        <f t="shared" si="455"/>
        <v/>
      </c>
      <c r="CB170" s="154" t="str">
        <f t="shared" si="456"/>
        <v/>
      </c>
      <c r="CC170" s="153" t="str">
        <f t="shared" si="457"/>
        <v/>
      </c>
      <c r="CD170" s="154" t="str">
        <f t="shared" si="458"/>
        <v/>
      </c>
      <c r="CE170" s="153" t="str">
        <f t="shared" si="459"/>
        <v/>
      </c>
      <c r="CF170" s="580" t="str">
        <f>IF('Marks Entry'!AK170="","",'Marks Entry'!AK170)</f>
        <v/>
      </c>
      <c r="CG170" s="580" t="str">
        <f>IF('Marks Entry'!AL170="","",'Marks Entry'!AL170)</f>
        <v/>
      </c>
      <c r="CH170" s="580" t="str">
        <f>IF('Marks Entry'!AM170="","",'Marks Entry'!AM170)</f>
        <v/>
      </c>
      <c r="CI170" s="580" t="str">
        <f>IF('Marks Entry'!AN170="","",'Marks Entry'!AN170)</f>
        <v/>
      </c>
      <c r="CJ170" s="581" t="str">
        <f t="shared" si="460"/>
        <v/>
      </c>
      <c r="CK170" s="580" t="str">
        <f>IF('Marks Entry'!AO170="","",'Marks Entry'!AO170)</f>
        <v/>
      </c>
      <c r="CL170" s="580" t="str">
        <f>IF('Marks Entry'!AP170="","",'Marks Entry'!AP170)</f>
        <v/>
      </c>
      <c r="CM170" s="581" t="str">
        <f t="shared" si="461"/>
        <v/>
      </c>
      <c r="CN170" s="581" t="str">
        <f t="shared" si="462"/>
        <v/>
      </c>
      <c r="CO170" s="580" t="str">
        <f>IF('Marks Entry'!AQ170="","",'Marks Entry'!AQ170)</f>
        <v/>
      </c>
      <c r="CP170" s="580" t="str">
        <f>IF('Marks Entry'!AR170="","",'Marks Entry'!AR170)</f>
        <v/>
      </c>
      <c r="CQ170" s="581" t="str">
        <f t="shared" si="463"/>
        <v/>
      </c>
      <c r="CR170" s="157" t="str">
        <f t="shared" si="464"/>
        <v/>
      </c>
      <c r="CS170" s="157" t="str">
        <f t="shared" si="465"/>
        <v/>
      </c>
      <c r="CT170" s="192" t="str">
        <f t="shared" si="466"/>
        <v/>
      </c>
      <c r="CU170" s="153">
        <f t="shared" si="467"/>
        <v>0</v>
      </c>
      <c r="CV170" s="154">
        <f t="shared" si="468"/>
        <v>0</v>
      </c>
      <c r="CW170" s="154" t="str">
        <f t="shared" si="469"/>
        <v/>
      </c>
      <c r="CX170" s="154" t="str">
        <f t="shared" si="470"/>
        <v/>
      </c>
      <c r="CY170" s="154" t="str">
        <f t="shared" si="471"/>
        <v/>
      </c>
      <c r="CZ170" s="153" t="str">
        <f t="shared" si="472"/>
        <v/>
      </c>
      <c r="DA170" s="154" t="str">
        <f t="shared" si="473"/>
        <v/>
      </c>
      <c r="DB170" s="153" t="str">
        <f t="shared" si="474"/>
        <v/>
      </c>
      <c r="DC170" s="154">
        <f t="shared" si="475"/>
        <v>0</v>
      </c>
      <c r="DD170" s="826" t="str">
        <f>IF('Marks Entry'!AS170="","",IF(OR('Master Sheet'!$D$19="YES",'Marks Entry'!$BA$1=1),'Marks Entry'!AS170,""))</f>
        <v/>
      </c>
      <c r="DE170" s="826" t="str">
        <f>IF('Marks Entry'!AT170="","",IF(OR('Master Sheet'!$D$19="YES",'Marks Entry'!$BA$1=1),'Marks Entry'!AT170,""))</f>
        <v/>
      </c>
      <c r="DF170" s="826" t="str">
        <f>IF('Marks Entry'!AU170="","",IF(OR('Master Sheet'!$D$19="YES",'Marks Entry'!$BA$1=1),'Marks Entry'!AU170,""))</f>
        <v/>
      </c>
      <c r="DG170" s="826" t="str">
        <f>IF('Marks Entry'!AV170="","",IF(OR('Master Sheet'!$D$19="YES",'Marks Entry'!$BA$1=1),'Marks Entry'!AV170,""))</f>
        <v/>
      </c>
      <c r="DH170" s="827" t="str">
        <f t="shared" si="476"/>
        <v/>
      </c>
      <c r="DI170" s="826" t="str">
        <f>IF('Marks Entry'!AW170="","",IF(OR('Master Sheet'!$D$19="YES",'Marks Entry'!$BA$1=1),'Marks Entry'!AW170,""))</f>
        <v/>
      </c>
      <c r="DJ170" s="826" t="str">
        <f>IF('Marks Entry'!AX170="","",IF(OR('Master Sheet'!$D$19="YES",'Marks Entry'!$BA$1=1),'Marks Entry'!AX170,""))</f>
        <v/>
      </c>
      <c r="DK170" s="827" t="str">
        <f t="shared" si="477"/>
        <v/>
      </c>
      <c r="DL170" s="827" t="str">
        <f t="shared" si="478"/>
        <v/>
      </c>
      <c r="DM170" s="826" t="str">
        <f>IF('Marks Entry'!AY170="","",IF(OR('Master Sheet'!$D$19="YES",'Marks Entry'!$BA$1=1),'Marks Entry'!AY170,""))</f>
        <v/>
      </c>
      <c r="DN170" s="826" t="str">
        <f>IF('Marks Entry'!AZ170="","",IF(OR('Master Sheet'!$D$19="YES",'Marks Entry'!$BA$1=1),'Marks Entry'!AZ170,""))</f>
        <v/>
      </c>
      <c r="DO170" s="826" t="str">
        <f>IF('Marks Entry'!BA170="","",IF(OR('Master Sheet'!$D$19="YES",'Marks Entry'!$BA$1=1),'Marks Entry'!BA170,""))</f>
        <v/>
      </c>
      <c r="DP170" s="827" t="str">
        <f t="shared" si="479"/>
        <v/>
      </c>
      <c r="DQ170" s="157" t="str">
        <f t="shared" si="480"/>
        <v/>
      </c>
      <c r="DR170" s="157" t="str">
        <f t="shared" si="481"/>
        <v/>
      </c>
      <c r="DS170" s="157" t="str">
        <f t="shared" si="482"/>
        <v/>
      </c>
      <c r="DT170" s="192" t="str">
        <f t="shared" si="483"/>
        <v/>
      </c>
      <c r="DU170" s="153">
        <f t="shared" si="484"/>
        <v>0</v>
      </c>
      <c r="DV170" s="154" t="e">
        <f t="shared" si="485"/>
        <v>#VALUE!</v>
      </c>
      <c r="DW170" s="154" t="str">
        <f t="shared" si="486"/>
        <v/>
      </c>
      <c r="DX170" s="154" t="str">
        <f>IF(OR($B170="NSO",$B170=0,DS170=""),"",IF(AND(DJ170="",DO170=""),"",IF('Master Sheet'!$D$19="YES",$DO$6-COUNTIF(DO170,"ML")*DO$6,DS$6-(COUNTIF(DJ170,"ML")*DJ$6)-(COUNTIF(DO170,"ML")*DO$6))))</f>
        <v/>
      </c>
      <c r="DY170" s="154" t="str">
        <f>IF(OR($B170="NSO",$B170=0),"",IF(AND(DH170="",DI170="",DM170=""),"",IF(AND('Master Sheet'!$D$19="YES",'Marks Entry'!$BA$1=1),100,IF(AND(DJ170="",DO170=""),SUM(($DQ$7+$DR$7)-(DU170+DV170)),SUM(($DQ$6+$DR$6)-(DU170+DV170))))))</f>
        <v/>
      </c>
      <c r="DZ170" s="153" t="str">
        <f t="shared" si="487"/>
        <v/>
      </c>
      <c r="EA170" s="154" t="str">
        <f t="shared" si="488"/>
        <v/>
      </c>
      <c r="EB170" s="153" t="str">
        <f t="shared" si="489"/>
        <v/>
      </c>
      <c r="EC170" s="584" t="str">
        <f>IF('Marks Entry'!BB170="","",'Marks Entry'!BB170)</f>
        <v/>
      </c>
      <c r="ED170" s="584" t="str">
        <f>IF('Marks Entry'!BC170="","",'Marks Entry'!BC170)</f>
        <v/>
      </c>
      <c r="EE170" s="584" t="str">
        <f>IF('Marks Entry'!BD170="","",'Marks Entry'!BD170)</f>
        <v/>
      </c>
      <c r="EF170" s="590" t="str">
        <f t="shared" si="490"/>
        <v/>
      </c>
      <c r="EG170" s="595">
        <f t="shared" si="491"/>
        <v>0</v>
      </c>
      <c r="EH170" s="595">
        <f t="shared" si="492"/>
        <v>0</v>
      </c>
      <c r="EI170" s="193" t="str">
        <f t="shared" si="493"/>
        <v/>
      </c>
      <c r="EJ170" s="595" t="str">
        <f t="shared" si="494"/>
        <v/>
      </c>
      <c r="EK170" s="595" t="str">
        <f t="shared" si="495"/>
        <v/>
      </c>
      <c r="EL170" s="194" t="str">
        <f t="shared" si="496"/>
        <v/>
      </c>
      <c r="EM170" s="194" t="str">
        <f t="shared" si="497"/>
        <v/>
      </c>
      <c r="EN170" s="194" t="str">
        <f t="shared" si="498"/>
        <v/>
      </c>
      <c r="EO170" s="194" t="str">
        <f t="shared" si="499"/>
        <v/>
      </c>
      <c r="EP170" s="194" t="str">
        <f t="shared" si="500"/>
        <v/>
      </c>
      <c r="EQ170" s="194" t="str">
        <f t="shared" si="501"/>
        <v/>
      </c>
      <c r="ER170" s="195">
        <f t="shared" si="502"/>
        <v>0</v>
      </c>
      <c r="ES170" s="195">
        <f t="shared" si="503"/>
        <v>0</v>
      </c>
      <c r="ET170" s="195">
        <f t="shared" si="504"/>
        <v>0</v>
      </c>
      <c r="EU170" s="195">
        <f t="shared" si="505"/>
        <v>0</v>
      </c>
      <c r="EV170" s="195">
        <f t="shared" si="506"/>
        <v>0</v>
      </c>
      <c r="EW170" s="195" t="str">
        <f t="shared" si="507"/>
        <v/>
      </c>
      <c r="EX170" s="196" t="str">
        <f t="shared" si="508"/>
        <v/>
      </c>
      <c r="EY170" s="197" t="str">
        <f>IF('Marks Entry'!BE170="","",'Marks Entry'!BE170)</f>
        <v/>
      </c>
      <c r="EZ170" s="197" t="str">
        <f>IF('Marks Entry'!BF170="","",'Marks Entry'!BF170)</f>
        <v/>
      </c>
      <c r="FA170" s="197" t="str">
        <f>IF('Marks Entry'!BG170="","",'Marks Entry'!BG170)</f>
        <v/>
      </c>
      <c r="FB170" s="596" t="str">
        <f t="shared" si="509"/>
        <v/>
      </c>
      <c r="FC170" s="197" t="str">
        <f>IF('Marks Entry'!BH170="","",'Marks Entry'!BH170)</f>
        <v/>
      </c>
      <c r="FD170" s="197" t="str">
        <f>IF('Marks Entry'!BI170="","",'Marks Entry'!BI170)</f>
        <v/>
      </c>
      <c r="FE170" s="198" t="str">
        <f t="shared" si="510"/>
        <v/>
      </c>
      <c r="FF170" s="199" t="str">
        <f t="shared" si="511"/>
        <v/>
      </c>
      <c r="FG170" s="200" t="str">
        <f>IF(AND(E170=""),"",IF('Student DATA Entry'!L166="","",'Student DATA Entry'!L166))</f>
        <v/>
      </c>
      <c r="FH170" s="201" t="str">
        <f>IF(AND(E170=""),"",IF('Student DATA Entry'!M166="","",'Student DATA Entry'!M166))</f>
        <v/>
      </c>
      <c r="FI170" s="202" t="str">
        <f t="shared" si="512"/>
        <v/>
      </c>
      <c r="FJ170" s="189" t="str">
        <f t="shared" si="513"/>
        <v/>
      </c>
      <c r="FK170" s="189" t="str">
        <f t="shared" si="514"/>
        <v/>
      </c>
      <c r="FL170" s="203" t="str">
        <f t="shared" si="542"/>
        <v/>
      </c>
      <c r="FM170" s="189" t="str">
        <f t="shared" si="515"/>
        <v/>
      </c>
      <c r="FN170" s="204" t="str">
        <f t="shared" si="516"/>
        <v/>
      </c>
      <c r="FO170" s="203" t="str">
        <f t="shared" si="543"/>
        <v/>
      </c>
      <c r="FP170" s="205" t="str">
        <f t="shared" si="517"/>
        <v/>
      </c>
      <c r="FQ170" s="189" t="str">
        <f t="shared" si="544"/>
        <v/>
      </c>
      <c r="FR170" s="189" t="str">
        <f t="shared" si="545"/>
        <v/>
      </c>
      <c r="FS170" s="189" t="str">
        <f t="shared" si="546"/>
        <v/>
      </c>
      <c r="FT170" s="189" t="str">
        <f t="shared" si="547"/>
        <v/>
      </c>
      <c r="FU170" s="189" t="str">
        <f t="shared" si="518"/>
        <v/>
      </c>
      <c r="FV170" s="206" t="str">
        <f t="shared" si="548"/>
        <v/>
      </c>
      <c r="FW170" s="205" t="str">
        <f t="shared" si="519"/>
        <v/>
      </c>
      <c r="FX170" s="189" t="str">
        <f t="shared" si="549"/>
        <v/>
      </c>
      <c r="FY170" s="189" t="str">
        <f t="shared" si="550"/>
        <v/>
      </c>
      <c r="FZ170" s="189" t="str">
        <f t="shared" si="551"/>
        <v/>
      </c>
      <c r="GA170" s="189" t="str">
        <f t="shared" si="552"/>
        <v/>
      </c>
      <c r="GB170" s="189" t="str">
        <f t="shared" si="520"/>
        <v/>
      </c>
      <c r="GC170" s="206" t="str">
        <f t="shared" si="553"/>
        <v/>
      </c>
      <c r="GD170" s="205" t="str">
        <f t="shared" si="521"/>
        <v/>
      </c>
      <c r="GE170" s="189" t="str">
        <f t="shared" si="554"/>
        <v/>
      </c>
      <c r="GF170" s="189" t="str">
        <f t="shared" si="555"/>
        <v/>
      </c>
      <c r="GG170" s="189" t="str">
        <f t="shared" si="556"/>
        <v/>
      </c>
      <c r="GH170" s="189" t="str">
        <f t="shared" si="557"/>
        <v/>
      </c>
      <c r="GI170" s="189" t="str">
        <f t="shared" si="522"/>
        <v/>
      </c>
      <c r="GJ170" s="206" t="str">
        <f t="shared" si="558"/>
        <v/>
      </c>
      <c r="GK170" s="205" t="str">
        <f t="shared" si="523"/>
        <v/>
      </c>
      <c r="GL170" s="189" t="str">
        <f t="shared" si="559"/>
        <v/>
      </c>
      <c r="GM170" s="189" t="str">
        <f t="shared" si="560"/>
        <v/>
      </c>
      <c r="GN170" s="189" t="str">
        <f t="shared" si="561"/>
        <v/>
      </c>
      <c r="GO170" s="189" t="str">
        <f t="shared" si="562"/>
        <v/>
      </c>
      <c r="GP170" s="189" t="str">
        <f t="shared" si="524"/>
        <v/>
      </c>
      <c r="GQ170" s="206" t="str">
        <f t="shared" si="563"/>
        <v/>
      </c>
      <c r="GR170" s="189" t="str">
        <f t="shared" si="525"/>
        <v/>
      </c>
      <c r="GS170" s="189" t="str">
        <f t="shared" si="526"/>
        <v/>
      </c>
      <c r="GT170" s="207" t="str">
        <f t="shared" si="527"/>
        <v xml:space="preserve">    </v>
      </c>
      <c r="GU170" s="207" t="str">
        <f t="shared" si="528"/>
        <v xml:space="preserve">    </v>
      </c>
      <c r="GV170" s="207" t="str">
        <f t="shared" si="529"/>
        <v xml:space="preserve">    </v>
      </c>
      <c r="GW170" s="207" t="str">
        <f t="shared" si="530"/>
        <v xml:space="preserve">       </v>
      </c>
      <c r="GX170" s="598" t="str">
        <f t="shared" si="531"/>
        <v xml:space="preserve">     </v>
      </c>
      <c r="GY170" s="208" t="str">
        <f t="shared" si="564"/>
        <v/>
      </c>
      <c r="GZ170" s="606" t="str">
        <f>IF(AND(Q170="",AE170="",AZ170="",BW170="",CT170=""),"",IF(AND('Master Sheet'!$D$19="YES",'Marks Entry'!$BA$1=1),SUM(Q170,AE170,AZ170,BW170,DT170),SUM(Q170,AE170,AZ170,BW170,CT170)))</f>
        <v/>
      </c>
      <c r="HA170" s="209" t="str">
        <f>IF(GZ170="","",IF(AND('Master Sheet'!$D$19="YES",'Marks Entry'!$BA$1=1),GZ170/((900)-DC170)*100,GZ170/((1000)-DC170)*100))</f>
        <v/>
      </c>
      <c r="HB170" s="611" t="str">
        <f t="shared" si="532"/>
        <v/>
      </c>
      <c r="HC170" s="609" t="str">
        <f t="shared" si="533"/>
        <v/>
      </c>
      <c r="HD170" s="610" t="str">
        <f t="shared" si="534"/>
        <v/>
      </c>
      <c r="HE170" s="210" t="str">
        <f>IFERROR(IF(OR(GY170="SUPPLEMENTARY",GY170="RE-EXAM"),'Supp. Result Entry'!AS169,""),"")</f>
        <v/>
      </c>
      <c r="HF170" s="613" t="str">
        <f t="shared" si="535"/>
        <v/>
      </c>
      <c r="HG170" s="598" t="str">
        <f t="shared" si="536"/>
        <v/>
      </c>
      <c r="HH170" s="598" t="str">
        <f>IF(AND(HE170="",HF170="",HG170=""),"",IF(OR(GY170="SUPPLEMENTARY",GY170="RE-EXAM"),'Supp. Result Entry'!AS169,GY170))</f>
        <v/>
      </c>
      <c r="HI170" s="180"/>
      <c r="HY170" s="212" t="str">
        <f>IF('Supp. Result Entry'!U169="","",'Supp. Result Entry'!$U$6)</f>
        <v/>
      </c>
      <c r="HZ170" s="213" t="str">
        <f>IF('Supp. Result Entry'!X169="","",'Supp. Result Entry'!$X$6)</f>
        <v/>
      </c>
      <c r="IA170" s="213" t="str">
        <f>IF('Supp. Result Entry'!AA169="","",'Supp. Result Entry'!$AA$6)</f>
        <v/>
      </c>
      <c r="IB170" s="213" t="str">
        <f>IF('Supp. Result Entry'!AD169="","",'Supp. Result Entry'!$AD$6)</f>
        <v/>
      </c>
      <c r="IC170" s="213" t="str">
        <f>IF('Supp. Result Entry'!AG169="","",'Supp. Result Entry'!$AG$6)</f>
        <v/>
      </c>
      <c r="ID170" s="213" t="str">
        <f>IF('Supp. Result Entry'!AJ169="","",'Supp. Result Entry'!$AJ$6)</f>
        <v/>
      </c>
      <c r="IE170" s="213" t="str">
        <f>IF('Supp. Result Entry'!V169="","",'Supp. Result Entry'!V169)</f>
        <v/>
      </c>
      <c r="IF170" s="213" t="str">
        <f>IF('Supp. Result Entry'!Y169="","",'Supp. Result Entry'!Y169)</f>
        <v/>
      </c>
      <c r="IG170" s="213" t="str">
        <f>IF('Supp. Result Entry'!AB169="","",'Supp. Result Entry'!AB169)</f>
        <v/>
      </c>
      <c r="IH170" s="213" t="str">
        <f>IF('Supp. Result Entry'!AE169="","",'Supp. Result Entry'!AE169)</f>
        <v/>
      </c>
      <c r="II170" s="213" t="str">
        <f>IF('Supp. Result Entry'!AH169="","",'Supp. Result Entry'!AH169)</f>
        <v/>
      </c>
      <c r="IJ170" s="213" t="str">
        <f>IF('Supp. Result Entry'!AK169="","",'Supp. Result Entry'!AK169)</f>
        <v/>
      </c>
      <c r="IK170" s="213" t="str">
        <f>IF('Supp. Result Entry'!W169="","",'Supp. Result Entry'!W169)</f>
        <v/>
      </c>
      <c r="IL170" s="213" t="str">
        <f>IF('Supp. Result Entry'!Z169="","",'Supp. Result Entry'!Z169)</f>
        <v/>
      </c>
      <c r="IM170" s="213" t="str">
        <f>IF('Supp. Result Entry'!AC169="","",'Supp. Result Entry'!AC169)</f>
        <v/>
      </c>
      <c r="IN170" s="213" t="str">
        <f>IF('Supp. Result Entry'!AF169="","",'Supp. Result Entry'!AF169)</f>
        <v/>
      </c>
      <c r="IO170" s="213" t="str">
        <f>IF('Supp. Result Entry'!AI169="","",'Supp. Result Entry'!AI169)</f>
        <v/>
      </c>
      <c r="IP170" s="213" t="str">
        <f>IF('Supp. Result Entry'!AL169="","",'Supp. Result Entry'!AL169)</f>
        <v/>
      </c>
      <c r="IQ170" s="213">
        <f>COUNTIF('Supp. Result Entry'!K169:Q169,"S")</f>
        <v>0</v>
      </c>
      <c r="IR170" s="213">
        <f t="shared" si="537"/>
        <v>0</v>
      </c>
      <c r="IS170" s="213">
        <f t="shared" si="538"/>
        <v>0</v>
      </c>
      <c r="IT170" s="213" t="str">
        <f t="shared" si="406"/>
        <v/>
      </c>
      <c r="IU170" s="213" t="str">
        <f t="shared" si="407"/>
        <v/>
      </c>
      <c r="IV170" s="213" t="str">
        <f t="shared" si="408"/>
        <v/>
      </c>
      <c r="IW170" s="213" t="str">
        <f t="shared" si="409"/>
        <v/>
      </c>
      <c r="IX170" s="213" t="str">
        <f t="shared" si="410"/>
        <v/>
      </c>
      <c r="IY170" s="213" t="str">
        <f t="shared" si="539"/>
        <v/>
      </c>
      <c r="IZ170" s="213" t="str">
        <f t="shared" si="540"/>
        <v/>
      </c>
      <c r="JA170" s="213" t="str">
        <f t="shared" si="411"/>
        <v/>
      </c>
      <c r="JB170" s="211" t="str">
        <f t="shared" si="541"/>
        <v/>
      </c>
    </row>
    <row r="171" spans="1:262" s="211" customFormat="1" ht="21" customHeight="1">
      <c r="A171" s="184">
        <v>164</v>
      </c>
      <c r="B171" s="185" t="str">
        <f>IF('Marks Entry'!B171="","",'Marks Entry'!B171)</f>
        <v/>
      </c>
      <c r="C171" s="186" t="str">
        <f>IF('Marks Entry'!D171="","",'Marks Entry'!D171)</f>
        <v/>
      </c>
      <c r="D171" s="187" t="str">
        <f>IF('Marks Entry'!E171="","",'Marks Entry'!E171)</f>
        <v/>
      </c>
      <c r="E171" s="188" t="str">
        <f>IF('Marks Entry'!F171="","",'Marks Entry'!F171)</f>
        <v/>
      </c>
      <c r="F171" s="188" t="str">
        <f>IF('Marks Entry'!G171="","",'Marks Entry'!G171)</f>
        <v/>
      </c>
      <c r="G171" s="188" t="str">
        <f>IF('Marks Entry'!H171="","",'Marks Entry'!H171)</f>
        <v/>
      </c>
      <c r="H171" s="189" t="str">
        <f>IF('Marks Entry'!I171="","",'Marks Entry'!I171)</f>
        <v/>
      </c>
      <c r="I171" s="190" t="str">
        <f>IF('Marks Entry'!J171="","",'Marks Entry'!J171)</f>
        <v/>
      </c>
      <c r="J171" s="545" t="str">
        <f>IF('Marks Entry'!K171="","",'Marks Entry'!K171)</f>
        <v/>
      </c>
      <c r="K171" s="545" t="str">
        <f>IF('Marks Entry'!L171="","",'Marks Entry'!L171)</f>
        <v/>
      </c>
      <c r="L171" s="545" t="str">
        <f>IF('Marks Entry'!M171="","",'Marks Entry'!M171)</f>
        <v/>
      </c>
      <c r="M171" s="546" t="str">
        <f t="shared" si="412"/>
        <v/>
      </c>
      <c r="N171" s="545" t="str">
        <f>IF('Marks Entry'!N171="","",'Marks Entry'!N171)</f>
        <v/>
      </c>
      <c r="O171" s="546" t="str">
        <f t="shared" si="413"/>
        <v/>
      </c>
      <c r="P171" s="545" t="str">
        <f>IF('Marks Entry'!O171="","",'Marks Entry'!O171)</f>
        <v/>
      </c>
      <c r="Q171" s="547" t="str">
        <f t="shared" si="414"/>
        <v/>
      </c>
      <c r="R171" s="153">
        <f t="shared" si="415"/>
        <v>0</v>
      </c>
      <c r="S171" s="153">
        <f t="shared" si="416"/>
        <v>0</v>
      </c>
      <c r="T171" s="154" t="str">
        <f t="shared" si="417"/>
        <v/>
      </c>
      <c r="U171" s="153" t="str">
        <f t="shared" si="418"/>
        <v/>
      </c>
      <c r="V171" s="153" t="str">
        <f t="shared" si="419"/>
        <v/>
      </c>
      <c r="W171" s="153" t="str">
        <f t="shared" si="420"/>
        <v/>
      </c>
      <c r="X171" s="545" t="str">
        <f>IF('Marks Entry'!P171="","",'Marks Entry'!P171)</f>
        <v/>
      </c>
      <c r="Y171" s="545" t="str">
        <f>IF('Marks Entry'!Q171="","",'Marks Entry'!Q171)</f>
        <v/>
      </c>
      <c r="Z171" s="545" t="str">
        <f>IF('Marks Entry'!R171="","",'Marks Entry'!R171)</f>
        <v/>
      </c>
      <c r="AA171" s="546" t="str">
        <f t="shared" si="421"/>
        <v/>
      </c>
      <c r="AB171" s="545" t="str">
        <f>IF('Marks Entry'!S171="","",'Marks Entry'!S171)</f>
        <v/>
      </c>
      <c r="AC171" s="546" t="str">
        <f t="shared" si="422"/>
        <v/>
      </c>
      <c r="AD171" s="545" t="str">
        <f>IF('Marks Entry'!T171="","",'Marks Entry'!T171)</f>
        <v/>
      </c>
      <c r="AE171" s="547" t="str">
        <f t="shared" si="423"/>
        <v/>
      </c>
      <c r="AF171" s="153">
        <f t="shared" si="424"/>
        <v>0</v>
      </c>
      <c r="AG171" s="153">
        <f t="shared" si="425"/>
        <v>0</v>
      </c>
      <c r="AH171" s="154" t="str">
        <f t="shared" si="426"/>
        <v/>
      </c>
      <c r="AI171" s="153" t="str">
        <f t="shared" si="427"/>
        <v/>
      </c>
      <c r="AJ171" s="153" t="str">
        <f t="shared" si="428"/>
        <v/>
      </c>
      <c r="AK171" s="153" t="str">
        <f t="shared" si="429"/>
        <v/>
      </c>
      <c r="AL171" s="573" t="str">
        <f>IF('Marks Entry'!U171="","",'Marks Entry'!U171)</f>
        <v/>
      </c>
      <c r="AM171" s="573" t="str">
        <f>IF('Marks Entry'!V171="","",'Marks Entry'!V171)</f>
        <v/>
      </c>
      <c r="AN171" s="573" t="str">
        <f>IF('Marks Entry'!W171="","",'Marks Entry'!W171)</f>
        <v/>
      </c>
      <c r="AO171" s="573" t="str">
        <f>IF('Marks Entry'!X171="","",'Marks Entry'!X171)</f>
        <v/>
      </c>
      <c r="AP171" s="572" t="str">
        <f t="shared" si="430"/>
        <v/>
      </c>
      <c r="AQ171" s="573" t="str">
        <f>IF('Marks Entry'!Y171="","",'Marks Entry'!Y171)</f>
        <v/>
      </c>
      <c r="AR171" s="573" t="str">
        <f>IF('Marks Entry'!Z171="","",'Marks Entry'!Z171)</f>
        <v/>
      </c>
      <c r="AS171" s="572" t="str">
        <f t="shared" si="431"/>
        <v/>
      </c>
      <c r="AT171" s="572" t="str">
        <f t="shared" si="432"/>
        <v/>
      </c>
      <c r="AU171" s="573" t="str">
        <f>IF('Marks Entry'!AA171="","",'Marks Entry'!AA171)</f>
        <v/>
      </c>
      <c r="AV171" s="573" t="str">
        <f>IF('Marks Entry'!AB171="","",'Marks Entry'!AB171)</f>
        <v/>
      </c>
      <c r="AW171" s="572" t="str">
        <f t="shared" si="433"/>
        <v/>
      </c>
      <c r="AX171" s="157" t="str">
        <f t="shared" si="434"/>
        <v/>
      </c>
      <c r="AY171" s="157" t="str">
        <f t="shared" si="435"/>
        <v/>
      </c>
      <c r="AZ171" s="192" t="str">
        <f t="shared" si="436"/>
        <v/>
      </c>
      <c r="BA171" s="153">
        <f t="shared" si="437"/>
        <v>0</v>
      </c>
      <c r="BB171" s="154">
        <f t="shared" si="438"/>
        <v>0</v>
      </c>
      <c r="BC171" s="154" t="str">
        <f t="shared" si="439"/>
        <v/>
      </c>
      <c r="BD171" s="154" t="str">
        <f t="shared" si="440"/>
        <v/>
      </c>
      <c r="BE171" s="154" t="str">
        <f t="shared" si="441"/>
        <v/>
      </c>
      <c r="BF171" s="153" t="str">
        <f t="shared" si="442"/>
        <v/>
      </c>
      <c r="BG171" s="154" t="str">
        <f t="shared" si="443"/>
        <v/>
      </c>
      <c r="BH171" s="153" t="str">
        <f t="shared" si="444"/>
        <v/>
      </c>
      <c r="BI171" s="580" t="str">
        <f>IF('Marks Entry'!AC171="","",'Marks Entry'!AC171)</f>
        <v/>
      </c>
      <c r="BJ171" s="580" t="str">
        <f>IF('Marks Entry'!AD171="","",'Marks Entry'!AD171)</f>
        <v/>
      </c>
      <c r="BK171" s="580" t="str">
        <f>IF('Marks Entry'!AE171="","",'Marks Entry'!AE171)</f>
        <v/>
      </c>
      <c r="BL171" s="580" t="str">
        <f>IF('Marks Entry'!AF171="","",'Marks Entry'!AF171)</f>
        <v/>
      </c>
      <c r="BM171" s="581" t="str">
        <f t="shared" si="445"/>
        <v/>
      </c>
      <c r="BN171" s="580" t="str">
        <f>IF('Marks Entry'!AG171="","",'Marks Entry'!AG171)</f>
        <v/>
      </c>
      <c r="BO171" s="580" t="str">
        <f>IF('Marks Entry'!AH171="","",'Marks Entry'!AH171)</f>
        <v/>
      </c>
      <c r="BP171" s="581" t="str">
        <f t="shared" si="446"/>
        <v/>
      </c>
      <c r="BQ171" s="581" t="str">
        <f t="shared" si="447"/>
        <v/>
      </c>
      <c r="BR171" s="580" t="str">
        <f>IF('Marks Entry'!AI171="","",'Marks Entry'!AI171)</f>
        <v/>
      </c>
      <c r="BS171" s="580" t="str">
        <f>IF('Marks Entry'!AJ171="","",'Marks Entry'!AJ171)</f>
        <v/>
      </c>
      <c r="BT171" s="581" t="str">
        <f t="shared" si="448"/>
        <v/>
      </c>
      <c r="BU171" s="157" t="str">
        <f t="shared" si="449"/>
        <v/>
      </c>
      <c r="BV171" s="157" t="str">
        <f t="shared" si="450"/>
        <v/>
      </c>
      <c r="BW171" s="192" t="str">
        <f t="shared" si="451"/>
        <v/>
      </c>
      <c r="BX171" s="153">
        <f t="shared" si="452"/>
        <v>0</v>
      </c>
      <c r="BY171" s="154">
        <f t="shared" si="453"/>
        <v>0</v>
      </c>
      <c r="BZ171" s="154" t="str">
        <f t="shared" si="454"/>
        <v/>
      </c>
      <c r="CA171" s="154" t="str">
        <f t="shared" si="455"/>
        <v/>
      </c>
      <c r="CB171" s="154" t="str">
        <f t="shared" si="456"/>
        <v/>
      </c>
      <c r="CC171" s="153" t="str">
        <f t="shared" si="457"/>
        <v/>
      </c>
      <c r="CD171" s="154" t="str">
        <f t="shared" si="458"/>
        <v/>
      </c>
      <c r="CE171" s="153" t="str">
        <f t="shared" si="459"/>
        <v/>
      </c>
      <c r="CF171" s="580" t="str">
        <f>IF('Marks Entry'!AK171="","",'Marks Entry'!AK171)</f>
        <v/>
      </c>
      <c r="CG171" s="580" t="str">
        <f>IF('Marks Entry'!AL171="","",'Marks Entry'!AL171)</f>
        <v/>
      </c>
      <c r="CH171" s="580" t="str">
        <f>IF('Marks Entry'!AM171="","",'Marks Entry'!AM171)</f>
        <v/>
      </c>
      <c r="CI171" s="580" t="str">
        <f>IF('Marks Entry'!AN171="","",'Marks Entry'!AN171)</f>
        <v/>
      </c>
      <c r="CJ171" s="581" t="str">
        <f t="shared" si="460"/>
        <v/>
      </c>
      <c r="CK171" s="580" t="str">
        <f>IF('Marks Entry'!AO171="","",'Marks Entry'!AO171)</f>
        <v/>
      </c>
      <c r="CL171" s="580" t="str">
        <f>IF('Marks Entry'!AP171="","",'Marks Entry'!AP171)</f>
        <v/>
      </c>
      <c r="CM171" s="581" t="str">
        <f t="shared" si="461"/>
        <v/>
      </c>
      <c r="CN171" s="581" t="str">
        <f t="shared" si="462"/>
        <v/>
      </c>
      <c r="CO171" s="580" t="str">
        <f>IF('Marks Entry'!AQ171="","",'Marks Entry'!AQ171)</f>
        <v/>
      </c>
      <c r="CP171" s="580" t="str">
        <f>IF('Marks Entry'!AR171="","",'Marks Entry'!AR171)</f>
        <v/>
      </c>
      <c r="CQ171" s="581" t="str">
        <f t="shared" si="463"/>
        <v/>
      </c>
      <c r="CR171" s="157" t="str">
        <f t="shared" si="464"/>
        <v/>
      </c>
      <c r="CS171" s="157" t="str">
        <f t="shared" si="465"/>
        <v/>
      </c>
      <c r="CT171" s="192" t="str">
        <f t="shared" si="466"/>
        <v/>
      </c>
      <c r="CU171" s="153">
        <f t="shared" si="467"/>
        <v>0</v>
      </c>
      <c r="CV171" s="154">
        <f t="shared" si="468"/>
        <v>0</v>
      </c>
      <c r="CW171" s="154" t="str">
        <f t="shared" si="469"/>
        <v/>
      </c>
      <c r="CX171" s="154" t="str">
        <f t="shared" si="470"/>
        <v/>
      </c>
      <c r="CY171" s="154" t="str">
        <f t="shared" si="471"/>
        <v/>
      </c>
      <c r="CZ171" s="153" t="str">
        <f t="shared" si="472"/>
        <v/>
      </c>
      <c r="DA171" s="154" t="str">
        <f t="shared" si="473"/>
        <v/>
      </c>
      <c r="DB171" s="153" t="str">
        <f t="shared" si="474"/>
        <v/>
      </c>
      <c r="DC171" s="154">
        <f t="shared" si="475"/>
        <v>0</v>
      </c>
      <c r="DD171" s="826" t="str">
        <f>IF('Marks Entry'!AS171="","",IF(OR('Master Sheet'!$D$19="YES",'Marks Entry'!$BA$1=1),'Marks Entry'!AS171,""))</f>
        <v/>
      </c>
      <c r="DE171" s="826" t="str">
        <f>IF('Marks Entry'!AT171="","",IF(OR('Master Sheet'!$D$19="YES",'Marks Entry'!$BA$1=1),'Marks Entry'!AT171,""))</f>
        <v/>
      </c>
      <c r="DF171" s="826" t="str">
        <f>IF('Marks Entry'!AU171="","",IF(OR('Master Sheet'!$D$19="YES",'Marks Entry'!$BA$1=1),'Marks Entry'!AU171,""))</f>
        <v/>
      </c>
      <c r="DG171" s="826" t="str">
        <f>IF('Marks Entry'!AV171="","",IF(OR('Master Sheet'!$D$19="YES",'Marks Entry'!$BA$1=1),'Marks Entry'!AV171,""))</f>
        <v/>
      </c>
      <c r="DH171" s="827" t="str">
        <f t="shared" si="476"/>
        <v/>
      </c>
      <c r="DI171" s="826" t="str">
        <f>IF('Marks Entry'!AW171="","",IF(OR('Master Sheet'!$D$19="YES",'Marks Entry'!$BA$1=1),'Marks Entry'!AW171,""))</f>
        <v/>
      </c>
      <c r="DJ171" s="826" t="str">
        <f>IF('Marks Entry'!AX171="","",IF(OR('Master Sheet'!$D$19="YES",'Marks Entry'!$BA$1=1),'Marks Entry'!AX171,""))</f>
        <v/>
      </c>
      <c r="DK171" s="827" t="str">
        <f t="shared" si="477"/>
        <v/>
      </c>
      <c r="DL171" s="827" t="str">
        <f t="shared" si="478"/>
        <v/>
      </c>
      <c r="DM171" s="826" t="str">
        <f>IF('Marks Entry'!AY171="","",IF(OR('Master Sheet'!$D$19="YES",'Marks Entry'!$BA$1=1),'Marks Entry'!AY171,""))</f>
        <v/>
      </c>
      <c r="DN171" s="826" t="str">
        <f>IF('Marks Entry'!AZ171="","",IF(OR('Master Sheet'!$D$19="YES",'Marks Entry'!$BA$1=1),'Marks Entry'!AZ171,""))</f>
        <v/>
      </c>
      <c r="DO171" s="826" t="str">
        <f>IF('Marks Entry'!BA171="","",IF(OR('Master Sheet'!$D$19="YES",'Marks Entry'!$BA$1=1),'Marks Entry'!BA171,""))</f>
        <v/>
      </c>
      <c r="DP171" s="827" t="str">
        <f t="shared" si="479"/>
        <v/>
      </c>
      <c r="DQ171" s="157" t="str">
        <f t="shared" si="480"/>
        <v/>
      </c>
      <c r="DR171" s="157" t="str">
        <f t="shared" si="481"/>
        <v/>
      </c>
      <c r="DS171" s="157" t="str">
        <f t="shared" si="482"/>
        <v/>
      </c>
      <c r="DT171" s="192" t="str">
        <f t="shared" si="483"/>
        <v/>
      </c>
      <c r="DU171" s="153">
        <f t="shared" si="484"/>
        <v>0</v>
      </c>
      <c r="DV171" s="154" t="e">
        <f t="shared" si="485"/>
        <v>#VALUE!</v>
      </c>
      <c r="DW171" s="154" t="str">
        <f t="shared" si="486"/>
        <v/>
      </c>
      <c r="DX171" s="154" t="str">
        <f>IF(OR($B171="NSO",$B171=0,DS171=""),"",IF(AND(DJ171="",DO171=""),"",IF('Master Sheet'!$D$19="YES",$DO$6-COUNTIF(DO171,"ML")*DO$6,DS$6-(COUNTIF(DJ171,"ML")*DJ$6)-(COUNTIF(DO171,"ML")*DO$6))))</f>
        <v/>
      </c>
      <c r="DY171" s="154" t="str">
        <f>IF(OR($B171="NSO",$B171=0),"",IF(AND(DH171="",DI171="",DM171=""),"",IF(AND('Master Sheet'!$D$19="YES",'Marks Entry'!$BA$1=1),100,IF(AND(DJ171="",DO171=""),SUM(($DQ$7+$DR$7)-(DU171+DV171)),SUM(($DQ$6+$DR$6)-(DU171+DV171))))))</f>
        <v/>
      </c>
      <c r="DZ171" s="153" t="str">
        <f t="shared" si="487"/>
        <v/>
      </c>
      <c r="EA171" s="154" t="str">
        <f t="shared" si="488"/>
        <v/>
      </c>
      <c r="EB171" s="153" t="str">
        <f t="shared" si="489"/>
        <v/>
      </c>
      <c r="EC171" s="584" t="str">
        <f>IF('Marks Entry'!BB171="","",'Marks Entry'!BB171)</f>
        <v/>
      </c>
      <c r="ED171" s="584" t="str">
        <f>IF('Marks Entry'!BC171="","",'Marks Entry'!BC171)</f>
        <v/>
      </c>
      <c r="EE171" s="584" t="str">
        <f>IF('Marks Entry'!BD171="","",'Marks Entry'!BD171)</f>
        <v/>
      </c>
      <c r="EF171" s="590" t="str">
        <f t="shared" si="490"/>
        <v/>
      </c>
      <c r="EG171" s="595">
        <f t="shared" si="491"/>
        <v>0</v>
      </c>
      <c r="EH171" s="595">
        <f t="shared" si="492"/>
        <v>0</v>
      </c>
      <c r="EI171" s="193" t="str">
        <f t="shared" si="493"/>
        <v/>
      </c>
      <c r="EJ171" s="595" t="str">
        <f t="shared" si="494"/>
        <v/>
      </c>
      <c r="EK171" s="595" t="str">
        <f t="shared" si="495"/>
        <v/>
      </c>
      <c r="EL171" s="194" t="str">
        <f t="shared" si="496"/>
        <v/>
      </c>
      <c r="EM171" s="194" t="str">
        <f t="shared" si="497"/>
        <v/>
      </c>
      <c r="EN171" s="194" t="str">
        <f t="shared" si="498"/>
        <v/>
      </c>
      <c r="EO171" s="194" t="str">
        <f t="shared" si="499"/>
        <v/>
      </c>
      <c r="EP171" s="194" t="str">
        <f t="shared" si="500"/>
        <v/>
      </c>
      <c r="EQ171" s="194" t="str">
        <f t="shared" si="501"/>
        <v/>
      </c>
      <c r="ER171" s="195">
        <f t="shared" si="502"/>
        <v>0</v>
      </c>
      <c r="ES171" s="195">
        <f t="shared" si="503"/>
        <v>0</v>
      </c>
      <c r="ET171" s="195">
        <f t="shared" si="504"/>
        <v>0</v>
      </c>
      <c r="EU171" s="195">
        <f t="shared" si="505"/>
        <v>0</v>
      </c>
      <c r="EV171" s="195">
        <f t="shared" si="506"/>
        <v>0</v>
      </c>
      <c r="EW171" s="195" t="str">
        <f t="shared" si="507"/>
        <v/>
      </c>
      <c r="EX171" s="196" t="str">
        <f t="shared" si="508"/>
        <v/>
      </c>
      <c r="EY171" s="197" t="str">
        <f>IF('Marks Entry'!BE171="","",'Marks Entry'!BE171)</f>
        <v/>
      </c>
      <c r="EZ171" s="197" t="str">
        <f>IF('Marks Entry'!BF171="","",'Marks Entry'!BF171)</f>
        <v/>
      </c>
      <c r="FA171" s="197" t="str">
        <f>IF('Marks Entry'!BG171="","",'Marks Entry'!BG171)</f>
        <v/>
      </c>
      <c r="FB171" s="596" t="str">
        <f t="shared" si="509"/>
        <v/>
      </c>
      <c r="FC171" s="197" t="str">
        <f>IF('Marks Entry'!BH171="","",'Marks Entry'!BH171)</f>
        <v/>
      </c>
      <c r="FD171" s="197" t="str">
        <f>IF('Marks Entry'!BI171="","",'Marks Entry'!BI171)</f>
        <v/>
      </c>
      <c r="FE171" s="198" t="str">
        <f t="shared" si="510"/>
        <v/>
      </c>
      <c r="FF171" s="199" t="str">
        <f t="shared" si="511"/>
        <v/>
      </c>
      <c r="FG171" s="200" t="str">
        <f>IF(AND(E171=""),"",IF('Student DATA Entry'!L167="","",'Student DATA Entry'!L167))</f>
        <v/>
      </c>
      <c r="FH171" s="201" t="str">
        <f>IF(AND(E171=""),"",IF('Student DATA Entry'!M167="","",'Student DATA Entry'!M167))</f>
        <v/>
      </c>
      <c r="FI171" s="202" t="str">
        <f t="shared" si="512"/>
        <v/>
      </c>
      <c r="FJ171" s="189" t="str">
        <f t="shared" si="513"/>
        <v/>
      </c>
      <c r="FK171" s="189" t="str">
        <f t="shared" si="514"/>
        <v/>
      </c>
      <c r="FL171" s="203" t="str">
        <f t="shared" si="542"/>
        <v/>
      </c>
      <c r="FM171" s="189" t="str">
        <f t="shared" si="515"/>
        <v/>
      </c>
      <c r="FN171" s="204" t="str">
        <f t="shared" si="516"/>
        <v/>
      </c>
      <c r="FO171" s="203" t="str">
        <f t="shared" si="543"/>
        <v/>
      </c>
      <c r="FP171" s="205" t="str">
        <f t="shared" si="517"/>
        <v/>
      </c>
      <c r="FQ171" s="189" t="str">
        <f t="shared" si="544"/>
        <v/>
      </c>
      <c r="FR171" s="189" t="str">
        <f t="shared" si="545"/>
        <v/>
      </c>
      <c r="FS171" s="189" t="str">
        <f t="shared" si="546"/>
        <v/>
      </c>
      <c r="FT171" s="189" t="str">
        <f t="shared" si="547"/>
        <v/>
      </c>
      <c r="FU171" s="189" t="str">
        <f t="shared" si="518"/>
        <v/>
      </c>
      <c r="FV171" s="206" t="str">
        <f t="shared" si="548"/>
        <v/>
      </c>
      <c r="FW171" s="205" t="str">
        <f t="shared" si="519"/>
        <v/>
      </c>
      <c r="FX171" s="189" t="str">
        <f t="shared" si="549"/>
        <v/>
      </c>
      <c r="FY171" s="189" t="str">
        <f t="shared" si="550"/>
        <v/>
      </c>
      <c r="FZ171" s="189" t="str">
        <f t="shared" si="551"/>
        <v/>
      </c>
      <c r="GA171" s="189" t="str">
        <f t="shared" si="552"/>
        <v/>
      </c>
      <c r="GB171" s="189" t="str">
        <f t="shared" si="520"/>
        <v/>
      </c>
      <c r="GC171" s="206" t="str">
        <f t="shared" si="553"/>
        <v/>
      </c>
      <c r="GD171" s="205" t="str">
        <f t="shared" si="521"/>
        <v/>
      </c>
      <c r="GE171" s="189" t="str">
        <f t="shared" si="554"/>
        <v/>
      </c>
      <c r="GF171" s="189" t="str">
        <f t="shared" si="555"/>
        <v/>
      </c>
      <c r="GG171" s="189" t="str">
        <f t="shared" si="556"/>
        <v/>
      </c>
      <c r="GH171" s="189" t="str">
        <f t="shared" si="557"/>
        <v/>
      </c>
      <c r="GI171" s="189" t="str">
        <f t="shared" si="522"/>
        <v/>
      </c>
      <c r="GJ171" s="206" t="str">
        <f t="shared" si="558"/>
        <v/>
      </c>
      <c r="GK171" s="205" t="str">
        <f t="shared" si="523"/>
        <v/>
      </c>
      <c r="GL171" s="189" t="str">
        <f t="shared" si="559"/>
        <v/>
      </c>
      <c r="GM171" s="189" t="str">
        <f t="shared" si="560"/>
        <v/>
      </c>
      <c r="GN171" s="189" t="str">
        <f t="shared" si="561"/>
        <v/>
      </c>
      <c r="GO171" s="189" t="str">
        <f t="shared" si="562"/>
        <v/>
      </c>
      <c r="GP171" s="189" t="str">
        <f t="shared" si="524"/>
        <v/>
      </c>
      <c r="GQ171" s="206" t="str">
        <f t="shared" si="563"/>
        <v/>
      </c>
      <c r="GR171" s="189" t="str">
        <f t="shared" si="525"/>
        <v/>
      </c>
      <c r="GS171" s="189" t="str">
        <f t="shared" si="526"/>
        <v/>
      </c>
      <c r="GT171" s="207" t="str">
        <f t="shared" si="527"/>
        <v xml:space="preserve">    </v>
      </c>
      <c r="GU171" s="207" t="str">
        <f t="shared" si="528"/>
        <v xml:space="preserve">    </v>
      </c>
      <c r="GV171" s="207" t="str">
        <f t="shared" si="529"/>
        <v xml:space="preserve">    </v>
      </c>
      <c r="GW171" s="207" t="str">
        <f t="shared" si="530"/>
        <v xml:space="preserve">       </v>
      </c>
      <c r="GX171" s="598" t="str">
        <f t="shared" si="531"/>
        <v xml:space="preserve">     </v>
      </c>
      <c r="GY171" s="208" t="str">
        <f t="shared" si="564"/>
        <v/>
      </c>
      <c r="GZ171" s="606" t="str">
        <f>IF(AND(Q171="",AE171="",AZ171="",BW171="",CT171=""),"",IF(AND('Master Sheet'!$D$19="YES",'Marks Entry'!$BA$1=1),SUM(Q171,AE171,AZ171,BW171,DT171),SUM(Q171,AE171,AZ171,BW171,CT171)))</f>
        <v/>
      </c>
      <c r="HA171" s="209" t="str">
        <f>IF(GZ171="","",IF(AND('Master Sheet'!$D$19="YES",'Marks Entry'!$BA$1=1),GZ171/((900)-DC171)*100,GZ171/((1000)-DC171)*100))</f>
        <v/>
      </c>
      <c r="HB171" s="611" t="str">
        <f t="shared" si="532"/>
        <v/>
      </c>
      <c r="HC171" s="609" t="str">
        <f t="shared" si="533"/>
        <v/>
      </c>
      <c r="HD171" s="610" t="str">
        <f t="shared" si="534"/>
        <v/>
      </c>
      <c r="HE171" s="210" t="str">
        <f>IFERROR(IF(OR(GY171="SUPPLEMENTARY",GY171="RE-EXAM"),'Supp. Result Entry'!AS170,""),"")</f>
        <v/>
      </c>
      <c r="HF171" s="613" t="str">
        <f t="shared" si="535"/>
        <v/>
      </c>
      <c r="HG171" s="598" t="str">
        <f t="shared" si="536"/>
        <v/>
      </c>
      <c r="HH171" s="598" t="str">
        <f>IF(AND(HE171="",HF171="",HG171=""),"",IF(OR(GY171="SUPPLEMENTARY",GY171="RE-EXAM"),'Supp. Result Entry'!AS170,GY171))</f>
        <v/>
      </c>
      <c r="HI171" s="180"/>
      <c r="HY171" s="212" t="str">
        <f>IF('Supp. Result Entry'!U170="","",'Supp. Result Entry'!$U$6)</f>
        <v/>
      </c>
      <c r="HZ171" s="213" t="str">
        <f>IF('Supp. Result Entry'!X170="","",'Supp. Result Entry'!$X$6)</f>
        <v/>
      </c>
      <c r="IA171" s="213" t="str">
        <f>IF('Supp. Result Entry'!AA170="","",'Supp. Result Entry'!$AA$6)</f>
        <v/>
      </c>
      <c r="IB171" s="213" t="str">
        <f>IF('Supp. Result Entry'!AD170="","",'Supp. Result Entry'!$AD$6)</f>
        <v/>
      </c>
      <c r="IC171" s="213" t="str">
        <f>IF('Supp. Result Entry'!AG170="","",'Supp. Result Entry'!$AG$6)</f>
        <v/>
      </c>
      <c r="ID171" s="213" t="str">
        <f>IF('Supp. Result Entry'!AJ170="","",'Supp. Result Entry'!$AJ$6)</f>
        <v/>
      </c>
      <c r="IE171" s="213" t="str">
        <f>IF('Supp. Result Entry'!V170="","",'Supp. Result Entry'!V170)</f>
        <v/>
      </c>
      <c r="IF171" s="213" t="str">
        <f>IF('Supp. Result Entry'!Y170="","",'Supp. Result Entry'!Y170)</f>
        <v/>
      </c>
      <c r="IG171" s="213" t="str">
        <f>IF('Supp. Result Entry'!AB170="","",'Supp. Result Entry'!AB170)</f>
        <v/>
      </c>
      <c r="IH171" s="213" t="str">
        <f>IF('Supp. Result Entry'!AE170="","",'Supp. Result Entry'!AE170)</f>
        <v/>
      </c>
      <c r="II171" s="213" t="str">
        <f>IF('Supp. Result Entry'!AH170="","",'Supp. Result Entry'!AH170)</f>
        <v/>
      </c>
      <c r="IJ171" s="213" t="str">
        <f>IF('Supp. Result Entry'!AK170="","",'Supp. Result Entry'!AK170)</f>
        <v/>
      </c>
      <c r="IK171" s="213" t="str">
        <f>IF('Supp. Result Entry'!W170="","",'Supp. Result Entry'!W170)</f>
        <v/>
      </c>
      <c r="IL171" s="213" t="str">
        <f>IF('Supp. Result Entry'!Z170="","",'Supp. Result Entry'!Z170)</f>
        <v/>
      </c>
      <c r="IM171" s="213" t="str">
        <f>IF('Supp. Result Entry'!AC170="","",'Supp. Result Entry'!AC170)</f>
        <v/>
      </c>
      <c r="IN171" s="213" t="str">
        <f>IF('Supp. Result Entry'!AF170="","",'Supp. Result Entry'!AF170)</f>
        <v/>
      </c>
      <c r="IO171" s="213" t="str">
        <f>IF('Supp. Result Entry'!AI170="","",'Supp. Result Entry'!AI170)</f>
        <v/>
      </c>
      <c r="IP171" s="213" t="str">
        <f>IF('Supp. Result Entry'!AL170="","",'Supp. Result Entry'!AL170)</f>
        <v/>
      </c>
      <c r="IQ171" s="213">
        <f>COUNTIF('Supp. Result Entry'!K170:Q170,"S")</f>
        <v>0</v>
      </c>
      <c r="IR171" s="213">
        <f t="shared" si="537"/>
        <v>0</v>
      </c>
      <c r="IS171" s="213">
        <f t="shared" si="538"/>
        <v>0</v>
      </c>
      <c r="IT171" s="213" t="str">
        <f t="shared" si="406"/>
        <v/>
      </c>
      <c r="IU171" s="213" t="str">
        <f t="shared" si="407"/>
        <v/>
      </c>
      <c r="IV171" s="213" t="str">
        <f t="shared" si="408"/>
        <v/>
      </c>
      <c r="IW171" s="213" t="str">
        <f t="shared" si="409"/>
        <v/>
      </c>
      <c r="IX171" s="213" t="str">
        <f t="shared" si="410"/>
        <v/>
      </c>
      <c r="IY171" s="213" t="str">
        <f t="shared" si="539"/>
        <v/>
      </c>
      <c r="IZ171" s="213" t="str">
        <f t="shared" si="540"/>
        <v/>
      </c>
      <c r="JA171" s="213" t="str">
        <f t="shared" si="411"/>
        <v/>
      </c>
      <c r="JB171" s="211" t="str">
        <f t="shared" si="541"/>
        <v/>
      </c>
    </row>
    <row r="172" spans="1:262" s="211" customFormat="1" ht="21" customHeight="1">
      <c r="A172" s="184">
        <v>165</v>
      </c>
      <c r="B172" s="185" t="str">
        <f>IF('Marks Entry'!B172="","",'Marks Entry'!B172)</f>
        <v/>
      </c>
      <c r="C172" s="186" t="str">
        <f>IF('Marks Entry'!D172="","",'Marks Entry'!D172)</f>
        <v/>
      </c>
      <c r="D172" s="187" t="str">
        <f>IF('Marks Entry'!E172="","",'Marks Entry'!E172)</f>
        <v/>
      </c>
      <c r="E172" s="188" t="str">
        <f>IF('Marks Entry'!F172="","",'Marks Entry'!F172)</f>
        <v/>
      </c>
      <c r="F172" s="188" t="str">
        <f>IF('Marks Entry'!G172="","",'Marks Entry'!G172)</f>
        <v/>
      </c>
      <c r="G172" s="188" t="str">
        <f>IF('Marks Entry'!H172="","",'Marks Entry'!H172)</f>
        <v/>
      </c>
      <c r="H172" s="189" t="str">
        <f>IF('Marks Entry'!I172="","",'Marks Entry'!I172)</f>
        <v/>
      </c>
      <c r="I172" s="190" t="str">
        <f>IF('Marks Entry'!J172="","",'Marks Entry'!J172)</f>
        <v/>
      </c>
      <c r="J172" s="545" t="str">
        <f>IF('Marks Entry'!K172="","",'Marks Entry'!K172)</f>
        <v/>
      </c>
      <c r="K172" s="545" t="str">
        <f>IF('Marks Entry'!L172="","",'Marks Entry'!L172)</f>
        <v/>
      </c>
      <c r="L172" s="545" t="str">
        <f>IF('Marks Entry'!M172="","",'Marks Entry'!M172)</f>
        <v/>
      </c>
      <c r="M172" s="546" t="str">
        <f t="shared" si="412"/>
        <v/>
      </c>
      <c r="N172" s="545" t="str">
        <f>IF('Marks Entry'!N172="","",'Marks Entry'!N172)</f>
        <v/>
      </c>
      <c r="O172" s="546" t="str">
        <f t="shared" si="413"/>
        <v/>
      </c>
      <c r="P172" s="545" t="str">
        <f>IF('Marks Entry'!O172="","",'Marks Entry'!O172)</f>
        <v/>
      </c>
      <c r="Q172" s="547" t="str">
        <f t="shared" si="414"/>
        <v/>
      </c>
      <c r="R172" s="153">
        <f t="shared" si="415"/>
        <v>0</v>
      </c>
      <c r="S172" s="153">
        <f t="shared" si="416"/>
        <v>0</v>
      </c>
      <c r="T172" s="154" t="str">
        <f t="shared" si="417"/>
        <v/>
      </c>
      <c r="U172" s="153" t="str">
        <f t="shared" si="418"/>
        <v/>
      </c>
      <c r="V172" s="153" t="str">
        <f t="shared" si="419"/>
        <v/>
      </c>
      <c r="W172" s="153" t="str">
        <f t="shared" si="420"/>
        <v/>
      </c>
      <c r="X172" s="545" t="str">
        <f>IF('Marks Entry'!P172="","",'Marks Entry'!P172)</f>
        <v/>
      </c>
      <c r="Y172" s="545" t="str">
        <f>IF('Marks Entry'!Q172="","",'Marks Entry'!Q172)</f>
        <v/>
      </c>
      <c r="Z172" s="545" t="str">
        <f>IF('Marks Entry'!R172="","",'Marks Entry'!R172)</f>
        <v/>
      </c>
      <c r="AA172" s="546" t="str">
        <f t="shared" si="421"/>
        <v/>
      </c>
      <c r="AB172" s="545" t="str">
        <f>IF('Marks Entry'!S172="","",'Marks Entry'!S172)</f>
        <v/>
      </c>
      <c r="AC172" s="546" t="str">
        <f t="shared" si="422"/>
        <v/>
      </c>
      <c r="AD172" s="545" t="str">
        <f>IF('Marks Entry'!T172="","",'Marks Entry'!T172)</f>
        <v/>
      </c>
      <c r="AE172" s="547" t="str">
        <f t="shared" si="423"/>
        <v/>
      </c>
      <c r="AF172" s="153">
        <f t="shared" si="424"/>
        <v>0</v>
      </c>
      <c r="AG172" s="153">
        <f t="shared" si="425"/>
        <v>0</v>
      </c>
      <c r="AH172" s="154" t="str">
        <f t="shared" si="426"/>
        <v/>
      </c>
      <c r="AI172" s="153" t="str">
        <f t="shared" si="427"/>
        <v/>
      </c>
      <c r="AJ172" s="153" t="str">
        <f t="shared" si="428"/>
        <v/>
      </c>
      <c r="AK172" s="153" t="str">
        <f t="shared" si="429"/>
        <v/>
      </c>
      <c r="AL172" s="573" t="str">
        <f>IF('Marks Entry'!U172="","",'Marks Entry'!U172)</f>
        <v/>
      </c>
      <c r="AM172" s="573" t="str">
        <f>IF('Marks Entry'!V172="","",'Marks Entry'!V172)</f>
        <v/>
      </c>
      <c r="AN172" s="573" t="str">
        <f>IF('Marks Entry'!W172="","",'Marks Entry'!W172)</f>
        <v/>
      </c>
      <c r="AO172" s="573" t="str">
        <f>IF('Marks Entry'!X172="","",'Marks Entry'!X172)</f>
        <v/>
      </c>
      <c r="AP172" s="572" t="str">
        <f t="shared" si="430"/>
        <v/>
      </c>
      <c r="AQ172" s="573" t="str">
        <f>IF('Marks Entry'!Y172="","",'Marks Entry'!Y172)</f>
        <v/>
      </c>
      <c r="AR172" s="573" t="str">
        <f>IF('Marks Entry'!Z172="","",'Marks Entry'!Z172)</f>
        <v/>
      </c>
      <c r="AS172" s="572" t="str">
        <f t="shared" si="431"/>
        <v/>
      </c>
      <c r="AT172" s="572" t="str">
        <f t="shared" si="432"/>
        <v/>
      </c>
      <c r="AU172" s="573" t="str">
        <f>IF('Marks Entry'!AA172="","",'Marks Entry'!AA172)</f>
        <v/>
      </c>
      <c r="AV172" s="573" t="str">
        <f>IF('Marks Entry'!AB172="","",'Marks Entry'!AB172)</f>
        <v/>
      </c>
      <c r="AW172" s="572" t="str">
        <f t="shared" si="433"/>
        <v/>
      </c>
      <c r="AX172" s="157" t="str">
        <f t="shared" si="434"/>
        <v/>
      </c>
      <c r="AY172" s="157" t="str">
        <f t="shared" si="435"/>
        <v/>
      </c>
      <c r="AZ172" s="192" t="str">
        <f t="shared" si="436"/>
        <v/>
      </c>
      <c r="BA172" s="153">
        <f t="shared" si="437"/>
        <v>0</v>
      </c>
      <c r="BB172" s="154">
        <f t="shared" si="438"/>
        <v>0</v>
      </c>
      <c r="BC172" s="154" t="str">
        <f t="shared" si="439"/>
        <v/>
      </c>
      <c r="BD172" s="154" t="str">
        <f t="shared" si="440"/>
        <v/>
      </c>
      <c r="BE172" s="154" t="str">
        <f t="shared" si="441"/>
        <v/>
      </c>
      <c r="BF172" s="153" t="str">
        <f t="shared" si="442"/>
        <v/>
      </c>
      <c r="BG172" s="154" t="str">
        <f t="shared" si="443"/>
        <v/>
      </c>
      <c r="BH172" s="153" t="str">
        <f t="shared" si="444"/>
        <v/>
      </c>
      <c r="BI172" s="580" t="str">
        <f>IF('Marks Entry'!AC172="","",'Marks Entry'!AC172)</f>
        <v/>
      </c>
      <c r="BJ172" s="580" t="str">
        <f>IF('Marks Entry'!AD172="","",'Marks Entry'!AD172)</f>
        <v/>
      </c>
      <c r="BK172" s="580" t="str">
        <f>IF('Marks Entry'!AE172="","",'Marks Entry'!AE172)</f>
        <v/>
      </c>
      <c r="BL172" s="580" t="str">
        <f>IF('Marks Entry'!AF172="","",'Marks Entry'!AF172)</f>
        <v/>
      </c>
      <c r="BM172" s="581" t="str">
        <f t="shared" si="445"/>
        <v/>
      </c>
      <c r="BN172" s="580" t="str">
        <f>IF('Marks Entry'!AG172="","",'Marks Entry'!AG172)</f>
        <v/>
      </c>
      <c r="BO172" s="580" t="str">
        <f>IF('Marks Entry'!AH172="","",'Marks Entry'!AH172)</f>
        <v/>
      </c>
      <c r="BP172" s="581" t="str">
        <f t="shared" si="446"/>
        <v/>
      </c>
      <c r="BQ172" s="581" t="str">
        <f t="shared" si="447"/>
        <v/>
      </c>
      <c r="BR172" s="580" t="str">
        <f>IF('Marks Entry'!AI172="","",'Marks Entry'!AI172)</f>
        <v/>
      </c>
      <c r="BS172" s="580" t="str">
        <f>IF('Marks Entry'!AJ172="","",'Marks Entry'!AJ172)</f>
        <v/>
      </c>
      <c r="BT172" s="581" t="str">
        <f t="shared" si="448"/>
        <v/>
      </c>
      <c r="BU172" s="157" t="str">
        <f t="shared" si="449"/>
        <v/>
      </c>
      <c r="BV172" s="157" t="str">
        <f t="shared" si="450"/>
        <v/>
      </c>
      <c r="BW172" s="192" t="str">
        <f t="shared" si="451"/>
        <v/>
      </c>
      <c r="BX172" s="153">
        <f t="shared" si="452"/>
        <v>0</v>
      </c>
      <c r="BY172" s="154">
        <f t="shared" si="453"/>
        <v>0</v>
      </c>
      <c r="BZ172" s="154" t="str">
        <f t="shared" si="454"/>
        <v/>
      </c>
      <c r="CA172" s="154" t="str">
        <f t="shared" si="455"/>
        <v/>
      </c>
      <c r="CB172" s="154" t="str">
        <f t="shared" si="456"/>
        <v/>
      </c>
      <c r="CC172" s="153" t="str">
        <f t="shared" si="457"/>
        <v/>
      </c>
      <c r="CD172" s="154" t="str">
        <f t="shared" si="458"/>
        <v/>
      </c>
      <c r="CE172" s="153" t="str">
        <f t="shared" si="459"/>
        <v/>
      </c>
      <c r="CF172" s="580" t="str">
        <f>IF('Marks Entry'!AK172="","",'Marks Entry'!AK172)</f>
        <v/>
      </c>
      <c r="CG172" s="580" t="str">
        <f>IF('Marks Entry'!AL172="","",'Marks Entry'!AL172)</f>
        <v/>
      </c>
      <c r="CH172" s="580" t="str">
        <f>IF('Marks Entry'!AM172="","",'Marks Entry'!AM172)</f>
        <v/>
      </c>
      <c r="CI172" s="580" t="str">
        <f>IF('Marks Entry'!AN172="","",'Marks Entry'!AN172)</f>
        <v/>
      </c>
      <c r="CJ172" s="581" t="str">
        <f t="shared" si="460"/>
        <v/>
      </c>
      <c r="CK172" s="580" t="str">
        <f>IF('Marks Entry'!AO172="","",'Marks Entry'!AO172)</f>
        <v/>
      </c>
      <c r="CL172" s="580" t="str">
        <f>IF('Marks Entry'!AP172="","",'Marks Entry'!AP172)</f>
        <v/>
      </c>
      <c r="CM172" s="581" t="str">
        <f t="shared" si="461"/>
        <v/>
      </c>
      <c r="CN172" s="581" t="str">
        <f t="shared" si="462"/>
        <v/>
      </c>
      <c r="CO172" s="580" t="str">
        <f>IF('Marks Entry'!AQ172="","",'Marks Entry'!AQ172)</f>
        <v/>
      </c>
      <c r="CP172" s="580" t="str">
        <f>IF('Marks Entry'!AR172="","",'Marks Entry'!AR172)</f>
        <v/>
      </c>
      <c r="CQ172" s="581" t="str">
        <f t="shared" si="463"/>
        <v/>
      </c>
      <c r="CR172" s="157" t="str">
        <f t="shared" si="464"/>
        <v/>
      </c>
      <c r="CS172" s="157" t="str">
        <f t="shared" si="465"/>
        <v/>
      </c>
      <c r="CT172" s="192" t="str">
        <f t="shared" si="466"/>
        <v/>
      </c>
      <c r="CU172" s="153">
        <f t="shared" si="467"/>
        <v>0</v>
      </c>
      <c r="CV172" s="154">
        <f t="shared" si="468"/>
        <v>0</v>
      </c>
      <c r="CW172" s="154" t="str">
        <f t="shared" si="469"/>
        <v/>
      </c>
      <c r="CX172" s="154" t="str">
        <f t="shared" si="470"/>
        <v/>
      </c>
      <c r="CY172" s="154" t="str">
        <f t="shared" si="471"/>
        <v/>
      </c>
      <c r="CZ172" s="153" t="str">
        <f t="shared" si="472"/>
        <v/>
      </c>
      <c r="DA172" s="154" t="str">
        <f t="shared" si="473"/>
        <v/>
      </c>
      <c r="DB172" s="153" t="str">
        <f t="shared" si="474"/>
        <v/>
      </c>
      <c r="DC172" s="154">
        <f t="shared" si="475"/>
        <v>0</v>
      </c>
      <c r="DD172" s="826" t="str">
        <f>IF('Marks Entry'!AS172="","",IF(OR('Master Sheet'!$D$19="YES",'Marks Entry'!$BA$1=1),'Marks Entry'!AS172,""))</f>
        <v/>
      </c>
      <c r="DE172" s="826" t="str">
        <f>IF('Marks Entry'!AT172="","",IF(OR('Master Sheet'!$D$19="YES",'Marks Entry'!$BA$1=1),'Marks Entry'!AT172,""))</f>
        <v/>
      </c>
      <c r="DF172" s="826" t="str">
        <f>IF('Marks Entry'!AU172="","",IF(OR('Master Sheet'!$D$19="YES",'Marks Entry'!$BA$1=1),'Marks Entry'!AU172,""))</f>
        <v/>
      </c>
      <c r="DG172" s="826" t="str">
        <f>IF('Marks Entry'!AV172="","",IF(OR('Master Sheet'!$D$19="YES",'Marks Entry'!$BA$1=1),'Marks Entry'!AV172,""))</f>
        <v/>
      </c>
      <c r="DH172" s="827" t="str">
        <f t="shared" si="476"/>
        <v/>
      </c>
      <c r="DI172" s="826" t="str">
        <f>IF('Marks Entry'!AW172="","",IF(OR('Master Sheet'!$D$19="YES",'Marks Entry'!$BA$1=1),'Marks Entry'!AW172,""))</f>
        <v/>
      </c>
      <c r="DJ172" s="826" t="str">
        <f>IF('Marks Entry'!AX172="","",IF(OR('Master Sheet'!$D$19="YES",'Marks Entry'!$BA$1=1),'Marks Entry'!AX172,""))</f>
        <v/>
      </c>
      <c r="DK172" s="827" t="str">
        <f t="shared" si="477"/>
        <v/>
      </c>
      <c r="DL172" s="827" t="str">
        <f t="shared" si="478"/>
        <v/>
      </c>
      <c r="DM172" s="826" t="str">
        <f>IF('Marks Entry'!AY172="","",IF(OR('Master Sheet'!$D$19="YES",'Marks Entry'!$BA$1=1),'Marks Entry'!AY172,""))</f>
        <v/>
      </c>
      <c r="DN172" s="826" t="str">
        <f>IF('Marks Entry'!AZ172="","",IF(OR('Master Sheet'!$D$19="YES",'Marks Entry'!$BA$1=1),'Marks Entry'!AZ172,""))</f>
        <v/>
      </c>
      <c r="DO172" s="826" t="str">
        <f>IF('Marks Entry'!BA172="","",IF(OR('Master Sheet'!$D$19="YES",'Marks Entry'!$BA$1=1),'Marks Entry'!BA172,""))</f>
        <v/>
      </c>
      <c r="DP172" s="827" t="str">
        <f t="shared" si="479"/>
        <v/>
      </c>
      <c r="DQ172" s="157" t="str">
        <f t="shared" si="480"/>
        <v/>
      </c>
      <c r="DR172" s="157" t="str">
        <f t="shared" si="481"/>
        <v/>
      </c>
      <c r="DS172" s="157" t="str">
        <f t="shared" si="482"/>
        <v/>
      </c>
      <c r="DT172" s="192" t="str">
        <f t="shared" si="483"/>
        <v/>
      </c>
      <c r="DU172" s="153">
        <f t="shared" si="484"/>
        <v>0</v>
      </c>
      <c r="DV172" s="154" t="e">
        <f t="shared" si="485"/>
        <v>#VALUE!</v>
      </c>
      <c r="DW172" s="154" t="str">
        <f t="shared" si="486"/>
        <v/>
      </c>
      <c r="DX172" s="154" t="str">
        <f>IF(OR($B172="NSO",$B172=0,DS172=""),"",IF(AND(DJ172="",DO172=""),"",IF('Master Sheet'!$D$19="YES",$DO$6-COUNTIF(DO172,"ML")*DO$6,DS$6-(COUNTIF(DJ172,"ML")*DJ$6)-(COUNTIF(DO172,"ML")*DO$6))))</f>
        <v/>
      </c>
      <c r="DY172" s="154" t="str">
        <f>IF(OR($B172="NSO",$B172=0),"",IF(AND(DH172="",DI172="",DM172=""),"",IF(AND('Master Sheet'!$D$19="YES",'Marks Entry'!$BA$1=1),100,IF(AND(DJ172="",DO172=""),SUM(($DQ$7+$DR$7)-(DU172+DV172)),SUM(($DQ$6+$DR$6)-(DU172+DV172))))))</f>
        <v/>
      </c>
      <c r="DZ172" s="153" t="str">
        <f t="shared" si="487"/>
        <v/>
      </c>
      <c r="EA172" s="154" t="str">
        <f t="shared" si="488"/>
        <v/>
      </c>
      <c r="EB172" s="153" t="str">
        <f t="shared" si="489"/>
        <v/>
      </c>
      <c r="EC172" s="584" t="str">
        <f>IF('Marks Entry'!BB172="","",'Marks Entry'!BB172)</f>
        <v/>
      </c>
      <c r="ED172" s="584" t="str">
        <f>IF('Marks Entry'!BC172="","",'Marks Entry'!BC172)</f>
        <v/>
      </c>
      <c r="EE172" s="584" t="str">
        <f>IF('Marks Entry'!BD172="","",'Marks Entry'!BD172)</f>
        <v/>
      </c>
      <c r="EF172" s="590" t="str">
        <f t="shared" si="490"/>
        <v/>
      </c>
      <c r="EG172" s="595">
        <f t="shared" si="491"/>
        <v>0</v>
      </c>
      <c r="EH172" s="595">
        <f t="shared" si="492"/>
        <v>0</v>
      </c>
      <c r="EI172" s="193" t="str">
        <f t="shared" si="493"/>
        <v/>
      </c>
      <c r="EJ172" s="595" t="str">
        <f t="shared" si="494"/>
        <v/>
      </c>
      <c r="EK172" s="595" t="str">
        <f t="shared" si="495"/>
        <v/>
      </c>
      <c r="EL172" s="194" t="str">
        <f t="shared" si="496"/>
        <v/>
      </c>
      <c r="EM172" s="194" t="str">
        <f t="shared" si="497"/>
        <v/>
      </c>
      <c r="EN172" s="194" t="str">
        <f t="shared" si="498"/>
        <v/>
      </c>
      <c r="EO172" s="194" t="str">
        <f t="shared" si="499"/>
        <v/>
      </c>
      <c r="EP172" s="194" t="str">
        <f t="shared" si="500"/>
        <v/>
      </c>
      <c r="EQ172" s="194" t="str">
        <f t="shared" si="501"/>
        <v/>
      </c>
      <c r="ER172" s="195">
        <f t="shared" si="502"/>
        <v>0</v>
      </c>
      <c r="ES172" s="195">
        <f t="shared" si="503"/>
        <v>0</v>
      </c>
      <c r="ET172" s="195">
        <f t="shared" si="504"/>
        <v>0</v>
      </c>
      <c r="EU172" s="195">
        <f t="shared" si="505"/>
        <v>0</v>
      </c>
      <c r="EV172" s="195">
        <f t="shared" si="506"/>
        <v>0</v>
      </c>
      <c r="EW172" s="195" t="str">
        <f t="shared" si="507"/>
        <v/>
      </c>
      <c r="EX172" s="196" t="str">
        <f t="shared" si="508"/>
        <v/>
      </c>
      <c r="EY172" s="197" t="str">
        <f>IF('Marks Entry'!BE172="","",'Marks Entry'!BE172)</f>
        <v/>
      </c>
      <c r="EZ172" s="197" t="str">
        <f>IF('Marks Entry'!BF172="","",'Marks Entry'!BF172)</f>
        <v/>
      </c>
      <c r="FA172" s="197" t="str">
        <f>IF('Marks Entry'!BG172="","",'Marks Entry'!BG172)</f>
        <v/>
      </c>
      <c r="FB172" s="596" t="str">
        <f t="shared" si="509"/>
        <v/>
      </c>
      <c r="FC172" s="197" t="str">
        <f>IF('Marks Entry'!BH172="","",'Marks Entry'!BH172)</f>
        <v/>
      </c>
      <c r="FD172" s="197" t="str">
        <f>IF('Marks Entry'!BI172="","",'Marks Entry'!BI172)</f>
        <v/>
      </c>
      <c r="FE172" s="198" t="str">
        <f t="shared" si="510"/>
        <v/>
      </c>
      <c r="FF172" s="199" t="str">
        <f t="shared" si="511"/>
        <v/>
      </c>
      <c r="FG172" s="200" t="str">
        <f>IF(AND(E172=""),"",IF('Student DATA Entry'!L168="","",'Student DATA Entry'!L168))</f>
        <v/>
      </c>
      <c r="FH172" s="201" t="str">
        <f>IF(AND(E172=""),"",IF('Student DATA Entry'!M168="","",'Student DATA Entry'!M168))</f>
        <v/>
      </c>
      <c r="FI172" s="202" t="str">
        <f t="shared" si="512"/>
        <v/>
      </c>
      <c r="FJ172" s="189" t="str">
        <f t="shared" si="513"/>
        <v/>
      </c>
      <c r="FK172" s="189" t="str">
        <f t="shared" si="514"/>
        <v/>
      </c>
      <c r="FL172" s="203" t="str">
        <f t="shared" si="542"/>
        <v/>
      </c>
      <c r="FM172" s="189" t="str">
        <f t="shared" si="515"/>
        <v/>
      </c>
      <c r="FN172" s="204" t="str">
        <f t="shared" si="516"/>
        <v/>
      </c>
      <c r="FO172" s="203" t="str">
        <f t="shared" si="543"/>
        <v/>
      </c>
      <c r="FP172" s="205" t="str">
        <f t="shared" si="517"/>
        <v/>
      </c>
      <c r="FQ172" s="189" t="str">
        <f t="shared" si="544"/>
        <v/>
      </c>
      <c r="FR172" s="189" t="str">
        <f t="shared" si="545"/>
        <v/>
      </c>
      <c r="FS172" s="189" t="str">
        <f t="shared" si="546"/>
        <v/>
      </c>
      <c r="FT172" s="189" t="str">
        <f t="shared" si="547"/>
        <v/>
      </c>
      <c r="FU172" s="189" t="str">
        <f t="shared" si="518"/>
        <v/>
      </c>
      <c r="FV172" s="206" t="str">
        <f t="shared" si="548"/>
        <v/>
      </c>
      <c r="FW172" s="205" t="str">
        <f t="shared" si="519"/>
        <v/>
      </c>
      <c r="FX172" s="189" t="str">
        <f t="shared" si="549"/>
        <v/>
      </c>
      <c r="FY172" s="189" t="str">
        <f t="shared" si="550"/>
        <v/>
      </c>
      <c r="FZ172" s="189" t="str">
        <f t="shared" si="551"/>
        <v/>
      </c>
      <c r="GA172" s="189" t="str">
        <f t="shared" si="552"/>
        <v/>
      </c>
      <c r="GB172" s="189" t="str">
        <f t="shared" si="520"/>
        <v/>
      </c>
      <c r="GC172" s="206" t="str">
        <f t="shared" si="553"/>
        <v/>
      </c>
      <c r="GD172" s="205" t="str">
        <f t="shared" si="521"/>
        <v/>
      </c>
      <c r="GE172" s="189" t="str">
        <f t="shared" si="554"/>
        <v/>
      </c>
      <c r="GF172" s="189" t="str">
        <f t="shared" si="555"/>
        <v/>
      </c>
      <c r="GG172" s="189" t="str">
        <f t="shared" si="556"/>
        <v/>
      </c>
      <c r="GH172" s="189" t="str">
        <f t="shared" si="557"/>
        <v/>
      </c>
      <c r="GI172" s="189" t="str">
        <f t="shared" si="522"/>
        <v/>
      </c>
      <c r="GJ172" s="206" t="str">
        <f t="shared" si="558"/>
        <v/>
      </c>
      <c r="GK172" s="205" t="str">
        <f t="shared" si="523"/>
        <v/>
      </c>
      <c r="GL172" s="189" t="str">
        <f t="shared" si="559"/>
        <v/>
      </c>
      <c r="GM172" s="189" t="str">
        <f t="shared" si="560"/>
        <v/>
      </c>
      <c r="GN172" s="189" t="str">
        <f t="shared" si="561"/>
        <v/>
      </c>
      <c r="GO172" s="189" t="str">
        <f t="shared" si="562"/>
        <v/>
      </c>
      <c r="GP172" s="189" t="str">
        <f t="shared" si="524"/>
        <v/>
      </c>
      <c r="GQ172" s="206" t="str">
        <f t="shared" si="563"/>
        <v/>
      </c>
      <c r="GR172" s="189" t="str">
        <f t="shared" si="525"/>
        <v/>
      </c>
      <c r="GS172" s="189" t="str">
        <f t="shared" si="526"/>
        <v/>
      </c>
      <c r="GT172" s="207" t="str">
        <f t="shared" si="527"/>
        <v xml:space="preserve">    </v>
      </c>
      <c r="GU172" s="207" t="str">
        <f t="shared" si="528"/>
        <v xml:space="preserve">    </v>
      </c>
      <c r="GV172" s="207" t="str">
        <f t="shared" si="529"/>
        <v xml:space="preserve">    </v>
      </c>
      <c r="GW172" s="207" t="str">
        <f t="shared" si="530"/>
        <v xml:space="preserve">       </v>
      </c>
      <c r="GX172" s="598" t="str">
        <f t="shared" si="531"/>
        <v xml:space="preserve">     </v>
      </c>
      <c r="GY172" s="208" t="str">
        <f t="shared" si="564"/>
        <v/>
      </c>
      <c r="GZ172" s="606" t="str">
        <f>IF(AND(Q172="",AE172="",AZ172="",BW172="",CT172=""),"",IF(AND('Master Sheet'!$D$19="YES",'Marks Entry'!$BA$1=1),SUM(Q172,AE172,AZ172,BW172,DT172),SUM(Q172,AE172,AZ172,BW172,CT172)))</f>
        <v/>
      </c>
      <c r="HA172" s="209" t="str">
        <f>IF(GZ172="","",IF(AND('Master Sheet'!$D$19="YES",'Marks Entry'!$BA$1=1),GZ172/((900)-DC172)*100,GZ172/((1000)-DC172)*100))</f>
        <v/>
      </c>
      <c r="HB172" s="611" t="str">
        <f t="shared" si="532"/>
        <v/>
      </c>
      <c r="HC172" s="609" t="str">
        <f t="shared" si="533"/>
        <v/>
      </c>
      <c r="HD172" s="610" t="str">
        <f t="shared" si="534"/>
        <v/>
      </c>
      <c r="HE172" s="210" t="str">
        <f>IFERROR(IF(OR(GY172="SUPPLEMENTARY",GY172="RE-EXAM"),'Supp. Result Entry'!AS171,""),"")</f>
        <v/>
      </c>
      <c r="HF172" s="613" t="str">
        <f t="shared" si="535"/>
        <v/>
      </c>
      <c r="HG172" s="598" t="str">
        <f t="shared" si="536"/>
        <v/>
      </c>
      <c r="HH172" s="598" t="str">
        <f>IF(AND(HE172="",HF172="",HG172=""),"",IF(OR(GY172="SUPPLEMENTARY",GY172="RE-EXAM"),'Supp. Result Entry'!AS171,GY172))</f>
        <v/>
      </c>
      <c r="HI172" s="180"/>
      <c r="HY172" s="212" t="str">
        <f>IF('Supp. Result Entry'!U171="","",'Supp. Result Entry'!$U$6)</f>
        <v/>
      </c>
      <c r="HZ172" s="213" t="str">
        <f>IF('Supp. Result Entry'!X171="","",'Supp. Result Entry'!$X$6)</f>
        <v/>
      </c>
      <c r="IA172" s="213" t="str">
        <f>IF('Supp. Result Entry'!AA171="","",'Supp. Result Entry'!$AA$6)</f>
        <v/>
      </c>
      <c r="IB172" s="213" t="str">
        <f>IF('Supp. Result Entry'!AD171="","",'Supp. Result Entry'!$AD$6)</f>
        <v/>
      </c>
      <c r="IC172" s="213" t="str">
        <f>IF('Supp. Result Entry'!AG171="","",'Supp. Result Entry'!$AG$6)</f>
        <v/>
      </c>
      <c r="ID172" s="213" t="str">
        <f>IF('Supp. Result Entry'!AJ171="","",'Supp. Result Entry'!$AJ$6)</f>
        <v/>
      </c>
      <c r="IE172" s="213" t="str">
        <f>IF('Supp. Result Entry'!V171="","",'Supp. Result Entry'!V171)</f>
        <v/>
      </c>
      <c r="IF172" s="213" t="str">
        <f>IF('Supp. Result Entry'!Y171="","",'Supp. Result Entry'!Y171)</f>
        <v/>
      </c>
      <c r="IG172" s="213" t="str">
        <f>IF('Supp. Result Entry'!AB171="","",'Supp. Result Entry'!AB171)</f>
        <v/>
      </c>
      <c r="IH172" s="213" t="str">
        <f>IF('Supp. Result Entry'!AE171="","",'Supp. Result Entry'!AE171)</f>
        <v/>
      </c>
      <c r="II172" s="213" t="str">
        <f>IF('Supp. Result Entry'!AH171="","",'Supp. Result Entry'!AH171)</f>
        <v/>
      </c>
      <c r="IJ172" s="213" t="str">
        <f>IF('Supp. Result Entry'!AK171="","",'Supp. Result Entry'!AK171)</f>
        <v/>
      </c>
      <c r="IK172" s="213" t="str">
        <f>IF('Supp. Result Entry'!W171="","",'Supp. Result Entry'!W171)</f>
        <v/>
      </c>
      <c r="IL172" s="213" t="str">
        <f>IF('Supp. Result Entry'!Z171="","",'Supp. Result Entry'!Z171)</f>
        <v/>
      </c>
      <c r="IM172" s="213" t="str">
        <f>IF('Supp. Result Entry'!AC171="","",'Supp. Result Entry'!AC171)</f>
        <v/>
      </c>
      <c r="IN172" s="213" t="str">
        <f>IF('Supp. Result Entry'!AF171="","",'Supp. Result Entry'!AF171)</f>
        <v/>
      </c>
      <c r="IO172" s="213" t="str">
        <f>IF('Supp. Result Entry'!AI171="","",'Supp. Result Entry'!AI171)</f>
        <v/>
      </c>
      <c r="IP172" s="213" t="str">
        <f>IF('Supp. Result Entry'!AL171="","",'Supp. Result Entry'!AL171)</f>
        <v/>
      </c>
      <c r="IQ172" s="213">
        <f>COUNTIF('Supp. Result Entry'!K171:Q171,"S")</f>
        <v>0</v>
      </c>
      <c r="IR172" s="213">
        <f t="shared" si="537"/>
        <v>0</v>
      </c>
      <c r="IS172" s="213">
        <f t="shared" si="538"/>
        <v>0</v>
      </c>
      <c r="IT172" s="213" t="str">
        <f t="shared" si="406"/>
        <v/>
      </c>
      <c r="IU172" s="213" t="str">
        <f t="shared" si="407"/>
        <v/>
      </c>
      <c r="IV172" s="213" t="str">
        <f t="shared" si="408"/>
        <v/>
      </c>
      <c r="IW172" s="213" t="str">
        <f t="shared" si="409"/>
        <v/>
      </c>
      <c r="IX172" s="213" t="str">
        <f t="shared" si="410"/>
        <v/>
      </c>
      <c r="IY172" s="213" t="str">
        <f t="shared" si="539"/>
        <v/>
      </c>
      <c r="IZ172" s="213" t="str">
        <f t="shared" si="540"/>
        <v/>
      </c>
      <c r="JA172" s="213" t="str">
        <f t="shared" si="411"/>
        <v/>
      </c>
      <c r="JB172" s="211" t="str">
        <f t="shared" si="541"/>
        <v/>
      </c>
    </row>
    <row r="173" spans="1:262" s="211" customFormat="1" ht="21" customHeight="1">
      <c r="A173" s="184">
        <v>166</v>
      </c>
      <c r="B173" s="185" t="str">
        <f>IF('Marks Entry'!B173="","",'Marks Entry'!B173)</f>
        <v/>
      </c>
      <c r="C173" s="186" t="str">
        <f>IF('Marks Entry'!D173="","",'Marks Entry'!D173)</f>
        <v/>
      </c>
      <c r="D173" s="187" t="str">
        <f>IF('Marks Entry'!E173="","",'Marks Entry'!E173)</f>
        <v/>
      </c>
      <c r="E173" s="188" t="str">
        <f>IF('Marks Entry'!F173="","",'Marks Entry'!F173)</f>
        <v/>
      </c>
      <c r="F173" s="188" t="str">
        <f>IF('Marks Entry'!G173="","",'Marks Entry'!G173)</f>
        <v/>
      </c>
      <c r="G173" s="188" t="str">
        <f>IF('Marks Entry'!H173="","",'Marks Entry'!H173)</f>
        <v/>
      </c>
      <c r="H173" s="189" t="str">
        <f>IF('Marks Entry'!I173="","",'Marks Entry'!I173)</f>
        <v/>
      </c>
      <c r="I173" s="190" t="str">
        <f>IF('Marks Entry'!J173="","",'Marks Entry'!J173)</f>
        <v/>
      </c>
      <c r="J173" s="545" t="str">
        <f>IF('Marks Entry'!K173="","",'Marks Entry'!K173)</f>
        <v/>
      </c>
      <c r="K173" s="545" t="str">
        <f>IF('Marks Entry'!L173="","",'Marks Entry'!L173)</f>
        <v/>
      </c>
      <c r="L173" s="545" t="str">
        <f>IF('Marks Entry'!M173="","",'Marks Entry'!M173)</f>
        <v/>
      </c>
      <c r="M173" s="546" t="str">
        <f t="shared" si="412"/>
        <v/>
      </c>
      <c r="N173" s="545" t="str">
        <f>IF('Marks Entry'!N173="","",'Marks Entry'!N173)</f>
        <v/>
      </c>
      <c r="O173" s="546" t="str">
        <f t="shared" si="413"/>
        <v/>
      </c>
      <c r="P173" s="545" t="str">
        <f>IF('Marks Entry'!O173="","",'Marks Entry'!O173)</f>
        <v/>
      </c>
      <c r="Q173" s="547" t="str">
        <f t="shared" si="414"/>
        <v/>
      </c>
      <c r="R173" s="153">
        <f t="shared" si="415"/>
        <v>0</v>
      </c>
      <c r="S173" s="153">
        <f t="shared" si="416"/>
        <v>0</v>
      </c>
      <c r="T173" s="154" t="str">
        <f t="shared" si="417"/>
        <v/>
      </c>
      <c r="U173" s="153" t="str">
        <f t="shared" si="418"/>
        <v/>
      </c>
      <c r="V173" s="153" t="str">
        <f t="shared" si="419"/>
        <v/>
      </c>
      <c r="W173" s="153" t="str">
        <f t="shared" si="420"/>
        <v/>
      </c>
      <c r="X173" s="545" t="str">
        <f>IF('Marks Entry'!P173="","",'Marks Entry'!P173)</f>
        <v/>
      </c>
      <c r="Y173" s="545" t="str">
        <f>IF('Marks Entry'!Q173="","",'Marks Entry'!Q173)</f>
        <v/>
      </c>
      <c r="Z173" s="545" t="str">
        <f>IF('Marks Entry'!R173="","",'Marks Entry'!R173)</f>
        <v/>
      </c>
      <c r="AA173" s="546" t="str">
        <f t="shared" si="421"/>
        <v/>
      </c>
      <c r="AB173" s="545" t="str">
        <f>IF('Marks Entry'!S173="","",'Marks Entry'!S173)</f>
        <v/>
      </c>
      <c r="AC173" s="546" t="str">
        <f t="shared" si="422"/>
        <v/>
      </c>
      <c r="AD173" s="545" t="str">
        <f>IF('Marks Entry'!T173="","",'Marks Entry'!T173)</f>
        <v/>
      </c>
      <c r="AE173" s="547" t="str">
        <f t="shared" si="423"/>
        <v/>
      </c>
      <c r="AF173" s="153">
        <f t="shared" si="424"/>
        <v>0</v>
      </c>
      <c r="AG173" s="153">
        <f t="shared" si="425"/>
        <v>0</v>
      </c>
      <c r="AH173" s="154" t="str">
        <f t="shared" si="426"/>
        <v/>
      </c>
      <c r="AI173" s="153" t="str">
        <f t="shared" si="427"/>
        <v/>
      </c>
      <c r="AJ173" s="153" t="str">
        <f t="shared" si="428"/>
        <v/>
      </c>
      <c r="AK173" s="153" t="str">
        <f t="shared" si="429"/>
        <v/>
      </c>
      <c r="AL173" s="573" t="str">
        <f>IF('Marks Entry'!U173="","",'Marks Entry'!U173)</f>
        <v/>
      </c>
      <c r="AM173" s="573" t="str">
        <f>IF('Marks Entry'!V173="","",'Marks Entry'!V173)</f>
        <v/>
      </c>
      <c r="AN173" s="573" t="str">
        <f>IF('Marks Entry'!W173="","",'Marks Entry'!W173)</f>
        <v/>
      </c>
      <c r="AO173" s="573" t="str">
        <f>IF('Marks Entry'!X173="","",'Marks Entry'!X173)</f>
        <v/>
      </c>
      <c r="AP173" s="572" t="str">
        <f t="shared" si="430"/>
        <v/>
      </c>
      <c r="AQ173" s="573" t="str">
        <f>IF('Marks Entry'!Y173="","",'Marks Entry'!Y173)</f>
        <v/>
      </c>
      <c r="AR173" s="573" t="str">
        <f>IF('Marks Entry'!Z173="","",'Marks Entry'!Z173)</f>
        <v/>
      </c>
      <c r="AS173" s="572" t="str">
        <f t="shared" si="431"/>
        <v/>
      </c>
      <c r="AT173" s="572" t="str">
        <f t="shared" si="432"/>
        <v/>
      </c>
      <c r="AU173" s="573" t="str">
        <f>IF('Marks Entry'!AA173="","",'Marks Entry'!AA173)</f>
        <v/>
      </c>
      <c r="AV173" s="573" t="str">
        <f>IF('Marks Entry'!AB173="","",'Marks Entry'!AB173)</f>
        <v/>
      </c>
      <c r="AW173" s="572" t="str">
        <f t="shared" si="433"/>
        <v/>
      </c>
      <c r="AX173" s="157" t="str">
        <f t="shared" si="434"/>
        <v/>
      </c>
      <c r="AY173" s="157" t="str">
        <f t="shared" si="435"/>
        <v/>
      </c>
      <c r="AZ173" s="192" t="str">
        <f t="shared" si="436"/>
        <v/>
      </c>
      <c r="BA173" s="153">
        <f t="shared" si="437"/>
        <v>0</v>
      </c>
      <c r="BB173" s="154">
        <f t="shared" si="438"/>
        <v>0</v>
      </c>
      <c r="BC173" s="154" t="str">
        <f t="shared" si="439"/>
        <v/>
      </c>
      <c r="BD173" s="154" t="str">
        <f t="shared" si="440"/>
        <v/>
      </c>
      <c r="BE173" s="154" t="str">
        <f t="shared" si="441"/>
        <v/>
      </c>
      <c r="BF173" s="153" t="str">
        <f t="shared" si="442"/>
        <v/>
      </c>
      <c r="BG173" s="154" t="str">
        <f t="shared" si="443"/>
        <v/>
      </c>
      <c r="BH173" s="153" t="str">
        <f t="shared" si="444"/>
        <v/>
      </c>
      <c r="BI173" s="580" t="str">
        <f>IF('Marks Entry'!AC173="","",'Marks Entry'!AC173)</f>
        <v/>
      </c>
      <c r="BJ173" s="580" t="str">
        <f>IF('Marks Entry'!AD173="","",'Marks Entry'!AD173)</f>
        <v/>
      </c>
      <c r="BK173" s="580" t="str">
        <f>IF('Marks Entry'!AE173="","",'Marks Entry'!AE173)</f>
        <v/>
      </c>
      <c r="BL173" s="580" t="str">
        <f>IF('Marks Entry'!AF173="","",'Marks Entry'!AF173)</f>
        <v/>
      </c>
      <c r="BM173" s="581" t="str">
        <f t="shared" si="445"/>
        <v/>
      </c>
      <c r="BN173" s="580" t="str">
        <f>IF('Marks Entry'!AG173="","",'Marks Entry'!AG173)</f>
        <v/>
      </c>
      <c r="BO173" s="580" t="str">
        <f>IF('Marks Entry'!AH173="","",'Marks Entry'!AH173)</f>
        <v/>
      </c>
      <c r="BP173" s="581" t="str">
        <f t="shared" si="446"/>
        <v/>
      </c>
      <c r="BQ173" s="581" t="str">
        <f t="shared" si="447"/>
        <v/>
      </c>
      <c r="BR173" s="580" t="str">
        <f>IF('Marks Entry'!AI173="","",'Marks Entry'!AI173)</f>
        <v/>
      </c>
      <c r="BS173" s="580" t="str">
        <f>IF('Marks Entry'!AJ173="","",'Marks Entry'!AJ173)</f>
        <v/>
      </c>
      <c r="BT173" s="581" t="str">
        <f t="shared" si="448"/>
        <v/>
      </c>
      <c r="BU173" s="157" t="str">
        <f t="shared" si="449"/>
        <v/>
      </c>
      <c r="BV173" s="157" t="str">
        <f t="shared" si="450"/>
        <v/>
      </c>
      <c r="BW173" s="192" t="str">
        <f t="shared" si="451"/>
        <v/>
      </c>
      <c r="BX173" s="153">
        <f t="shared" si="452"/>
        <v>0</v>
      </c>
      <c r="BY173" s="154">
        <f t="shared" si="453"/>
        <v>0</v>
      </c>
      <c r="BZ173" s="154" t="str">
        <f t="shared" si="454"/>
        <v/>
      </c>
      <c r="CA173" s="154" t="str">
        <f t="shared" si="455"/>
        <v/>
      </c>
      <c r="CB173" s="154" t="str">
        <f t="shared" si="456"/>
        <v/>
      </c>
      <c r="CC173" s="153" t="str">
        <f t="shared" si="457"/>
        <v/>
      </c>
      <c r="CD173" s="154" t="str">
        <f t="shared" si="458"/>
        <v/>
      </c>
      <c r="CE173" s="153" t="str">
        <f t="shared" si="459"/>
        <v/>
      </c>
      <c r="CF173" s="580" t="str">
        <f>IF('Marks Entry'!AK173="","",'Marks Entry'!AK173)</f>
        <v/>
      </c>
      <c r="CG173" s="580" t="str">
        <f>IF('Marks Entry'!AL173="","",'Marks Entry'!AL173)</f>
        <v/>
      </c>
      <c r="CH173" s="580" t="str">
        <f>IF('Marks Entry'!AM173="","",'Marks Entry'!AM173)</f>
        <v/>
      </c>
      <c r="CI173" s="580" t="str">
        <f>IF('Marks Entry'!AN173="","",'Marks Entry'!AN173)</f>
        <v/>
      </c>
      <c r="CJ173" s="581" t="str">
        <f t="shared" si="460"/>
        <v/>
      </c>
      <c r="CK173" s="580" t="str">
        <f>IF('Marks Entry'!AO173="","",'Marks Entry'!AO173)</f>
        <v/>
      </c>
      <c r="CL173" s="580" t="str">
        <f>IF('Marks Entry'!AP173="","",'Marks Entry'!AP173)</f>
        <v/>
      </c>
      <c r="CM173" s="581" t="str">
        <f t="shared" si="461"/>
        <v/>
      </c>
      <c r="CN173" s="581" t="str">
        <f t="shared" si="462"/>
        <v/>
      </c>
      <c r="CO173" s="580" t="str">
        <f>IF('Marks Entry'!AQ173="","",'Marks Entry'!AQ173)</f>
        <v/>
      </c>
      <c r="CP173" s="580" t="str">
        <f>IF('Marks Entry'!AR173="","",'Marks Entry'!AR173)</f>
        <v/>
      </c>
      <c r="CQ173" s="581" t="str">
        <f t="shared" si="463"/>
        <v/>
      </c>
      <c r="CR173" s="157" t="str">
        <f t="shared" si="464"/>
        <v/>
      </c>
      <c r="CS173" s="157" t="str">
        <f t="shared" si="465"/>
        <v/>
      </c>
      <c r="CT173" s="192" t="str">
        <f t="shared" si="466"/>
        <v/>
      </c>
      <c r="CU173" s="153">
        <f t="shared" si="467"/>
        <v>0</v>
      </c>
      <c r="CV173" s="154">
        <f t="shared" si="468"/>
        <v>0</v>
      </c>
      <c r="CW173" s="154" t="str">
        <f t="shared" si="469"/>
        <v/>
      </c>
      <c r="CX173" s="154" t="str">
        <f t="shared" si="470"/>
        <v/>
      </c>
      <c r="CY173" s="154" t="str">
        <f t="shared" si="471"/>
        <v/>
      </c>
      <c r="CZ173" s="153" t="str">
        <f t="shared" si="472"/>
        <v/>
      </c>
      <c r="DA173" s="154" t="str">
        <f t="shared" si="473"/>
        <v/>
      </c>
      <c r="DB173" s="153" t="str">
        <f t="shared" si="474"/>
        <v/>
      </c>
      <c r="DC173" s="154">
        <f t="shared" si="475"/>
        <v>0</v>
      </c>
      <c r="DD173" s="826" t="str">
        <f>IF('Marks Entry'!AS173="","",IF(OR('Master Sheet'!$D$19="YES",'Marks Entry'!$BA$1=1),'Marks Entry'!AS173,""))</f>
        <v/>
      </c>
      <c r="DE173" s="826" t="str">
        <f>IF('Marks Entry'!AT173="","",IF(OR('Master Sheet'!$D$19="YES",'Marks Entry'!$BA$1=1),'Marks Entry'!AT173,""))</f>
        <v/>
      </c>
      <c r="DF173" s="826" t="str">
        <f>IF('Marks Entry'!AU173="","",IF(OR('Master Sheet'!$D$19="YES",'Marks Entry'!$BA$1=1),'Marks Entry'!AU173,""))</f>
        <v/>
      </c>
      <c r="DG173" s="826" t="str">
        <f>IF('Marks Entry'!AV173="","",IF(OR('Master Sheet'!$D$19="YES",'Marks Entry'!$BA$1=1),'Marks Entry'!AV173,""))</f>
        <v/>
      </c>
      <c r="DH173" s="827" t="str">
        <f t="shared" si="476"/>
        <v/>
      </c>
      <c r="DI173" s="826" t="str">
        <f>IF('Marks Entry'!AW173="","",IF(OR('Master Sheet'!$D$19="YES",'Marks Entry'!$BA$1=1),'Marks Entry'!AW173,""))</f>
        <v/>
      </c>
      <c r="DJ173" s="826" t="str">
        <f>IF('Marks Entry'!AX173="","",IF(OR('Master Sheet'!$D$19="YES",'Marks Entry'!$BA$1=1),'Marks Entry'!AX173,""))</f>
        <v/>
      </c>
      <c r="DK173" s="827" t="str">
        <f t="shared" si="477"/>
        <v/>
      </c>
      <c r="DL173" s="827" t="str">
        <f t="shared" si="478"/>
        <v/>
      </c>
      <c r="DM173" s="826" t="str">
        <f>IF('Marks Entry'!AY173="","",IF(OR('Master Sheet'!$D$19="YES",'Marks Entry'!$BA$1=1),'Marks Entry'!AY173,""))</f>
        <v/>
      </c>
      <c r="DN173" s="826" t="str">
        <f>IF('Marks Entry'!AZ173="","",IF(OR('Master Sheet'!$D$19="YES",'Marks Entry'!$BA$1=1),'Marks Entry'!AZ173,""))</f>
        <v/>
      </c>
      <c r="DO173" s="826" t="str">
        <f>IF('Marks Entry'!BA173="","",IF(OR('Master Sheet'!$D$19="YES",'Marks Entry'!$BA$1=1),'Marks Entry'!BA173,""))</f>
        <v/>
      </c>
      <c r="DP173" s="827" t="str">
        <f t="shared" si="479"/>
        <v/>
      </c>
      <c r="DQ173" s="157" t="str">
        <f t="shared" si="480"/>
        <v/>
      </c>
      <c r="DR173" s="157" t="str">
        <f t="shared" si="481"/>
        <v/>
      </c>
      <c r="DS173" s="157" t="str">
        <f t="shared" si="482"/>
        <v/>
      </c>
      <c r="DT173" s="192" t="str">
        <f t="shared" si="483"/>
        <v/>
      </c>
      <c r="DU173" s="153">
        <f t="shared" si="484"/>
        <v>0</v>
      </c>
      <c r="DV173" s="154" t="e">
        <f t="shared" si="485"/>
        <v>#VALUE!</v>
      </c>
      <c r="DW173" s="154" t="str">
        <f t="shared" si="486"/>
        <v/>
      </c>
      <c r="DX173" s="154" t="str">
        <f>IF(OR($B173="NSO",$B173=0,DS173=""),"",IF(AND(DJ173="",DO173=""),"",IF('Master Sheet'!$D$19="YES",$DO$6-COUNTIF(DO173,"ML")*DO$6,DS$6-(COUNTIF(DJ173,"ML")*DJ$6)-(COUNTIF(DO173,"ML")*DO$6))))</f>
        <v/>
      </c>
      <c r="DY173" s="154" t="str">
        <f>IF(OR($B173="NSO",$B173=0),"",IF(AND(DH173="",DI173="",DM173=""),"",IF(AND('Master Sheet'!$D$19="YES",'Marks Entry'!$BA$1=1),100,IF(AND(DJ173="",DO173=""),SUM(($DQ$7+$DR$7)-(DU173+DV173)),SUM(($DQ$6+$DR$6)-(DU173+DV173))))))</f>
        <v/>
      </c>
      <c r="DZ173" s="153" t="str">
        <f t="shared" si="487"/>
        <v/>
      </c>
      <c r="EA173" s="154" t="str">
        <f t="shared" si="488"/>
        <v/>
      </c>
      <c r="EB173" s="153" t="str">
        <f t="shared" si="489"/>
        <v/>
      </c>
      <c r="EC173" s="584" t="str">
        <f>IF('Marks Entry'!BB173="","",'Marks Entry'!BB173)</f>
        <v/>
      </c>
      <c r="ED173" s="584" t="str">
        <f>IF('Marks Entry'!BC173="","",'Marks Entry'!BC173)</f>
        <v/>
      </c>
      <c r="EE173" s="584" t="str">
        <f>IF('Marks Entry'!BD173="","",'Marks Entry'!BD173)</f>
        <v/>
      </c>
      <c r="EF173" s="590" t="str">
        <f t="shared" si="490"/>
        <v/>
      </c>
      <c r="EG173" s="595">
        <f t="shared" si="491"/>
        <v>0</v>
      </c>
      <c r="EH173" s="595">
        <f t="shared" si="492"/>
        <v>0</v>
      </c>
      <c r="EI173" s="193" t="str">
        <f t="shared" si="493"/>
        <v/>
      </c>
      <c r="EJ173" s="595" t="str">
        <f t="shared" si="494"/>
        <v/>
      </c>
      <c r="EK173" s="595" t="str">
        <f t="shared" si="495"/>
        <v/>
      </c>
      <c r="EL173" s="194" t="str">
        <f t="shared" si="496"/>
        <v/>
      </c>
      <c r="EM173" s="194" t="str">
        <f t="shared" si="497"/>
        <v/>
      </c>
      <c r="EN173" s="194" t="str">
        <f t="shared" si="498"/>
        <v/>
      </c>
      <c r="EO173" s="194" t="str">
        <f t="shared" si="499"/>
        <v/>
      </c>
      <c r="EP173" s="194" t="str">
        <f t="shared" si="500"/>
        <v/>
      </c>
      <c r="EQ173" s="194" t="str">
        <f t="shared" si="501"/>
        <v/>
      </c>
      <c r="ER173" s="195">
        <f t="shared" si="502"/>
        <v>0</v>
      </c>
      <c r="ES173" s="195">
        <f t="shared" si="503"/>
        <v>0</v>
      </c>
      <c r="ET173" s="195">
        <f t="shared" si="504"/>
        <v>0</v>
      </c>
      <c r="EU173" s="195">
        <f t="shared" si="505"/>
        <v>0</v>
      </c>
      <c r="EV173" s="195">
        <f t="shared" si="506"/>
        <v>0</v>
      </c>
      <c r="EW173" s="195" t="str">
        <f t="shared" si="507"/>
        <v/>
      </c>
      <c r="EX173" s="196" t="str">
        <f t="shared" si="508"/>
        <v/>
      </c>
      <c r="EY173" s="197" t="str">
        <f>IF('Marks Entry'!BE173="","",'Marks Entry'!BE173)</f>
        <v/>
      </c>
      <c r="EZ173" s="197" t="str">
        <f>IF('Marks Entry'!BF173="","",'Marks Entry'!BF173)</f>
        <v/>
      </c>
      <c r="FA173" s="197" t="str">
        <f>IF('Marks Entry'!BG173="","",'Marks Entry'!BG173)</f>
        <v/>
      </c>
      <c r="FB173" s="596" t="str">
        <f t="shared" si="509"/>
        <v/>
      </c>
      <c r="FC173" s="197" t="str">
        <f>IF('Marks Entry'!BH173="","",'Marks Entry'!BH173)</f>
        <v/>
      </c>
      <c r="FD173" s="197" t="str">
        <f>IF('Marks Entry'!BI173="","",'Marks Entry'!BI173)</f>
        <v/>
      </c>
      <c r="FE173" s="198" t="str">
        <f t="shared" si="510"/>
        <v/>
      </c>
      <c r="FF173" s="199" t="str">
        <f t="shared" si="511"/>
        <v/>
      </c>
      <c r="FG173" s="200" t="str">
        <f>IF(AND(E173=""),"",IF('Student DATA Entry'!L169="","",'Student DATA Entry'!L169))</f>
        <v/>
      </c>
      <c r="FH173" s="201" t="str">
        <f>IF(AND(E173=""),"",IF('Student DATA Entry'!M169="","",'Student DATA Entry'!M169))</f>
        <v/>
      </c>
      <c r="FI173" s="202" t="str">
        <f t="shared" si="512"/>
        <v/>
      </c>
      <c r="FJ173" s="189" t="str">
        <f t="shared" si="513"/>
        <v/>
      </c>
      <c r="FK173" s="189" t="str">
        <f t="shared" si="514"/>
        <v/>
      </c>
      <c r="FL173" s="203" t="str">
        <f t="shared" si="542"/>
        <v/>
      </c>
      <c r="FM173" s="189" t="str">
        <f t="shared" si="515"/>
        <v/>
      </c>
      <c r="FN173" s="204" t="str">
        <f t="shared" si="516"/>
        <v/>
      </c>
      <c r="FO173" s="203" t="str">
        <f t="shared" si="543"/>
        <v/>
      </c>
      <c r="FP173" s="205" t="str">
        <f t="shared" si="517"/>
        <v/>
      </c>
      <c r="FQ173" s="189" t="str">
        <f t="shared" si="544"/>
        <v/>
      </c>
      <c r="FR173" s="189" t="str">
        <f t="shared" si="545"/>
        <v/>
      </c>
      <c r="FS173" s="189" t="str">
        <f t="shared" si="546"/>
        <v/>
      </c>
      <c r="FT173" s="189" t="str">
        <f t="shared" si="547"/>
        <v/>
      </c>
      <c r="FU173" s="189" t="str">
        <f t="shared" si="518"/>
        <v/>
      </c>
      <c r="FV173" s="206" t="str">
        <f t="shared" si="548"/>
        <v/>
      </c>
      <c r="FW173" s="205" t="str">
        <f t="shared" si="519"/>
        <v/>
      </c>
      <c r="FX173" s="189" t="str">
        <f t="shared" si="549"/>
        <v/>
      </c>
      <c r="FY173" s="189" t="str">
        <f t="shared" si="550"/>
        <v/>
      </c>
      <c r="FZ173" s="189" t="str">
        <f t="shared" si="551"/>
        <v/>
      </c>
      <c r="GA173" s="189" t="str">
        <f t="shared" si="552"/>
        <v/>
      </c>
      <c r="GB173" s="189" t="str">
        <f t="shared" si="520"/>
        <v/>
      </c>
      <c r="GC173" s="206" t="str">
        <f t="shared" si="553"/>
        <v/>
      </c>
      <c r="GD173" s="205" t="str">
        <f t="shared" si="521"/>
        <v/>
      </c>
      <c r="GE173" s="189" t="str">
        <f t="shared" si="554"/>
        <v/>
      </c>
      <c r="GF173" s="189" t="str">
        <f t="shared" si="555"/>
        <v/>
      </c>
      <c r="GG173" s="189" t="str">
        <f t="shared" si="556"/>
        <v/>
      </c>
      <c r="GH173" s="189" t="str">
        <f t="shared" si="557"/>
        <v/>
      </c>
      <c r="GI173" s="189" t="str">
        <f t="shared" si="522"/>
        <v/>
      </c>
      <c r="GJ173" s="206" t="str">
        <f t="shared" si="558"/>
        <v/>
      </c>
      <c r="GK173" s="205" t="str">
        <f t="shared" si="523"/>
        <v/>
      </c>
      <c r="GL173" s="189" t="str">
        <f t="shared" si="559"/>
        <v/>
      </c>
      <c r="GM173" s="189" t="str">
        <f t="shared" si="560"/>
        <v/>
      </c>
      <c r="GN173" s="189" t="str">
        <f t="shared" si="561"/>
        <v/>
      </c>
      <c r="GO173" s="189" t="str">
        <f t="shared" si="562"/>
        <v/>
      </c>
      <c r="GP173" s="189" t="str">
        <f t="shared" si="524"/>
        <v/>
      </c>
      <c r="GQ173" s="206" t="str">
        <f t="shared" si="563"/>
        <v/>
      </c>
      <c r="GR173" s="189" t="str">
        <f t="shared" si="525"/>
        <v/>
      </c>
      <c r="GS173" s="189" t="str">
        <f t="shared" si="526"/>
        <v/>
      </c>
      <c r="GT173" s="207" t="str">
        <f t="shared" si="527"/>
        <v xml:space="preserve">    </v>
      </c>
      <c r="GU173" s="207" t="str">
        <f t="shared" si="528"/>
        <v xml:space="preserve">    </v>
      </c>
      <c r="GV173" s="207" t="str">
        <f t="shared" si="529"/>
        <v xml:space="preserve">    </v>
      </c>
      <c r="GW173" s="207" t="str">
        <f t="shared" si="530"/>
        <v xml:space="preserve">       </v>
      </c>
      <c r="GX173" s="598" t="str">
        <f t="shared" si="531"/>
        <v xml:space="preserve">     </v>
      </c>
      <c r="GY173" s="208" t="str">
        <f t="shared" si="564"/>
        <v/>
      </c>
      <c r="GZ173" s="606" t="str">
        <f>IF(AND(Q173="",AE173="",AZ173="",BW173="",CT173=""),"",IF(AND('Master Sheet'!$D$19="YES",'Marks Entry'!$BA$1=1),SUM(Q173,AE173,AZ173,BW173,DT173),SUM(Q173,AE173,AZ173,BW173,CT173)))</f>
        <v/>
      </c>
      <c r="HA173" s="209" t="str">
        <f>IF(GZ173="","",IF(AND('Master Sheet'!$D$19="YES",'Marks Entry'!$BA$1=1),GZ173/((900)-DC173)*100,GZ173/((1000)-DC173)*100))</f>
        <v/>
      </c>
      <c r="HB173" s="611" t="str">
        <f t="shared" si="532"/>
        <v/>
      </c>
      <c r="HC173" s="609" t="str">
        <f t="shared" si="533"/>
        <v/>
      </c>
      <c r="HD173" s="610" t="str">
        <f t="shared" si="534"/>
        <v/>
      </c>
      <c r="HE173" s="210" t="str">
        <f>IFERROR(IF(OR(GY173="SUPPLEMENTARY",GY173="RE-EXAM"),'Supp. Result Entry'!AS172,""),"")</f>
        <v/>
      </c>
      <c r="HF173" s="613" t="str">
        <f t="shared" si="535"/>
        <v/>
      </c>
      <c r="HG173" s="598" t="str">
        <f t="shared" si="536"/>
        <v/>
      </c>
      <c r="HH173" s="598" t="str">
        <f>IF(AND(HE173="",HF173="",HG173=""),"",IF(OR(GY173="SUPPLEMENTARY",GY173="RE-EXAM"),'Supp. Result Entry'!AS172,GY173))</f>
        <v/>
      </c>
      <c r="HI173" s="180"/>
      <c r="HY173" s="212" t="str">
        <f>IF('Supp. Result Entry'!U172="","",'Supp. Result Entry'!$U$6)</f>
        <v/>
      </c>
      <c r="HZ173" s="213" t="str">
        <f>IF('Supp. Result Entry'!X172="","",'Supp. Result Entry'!$X$6)</f>
        <v/>
      </c>
      <c r="IA173" s="213" t="str">
        <f>IF('Supp. Result Entry'!AA172="","",'Supp. Result Entry'!$AA$6)</f>
        <v/>
      </c>
      <c r="IB173" s="213" t="str">
        <f>IF('Supp. Result Entry'!AD172="","",'Supp. Result Entry'!$AD$6)</f>
        <v/>
      </c>
      <c r="IC173" s="213" t="str">
        <f>IF('Supp. Result Entry'!AG172="","",'Supp. Result Entry'!$AG$6)</f>
        <v/>
      </c>
      <c r="ID173" s="213" t="str">
        <f>IF('Supp. Result Entry'!AJ172="","",'Supp. Result Entry'!$AJ$6)</f>
        <v/>
      </c>
      <c r="IE173" s="213" t="str">
        <f>IF('Supp. Result Entry'!V172="","",'Supp. Result Entry'!V172)</f>
        <v/>
      </c>
      <c r="IF173" s="213" t="str">
        <f>IF('Supp. Result Entry'!Y172="","",'Supp. Result Entry'!Y172)</f>
        <v/>
      </c>
      <c r="IG173" s="213" t="str">
        <f>IF('Supp. Result Entry'!AB172="","",'Supp. Result Entry'!AB172)</f>
        <v/>
      </c>
      <c r="IH173" s="213" t="str">
        <f>IF('Supp. Result Entry'!AE172="","",'Supp. Result Entry'!AE172)</f>
        <v/>
      </c>
      <c r="II173" s="213" t="str">
        <f>IF('Supp. Result Entry'!AH172="","",'Supp. Result Entry'!AH172)</f>
        <v/>
      </c>
      <c r="IJ173" s="213" t="str">
        <f>IF('Supp. Result Entry'!AK172="","",'Supp. Result Entry'!AK172)</f>
        <v/>
      </c>
      <c r="IK173" s="213" t="str">
        <f>IF('Supp. Result Entry'!W172="","",'Supp. Result Entry'!W172)</f>
        <v/>
      </c>
      <c r="IL173" s="213" t="str">
        <f>IF('Supp. Result Entry'!Z172="","",'Supp. Result Entry'!Z172)</f>
        <v/>
      </c>
      <c r="IM173" s="213" t="str">
        <f>IF('Supp. Result Entry'!AC172="","",'Supp. Result Entry'!AC172)</f>
        <v/>
      </c>
      <c r="IN173" s="213" t="str">
        <f>IF('Supp. Result Entry'!AF172="","",'Supp. Result Entry'!AF172)</f>
        <v/>
      </c>
      <c r="IO173" s="213" t="str">
        <f>IF('Supp. Result Entry'!AI172="","",'Supp. Result Entry'!AI172)</f>
        <v/>
      </c>
      <c r="IP173" s="213" t="str">
        <f>IF('Supp. Result Entry'!AL172="","",'Supp. Result Entry'!AL172)</f>
        <v/>
      </c>
      <c r="IQ173" s="213">
        <f>COUNTIF('Supp. Result Entry'!K172:Q172,"S")</f>
        <v>0</v>
      </c>
      <c r="IR173" s="213">
        <f t="shared" si="537"/>
        <v>0</v>
      </c>
      <c r="IS173" s="213">
        <f t="shared" si="538"/>
        <v>0</v>
      </c>
      <c r="IT173" s="213" t="str">
        <f t="shared" si="406"/>
        <v/>
      </c>
      <c r="IU173" s="213" t="str">
        <f t="shared" si="407"/>
        <v/>
      </c>
      <c r="IV173" s="213" t="str">
        <f t="shared" si="408"/>
        <v/>
      </c>
      <c r="IW173" s="213" t="str">
        <f t="shared" si="409"/>
        <v/>
      </c>
      <c r="IX173" s="213" t="str">
        <f t="shared" si="410"/>
        <v/>
      </c>
      <c r="IY173" s="213" t="str">
        <f t="shared" si="539"/>
        <v/>
      </c>
      <c r="IZ173" s="213" t="str">
        <f t="shared" si="540"/>
        <v/>
      </c>
      <c r="JA173" s="213" t="str">
        <f t="shared" si="411"/>
        <v/>
      </c>
      <c r="JB173" s="211" t="str">
        <f t="shared" si="541"/>
        <v/>
      </c>
    </row>
    <row r="174" spans="1:262" s="211" customFormat="1" ht="21" customHeight="1">
      <c r="A174" s="184">
        <v>167</v>
      </c>
      <c r="B174" s="185" t="str">
        <f>IF('Marks Entry'!B174="","",'Marks Entry'!B174)</f>
        <v/>
      </c>
      <c r="C174" s="186" t="str">
        <f>IF('Marks Entry'!D174="","",'Marks Entry'!D174)</f>
        <v/>
      </c>
      <c r="D174" s="187" t="str">
        <f>IF('Marks Entry'!E174="","",'Marks Entry'!E174)</f>
        <v/>
      </c>
      <c r="E174" s="188" t="str">
        <f>IF('Marks Entry'!F174="","",'Marks Entry'!F174)</f>
        <v/>
      </c>
      <c r="F174" s="188" t="str">
        <f>IF('Marks Entry'!G174="","",'Marks Entry'!G174)</f>
        <v/>
      </c>
      <c r="G174" s="188" t="str">
        <f>IF('Marks Entry'!H174="","",'Marks Entry'!H174)</f>
        <v/>
      </c>
      <c r="H174" s="189" t="str">
        <f>IF('Marks Entry'!I174="","",'Marks Entry'!I174)</f>
        <v/>
      </c>
      <c r="I174" s="190" t="str">
        <f>IF('Marks Entry'!J174="","",'Marks Entry'!J174)</f>
        <v/>
      </c>
      <c r="J174" s="545" t="str">
        <f>IF('Marks Entry'!K174="","",'Marks Entry'!K174)</f>
        <v/>
      </c>
      <c r="K174" s="545" t="str">
        <f>IF('Marks Entry'!L174="","",'Marks Entry'!L174)</f>
        <v/>
      </c>
      <c r="L174" s="545" t="str">
        <f>IF('Marks Entry'!M174="","",'Marks Entry'!M174)</f>
        <v/>
      </c>
      <c r="M174" s="546" t="str">
        <f t="shared" si="412"/>
        <v/>
      </c>
      <c r="N174" s="545" t="str">
        <f>IF('Marks Entry'!N174="","",'Marks Entry'!N174)</f>
        <v/>
      </c>
      <c r="O174" s="546" t="str">
        <f t="shared" si="413"/>
        <v/>
      </c>
      <c r="P174" s="545" t="str">
        <f>IF('Marks Entry'!O174="","",'Marks Entry'!O174)</f>
        <v/>
      </c>
      <c r="Q174" s="547" t="str">
        <f t="shared" si="414"/>
        <v/>
      </c>
      <c r="R174" s="153">
        <f t="shared" si="415"/>
        <v>0</v>
      </c>
      <c r="S174" s="153">
        <f t="shared" si="416"/>
        <v>0</v>
      </c>
      <c r="T174" s="154" t="str">
        <f t="shared" si="417"/>
        <v/>
      </c>
      <c r="U174" s="153" t="str">
        <f t="shared" si="418"/>
        <v/>
      </c>
      <c r="V174" s="153" t="str">
        <f t="shared" si="419"/>
        <v/>
      </c>
      <c r="W174" s="153" t="str">
        <f t="shared" si="420"/>
        <v/>
      </c>
      <c r="X174" s="545" t="str">
        <f>IF('Marks Entry'!P174="","",'Marks Entry'!P174)</f>
        <v/>
      </c>
      <c r="Y174" s="545" t="str">
        <f>IF('Marks Entry'!Q174="","",'Marks Entry'!Q174)</f>
        <v/>
      </c>
      <c r="Z174" s="545" t="str">
        <f>IF('Marks Entry'!R174="","",'Marks Entry'!R174)</f>
        <v/>
      </c>
      <c r="AA174" s="546" t="str">
        <f t="shared" si="421"/>
        <v/>
      </c>
      <c r="AB174" s="545" t="str">
        <f>IF('Marks Entry'!S174="","",'Marks Entry'!S174)</f>
        <v/>
      </c>
      <c r="AC174" s="546" t="str">
        <f t="shared" si="422"/>
        <v/>
      </c>
      <c r="AD174" s="545" t="str">
        <f>IF('Marks Entry'!T174="","",'Marks Entry'!T174)</f>
        <v/>
      </c>
      <c r="AE174" s="547" t="str">
        <f t="shared" si="423"/>
        <v/>
      </c>
      <c r="AF174" s="153">
        <f t="shared" si="424"/>
        <v>0</v>
      </c>
      <c r="AG174" s="153">
        <f t="shared" si="425"/>
        <v>0</v>
      </c>
      <c r="AH174" s="154" t="str">
        <f t="shared" si="426"/>
        <v/>
      </c>
      <c r="AI174" s="153" t="str">
        <f t="shared" si="427"/>
        <v/>
      </c>
      <c r="AJ174" s="153" t="str">
        <f t="shared" si="428"/>
        <v/>
      </c>
      <c r="AK174" s="153" t="str">
        <f t="shared" si="429"/>
        <v/>
      </c>
      <c r="AL174" s="573" t="str">
        <f>IF('Marks Entry'!U174="","",'Marks Entry'!U174)</f>
        <v/>
      </c>
      <c r="AM174" s="573" t="str">
        <f>IF('Marks Entry'!V174="","",'Marks Entry'!V174)</f>
        <v/>
      </c>
      <c r="AN174" s="573" t="str">
        <f>IF('Marks Entry'!W174="","",'Marks Entry'!W174)</f>
        <v/>
      </c>
      <c r="AO174" s="573" t="str">
        <f>IF('Marks Entry'!X174="","",'Marks Entry'!X174)</f>
        <v/>
      </c>
      <c r="AP174" s="572" t="str">
        <f t="shared" si="430"/>
        <v/>
      </c>
      <c r="AQ174" s="573" t="str">
        <f>IF('Marks Entry'!Y174="","",'Marks Entry'!Y174)</f>
        <v/>
      </c>
      <c r="AR174" s="573" t="str">
        <f>IF('Marks Entry'!Z174="","",'Marks Entry'!Z174)</f>
        <v/>
      </c>
      <c r="AS174" s="572" t="str">
        <f t="shared" si="431"/>
        <v/>
      </c>
      <c r="AT174" s="572" t="str">
        <f t="shared" si="432"/>
        <v/>
      </c>
      <c r="AU174" s="573" t="str">
        <f>IF('Marks Entry'!AA174="","",'Marks Entry'!AA174)</f>
        <v/>
      </c>
      <c r="AV174" s="573" t="str">
        <f>IF('Marks Entry'!AB174="","",'Marks Entry'!AB174)</f>
        <v/>
      </c>
      <c r="AW174" s="572" t="str">
        <f t="shared" si="433"/>
        <v/>
      </c>
      <c r="AX174" s="157" t="str">
        <f t="shared" si="434"/>
        <v/>
      </c>
      <c r="AY174" s="157" t="str">
        <f t="shared" si="435"/>
        <v/>
      </c>
      <c r="AZ174" s="192" t="str">
        <f t="shared" si="436"/>
        <v/>
      </c>
      <c r="BA174" s="153">
        <f t="shared" si="437"/>
        <v>0</v>
      </c>
      <c r="BB174" s="154">
        <f t="shared" si="438"/>
        <v>0</v>
      </c>
      <c r="BC174" s="154" t="str">
        <f t="shared" si="439"/>
        <v/>
      </c>
      <c r="BD174" s="154" t="str">
        <f t="shared" si="440"/>
        <v/>
      </c>
      <c r="BE174" s="154" t="str">
        <f t="shared" si="441"/>
        <v/>
      </c>
      <c r="BF174" s="153" t="str">
        <f t="shared" si="442"/>
        <v/>
      </c>
      <c r="BG174" s="154" t="str">
        <f t="shared" si="443"/>
        <v/>
      </c>
      <c r="BH174" s="153" t="str">
        <f t="shared" si="444"/>
        <v/>
      </c>
      <c r="BI174" s="580" t="str">
        <f>IF('Marks Entry'!AC174="","",'Marks Entry'!AC174)</f>
        <v/>
      </c>
      <c r="BJ174" s="580" t="str">
        <f>IF('Marks Entry'!AD174="","",'Marks Entry'!AD174)</f>
        <v/>
      </c>
      <c r="BK174" s="580" t="str">
        <f>IF('Marks Entry'!AE174="","",'Marks Entry'!AE174)</f>
        <v/>
      </c>
      <c r="BL174" s="580" t="str">
        <f>IF('Marks Entry'!AF174="","",'Marks Entry'!AF174)</f>
        <v/>
      </c>
      <c r="BM174" s="581" t="str">
        <f t="shared" si="445"/>
        <v/>
      </c>
      <c r="BN174" s="580" t="str">
        <f>IF('Marks Entry'!AG174="","",'Marks Entry'!AG174)</f>
        <v/>
      </c>
      <c r="BO174" s="580" t="str">
        <f>IF('Marks Entry'!AH174="","",'Marks Entry'!AH174)</f>
        <v/>
      </c>
      <c r="BP174" s="581" t="str">
        <f t="shared" si="446"/>
        <v/>
      </c>
      <c r="BQ174" s="581" t="str">
        <f t="shared" si="447"/>
        <v/>
      </c>
      <c r="BR174" s="580" t="str">
        <f>IF('Marks Entry'!AI174="","",'Marks Entry'!AI174)</f>
        <v/>
      </c>
      <c r="BS174" s="580" t="str">
        <f>IF('Marks Entry'!AJ174="","",'Marks Entry'!AJ174)</f>
        <v/>
      </c>
      <c r="BT174" s="581" t="str">
        <f t="shared" si="448"/>
        <v/>
      </c>
      <c r="BU174" s="157" t="str">
        <f t="shared" si="449"/>
        <v/>
      </c>
      <c r="BV174" s="157" t="str">
        <f t="shared" si="450"/>
        <v/>
      </c>
      <c r="BW174" s="192" t="str">
        <f t="shared" si="451"/>
        <v/>
      </c>
      <c r="BX174" s="153">
        <f t="shared" si="452"/>
        <v>0</v>
      </c>
      <c r="BY174" s="154">
        <f t="shared" si="453"/>
        <v>0</v>
      </c>
      <c r="BZ174" s="154" t="str">
        <f t="shared" si="454"/>
        <v/>
      </c>
      <c r="CA174" s="154" t="str">
        <f t="shared" si="455"/>
        <v/>
      </c>
      <c r="CB174" s="154" t="str">
        <f t="shared" si="456"/>
        <v/>
      </c>
      <c r="CC174" s="153" t="str">
        <f t="shared" si="457"/>
        <v/>
      </c>
      <c r="CD174" s="154" t="str">
        <f t="shared" si="458"/>
        <v/>
      </c>
      <c r="CE174" s="153" t="str">
        <f t="shared" si="459"/>
        <v/>
      </c>
      <c r="CF174" s="580" t="str">
        <f>IF('Marks Entry'!AK174="","",'Marks Entry'!AK174)</f>
        <v/>
      </c>
      <c r="CG174" s="580" t="str">
        <f>IF('Marks Entry'!AL174="","",'Marks Entry'!AL174)</f>
        <v/>
      </c>
      <c r="CH174" s="580" t="str">
        <f>IF('Marks Entry'!AM174="","",'Marks Entry'!AM174)</f>
        <v/>
      </c>
      <c r="CI174" s="580" t="str">
        <f>IF('Marks Entry'!AN174="","",'Marks Entry'!AN174)</f>
        <v/>
      </c>
      <c r="CJ174" s="581" t="str">
        <f t="shared" si="460"/>
        <v/>
      </c>
      <c r="CK174" s="580" t="str">
        <f>IF('Marks Entry'!AO174="","",'Marks Entry'!AO174)</f>
        <v/>
      </c>
      <c r="CL174" s="580" t="str">
        <f>IF('Marks Entry'!AP174="","",'Marks Entry'!AP174)</f>
        <v/>
      </c>
      <c r="CM174" s="581" t="str">
        <f t="shared" si="461"/>
        <v/>
      </c>
      <c r="CN174" s="581" t="str">
        <f t="shared" si="462"/>
        <v/>
      </c>
      <c r="CO174" s="580" t="str">
        <f>IF('Marks Entry'!AQ174="","",'Marks Entry'!AQ174)</f>
        <v/>
      </c>
      <c r="CP174" s="580" t="str">
        <f>IF('Marks Entry'!AR174="","",'Marks Entry'!AR174)</f>
        <v/>
      </c>
      <c r="CQ174" s="581" t="str">
        <f t="shared" si="463"/>
        <v/>
      </c>
      <c r="CR174" s="157" t="str">
        <f t="shared" si="464"/>
        <v/>
      </c>
      <c r="CS174" s="157" t="str">
        <f t="shared" si="465"/>
        <v/>
      </c>
      <c r="CT174" s="192" t="str">
        <f t="shared" si="466"/>
        <v/>
      </c>
      <c r="CU174" s="153">
        <f t="shared" si="467"/>
        <v>0</v>
      </c>
      <c r="CV174" s="154">
        <f t="shared" si="468"/>
        <v>0</v>
      </c>
      <c r="CW174" s="154" t="str">
        <f t="shared" si="469"/>
        <v/>
      </c>
      <c r="CX174" s="154" t="str">
        <f t="shared" si="470"/>
        <v/>
      </c>
      <c r="CY174" s="154" t="str">
        <f t="shared" si="471"/>
        <v/>
      </c>
      <c r="CZ174" s="153" t="str">
        <f t="shared" si="472"/>
        <v/>
      </c>
      <c r="DA174" s="154" t="str">
        <f t="shared" si="473"/>
        <v/>
      </c>
      <c r="DB174" s="153" t="str">
        <f t="shared" si="474"/>
        <v/>
      </c>
      <c r="DC174" s="154">
        <f t="shared" si="475"/>
        <v>0</v>
      </c>
      <c r="DD174" s="826" t="str">
        <f>IF('Marks Entry'!AS174="","",IF(OR('Master Sheet'!$D$19="YES",'Marks Entry'!$BA$1=1),'Marks Entry'!AS174,""))</f>
        <v/>
      </c>
      <c r="DE174" s="826" t="str">
        <f>IF('Marks Entry'!AT174="","",IF(OR('Master Sheet'!$D$19="YES",'Marks Entry'!$BA$1=1),'Marks Entry'!AT174,""))</f>
        <v/>
      </c>
      <c r="DF174" s="826" t="str">
        <f>IF('Marks Entry'!AU174="","",IF(OR('Master Sheet'!$D$19="YES",'Marks Entry'!$BA$1=1),'Marks Entry'!AU174,""))</f>
        <v/>
      </c>
      <c r="DG174" s="826" t="str">
        <f>IF('Marks Entry'!AV174="","",IF(OR('Master Sheet'!$D$19="YES",'Marks Entry'!$BA$1=1),'Marks Entry'!AV174,""))</f>
        <v/>
      </c>
      <c r="DH174" s="827" t="str">
        <f t="shared" si="476"/>
        <v/>
      </c>
      <c r="DI174" s="826" t="str">
        <f>IF('Marks Entry'!AW174="","",IF(OR('Master Sheet'!$D$19="YES",'Marks Entry'!$BA$1=1),'Marks Entry'!AW174,""))</f>
        <v/>
      </c>
      <c r="DJ174" s="826" t="str">
        <f>IF('Marks Entry'!AX174="","",IF(OR('Master Sheet'!$D$19="YES",'Marks Entry'!$BA$1=1),'Marks Entry'!AX174,""))</f>
        <v/>
      </c>
      <c r="DK174" s="827" t="str">
        <f t="shared" si="477"/>
        <v/>
      </c>
      <c r="DL174" s="827" t="str">
        <f t="shared" si="478"/>
        <v/>
      </c>
      <c r="DM174" s="826" t="str">
        <f>IF('Marks Entry'!AY174="","",IF(OR('Master Sheet'!$D$19="YES",'Marks Entry'!$BA$1=1),'Marks Entry'!AY174,""))</f>
        <v/>
      </c>
      <c r="DN174" s="826" t="str">
        <f>IF('Marks Entry'!AZ174="","",IF(OR('Master Sheet'!$D$19="YES",'Marks Entry'!$BA$1=1),'Marks Entry'!AZ174,""))</f>
        <v/>
      </c>
      <c r="DO174" s="826" t="str">
        <f>IF('Marks Entry'!BA174="","",IF(OR('Master Sheet'!$D$19="YES",'Marks Entry'!$BA$1=1),'Marks Entry'!BA174,""))</f>
        <v/>
      </c>
      <c r="DP174" s="827" t="str">
        <f t="shared" si="479"/>
        <v/>
      </c>
      <c r="DQ174" s="157" t="str">
        <f t="shared" si="480"/>
        <v/>
      </c>
      <c r="DR174" s="157" t="str">
        <f t="shared" si="481"/>
        <v/>
      </c>
      <c r="DS174" s="157" t="str">
        <f t="shared" si="482"/>
        <v/>
      </c>
      <c r="DT174" s="192" t="str">
        <f t="shared" si="483"/>
        <v/>
      </c>
      <c r="DU174" s="153">
        <f t="shared" si="484"/>
        <v>0</v>
      </c>
      <c r="DV174" s="154" t="e">
        <f t="shared" si="485"/>
        <v>#VALUE!</v>
      </c>
      <c r="DW174" s="154" t="str">
        <f t="shared" si="486"/>
        <v/>
      </c>
      <c r="DX174" s="154" t="str">
        <f>IF(OR($B174="NSO",$B174=0,DS174=""),"",IF(AND(DJ174="",DO174=""),"",IF('Master Sheet'!$D$19="YES",$DO$6-COUNTIF(DO174,"ML")*DO$6,DS$6-(COUNTIF(DJ174,"ML")*DJ$6)-(COUNTIF(DO174,"ML")*DO$6))))</f>
        <v/>
      </c>
      <c r="DY174" s="154" t="str">
        <f>IF(OR($B174="NSO",$B174=0),"",IF(AND(DH174="",DI174="",DM174=""),"",IF(AND('Master Sheet'!$D$19="YES",'Marks Entry'!$BA$1=1),100,IF(AND(DJ174="",DO174=""),SUM(($DQ$7+$DR$7)-(DU174+DV174)),SUM(($DQ$6+$DR$6)-(DU174+DV174))))))</f>
        <v/>
      </c>
      <c r="DZ174" s="153" t="str">
        <f t="shared" si="487"/>
        <v/>
      </c>
      <c r="EA174" s="154" t="str">
        <f t="shared" si="488"/>
        <v/>
      </c>
      <c r="EB174" s="153" t="str">
        <f t="shared" si="489"/>
        <v/>
      </c>
      <c r="EC174" s="584" t="str">
        <f>IF('Marks Entry'!BB174="","",'Marks Entry'!BB174)</f>
        <v/>
      </c>
      <c r="ED174" s="584" t="str">
        <f>IF('Marks Entry'!BC174="","",'Marks Entry'!BC174)</f>
        <v/>
      </c>
      <c r="EE174" s="584" t="str">
        <f>IF('Marks Entry'!BD174="","",'Marks Entry'!BD174)</f>
        <v/>
      </c>
      <c r="EF174" s="590" t="str">
        <f t="shared" si="490"/>
        <v/>
      </c>
      <c r="EG174" s="595">
        <f t="shared" si="491"/>
        <v>0</v>
      </c>
      <c r="EH174" s="595">
        <f t="shared" si="492"/>
        <v>0</v>
      </c>
      <c r="EI174" s="193" t="str">
        <f t="shared" si="493"/>
        <v/>
      </c>
      <c r="EJ174" s="595" t="str">
        <f t="shared" si="494"/>
        <v/>
      </c>
      <c r="EK174" s="595" t="str">
        <f t="shared" si="495"/>
        <v/>
      </c>
      <c r="EL174" s="194" t="str">
        <f t="shared" si="496"/>
        <v/>
      </c>
      <c r="EM174" s="194" t="str">
        <f t="shared" si="497"/>
        <v/>
      </c>
      <c r="EN174" s="194" t="str">
        <f t="shared" si="498"/>
        <v/>
      </c>
      <c r="EO174" s="194" t="str">
        <f t="shared" si="499"/>
        <v/>
      </c>
      <c r="EP174" s="194" t="str">
        <f t="shared" si="500"/>
        <v/>
      </c>
      <c r="EQ174" s="194" t="str">
        <f t="shared" si="501"/>
        <v/>
      </c>
      <c r="ER174" s="195">
        <f t="shared" si="502"/>
        <v>0</v>
      </c>
      <c r="ES174" s="195">
        <f t="shared" si="503"/>
        <v>0</v>
      </c>
      <c r="ET174" s="195">
        <f t="shared" si="504"/>
        <v>0</v>
      </c>
      <c r="EU174" s="195">
        <f t="shared" si="505"/>
        <v>0</v>
      </c>
      <c r="EV174" s="195">
        <f t="shared" si="506"/>
        <v>0</v>
      </c>
      <c r="EW174" s="195" t="str">
        <f t="shared" si="507"/>
        <v/>
      </c>
      <c r="EX174" s="196" t="str">
        <f t="shared" si="508"/>
        <v/>
      </c>
      <c r="EY174" s="197" t="str">
        <f>IF('Marks Entry'!BE174="","",'Marks Entry'!BE174)</f>
        <v/>
      </c>
      <c r="EZ174" s="197" t="str">
        <f>IF('Marks Entry'!BF174="","",'Marks Entry'!BF174)</f>
        <v/>
      </c>
      <c r="FA174" s="197" t="str">
        <f>IF('Marks Entry'!BG174="","",'Marks Entry'!BG174)</f>
        <v/>
      </c>
      <c r="FB174" s="596" t="str">
        <f t="shared" si="509"/>
        <v/>
      </c>
      <c r="FC174" s="197" t="str">
        <f>IF('Marks Entry'!BH174="","",'Marks Entry'!BH174)</f>
        <v/>
      </c>
      <c r="FD174" s="197" t="str">
        <f>IF('Marks Entry'!BI174="","",'Marks Entry'!BI174)</f>
        <v/>
      </c>
      <c r="FE174" s="198" t="str">
        <f t="shared" si="510"/>
        <v/>
      </c>
      <c r="FF174" s="199" t="str">
        <f t="shared" si="511"/>
        <v/>
      </c>
      <c r="FG174" s="200" t="str">
        <f>IF(AND(E174=""),"",IF('Student DATA Entry'!L170="","",'Student DATA Entry'!L170))</f>
        <v/>
      </c>
      <c r="FH174" s="201" t="str">
        <f>IF(AND(E174=""),"",IF('Student DATA Entry'!M170="","",'Student DATA Entry'!M170))</f>
        <v/>
      </c>
      <c r="FI174" s="202" t="str">
        <f t="shared" si="512"/>
        <v/>
      </c>
      <c r="FJ174" s="189" t="str">
        <f t="shared" si="513"/>
        <v/>
      </c>
      <c r="FK174" s="189" t="str">
        <f t="shared" si="514"/>
        <v/>
      </c>
      <c r="FL174" s="203" t="str">
        <f t="shared" si="542"/>
        <v/>
      </c>
      <c r="FM174" s="189" t="str">
        <f t="shared" si="515"/>
        <v/>
      </c>
      <c r="FN174" s="204" t="str">
        <f t="shared" si="516"/>
        <v/>
      </c>
      <c r="FO174" s="203" t="str">
        <f t="shared" si="543"/>
        <v/>
      </c>
      <c r="FP174" s="205" t="str">
        <f t="shared" si="517"/>
        <v/>
      </c>
      <c r="FQ174" s="189" t="str">
        <f t="shared" si="544"/>
        <v/>
      </c>
      <c r="FR174" s="189" t="str">
        <f t="shared" si="545"/>
        <v/>
      </c>
      <c r="FS174" s="189" t="str">
        <f t="shared" si="546"/>
        <v/>
      </c>
      <c r="FT174" s="189" t="str">
        <f t="shared" si="547"/>
        <v/>
      </c>
      <c r="FU174" s="189" t="str">
        <f t="shared" si="518"/>
        <v/>
      </c>
      <c r="FV174" s="206" t="str">
        <f t="shared" si="548"/>
        <v/>
      </c>
      <c r="FW174" s="205" t="str">
        <f t="shared" si="519"/>
        <v/>
      </c>
      <c r="FX174" s="189" t="str">
        <f t="shared" si="549"/>
        <v/>
      </c>
      <c r="FY174" s="189" t="str">
        <f t="shared" si="550"/>
        <v/>
      </c>
      <c r="FZ174" s="189" t="str">
        <f t="shared" si="551"/>
        <v/>
      </c>
      <c r="GA174" s="189" t="str">
        <f t="shared" si="552"/>
        <v/>
      </c>
      <c r="GB174" s="189" t="str">
        <f t="shared" si="520"/>
        <v/>
      </c>
      <c r="GC174" s="206" t="str">
        <f t="shared" si="553"/>
        <v/>
      </c>
      <c r="GD174" s="205" t="str">
        <f t="shared" si="521"/>
        <v/>
      </c>
      <c r="GE174" s="189" t="str">
        <f t="shared" si="554"/>
        <v/>
      </c>
      <c r="GF174" s="189" t="str">
        <f t="shared" si="555"/>
        <v/>
      </c>
      <c r="GG174" s="189" t="str">
        <f t="shared" si="556"/>
        <v/>
      </c>
      <c r="GH174" s="189" t="str">
        <f t="shared" si="557"/>
        <v/>
      </c>
      <c r="GI174" s="189" t="str">
        <f t="shared" si="522"/>
        <v/>
      </c>
      <c r="GJ174" s="206" t="str">
        <f t="shared" si="558"/>
        <v/>
      </c>
      <c r="GK174" s="205" t="str">
        <f t="shared" si="523"/>
        <v/>
      </c>
      <c r="GL174" s="189" t="str">
        <f t="shared" si="559"/>
        <v/>
      </c>
      <c r="GM174" s="189" t="str">
        <f t="shared" si="560"/>
        <v/>
      </c>
      <c r="GN174" s="189" t="str">
        <f t="shared" si="561"/>
        <v/>
      </c>
      <c r="GO174" s="189" t="str">
        <f t="shared" si="562"/>
        <v/>
      </c>
      <c r="GP174" s="189" t="str">
        <f t="shared" si="524"/>
        <v/>
      </c>
      <c r="GQ174" s="206" t="str">
        <f t="shared" si="563"/>
        <v/>
      </c>
      <c r="GR174" s="189" t="str">
        <f t="shared" si="525"/>
        <v/>
      </c>
      <c r="GS174" s="189" t="str">
        <f t="shared" si="526"/>
        <v/>
      </c>
      <c r="GT174" s="207" t="str">
        <f t="shared" si="527"/>
        <v xml:space="preserve">    </v>
      </c>
      <c r="GU174" s="207" t="str">
        <f t="shared" si="528"/>
        <v xml:space="preserve">    </v>
      </c>
      <c r="GV174" s="207" t="str">
        <f t="shared" si="529"/>
        <v xml:space="preserve">    </v>
      </c>
      <c r="GW174" s="207" t="str">
        <f t="shared" si="530"/>
        <v xml:space="preserve">       </v>
      </c>
      <c r="GX174" s="598" t="str">
        <f t="shared" si="531"/>
        <v xml:space="preserve">     </v>
      </c>
      <c r="GY174" s="208" t="str">
        <f t="shared" si="564"/>
        <v/>
      </c>
      <c r="GZ174" s="606" t="str">
        <f>IF(AND(Q174="",AE174="",AZ174="",BW174="",CT174=""),"",IF(AND('Master Sheet'!$D$19="YES",'Marks Entry'!$BA$1=1),SUM(Q174,AE174,AZ174,BW174,DT174),SUM(Q174,AE174,AZ174,BW174,CT174)))</f>
        <v/>
      </c>
      <c r="HA174" s="209" t="str">
        <f>IF(GZ174="","",IF(AND('Master Sheet'!$D$19="YES",'Marks Entry'!$BA$1=1),GZ174/((900)-DC174)*100,GZ174/((1000)-DC174)*100))</f>
        <v/>
      </c>
      <c r="HB174" s="611" t="str">
        <f t="shared" si="532"/>
        <v/>
      </c>
      <c r="HC174" s="609" t="str">
        <f t="shared" si="533"/>
        <v/>
      </c>
      <c r="HD174" s="610" t="str">
        <f t="shared" si="534"/>
        <v/>
      </c>
      <c r="HE174" s="210" t="str">
        <f>IFERROR(IF(OR(GY174="SUPPLEMENTARY",GY174="RE-EXAM"),'Supp. Result Entry'!AS173,""),"")</f>
        <v/>
      </c>
      <c r="HF174" s="613" t="str">
        <f t="shared" si="535"/>
        <v/>
      </c>
      <c r="HG174" s="598" t="str">
        <f t="shared" si="536"/>
        <v/>
      </c>
      <c r="HH174" s="598" t="str">
        <f>IF(AND(HE174="",HF174="",HG174=""),"",IF(OR(GY174="SUPPLEMENTARY",GY174="RE-EXAM"),'Supp. Result Entry'!AS173,GY174))</f>
        <v/>
      </c>
      <c r="HI174" s="180"/>
      <c r="HY174" s="212" t="str">
        <f>IF('Supp. Result Entry'!U173="","",'Supp. Result Entry'!$U$6)</f>
        <v/>
      </c>
      <c r="HZ174" s="213" t="str">
        <f>IF('Supp. Result Entry'!X173="","",'Supp. Result Entry'!$X$6)</f>
        <v/>
      </c>
      <c r="IA174" s="213" t="str">
        <f>IF('Supp. Result Entry'!AA173="","",'Supp. Result Entry'!$AA$6)</f>
        <v/>
      </c>
      <c r="IB174" s="213" t="str">
        <f>IF('Supp. Result Entry'!AD173="","",'Supp. Result Entry'!$AD$6)</f>
        <v/>
      </c>
      <c r="IC174" s="213" t="str">
        <f>IF('Supp. Result Entry'!AG173="","",'Supp. Result Entry'!$AG$6)</f>
        <v/>
      </c>
      <c r="ID174" s="213" t="str">
        <f>IF('Supp. Result Entry'!AJ173="","",'Supp. Result Entry'!$AJ$6)</f>
        <v/>
      </c>
      <c r="IE174" s="213" t="str">
        <f>IF('Supp. Result Entry'!V173="","",'Supp. Result Entry'!V173)</f>
        <v/>
      </c>
      <c r="IF174" s="213" t="str">
        <f>IF('Supp. Result Entry'!Y173="","",'Supp. Result Entry'!Y173)</f>
        <v/>
      </c>
      <c r="IG174" s="213" t="str">
        <f>IF('Supp. Result Entry'!AB173="","",'Supp. Result Entry'!AB173)</f>
        <v/>
      </c>
      <c r="IH174" s="213" t="str">
        <f>IF('Supp. Result Entry'!AE173="","",'Supp. Result Entry'!AE173)</f>
        <v/>
      </c>
      <c r="II174" s="213" t="str">
        <f>IF('Supp. Result Entry'!AH173="","",'Supp. Result Entry'!AH173)</f>
        <v/>
      </c>
      <c r="IJ174" s="213" t="str">
        <f>IF('Supp. Result Entry'!AK173="","",'Supp. Result Entry'!AK173)</f>
        <v/>
      </c>
      <c r="IK174" s="213" t="str">
        <f>IF('Supp. Result Entry'!W173="","",'Supp. Result Entry'!W173)</f>
        <v/>
      </c>
      <c r="IL174" s="213" t="str">
        <f>IF('Supp. Result Entry'!Z173="","",'Supp. Result Entry'!Z173)</f>
        <v/>
      </c>
      <c r="IM174" s="213" t="str">
        <f>IF('Supp. Result Entry'!AC173="","",'Supp. Result Entry'!AC173)</f>
        <v/>
      </c>
      <c r="IN174" s="213" t="str">
        <f>IF('Supp. Result Entry'!AF173="","",'Supp. Result Entry'!AF173)</f>
        <v/>
      </c>
      <c r="IO174" s="213" t="str">
        <f>IF('Supp. Result Entry'!AI173="","",'Supp. Result Entry'!AI173)</f>
        <v/>
      </c>
      <c r="IP174" s="213" t="str">
        <f>IF('Supp. Result Entry'!AL173="","",'Supp. Result Entry'!AL173)</f>
        <v/>
      </c>
      <c r="IQ174" s="213">
        <f>COUNTIF('Supp. Result Entry'!K173:Q173,"S")</f>
        <v>0</v>
      </c>
      <c r="IR174" s="213">
        <f t="shared" si="537"/>
        <v>0</v>
      </c>
      <c r="IS174" s="213">
        <f t="shared" si="538"/>
        <v>0</v>
      </c>
      <c r="IT174" s="213" t="str">
        <f t="shared" si="406"/>
        <v/>
      </c>
      <c r="IU174" s="213" t="str">
        <f t="shared" si="407"/>
        <v/>
      </c>
      <c r="IV174" s="213" t="str">
        <f t="shared" si="408"/>
        <v/>
      </c>
      <c r="IW174" s="213" t="str">
        <f t="shared" si="409"/>
        <v/>
      </c>
      <c r="IX174" s="213" t="str">
        <f t="shared" si="410"/>
        <v/>
      </c>
      <c r="IY174" s="213" t="str">
        <f t="shared" si="539"/>
        <v/>
      </c>
      <c r="IZ174" s="213" t="str">
        <f t="shared" si="540"/>
        <v/>
      </c>
      <c r="JA174" s="213" t="str">
        <f t="shared" si="411"/>
        <v/>
      </c>
      <c r="JB174" s="211" t="str">
        <f t="shared" si="541"/>
        <v/>
      </c>
    </row>
    <row r="175" spans="1:262" s="211" customFormat="1" ht="21" customHeight="1">
      <c r="A175" s="184">
        <v>168</v>
      </c>
      <c r="B175" s="185" t="str">
        <f>IF('Marks Entry'!B175="","",'Marks Entry'!B175)</f>
        <v/>
      </c>
      <c r="C175" s="186" t="str">
        <f>IF('Marks Entry'!D175="","",'Marks Entry'!D175)</f>
        <v/>
      </c>
      <c r="D175" s="187" t="str">
        <f>IF('Marks Entry'!E175="","",'Marks Entry'!E175)</f>
        <v/>
      </c>
      <c r="E175" s="188" t="str">
        <f>IF('Marks Entry'!F175="","",'Marks Entry'!F175)</f>
        <v/>
      </c>
      <c r="F175" s="188" t="str">
        <f>IF('Marks Entry'!G175="","",'Marks Entry'!G175)</f>
        <v/>
      </c>
      <c r="G175" s="188" t="str">
        <f>IF('Marks Entry'!H175="","",'Marks Entry'!H175)</f>
        <v/>
      </c>
      <c r="H175" s="189" t="str">
        <f>IF('Marks Entry'!I175="","",'Marks Entry'!I175)</f>
        <v/>
      </c>
      <c r="I175" s="190" t="str">
        <f>IF('Marks Entry'!J175="","",'Marks Entry'!J175)</f>
        <v/>
      </c>
      <c r="J175" s="545" t="str">
        <f>IF('Marks Entry'!K175="","",'Marks Entry'!K175)</f>
        <v/>
      </c>
      <c r="K175" s="545" t="str">
        <f>IF('Marks Entry'!L175="","",'Marks Entry'!L175)</f>
        <v/>
      </c>
      <c r="L175" s="545" t="str">
        <f>IF('Marks Entry'!M175="","",'Marks Entry'!M175)</f>
        <v/>
      </c>
      <c r="M175" s="546" t="str">
        <f t="shared" si="412"/>
        <v/>
      </c>
      <c r="N175" s="545" t="str">
        <f>IF('Marks Entry'!N175="","",'Marks Entry'!N175)</f>
        <v/>
      </c>
      <c r="O175" s="546" t="str">
        <f t="shared" si="413"/>
        <v/>
      </c>
      <c r="P175" s="545" t="str">
        <f>IF('Marks Entry'!O175="","",'Marks Entry'!O175)</f>
        <v/>
      </c>
      <c r="Q175" s="547" t="str">
        <f t="shared" si="414"/>
        <v/>
      </c>
      <c r="R175" s="153">
        <f t="shared" si="415"/>
        <v>0</v>
      </c>
      <c r="S175" s="153">
        <f t="shared" si="416"/>
        <v>0</v>
      </c>
      <c r="T175" s="154" t="str">
        <f t="shared" si="417"/>
        <v/>
      </c>
      <c r="U175" s="153" t="str">
        <f t="shared" si="418"/>
        <v/>
      </c>
      <c r="V175" s="153" t="str">
        <f t="shared" si="419"/>
        <v/>
      </c>
      <c r="W175" s="153" t="str">
        <f t="shared" si="420"/>
        <v/>
      </c>
      <c r="X175" s="545" t="str">
        <f>IF('Marks Entry'!P175="","",'Marks Entry'!P175)</f>
        <v/>
      </c>
      <c r="Y175" s="545" t="str">
        <f>IF('Marks Entry'!Q175="","",'Marks Entry'!Q175)</f>
        <v/>
      </c>
      <c r="Z175" s="545" t="str">
        <f>IF('Marks Entry'!R175="","",'Marks Entry'!R175)</f>
        <v/>
      </c>
      <c r="AA175" s="546" t="str">
        <f t="shared" si="421"/>
        <v/>
      </c>
      <c r="AB175" s="545" t="str">
        <f>IF('Marks Entry'!S175="","",'Marks Entry'!S175)</f>
        <v/>
      </c>
      <c r="AC175" s="546" t="str">
        <f t="shared" si="422"/>
        <v/>
      </c>
      <c r="AD175" s="545" t="str">
        <f>IF('Marks Entry'!T175="","",'Marks Entry'!T175)</f>
        <v/>
      </c>
      <c r="AE175" s="547" t="str">
        <f t="shared" si="423"/>
        <v/>
      </c>
      <c r="AF175" s="153">
        <f t="shared" si="424"/>
        <v>0</v>
      </c>
      <c r="AG175" s="153">
        <f t="shared" si="425"/>
        <v>0</v>
      </c>
      <c r="AH175" s="154" t="str">
        <f t="shared" si="426"/>
        <v/>
      </c>
      <c r="AI175" s="153" t="str">
        <f t="shared" si="427"/>
        <v/>
      </c>
      <c r="AJ175" s="153" t="str">
        <f t="shared" si="428"/>
        <v/>
      </c>
      <c r="AK175" s="153" t="str">
        <f t="shared" si="429"/>
        <v/>
      </c>
      <c r="AL175" s="573" t="str">
        <f>IF('Marks Entry'!U175="","",'Marks Entry'!U175)</f>
        <v/>
      </c>
      <c r="AM175" s="573" t="str">
        <f>IF('Marks Entry'!V175="","",'Marks Entry'!V175)</f>
        <v/>
      </c>
      <c r="AN175" s="573" t="str">
        <f>IF('Marks Entry'!W175="","",'Marks Entry'!W175)</f>
        <v/>
      </c>
      <c r="AO175" s="573" t="str">
        <f>IF('Marks Entry'!X175="","",'Marks Entry'!X175)</f>
        <v/>
      </c>
      <c r="AP175" s="572" t="str">
        <f t="shared" si="430"/>
        <v/>
      </c>
      <c r="AQ175" s="573" t="str">
        <f>IF('Marks Entry'!Y175="","",'Marks Entry'!Y175)</f>
        <v/>
      </c>
      <c r="AR175" s="573" t="str">
        <f>IF('Marks Entry'!Z175="","",'Marks Entry'!Z175)</f>
        <v/>
      </c>
      <c r="AS175" s="572" t="str">
        <f t="shared" si="431"/>
        <v/>
      </c>
      <c r="AT175" s="572" t="str">
        <f t="shared" si="432"/>
        <v/>
      </c>
      <c r="AU175" s="573" t="str">
        <f>IF('Marks Entry'!AA175="","",'Marks Entry'!AA175)</f>
        <v/>
      </c>
      <c r="AV175" s="573" t="str">
        <f>IF('Marks Entry'!AB175="","",'Marks Entry'!AB175)</f>
        <v/>
      </c>
      <c r="AW175" s="572" t="str">
        <f t="shared" si="433"/>
        <v/>
      </c>
      <c r="AX175" s="157" t="str">
        <f t="shared" si="434"/>
        <v/>
      </c>
      <c r="AY175" s="157" t="str">
        <f t="shared" si="435"/>
        <v/>
      </c>
      <c r="AZ175" s="192" t="str">
        <f t="shared" si="436"/>
        <v/>
      </c>
      <c r="BA175" s="153">
        <f t="shared" si="437"/>
        <v>0</v>
      </c>
      <c r="BB175" s="154">
        <f t="shared" si="438"/>
        <v>0</v>
      </c>
      <c r="BC175" s="154" t="str">
        <f t="shared" si="439"/>
        <v/>
      </c>
      <c r="BD175" s="154" t="str">
        <f t="shared" si="440"/>
        <v/>
      </c>
      <c r="BE175" s="154" t="str">
        <f t="shared" si="441"/>
        <v/>
      </c>
      <c r="BF175" s="153" t="str">
        <f t="shared" si="442"/>
        <v/>
      </c>
      <c r="BG175" s="154" t="str">
        <f t="shared" si="443"/>
        <v/>
      </c>
      <c r="BH175" s="153" t="str">
        <f t="shared" si="444"/>
        <v/>
      </c>
      <c r="BI175" s="580" t="str">
        <f>IF('Marks Entry'!AC175="","",'Marks Entry'!AC175)</f>
        <v/>
      </c>
      <c r="BJ175" s="580" t="str">
        <f>IF('Marks Entry'!AD175="","",'Marks Entry'!AD175)</f>
        <v/>
      </c>
      <c r="BK175" s="580" t="str">
        <f>IF('Marks Entry'!AE175="","",'Marks Entry'!AE175)</f>
        <v/>
      </c>
      <c r="BL175" s="580" t="str">
        <f>IF('Marks Entry'!AF175="","",'Marks Entry'!AF175)</f>
        <v/>
      </c>
      <c r="BM175" s="581" t="str">
        <f t="shared" si="445"/>
        <v/>
      </c>
      <c r="BN175" s="580" t="str">
        <f>IF('Marks Entry'!AG175="","",'Marks Entry'!AG175)</f>
        <v/>
      </c>
      <c r="BO175" s="580" t="str">
        <f>IF('Marks Entry'!AH175="","",'Marks Entry'!AH175)</f>
        <v/>
      </c>
      <c r="BP175" s="581" t="str">
        <f t="shared" si="446"/>
        <v/>
      </c>
      <c r="BQ175" s="581" t="str">
        <f t="shared" si="447"/>
        <v/>
      </c>
      <c r="BR175" s="580" t="str">
        <f>IF('Marks Entry'!AI175="","",'Marks Entry'!AI175)</f>
        <v/>
      </c>
      <c r="BS175" s="580" t="str">
        <f>IF('Marks Entry'!AJ175="","",'Marks Entry'!AJ175)</f>
        <v/>
      </c>
      <c r="BT175" s="581" t="str">
        <f t="shared" si="448"/>
        <v/>
      </c>
      <c r="BU175" s="157" t="str">
        <f t="shared" si="449"/>
        <v/>
      </c>
      <c r="BV175" s="157" t="str">
        <f t="shared" si="450"/>
        <v/>
      </c>
      <c r="BW175" s="192" t="str">
        <f t="shared" si="451"/>
        <v/>
      </c>
      <c r="BX175" s="153">
        <f t="shared" si="452"/>
        <v>0</v>
      </c>
      <c r="BY175" s="154">
        <f t="shared" si="453"/>
        <v>0</v>
      </c>
      <c r="BZ175" s="154" t="str">
        <f t="shared" si="454"/>
        <v/>
      </c>
      <c r="CA175" s="154" t="str">
        <f t="shared" si="455"/>
        <v/>
      </c>
      <c r="CB175" s="154" t="str">
        <f t="shared" si="456"/>
        <v/>
      </c>
      <c r="CC175" s="153" t="str">
        <f t="shared" si="457"/>
        <v/>
      </c>
      <c r="CD175" s="154" t="str">
        <f t="shared" si="458"/>
        <v/>
      </c>
      <c r="CE175" s="153" t="str">
        <f t="shared" si="459"/>
        <v/>
      </c>
      <c r="CF175" s="580" t="str">
        <f>IF('Marks Entry'!AK175="","",'Marks Entry'!AK175)</f>
        <v/>
      </c>
      <c r="CG175" s="580" t="str">
        <f>IF('Marks Entry'!AL175="","",'Marks Entry'!AL175)</f>
        <v/>
      </c>
      <c r="CH175" s="580" t="str">
        <f>IF('Marks Entry'!AM175="","",'Marks Entry'!AM175)</f>
        <v/>
      </c>
      <c r="CI175" s="580" t="str">
        <f>IF('Marks Entry'!AN175="","",'Marks Entry'!AN175)</f>
        <v/>
      </c>
      <c r="CJ175" s="581" t="str">
        <f t="shared" si="460"/>
        <v/>
      </c>
      <c r="CK175" s="580" t="str">
        <f>IF('Marks Entry'!AO175="","",'Marks Entry'!AO175)</f>
        <v/>
      </c>
      <c r="CL175" s="580" t="str">
        <f>IF('Marks Entry'!AP175="","",'Marks Entry'!AP175)</f>
        <v/>
      </c>
      <c r="CM175" s="581" t="str">
        <f t="shared" si="461"/>
        <v/>
      </c>
      <c r="CN175" s="581" t="str">
        <f t="shared" si="462"/>
        <v/>
      </c>
      <c r="CO175" s="580" t="str">
        <f>IF('Marks Entry'!AQ175="","",'Marks Entry'!AQ175)</f>
        <v/>
      </c>
      <c r="CP175" s="580" t="str">
        <f>IF('Marks Entry'!AR175="","",'Marks Entry'!AR175)</f>
        <v/>
      </c>
      <c r="CQ175" s="581" t="str">
        <f t="shared" si="463"/>
        <v/>
      </c>
      <c r="CR175" s="157" t="str">
        <f t="shared" si="464"/>
        <v/>
      </c>
      <c r="CS175" s="157" t="str">
        <f t="shared" si="465"/>
        <v/>
      </c>
      <c r="CT175" s="192" t="str">
        <f t="shared" si="466"/>
        <v/>
      </c>
      <c r="CU175" s="153">
        <f t="shared" si="467"/>
        <v>0</v>
      </c>
      <c r="CV175" s="154">
        <f t="shared" si="468"/>
        <v>0</v>
      </c>
      <c r="CW175" s="154" t="str">
        <f t="shared" si="469"/>
        <v/>
      </c>
      <c r="CX175" s="154" t="str">
        <f t="shared" si="470"/>
        <v/>
      </c>
      <c r="CY175" s="154" t="str">
        <f t="shared" si="471"/>
        <v/>
      </c>
      <c r="CZ175" s="153" t="str">
        <f t="shared" si="472"/>
        <v/>
      </c>
      <c r="DA175" s="154" t="str">
        <f t="shared" si="473"/>
        <v/>
      </c>
      <c r="DB175" s="153" t="str">
        <f t="shared" si="474"/>
        <v/>
      </c>
      <c r="DC175" s="154">
        <f t="shared" si="475"/>
        <v>0</v>
      </c>
      <c r="DD175" s="826" t="str">
        <f>IF('Marks Entry'!AS175="","",IF(OR('Master Sheet'!$D$19="YES",'Marks Entry'!$BA$1=1),'Marks Entry'!AS175,""))</f>
        <v/>
      </c>
      <c r="DE175" s="826" t="str">
        <f>IF('Marks Entry'!AT175="","",IF(OR('Master Sheet'!$D$19="YES",'Marks Entry'!$BA$1=1),'Marks Entry'!AT175,""))</f>
        <v/>
      </c>
      <c r="DF175" s="826" t="str">
        <f>IF('Marks Entry'!AU175="","",IF(OR('Master Sheet'!$D$19="YES",'Marks Entry'!$BA$1=1),'Marks Entry'!AU175,""))</f>
        <v/>
      </c>
      <c r="DG175" s="826" t="str">
        <f>IF('Marks Entry'!AV175="","",IF(OR('Master Sheet'!$D$19="YES",'Marks Entry'!$BA$1=1),'Marks Entry'!AV175,""))</f>
        <v/>
      </c>
      <c r="DH175" s="827" t="str">
        <f t="shared" si="476"/>
        <v/>
      </c>
      <c r="DI175" s="826" t="str">
        <f>IF('Marks Entry'!AW175="","",IF(OR('Master Sheet'!$D$19="YES",'Marks Entry'!$BA$1=1),'Marks Entry'!AW175,""))</f>
        <v/>
      </c>
      <c r="DJ175" s="826" t="str">
        <f>IF('Marks Entry'!AX175="","",IF(OR('Master Sheet'!$D$19="YES",'Marks Entry'!$BA$1=1),'Marks Entry'!AX175,""))</f>
        <v/>
      </c>
      <c r="DK175" s="827" t="str">
        <f t="shared" si="477"/>
        <v/>
      </c>
      <c r="DL175" s="827" t="str">
        <f t="shared" si="478"/>
        <v/>
      </c>
      <c r="DM175" s="826" t="str">
        <f>IF('Marks Entry'!AY175="","",IF(OR('Master Sheet'!$D$19="YES",'Marks Entry'!$BA$1=1),'Marks Entry'!AY175,""))</f>
        <v/>
      </c>
      <c r="DN175" s="826" t="str">
        <f>IF('Marks Entry'!AZ175="","",IF(OR('Master Sheet'!$D$19="YES",'Marks Entry'!$BA$1=1),'Marks Entry'!AZ175,""))</f>
        <v/>
      </c>
      <c r="DO175" s="826" t="str">
        <f>IF('Marks Entry'!BA175="","",IF(OR('Master Sheet'!$D$19="YES",'Marks Entry'!$BA$1=1),'Marks Entry'!BA175,""))</f>
        <v/>
      </c>
      <c r="DP175" s="827" t="str">
        <f t="shared" si="479"/>
        <v/>
      </c>
      <c r="DQ175" s="157" t="str">
        <f t="shared" si="480"/>
        <v/>
      </c>
      <c r="DR175" s="157" t="str">
        <f t="shared" si="481"/>
        <v/>
      </c>
      <c r="DS175" s="157" t="str">
        <f t="shared" si="482"/>
        <v/>
      </c>
      <c r="DT175" s="192" t="str">
        <f t="shared" si="483"/>
        <v/>
      </c>
      <c r="DU175" s="153">
        <f t="shared" si="484"/>
        <v>0</v>
      </c>
      <c r="DV175" s="154" t="e">
        <f t="shared" si="485"/>
        <v>#VALUE!</v>
      </c>
      <c r="DW175" s="154" t="str">
        <f t="shared" si="486"/>
        <v/>
      </c>
      <c r="DX175" s="154" t="str">
        <f>IF(OR($B175="NSO",$B175=0,DS175=""),"",IF(AND(DJ175="",DO175=""),"",IF('Master Sheet'!$D$19="YES",$DO$6-COUNTIF(DO175,"ML")*DO$6,DS$6-(COUNTIF(DJ175,"ML")*DJ$6)-(COUNTIF(DO175,"ML")*DO$6))))</f>
        <v/>
      </c>
      <c r="DY175" s="154" t="str">
        <f>IF(OR($B175="NSO",$B175=0),"",IF(AND(DH175="",DI175="",DM175=""),"",IF(AND('Master Sheet'!$D$19="YES",'Marks Entry'!$BA$1=1),100,IF(AND(DJ175="",DO175=""),SUM(($DQ$7+$DR$7)-(DU175+DV175)),SUM(($DQ$6+$DR$6)-(DU175+DV175))))))</f>
        <v/>
      </c>
      <c r="DZ175" s="153" t="str">
        <f t="shared" si="487"/>
        <v/>
      </c>
      <c r="EA175" s="154" t="str">
        <f t="shared" si="488"/>
        <v/>
      </c>
      <c r="EB175" s="153" t="str">
        <f t="shared" si="489"/>
        <v/>
      </c>
      <c r="EC175" s="584" t="str">
        <f>IF('Marks Entry'!BB175="","",'Marks Entry'!BB175)</f>
        <v/>
      </c>
      <c r="ED175" s="584" t="str">
        <f>IF('Marks Entry'!BC175="","",'Marks Entry'!BC175)</f>
        <v/>
      </c>
      <c r="EE175" s="584" t="str">
        <f>IF('Marks Entry'!BD175="","",'Marks Entry'!BD175)</f>
        <v/>
      </c>
      <c r="EF175" s="590" t="str">
        <f t="shared" si="490"/>
        <v/>
      </c>
      <c r="EG175" s="595">
        <f t="shared" si="491"/>
        <v>0</v>
      </c>
      <c r="EH175" s="595">
        <f t="shared" si="492"/>
        <v>0</v>
      </c>
      <c r="EI175" s="193" t="str">
        <f t="shared" si="493"/>
        <v/>
      </c>
      <c r="EJ175" s="595" t="str">
        <f t="shared" si="494"/>
        <v/>
      </c>
      <c r="EK175" s="595" t="str">
        <f t="shared" si="495"/>
        <v/>
      </c>
      <c r="EL175" s="194" t="str">
        <f t="shared" si="496"/>
        <v/>
      </c>
      <c r="EM175" s="194" t="str">
        <f t="shared" si="497"/>
        <v/>
      </c>
      <c r="EN175" s="194" t="str">
        <f t="shared" si="498"/>
        <v/>
      </c>
      <c r="EO175" s="194" t="str">
        <f t="shared" si="499"/>
        <v/>
      </c>
      <c r="EP175" s="194" t="str">
        <f t="shared" si="500"/>
        <v/>
      </c>
      <c r="EQ175" s="194" t="str">
        <f t="shared" si="501"/>
        <v/>
      </c>
      <c r="ER175" s="195">
        <f t="shared" si="502"/>
        <v>0</v>
      </c>
      <c r="ES175" s="195">
        <f t="shared" si="503"/>
        <v>0</v>
      </c>
      <c r="ET175" s="195">
        <f t="shared" si="504"/>
        <v>0</v>
      </c>
      <c r="EU175" s="195">
        <f t="shared" si="505"/>
        <v>0</v>
      </c>
      <c r="EV175" s="195">
        <f t="shared" si="506"/>
        <v>0</v>
      </c>
      <c r="EW175" s="195" t="str">
        <f t="shared" si="507"/>
        <v/>
      </c>
      <c r="EX175" s="196" t="str">
        <f t="shared" si="508"/>
        <v/>
      </c>
      <c r="EY175" s="197" t="str">
        <f>IF('Marks Entry'!BE175="","",'Marks Entry'!BE175)</f>
        <v/>
      </c>
      <c r="EZ175" s="197" t="str">
        <f>IF('Marks Entry'!BF175="","",'Marks Entry'!BF175)</f>
        <v/>
      </c>
      <c r="FA175" s="197" t="str">
        <f>IF('Marks Entry'!BG175="","",'Marks Entry'!BG175)</f>
        <v/>
      </c>
      <c r="FB175" s="596" t="str">
        <f t="shared" si="509"/>
        <v/>
      </c>
      <c r="FC175" s="197" t="str">
        <f>IF('Marks Entry'!BH175="","",'Marks Entry'!BH175)</f>
        <v/>
      </c>
      <c r="FD175" s="197" t="str">
        <f>IF('Marks Entry'!BI175="","",'Marks Entry'!BI175)</f>
        <v/>
      </c>
      <c r="FE175" s="198" t="str">
        <f t="shared" si="510"/>
        <v/>
      </c>
      <c r="FF175" s="199" t="str">
        <f t="shared" si="511"/>
        <v/>
      </c>
      <c r="FG175" s="200" t="str">
        <f>IF(AND(E175=""),"",IF('Student DATA Entry'!L171="","",'Student DATA Entry'!L171))</f>
        <v/>
      </c>
      <c r="FH175" s="201" t="str">
        <f>IF(AND(E175=""),"",IF('Student DATA Entry'!M171="","",'Student DATA Entry'!M171))</f>
        <v/>
      </c>
      <c r="FI175" s="202" t="str">
        <f t="shared" si="512"/>
        <v/>
      </c>
      <c r="FJ175" s="189" t="str">
        <f t="shared" si="513"/>
        <v/>
      </c>
      <c r="FK175" s="189" t="str">
        <f t="shared" si="514"/>
        <v/>
      </c>
      <c r="FL175" s="203" t="str">
        <f t="shared" si="542"/>
        <v/>
      </c>
      <c r="FM175" s="189" t="str">
        <f t="shared" si="515"/>
        <v/>
      </c>
      <c r="FN175" s="204" t="str">
        <f t="shared" si="516"/>
        <v/>
      </c>
      <c r="FO175" s="203" t="str">
        <f t="shared" si="543"/>
        <v/>
      </c>
      <c r="FP175" s="205" t="str">
        <f t="shared" si="517"/>
        <v/>
      </c>
      <c r="FQ175" s="189" t="str">
        <f t="shared" si="544"/>
        <v/>
      </c>
      <c r="FR175" s="189" t="str">
        <f t="shared" si="545"/>
        <v/>
      </c>
      <c r="FS175" s="189" t="str">
        <f t="shared" si="546"/>
        <v/>
      </c>
      <c r="FT175" s="189" t="str">
        <f t="shared" si="547"/>
        <v/>
      </c>
      <c r="FU175" s="189" t="str">
        <f t="shared" si="518"/>
        <v/>
      </c>
      <c r="FV175" s="206" t="str">
        <f t="shared" si="548"/>
        <v/>
      </c>
      <c r="FW175" s="205" t="str">
        <f t="shared" si="519"/>
        <v/>
      </c>
      <c r="FX175" s="189" t="str">
        <f t="shared" si="549"/>
        <v/>
      </c>
      <c r="FY175" s="189" t="str">
        <f t="shared" si="550"/>
        <v/>
      </c>
      <c r="FZ175" s="189" t="str">
        <f t="shared" si="551"/>
        <v/>
      </c>
      <c r="GA175" s="189" t="str">
        <f t="shared" si="552"/>
        <v/>
      </c>
      <c r="GB175" s="189" t="str">
        <f t="shared" si="520"/>
        <v/>
      </c>
      <c r="GC175" s="206" t="str">
        <f t="shared" si="553"/>
        <v/>
      </c>
      <c r="GD175" s="205" t="str">
        <f t="shared" si="521"/>
        <v/>
      </c>
      <c r="GE175" s="189" t="str">
        <f t="shared" si="554"/>
        <v/>
      </c>
      <c r="GF175" s="189" t="str">
        <f t="shared" si="555"/>
        <v/>
      </c>
      <c r="GG175" s="189" t="str">
        <f t="shared" si="556"/>
        <v/>
      </c>
      <c r="GH175" s="189" t="str">
        <f t="shared" si="557"/>
        <v/>
      </c>
      <c r="GI175" s="189" t="str">
        <f t="shared" si="522"/>
        <v/>
      </c>
      <c r="GJ175" s="206" t="str">
        <f t="shared" si="558"/>
        <v/>
      </c>
      <c r="GK175" s="205" t="str">
        <f t="shared" si="523"/>
        <v/>
      </c>
      <c r="GL175" s="189" t="str">
        <f t="shared" si="559"/>
        <v/>
      </c>
      <c r="GM175" s="189" t="str">
        <f t="shared" si="560"/>
        <v/>
      </c>
      <c r="GN175" s="189" t="str">
        <f t="shared" si="561"/>
        <v/>
      </c>
      <c r="GO175" s="189" t="str">
        <f t="shared" si="562"/>
        <v/>
      </c>
      <c r="GP175" s="189" t="str">
        <f t="shared" si="524"/>
        <v/>
      </c>
      <c r="GQ175" s="206" t="str">
        <f t="shared" si="563"/>
        <v/>
      </c>
      <c r="GR175" s="189" t="str">
        <f t="shared" si="525"/>
        <v/>
      </c>
      <c r="GS175" s="189" t="str">
        <f t="shared" si="526"/>
        <v/>
      </c>
      <c r="GT175" s="207" t="str">
        <f t="shared" si="527"/>
        <v xml:space="preserve">    </v>
      </c>
      <c r="GU175" s="207" t="str">
        <f t="shared" si="528"/>
        <v xml:space="preserve">    </v>
      </c>
      <c r="GV175" s="207" t="str">
        <f t="shared" si="529"/>
        <v xml:space="preserve">    </v>
      </c>
      <c r="GW175" s="207" t="str">
        <f t="shared" si="530"/>
        <v xml:space="preserve">       </v>
      </c>
      <c r="GX175" s="598" t="str">
        <f t="shared" si="531"/>
        <v xml:space="preserve">     </v>
      </c>
      <c r="GY175" s="208" t="str">
        <f t="shared" si="564"/>
        <v/>
      </c>
      <c r="GZ175" s="606" t="str">
        <f>IF(AND(Q175="",AE175="",AZ175="",BW175="",CT175=""),"",IF(AND('Master Sheet'!$D$19="YES",'Marks Entry'!$BA$1=1),SUM(Q175,AE175,AZ175,BW175,DT175),SUM(Q175,AE175,AZ175,BW175,CT175)))</f>
        <v/>
      </c>
      <c r="HA175" s="209" t="str">
        <f>IF(GZ175="","",IF(AND('Master Sheet'!$D$19="YES",'Marks Entry'!$BA$1=1),GZ175/((900)-DC175)*100,GZ175/((1000)-DC175)*100))</f>
        <v/>
      </c>
      <c r="HB175" s="611" t="str">
        <f t="shared" si="532"/>
        <v/>
      </c>
      <c r="HC175" s="609" t="str">
        <f t="shared" si="533"/>
        <v/>
      </c>
      <c r="HD175" s="610" t="str">
        <f t="shared" si="534"/>
        <v/>
      </c>
      <c r="HE175" s="210" t="str">
        <f>IFERROR(IF(OR(GY175="SUPPLEMENTARY",GY175="RE-EXAM"),'Supp. Result Entry'!AS174,""),"")</f>
        <v/>
      </c>
      <c r="HF175" s="613" t="str">
        <f t="shared" si="535"/>
        <v/>
      </c>
      <c r="HG175" s="598" t="str">
        <f t="shared" si="536"/>
        <v/>
      </c>
      <c r="HH175" s="598" t="str">
        <f>IF(AND(HE175="",HF175="",HG175=""),"",IF(OR(GY175="SUPPLEMENTARY",GY175="RE-EXAM"),'Supp. Result Entry'!AS174,GY175))</f>
        <v/>
      </c>
      <c r="HI175" s="180"/>
      <c r="HY175" s="212" t="str">
        <f>IF('Supp. Result Entry'!U174="","",'Supp. Result Entry'!$U$6)</f>
        <v/>
      </c>
      <c r="HZ175" s="213" t="str">
        <f>IF('Supp. Result Entry'!X174="","",'Supp. Result Entry'!$X$6)</f>
        <v/>
      </c>
      <c r="IA175" s="213" t="str">
        <f>IF('Supp. Result Entry'!AA174="","",'Supp. Result Entry'!$AA$6)</f>
        <v/>
      </c>
      <c r="IB175" s="213" t="str">
        <f>IF('Supp. Result Entry'!AD174="","",'Supp. Result Entry'!$AD$6)</f>
        <v/>
      </c>
      <c r="IC175" s="213" t="str">
        <f>IF('Supp. Result Entry'!AG174="","",'Supp. Result Entry'!$AG$6)</f>
        <v/>
      </c>
      <c r="ID175" s="213" t="str">
        <f>IF('Supp. Result Entry'!AJ174="","",'Supp. Result Entry'!$AJ$6)</f>
        <v/>
      </c>
      <c r="IE175" s="213" t="str">
        <f>IF('Supp. Result Entry'!V174="","",'Supp. Result Entry'!V174)</f>
        <v/>
      </c>
      <c r="IF175" s="213" t="str">
        <f>IF('Supp. Result Entry'!Y174="","",'Supp. Result Entry'!Y174)</f>
        <v/>
      </c>
      <c r="IG175" s="213" t="str">
        <f>IF('Supp. Result Entry'!AB174="","",'Supp. Result Entry'!AB174)</f>
        <v/>
      </c>
      <c r="IH175" s="213" t="str">
        <f>IF('Supp. Result Entry'!AE174="","",'Supp. Result Entry'!AE174)</f>
        <v/>
      </c>
      <c r="II175" s="213" t="str">
        <f>IF('Supp. Result Entry'!AH174="","",'Supp. Result Entry'!AH174)</f>
        <v/>
      </c>
      <c r="IJ175" s="213" t="str">
        <f>IF('Supp. Result Entry'!AK174="","",'Supp. Result Entry'!AK174)</f>
        <v/>
      </c>
      <c r="IK175" s="213" t="str">
        <f>IF('Supp. Result Entry'!W174="","",'Supp. Result Entry'!W174)</f>
        <v/>
      </c>
      <c r="IL175" s="213" t="str">
        <f>IF('Supp. Result Entry'!Z174="","",'Supp. Result Entry'!Z174)</f>
        <v/>
      </c>
      <c r="IM175" s="213" t="str">
        <f>IF('Supp. Result Entry'!AC174="","",'Supp. Result Entry'!AC174)</f>
        <v/>
      </c>
      <c r="IN175" s="213" t="str">
        <f>IF('Supp. Result Entry'!AF174="","",'Supp. Result Entry'!AF174)</f>
        <v/>
      </c>
      <c r="IO175" s="213" t="str">
        <f>IF('Supp. Result Entry'!AI174="","",'Supp. Result Entry'!AI174)</f>
        <v/>
      </c>
      <c r="IP175" s="213" t="str">
        <f>IF('Supp. Result Entry'!AL174="","",'Supp. Result Entry'!AL174)</f>
        <v/>
      </c>
      <c r="IQ175" s="213">
        <f>COUNTIF('Supp. Result Entry'!K174:Q174,"S")</f>
        <v>0</v>
      </c>
      <c r="IR175" s="213">
        <f t="shared" si="537"/>
        <v>0</v>
      </c>
      <c r="IS175" s="213">
        <f t="shared" si="538"/>
        <v>0</v>
      </c>
      <c r="IT175" s="213" t="str">
        <f t="shared" si="406"/>
        <v/>
      </c>
      <c r="IU175" s="213" t="str">
        <f t="shared" si="407"/>
        <v/>
      </c>
      <c r="IV175" s="213" t="str">
        <f t="shared" si="408"/>
        <v/>
      </c>
      <c r="IW175" s="213" t="str">
        <f t="shared" si="409"/>
        <v/>
      </c>
      <c r="IX175" s="213" t="str">
        <f t="shared" si="410"/>
        <v/>
      </c>
      <c r="IY175" s="213" t="str">
        <f t="shared" si="539"/>
        <v/>
      </c>
      <c r="IZ175" s="213" t="str">
        <f t="shared" si="540"/>
        <v/>
      </c>
      <c r="JA175" s="213" t="str">
        <f t="shared" si="411"/>
        <v/>
      </c>
      <c r="JB175" s="211" t="str">
        <f t="shared" si="541"/>
        <v/>
      </c>
    </row>
    <row r="176" spans="1:262" s="211" customFormat="1" ht="21" customHeight="1">
      <c r="A176" s="184">
        <v>169</v>
      </c>
      <c r="B176" s="185" t="str">
        <f>IF('Marks Entry'!B176="","",'Marks Entry'!B176)</f>
        <v/>
      </c>
      <c r="C176" s="186" t="str">
        <f>IF('Marks Entry'!D176="","",'Marks Entry'!D176)</f>
        <v/>
      </c>
      <c r="D176" s="187" t="str">
        <f>IF('Marks Entry'!E176="","",'Marks Entry'!E176)</f>
        <v/>
      </c>
      <c r="E176" s="188" t="str">
        <f>IF('Marks Entry'!F176="","",'Marks Entry'!F176)</f>
        <v/>
      </c>
      <c r="F176" s="188" t="str">
        <f>IF('Marks Entry'!G176="","",'Marks Entry'!G176)</f>
        <v/>
      </c>
      <c r="G176" s="188" t="str">
        <f>IF('Marks Entry'!H176="","",'Marks Entry'!H176)</f>
        <v/>
      </c>
      <c r="H176" s="189" t="str">
        <f>IF('Marks Entry'!I176="","",'Marks Entry'!I176)</f>
        <v/>
      </c>
      <c r="I176" s="190" t="str">
        <f>IF('Marks Entry'!J176="","",'Marks Entry'!J176)</f>
        <v/>
      </c>
      <c r="J176" s="545" t="str">
        <f>IF('Marks Entry'!K176="","",'Marks Entry'!K176)</f>
        <v/>
      </c>
      <c r="K176" s="545" t="str">
        <f>IF('Marks Entry'!L176="","",'Marks Entry'!L176)</f>
        <v/>
      </c>
      <c r="L176" s="545" t="str">
        <f>IF('Marks Entry'!M176="","",'Marks Entry'!M176)</f>
        <v/>
      </c>
      <c r="M176" s="546" t="str">
        <f t="shared" si="412"/>
        <v/>
      </c>
      <c r="N176" s="545" t="str">
        <f>IF('Marks Entry'!N176="","",'Marks Entry'!N176)</f>
        <v/>
      </c>
      <c r="O176" s="546" t="str">
        <f t="shared" si="413"/>
        <v/>
      </c>
      <c r="P176" s="545" t="str">
        <f>IF('Marks Entry'!O176="","",'Marks Entry'!O176)</f>
        <v/>
      </c>
      <c r="Q176" s="547" t="str">
        <f t="shared" si="414"/>
        <v/>
      </c>
      <c r="R176" s="153">
        <f t="shared" si="415"/>
        <v>0</v>
      </c>
      <c r="S176" s="153">
        <f t="shared" si="416"/>
        <v>0</v>
      </c>
      <c r="T176" s="154" t="str">
        <f t="shared" si="417"/>
        <v/>
      </c>
      <c r="U176" s="153" t="str">
        <f t="shared" si="418"/>
        <v/>
      </c>
      <c r="V176" s="153" t="str">
        <f t="shared" si="419"/>
        <v/>
      </c>
      <c r="W176" s="153" t="str">
        <f t="shared" si="420"/>
        <v/>
      </c>
      <c r="X176" s="545" t="str">
        <f>IF('Marks Entry'!P176="","",'Marks Entry'!P176)</f>
        <v/>
      </c>
      <c r="Y176" s="545" t="str">
        <f>IF('Marks Entry'!Q176="","",'Marks Entry'!Q176)</f>
        <v/>
      </c>
      <c r="Z176" s="545" t="str">
        <f>IF('Marks Entry'!R176="","",'Marks Entry'!R176)</f>
        <v/>
      </c>
      <c r="AA176" s="546" t="str">
        <f t="shared" si="421"/>
        <v/>
      </c>
      <c r="AB176" s="545" t="str">
        <f>IF('Marks Entry'!S176="","",'Marks Entry'!S176)</f>
        <v/>
      </c>
      <c r="AC176" s="546" t="str">
        <f t="shared" si="422"/>
        <v/>
      </c>
      <c r="AD176" s="545" t="str">
        <f>IF('Marks Entry'!T176="","",'Marks Entry'!T176)</f>
        <v/>
      </c>
      <c r="AE176" s="547" t="str">
        <f t="shared" si="423"/>
        <v/>
      </c>
      <c r="AF176" s="153">
        <f t="shared" si="424"/>
        <v>0</v>
      </c>
      <c r="AG176" s="153">
        <f t="shared" si="425"/>
        <v>0</v>
      </c>
      <c r="AH176" s="154" t="str">
        <f t="shared" si="426"/>
        <v/>
      </c>
      <c r="AI176" s="153" t="str">
        <f t="shared" si="427"/>
        <v/>
      </c>
      <c r="AJ176" s="153" t="str">
        <f t="shared" si="428"/>
        <v/>
      </c>
      <c r="AK176" s="153" t="str">
        <f t="shared" si="429"/>
        <v/>
      </c>
      <c r="AL176" s="573" t="str">
        <f>IF('Marks Entry'!U176="","",'Marks Entry'!U176)</f>
        <v/>
      </c>
      <c r="AM176" s="573" t="str">
        <f>IF('Marks Entry'!V176="","",'Marks Entry'!V176)</f>
        <v/>
      </c>
      <c r="AN176" s="573" t="str">
        <f>IF('Marks Entry'!W176="","",'Marks Entry'!W176)</f>
        <v/>
      </c>
      <c r="AO176" s="573" t="str">
        <f>IF('Marks Entry'!X176="","",'Marks Entry'!X176)</f>
        <v/>
      </c>
      <c r="AP176" s="572" t="str">
        <f t="shared" si="430"/>
        <v/>
      </c>
      <c r="AQ176" s="573" t="str">
        <f>IF('Marks Entry'!Y176="","",'Marks Entry'!Y176)</f>
        <v/>
      </c>
      <c r="AR176" s="573" t="str">
        <f>IF('Marks Entry'!Z176="","",'Marks Entry'!Z176)</f>
        <v/>
      </c>
      <c r="AS176" s="572" t="str">
        <f t="shared" si="431"/>
        <v/>
      </c>
      <c r="AT176" s="572" t="str">
        <f t="shared" si="432"/>
        <v/>
      </c>
      <c r="AU176" s="573" t="str">
        <f>IF('Marks Entry'!AA176="","",'Marks Entry'!AA176)</f>
        <v/>
      </c>
      <c r="AV176" s="573" t="str">
        <f>IF('Marks Entry'!AB176="","",'Marks Entry'!AB176)</f>
        <v/>
      </c>
      <c r="AW176" s="572" t="str">
        <f t="shared" si="433"/>
        <v/>
      </c>
      <c r="AX176" s="157" t="str">
        <f t="shared" si="434"/>
        <v/>
      </c>
      <c r="AY176" s="157" t="str">
        <f t="shared" si="435"/>
        <v/>
      </c>
      <c r="AZ176" s="192" t="str">
        <f t="shared" si="436"/>
        <v/>
      </c>
      <c r="BA176" s="153">
        <f t="shared" si="437"/>
        <v>0</v>
      </c>
      <c r="BB176" s="154">
        <f t="shared" si="438"/>
        <v>0</v>
      </c>
      <c r="BC176" s="154" t="str">
        <f t="shared" si="439"/>
        <v/>
      </c>
      <c r="BD176" s="154" t="str">
        <f t="shared" si="440"/>
        <v/>
      </c>
      <c r="BE176" s="154" t="str">
        <f t="shared" si="441"/>
        <v/>
      </c>
      <c r="BF176" s="153" t="str">
        <f t="shared" si="442"/>
        <v/>
      </c>
      <c r="BG176" s="154" t="str">
        <f t="shared" si="443"/>
        <v/>
      </c>
      <c r="BH176" s="153" t="str">
        <f t="shared" si="444"/>
        <v/>
      </c>
      <c r="BI176" s="580" t="str">
        <f>IF('Marks Entry'!AC176="","",'Marks Entry'!AC176)</f>
        <v/>
      </c>
      <c r="BJ176" s="580" t="str">
        <f>IF('Marks Entry'!AD176="","",'Marks Entry'!AD176)</f>
        <v/>
      </c>
      <c r="BK176" s="580" t="str">
        <f>IF('Marks Entry'!AE176="","",'Marks Entry'!AE176)</f>
        <v/>
      </c>
      <c r="BL176" s="580" t="str">
        <f>IF('Marks Entry'!AF176="","",'Marks Entry'!AF176)</f>
        <v/>
      </c>
      <c r="BM176" s="581" t="str">
        <f t="shared" si="445"/>
        <v/>
      </c>
      <c r="BN176" s="580" t="str">
        <f>IF('Marks Entry'!AG176="","",'Marks Entry'!AG176)</f>
        <v/>
      </c>
      <c r="BO176" s="580" t="str">
        <f>IF('Marks Entry'!AH176="","",'Marks Entry'!AH176)</f>
        <v/>
      </c>
      <c r="BP176" s="581" t="str">
        <f t="shared" si="446"/>
        <v/>
      </c>
      <c r="BQ176" s="581" t="str">
        <f t="shared" si="447"/>
        <v/>
      </c>
      <c r="BR176" s="580" t="str">
        <f>IF('Marks Entry'!AI176="","",'Marks Entry'!AI176)</f>
        <v/>
      </c>
      <c r="BS176" s="580" t="str">
        <f>IF('Marks Entry'!AJ176="","",'Marks Entry'!AJ176)</f>
        <v/>
      </c>
      <c r="BT176" s="581" t="str">
        <f t="shared" si="448"/>
        <v/>
      </c>
      <c r="BU176" s="157" t="str">
        <f t="shared" si="449"/>
        <v/>
      </c>
      <c r="BV176" s="157" t="str">
        <f t="shared" si="450"/>
        <v/>
      </c>
      <c r="BW176" s="192" t="str">
        <f t="shared" si="451"/>
        <v/>
      </c>
      <c r="BX176" s="153">
        <f t="shared" si="452"/>
        <v>0</v>
      </c>
      <c r="BY176" s="154">
        <f t="shared" si="453"/>
        <v>0</v>
      </c>
      <c r="BZ176" s="154" t="str">
        <f t="shared" si="454"/>
        <v/>
      </c>
      <c r="CA176" s="154" t="str">
        <f t="shared" si="455"/>
        <v/>
      </c>
      <c r="CB176" s="154" t="str">
        <f t="shared" si="456"/>
        <v/>
      </c>
      <c r="CC176" s="153" t="str">
        <f t="shared" si="457"/>
        <v/>
      </c>
      <c r="CD176" s="154" t="str">
        <f t="shared" si="458"/>
        <v/>
      </c>
      <c r="CE176" s="153" t="str">
        <f t="shared" si="459"/>
        <v/>
      </c>
      <c r="CF176" s="580" t="str">
        <f>IF('Marks Entry'!AK176="","",'Marks Entry'!AK176)</f>
        <v/>
      </c>
      <c r="CG176" s="580" t="str">
        <f>IF('Marks Entry'!AL176="","",'Marks Entry'!AL176)</f>
        <v/>
      </c>
      <c r="CH176" s="580" t="str">
        <f>IF('Marks Entry'!AM176="","",'Marks Entry'!AM176)</f>
        <v/>
      </c>
      <c r="CI176" s="580" t="str">
        <f>IF('Marks Entry'!AN176="","",'Marks Entry'!AN176)</f>
        <v/>
      </c>
      <c r="CJ176" s="581" t="str">
        <f t="shared" si="460"/>
        <v/>
      </c>
      <c r="CK176" s="580" t="str">
        <f>IF('Marks Entry'!AO176="","",'Marks Entry'!AO176)</f>
        <v/>
      </c>
      <c r="CL176" s="580" t="str">
        <f>IF('Marks Entry'!AP176="","",'Marks Entry'!AP176)</f>
        <v/>
      </c>
      <c r="CM176" s="581" t="str">
        <f t="shared" si="461"/>
        <v/>
      </c>
      <c r="CN176" s="581" t="str">
        <f t="shared" si="462"/>
        <v/>
      </c>
      <c r="CO176" s="580" t="str">
        <f>IF('Marks Entry'!AQ176="","",'Marks Entry'!AQ176)</f>
        <v/>
      </c>
      <c r="CP176" s="580" t="str">
        <f>IF('Marks Entry'!AR176="","",'Marks Entry'!AR176)</f>
        <v/>
      </c>
      <c r="CQ176" s="581" t="str">
        <f t="shared" si="463"/>
        <v/>
      </c>
      <c r="CR176" s="157" t="str">
        <f t="shared" si="464"/>
        <v/>
      </c>
      <c r="CS176" s="157" t="str">
        <f t="shared" si="465"/>
        <v/>
      </c>
      <c r="CT176" s="192" t="str">
        <f t="shared" si="466"/>
        <v/>
      </c>
      <c r="CU176" s="153">
        <f t="shared" si="467"/>
        <v>0</v>
      </c>
      <c r="CV176" s="154">
        <f t="shared" si="468"/>
        <v>0</v>
      </c>
      <c r="CW176" s="154" t="str">
        <f t="shared" si="469"/>
        <v/>
      </c>
      <c r="CX176" s="154" t="str">
        <f t="shared" si="470"/>
        <v/>
      </c>
      <c r="CY176" s="154" t="str">
        <f t="shared" si="471"/>
        <v/>
      </c>
      <c r="CZ176" s="153" t="str">
        <f t="shared" si="472"/>
        <v/>
      </c>
      <c r="DA176" s="154" t="str">
        <f t="shared" si="473"/>
        <v/>
      </c>
      <c r="DB176" s="153" t="str">
        <f t="shared" si="474"/>
        <v/>
      </c>
      <c r="DC176" s="154">
        <f t="shared" si="475"/>
        <v>0</v>
      </c>
      <c r="DD176" s="826" t="str">
        <f>IF('Marks Entry'!AS176="","",IF(OR('Master Sheet'!$D$19="YES",'Marks Entry'!$BA$1=1),'Marks Entry'!AS176,""))</f>
        <v/>
      </c>
      <c r="DE176" s="826" t="str">
        <f>IF('Marks Entry'!AT176="","",IF(OR('Master Sheet'!$D$19="YES",'Marks Entry'!$BA$1=1),'Marks Entry'!AT176,""))</f>
        <v/>
      </c>
      <c r="DF176" s="826" t="str">
        <f>IF('Marks Entry'!AU176="","",IF(OR('Master Sheet'!$D$19="YES",'Marks Entry'!$BA$1=1),'Marks Entry'!AU176,""))</f>
        <v/>
      </c>
      <c r="DG176" s="826" t="str">
        <f>IF('Marks Entry'!AV176="","",IF(OR('Master Sheet'!$D$19="YES",'Marks Entry'!$BA$1=1),'Marks Entry'!AV176,""))</f>
        <v/>
      </c>
      <c r="DH176" s="827" t="str">
        <f t="shared" si="476"/>
        <v/>
      </c>
      <c r="DI176" s="826" t="str">
        <f>IF('Marks Entry'!AW176="","",IF(OR('Master Sheet'!$D$19="YES",'Marks Entry'!$BA$1=1),'Marks Entry'!AW176,""))</f>
        <v/>
      </c>
      <c r="DJ176" s="826" t="str">
        <f>IF('Marks Entry'!AX176="","",IF(OR('Master Sheet'!$D$19="YES",'Marks Entry'!$BA$1=1),'Marks Entry'!AX176,""))</f>
        <v/>
      </c>
      <c r="DK176" s="827" t="str">
        <f t="shared" si="477"/>
        <v/>
      </c>
      <c r="DL176" s="827" t="str">
        <f t="shared" si="478"/>
        <v/>
      </c>
      <c r="DM176" s="826" t="str">
        <f>IF('Marks Entry'!AY176="","",IF(OR('Master Sheet'!$D$19="YES",'Marks Entry'!$BA$1=1),'Marks Entry'!AY176,""))</f>
        <v/>
      </c>
      <c r="DN176" s="826" t="str">
        <f>IF('Marks Entry'!AZ176="","",IF(OR('Master Sheet'!$D$19="YES",'Marks Entry'!$BA$1=1),'Marks Entry'!AZ176,""))</f>
        <v/>
      </c>
      <c r="DO176" s="826" t="str">
        <f>IF('Marks Entry'!BA176="","",IF(OR('Master Sheet'!$D$19="YES",'Marks Entry'!$BA$1=1),'Marks Entry'!BA176,""))</f>
        <v/>
      </c>
      <c r="DP176" s="827" t="str">
        <f t="shared" si="479"/>
        <v/>
      </c>
      <c r="DQ176" s="157" t="str">
        <f t="shared" si="480"/>
        <v/>
      </c>
      <c r="DR176" s="157" t="str">
        <f t="shared" si="481"/>
        <v/>
      </c>
      <c r="DS176" s="157" t="str">
        <f t="shared" si="482"/>
        <v/>
      </c>
      <c r="DT176" s="192" t="str">
        <f t="shared" si="483"/>
        <v/>
      </c>
      <c r="DU176" s="153">
        <f t="shared" si="484"/>
        <v>0</v>
      </c>
      <c r="DV176" s="154" t="e">
        <f t="shared" si="485"/>
        <v>#VALUE!</v>
      </c>
      <c r="DW176" s="154" t="str">
        <f t="shared" si="486"/>
        <v/>
      </c>
      <c r="DX176" s="154" t="str">
        <f>IF(OR($B176="NSO",$B176=0,DS176=""),"",IF(AND(DJ176="",DO176=""),"",IF('Master Sheet'!$D$19="YES",$DO$6-COUNTIF(DO176,"ML")*DO$6,DS$6-(COUNTIF(DJ176,"ML")*DJ$6)-(COUNTIF(DO176,"ML")*DO$6))))</f>
        <v/>
      </c>
      <c r="DY176" s="154" t="str">
        <f>IF(OR($B176="NSO",$B176=0),"",IF(AND(DH176="",DI176="",DM176=""),"",IF(AND('Master Sheet'!$D$19="YES",'Marks Entry'!$BA$1=1),100,IF(AND(DJ176="",DO176=""),SUM(($DQ$7+$DR$7)-(DU176+DV176)),SUM(($DQ$6+$DR$6)-(DU176+DV176))))))</f>
        <v/>
      </c>
      <c r="DZ176" s="153" t="str">
        <f t="shared" si="487"/>
        <v/>
      </c>
      <c r="EA176" s="154" t="str">
        <f t="shared" si="488"/>
        <v/>
      </c>
      <c r="EB176" s="153" t="str">
        <f t="shared" si="489"/>
        <v/>
      </c>
      <c r="EC176" s="584" t="str">
        <f>IF('Marks Entry'!BB176="","",'Marks Entry'!BB176)</f>
        <v/>
      </c>
      <c r="ED176" s="584" t="str">
        <f>IF('Marks Entry'!BC176="","",'Marks Entry'!BC176)</f>
        <v/>
      </c>
      <c r="EE176" s="584" t="str">
        <f>IF('Marks Entry'!BD176="","",'Marks Entry'!BD176)</f>
        <v/>
      </c>
      <c r="EF176" s="590" t="str">
        <f t="shared" si="490"/>
        <v/>
      </c>
      <c r="EG176" s="595">
        <f t="shared" si="491"/>
        <v>0</v>
      </c>
      <c r="EH176" s="595">
        <f t="shared" si="492"/>
        <v>0</v>
      </c>
      <c r="EI176" s="193" t="str">
        <f t="shared" si="493"/>
        <v/>
      </c>
      <c r="EJ176" s="595" t="str">
        <f t="shared" si="494"/>
        <v/>
      </c>
      <c r="EK176" s="595" t="str">
        <f t="shared" si="495"/>
        <v/>
      </c>
      <c r="EL176" s="194" t="str">
        <f t="shared" si="496"/>
        <v/>
      </c>
      <c r="EM176" s="194" t="str">
        <f t="shared" si="497"/>
        <v/>
      </c>
      <c r="EN176" s="194" t="str">
        <f t="shared" si="498"/>
        <v/>
      </c>
      <c r="EO176" s="194" t="str">
        <f t="shared" si="499"/>
        <v/>
      </c>
      <c r="EP176" s="194" t="str">
        <f t="shared" si="500"/>
        <v/>
      </c>
      <c r="EQ176" s="194" t="str">
        <f t="shared" si="501"/>
        <v/>
      </c>
      <c r="ER176" s="195">
        <f t="shared" si="502"/>
        <v>0</v>
      </c>
      <c r="ES176" s="195">
        <f t="shared" si="503"/>
        <v>0</v>
      </c>
      <c r="ET176" s="195">
        <f t="shared" si="504"/>
        <v>0</v>
      </c>
      <c r="EU176" s="195">
        <f t="shared" si="505"/>
        <v>0</v>
      </c>
      <c r="EV176" s="195">
        <f t="shared" si="506"/>
        <v>0</v>
      </c>
      <c r="EW176" s="195" t="str">
        <f t="shared" si="507"/>
        <v/>
      </c>
      <c r="EX176" s="196" t="str">
        <f t="shared" si="508"/>
        <v/>
      </c>
      <c r="EY176" s="197" t="str">
        <f>IF('Marks Entry'!BE176="","",'Marks Entry'!BE176)</f>
        <v/>
      </c>
      <c r="EZ176" s="197" t="str">
        <f>IF('Marks Entry'!BF176="","",'Marks Entry'!BF176)</f>
        <v/>
      </c>
      <c r="FA176" s="197" t="str">
        <f>IF('Marks Entry'!BG176="","",'Marks Entry'!BG176)</f>
        <v/>
      </c>
      <c r="FB176" s="596" t="str">
        <f t="shared" si="509"/>
        <v/>
      </c>
      <c r="FC176" s="197" t="str">
        <f>IF('Marks Entry'!BH176="","",'Marks Entry'!BH176)</f>
        <v/>
      </c>
      <c r="FD176" s="197" t="str">
        <f>IF('Marks Entry'!BI176="","",'Marks Entry'!BI176)</f>
        <v/>
      </c>
      <c r="FE176" s="198" t="str">
        <f t="shared" si="510"/>
        <v/>
      </c>
      <c r="FF176" s="199" t="str">
        <f t="shared" si="511"/>
        <v/>
      </c>
      <c r="FG176" s="200" t="str">
        <f>IF(AND(E176=""),"",IF('Student DATA Entry'!L172="","",'Student DATA Entry'!L172))</f>
        <v/>
      </c>
      <c r="FH176" s="201" t="str">
        <f>IF(AND(E176=""),"",IF('Student DATA Entry'!M172="","",'Student DATA Entry'!M172))</f>
        <v/>
      </c>
      <c r="FI176" s="202" t="str">
        <f t="shared" si="512"/>
        <v/>
      </c>
      <c r="FJ176" s="189" t="str">
        <f t="shared" si="513"/>
        <v/>
      </c>
      <c r="FK176" s="189" t="str">
        <f t="shared" si="514"/>
        <v/>
      </c>
      <c r="FL176" s="203" t="str">
        <f t="shared" si="542"/>
        <v/>
      </c>
      <c r="FM176" s="189" t="str">
        <f t="shared" si="515"/>
        <v/>
      </c>
      <c r="FN176" s="204" t="str">
        <f t="shared" si="516"/>
        <v/>
      </c>
      <c r="FO176" s="203" t="str">
        <f t="shared" si="543"/>
        <v/>
      </c>
      <c r="FP176" s="205" t="str">
        <f t="shared" si="517"/>
        <v/>
      </c>
      <c r="FQ176" s="189" t="str">
        <f t="shared" si="544"/>
        <v/>
      </c>
      <c r="FR176" s="189" t="str">
        <f t="shared" si="545"/>
        <v/>
      </c>
      <c r="FS176" s="189" t="str">
        <f t="shared" si="546"/>
        <v/>
      </c>
      <c r="FT176" s="189" t="str">
        <f t="shared" si="547"/>
        <v/>
      </c>
      <c r="FU176" s="189" t="str">
        <f t="shared" si="518"/>
        <v/>
      </c>
      <c r="FV176" s="206" t="str">
        <f t="shared" si="548"/>
        <v/>
      </c>
      <c r="FW176" s="205" t="str">
        <f t="shared" si="519"/>
        <v/>
      </c>
      <c r="FX176" s="189" t="str">
        <f t="shared" si="549"/>
        <v/>
      </c>
      <c r="FY176" s="189" t="str">
        <f t="shared" si="550"/>
        <v/>
      </c>
      <c r="FZ176" s="189" t="str">
        <f t="shared" si="551"/>
        <v/>
      </c>
      <c r="GA176" s="189" t="str">
        <f t="shared" si="552"/>
        <v/>
      </c>
      <c r="GB176" s="189" t="str">
        <f t="shared" si="520"/>
        <v/>
      </c>
      <c r="GC176" s="206" t="str">
        <f t="shared" si="553"/>
        <v/>
      </c>
      <c r="GD176" s="205" t="str">
        <f t="shared" si="521"/>
        <v/>
      </c>
      <c r="GE176" s="189" t="str">
        <f t="shared" si="554"/>
        <v/>
      </c>
      <c r="GF176" s="189" t="str">
        <f t="shared" si="555"/>
        <v/>
      </c>
      <c r="GG176" s="189" t="str">
        <f t="shared" si="556"/>
        <v/>
      </c>
      <c r="GH176" s="189" t="str">
        <f t="shared" si="557"/>
        <v/>
      </c>
      <c r="GI176" s="189" t="str">
        <f t="shared" si="522"/>
        <v/>
      </c>
      <c r="GJ176" s="206" t="str">
        <f t="shared" si="558"/>
        <v/>
      </c>
      <c r="GK176" s="205" t="str">
        <f t="shared" si="523"/>
        <v/>
      </c>
      <c r="GL176" s="189" t="str">
        <f t="shared" si="559"/>
        <v/>
      </c>
      <c r="GM176" s="189" t="str">
        <f t="shared" si="560"/>
        <v/>
      </c>
      <c r="GN176" s="189" t="str">
        <f t="shared" si="561"/>
        <v/>
      </c>
      <c r="GO176" s="189" t="str">
        <f t="shared" si="562"/>
        <v/>
      </c>
      <c r="GP176" s="189" t="str">
        <f t="shared" si="524"/>
        <v/>
      </c>
      <c r="GQ176" s="206" t="str">
        <f t="shared" si="563"/>
        <v/>
      </c>
      <c r="GR176" s="189" t="str">
        <f t="shared" si="525"/>
        <v/>
      </c>
      <c r="GS176" s="189" t="str">
        <f t="shared" si="526"/>
        <v/>
      </c>
      <c r="GT176" s="207" t="str">
        <f t="shared" si="527"/>
        <v xml:space="preserve">    </v>
      </c>
      <c r="GU176" s="207" t="str">
        <f t="shared" si="528"/>
        <v xml:space="preserve">    </v>
      </c>
      <c r="GV176" s="207" t="str">
        <f t="shared" si="529"/>
        <v xml:space="preserve">    </v>
      </c>
      <c r="GW176" s="207" t="str">
        <f t="shared" si="530"/>
        <v xml:space="preserve">       </v>
      </c>
      <c r="GX176" s="598" t="str">
        <f t="shared" si="531"/>
        <v xml:space="preserve">     </v>
      </c>
      <c r="GY176" s="208" t="str">
        <f t="shared" si="564"/>
        <v/>
      </c>
      <c r="GZ176" s="606" t="str">
        <f>IF(AND(Q176="",AE176="",AZ176="",BW176="",CT176=""),"",IF(AND('Master Sheet'!$D$19="YES",'Marks Entry'!$BA$1=1),SUM(Q176,AE176,AZ176,BW176,DT176),SUM(Q176,AE176,AZ176,BW176,CT176)))</f>
        <v/>
      </c>
      <c r="HA176" s="209" t="str">
        <f>IF(GZ176="","",IF(AND('Master Sheet'!$D$19="YES",'Marks Entry'!$BA$1=1),GZ176/((900)-DC176)*100,GZ176/((1000)-DC176)*100))</f>
        <v/>
      </c>
      <c r="HB176" s="611" t="str">
        <f t="shared" si="532"/>
        <v/>
      </c>
      <c r="HC176" s="609" t="str">
        <f t="shared" si="533"/>
        <v/>
      </c>
      <c r="HD176" s="610" t="str">
        <f t="shared" si="534"/>
        <v/>
      </c>
      <c r="HE176" s="210" t="str">
        <f>IFERROR(IF(OR(GY176="SUPPLEMENTARY",GY176="RE-EXAM"),'Supp. Result Entry'!AS175,""),"")</f>
        <v/>
      </c>
      <c r="HF176" s="613" t="str">
        <f t="shared" si="535"/>
        <v/>
      </c>
      <c r="HG176" s="598" t="str">
        <f t="shared" si="536"/>
        <v/>
      </c>
      <c r="HH176" s="598" t="str">
        <f>IF(AND(HE176="",HF176="",HG176=""),"",IF(OR(GY176="SUPPLEMENTARY",GY176="RE-EXAM"),'Supp. Result Entry'!AS175,GY176))</f>
        <v/>
      </c>
      <c r="HI176" s="180"/>
      <c r="HY176" s="212" t="str">
        <f>IF('Supp. Result Entry'!U175="","",'Supp. Result Entry'!$U$6)</f>
        <v/>
      </c>
      <c r="HZ176" s="213" t="str">
        <f>IF('Supp. Result Entry'!X175="","",'Supp. Result Entry'!$X$6)</f>
        <v/>
      </c>
      <c r="IA176" s="213" t="str">
        <f>IF('Supp. Result Entry'!AA175="","",'Supp. Result Entry'!$AA$6)</f>
        <v/>
      </c>
      <c r="IB176" s="213" t="str">
        <f>IF('Supp. Result Entry'!AD175="","",'Supp. Result Entry'!$AD$6)</f>
        <v/>
      </c>
      <c r="IC176" s="213" t="str">
        <f>IF('Supp. Result Entry'!AG175="","",'Supp. Result Entry'!$AG$6)</f>
        <v/>
      </c>
      <c r="ID176" s="213" t="str">
        <f>IF('Supp. Result Entry'!AJ175="","",'Supp. Result Entry'!$AJ$6)</f>
        <v/>
      </c>
      <c r="IE176" s="213" t="str">
        <f>IF('Supp. Result Entry'!V175="","",'Supp. Result Entry'!V175)</f>
        <v/>
      </c>
      <c r="IF176" s="213" t="str">
        <f>IF('Supp. Result Entry'!Y175="","",'Supp. Result Entry'!Y175)</f>
        <v/>
      </c>
      <c r="IG176" s="213" t="str">
        <f>IF('Supp. Result Entry'!AB175="","",'Supp. Result Entry'!AB175)</f>
        <v/>
      </c>
      <c r="IH176" s="213" t="str">
        <f>IF('Supp. Result Entry'!AE175="","",'Supp. Result Entry'!AE175)</f>
        <v/>
      </c>
      <c r="II176" s="213" t="str">
        <f>IF('Supp. Result Entry'!AH175="","",'Supp. Result Entry'!AH175)</f>
        <v/>
      </c>
      <c r="IJ176" s="213" t="str">
        <f>IF('Supp. Result Entry'!AK175="","",'Supp. Result Entry'!AK175)</f>
        <v/>
      </c>
      <c r="IK176" s="213" t="str">
        <f>IF('Supp. Result Entry'!W175="","",'Supp. Result Entry'!W175)</f>
        <v/>
      </c>
      <c r="IL176" s="213" t="str">
        <f>IF('Supp. Result Entry'!Z175="","",'Supp. Result Entry'!Z175)</f>
        <v/>
      </c>
      <c r="IM176" s="213" t="str">
        <f>IF('Supp. Result Entry'!AC175="","",'Supp. Result Entry'!AC175)</f>
        <v/>
      </c>
      <c r="IN176" s="213" t="str">
        <f>IF('Supp. Result Entry'!AF175="","",'Supp. Result Entry'!AF175)</f>
        <v/>
      </c>
      <c r="IO176" s="213" t="str">
        <f>IF('Supp. Result Entry'!AI175="","",'Supp. Result Entry'!AI175)</f>
        <v/>
      </c>
      <c r="IP176" s="213" t="str">
        <f>IF('Supp. Result Entry'!AL175="","",'Supp. Result Entry'!AL175)</f>
        <v/>
      </c>
      <c r="IQ176" s="213">
        <f>COUNTIF('Supp. Result Entry'!K175:Q175,"S")</f>
        <v>0</v>
      </c>
      <c r="IR176" s="213">
        <f t="shared" si="537"/>
        <v>0</v>
      </c>
      <c r="IS176" s="213">
        <f t="shared" si="538"/>
        <v>0</v>
      </c>
      <c r="IT176" s="213" t="str">
        <f t="shared" si="406"/>
        <v/>
      </c>
      <c r="IU176" s="213" t="str">
        <f t="shared" si="407"/>
        <v/>
      </c>
      <c r="IV176" s="213" t="str">
        <f t="shared" si="408"/>
        <v/>
      </c>
      <c r="IW176" s="213" t="str">
        <f t="shared" si="409"/>
        <v/>
      </c>
      <c r="IX176" s="213" t="str">
        <f t="shared" si="410"/>
        <v/>
      </c>
      <c r="IY176" s="213" t="str">
        <f t="shared" si="539"/>
        <v/>
      </c>
      <c r="IZ176" s="213" t="str">
        <f t="shared" si="540"/>
        <v/>
      </c>
      <c r="JA176" s="213" t="str">
        <f t="shared" si="411"/>
        <v/>
      </c>
      <c r="JB176" s="211" t="str">
        <f t="shared" si="541"/>
        <v/>
      </c>
    </row>
    <row r="177" spans="1:262" s="211" customFormat="1" ht="21" customHeight="1">
      <c r="A177" s="184">
        <v>170</v>
      </c>
      <c r="B177" s="185" t="str">
        <f>IF('Marks Entry'!B177="","",'Marks Entry'!B177)</f>
        <v/>
      </c>
      <c r="C177" s="186" t="str">
        <f>IF('Marks Entry'!D177="","",'Marks Entry'!D177)</f>
        <v/>
      </c>
      <c r="D177" s="187" t="str">
        <f>IF('Marks Entry'!E177="","",'Marks Entry'!E177)</f>
        <v/>
      </c>
      <c r="E177" s="188" t="str">
        <f>IF('Marks Entry'!F177="","",'Marks Entry'!F177)</f>
        <v/>
      </c>
      <c r="F177" s="188" t="str">
        <f>IF('Marks Entry'!G177="","",'Marks Entry'!G177)</f>
        <v/>
      </c>
      <c r="G177" s="188" t="str">
        <f>IF('Marks Entry'!H177="","",'Marks Entry'!H177)</f>
        <v/>
      </c>
      <c r="H177" s="189" t="str">
        <f>IF('Marks Entry'!I177="","",'Marks Entry'!I177)</f>
        <v/>
      </c>
      <c r="I177" s="190" t="str">
        <f>IF('Marks Entry'!J177="","",'Marks Entry'!J177)</f>
        <v/>
      </c>
      <c r="J177" s="545" t="str">
        <f>IF('Marks Entry'!K177="","",'Marks Entry'!K177)</f>
        <v/>
      </c>
      <c r="K177" s="545" t="str">
        <f>IF('Marks Entry'!L177="","",'Marks Entry'!L177)</f>
        <v/>
      </c>
      <c r="L177" s="545" t="str">
        <f>IF('Marks Entry'!M177="","",'Marks Entry'!M177)</f>
        <v/>
      </c>
      <c r="M177" s="546" t="str">
        <f t="shared" si="412"/>
        <v/>
      </c>
      <c r="N177" s="545" t="str">
        <f>IF('Marks Entry'!N177="","",'Marks Entry'!N177)</f>
        <v/>
      </c>
      <c r="O177" s="546" t="str">
        <f t="shared" si="413"/>
        <v/>
      </c>
      <c r="P177" s="545" t="str">
        <f>IF('Marks Entry'!O177="","",'Marks Entry'!O177)</f>
        <v/>
      </c>
      <c r="Q177" s="547" t="str">
        <f t="shared" si="414"/>
        <v/>
      </c>
      <c r="R177" s="153">
        <f t="shared" si="415"/>
        <v>0</v>
      </c>
      <c r="S177" s="153">
        <f t="shared" si="416"/>
        <v>0</v>
      </c>
      <c r="T177" s="154" t="str">
        <f t="shared" si="417"/>
        <v/>
      </c>
      <c r="U177" s="153" t="str">
        <f t="shared" si="418"/>
        <v/>
      </c>
      <c r="V177" s="153" t="str">
        <f t="shared" si="419"/>
        <v/>
      </c>
      <c r="W177" s="153" t="str">
        <f t="shared" si="420"/>
        <v/>
      </c>
      <c r="X177" s="545" t="str">
        <f>IF('Marks Entry'!P177="","",'Marks Entry'!P177)</f>
        <v/>
      </c>
      <c r="Y177" s="545" t="str">
        <f>IF('Marks Entry'!Q177="","",'Marks Entry'!Q177)</f>
        <v/>
      </c>
      <c r="Z177" s="545" t="str">
        <f>IF('Marks Entry'!R177="","",'Marks Entry'!R177)</f>
        <v/>
      </c>
      <c r="AA177" s="546" t="str">
        <f t="shared" si="421"/>
        <v/>
      </c>
      <c r="AB177" s="545" t="str">
        <f>IF('Marks Entry'!S177="","",'Marks Entry'!S177)</f>
        <v/>
      </c>
      <c r="AC177" s="546" t="str">
        <f t="shared" si="422"/>
        <v/>
      </c>
      <c r="AD177" s="545" t="str">
        <f>IF('Marks Entry'!T177="","",'Marks Entry'!T177)</f>
        <v/>
      </c>
      <c r="AE177" s="547" t="str">
        <f t="shared" si="423"/>
        <v/>
      </c>
      <c r="AF177" s="153">
        <f t="shared" si="424"/>
        <v>0</v>
      </c>
      <c r="AG177" s="153">
        <f t="shared" si="425"/>
        <v>0</v>
      </c>
      <c r="AH177" s="154" t="str">
        <f t="shared" si="426"/>
        <v/>
      </c>
      <c r="AI177" s="153" t="str">
        <f t="shared" si="427"/>
        <v/>
      </c>
      <c r="AJ177" s="153" t="str">
        <f t="shared" si="428"/>
        <v/>
      </c>
      <c r="AK177" s="153" t="str">
        <f t="shared" si="429"/>
        <v/>
      </c>
      <c r="AL177" s="573" t="str">
        <f>IF('Marks Entry'!U177="","",'Marks Entry'!U177)</f>
        <v/>
      </c>
      <c r="AM177" s="573" t="str">
        <f>IF('Marks Entry'!V177="","",'Marks Entry'!V177)</f>
        <v/>
      </c>
      <c r="AN177" s="573" t="str">
        <f>IF('Marks Entry'!W177="","",'Marks Entry'!W177)</f>
        <v/>
      </c>
      <c r="AO177" s="573" t="str">
        <f>IF('Marks Entry'!X177="","",'Marks Entry'!X177)</f>
        <v/>
      </c>
      <c r="AP177" s="572" t="str">
        <f t="shared" si="430"/>
        <v/>
      </c>
      <c r="AQ177" s="573" t="str">
        <f>IF('Marks Entry'!Y177="","",'Marks Entry'!Y177)</f>
        <v/>
      </c>
      <c r="AR177" s="573" t="str">
        <f>IF('Marks Entry'!Z177="","",'Marks Entry'!Z177)</f>
        <v/>
      </c>
      <c r="AS177" s="572" t="str">
        <f t="shared" si="431"/>
        <v/>
      </c>
      <c r="AT177" s="572" t="str">
        <f t="shared" si="432"/>
        <v/>
      </c>
      <c r="AU177" s="573" t="str">
        <f>IF('Marks Entry'!AA177="","",'Marks Entry'!AA177)</f>
        <v/>
      </c>
      <c r="AV177" s="573" t="str">
        <f>IF('Marks Entry'!AB177="","",'Marks Entry'!AB177)</f>
        <v/>
      </c>
      <c r="AW177" s="572" t="str">
        <f t="shared" si="433"/>
        <v/>
      </c>
      <c r="AX177" s="157" t="str">
        <f t="shared" si="434"/>
        <v/>
      </c>
      <c r="AY177" s="157" t="str">
        <f t="shared" si="435"/>
        <v/>
      </c>
      <c r="AZ177" s="192" t="str">
        <f t="shared" si="436"/>
        <v/>
      </c>
      <c r="BA177" s="153">
        <f t="shared" si="437"/>
        <v>0</v>
      </c>
      <c r="BB177" s="154">
        <f t="shared" si="438"/>
        <v>0</v>
      </c>
      <c r="BC177" s="154" t="str">
        <f t="shared" si="439"/>
        <v/>
      </c>
      <c r="BD177" s="154" t="str">
        <f t="shared" si="440"/>
        <v/>
      </c>
      <c r="BE177" s="154" t="str">
        <f t="shared" si="441"/>
        <v/>
      </c>
      <c r="BF177" s="153" t="str">
        <f t="shared" si="442"/>
        <v/>
      </c>
      <c r="BG177" s="154" t="str">
        <f t="shared" si="443"/>
        <v/>
      </c>
      <c r="BH177" s="153" t="str">
        <f t="shared" si="444"/>
        <v/>
      </c>
      <c r="BI177" s="580" t="str">
        <f>IF('Marks Entry'!AC177="","",'Marks Entry'!AC177)</f>
        <v/>
      </c>
      <c r="BJ177" s="580" t="str">
        <f>IF('Marks Entry'!AD177="","",'Marks Entry'!AD177)</f>
        <v/>
      </c>
      <c r="BK177" s="580" t="str">
        <f>IF('Marks Entry'!AE177="","",'Marks Entry'!AE177)</f>
        <v/>
      </c>
      <c r="BL177" s="580" t="str">
        <f>IF('Marks Entry'!AF177="","",'Marks Entry'!AF177)</f>
        <v/>
      </c>
      <c r="BM177" s="581" t="str">
        <f t="shared" si="445"/>
        <v/>
      </c>
      <c r="BN177" s="580" t="str">
        <f>IF('Marks Entry'!AG177="","",'Marks Entry'!AG177)</f>
        <v/>
      </c>
      <c r="BO177" s="580" t="str">
        <f>IF('Marks Entry'!AH177="","",'Marks Entry'!AH177)</f>
        <v/>
      </c>
      <c r="BP177" s="581" t="str">
        <f t="shared" si="446"/>
        <v/>
      </c>
      <c r="BQ177" s="581" t="str">
        <f t="shared" si="447"/>
        <v/>
      </c>
      <c r="BR177" s="580" t="str">
        <f>IF('Marks Entry'!AI177="","",'Marks Entry'!AI177)</f>
        <v/>
      </c>
      <c r="BS177" s="580" t="str">
        <f>IF('Marks Entry'!AJ177="","",'Marks Entry'!AJ177)</f>
        <v/>
      </c>
      <c r="BT177" s="581" t="str">
        <f t="shared" si="448"/>
        <v/>
      </c>
      <c r="BU177" s="157" t="str">
        <f t="shared" si="449"/>
        <v/>
      </c>
      <c r="BV177" s="157" t="str">
        <f t="shared" si="450"/>
        <v/>
      </c>
      <c r="BW177" s="192" t="str">
        <f t="shared" si="451"/>
        <v/>
      </c>
      <c r="BX177" s="153">
        <f t="shared" si="452"/>
        <v>0</v>
      </c>
      <c r="BY177" s="154">
        <f t="shared" si="453"/>
        <v>0</v>
      </c>
      <c r="BZ177" s="154" t="str">
        <f t="shared" si="454"/>
        <v/>
      </c>
      <c r="CA177" s="154" t="str">
        <f t="shared" si="455"/>
        <v/>
      </c>
      <c r="CB177" s="154" t="str">
        <f t="shared" si="456"/>
        <v/>
      </c>
      <c r="CC177" s="153" t="str">
        <f t="shared" si="457"/>
        <v/>
      </c>
      <c r="CD177" s="154" t="str">
        <f t="shared" si="458"/>
        <v/>
      </c>
      <c r="CE177" s="153" t="str">
        <f t="shared" si="459"/>
        <v/>
      </c>
      <c r="CF177" s="580" t="str">
        <f>IF('Marks Entry'!AK177="","",'Marks Entry'!AK177)</f>
        <v/>
      </c>
      <c r="CG177" s="580" t="str">
        <f>IF('Marks Entry'!AL177="","",'Marks Entry'!AL177)</f>
        <v/>
      </c>
      <c r="CH177" s="580" t="str">
        <f>IF('Marks Entry'!AM177="","",'Marks Entry'!AM177)</f>
        <v/>
      </c>
      <c r="CI177" s="580" t="str">
        <f>IF('Marks Entry'!AN177="","",'Marks Entry'!AN177)</f>
        <v/>
      </c>
      <c r="CJ177" s="581" t="str">
        <f t="shared" si="460"/>
        <v/>
      </c>
      <c r="CK177" s="580" t="str">
        <f>IF('Marks Entry'!AO177="","",'Marks Entry'!AO177)</f>
        <v/>
      </c>
      <c r="CL177" s="580" t="str">
        <f>IF('Marks Entry'!AP177="","",'Marks Entry'!AP177)</f>
        <v/>
      </c>
      <c r="CM177" s="581" t="str">
        <f t="shared" si="461"/>
        <v/>
      </c>
      <c r="CN177" s="581" t="str">
        <f t="shared" si="462"/>
        <v/>
      </c>
      <c r="CO177" s="580" t="str">
        <f>IF('Marks Entry'!AQ177="","",'Marks Entry'!AQ177)</f>
        <v/>
      </c>
      <c r="CP177" s="580" t="str">
        <f>IF('Marks Entry'!AR177="","",'Marks Entry'!AR177)</f>
        <v/>
      </c>
      <c r="CQ177" s="581" t="str">
        <f t="shared" si="463"/>
        <v/>
      </c>
      <c r="CR177" s="157" t="str">
        <f t="shared" si="464"/>
        <v/>
      </c>
      <c r="CS177" s="157" t="str">
        <f t="shared" si="465"/>
        <v/>
      </c>
      <c r="CT177" s="192" t="str">
        <f t="shared" si="466"/>
        <v/>
      </c>
      <c r="CU177" s="153">
        <f t="shared" si="467"/>
        <v>0</v>
      </c>
      <c r="CV177" s="154">
        <f t="shared" si="468"/>
        <v>0</v>
      </c>
      <c r="CW177" s="154" t="str">
        <f t="shared" si="469"/>
        <v/>
      </c>
      <c r="CX177" s="154" t="str">
        <f t="shared" si="470"/>
        <v/>
      </c>
      <c r="CY177" s="154" t="str">
        <f t="shared" si="471"/>
        <v/>
      </c>
      <c r="CZ177" s="153" t="str">
        <f t="shared" si="472"/>
        <v/>
      </c>
      <c r="DA177" s="154" t="str">
        <f t="shared" si="473"/>
        <v/>
      </c>
      <c r="DB177" s="153" t="str">
        <f t="shared" si="474"/>
        <v/>
      </c>
      <c r="DC177" s="154">
        <f t="shared" si="475"/>
        <v>0</v>
      </c>
      <c r="DD177" s="826" t="str">
        <f>IF('Marks Entry'!AS177="","",IF(OR('Master Sheet'!$D$19="YES",'Marks Entry'!$BA$1=1),'Marks Entry'!AS177,""))</f>
        <v/>
      </c>
      <c r="DE177" s="826" t="str">
        <f>IF('Marks Entry'!AT177="","",IF(OR('Master Sheet'!$D$19="YES",'Marks Entry'!$BA$1=1),'Marks Entry'!AT177,""))</f>
        <v/>
      </c>
      <c r="DF177" s="826" t="str">
        <f>IF('Marks Entry'!AU177="","",IF(OR('Master Sheet'!$D$19="YES",'Marks Entry'!$BA$1=1),'Marks Entry'!AU177,""))</f>
        <v/>
      </c>
      <c r="DG177" s="826" t="str">
        <f>IF('Marks Entry'!AV177="","",IF(OR('Master Sheet'!$D$19="YES",'Marks Entry'!$BA$1=1),'Marks Entry'!AV177,""))</f>
        <v/>
      </c>
      <c r="DH177" s="827" t="str">
        <f t="shared" si="476"/>
        <v/>
      </c>
      <c r="DI177" s="826" t="str">
        <f>IF('Marks Entry'!AW177="","",IF(OR('Master Sheet'!$D$19="YES",'Marks Entry'!$BA$1=1),'Marks Entry'!AW177,""))</f>
        <v/>
      </c>
      <c r="DJ177" s="826" t="str">
        <f>IF('Marks Entry'!AX177="","",IF(OR('Master Sheet'!$D$19="YES",'Marks Entry'!$BA$1=1),'Marks Entry'!AX177,""))</f>
        <v/>
      </c>
      <c r="DK177" s="827" t="str">
        <f t="shared" si="477"/>
        <v/>
      </c>
      <c r="DL177" s="827" t="str">
        <f t="shared" si="478"/>
        <v/>
      </c>
      <c r="DM177" s="826" t="str">
        <f>IF('Marks Entry'!AY177="","",IF(OR('Master Sheet'!$D$19="YES",'Marks Entry'!$BA$1=1),'Marks Entry'!AY177,""))</f>
        <v/>
      </c>
      <c r="DN177" s="826" t="str">
        <f>IF('Marks Entry'!AZ177="","",IF(OR('Master Sheet'!$D$19="YES",'Marks Entry'!$BA$1=1),'Marks Entry'!AZ177,""))</f>
        <v/>
      </c>
      <c r="DO177" s="826" t="str">
        <f>IF('Marks Entry'!BA177="","",IF(OR('Master Sheet'!$D$19="YES",'Marks Entry'!$BA$1=1),'Marks Entry'!BA177,""))</f>
        <v/>
      </c>
      <c r="DP177" s="827" t="str">
        <f t="shared" si="479"/>
        <v/>
      </c>
      <c r="DQ177" s="157" t="str">
        <f t="shared" si="480"/>
        <v/>
      </c>
      <c r="DR177" s="157" t="str">
        <f t="shared" si="481"/>
        <v/>
      </c>
      <c r="DS177" s="157" t="str">
        <f t="shared" si="482"/>
        <v/>
      </c>
      <c r="DT177" s="192" t="str">
        <f t="shared" si="483"/>
        <v/>
      </c>
      <c r="DU177" s="153">
        <f t="shared" si="484"/>
        <v>0</v>
      </c>
      <c r="DV177" s="154" t="e">
        <f t="shared" si="485"/>
        <v>#VALUE!</v>
      </c>
      <c r="DW177" s="154" t="str">
        <f t="shared" si="486"/>
        <v/>
      </c>
      <c r="DX177" s="154" t="str">
        <f>IF(OR($B177="NSO",$B177=0,DS177=""),"",IF(AND(DJ177="",DO177=""),"",IF('Master Sheet'!$D$19="YES",$DO$6-COUNTIF(DO177,"ML")*DO$6,DS$6-(COUNTIF(DJ177,"ML")*DJ$6)-(COUNTIF(DO177,"ML")*DO$6))))</f>
        <v/>
      </c>
      <c r="DY177" s="154" t="str">
        <f>IF(OR($B177="NSO",$B177=0),"",IF(AND(DH177="",DI177="",DM177=""),"",IF(AND('Master Sheet'!$D$19="YES",'Marks Entry'!$BA$1=1),100,IF(AND(DJ177="",DO177=""),SUM(($DQ$7+$DR$7)-(DU177+DV177)),SUM(($DQ$6+$DR$6)-(DU177+DV177))))))</f>
        <v/>
      </c>
      <c r="DZ177" s="153" t="str">
        <f t="shared" si="487"/>
        <v/>
      </c>
      <c r="EA177" s="154" t="str">
        <f t="shared" si="488"/>
        <v/>
      </c>
      <c r="EB177" s="153" t="str">
        <f t="shared" si="489"/>
        <v/>
      </c>
      <c r="EC177" s="584" t="str">
        <f>IF('Marks Entry'!BB177="","",'Marks Entry'!BB177)</f>
        <v/>
      </c>
      <c r="ED177" s="584" t="str">
        <f>IF('Marks Entry'!BC177="","",'Marks Entry'!BC177)</f>
        <v/>
      </c>
      <c r="EE177" s="584" t="str">
        <f>IF('Marks Entry'!BD177="","",'Marks Entry'!BD177)</f>
        <v/>
      </c>
      <c r="EF177" s="590" t="str">
        <f t="shared" si="490"/>
        <v/>
      </c>
      <c r="EG177" s="595">
        <f t="shared" si="491"/>
        <v>0</v>
      </c>
      <c r="EH177" s="595">
        <f t="shared" si="492"/>
        <v>0</v>
      </c>
      <c r="EI177" s="193" t="str">
        <f t="shared" si="493"/>
        <v/>
      </c>
      <c r="EJ177" s="595" t="str">
        <f t="shared" si="494"/>
        <v/>
      </c>
      <c r="EK177" s="595" t="str">
        <f t="shared" si="495"/>
        <v/>
      </c>
      <c r="EL177" s="194" t="str">
        <f t="shared" si="496"/>
        <v/>
      </c>
      <c r="EM177" s="194" t="str">
        <f t="shared" si="497"/>
        <v/>
      </c>
      <c r="EN177" s="194" t="str">
        <f t="shared" si="498"/>
        <v/>
      </c>
      <c r="EO177" s="194" t="str">
        <f t="shared" si="499"/>
        <v/>
      </c>
      <c r="EP177" s="194" t="str">
        <f t="shared" si="500"/>
        <v/>
      </c>
      <c r="EQ177" s="194" t="str">
        <f t="shared" si="501"/>
        <v/>
      </c>
      <c r="ER177" s="195">
        <f t="shared" si="502"/>
        <v>0</v>
      </c>
      <c r="ES177" s="195">
        <f t="shared" si="503"/>
        <v>0</v>
      </c>
      <c r="ET177" s="195">
        <f t="shared" si="504"/>
        <v>0</v>
      </c>
      <c r="EU177" s="195">
        <f t="shared" si="505"/>
        <v>0</v>
      </c>
      <c r="EV177" s="195">
        <f t="shared" si="506"/>
        <v>0</v>
      </c>
      <c r="EW177" s="195" t="str">
        <f t="shared" si="507"/>
        <v/>
      </c>
      <c r="EX177" s="196" t="str">
        <f t="shared" si="508"/>
        <v/>
      </c>
      <c r="EY177" s="197" t="str">
        <f>IF('Marks Entry'!BE177="","",'Marks Entry'!BE177)</f>
        <v/>
      </c>
      <c r="EZ177" s="197" t="str">
        <f>IF('Marks Entry'!BF177="","",'Marks Entry'!BF177)</f>
        <v/>
      </c>
      <c r="FA177" s="197" t="str">
        <f>IF('Marks Entry'!BG177="","",'Marks Entry'!BG177)</f>
        <v/>
      </c>
      <c r="FB177" s="596" t="str">
        <f t="shared" si="509"/>
        <v/>
      </c>
      <c r="FC177" s="197" t="str">
        <f>IF('Marks Entry'!BH177="","",'Marks Entry'!BH177)</f>
        <v/>
      </c>
      <c r="FD177" s="197" t="str">
        <f>IF('Marks Entry'!BI177="","",'Marks Entry'!BI177)</f>
        <v/>
      </c>
      <c r="FE177" s="198" t="str">
        <f t="shared" si="510"/>
        <v/>
      </c>
      <c r="FF177" s="199" t="str">
        <f t="shared" si="511"/>
        <v/>
      </c>
      <c r="FG177" s="200" t="str">
        <f>IF(AND(E177=""),"",IF('Student DATA Entry'!L173="","",'Student DATA Entry'!L173))</f>
        <v/>
      </c>
      <c r="FH177" s="201" t="str">
        <f>IF(AND(E177=""),"",IF('Student DATA Entry'!M173="","",'Student DATA Entry'!M173))</f>
        <v/>
      </c>
      <c r="FI177" s="202" t="str">
        <f t="shared" si="512"/>
        <v/>
      </c>
      <c r="FJ177" s="189" t="str">
        <f t="shared" si="513"/>
        <v/>
      </c>
      <c r="FK177" s="189" t="str">
        <f t="shared" si="514"/>
        <v/>
      </c>
      <c r="FL177" s="203" t="str">
        <f t="shared" si="542"/>
        <v/>
      </c>
      <c r="FM177" s="189" t="str">
        <f t="shared" si="515"/>
        <v/>
      </c>
      <c r="FN177" s="204" t="str">
        <f t="shared" si="516"/>
        <v/>
      </c>
      <c r="FO177" s="203" t="str">
        <f t="shared" si="543"/>
        <v/>
      </c>
      <c r="FP177" s="205" t="str">
        <f t="shared" si="517"/>
        <v/>
      </c>
      <c r="FQ177" s="189" t="str">
        <f t="shared" si="544"/>
        <v/>
      </c>
      <c r="FR177" s="189" t="str">
        <f t="shared" si="545"/>
        <v/>
      </c>
      <c r="FS177" s="189" t="str">
        <f t="shared" si="546"/>
        <v/>
      </c>
      <c r="FT177" s="189" t="str">
        <f t="shared" si="547"/>
        <v/>
      </c>
      <c r="FU177" s="189" t="str">
        <f t="shared" si="518"/>
        <v/>
      </c>
      <c r="FV177" s="206" t="str">
        <f t="shared" si="548"/>
        <v/>
      </c>
      <c r="FW177" s="205" t="str">
        <f t="shared" si="519"/>
        <v/>
      </c>
      <c r="FX177" s="189" t="str">
        <f t="shared" si="549"/>
        <v/>
      </c>
      <c r="FY177" s="189" t="str">
        <f t="shared" si="550"/>
        <v/>
      </c>
      <c r="FZ177" s="189" t="str">
        <f t="shared" si="551"/>
        <v/>
      </c>
      <c r="GA177" s="189" t="str">
        <f t="shared" si="552"/>
        <v/>
      </c>
      <c r="GB177" s="189" t="str">
        <f t="shared" si="520"/>
        <v/>
      </c>
      <c r="GC177" s="206" t="str">
        <f t="shared" si="553"/>
        <v/>
      </c>
      <c r="GD177" s="205" t="str">
        <f t="shared" si="521"/>
        <v/>
      </c>
      <c r="GE177" s="189" t="str">
        <f t="shared" si="554"/>
        <v/>
      </c>
      <c r="GF177" s="189" t="str">
        <f t="shared" si="555"/>
        <v/>
      </c>
      <c r="GG177" s="189" t="str">
        <f t="shared" si="556"/>
        <v/>
      </c>
      <c r="GH177" s="189" t="str">
        <f t="shared" si="557"/>
        <v/>
      </c>
      <c r="GI177" s="189" t="str">
        <f t="shared" si="522"/>
        <v/>
      </c>
      <c r="GJ177" s="206" t="str">
        <f t="shared" si="558"/>
        <v/>
      </c>
      <c r="GK177" s="205" t="str">
        <f t="shared" si="523"/>
        <v/>
      </c>
      <c r="GL177" s="189" t="str">
        <f t="shared" si="559"/>
        <v/>
      </c>
      <c r="GM177" s="189" t="str">
        <f t="shared" si="560"/>
        <v/>
      </c>
      <c r="GN177" s="189" t="str">
        <f t="shared" si="561"/>
        <v/>
      </c>
      <c r="GO177" s="189" t="str">
        <f t="shared" si="562"/>
        <v/>
      </c>
      <c r="GP177" s="189" t="str">
        <f t="shared" si="524"/>
        <v/>
      </c>
      <c r="GQ177" s="206" t="str">
        <f t="shared" si="563"/>
        <v/>
      </c>
      <c r="GR177" s="189" t="str">
        <f t="shared" si="525"/>
        <v/>
      </c>
      <c r="GS177" s="189" t="str">
        <f t="shared" si="526"/>
        <v/>
      </c>
      <c r="GT177" s="207" t="str">
        <f t="shared" si="527"/>
        <v xml:space="preserve">    </v>
      </c>
      <c r="GU177" s="207" t="str">
        <f t="shared" si="528"/>
        <v xml:space="preserve">    </v>
      </c>
      <c r="GV177" s="207" t="str">
        <f t="shared" si="529"/>
        <v xml:space="preserve">    </v>
      </c>
      <c r="GW177" s="207" t="str">
        <f t="shared" si="530"/>
        <v xml:space="preserve">       </v>
      </c>
      <c r="GX177" s="598" t="str">
        <f t="shared" si="531"/>
        <v xml:space="preserve">     </v>
      </c>
      <c r="GY177" s="208" t="str">
        <f t="shared" si="564"/>
        <v/>
      </c>
      <c r="GZ177" s="606" t="str">
        <f>IF(AND(Q177="",AE177="",AZ177="",BW177="",CT177=""),"",IF(AND('Master Sheet'!$D$19="YES",'Marks Entry'!$BA$1=1),SUM(Q177,AE177,AZ177,BW177,DT177),SUM(Q177,AE177,AZ177,BW177,CT177)))</f>
        <v/>
      </c>
      <c r="HA177" s="209" t="str">
        <f>IF(GZ177="","",IF(AND('Master Sheet'!$D$19="YES",'Marks Entry'!$BA$1=1),GZ177/((900)-DC177)*100,GZ177/((1000)-DC177)*100))</f>
        <v/>
      </c>
      <c r="HB177" s="611" t="str">
        <f t="shared" si="532"/>
        <v/>
      </c>
      <c r="HC177" s="609" t="str">
        <f t="shared" si="533"/>
        <v/>
      </c>
      <c r="HD177" s="610" t="str">
        <f t="shared" si="534"/>
        <v/>
      </c>
      <c r="HE177" s="210" t="str">
        <f>IFERROR(IF(OR(GY177="SUPPLEMENTARY",GY177="RE-EXAM"),'Supp. Result Entry'!AS176,""),"")</f>
        <v/>
      </c>
      <c r="HF177" s="613" t="str">
        <f t="shared" si="535"/>
        <v/>
      </c>
      <c r="HG177" s="598" t="str">
        <f t="shared" si="536"/>
        <v/>
      </c>
      <c r="HH177" s="598" t="str">
        <f>IF(AND(HE177="",HF177="",HG177=""),"",IF(OR(GY177="SUPPLEMENTARY",GY177="RE-EXAM"),'Supp. Result Entry'!AS176,GY177))</f>
        <v/>
      </c>
      <c r="HI177" s="180"/>
      <c r="HY177" s="212" t="str">
        <f>IF('Supp. Result Entry'!U176="","",'Supp. Result Entry'!$U$6)</f>
        <v/>
      </c>
      <c r="HZ177" s="213" t="str">
        <f>IF('Supp. Result Entry'!X176="","",'Supp. Result Entry'!$X$6)</f>
        <v/>
      </c>
      <c r="IA177" s="213" t="str">
        <f>IF('Supp. Result Entry'!AA176="","",'Supp. Result Entry'!$AA$6)</f>
        <v/>
      </c>
      <c r="IB177" s="213" t="str">
        <f>IF('Supp. Result Entry'!AD176="","",'Supp. Result Entry'!$AD$6)</f>
        <v/>
      </c>
      <c r="IC177" s="213" t="str">
        <f>IF('Supp. Result Entry'!AG176="","",'Supp. Result Entry'!$AG$6)</f>
        <v/>
      </c>
      <c r="ID177" s="213" t="str">
        <f>IF('Supp. Result Entry'!AJ176="","",'Supp. Result Entry'!$AJ$6)</f>
        <v/>
      </c>
      <c r="IE177" s="213" t="str">
        <f>IF('Supp. Result Entry'!V176="","",'Supp. Result Entry'!V176)</f>
        <v/>
      </c>
      <c r="IF177" s="213" t="str">
        <f>IF('Supp. Result Entry'!Y176="","",'Supp. Result Entry'!Y176)</f>
        <v/>
      </c>
      <c r="IG177" s="213" t="str">
        <f>IF('Supp. Result Entry'!AB176="","",'Supp. Result Entry'!AB176)</f>
        <v/>
      </c>
      <c r="IH177" s="213" t="str">
        <f>IF('Supp. Result Entry'!AE176="","",'Supp. Result Entry'!AE176)</f>
        <v/>
      </c>
      <c r="II177" s="213" t="str">
        <f>IF('Supp. Result Entry'!AH176="","",'Supp. Result Entry'!AH176)</f>
        <v/>
      </c>
      <c r="IJ177" s="213" t="str">
        <f>IF('Supp. Result Entry'!AK176="","",'Supp. Result Entry'!AK176)</f>
        <v/>
      </c>
      <c r="IK177" s="213" t="str">
        <f>IF('Supp. Result Entry'!W176="","",'Supp. Result Entry'!W176)</f>
        <v/>
      </c>
      <c r="IL177" s="213" t="str">
        <f>IF('Supp. Result Entry'!Z176="","",'Supp. Result Entry'!Z176)</f>
        <v/>
      </c>
      <c r="IM177" s="213" t="str">
        <f>IF('Supp. Result Entry'!AC176="","",'Supp. Result Entry'!AC176)</f>
        <v/>
      </c>
      <c r="IN177" s="213" t="str">
        <f>IF('Supp. Result Entry'!AF176="","",'Supp. Result Entry'!AF176)</f>
        <v/>
      </c>
      <c r="IO177" s="213" t="str">
        <f>IF('Supp. Result Entry'!AI176="","",'Supp. Result Entry'!AI176)</f>
        <v/>
      </c>
      <c r="IP177" s="213" t="str">
        <f>IF('Supp. Result Entry'!AL176="","",'Supp. Result Entry'!AL176)</f>
        <v/>
      </c>
      <c r="IQ177" s="213">
        <f>COUNTIF('Supp. Result Entry'!K176:Q176,"S")</f>
        <v>0</v>
      </c>
      <c r="IR177" s="213">
        <f t="shared" si="537"/>
        <v>0</v>
      </c>
      <c r="IS177" s="213">
        <f t="shared" si="538"/>
        <v>0</v>
      </c>
      <c r="IT177" s="213" t="str">
        <f t="shared" si="406"/>
        <v/>
      </c>
      <c r="IU177" s="213" t="str">
        <f t="shared" si="407"/>
        <v/>
      </c>
      <c r="IV177" s="213" t="str">
        <f t="shared" si="408"/>
        <v/>
      </c>
      <c r="IW177" s="213" t="str">
        <f t="shared" si="409"/>
        <v/>
      </c>
      <c r="IX177" s="213" t="str">
        <f t="shared" si="410"/>
        <v/>
      </c>
      <c r="IY177" s="213" t="str">
        <f t="shared" si="539"/>
        <v/>
      </c>
      <c r="IZ177" s="213" t="str">
        <f t="shared" si="540"/>
        <v/>
      </c>
      <c r="JA177" s="213" t="str">
        <f t="shared" si="411"/>
        <v/>
      </c>
      <c r="JB177" s="211" t="str">
        <f t="shared" si="541"/>
        <v/>
      </c>
    </row>
    <row r="178" spans="1:262" s="211" customFormat="1" ht="21" customHeight="1">
      <c r="A178" s="184">
        <v>171</v>
      </c>
      <c r="B178" s="185" t="str">
        <f>IF('Marks Entry'!B178="","",'Marks Entry'!B178)</f>
        <v/>
      </c>
      <c r="C178" s="186" t="str">
        <f>IF('Marks Entry'!D178="","",'Marks Entry'!D178)</f>
        <v/>
      </c>
      <c r="D178" s="187" t="str">
        <f>IF('Marks Entry'!E178="","",'Marks Entry'!E178)</f>
        <v/>
      </c>
      <c r="E178" s="188" t="str">
        <f>IF('Marks Entry'!F178="","",'Marks Entry'!F178)</f>
        <v/>
      </c>
      <c r="F178" s="188" t="str">
        <f>IF('Marks Entry'!G178="","",'Marks Entry'!G178)</f>
        <v/>
      </c>
      <c r="G178" s="188" t="str">
        <f>IF('Marks Entry'!H178="","",'Marks Entry'!H178)</f>
        <v/>
      </c>
      <c r="H178" s="189" t="str">
        <f>IF('Marks Entry'!I178="","",'Marks Entry'!I178)</f>
        <v/>
      </c>
      <c r="I178" s="190" t="str">
        <f>IF('Marks Entry'!J178="","",'Marks Entry'!J178)</f>
        <v/>
      </c>
      <c r="J178" s="545" t="str">
        <f>IF('Marks Entry'!K178="","",'Marks Entry'!K178)</f>
        <v/>
      </c>
      <c r="K178" s="545" t="str">
        <f>IF('Marks Entry'!L178="","",'Marks Entry'!L178)</f>
        <v/>
      </c>
      <c r="L178" s="545" t="str">
        <f>IF('Marks Entry'!M178="","",'Marks Entry'!M178)</f>
        <v/>
      </c>
      <c r="M178" s="546" t="str">
        <f t="shared" si="412"/>
        <v/>
      </c>
      <c r="N178" s="545" t="str">
        <f>IF('Marks Entry'!N178="","",'Marks Entry'!N178)</f>
        <v/>
      </c>
      <c r="O178" s="546" t="str">
        <f t="shared" si="413"/>
        <v/>
      </c>
      <c r="P178" s="545" t="str">
        <f>IF('Marks Entry'!O178="","",'Marks Entry'!O178)</f>
        <v/>
      </c>
      <c r="Q178" s="547" t="str">
        <f t="shared" si="414"/>
        <v/>
      </c>
      <c r="R178" s="153">
        <f t="shared" si="415"/>
        <v>0</v>
      </c>
      <c r="S178" s="153">
        <f t="shared" si="416"/>
        <v>0</v>
      </c>
      <c r="T178" s="154" t="str">
        <f t="shared" si="417"/>
        <v/>
      </c>
      <c r="U178" s="153" t="str">
        <f t="shared" si="418"/>
        <v/>
      </c>
      <c r="V178" s="153" t="str">
        <f t="shared" si="419"/>
        <v/>
      </c>
      <c r="W178" s="153" t="str">
        <f t="shared" si="420"/>
        <v/>
      </c>
      <c r="X178" s="545" t="str">
        <f>IF('Marks Entry'!P178="","",'Marks Entry'!P178)</f>
        <v/>
      </c>
      <c r="Y178" s="545" t="str">
        <f>IF('Marks Entry'!Q178="","",'Marks Entry'!Q178)</f>
        <v/>
      </c>
      <c r="Z178" s="545" t="str">
        <f>IF('Marks Entry'!R178="","",'Marks Entry'!R178)</f>
        <v/>
      </c>
      <c r="AA178" s="546" t="str">
        <f t="shared" si="421"/>
        <v/>
      </c>
      <c r="AB178" s="545" t="str">
        <f>IF('Marks Entry'!S178="","",'Marks Entry'!S178)</f>
        <v/>
      </c>
      <c r="AC178" s="546" t="str">
        <f t="shared" si="422"/>
        <v/>
      </c>
      <c r="AD178" s="545" t="str">
        <f>IF('Marks Entry'!T178="","",'Marks Entry'!T178)</f>
        <v/>
      </c>
      <c r="AE178" s="547" t="str">
        <f t="shared" si="423"/>
        <v/>
      </c>
      <c r="AF178" s="153">
        <f t="shared" si="424"/>
        <v>0</v>
      </c>
      <c r="AG178" s="153">
        <f t="shared" si="425"/>
        <v>0</v>
      </c>
      <c r="AH178" s="154" t="str">
        <f t="shared" si="426"/>
        <v/>
      </c>
      <c r="AI178" s="153" t="str">
        <f t="shared" si="427"/>
        <v/>
      </c>
      <c r="AJ178" s="153" t="str">
        <f t="shared" si="428"/>
        <v/>
      </c>
      <c r="AK178" s="153" t="str">
        <f t="shared" si="429"/>
        <v/>
      </c>
      <c r="AL178" s="573" t="str">
        <f>IF('Marks Entry'!U178="","",'Marks Entry'!U178)</f>
        <v/>
      </c>
      <c r="AM178" s="573" t="str">
        <f>IF('Marks Entry'!V178="","",'Marks Entry'!V178)</f>
        <v/>
      </c>
      <c r="AN178" s="573" t="str">
        <f>IF('Marks Entry'!W178="","",'Marks Entry'!W178)</f>
        <v/>
      </c>
      <c r="AO178" s="573" t="str">
        <f>IF('Marks Entry'!X178="","",'Marks Entry'!X178)</f>
        <v/>
      </c>
      <c r="AP178" s="572" t="str">
        <f t="shared" si="430"/>
        <v/>
      </c>
      <c r="AQ178" s="573" t="str">
        <f>IF('Marks Entry'!Y178="","",'Marks Entry'!Y178)</f>
        <v/>
      </c>
      <c r="AR178" s="573" t="str">
        <f>IF('Marks Entry'!Z178="","",'Marks Entry'!Z178)</f>
        <v/>
      </c>
      <c r="AS178" s="572" t="str">
        <f t="shared" si="431"/>
        <v/>
      </c>
      <c r="AT178" s="572" t="str">
        <f t="shared" si="432"/>
        <v/>
      </c>
      <c r="AU178" s="573" t="str">
        <f>IF('Marks Entry'!AA178="","",'Marks Entry'!AA178)</f>
        <v/>
      </c>
      <c r="AV178" s="573" t="str">
        <f>IF('Marks Entry'!AB178="","",'Marks Entry'!AB178)</f>
        <v/>
      </c>
      <c r="AW178" s="572" t="str">
        <f t="shared" si="433"/>
        <v/>
      </c>
      <c r="AX178" s="157" t="str">
        <f t="shared" si="434"/>
        <v/>
      </c>
      <c r="AY178" s="157" t="str">
        <f t="shared" si="435"/>
        <v/>
      </c>
      <c r="AZ178" s="192" t="str">
        <f t="shared" si="436"/>
        <v/>
      </c>
      <c r="BA178" s="153">
        <f t="shared" si="437"/>
        <v>0</v>
      </c>
      <c r="BB178" s="154">
        <f t="shared" si="438"/>
        <v>0</v>
      </c>
      <c r="BC178" s="154" t="str">
        <f t="shared" si="439"/>
        <v/>
      </c>
      <c r="BD178" s="154" t="str">
        <f t="shared" si="440"/>
        <v/>
      </c>
      <c r="BE178" s="154" t="str">
        <f t="shared" si="441"/>
        <v/>
      </c>
      <c r="BF178" s="153" t="str">
        <f t="shared" si="442"/>
        <v/>
      </c>
      <c r="BG178" s="154" t="str">
        <f t="shared" si="443"/>
        <v/>
      </c>
      <c r="BH178" s="153" t="str">
        <f t="shared" si="444"/>
        <v/>
      </c>
      <c r="BI178" s="580" t="str">
        <f>IF('Marks Entry'!AC178="","",'Marks Entry'!AC178)</f>
        <v/>
      </c>
      <c r="BJ178" s="580" t="str">
        <f>IF('Marks Entry'!AD178="","",'Marks Entry'!AD178)</f>
        <v/>
      </c>
      <c r="BK178" s="580" t="str">
        <f>IF('Marks Entry'!AE178="","",'Marks Entry'!AE178)</f>
        <v/>
      </c>
      <c r="BL178" s="580" t="str">
        <f>IF('Marks Entry'!AF178="","",'Marks Entry'!AF178)</f>
        <v/>
      </c>
      <c r="BM178" s="581" t="str">
        <f t="shared" si="445"/>
        <v/>
      </c>
      <c r="BN178" s="580" t="str">
        <f>IF('Marks Entry'!AG178="","",'Marks Entry'!AG178)</f>
        <v/>
      </c>
      <c r="BO178" s="580" t="str">
        <f>IF('Marks Entry'!AH178="","",'Marks Entry'!AH178)</f>
        <v/>
      </c>
      <c r="BP178" s="581" t="str">
        <f t="shared" si="446"/>
        <v/>
      </c>
      <c r="BQ178" s="581" t="str">
        <f t="shared" si="447"/>
        <v/>
      </c>
      <c r="BR178" s="580" t="str">
        <f>IF('Marks Entry'!AI178="","",'Marks Entry'!AI178)</f>
        <v/>
      </c>
      <c r="BS178" s="580" t="str">
        <f>IF('Marks Entry'!AJ178="","",'Marks Entry'!AJ178)</f>
        <v/>
      </c>
      <c r="BT178" s="581" t="str">
        <f t="shared" si="448"/>
        <v/>
      </c>
      <c r="BU178" s="157" t="str">
        <f t="shared" si="449"/>
        <v/>
      </c>
      <c r="BV178" s="157" t="str">
        <f t="shared" si="450"/>
        <v/>
      </c>
      <c r="BW178" s="192" t="str">
        <f t="shared" si="451"/>
        <v/>
      </c>
      <c r="BX178" s="153">
        <f t="shared" si="452"/>
        <v>0</v>
      </c>
      <c r="BY178" s="154">
        <f t="shared" si="453"/>
        <v>0</v>
      </c>
      <c r="BZ178" s="154" t="str">
        <f t="shared" si="454"/>
        <v/>
      </c>
      <c r="CA178" s="154" t="str">
        <f t="shared" si="455"/>
        <v/>
      </c>
      <c r="CB178" s="154" t="str">
        <f t="shared" si="456"/>
        <v/>
      </c>
      <c r="CC178" s="153" t="str">
        <f t="shared" si="457"/>
        <v/>
      </c>
      <c r="CD178" s="154" t="str">
        <f t="shared" si="458"/>
        <v/>
      </c>
      <c r="CE178" s="153" t="str">
        <f t="shared" si="459"/>
        <v/>
      </c>
      <c r="CF178" s="580" t="str">
        <f>IF('Marks Entry'!AK178="","",'Marks Entry'!AK178)</f>
        <v/>
      </c>
      <c r="CG178" s="580" t="str">
        <f>IF('Marks Entry'!AL178="","",'Marks Entry'!AL178)</f>
        <v/>
      </c>
      <c r="CH178" s="580" t="str">
        <f>IF('Marks Entry'!AM178="","",'Marks Entry'!AM178)</f>
        <v/>
      </c>
      <c r="CI178" s="580" t="str">
        <f>IF('Marks Entry'!AN178="","",'Marks Entry'!AN178)</f>
        <v/>
      </c>
      <c r="CJ178" s="581" t="str">
        <f t="shared" si="460"/>
        <v/>
      </c>
      <c r="CK178" s="580" t="str">
        <f>IF('Marks Entry'!AO178="","",'Marks Entry'!AO178)</f>
        <v/>
      </c>
      <c r="CL178" s="580" t="str">
        <f>IF('Marks Entry'!AP178="","",'Marks Entry'!AP178)</f>
        <v/>
      </c>
      <c r="CM178" s="581" t="str">
        <f t="shared" si="461"/>
        <v/>
      </c>
      <c r="CN178" s="581" t="str">
        <f t="shared" si="462"/>
        <v/>
      </c>
      <c r="CO178" s="580" t="str">
        <f>IF('Marks Entry'!AQ178="","",'Marks Entry'!AQ178)</f>
        <v/>
      </c>
      <c r="CP178" s="580" t="str">
        <f>IF('Marks Entry'!AR178="","",'Marks Entry'!AR178)</f>
        <v/>
      </c>
      <c r="CQ178" s="581" t="str">
        <f t="shared" si="463"/>
        <v/>
      </c>
      <c r="CR178" s="157" t="str">
        <f t="shared" si="464"/>
        <v/>
      </c>
      <c r="CS178" s="157" t="str">
        <f t="shared" si="465"/>
        <v/>
      </c>
      <c r="CT178" s="192" t="str">
        <f t="shared" si="466"/>
        <v/>
      </c>
      <c r="CU178" s="153">
        <f t="shared" si="467"/>
        <v>0</v>
      </c>
      <c r="CV178" s="154">
        <f t="shared" si="468"/>
        <v>0</v>
      </c>
      <c r="CW178" s="154" t="str">
        <f t="shared" si="469"/>
        <v/>
      </c>
      <c r="CX178" s="154" t="str">
        <f t="shared" si="470"/>
        <v/>
      </c>
      <c r="CY178" s="154" t="str">
        <f t="shared" si="471"/>
        <v/>
      </c>
      <c r="CZ178" s="153" t="str">
        <f t="shared" si="472"/>
        <v/>
      </c>
      <c r="DA178" s="154" t="str">
        <f t="shared" si="473"/>
        <v/>
      </c>
      <c r="DB178" s="153" t="str">
        <f t="shared" si="474"/>
        <v/>
      </c>
      <c r="DC178" s="154">
        <f t="shared" si="475"/>
        <v>0</v>
      </c>
      <c r="DD178" s="826" t="str">
        <f>IF('Marks Entry'!AS178="","",IF(OR('Master Sheet'!$D$19="YES",'Marks Entry'!$BA$1=1),'Marks Entry'!AS178,""))</f>
        <v/>
      </c>
      <c r="DE178" s="826" t="str">
        <f>IF('Marks Entry'!AT178="","",IF(OR('Master Sheet'!$D$19="YES",'Marks Entry'!$BA$1=1),'Marks Entry'!AT178,""))</f>
        <v/>
      </c>
      <c r="DF178" s="826" t="str">
        <f>IF('Marks Entry'!AU178="","",IF(OR('Master Sheet'!$D$19="YES",'Marks Entry'!$BA$1=1),'Marks Entry'!AU178,""))</f>
        <v/>
      </c>
      <c r="DG178" s="826" t="str">
        <f>IF('Marks Entry'!AV178="","",IF(OR('Master Sheet'!$D$19="YES",'Marks Entry'!$BA$1=1),'Marks Entry'!AV178,""))</f>
        <v/>
      </c>
      <c r="DH178" s="827" t="str">
        <f t="shared" si="476"/>
        <v/>
      </c>
      <c r="DI178" s="826" t="str">
        <f>IF('Marks Entry'!AW178="","",IF(OR('Master Sheet'!$D$19="YES",'Marks Entry'!$BA$1=1),'Marks Entry'!AW178,""))</f>
        <v/>
      </c>
      <c r="DJ178" s="826" t="str">
        <f>IF('Marks Entry'!AX178="","",IF(OR('Master Sheet'!$D$19="YES",'Marks Entry'!$BA$1=1),'Marks Entry'!AX178,""))</f>
        <v/>
      </c>
      <c r="DK178" s="827" t="str">
        <f t="shared" si="477"/>
        <v/>
      </c>
      <c r="DL178" s="827" t="str">
        <f t="shared" si="478"/>
        <v/>
      </c>
      <c r="DM178" s="826" t="str">
        <f>IF('Marks Entry'!AY178="","",IF(OR('Master Sheet'!$D$19="YES",'Marks Entry'!$BA$1=1),'Marks Entry'!AY178,""))</f>
        <v/>
      </c>
      <c r="DN178" s="826" t="str">
        <f>IF('Marks Entry'!AZ178="","",IF(OR('Master Sheet'!$D$19="YES",'Marks Entry'!$BA$1=1),'Marks Entry'!AZ178,""))</f>
        <v/>
      </c>
      <c r="DO178" s="826" t="str">
        <f>IF('Marks Entry'!BA178="","",IF(OR('Master Sheet'!$D$19="YES",'Marks Entry'!$BA$1=1),'Marks Entry'!BA178,""))</f>
        <v/>
      </c>
      <c r="DP178" s="827" t="str">
        <f t="shared" si="479"/>
        <v/>
      </c>
      <c r="DQ178" s="157" t="str">
        <f t="shared" si="480"/>
        <v/>
      </c>
      <c r="DR178" s="157" t="str">
        <f t="shared" si="481"/>
        <v/>
      </c>
      <c r="DS178" s="157" t="str">
        <f t="shared" si="482"/>
        <v/>
      </c>
      <c r="DT178" s="192" t="str">
        <f t="shared" si="483"/>
        <v/>
      </c>
      <c r="DU178" s="153">
        <f t="shared" si="484"/>
        <v>0</v>
      </c>
      <c r="DV178" s="154" t="e">
        <f t="shared" si="485"/>
        <v>#VALUE!</v>
      </c>
      <c r="DW178" s="154" t="str">
        <f t="shared" si="486"/>
        <v/>
      </c>
      <c r="DX178" s="154" t="str">
        <f>IF(OR($B178="NSO",$B178=0,DS178=""),"",IF(AND(DJ178="",DO178=""),"",IF('Master Sheet'!$D$19="YES",$DO$6-COUNTIF(DO178,"ML")*DO$6,DS$6-(COUNTIF(DJ178,"ML")*DJ$6)-(COUNTIF(DO178,"ML")*DO$6))))</f>
        <v/>
      </c>
      <c r="DY178" s="154" t="str">
        <f>IF(OR($B178="NSO",$B178=0),"",IF(AND(DH178="",DI178="",DM178=""),"",IF(AND('Master Sheet'!$D$19="YES",'Marks Entry'!$BA$1=1),100,IF(AND(DJ178="",DO178=""),SUM(($DQ$7+$DR$7)-(DU178+DV178)),SUM(($DQ$6+$DR$6)-(DU178+DV178))))))</f>
        <v/>
      </c>
      <c r="DZ178" s="153" t="str">
        <f t="shared" si="487"/>
        <v/>
      </c>
      <c r="EA178" s="154" t="str">
        <f t="shared" si="488"/>
        <v/>
      </c>
      <c r="EB178" s="153" t="str">
        <f t="shared" si="489"/>
        <v/>
      </c>
      <c r="EC178" s="584" t="str">
        <f>IF('Marks Entry'!BB178="","",'Marks Entry'!BB178)</f>
        <v/>
      </c>
      <c r="ED178" s="584" t="str">
        <f>IF('Marks Entry'!BC178="","",'Marks Entry'!BC178)</f>
        <v/>
      </c>
      <c r="EE178" s="584" t="str">
        <f>IF('Marks Entry'!BD178="","",'Marks Entry'!BD178)</f>
        <v/>
      </c>
      <c r="EF178" s="590" t="str">
        <f t="shared" si="490"/>
        <v/>
      </c>
      <c r="EG178" s="595">
        <f t="shared" si="491"/>
        <v>0</v>
      </c>
      <c r="EH178" s="595">
        <f t="shared" si="492"/>
        <v>0</v>
      </c>
      <c r="EI178" s="193" t="str">
        <f t="shared" si="493"/>
        <v/>
      </c>
      <c r="EJ178" s="595" t="str">
        <f t="shared" si="494"/>
        <v/>
      </c>
      <c r="EK178" s="595" t="str">
        <f t="shared" si="495"/>
        <v/>
      </c>
      <c r="EL178" s="194" t="str">
        <f t="shared" si="496"/>
        <v/>
      </c>
      <c r="EM178" s="194" t="str">
        <f t="shared" si="497"/>
        <v/>
      </c>
      <c r="EN178" s="194" t="str">
        <f t="shared" si="498"/>
        <v/>
      </c>
      <c r="EO178" s="194" t="str">
        <f t="shared" si="499"/>
        <v/>
      </c>
      <c r="EP178" s="194" t="str">
        <f t="shared" si="500"/>
        <v/>
      </c>
      <c r="EQ178" s="194" t="str">
        <f t="shared" si="501"/>
        <v/>
      </c>
      <c r="ER178" s="195">
        <f t="shared" si="502"/>
        <v>0</v>
      </c>
      <c r="ES178" s="195">
        <f t="shared" si="503"/>
        <v>0</v>
      </c>
      <c r="ET178" s="195">
        <f t="shared" si="504"/>
        <v>0</v>
      </c>
      <c r="EU178" s="195">
        <f t="shared" si="505"/>
        <v>0</v>
      </c>
      <c r="EV178" s="195">
        <f t="shared" si="506"/>
        <v>0</v>
      </c>
      <c r="EW178" s="195" t="str">
        <f t="shared" si="507"/>
        <v/>
      </c>
      <c r="EX178" s="196" t="str">
        <f t="shared" si="508"/>
        <v/>
      </c>
      <c r="EY178" s="197" t="str">
        <f>IF('Marks Entry'!BE178="","",'Marks Entry'!BE178)</f>
        <v/>
      </c>
      <c r="EZ178" s="197" t="str">
        <f>IF('Marks Entry'!BF178="","",'Marks Entry'!BF178)</f>
        <v/>
      </c>
      <c r="FA178" s="197" t="str">
        <f>IF('Marks Entry'!BG178="","",'Marks Entry'!BG178)</f>
        <v/>
      </c>
      <c r="FB178" s="596" t="str">
        <f t="shared" si="509"/>
        <v/>
      </c>
      <c r="FC178" s="197" t="str">
        <f>IF('Marks Entry'!BH178="","",'Marks Entry'!BH178)</f>
        <v/>
      </c>
      <c r="FD178" s="197" t="str">
        <f>IF('Marks Entry'!BI178="","",'Marks Entry'!BI178)</f>
        <v/>
      </c>
      <c r="FE178" s="198" t="str">
        <f t="shared" si="510"/>
        <v/>
      </c>
      <c r="FF178" s="199" t="str">
        <f t="shared" si="511"/>
        <v/>
      </c>
      <c r="FG178" s="200" t="str">
        <f>IF(AND(E178=""),"",IF('Student DATA Entry'!L174="","",'Student DATA Entry'!L174))</f>
        <v/>
      </c>
      <c r="FH178" s="201" t="str">
        <f>IF(AND(E178=""),"",IF('Student DATA Entry'!M174="","",'Student DATA Entry'!M174))</f>
        <v/>
      </c>
      <c r="FI178" s="202" t="str">
        <f t="shared" si="512"/>
        <v/>
      </c>
      <c r="FJ178" s="189" t="str">
        <f t="shared" si="513"/>
        <v/>
      </c>
      <c r="FK178" s="189" t="str">
        <f t="shared" si="514"/>
        <v/>
      </c>
      <c r="FL178" s="203" t="str">
        <f t="shared" si="542"/>
        <v/>
      </c>
      <c r="FM178" s="189" t="str">
        <f t="shared" si="515"/>
        <v/>
      </c>
      <c r="FN178" s="204" t="str">
        <f t="shared" si="516"/>
        <v/>
      </c>
      <c r="FO178" s="203" t="str">
        <f t="shared" si="543"/>
        <v/>
      </c>
      <c r="FP178" s="205" t="str">
        <f t="shared" si="517"/>
        <v/>
      </c>
      <c r="FQ178" s="189" t="str">
        <f t="shared" si="544"/>
        <v/>
      </c>
      <c r="FR178" s="189" t="str">
        <f t="shared" si="545"/>
        <v/>
      </c>
      <c r="FS178" s="189" t="str">
        <f t="shared" si="546"/>
        <v/>
      </c>
      <c r="FT178" s="189" t="str">
        <f t="shared" si="547"/>
        <v/>
      </c>
      <c r="FU178" s="189" t="str">
        <f t="shared" si="518"/>
        <v/>
      </c>
      <c r="FV178" s="206" t="str">
        <f t="shared" si="548"/>
        <v/>
      </c>
      <c r="FW178" s="205" t="str">
        <f t="shared" si="519"/>
        <v/>
      </c>
      <c r="FX178" s="189" t="str">
        <f t="shared" si="549"/>
        <v/>
      </c>
      <c r="FY178" s="189" t="str">
        <f t="shared" si="550"/>
        <v/>
      </c>
      <c r="FZ178" s="189" t="str">
        <f t="shared" si="551"/>
        <v/>
      </c>
      <c r="GA178" s="189" t="str">
        <f t="shared" si="552"/>
        <v/>
      </c>
      <c r="GB178" s="189" t="str">
        <f t="shared" si="520"/>
        <v/>
      </c>
      <c r="GC178" s="206" t="str">
        <f t="shared" si="553"/>
        <v/>
      </c>
      <c r="GD178" s="205" t="str">
        <f t="shared" si="521"/>
        <v/>
      </c>
      <c r="GE178" s="189" t="str">
        <f t="shared" si="554"/>
        <v/>
      </c>
      <c r="GF178" s="189" t="str">
        <f t="shared" si="555"/>
        <v/>
      </c>
      <c r="GG178" s="189" t="str">
        <f t="shared" si="556"/>
        <v/>
      </c>
      <c r="GH178" s="189" t="str">
        <f t="shared" si="557"/>
        <v/>
      </c>
      <c r="GI178" s="189" t="str">
        <f t="shared" si="522"/>
        <v/>
      </c>
      <c r="GJ178" s="206" t="str">
        <f t="shared" si="558"/>
        <v/>
      </c>
      <c r="GK178" s="205" t="str">
        <f t="shared" si="523"/>
        <v/>
      </c>
      <c r="GL178" s="189" t="str">
        <f t="shared" si="559"/>
        <v/>
      </c>
      <c r="GM178" s="189" t="str">
        <f t="shared" si="560"/>
        <v/>
      </c>
      <c r="GN178" s="189" t="str">
        <f t="shared" si="561"/>
        <v/>
      </c>
      <c r="GO178" s="189" t="str">
        <f t="shared" si="562"/>
        <v/>
      </c>
      <c r="GP178" s="189" t="str">
        <f t="shared" si="524"/>
        <v/>
      </c>
      <c r="GQ178" s="206" t="str">
        <f t="shared" si="563"/>
        <v/>
      </c>
      <c r="GR178" s="189" t="str">
        <f t="shared" si="525"/>
        <v/>
      </c>
      <c r="GS178" s="189" t="str">
        <f t="shared" si="526"/>
        <v/>
      </c>
      <c r="GT178" s="207" t="str">
        <f t="shared" si="527"/>
        <v xml:space="preserve">    </v>
      </c>
      <c r="GU178" s="207" t="str">
        <f t="shared" si="528"/>
        <v xml:space="preserve">    </v>
      </c>
      <c r="GV178" s="207" t="str">
        <f t="shared" si="529"/>
        <v xml:space="preserve">    </v>
      </c>
      <c r="GW178" s="207" t="str">
        <f t="shared" si="530"/>
        <v xml:space="preserve">       </v>
      </c>
      <c r="GX178" s="598" t="str">
        <f t="shared" si="531"/>
        <v xml:space="preserve">     </v>
      </c>
      <c r="GY178" s="208" t="str">
        <f t="shared" si="564"/>
        <v/>
      </c>
      <c r="GZ178" s="606" t="str">
        <f>IF(AND(Q178="",AE178="",AZ178="",BW178="",CT178=""),"",IF(AND('Master Sheet'!$D$19="YES",'Marks Entry'!$BA$1=1),SUM(Q178,AE178,AZ178,BW178,DT178),SUM(Q178,AE178,AZ178,BW178,CT178)))</f>
        <v/>
      </c>
      <c r="HA178" s="209" t="str">
        <f>IF(GZ178="","",IF(AND('Master Sheet'!$D$19="YES",'Marks Entry'!$BA$1=1),GZ178/((900)-DC178)*100,GZ178/((1000)-DC178)*100))</f>
        <v/>
      </c>
      <c r="HB178" s="611" t="str">
        <f t="shared" si="532"/>
        <v/>
      </c>
      <c r="HC178" s="609" t="str">
        <f t="shared" si="533"/>
        <v/>
      </c>
      <c r="HD178" s="610" t="str">
        <f t="shared" si="534"/>
        <v/>
      </c>
      <c r="HE178" s="210" t="str">
        <f>IFERROR(IF(OR(GY178="SUPPLEMENTARY",GY178="RE-EXAM"),'Supp. Result Entry'!AS177,""),"")</f>
        <v/>
      </c>
      <c r="HF178" s="613" t="str">
        <f t="shared" si="535"/>
        <v/>
      </c>
      <c r="HG178" s="598" t="str">
        <f t="shared" si="536"/>
        <v/>
      </c>
      <c r="HH178" s="598" t="str">
        <f>IF(AND(HE178="",HF178="",HG178=""),"",IF(OR(GY178="SUPPLEMENTARY",GY178="RE-EXAM"),'Supp. Result Entry'!AS177,GY178))</f>
        <v/>
      </c>
      <c r="HI178" s="180"/>
      <c r="HY178" s="212" t="str">
        <f>IF('Supp. Result Entry'!U177="","",'Supp. Result Entry'!$U$6)</f>
        <v/>
      </c>
      <c r="HZ178" s="213" t="str">
        <f>IF('Supp. Result Entry'!X177="","",'Supp. Result Entry'!$X$6)</f>
        <v/>
      </c>
      <c r="IA178" s="213" t="str">
        <f>IF('Supp. Result Entry'!AA177="","",'Supp. Result Entry'!$AA$6)</f>
        <v/>
      </c>
      <c r="IB178" s="213" t="str">
        <f>IF('Supp. Result Entry'!AD177="","",'Supp. Result Entry'!$AD$6)</f>
        <v/>
      </c>
      <c r="IC178" s="213" t="str">
        <f>IF('Supp. Result Entry'!AG177="","",'Supp. Result Entry'!$AG$6)</f>
        <v/>
      </c>
      <c r="ID178" s="213" t="str">
        <f>IF('Supp. Result Entry'!AJ177="","",'Supp. Result Entry'!$AJ$6)</f>
        <v/>
      </c>
      <c r="IE178" s="213" t="str">
        <f>IF('Supp. Result Entry'!V177="","",'Supp. Result Entry'!V177)</f>
        <v/>
      </c>
      <c r="IF178" s="213" t="str">
        <f>IF('Supp. Result Entry'!Y177="","",'Supp. Result Entry'!Y177)</f>
        <v/>
      </c>
      <c r="IG178" s="213" t="str">
        <f>IF('Supp. Result Entry'!AB177="","",'Supp. Result Entry'!AB177)</f>
        <v/>
      </c>
      <c r="IH178" s="213" t="str">
        <f>IF('Supp. Result Entry'!AE177="","",'Supp. Result Entry'!AE177)</f>
        <v/>
      </c>
      <c r="II178" s="213" t="str">
        <f>IF('Supp. Result Entry'!AH177="","",'Supp. Result Entry'!AH177)</f>
        <v/>
      </c>
      <c r="IJ178" s="213" t="str">
        <f>IF('Supp. Result Entry'!AK177="","",'Supp. Result Entry'!AK177)</f>
        <v/>
      </c>
      <c r="IK178" s="213" t="str">
        <f>IF('Supp. Result Entry'!W177="","",'Supp. Result Entry'!W177)</f>
        <v/>
      </c>
      <c r="IL178" s="213" t="str">
        <f>IF('Supp. Result Entry'!Z177="","",'Supp. Result Entry'!Z177)</f>
        <v/>
      </c>
      <c r="IM178" s="213" t="str">
        <f>IF('Supp. Result Entry'!AC177="","",'Supp. Result Entry'!AC177)</f>
        <v/>
      </c>
      <c r="IN178" s="213" t="str">
        <f>IF('Supp. Result Entry'!AF177="","",'Supp. Result Entry'!AF177)</f>
        <v/>
      </c>
      <c r="IO178" s="213" t="str">
        <f>IF('Supp. Result Entry'!AI177="","",'Supp. Result Entry'!AI177)</f>
        <v/>
      </c>
      <c r="IP178" s="213" t="str">
        <f>IF('Supp. Result Entry'!AL177="","",'Supp. Result Entry'!AL177)</f>
        <v/>
      </c>
      <c r="IQ178" s="213">
        <f>COUNTIF('Supp. Result Entry'!K177:Q177,"S")</f>
        <v>0</v>
      </c>
      <c r="IR178" s="213">
        <f t="shared" si="537"/>
        <v>0</v>
      </c>
      <c r="IS178" s="213">
        <f t="shared" si="538"/>
        <v>0</v>
      </c>
      <c r="IT178" s="213" t="str">
        <f t="shared" si="406"/>
        <v/>
      </c>
      <c r="IU178" s="213" t="str">
        <f t="shared" si="407"/>
        <v/>
      </c>
      <c r="IV178" s="213" t="str">
        <f t="shared" si="408"/>
        <v/>
      </c>
      <c r="IW178" s="213" t="str">
        <f t="shared" si="409"/>
        <v/>
      </c>
      <c r="IX178" s="213" t="str">
        <f t="shared" si="410"/>
        <v/>
      </c>
      <c r="IY178" s="213" t="str">
        <f t="shared" si="539"/>
        <v/>
      </c>
      <c r="IZ178" s="213" t="str">
        <f t="shared" si="540"/>
        <v/>
      </c>
      <c r="JA178" s="213" t="str">
        <f t="shared" si="411"/>
        <v/>
      </c>
      <c r="JB178" s="211" t="str">
        <f t="shared" si="541"/>
        <v/>
      </c>
    </row>
    <row r="179" spans="1:262" s="211" customFormat="1" ht="21" customHeight="1">
      <c r="A179" s="184">
        <v>172</v>
      </c>
      <c r="B179" s="185" t="str">
        <f>IF('Marks Entry'!B179="","",'Marks Entry'!B179)</f>
        <v/>
      </c>
      <c r="C179" s="186" t="str">
        <f>IF('Marks Entry'!D179="","",'Marks Entry'!D179)</f>
        <v/>
      </c>
      <c r="D179" s="187" t="str">
        <f>IF('Marks Entry'!E179="","",'Marks Entry'!E179)</f>
        <v/>
      </c>
      <c r="E179" s="188" t="str">
        <f>IF('Marks Entry'!F179="","",'Marks Entry'!F179)</f>
        <v/>
      </c>
      <c r="F179" s="188" t="str">
        <f>IF('Marks Entry'!G179="","",'Marks Entry'!G179)</f>
        <v/>
      </c>
      <c r="G179" s="188" t="str">
        <f>IF('Marks Entry'!H179="","",'Marks Entry'!H179)</f>
        <v/>
      </c>
      <c r="H179" s="189" t="str">
        <f>IF('Marks Entry'!I179="","",'Marks Entry'!I179)</f>
        <v/>
      </c>
      <c r="I179" s="190" t="str">
        <f>IF('Marks Entry'!J179="","",'Marks Entry'!J179)</f>
        <v/>
      </c>
      <c r="J179" s="545" t="str">
        <f>IF('Marks Entry'!K179="","",'Marks Entry'!K179)</f>
        <v/>
      </c>
      <c r="K179" s="545" t="str">
        <f>IF('Marks Entry'!L179="","",'Marks Entry'!L179)</f>
        <v/>
      </c>
      <c r="L179" s="545" t="str">
        <f>IF('Marks Entry'!M179="","",'Marks Entry'!M179)</f>
        <v/>
      </c>
      <c r="M179" s="546" t="str">
        <f t="shared" si="412"/>
        <v/>
      </c>
      <c r="N179" s="545" t="str">
        <f>IF('Marks Entry'!N179="","",'Marks Entry'!N179)</f>
        <v/>
      </c>
      <c r="O179" s="546" t="str">
        <f t="shared" si="413"/>
        <v/>
      </c>
      <c r="P179" s="545" t="str">
        <f>IF('Marks Entry'!O179="","",'Marks Entry'!O179)</f>
        <v/>
      </c>
      <c r="Q179" s="547" t="str">
        <f t="shared" si="414"/>
        <v/>
      </c>
      <c r="R179" s="153">
        <f t="shared" si="415"/>
        <v>0</v>
      </c>
      <c r="S179" s="153">
        <f t="shared" si="416"/>
        <v>0</v>
      </c>
      <c r="T179" s="154" t="str">
        <f t="shared" si="417"/>
        <v/>
      </c>
      <c r="U179" s="153" t="str">
        <f t="shared" si="418"/>
        <v/>
      </c>
      <c r="V179" s="153" t="str">
        <f t="shared" si="419"/>
        <v/>
      </c>
      <c r="W179" s="153" t="str">
        <f t="shared" si="420"/>
        <v/>
      </c>
      <c r="X179" s="545" t="str">
        <f>IF('Marks Entry'!P179="","",'Marks Entry'!P179)</f>
        <v/>
      </c>
      <c r="Y179" s="545" t="str">
        <f>IF('Marks Entry'!Q179="","",'Marks Entry'!Q179)</f>
        <v/>
      </c>
      <c r="Z179" s="545" t="str">
        <f>IF('Marks Entry'!R179="","",'Marks Entry'!R179)</f>
        <v/>
      </c>
      <c r="AA179" s="546" t="str">
        <f t="shared" si="421"/>
        <v/>
      </c>
      <c r="AB179" s="545" t="str">
        <f>IF('Marks Entry'!S179="","",'Marks Entry'!S179)</f>
        <v/>
      </c>
      <c r="AC179" s="546" t="str">
        <f t="shared" si="422"/>
        <v/>
      </c>
      <c r="AD179" s="545" t="str">
        <f>IF('Marks Entry'!T179="","",'Marks Entry'!T179)</f>
        <v/>
      </c>
      <c r="AE179" s="547" t="str">
        <f t="shared" si="423"/>
        <v/>
      </c>
      <c r="AF179" s="153">
        <f t="shared" si="424"/>
        <v>0</v>
      </c>
      <c r="AG179" s="153">
        <f t="shared" si="425"/>
        <v>0</v>
      </c>
      <c r="AH179" s="154" t="str">
        <f t="shared" si="426"/>
        <v/>
      </c>
      <c r="AI179" s="153" t="str">
        <f t="shared" si="427"/>
        <v/>
      </c>
      <c r="AJ179" s="153" t="str">
        <f t="shared" si="428"/>
        <v/>
      </c>
      <c r="AK179" s="153" t="str">
        <f t="shared" si="429"/>
        <v/>
      </c>
      <c r="AL179" s="573" t="str">
        <f>IF('Marks Entry'!U179="","",'Marks Entry'!U179)</f>
        <v/>
      </c>
      <c r="AM179" s="573" t="str">
        <f>IF('Marks Entry'!V179="","",'Marks Entry'!V179)</f>
        <v/>
      </c>
      <c r="AN179" s="573" t="str">
        <f>IF('Marks Entry'!W179="","",'Marks Entry'!W179)</f>
        <v/>
      </c>
      <c r="AO179" s="573" t="str">
        <f>IF('Marks Entry'!X179="","",'Marks Entry'!X179)</f>
        <v/>
      </c>
      <c r="AP179" s="572" t="str">
        <f t="shared" si="430"/>
        <v/>
      </c>
      <c r="AQ179" s="573" t="str">
        <f>IF('Marks Entry'!Y179="","",'Marks Entry'!Y179)</f>
        <v/>
      </c>
      <c r="AR179" s="573" t="str">
        <f>IF('Marks Entry'!Z179="","",'Marks Entry'!Z179)</f>
        <v/>
      </c>
      <c r="AS179" s="572" t="str">
        <f t="shared" si="431"/>
        <v/>
      </c>
      <c r="AT179" s="572" t="str">
        <f t="shared" si="432"/>
        <v/>
      </c>
      <c r="AU179" s="573" t="str">
        <f>IF('Marks Entry'!AA179="","",'Marks Entry'!AA179)</f>
        <v/>
      </c>
      <c r="AV179" s="573" t="str">
        <f>IF('Marks Entry'!AB179="","",'Marks Entry'!AB179)</f>
        <v/>
      </c>
      <c r="AW179" s="572" t="str">
        <f t="shared" si="433"/>
        <v/>
      </c>
      <c r="AX179" s="157" t="str">
        <f t="shared" si="434"/>
        <v/>
      </c>
      <c r="AY179" s="157" t="str">
        <f t="shared" si="435"/>
        <v/>
      </c>
      <c r="AZ179" s="192" t="str">
        <f t="shared" si="436"/>
        <v/>
      </c>
      <c r="BA179" s="153">
        <f t="shared" si="437"/>
        <v>0</v>
      </c>
      <c r="BB179" s="154">
        <f t="shared" si="438"/>
        <v>0</v>
      </c>
      <c r="BC179" s="154" t="str">
        <f t="shared" si="439"/>
        <v/>
      </c>
      <c r="BD179" s="154" t="str">
        <f t="shared" si="440"/>
        <v/>
      </c>
      <c r="BE179" s="154" t="str">
        <f t="shared" si="441"/>
        <v/>
      </c>
      <c r="BF179" s="153" t="str">
        <f t="shared" si="442"/>
        <v/>
      </c>
      <c r="BG179" s="154" t="str">
        <f t="shared" si="443"/>
        <v/>
      </c>
      <c r="BH179" s="153" t="str">
        <f t="shared" si="444"/>
        <v/>
      </c>
      <c r="BI179" s="580" t="str">
        <f>IF('Marks Entry'!AC179="","",'Marks Entry'!AC179)</f>
        <v/>
      </c>
      <c r="BJ179" s="580" t="str">
        <f>IF('Marks Entry'!AD179="","",'Marks Entry'!AD179)</f>
        <v/>
      </c>
      <c r="BK179" s="580" t="str">
        <f>IF('Marks Entry'!AE179="","",'Marks Entry'!AE179)</f>
        <v/>
      </c>
      <c r="BL179" s="580" t="str">
        <f>IF('Marks Entry'!AF179="","",'Marks Entry'!AF179)</f>
        <v/>
      </c>
      <c r="BM179" s="581" t="str">
        <f t="shared" si="445"/>
        <v/>
      </c>
      <c r="BN179" s="580" t="str">
        <f>IF('Marks Entry'!AG179="","",'Marks Entry'!AG179)</f>
        <v/>
      </c>
      <c r="BO179" s="580" t="str">
        <f>IF('Marks Entry'!AH179="","",'Marks Entry'!AH179)</f>
        <v/>
      </c>
      <c r="BP179" s="581" t="str">
        <f t="shared" si="446"/>
        <v/>
      </c>
      <c r="BQ179" s="581" t="str">
        <f t="shared" si="447"/>
        <v/>
      </c>
      <c r="BR179" s="580" t="str">
        <f>IF('Marks Entry'!AI179="","",'Marks Entry'!AI179)</f>
        <v/>
      </c>
      <c r="BS179" s="580" t="str">
        <f>IF('Marks Entry'!AJ179="","",'Marks Entry'!AJ179)</f>
        <v/>
      </c>
      <c r="BT179" s="581" t="str">
        <f t="shared" si="448"/>
        <v/>
      </c>
      <c r="BU179" s="157" t="str">
        <f t="shared" si="449"/>
        <v/>
      </c>
      <c r="BV179" s="157" t="str">
        <f t="shared" si="450"/>
        <v/>
      </c>
      <c r="BW179" s="192" t="str">
        <f t="shared" si="451"/>
        <v/>
      </c>
      <c r="BX179" s="153">
        <f t="shared" si="452"/>
        <v>0</v>
      </c>
      <c r="BY179" s="154">
        <f t="shared" si="453"/>
        <v>0</v>
      </c>
      <c r="BZ179" s="154" t="str">
        <f t="shared" si="454"/>
        <v/>
      </c>
      <c r="CA179" s="154" t="str">
        <f t="shared" si="455"/>
        <v/>
      </c>
      <c r="CB179" s="154" t="str">
        <f t="shared" si="456"/>
        <v/>
      </c>
      <c r="CC179" s="153" t="str">
        <f t="shared" si="457"/>
        <v/>
      </c>
      <c r="CD179" s="154" t="str">
        <f t="shared" si="458"/>
        <v/>
      </c>
      <c r="CE179" s="153" t="str">
        <f t="shared" si="459"/>
        <v/>
      </c>
      <c r="CF179" s="580" t="str">
        <f>IF('Marks Entry'!AK179="","",'Marks Entry'!AK179)</f>
        <v/>
      </c>
      <c r="CG179" s="580" t="str">
        <f>IF('Marks Entry'!AL179="","",'Marks Entry'!AL179)</f>
        <v/>
      </c>
      <c r="CH179" s="580" t="str">
        <f>IF('Marks Entry'!AM179="","",'Marks Entry'!AM179)</f>
        <v/>
      </c>
      <c r="CI179" s="580" t="str">
        <f>IF('Marks Entry'!AN179="","",'Marks Entry'!AN179)</f>
        <v/>
      </c>
      <c r="CJ179" s="581" t="str">
        <f t="shared" si="460"/>
        <v/>
      </c>
      <c r="CK179" s="580" t="str">
        <f>IF('Marks Entry'!AO179="","",'Marks Entry'!AO179)</f>
        <v/>
      </c>
      <c r="CL179" s="580" t="str">
        <f>IF('Marks Entry'!AP179="","",'Marks Entry'!AP179)</f>
        <v/>
      </c>
      <c r="CM179" s="581" t="str">
        <f t="shared" si="461"/>
        <v/>
      </c>
      <c r="CN179" s="581" t="str">
        <f t="shared" si="462"/>
        <v/>
      </c>
      <c r="CO179" s="580" t="str">
        <f>IF('Marks Entry'!AQ179="","",'Marks Entry'!AQ179)</f>
        <v/>
      </c>
      <c r="CP179" s="580" t="str">
        <f>IF('Marks Entry'!AR179="","",'Marks Entry'!AR179)</f>
        <v/>
      </c>
      <c r="CQ179" s="581" t="str">
        <f t="shared" si="463"/>
        <v/>
      </c>
      <c r="CR179" s="157" t="str">
        <f t="shared" si="464"/>
        <v/>
      </c>
      <c r="CS179" s="157" t="str">
        <f t="shared" si="465"/>
        <v/>
      </c>
      <c r="CT179" s="192" t="str">
        <f t="shared" si="466"/>
        <v/>
      </c>
      <c r="CU179" s="153">
        <f t="shared" si="467"/>
        <v>0</v>
      </c>
      <c r="CV179" s="154">
        <f t="shared" si="468"/>
        <v>0</v>
      </c>
      <c r="CW179" s="154" t="str">
        <f t="shared" si="469"/>
        <v/>
      </c>
      <c r="CX179" s="154" t="str">
        <f t="shared" si="470"/>
        <v/>
      </c>
      <c r="CY179" s="154" t="str">
        <f t="shared" si="471"/>
        <v/>
      </c>
      <c r="CZ179" s="153" t="str">
        <f t="shared" si="472"/>
        <v/>
      </c>
      <c r="DA179" s="154" t="str">
        <f t="shared" si="473"/>
        <v/>
      </c>
      <c r="DB179" s="153" t="str">
        <f t="shared" si="474"/>
        <v/>
      </c>
      <c r="DC179" s="154">
        <f t="shared" si="475"/>
        <v>0</v>
      </c>
      <c r="DD179" s="826" t="str">
        <f>IF('Marks Entry'!AS179="","",IF(OR('Master Sheet'!$D$19="YES",'Marks Entry'!$BA$1=1),'Marks Entry'!AS179,""))</f>
        <v/>
      </c>
      <c r="DE179" s="826" t="str">
        <f>IF('Marks Entry'!AT179="","",IF(OR('Master Sheet'!$D$19="YES",'Marks Entry'!$BA$1=1),'Marks Entry'!AT179,""))</f>
        <v/>
      </c>
      <c r="DF179" s="826" t="str">
        <f>IF('Marks Entry'!AU179="","",IF(OR('Master Sheet'!$D$19="YES",'Marks Entry'!$BA$1=1),'Marks Entry'!AU179,""))</f>
        <v/>
      </c>
      <c r="DG179" s="826" t="str">
        <f>IF('Marks Entry'!AV179="","",IF(OR('Master Sheet'!$D$19="YES",'Marks Entry'!$BA$1=1),'Marks Entry'!AV179,""))</f>
        <v/>
      </c>
      <c r="DH179" s="827" t="str">
        <f t="shared" si="476"/>
        <v/>
      </c>
      <c r="DI179" s="826" t="str">
        <f>IF('Marks Entry'!AW179="","",IF(OR('Master Sheet'!$D$19="YES",'Marks Entry'!$BA$1=1),'Marks Entry'!AW179,""))</f>
        <v/>
      </c>
      <c r="DJ179" s="826" t="str">
        <f>IF('Marks Entry'!AX179="","",IF(OR('Master Sheet'!$D$19="YES",'Marks Entry'!$BA$1=1),'Marks Entry'!AX179,""))</f>
        <v/>
      </c>
      <c r="DK179" s="827" t="str">
        <f t="shared" si="477"/>
        <v/>
      </c>
      <c r="DL179" s="827" t="str">
        <f t="shared" si="478"/>
        <v/>
      </c>
      <c r="DM179" s="826" t="str">
        <f>IF('Marks Entry'!AY179="","",IF(OR('Master Sheet'!$D$19="YES",'Marks Entry'!$BA$1=1),'Marks Entry'!AY179,""))</f>
        <v/>
      </c>
      <c r="DN179" s="826" t="str">
        <f>IF('Marks Entry'!AZ179="","",IF(OR('Master Sheet'!$D$19="YES",'Marks Entry'!$BA$1=1),'Marks Entry'!AZ179,""))</f>
        <v/>
      </c>
      <c r="DO179" s="826" t="str">
        <f>IF('Marks Entry'!BA179="","",IF(OR('Master Sheet'!$D$19="YES",'Marks Entry'!$BA$1=1),'Marks Entry'!BA179,""))</f>
        <v/>
      </c>
      <c r="DP179" s="827" t="str">
        <f t="shared" si="479"/>
        <v/>
      </c>
      <c r="DQ179" s="157" t="str">
        <f t="shared" si="480"/>
        <v/>
      </c>
      <c r="DR179" s="157" t="str">
        <f t="shared" si="481"/>
        <v/>
      </c>
      <c r="DS179" s="157" t="str">
        <f t="shared" si="482"/>
        <v/>
      </c>
      <c r="DT179" s="192" t="str">
        <f t="shared" si="483"/>
        <v/>
      </c>
      <c r="DU179" s="153">
        <f t="shared" si="484"/>
        <v>0</v>
      </c>
      <c r="DV179" s="154" t="e">
        <f t="shared" si="485"/>
        <v>#VALUE!</v>
      </c>
      <c r="DW179" s="154" t="str">
        <f t="shared" si="486"/>
        <v/>
      </c>
      <c r="DX179" s="154" t="str">
        <f>IF(OR($B179="NSO",$B179=0,DS179=""),"",IF(AND(DJ179="",DO179=""),"",IF('Master Sheet'!$D$19="YES",$DO$6-COUNTIF(DO179,"ML")*DO$6,DS$6-(COUNTIF(DJ179,"ML")*DJ$6)-(COUNTIF(DO179,"ML")*DO$6))))</f>
        <v/>
      </c>
      <c r="DY179" s="154" t="str">
        <f>IF(OR($B179="NSO",$B179=0),"",IF(AND(DH179="",DI179="",DM179=""),"",IF(AND('Master Sheet'!$D$19="YES",'Marks Entry'!$BA$1=1),100,IF(AND(DJ179="",DO179=""),SUM(($DQ$7+$DR$7)-(DU179+DV179)),SUM(($DQ$6+$DR$6)-(DU179+DV179))))))</f>
        <v/>
      </c>
      <c r="DZ179" s="153" t="str">
        <f t="shared" si="487"/>
        <v/>
      </c>
      <c r="EA179" s="154" t="str">
        <f t="shared" si="488"/>
        <v/>
      </c>
      <c r="EB179" s="153" t="str">
        <f t="shared" si="489"/>
        <v/>
      </c>
      <c r="EC179" s="584" t="str">
        <f>IF('Marks Entry'!BB179="","",'Marks Entry'!BB179)</f>
        <v/>
      </c>
      <c r="ED179" s="584" t="str">
        <f>IF('Marks Entry'!BC179="","",'Marks Entry'!BC179)</f>
        <v/>
      </c>
      <c r="EE179" s="584" t="str">
        <f>IF('Marks Entry'!BD179="","",'Marks Entry'!BD179)</f>
        <v/>
      </c>
      <c r="EF179" s="590" t="str">
        <f t="shared" si="490"/>
        <v/>
      </c>
      <c r="EG179" s="595">
        <f t="shared" si="491"/>
        <v>0</v>
      </c>
      <c r="EH179" s="595">
        <f t="shared" si="492"/>
        <v>0</v>
      </c>
      <c r="EI179" s="193" t="str">
        <f t="shared" si="493"/>
        <v/>
      </c>
      <c r="EJ179" s="595" t="str">
        <f t="shared" si="494"/>
        <v/>
      </c>
      <c r="EK179" s="595" t="str">
        <f t="shared" si="495"/>
        <v/>
      </c>
      <c r="EL179" s="194" t="str">
        <f t="shared" si="496"/>
        <v/>
      </c>
      <c r="EM179" s="194" t="str">
        <f t="shared" si="497"/>
        <v/>
      </c>
      <c r="EN179" s="194" t="str">
        <f t="shared" si="498"/>
        <v/>
      </c>
      <c r="EO179" s="194" t="str">
        <f t="shared" si="499"/>
        <v/>
      </c>
      <c r="EP179" s="194" t="str">
        <f t="shared" si="500"/>
        <v/>
      </c>
      <c r="EQ179" s="194" t="str">
        <f t="shared" si="501"/>
        <v/>
      </c>
      <c r="ER179" s="195">
        <f t="shared" si="502"/>
        <v>0</v>
      </c>
      <c r="ES179" s="195">
        <f t="shared" si="503"/>
        <v>0</v>
      </c>
      <c r="ET179" s="195">
        <f t="shared" si="504"/>
        <v>0</v>
      </c>
      <c r="EU179" s="195">
        <f t="shared" si="505"/>
        <v>0</v>
      </c>
      <c r="EV179" s="195">
        <f t="shared" si="506"/>
        <v>0</v>
      </c>
      <c r="EW179" s="195" t="str">
        <f t="shared" si="507"/>
        <v/>
      </c>
      <c r="EX179" s="196" t="str">
        <f t="shared" si="508"/>
        <v/>
      </c>
      <c r="EY179" s="197" t="str">
        <f>IF('Marks Entry'!BE179="","",'Marks Entry'!BE179)</f>
        <v/>
      </c>
      <c r="EZ179" s="197" t="str">
        <f>IF('Marks Entry'!BF179="","",'Marks Entry'!BF179)</f>
        <v/>
      </c>
      <c r="FA179" s="197" t="str">
        <f>IF('Marks Entry'!BG179="","",'Marks Entry'!BG179)</f>
        <v/>
      </c>
      <c r="FB179" s="596" t="str">
        <f t="shared" si="509"/>
        <v/>
      </c>
      <c r="FC179" s="197" t="str">
        <f>IF('Marks Entry'!BH179="","",'Marks Entry'!BH179)</f>
        <v/>
      </c>
      <c r="FD179" s="197" t="str">
        <f>IF('Marks Entry'!BI179="","",'Marks Entry'!BI179)</f>
        <v/>
      </c>
      <c r="FE179" s="198" t="str">
        <f t="shared" si="510"/>
        <v/>
      </c>
      <c r="FF179" s="199" t="str">
        <f t="shared" si="511"/>
        <v/>
      </c>
      <c r="FG179" s="200" t="str">
        <f>IF(AND(E179=""),"",IF('Student DATA Entry'!L175="","",'Student DATA Entry'!L175))</f>
        <v/>
      </c>
      <c r="FH179" s="201" t="str">
        <f>IF(AND(E179=""),"",IF('Student DATA Entry'!M175="","",'Student DATA Entry'!M175))</f>
        <v/>
      </c>
      <c r="FI179" s="202" t="str">
        <f t="shared" si="512"/>
        <v/>
      </c>
      <c r="FJ179" s="189" t="str">
        <f t="shared" si="513"/>
        <v/>
      </c>
      <c r="FK179" s="189" t="str">
        <f t="shared" si="514"/>
        <v/>
      </c>
      <c r="FL179" s="203" t="str">
        <f t="shared" si="542"/>
        <v/>
      </c>
      <c r="FM179" s="189" t="str">
        <f t="shared" si="515"/>
        <v/>
      </c>
      <c r="FN179" s="204" t="str">
        <f t="shared" si="516"/>
        <v/>
      </c>
      <c r="FO179" s="203" t="str">
        <f t="shared" si="543"/>
        <v/>
      </c>
      <c r="FP179" s="205" t="str">
        <f t="shared" si="517"/>
        <v/>
      </c>
      <c r="FQ179" s="189" t="str">
        <f t="shared" si="544"/>
        <v/>
      </c>
      <c r="FR179" s="189" t="str">
        <f t="shared" si="545"/>
        <v/>
      </c>
      <c r="FS179" s="189" t="str">
        <f t="shared" si="546"/>
        <v/>
      </c>
      <c r="FT179" s="189" t="str">
        <f t="shared" si="547"/>
        <v/>
      </c>
      <c r="FU179" s="189" t="str">
        <f t="shared" si="518"/>
        <v/>
      </c>
      <c r="FV179" s="206" t="str">
        <f t="shared" si="548"/>
        <v/>
      </c>
      <c r="FW179" s="205" t="str">
        <f t="shared" si="519"/>
        <v/>
      </c>
      <c r="FX179" s="189" t="str">
        <f t="shared" si="549"/>
        <v/>
      </c>
      <c r="FY179" s="189" t="str">
        <f t="shared" si="550"/>
        <v/>
      </c>
      <c r="FZ179" s="189" t="str">
        <f t="shared" si="551"/>
        <v/>
      </c>
      <c r="GA179" s="189" t="str">
        <f t="shared" si="552"/>
        <v/>
      </c>
      <c r="GB179" s="189" t="str">
        <f t="shared" si="520"/>
        <v/>
      </c>
      <c r="GC179" s="206" t="str">
        <f t="shared" si="553"/>
        <v/>
      </c>
      <c r="GD179" s="205" t="str">
        <f t="shared" si="521"/>
        <v/>
      </c>
      <c r="GE179" s="189" t="str">
        <f t="shared" si="554"/>
        <v/>
      </c>
      <c r="GF179" s="189" t="str">
        <f t="shared" si="555"/>
        <v/>
      </c>
      <c r="GG179" s="189" t="str">
        <f t="shared" si="556"/>
        <v/>
      </c>
      <c r="GH179" s="189" t="str">
        <f t="shared" si="557"/>
        <v/>
      </c>
      <c r="GI179" s="189" t="str">
        <f t="shared" si="522"/>
        <v/>
      </c>
      <c r="GJ179" s="206" t="str">
        <f t="shared" si="558"/>
        <v/>
      </c>
      <c r="GK179" s="205" t="str">
        <f t="shared" si="523"/>
        <v/>
      </c>
      <c r="GL179" s="189" t="str">
        <f t="shared" si="559"/>
        <v/>
      </c>
      <c r="GM179" s="189" t="str">
        <f t="shared" si="560"/>
        <v/>
      </c>
      <c r="GN179" s="189" t="str">
        <f t="shared" si="561"/>
        <v/>
      </c>
      <c r="GO179" s="189" t="str">
        <f t="shared" si="562"/>
        <v/>
      </c>
      <c r="GP179" s="189" t="str">
        <f t="shared" si="524"/>
        <v/>
      </c>
      <c r="GQ179" s="206" t="str">
        <f t="shared" si="563"/>
        <v/>
      </c>
      <c r="GR179" s="189" t="str">
        <f t="shared" si="525"/>
        <v/>
      </c>
      <c r="GS179" s="189" t="str">
        <f t="shared" si="526"/>
        <v/>
      </c>
      <c r="GT179" s="207" t="str">
        <f t="shared" si="527"/>
        <v xml:space="preserve">    </v>
      </c>
      <c r="GU179" s="207" t="str">
        <f t="shared" si="528"/>
        <v xml:space="preserve">    </v>
      </c>
      <c r="GV179" s="207" t="str">
        <f t="shared" si="529"/>
        <v xml:space="preserve">    </v>
      </c>
      <c r="GW179" s="207" t="str">
        <f t="shared" si="530"/>
        <v xml:space="preserve">       </v>
      </c>
      <c r="GX179" s="598" t="str">
        <f t="shared" si="531"/>
        <v xml:space="preserve">     </v>
      </c>
      <c r="GY179" s="208" t="str">
        <f t="shared" si="564"/>
        <v/>
      </c>
      <c r="GZ179" s="606" t="str">
        <f>IF(AND(Q179="",AE179="",AZ179="",BW179="",CT179=""),"",IF(AND('Master Sheet'!$D$19="YES",'Marks Entry'!$BA$1=1),SUM(Q179,AE179,AZ179,BW179,DT179),SUM(Q179,AE179,AZ179,BW179,CT179)))</f>
        <v/>
      </c>
      <c r="HA179" s="209" t="str">
        <f>IF(GZ179="","",IF(AND('Master Sheet'!$D$19="YES",'Marks Entry'!$BA$1=1),GZ179/((900)-DC179)*100,GZ179/((1000)-DC179)*100))</f>
        <v/>
      </c>
      <c r="HB179" s="611" t="str">
        <f t="shared" si="532"/>
        <v/>
      </c>
      <c r="HC179" s="609" t="str">
        <f t="shared" si="533"/>
        <v/>
      </c>
      <c r="HD179" s="610" t="str">
        <f t="shared" si="534"/>
        <v/>
      </c>
      <c r="HE179" s="210" t="str">
        <f>IFERROR(IF(OR(GY179="SUPPLEMENTARY",GY179="RE-EXAM"),'Supp. Result Entry'!AS178,""),"")</f>
        <v/>
      </c>
      <c r="HF179" s="613" t="str">
        <f t="shared" si="535"/>
        <v/>
      </c>
      <c r="HG179" s="598" t="str">
        <f t="shared" si="536"/>
        <v/>
      </c>
      <c r="HH179" s="598" t="str">
        <f>IF(AND(HE179="",HF179="",HG179=""),"",IF(OR(GY179="SUPPLEMENTARY",GY179="RE-EXAM"),'Supp. Result Entry'!AS178,GY179))</f>
        <v/>
      </c>
      <c r="HI179" s="180"/>
      <c r="HY179" s="212" t="str">
        <f>IF('Supp. Result Entry'!U178="","",'Supp. Result Entry'!$U$6)</f>
        <v/>
      </c>
      <c r="HZ179" s="213" t="str">
        <f>IF('Supp. Result Entry'!X178="","",'Supp. Result Entry'!$X$6)</f>
        <v/>
      </c>
      <c r="IA179" s="213" t="str">
        <f>IF('Supp. Result Entry'!AA178="","",'Supp. Result Entry'!$AA$6)</f>
        <v/>
      </c>
      <c r="IB179" s="213" t="str">
        <f>IF('Supp. Result Entry'!AD178="","",'Supp. Result Entry'!$AD$6)</f>
        <v/>
      </c>
      <c r="IC179" s="213" t="str">
        <f>IF('Supp. Result Entry'!AG178="","",'Supp. Result Entry'!$AG$6)</f>
        <v/>
      </c>
      <c r="ID179" s="213" t="str">
        <f>IF('Supp. Result Entry'!AJ178="","",'Supp. Result Entry'!$AJ$6)</f>
        <v/>
      </c>
      <c r="IE179" s="213" t="str">
        <f>IF('Supp. Result Entry'!V178="","",'Supp. Result Entry'!V178)</f>
        <v/>
      </c>
      <c r="IF179" s="213" t="str">
        <f>IF('Supp. Result Entry'!Y178="","",'Supp. Result Entry'!Y178)</f>
        <v/>
      </c>
      <c r="IG179" s="213" t="str">
        <f>IF('Supp. Result Entry'!AB178="","",'Supp. Result Entry'!AB178)</f>
        <v/>
      </c>
      <c r="IH179" s="213" t="str">
        <f>IF('Supp. Result Entry'!AE178="","",'Supp. Result Entry'!AE178)</f>
        <v/>
      </c>
      <c r="II179" s="213" t="str">
        <f>IF('Supp. Result Entry'!AH178="","",'Supp. Result Entry'!AH178)</f>
        <v/>
      </c>
      <c r="IJ179" s="213" t="str">
        <f>IF('Supp. Result Entry'!AK178="","",'Supp. Result Entry'!AK178)</f>
        <v/>
      </c>
      <c r="IK179" s="213" t="str">
        <f>IF('Supp. Result Entry'!W178="","",'Supp. Result Entry'!W178)</f>
        <v/>
      </c>
      <c r="IL179" s="213" t="str">
        <f>IF('Supp. Result Entry'!Z178="","",'Supp. Result Entry'!Z178)</f>
        <v/>
      </c>
      <c r="IM179" s="213" t="str">
        <f>IF('Supp. Result Entry'!AC178="","",'Supp. Result Entry'!AC178)</f>
        <v/>
      </c>
      <c r="IN179" s="213" t="str">
        <f>IF('Supp. Result Entry'!AF178="","",'Supp. Result Entry'!AF178)</f>
        <v/>
      </c>
      <c r="IO179" s="213" t="str">
        <f>IF('Supp. Result Entry'!AI178="","",'Supp. Result Entry'!AI178)</f>
        <v/>
      </c>
      <c r="IP179" s="213" t="str">
        <f>IF('Supp. Result Entry'!AL178="","",'Supp. Result Entry'!AL178)</f>
        <v/>
      </c>
      <c r="IQ179" s="213">
        <f>COUNTIF('Supp. Result Entry'!K178:Q178,"S")</f>
        <v>0</v>
      </c>
      <c r="IR179" s="213">
        <f t="shared" si="537"/>
        <v>0</v>
      </c>
      <c r="IS179" s="213">
        <f t="shared" si="538"/>
        <v>0</v>
      </c>
      <c r="IT179" s="213" t="str">
        <f t="shared" si="406"/>
        <v/>
      </c>
      <c r="IU179" s="213" t="str">
        <f t="shared" si="407"/>
        <v/>
      </c>
      <c r="IV179" s="213" t="str">
        <f t="shared" si="408"/>
        <v/>
      </c>
      <c r="IW179" s="213" t="str">
        <f t="shared" si="409"/>
        <v/>
      </c>
      <c r="IX179" s="213" t="str">
        <f t="shared" si="410"/>
        <v/>
      </c>
      <c r="IY179" s="213" t="str">
        <f t="shared" si="539"/>
        <v/>
      </c>
      <c r="IZ179" s="213" t="str">
        <f t="shared" si="540"/>
        <v/>
      </c>
      <c r="JA179" s="213" t="str">
        <f t="shared" si="411"/>
        <v/>
      </c>
      <c r="JB179" s="211" t="str">
        <f t="shared" si="541"/>
        <v/>
      </c>
    </row>
    <row r="180" spans="1:262" s="211" customFormat="1" ht="21" customHeight="1">
      <c r="A180" s="184">
        <v>173</v>
      </c>
      <c r="B180" s="185" t="str">
        <f>IF('Marks Entry'!B180="","",'Marks Entry'!B180)</f>
        <v/>
      </c>
      <c r="C180" s="186" t="str">
        <f>IF('Marks Entry'!D180="","",'Marks Entry'!D180)</f>
        <v/>
      </c>
      <c r="D180" s="187" t="str">
        <f>IF('Marks Entry'!E180="","",'Marks Entry'!E180)</f>
        <v/>
      </c>
      <c r="E180" s="188" t="str">
        <f>IF('Marks Entry'!F180="","",'Marks Entry'!F180)</f>
        <v/>
      </c>
      <c r="F180" s="188" t="str">
        <f>IF('Marks Entry'!G180="","",'Marks Entry'!G180)</f>
        <v/>
      </c>
      <c r="G180" s="188" t="str">
        <f>IF('Marks Entry'!H180="","",'Marks Entry'!H180)</f>
        <v/>
      </c>
      <c r="H180" s="189" t="str">
        <f>IF('Marks Entry'!I180="","",'Marks Entry'!I180)</f>
        <v/>
      </c>
      <c r="I180" s="190" t="str">
        <f>IF('Marks Entry'!J180="","",'Marks Entry'!J180)</f>
        <v/>
      </c>
      <c r="J180" s="545" t="str">
        <f>IF('Marks Entry'!K180="","",'Marks Entry'!K180)</f>
        <v/>
      </c>
      <c r="K180" s="545" t="str">
        <f>IF('Marks Entry'!L180="","",'Marks Entry'!L180)</f>
        <v/>
      </c>
      <c r="L180" s="545" t="str">
        <f>IF('Marks Entry'!M180="","",'Marks Entry'!M180)</f>
        <v/>
      </c>
      <c r="M180" s="546" t="str">
        <f t="shared" si="412"/>
        <v/>
      </c>
      <c r="N180" s="545" t="str">
        <f>IF('Marks Entry'!N180="","",'Marks Entry'!N180)</f>
        <v/>
      </c>
      <c r="O180" s="546" t="str">
        <f t="shared" si="413"/>
        <v/>
      </c>
      <c r="P180" s="545" t="str">
        <f>IF('Marks Entry'!O180="","",'Marks Entry'!O180)</f>
        <v/>
      </c>
      <c r="Q180" s="547" t="str">
        <f t="shared" si="414"/>
        <v/>
      </c>
      <c r="R180" s="153">
        <f t="shared" si="415"/>
        <v>0</v>
      </c>
      <c r="S180" s="153">
        <f t="shared" si="416"/>
        <v>0</v>
      </c>
      <c r="T180" s="154" t="str">
        <f t="shared" si="417"/>
        <v/>
      </c>
      <c r="U180" s="153" t="str">
        <f t="shared" si="418"/>
        <v/>
      </c>
      <c r="V180" s="153" t="str">
        <f t="shared" si="419"/>
        <v/>
      </c>
      <c r="W180" s="153" t="str">
        <f t="shared" si="420"/>
        <v/>
      </c>
      <c r="X180" s="545" t="str">
        <f>IF('Marks Entry'!P180="","",'Marks Entry'!P180)</f>
        <v/>
      </c>
      <c r="Y180" s="545" t="str">
        <f>IF('Marks Entry'!Q180="","",'Marks Entry'!Q180)</f>
        <v/>
      </c>
      <c r="Z180" s="545" t="str">
        <f>IF('Marks Entry'!R180="","",'Marks Entry'!R180)</f>
        <v/>
      </c>
      <c r="AA180" s="546" t="str">
        <f t="shared" si="421"/>
        <v/>
      </c>
      <c r="AB180" s="545" t="str">
        <f>IF('Marks Entry'!S180="","",'Marks Entry'!S180)</f>
        <v/>
      </c>
      <c r="AC180" s="546" t="str">
        <f t="shared" si="422"/>
        <v/>
      </c>
      <c r="AD180" s="545" t="str">
        <f>IF('Marks Entry'!T180="","",'Marks Entry'!T180)</f>
        <v/>
      </c>
      <c r="AE180" s="547" t="str">
        <f t="shared" si="423"/>
        <v/>
      </c>
      <c r="AF180" s="153">
        <f t="shared" si="424"/>
        <v>0</v>
      </c>
      <c r="AG180" s="153">
        <f t="shared" si="425"/>
        <v>0</v>
      </c>
      <c r="AH180" s="154" t="str">
        <f t="shared" si="426"/>
        <v/>
      </c>
      <c r="AI180" s="153" t="str">
        <f t="shared" si="427"/>
        <v/>
      </c>
      <c r="AJ180" s="153" t="str">
        <f t="shared" si="428"/>
        <v/>
      </c>
      <c r="AK180" s="153" t="str">
        <f t="shared" si="429"/>
        <v/>
      </c>
      <c r="AL180" s="573" t="str">
        <f>IF('Marks Entry'!U180="","",'Marks Entry'!U180)</f>
        <v/>
      </c>
      <c r="AM180" s="573" t="str">
        <f>IF('Marks Entry'!V180="","",'Marks Entry'!V180)</f>
        <v/>
      </c>
      <c r="AN180" s="573" t="str">
        <f>IF('Marks Entry'!W180="","",'Marks Entry'!W180)</f>
        <v/>
      </c>
      <c r="AO180" s="573" t="str">
        <f>IF('Marks Entry'!X180="","",'Marks Entry'!X180)</f>
        <v/>
      </c>
      <c r="AP180" s="572" t="str">
        <f t="shared" si="430"/>
        <v/>
      </c>
      <c r="AQ180" s="573" t="str">
        <f>IF('Marks Entry'!Y180="","",'Marks Entry'!Y180)</f>
        <v/>
      </c>
      <c r="AR180" s="573" t="str">
        <f>IF('Marks Entry'!Z180="","",'Marks Entry'!Z180)</f>
        <v/>
      </c>
      <c r="AS180" s="572" t="str">
        <f t="shared" si="431"/>
        <v/>
      </c>
      <c r="AT180" s="572" t="str">
        <f t="shared" si="432"/>
        <v/>
      </c>
      <c r="AU180" s="573" t="str">
        <f>IF('Marks Entry'!AA180="","",'Marks Entry'!AA180)</f>
        <v/>
      </c>
      <c r="AV180" s="573" t="str">
        <f>IF('Marks Entry'!AB180="","",'Marks Entry'!AB180)</f>
        <v/>
      </c>
      <c r="AW180" s="572" t="str">
        <f t="shared" si="433"/>
        <v/>
      </c>
      <c r="AX180" s="157" t="str">
        <f t="shared" si="434"/>
        <v/>
      </c>
      <c r="AY180" s="157" t="str">
        <f t="shared" si="435"/>
        <v/>
      </c>
      <c r="AZ180" s="192" t="str">
        <f t="shared" si="436"/>
        <v/>
      </c>
      <c r="BA180" s="153">
        <f t="shared" si="437"/>
        <v>0</v>
      </c>
      <c r="BB180" s="154">
        <f t="shared" si="438"/>
        <v>0</v>
      </c>
      <c r="BC180" s="154" t="str">
        <f t="shared" si="439"/>
        <v/>
      </c>
      <c r="BD180" s="154" t="str">
        <f t="shared" si="440"/>
        <v/>
      </c>
      <c r="BE180" s="154" t="str">
        <f t="shared" si="441"/>
        <v/>
      </c>
      <c r="BF180" s="153" t="str">
        <f t="shared" si="442"/>
        <v/>
      </c>
      <c r="BG180" s="154" t="str">
        <f t="shared" si="443"/>
        <v/>
      </c>
      <c r="BH180" s="153" t="str">
        <f t="shared" si="444"/>
        <v/>
      </c>
      <c r="BI180" s="580" t="str">
        <f>IF('Marks Entry'!AC180="","",'Marks Entry'!AC180)</f>
        <v/>
      </c>
      <c r="BJ180" s="580" t="str">
        <f>IF('Marks Entry'!AD180="","",'Marks Entry'!AD180)</f>
        <v/>
      </c>
      <c r="BK180" s="580" t="str">
        <f>IF('Marks Entry'!AE180="","",'Marks Entry'!AE180)</f>
        <v/>
      </c>
      <c r="BL180" s="580" t="str">
        <f>IF('Marks Entry'!AF180="","",'Marks Entry'!AF180)</f>
        <v/>
      </c>
      <c r="BM180" s="581" t="str">
        <f t="shared" si="445"/>
        <v/>
      </c>
      <c r="BN180" s="580" t="str">
        <f>IF('Marks Entry'!AG180="","",'Marks Entry'!AG180)</f>
        <v/>
      </c>
      <c r="BO180" s="580" t="str">
        <f>IF('Marks Entry'!AH180="","",'Marks Entry'!AH180)</f>
        <v/>
      </c>
      <c r="BP180" s="581" t="str">
        <f t="shared" si="446"/>
        <v/>
      </c>
      <c r="BQ180" s="581" t="str">
        <f t="shared" si="447"/>
        <v/>
      </c>
      <c r="BR180" s="580" t="str">
        <f>IF('Marks Entry'!AI180="","",'Marks Entry'!AI180)</f>
        <v/>
      </c>
      <c r="BS180" s="580" t="str">
        <f>IF('Marks Entry'!AJ180="","",'Marks Entry'!AJ180)</f>
        <v/>
      </c>
      <c r="BT180" s="581" t="str">
        <f t="shared" si="448"/>
        <v/>
      </c>
      <c r="BU180" s="157" t="str">
        <f t="shared" si="449"/>
        <v/>
      </c>
      <c r="BV180" s="157" t="str">
        <f t="shared" si="450"/>
        <v/>
      </c>
      <c r="BW180" s="192" t="str">
        <f t="shared" si="451"/>
        <v/>
      </c>
      <c r="BX180" s="153">
        <f t="shared" si="452"/>
        <v>0</v>
      </c>
      <c r="BY180" s="154">
        <f t="shared" si="453"/>
        <v>0</v>
      </c>
      <c r="BZ180" s="154" t="str">
        <f t="shared" si="454"/>
        <v/>
      </c>
      <c r="CA180" s="154" t="str">
        <f t="shared" si="455"/>
        <v/>
      </c>
      <c r="CB180" s="154" t="str">
        <f t="shared" si="456"/>
        <v/>
      </c>
      <c r="CC180" s="153" t="str">
        <f t="shared" si="457"/>
        <v/>
      </c>
      <c r="CD180" s="154" t="str">
        <f t="shared" si="458"/>
        <v/>
      </c>
      <c r="CE180" s="153" t="str">
        <f t="shared" si="459"/>
        <v/>
      </c>
      <c r="CF180" s="580" t="str">
        <f>IF('Marks Entry'!AK180="","",'Marks Entry'!AK180)</f>
        <v/>
      </c>
      <c r="CG180" s="580" t="str">
        <f>IF('Marks Entry'!AL180="","",'Marks Entry'!AL180)</f>
        <v/>
      </c>
      <c r="CH180" s="580" t="str">
        <f>IF('Marks Entry'!AM180="","",'Marks Entry'!AM180)</f>
        <v/>
      </c>
      <c r="CI180" s="580" t="str">
        <f>IF('Marks Entry'!AN180="","",'Marks Entry'!AN180)</f>
        <v/>
      </c>
      <c r="CJ180" s="581" t="str">
        <f t="shared" si="460"/>
        <v/>
      </c>
      <c r="CK180" s="580" t="str">
        <f>IF('Marks Entry'!AO180="","",'Marks Entry'!AO180)</f>
        <v/>
      </c>
      <c r="CL180" s="580" t="str">
        <f>IF('Marks Entry'!AP180="","",'Marks Entry'!AP180)</f>
        <v/>
      </c>
      <c r="CM180" s="581" t="str">
        <f t="shared" si="461"/>
        <v/>
      </c>
      <c r="CN180" s="581" t="str">
        <f t="shared" si="462"/>
        <v/>
      </c>
      <c r="CO180" s="580" t="str">
        <f>IF('Marks Entry'!AQ180="","",'Marks Entry'!AQ180)</f>
        <v/>
      </c>
      <c r="CP180" s="580" t="str">
        <f>IF('Marks Entry'!AR180="","",'Marks Entry'!AR180)</f>
        <v/>
      </c>
      <c r="CQ180" s="581" t="str">
        <f t="shared" si="463"/>
        <v/>
      </c>
      <c r="CR180" s="157" t="str">
        <f t="shared" si="464"/>
        <v/>
      </c>
      <c r="CS180" s="157" t="str">
        <f t="shared" si="465"/>
        <v/>
      </c>
      <c r="CT180" s="192" t="str">
        <f t="shared" si="466"/>
        <v/>
      </c>
      <c r="CU180" s="153">
        <f t="shared" si="467"/>
        <v>0</v>
      </c>
      <c r="CV180" s="154">
        <f t="shared" si="468"/>
        <v>0</v>
      </c>
      <c r="CW180" s="154" t="str">
        <f t="shared" si="469"/>
        <v/>
      </c>
      <c r="CX180" s="154" t="str">
        <f t="shared" si="470"/>
        <v/>
      </c>
      <c r="CY180" s="154" t="str">
        <f t="shared" si="471"/>
        <v/>
      </c>
      <c r="CZ180" s="153" t="str">
        <f t="shared" si="472"/>
        <v/>
      </c>
      <c r="DA180" s="154" t="str">
        <f t="shared" si="473"/>
        <v/>
      </c>
      <c r="DB180" s="153" t="str">
        <f t="shared" si="474"/>
        <v/>
      </c>
      <c r="DC180" s="154">
        <f t="shared" si="475"/>
        <v>0</v>
      </c>
      <c r="DD180" s="826" t="str">
        <f>IF('Marks Entry'!AS180="","",IF(OR('Master Sheet'!$D$19="YES",'Marks Entry'!$BA$1=1),'Marks Entry'!AS180,""))</f>
        <v/>
      </c>
      <c r="DE180" s="826" t="str">
        <f>IF('Marks Entry'!AT180="","",IF(OR('Master Sheet'!$D$19="YES",'Marks Entry'!$BA$1=1),'Marks Entry'!AT180,""))</f>
        <v/>
      </c>
      <c r="DF180" s="826" t="str">
        <f>IF('Marks Entry'!AU180="","",IF(OR('Master Sheet'!$D$19="YES",'Marks Entry'!$BA$1=1),'Marks Entry'!AU180,""))</f>
        <v/>
      </c>
      <c r="DG180" s="826" t="str">
        <f>IF('Marks Entry'!AV180="","",IF(OR('Master Sheet'!$D$19="YES",'Marks Entry'!$BA$1=1),'Marks Entry'!AV180,""))</f>
        <v/>
      </c>
      <c r="DH180" s="827" t="str">
        <f t="shared" si="476"/>
        <v/>
      </c>
      <c r="DI180" s="826" t="str">
        <f>IF('Marks Entry'!AW180="","",IF(OR('Master Sheet'!$D$19="YES",'Marks Entry'!$BA$1=1),'Marks Entry'!AW180,""))</f>
        <v/>
      </c>
      <c r="DJ180" s="826" t="str">
        <f>IF('Marks Entry'!AX180="","",IF(OR('Master Sheet'!$D$19="YES",'Marks Entry'!$BA$1=1),'Marks Entry'!AX180,""))</f>
        <v/>
      </c>
      <c r="DK180" s="827" t="str">
        <f t="shared" si="477"/>
        <v/>
      </c>
      <c r="DL180" s="827" t="str">
        <f t="shared" si="478"/>
        <v/>
      </c>
      <c r="DM180" s="826" t="str">
        <f>IF('Marks Entry'!AY180="","",IF(OR('Master Sheet'!$D$19="YES",'Marks Entry'!$BA$1=1),'Marks Entry'!AY180,""))</f>
        <v/>
      </c>
      <c r="DN180" s="826" t="str">
        <f>IF('Marks Entry'!AZ180="","",IF(OR('Master Sheet'!$D$19="YES",'Marks Entry'!$BA$1=1),'Marks Entry'!AZ180,""))</f>
        <v/>
      </c>
      <c r="DO180" s="826" t="str">
        <f>IF('Marks Entry'!BA180="","",IF(OR('Master Sheet'!$D$19="YES",'Marks Entry'!$BA$1=1),'Marks Entry'!BA180,""))</f>
        <v/>
      </c>
      <c r="DP180" s="827" t="str">
        <f t="shared" si="479"/>
        <v/>
      </c>
      <c r="DQ180" s="157" t="str">
        <f t="shared" si="480"/>
        <v/>
      </c>
      <c r="DR180" s="157" t="str">
        <f t="shared" si="481"/>
        <v/>
      </c>
      <c r="DS180" s="157" t="str">
        <f t="shared" si="482"/>
        <v/>
      </c>
      <c r="DT180" s="192" t="str">
        <f t="shared" si="483"/>
        <v/>
      </c>
      <c r="DU180" s="153">
        <f t="shared" si="484"/>
        <v>0</v>
      </c>
      <c r="DV180" s="154" t="e">
        <f t="shared" si="485"/>
        <v>#VALUE!</v>
      </c>
      <c r="DW180" s="154" t="str">
        <f t="shared" si="486"/>
        <v/>
      </c>
      <c r="DX180" s="154" t="str">
        <f>IF(OR($B180="NSO",$B180=0,DS180=""),"",IF(AND(DJ180="",DO180=""),"",IF('Master Sheet'!$D$19="YES",$DO$6-COUNTIF(DO180,"ML")*DO$6,DS$6-(COUNTIF(DJ180,"ML")*DJ$6)-(COUNTIF(DO180,"ML")*DO$6))))</f>
        <v/>
      </c>
      <c r="DY180" s="154" t="str">
        <f>IF(OR($B180="NSO",$B180=0),"",IF(AND(DH180="",DI180="",DM180=""),"",IF(AND('Master Sheet'!$D$19="YES",'Marks Entry'!$BA$1=1),100,IF(AND(DJ180="",DO180=""),SUM(($DQ$7+$DR$7)-(DU180+DV180)),SUM(($DQ$6+$DR$6)-(DU180+DV180))))))</f>
        <v/>
      </c>
      <c r="DZ180" s="153" t="str">
        <f t="shared" si="487"/>
        <v/>
      </c>
      <c r="EA180" s="154" t="str">
        <f t="shared" si="488"/>
        <v/>
      </c>
      <c r="EB180" s="153" t="str">
        <f t="shared" si="489"/>
        <v/>
      </c>
      <c r="EC180" s="584" t="str">
        <f>IF('Marks Entry'!BB180="","",'Marks Entry'!BB180)</f>
        <v/>
      </c>
      <c r="ED180" s="584" t="str">
        <f>IF('Marks Entry'!BC180="","",'Marks Entry'!BC180)</f>
        <v/>
      </c>
      <c r="EE180" s="584" t="str">
        <f>IF('Marks Entry'!BD180="","",'Marks Entry'!BD180)</f>
        <v/>
      </c>
      <c r="EF180" s="590" t="str">
        <f t="shared" si="490"/>
        <v/>
      </c>
      <c r="EG180" s="595">
        <f t="shared" si="491"/>
        <v>0</v>
      </c>
      <c r="EH180" s="595">
        <f t="shared" si="492"/>
        <v>0</v>
      </c>
      <c r="EI180" s="193" t="str">
        <f t="shared" si="493"/>
        <v/>
      </c>
      <c r="EJ180" s="595" t="str">
        <f t="shared" si="494"/>
        <v/>
      </c>
      <c r="EK180" s="595" t="str">
        <f t="shared" si="495"/>
        <v/>
      </c>
      <c r="EL180" s="194" t="str">
        <f t="shared" si="496"/>
        <v/>
      </c>
      <c r="EM180" s="194" t="str">
        <f t="shared" si="497"/>
        <v/>
      </c>
      <c r="EN180" s="194" t="str">
        <f t="shared" si="498"/>
        <v/>
      </c>
      <c r="EO180" s="194" t="str">
        <f t="shared" si="499"/>
        <v/>
      </c>
      <c r="EP180" s="194" t="str">
        <f t="shared" si="500"/>
        <v/>
      </c>
      <c r="EQ180" s="194" t="str">
        <f t="shared" si="501"/>
        <v/>
      </c>
      <c r="ER180" s="195">
        <f t="shared" si="502"/>
        <v>0</v>
      </c>
      <c r="ES180" s="195">
        <f t="shared" si="503"/>
        <v>0</v>
      </c>
      <c r="ET180" s="195">
        <f t="shared" si="504"/>
        <v>0</v>
      </c>
      <c r="EU180" s="195">
        <f t="shared" si="505"/>
        <v>0</v>
      </c>
      <c r="EV180" s="195">
        <f t="shared" si="506"/>
        <v>0</v>
      </c>
      <c r="EW180" s="195" t="str">
        <f t="shared" si="507"/>
        <v/>
      </c>
      <c r="EX180" s="196" t="str">
        <f t="shared" si="508"/>
        <v/>
      </c>
      <c r="EY180" s="197" t="str">
        <f>IF('Marks Entry'!BE180="","",'Marks Entry'!BE180)</f>
        <v/>
      </c>
      <c r="EZ180" s="197" t="str">
        <f>IF('Marks Entry'!BF180="","",'Marks Entry'!BF180)</f>
        <v/>
      </c>
      <c r="FA180" s="197" t="str">
        <f>IF('Marks Entry'!BG180="","",'Marks Entry'!BG180)</f>
        <v/>
      </c>
      <c r="FB180" s="596" t="str">
        <f t="shared" si="509"/>
        <v/>
      </c>
      <c r="FC180" s="197" t="str">
        <f>IF('Marks Entry'!BH180="","",'Marks Entry'!BH180)</f>
        <v/>
      </c>
      <c r="FD180" s="197" t="str">
        <f>IF('Marks Entry'!BI180="","",'Marks Entry'!BI180)</f>
        <v/>
      </c>
      <c r="FE180" s="198" t="str">
        <f t="shared" si="510"/>
        <v/>
      </c>
      <c r="FF180" s="199" t="str">
        <f t="shared" si="511"/>
        <v/>
      </c>
      <c r="FG180" s="200" t="str">
        <f>IF(AND(E180=""),"",IF('Student DATA Entry'!L176="","",'Student DATA Entry'!L176))</f>
        <v/>
      </c>
      <c r="FH180" s="201" t="str">
        <f>IF(AND(E180=""),"",IF('Student DATA Entry'!M176="","",'Student DATA Entry'!M176))</f>
        <v/>
      </c>
      <c r="FI180" s="202" t="str">
        <f t="shared" si="512"/>
        <v/>
      </c>
      <c r="FJ180" s="189" t="str">
        <f t="shared" si="513"/>
        <v/>
      </c>
      <c r="FK180" s="189" t="str">
        <f t="shared" si="514"/>
        <v/>
      </c>
      <c r="FL180" s="203" t="str">
        <f t="shared" si="542"/>
        <v/>
      </c>
      <c r="FM180" s="189" t="str">
        <f t="shared" si="515"/>
        <v/>
      </c>
      <c r="FN180" s="204" t="str">
        <f t="shared" si="516"/>
        <v/>
      </c>
      <c r="FO180" s="203" t="str">
        <f t="shared" si="543"/>
        <v/>
      </c>
      <c r="FP180" s="205" t="str">
        <f t="shared" si="517"/>
        <v/>
      </c>
      <c r="FQ180" s="189" t="str">
        <f t="shared" si="544"/>
        <v/>
      </c>
      <c r="FR180" s="189" t="str">
        <f t="shared" si="545"/>
        <v/>
      </c>
      <c r="FS180" s="189" t="str">
        <f t="shared" si="546"/>
        <v/>
      </c>
      <c r="FT180" s="189" t="str">
        <f t="shared" si="547"/>
        <v/>
      </c>
      <c r="FU180" s="189" t="str">
        <f t="shared" si="518"/>
        <v/>
      </c>
      <c r="FV180" s="206" t="str">
        <f t="shared" si="548"/>
        <v/>
      </c>
      <c r="FW180" s="205" t="str">
        <f t="shared" si="519"/>
        <v/>
      </c>
      <c r="FX180" s="189" t="str">
        <f t="shared" si="549"/>
        <v/>
      </c>
      <c r="FY180" s="189" t="str">
        <f t="shared" si="550"/>
        <v/>
      </c>
      <c r="FZ180" s="189" t="str">
        <f t="shared" si="551"/>
        <v/>
      </c>
      <c r="GA180" s="189" t="str">
        <f t="shared" si="552"/>
        <v/>
      </c>
      <c r="GB180" s="189" t="str">
        <f t="shared" si="520"/>
        <v/>
      </c>
      <c r="GC180" s="206" t="str">
        <f t="shared" si="553"/>
        <v/>
      </c>
      <c r="GD180" s="205" t="str">
        <f t="shared" si="521"/>
        <v/>
      </c>
      <c r="GE180" s="189" t="str">
        <f t="shared" si="554"/>
        <v/>
      </c>
      <c r="GF180" s="189" t="str">
        <f t="shared" si="555"/>
        <v/>
      </c>
      <c r="GG180" s="189" t="str">
        <f t="shared" si="556"/>
        <v/>
      </c>
      <c r="GH180" s="189" t="str">
        <f t="shared" si="557"/>
        <v/>
      </c>
      <c r="GI180" s="189" t="str">
        <f t="shared" si="522"/>
        <v/>
      </c>
      <c r="GJ180" s="206" t="str">
        <f t="shared" si="558"/>
        <v/>
      </c>
      <c r="GK180" s="205" t="str">
        <f t="shared" si="523"/>
        <v/>
      </c>
      <c r="GL180" s="189" t="str">
        <f t="shared" si="559"/>
        <v/>
      </c>
      <c r="GM180" s="189" t="str">
        <f t="shared" si="560"/>
        <v/>
      </c>
      <c r="GN180" s="189" t="str">
        <f t="shared" si="561"/>
        <v/>
      </c>
      <c r="GO180" s="189" t="str">
        <f t="shared" si="562"/>
        <v/>
      </c>
      <c r="GP180" s="189" t="str">
        <f t="shared" si="524"/>
        <v/>
      </c>
      <c r="GQ180" s="206" t="str">
        <f t="shared" si="563"/>
        <v/>
      </c>
      <c r="GR180" s="189" t="str">
        <f t="shared" si="525"/>
        <v/>
      </c>
      <c r="GS180" s="189" t="str">
        <f t="shared" si="526"/>
        <v/>
      </c>
      <c r="GT180" s="207" t="str">
        <f t="shared" si="527"/>
        <v xml:space="preserve">    </v>
      </c>
      <c r="GU180" s="207" t="str">
        <f t="shared" si="528"/>
        <v xml:space="preserve">    </v>
      </c>
      <c r="GV180" s="207" t="str">
        <f t="shared" si="529"/>
        <v xml:space="preserve">    </v>
      </c>
      <c r="GW180" s="207" t="str">
        <f t="shared" si="530"/>
        <v xml:space="preserve">       </v>
      </c>
      <c r="GX180" s="598" t="str">
        <f t="shared" si="531"/>
        <v xml:space="preserve">     </v>
      </c>
      <c r="GY180" s="208" t="str">
        <f t="shared" si="564"/>
        <v/>
      </c>
      <c r="GZ180" s="606" t="str">
        <f>IF(AND(Q180="",AE180="",AZ180="",BW180="",CT180=""),"",IF(AND('Master Sheet'!$D$19="YES",'Marks Entry'!$BA$1=1),SUM(Q180,AE180,AZ180,BW180,DT180),SUM(Q180,AE180,AZ180,BW180,CT180)))</f>
        <v/>
      </c>
      <c r="HA180" s="209" t="str">
        <f>IF(GZ180="","",IF(AND('Master Sheet'!$D$19="YES",'Marks Entry'!$BA$1=1),GZ180/((900)-DC180)*100,GZ180/((1000)-DC180)*100))</f>
        <v/>
      </c>
      <c r="HB180" s="611" t="str">
        <f t="shared" si="532"/>
        <v/>
      </c>
      <c r="HC180" s="609" t="str">
        <f t="shared" si="533"/>
        <v/>
      </c>
      <c r="HD180" s="610" t="str">
        <f t="shared" si="534"/>
        <v/>
      </c>
      <c r="HE180" s="210" t="str">
        <f>IFERROR(IF(OR(GY180="SUPPLEMENTARY",GY180="RE-EXAM"),'Supp. Result Entry'!AS179,""),"")</f>
        <v/>
      </c>
      <c r="HF180" s="613" t="str">
        <f t="shared" si="535"/>
        <v/>
      </c>
      <c r="HG180" s="598" t="str">
        <f t="shared" si="536"/>
        <v/>
      </c>
      <c r="HH180" s="598" t="str">
        <f>IF(AND(HE180="",HF180="",HG180=""),"",IF(OR(GY180="SUPPLEMENTARY",GY180="RE-EXAM"),'Supp. Result Entry'!AS179,GY180))</f>
        <v/>
      </c>
      <c r="HI180" s="180"/>
      <c r="HY180" s="212" t="str">
        <f>IF('Supp. Result Entry'!U179="","",'Supp. Result Entry'!$U$6)</f>
        <v/>
      </c>
      <c r="HZ180" s="213" t="str">
        <f>IF('Supp. Result Entry'!X179="","",'Supp. Result Entry'!$X$6)</f>
        <v/>
      </c>
      <c r="IA180" s="213" t="str">
        <f>IF('Supp. Result Entry'!AA179="","",'Supp. Result Entry'!$AA$6)</f>
        <v/>
      </c>
      <c r="IB180" s="213" t="str">
        <f>IF('Supp. Result Entry'!AD179="","",'Supp. Result Entry'!$AD$6)</f>
        <v/>
      </c>
      <c r="IC180" s="213" t="str">
        <f>IF('Supp. Result Entry'!AG179="","",'Supp. Result Entry'!$AG$6)</f>
        <v/>
      </c>
      <c r="ID180" s="213" t="str">
        <f>IF('Supp. Result Entry'!AJ179="","",'Supp. Result Entry'!$AJ$6)</f>
        <v/>
      </c>
      <c r="IE180" s="213" t="str">
        <f>IF('Supp. Result Entry'!V179="","",'Supp. Result Entry'!V179)</f>
        <v/>
      </c>
      <c r="IF180" s="213" t="str">
        <f>IF('Supp. Result Entry'!Y179="","",'Supp. Result Entry'!Y179)</f>
        <v/>
      </c>
      <c r="IG180" s="213" t="str">
        <f>IF('Supp. Result Entry'!AB179="","",'Supp. Result Entry'!AB179)</f>
        <v/>
      </c>
      <c r="IH180" s="213" t="str">
        <f>IF('Supp. Result Entry'!AE179="","",'Supp. Result Entry'!AE179)</f>
        <v/>
      </c>
      <c r="II180" s="213" t="str">
        <f>IF('Supp. Result Entry'!AH179="","",'Supp. Result Entry'!AH179)</f>
        <v/>
      </c>
      <c r="IJ180" s="213" t="str">
        <f>IF('Supp. Result Entry'!AK179="","",'Supp. Result Entry'!AK179)</f>
        <v/>
      </c>
      <c r="IK180" s="213" t="str">
        <f>IF('Supp. Result Entry'!W179="","",'Supp. Result Entry'!W179)</f>
        <v/>
      </c>
      <c r="IL180" s="213" t="str">
        <f>IF('Supp. Result Entry'!Z179="","",'Supp. Result Entry'!Z179)</f>
        <v/>
      </c>
      <c r="IM180" s="213" t="str">
        <f>IF('Supp. Result Entry'!AC179="","",'Supp. Result Entry'!AC179)</f>
        <v/>
      </c>
      <c r="IN180" s="213" t="str">
        <f>IF('Supp. Result Entry'!AF179="","",'Supp. Result Entry'!AF179)</f>
        <v/>
      </c>
      <c r="IO180" s="213" t="str">
        <f>IF('Supp. Result Entry'!AI179="","",'Supp. Result Entry'!AI179)</f>
        <v/>
      </c>
      <c r="IP180" s="213" t="str">
        <f>IF('Supp. Result Entry'!AL179="","",'Supp. Result Entry'!AL179)</f>
        <v/>
      </c>
      <c r="IQ180" s="213">
        <f>COUNTIF('Supp. Result Entry'!K179:Q179,"S")</f>
        <v>0</v>
      </c>
      <c r="IR180" s="213">
        <f t="shared" si="537"/>
        <v>0</v>
      </c>
      <c r="IS180" s="213">
        <f t="shared" si="538"/>
        <v>0</v>
      </c>
      <c r="IT180" s="213" t="str">
        <f t="shared" si="406"/>
        <v/>
      </c>
      <c r="IU180" s="213" t="str">
        <f t="shared" si="407"/>
        <v/>
      </c>
      <c r="IV180" s="213" t="str">
        <f t="shared" si="408"/>
        <v/>
      </c>
      <c r="IW180" s="213" t="str">
        <f t="shared" si="409"/>
        <v/>
      </c>
      <c r="IX180" s="213" t="str">
        <f t="shared" si="410"/>
        <v/>
      </c>
      <c r="IY180" s="213" t="str">
        <f t="shared" si="539"/>
        <v/>
      </c>
      <c r="IZ180" s="213" t="str">
        <f t="shared" si="540"/>
        <v/>
      </c>
      <c r="JA180" s="213" t="str">
        <f t="shared" si="411"/>
        <v/>
      </c>
      <c r="JB180" s="211" t="str">
        <f t="shared" si="541"/>
        <v/>
      </c>
    </row>
    <row r="181" spans="1:262" s="211" customFormat="1" ht="21" customHeight="1">
      <c r="A181" s="184">
        <v>174</v>
      </c>
      <c r="B181" s="185" t="str">
        <f>IF('Marks Entry'!B181="","",'Marks Entry'!B181)</f>
        <v/>
      </c>
      <c r="C181" s="186" t="str">
        <f>IF('Marks Entry'!D181="","",'Marks Entry'!D181)</f>
        <v/>
      </c>
      <c r="D181" s="187" t="str">
        <f>IF('Marks Entry'!E181="","",'Marks Entry'!E181)</f>
        <v/>
      </c>
      <c r="E181" s="188" t="str">
        <f>IF('Marks Entry'!F181="","",'Marks Entry'!F181)</f>
        <v/>
      </c>
      <c r="F181" s="188" t="str">
        <f>IF('Marks Entry'!G181="","",'Marks Entry'!G181)</f>
        <v/>
      </c>
      <c r="G181" s="188" t="str">
        <f>IF('Marks Entry'!H181="","",'Marks Entry'!H181)</f>
        <v/>
      </c>
      <c r="H181" s="189" t="str">
        <f>IF('Marks Entry'!I181="","",'Marks Entry'!I181)</f>
        <v/>
      </c>
      <c r="I181" s="190" t="str">
        <f>IF('Marks Entry'!J181="","",'Marks Entry'!J181)</f>
        <v/>
      </c>
      <c r="J181" s="545" t="str">
        <f>IF('Marks Entry'!K181="","",'Marks Entry'!K181)</f>
        <v/>
      </c>
      <c r="K181" s="545" t="str">
        <f>IF('Marks Entry'!L181="","",'Marks Entry'!L181)</f>
        <v/>
      </c>
      <c r="L181" s="545" t="str">
        <f>IF('Marks Entry'!M181="","",'Marks Entry'!M181)</f>
        <v/>
      </c>
      <c r="M181" s="546" t="str">
        <f t="shared" si="412"/>
        <v/>
      </c>
      <c r="N181" s="545" t="str">
        <f>IF('Marks Entry'!N181="","",'Marks Entry'!N181)</f>
        <v/>
      </c>
      <c r="O181" s="546" t="str">
        <f t="shared" si="413"/>
        <v/>
      </c>
      <c r="P181" s="545" t="str">
        <f>IF('Marks Entry'!O181="","",'Marks Entry'!O181)</f>
        <v/>
      </c>
      <c r="Q181" s="547" t="str">
        <f t="shared" si="414"/>
        <v/>
      </c>
      <c r="R181" s="153">
        <f t="shared" si="415"/>
        <v>0</v>
      </c>
      <c r="S181" s="153">
        <f t="shared" si="416"/>
        <v>0</v>
      </c>
      <c r="T181" s="154" t="str">
        <f t="shared" si="417"/>
        <v/>
      </c>
      <c r="U181" s="153" t="str">
        <f t="shared" si="418"/>
        <v/>
      </c>
      <c r="V181" s="153" t="str">
        <f t="shared" si="419"/>
        <v/>
      </c>
      <c r="W181" s="153" t="str">
        <f t="shared" si="420"/>
        <v/>
      </c>
      <c r="X181" s="545" t="str">
        <f>IF('Marks Entry'!P181="","",'Marks Entry'!P181)</f>
        <v/>
      </c>
      <c r="Y181" s="545" t="str">
        <f>IF('Marks Entry'!Q181="","",'Marks Entry'!Q181)</f>
        <v/>
      </c>
      <c r="Z181" s="545" t="str">
        <f>IF('Marks Entry'!R181="","",'Marks Entry'!R181)</f>
        <v/>
      </c>
      <c r="AA181" s="546" t="str">
        <f t="shared" si="421"/>
        <v/>
      </c>
      <c r="AB181" s="545" t="str">
        <f>IF('Marks Entry'!S181="","",'Marks Entry'!S181)</f>
        <v/>
      </c>
      <c r="AC181" s="546" t="str">
        <f t="shared" si="422"/>
        <v/>
      </c>
      <c r="AD181" s="545" t="str">
        <f>IF('Marks Entry'!T181="","",'Marks Entry'!T181)</f>
        <v/>
      </c>
      <c r="AE181" s="547" t="str">
        <f t="shared" si="423"/>
        <v/>
      </c>
      <c r="AF181" s="153">
        <f t="shared" si="424"/>
        <v>0</v>
      </c>
      <c r="AG181" s="153">
        <f t="shared" si="425"/>
        <v>0</v>
      </c>
      <c r="AH181" s="154" t="str">
        <f t="shared" si="426"/>
        <v/>
      </c>
      <c r="AI181" s="153" t="str">
        <f t="shared" si="427"/>
        <v/>
      </c>
      <c r="AJ181" s="153" t="str">
        <f t="shared" si="428"/>
        <v/>
      </c>
      <c r="AK181" s="153" t="str">
        <f t="shared" si="429"/>
        <v/>
      </c>
      <c r="AL181" s="573" t="str">
        <f>IF('Marks Entry'!U181="","",'Marks Entry'!U181)</f>
        <v/>
      </c>
      <c r="AM181" s="573" t="str">
        <f>IF('Marks Entry'!V181="","",'Marks Entry'!V181)</f>
        <v/>
      </c>
      <c r="AN181" s="573" t="str">
        <f>IF('Marks Entry'!W181="","",'Marks Entry'!W181)</f>
        <v/>
      </c>
      <c r="AO181" s="573" t="str">
        <f>IF('Marks Entry'!X181="","",'Marks Entry'!X181)</f>
        <v/>
      </c>
      <c r="AP181" s="572" t="str">
        <f t="shared" si="430"/>
        <v/>
      </c>
      <c r="AQ181" s="573" t="str">
        <f>IF('Marks Entry'!Y181="","",'Marks Entry'!Y181)</f>
        <v/>
      </c>
      <c r="AR181" s="573" t="str">
        <f>IF('Marks Entry'!Z181="","",'Marks Entry'!Z181)</f>
        <v/>
      </c>
      <c r="AS181" s="572" t="str">
        <f t="shared" si="431"/>
        <v/>
      </c>
      <c r="AT181" s="572" t="str">
        <f t="shared" si="432"/>
        <v/>
      </c>
      <c r="AU181" s="573" t="str">
        <f>IF('Marks Entry'!AA181="","",'Marks Entry'!AA181)</f>
        <v/>
      </c>
      <c r="AV181" s="573" t="str">
        <f>IF('Marks Entry'!AB181="","",'Marks Entry'!AB181)</f>
        <v/>
      </c>
      <c r="AW181" s="572" t="str">
        <f t="shared" si="433"/>
        <v/>
      </c>
      <c r="AX181" s="157" t="str">
        <f t="shared" si="434"/>
        <v/>
      </c>
      <c r="AY181" s="157" t="str">
        <f t="shared" si="435"/>
        <v/>
      </c>
      <c r="AZ181" s="192" t="str">
        <f t="shared" si="436"/>
        <v/>
      </c>
      <c r="BA181" s="153">
        <f t="shared" si="437"/>
        <v>0</v>
      </c>
      <c r="BB181" s="154">
        <f t="shared" si="438"/>
        <v>0</v>
      </c>
      <c r="BC181" s="154" t="str">
        <f t="shared" si="439"/>
        <v/>
      </c>
      <c r="BD181" s="154" t="str">
        <f t="shared" si="440"/>
        <v/>
      </c>
      <c r="BE181" s="154" t="str">
        <f t="shared" si="441"/>
        <v/>
      </c>
      <c r="BF181" s="153" t="str">
        <f t="shared" si="442"/>
        <v/>
      </c>
      <c r="BG181" s="154" t="str">
        <f t="shared" si="443"/>
        <v/>
      </c>
      <c r="BH181" s="153" t="str">
        <f t="shared" si="444"/>
        <v/>
      </c>
      <c r="BI181" s="580" t="str">
        <f>IF('Marks Entry'!AC181="","",'Marks Entry'!AC181)</f>
        <v/>
      </c>
      <c r="BJ181" s="580" t="str">
        <f>IF('Marks Entry'!AD181="","",'Marks Entry'!AD181)</f>
        <v/>
      </c>
      <c r="BK181" s="580" t="str">
        <f>IF('Marks Entry'!AE181="","",'Marks Entry'!AE181)</f>
        <v/>
      </c>
      <c r="BL181" s="580" t="str">
        <f>IF('Marks Entry'!AF181="","",'Marks Entry'!AF181)</f>
        <v/>
      </c>
      <c r="BM181" s="581" t="str">
        <f t="shared" si="445"/>
        <v/>
      </c>
      <c r="BN181" s="580" t="str">
        <f>IF('Marks Entry'!AG181="","",'Marks Entry'!AG181)</f>
        <v/>
      </c>
      <c r="BO181" s="580" t="str">
        <f>IF('Marks Entry'!AH181="","",'Marks Entry'!AH181)</f>
        <v/>
      </c>
      <c r="BP181" s="581" t="str">
        <f t="shared" si="446"/>
        <v/>
      </c>
      <c r="BQ181" s="581" t="str">
        <f t="shared" si="447"/>
        <v/>
      </c>
      <c r="BR181" s="580" t="str">
        <f>IF('Marks Entry'!AI181="","",'Marks Entry'!AI181)</f>
        <v/>
      </c>
      <c r="BS181" s="580" t="str">
        <f>IF('Marks Entry'!AJ181="","",'Marks Entry'!AJ181)</f>
        <v/>
      </c>
      <c r="BT181" s="581" t="str">
        <f t="shared" si="448"/>
        <v/>
      </c>
      <c r="BU181" s="157" t="str">
        <f t="shared" si="449"/>
        <v/>
      </c>
      <c r="BV181" s="157" t="str">
        <f t="shared" si="450"/>
        <v/>
      </c>
      <c r="BW181" s="192" t="str">
        <f t="shared" si="451"/>
        <v/>
      </c>
      <c r="BX181" s="153">
        <f t="shared" si="452"/>
        <v>0</v>
      </c>
      <c r="BY181" s="154">
        <f t="shared" si="453"/>
        <v>0</v>
      </c>
      <c r="BZ181" s="154" t="str">
        <f t="shared" si="454"/>
        <v/>
      </c>
      <c r="CA181" s="154" t="str">
        <f t="shared" si="455"/>
        <v/>
      </c>
      <c r="CB181" s="154" t="str">
        <f t="shared" si="456"/>
        <v/>
      </c>
      <c r="CC181" s="153" t="str">
        <f t="shared" si="457"/>
        <v/>
      </c>
      <c r="CD181" s="154" t="str">
        <f t="shared" si="458"/>
        <v/>
      </c>
      <c r="CE181" s="153" t="str">
        <f t="shared" si="459"/>
        <v/>
      </c>
      <c r="CF181" s="580" t="str">
        <f>IF('Marks Entry'!AK181="","",'Marks Entry'!AK181)</f>
        <v/>
      </c>
      <c r="CG181" s="580" t="str">
        <f>IF('Marks Entry'!AL181="","",'Marks Entry'!AL181)</f>
        <v/>
      </c>
      <c r="CH181" s="580" t="str">
        <f>IF('Marks Entry'!AM181="","",'Marks Entry'!AM181)</f>
        <v/>
      </c>
      <c r="CI181" s="580" t="str">
        <f>IF('Marks Entry'!AN181="","",'Marks Entry'!AN181)</f>
        <v/>
      </c>
      <c r="CJ181" s="581" t="str">
        <f t="shared" si="460"/>
        <v/>
      </c>
      <c r="CK181" s="580" t="str">
        <f>IF('Marks Entry'!AO181="","",'Marks Entry'!AO181)</f>
        <v/>
      </c>
      <c r="CL181" s="580" t="str">
        <f>IF('Marks Entry'!AP181="","",'Marks Entry'!AP181)</f>
        <v/>
      </c>
      <c r="CM181" s="581" t="str">
        <f t="shared" si="461"/>
        <v/>
      </c>
      <c r="CN181" s="581" t="str">
        <f t="shared" si="462"/>
        <v/>
      </c>
      <c r="CO181" s="580" t="str">
        <f>IF('Marks Entry'!AQ181="","",'Marks Entry'!AQ181)</f>
        <v/>
      </c>
      <c r="CP181" s="580" t="str">
        <f>IF('Marks Entry'!AR181="","",'Marks Entry'!AR181)</f>
        <v/>
      </c>
      <c r="CQ181" s="581" t="str">
        <f t="shared" si="463"/>
        <v/>
      </c>
      <c r="CR181" s="157" t="str">
        <f t="shared" si="464"/>
        <v/>
      </c>
      <c r="CS181" s="157" t="str">
        <f t="shared" si="465"/>
        <v/>
      </c>
      <c r="CT181" s="192" t="str">
        <f t="shared" si="466"/>
        <v/>
      </c>
      <c r="CU181" s="153">
        <f t="shared" si="467"/>
        <v>0</v>
      </c>
      <c r="CV181" s="154">
        <f t="shared" si="468"/>
        <v>0</v>
      </c>
      <c r="CW181" s="154" t="str">
        <f t="shared" si="469"/>
        <v/>
      </c>
      <c r="CX181" s="154" t="str">
        <f t="shared" si="470"/>
        <v/>
      </c>
      <c r="CY181" s="154" t="str">
        <f t="shared" si="471"/>
        <v/>
      </c>
      <c r="CZ181" s="153" t="str">
        <f t="shared" si="472"/>
        <v/>
      </c>
      <c r="DA181" s="154" t="str">
        <f t="shared" si="473"/>
        <v/>
      </c>
      <c r="DB181" s="153" t="str">
        <f t="shared" si="474"/>
        <v/>
      </c>
      <c r="DC181" s="154">
        <f t="shared" si="475"/>
        <v>0</v>
      </c>
      <c r="DD181" s="826" t="str">
        <f>IF('Marks Entry'!AS181="","",IF(OR('Master Sheet'!$D$19="YES",'Marks Entry'!$BA$1=1),'Marks Entry'!AS181,""))</f>
        <v/>
      </c>
      <c r="DE181" s="826" t="str">
        <f>IF('Marks Entry'!AT181="","",IF(OR('Master Sheet'!$D$19="YES",'Marks Entry'!$BA$1=1),'Marks Entry'!AT181,""))</f>
        <v/>
      </c>
      <c r="DF181" s="826" t="str">
        <f>IF('Marks Entry'!AU181="","",IF(OR('Master Sheet'!$D$19="YES",'Marks Entry'!$BA$1=1),'Marks Entry'!AU181,""))</f>
        <v/>
      </c>
      <c r="DG181" s="826" t="str">
        <f>IF('Marks Entry'!AV181="","",IF(OR('Master Sheet'!$D$19="YES",'Marks Entry'!$BA$1=1),'Marks Entry'!AV181,""))</f>
        <v/>
      </c>
      <c r="DH181" s="827" t="str">
        <f t="shared" si="476"/>
        <v/>
      </c>
      <c r="DI181" s="826" t="str">
        <f>IF('Marks Entry'!AW181="","",IF(OR('Master Sheet'!$D$19="YES",'Marks Entry'!$BA$1=1),'Marks Entry'!AW181,""))</f>
        <v/>
      </c>
      <c r="DJ181" s="826" t="str">
        <f>IF('Marks Entry'!AX181="","",IF(OR('Master Sheet'!$D$19="YES",'Marks Entry'!$BA$1=1),'Marks Entry'!AX181,""))</f>
        <v/>
      </c>
      <c r="DK181" s="827" t="str">
        <f t="shared" si="477"/>
        <v/>
      </c>
      <c r="DL181" s="827" t="str">
        <f t="shared" si="478"/>
        <v/>
      </c>
      <c r="DM181" s="826" t="str">
        <f>IF('Marks Entry'!AY181="","",IF(OR('Master Sheet'!$D$19="YES",'Marks Entry'!$BA$1=1),'Marks Entry'!AY181,""))</f>
        <v/>
      </c>
      <c r="DN181" s="826" t="str">
        <f>IF('Marks Entry'!AZ181="","",IF(OR('Master Sheet'!$D$19="YES",'Marks Entry'!$BA$1=1),'Marks Entry'!AZ181,""))</f>
        <v/>
      </c>
      <c r="DO181" s="826" t="str">
        <f>IF('Marks Entry'!BA181="","",IF(OR('Master Sheet'!$D$19="YES",'Marks Entry'!$BA$1=1),'Marks Entry'!BA181,""))</f>
        <v/>
      </c>
      <c r="DP181" s="827" t="str">
        <f t="shared" si="479"/>
        <v/>
      </c>
      <c r="DQ181" s="157" t="str">
        <f t="shared" si="480"/>
        <v/>
      </c>
      <c r="DR181" s="157" t="str">
        <f t="shared" si="481"/>
        <v/>
      </c>
      <c r="DS181" s="157" t="str">
        <f t="shared" si="482"/>
        <v/>
      </c>
      <c r="DT181" s="192" t="str">
        <f t="shared" si="483"/>
        <v/>
      </c>
      <c r="DU181" s="153">
        <f t="shared" si="484"/>
        <v>0</v>
      </c>
      <c r="DV181" s="154" t="e">
        <f t="shared" si="485"/>
        <v>#VALUE!</v>
      </c>
      <c r="DW181" s="154" t="str">
        <f t="shared" si="486"/>
        <v/>
      </c>
      <c r="DX181" s="154" t="str">
        <f>IF(OR($B181="NSO",$B181=0,DS181=""),"",IF(AND(DJ181="",DO181=""),"",IF('Master Sheet'!$D$19="YES",$DO$6-COUNTIF(DO181,"ML")*DO$6,DS$6-(COUNTIF(DJ181,"ML")*DJ$6)-(COUNTIF(DO181,"ML")*DO$6))))</f>
        <v/>
      </c>
      <c r="DY181" s="154" t="str">
        <f>IF(OR($B181="NSO",$B181=0),"",IF(AND(DH181="",DI181="",DM181=""),"",IF(AND('Master Sheet'!$D$19="YES",'Marks Entry'!$BA$1=1),100,IF(AND(DJ181="",DO181=""),SUM(($DQ$7+$DR$7)-(DU181+DV181)),SUM(($DQ$6+$DR$6)-(DU181+DV181))))))</f>
        <v/>
      </c>
      <c r="DZ181" s="153" t="str">
        <f t="shared" si="487"/>
        <v/>
      </c>
      <c r="EA181" s="154" t="str">
        <f t="shared" si="488"/>
        <v/>
      </c>
      <c r="EB181" s="153" t="str">
        <f t="shared" si="489"/>
        <v/>
      </c>
      <c r="EC181" s="584" t="str">
        <f>IF('Marks Entry'!BB181="","",'Marks Entry'!BB181)</f>
        <v/>
      </c>
      <c r="ED181" s="584" t="str">
        <f>IF('Marks Entry'!BC181="","",'Marks Entry'!BC181)</f>
        <v/>
      </c>
      <c r="EE181" s="584" t="str">
        <f>IF('Marks Entry'!BD181="","",'Marks Entry'!BD181)</f>
        <v/>
      </c>
      <c r="EF181" s="590" t="str">
        <f t="shared" si="490"/>
        <v/>
      </c>
      <c r="EG181" s="595">
        <f t="shared" si="491"/>
        <v>0</v>
      </c>
      <c r="EH181" s="595">
        <f t="shared" si="492"/>
        <v>0</v>
      </c>
      <c r="EI181" s="193" t="str">
        <f t="shared" si="493"/>
        <v/>
      </c>
      <c r="EJ181" s="595" t="str">
        <f t="shared" si="494"/>
        <v/>
      </c>
      <c r="EK181" s="595" t="str">
        <f t="shared" si="495"/>
        <v/>
      </c>
      <c r="EL181" s="194" t="str">
        <f t="shared" si="496"/>
        <v/>
      </c>
      <c r="EM181" s="194" t="str">
        <f t="shared" si="497"/>
        <v/>
      </c>
      <c r="EN181" s="194" t="str">
        <f t="shared" si="498"/>
        <v/>
      </c>
      <c r="EO181" s="194" t="str">
        <f t="shared" si="499"/>
        <v/>
      </c>
      <c r="EP181" s="194" t="str">
        <f t="shared" si="500"/>
        <v/>
      </c>
      <c r="EQ181" s="194" t="str">
        <f t="shared" si="501"/>
        <v/>
      </c>
      <c r="ER181" s="195">
        <f t="shared" si="502"/>
        <v>0</v>
      </c>
      <c r="ES181" s="195">
        <f t="shared" si="503"/>
        <v>0</v>
      </c>
      <c r="ET181" s="195">
        <f t="shared" si="504"/>
        <v>0</v>
      </c>
      <c r="EU181" s="195">
        <f t="shared" si="505"/>
        <v>0</v>
      </c>
      <c r="EV181" s="195">
        <f t="shared" si="506"/>
        <v>0</v>
      </c>
      <c r="EW181" s="195" t="str">
        <f t="shared" si="507"/>
        <v/>
      </c>
      <c r="EX181" s="196" t="str">
        <f t="shared" si="508"/>
        <v/>
      </c>
      <c r="EY181" s="197" t="str">
        <f>IF('Marks Entry'!BE181="","",'Marks Entry'!BE181)</f>
        <v/>
      </c>
      <c r="EZ181" s="197" t="str">
        <f>IF('Marks Entry'!BF181="","",'Marks Entry'!BF181)</f>
        <v/>
      </c>
      <c r="FA181" s="197" t="str">
        <f>IF('Marks Entry'!BG181="","",'Marks Entry'!BG181)</f>
        <v/>
      </c>
      <c r="FB181" s="596" t="str">
        <f t="shared" si="509"/>
        <v/>
      </c>
      <c r="FC181" s="197" t="str">
        <f>IF('Marks Entry'!BH181="","",'Marks Entry'!BH181)</f>
        <v/>
      </c>
      <c r="FD181" s="197" t="str">
        <f>IF('Marks Entry'!BI181="","",'Marks Entry'!BI181)</f>
        <v/>
      </c>
      <c r="FE181" s="198" t="str">
        <f t="shared" si="510"/>
        <v/>
      </c>
      <c r="FF181" s="199" t="str">
        <f t="shared" si="511"/>
        <v/>
      </c>
      <c r="FG181" s="200" t="str">
        <f>IF(AND(E181=""),"",IF('Student DATA Entry'!L177="","",'Student DATA Entry'!L177))</f>
        <v/>
      </c>
      <c r="FH181" s="201" t="str">
        <f>IF(AND(E181=""),"",IF('Student DATA Entry'!M177="","",'Student DATA Entry'!M177))</f>
        <v/>
      </c>
      <c r="FI181" s="202" t="str">
        <f t="shared" si="512"/>
        <v/>
      </c>
      <c r="FJ181" s="189" t="str">
        <f t="shared" si="513"/>
        <v/>
      </c>
      <c r="FK181" s="189" t="str">
        <f t="shared" si="514"/>
        <v/>
      </c>
      <c r="FL181" s="203" t="str">
        <f t="shared" si="542"/>
        <v/>
      </c>
      <c r="FM181" s="189" t="str">
        <f t="shared" si="515"/>
        <v/>
      </c>
      <c r="FN181" s="204" t="str">
        <f t="shared" si="516"/>
        <v/>
      </c>
      <c r="FO181" s="203" t="str">
        <f t="shared" si="543"/>
        <v/>
      </c>
      <c r="FP181" s="205" t="str">
        <f t="shared" si="517"/>
        <v/>
      </c>
      <c r="FQ181" s="189" t="str">
        <f t="shared" si="544"/>
        <v/>
      </c>
      <c r="FR181" s="189" t="str">
        <f t="shared" si="545"/>
        <v/>
      </c>
      <c r="FS181" s="189" t="str">
        <f t="shared" si="546"/>
        <v/>
      </c>
      <c r="FT181" s="189" t="str">
        <f t="shared" si="547"/>
        <v/>
      </c>
      <c r="FU181" s="189" t="str">
        <f t="shared" si="518"/>
        <v/>
      </c>
      <c r="FV181" s="206" t="str">
        <f t="shared" si="548"/>
        <v/>
      </c>
      <c r="FW181" s="205" t="str">
        <f t="shared" si="519"/>
        <v/>
      </c>
      <c r="FX181" s="189" t="str">
        <f t="shared" si="549"/>
        <v/>
      </c>
      <c r="FY181" s="189" t="str">
        <f t="shared" si="550"/>
        <v/>
      </c>
      <c r="FZ181" s="189" t="str">
        <f t="shared" si="551"/>
        <v/>
      </c>
      <c r="GA181" s="189" t="str">
        <f t="shared" si="552"/>
        <v/>
      </c>
      <c r="GB181" s="189" t="str">
        <f t="shared" si="520"/>
        <v/>
      </c>
      <c r="GC181" s="206" t="str">
        <f t="shared" si="553"/>
        <v/>
      </c>
      <c r="GD181" s="205" t="str">
        <f t="shared" si="521"/>
        <v/>
      </c>
      <c r="GE181" s="189" t="str">
        <f t="shared" si="554"/>
        <v/>
      </c>
      <c r="GF181" s="189" t="str">
        <f t="shared" si="555"/>
        <v/>
      </c>
      <c r="GG181" s="189" t="str">
        <f t="shared" si="556"/>
        <v/>
      </c>
      <c r="GH181" s="189" t="str">
        <f t="shared" si="557"/>
        <v/>
      </c>
      <c r="GI181" s="189" t="str">
        <f t="shared" si="522"/>
        <v/>
      </c>
      <c r="GJ181" s="206" t="str">
        <f t="shared" si="558"/>
        <v/>
      </c>
      <c r="GK181" s="205" t="str">
        <f t="shared" si="523"/>
        <v/>
      </c>
      <c r="GL181" s="189" t="str">
        <f t="shared" si="559"/>
        <v/>
      </c>
      <c r="GM181" s="189" t="str">
        <f t="shared" si="560"/>
        <v/>
      </c>
      <c r="GN181" s="189" t="str">
        <f t="shared" si="561"/>
        <v/>
      </c>
      <c r="GO181" s="189" t="str">
        <f t="shared" si="562"/>
        <v/>
      </c>
      <c r="GP181" s="189" t="str">
        <f t="shared" si="524"/>
        <v/>
      </c>
      <c r="GQ181" s="206" t="str">
        <f t="shared" si="563"/>
        <v/>
      </c>
      <c r="GR181" s="189" t="str">
        <f t="shared" si="525"/>
        <v/>
      </c>
      <c r="GS181" s="189" t="str">
        <f t="shared" si="526"/>
        <v/>
      </c>
      <c r="GT181" s="207" t="str">
        <f t="shared" si="527"/>
        <v xml:space="preserve">    </v>
      </c>
      <c r="GU181" s="207" t="str">
        <f t="shared" si="528"/>
        <v xml:space="preserve">    </v>
      </c>
      <c r="GV181" s="207" t="str">
        <f t="shared" si="529"/>
        <v xml:space="preserve">    </v>
      </c>
      <c r="GW181" s="207" t="str">
        <f t="shared" si="530"/>
        <v xml:space="preserve">       </v>
      </c>
      <c r="GX181" s="598" t="str">
        <f t="shared" si="531"/>
        <v xml:space="preserve">     </v>
      </c>
      <c r="GY181" s="208" t="str">
        <f t="shared" si="564"/>
        <v/>
      </c>
      <c r="GZ181" s="606" t="str">
        <f>IF(AND(Q181="",AE181="",AZ181="",BW181="",CT181=""),"",IF(AND('Master Sheet'!$D$19="YES",'Marks Entry'!$BA$1=1),SUM(Q181,AE181,AZ181,BW181,DT181),SUM(Q181,AE181,AZ181,BW181,CT181)))</f>
        <v/>
      </c>
      <c r="HA181" s="209" t="str">
        <f>IF(GZ181="","",IF(AND('Master Sheet'!$D$19="YES",'Marks Entry'!$BA$1=1),GZ181/((900)-DC181)*100,GZ181/((1000)-DC181)*100))</f>
        <v/>
      </c>
      <c r="HB181" s="611" t="str">
        <f t="shared" si="532"/>
        <v/>
      </c>
      <c r="HC181" s="609" t="str">
        <f t="shared" si="533"/>
        <v/>
      </c>
      <c r="HD181" s="610" t="str">
        <f t="shared" si="534"/>
        <v/>
      </c>
      <c r="HE181" s="210" t="str">
        <f>IFERROR(IF(OR(GY181="SUPPLEMENTARY",GY181="RE-EXAM"),'Supp. Result Entry'!AS180,""),"")</f>
        <v/>
      </c>
      <c r="HF181" s="613" t="str">
        <f t="shared" si="535"/>
        <v/>
      </c>
      <c r="HG181" s="598" t="str">
        <f t="shared" si="536"/>
        <v/>
      </c>
      <c r="HH181" s="598" t="str">
        <f>IF(AND(HE181="",HF181="",HG181=""),"",IF(OR(GY181="SUPPLEMENTARY",GY181="RE-EXAM"),'Supp. Result Entry'!AS180,GY181))</f>
        <v/>
      </c>
      <c r="HI181" s="180"/>
      <c r="HY181" s="212" t="str">
        <f>IF('Supp. Result Entry'!U180="","",'Supp. Result Entry'!$U$6)</f>
        <v/>
      </c>
      <c r="HZ181" s="213" t="str">
        <f>IF('Supp. Result Entry'!X180="","",'Supp. Result Entry'!$X$6)</f>
        <v/>
      </c>
      <c r="IA181" s="213" t="str">
        <f>IF('Supp. Result Entry'!AA180="","",'Supp. Result Entry'!$AA$6)</f>
        <v/>
      </c>
      <c r="IB181" s="213" t="str">
        <f>IF('Supp. Result Entry'!AD180="","",'Supp. Result Entry'!$AD$6)</f>
        <v/>
      </c>
      <c r="IC181" s="213" t="str">
        <f>IF('Supp. Result Entry'!AG180="","",'Supp. Result Entry'!$AG$6)</f>
        <v/>
      </c>
      <c r="ID181" s="213" t="str">
        <f>IF('Supp. Result Entry'!AJ180="","",'Supp. Result Entry'!$AJ$6)</f>
        <v/>
      </c>
      <c r="IE181" s="213" t="str">
        <f>IF('Supp. Result Entry'!V180="","",'Supp. Result Entry'!V180)</f>
        <v/>
      </c>
      <c r="IF181" s="213" t="str">
        <f>IF('Supp. Result Entry'!Y180="","",'Supp. Result Entry'!Y180)</f>
        <v/>
      </c>
      <c r="IG181" s="213" t="str">
        <f>IF('Supp. Result Entry'!AB180="","",'Supp. Result Entry'!AB180)</f>
        <v/>
      </c>
      <c r="IH181" s="213" t="str">
        <f>IF('Supp. Result Entry'!AE180="","",'Supp. Result Entry'!AE180)</f>
        <v/>
      </c>
      <c r="II181" s="213" t="str">
        <f>IF('Supp. Result Entry'!AH180="","",'Supp. Result Entry'!AH180)</f>
        <v/>
      </c>
      <c r="IJ181" s="213" t="str">
        <f>IF('Supp. Result Entry'!AK180="","",'Supp. Result Entry'!AK180)</f>
        <v/>
      </c>
      <c r="IK181" s="213" t="str">
        <f>IF('Supp. Result Entry'!W180="","",'Supp. Result Entry'!W180)</f>
        <v/>
      </c>
      <c r="IL181" s="213" t="str">
        <f>IF('Supp. Result Entry'!Z180="","",'Supp. Result Entry'!Z180)</f>
        <v/>
      </c>
      <c r="IM181" s="213" t="str">
        <f>IF('Supp. Result Entry'!AC180="","",'Supp. Result Entry'!AC180)</f>
        <v/>
      </c>
      <c r="IN181" s="213" t="str">
        <f>IF('Supp. Result Entry'!AF180="","",'Supp. Result Entry'!AF180)</f>
        <v/>
      </c>
      <c r="IO181" s="213" t="str">
        <f>IF('Supp. Result Entry'!AI180="","",'Supp. Result Entry'!AI180)</f>
        <v/>
      </c>
      <c r="IP181" s="213" t="str">
        <f>IF('Supp. Result Entry'!AL180="","",'Supp. Result Entry'!AL180)</f>
        <v/>
      </c>
      <c r="IQ181" s="213">
        <f>COUNTIF('Supp. Result Entry'!K180:Q180,"S")</f>
        <v>0</v>
      </c>
      <c r="IR181" s="213">
        <f t="shared" si="537"/>
        <v>0</v>
      </c>
      <c r="IS181" s="213">
        <f t="shared" si="538"/>
        <v>0</v>
      </c>
      <c r="IT181" s="213" t="str">
        <f t="shared" si="406"/>
        <v/>
      </c>
      <c r="IU181" s="213" t="str">
        <f t="shared" si="407"/>
        <v/>
      </c>
      <c r="IV181" s="213" t="str">
        <f t="shared" si="408"/>
        <v/>
      </c>
      <c r="IW181" s="213" t="str">
        <f t="shared" si="409"/>
        <v/>
      </c>
      <c r="IX181" s="213" t="str">
        <f t="shared" si="410"/>
        <v/>
      </c>
      <c r="IY181" s="213" t="str">
        <f t="shared" si="539"/>
        <v/>
      </c>
      <c r="IZ181" s="213" t="str">
        <f t="shared" si="540"/>
        <v/>
      </c>
      <c r="JA181" s="213" t="str">
        <f t="shared" si="411"/>
        <v/>
      </c>
      <c r="JB181" s="211" t="str">
        <f t="shared" si="541"/>
        <v/>
      </c>
    </row>
    <row r="182" spans="1:262" s="211" customFormat="1" ht="21" customHeight="1">
      <c r="A182" s="184">
        <v>175</v>
      </c>
      <c r="B182" s="185" t="str">
        <f>IF('Marks Entry'!B182="","",'Marks Entry'!B182)</f>
        <v/>
      </c>
      <c r="C182" s="186" t="str">
        <f>IF('Marks Entry'!D182="","",'Marks Entry'!D182)</f>
        <v/>
      </c>
      <c r="D182" s="187" t="str">
        <f>IF('Marks Entry'!E182="","",'Marks Entry'!E182)</f>
        <v/>
      </c>
      <c r="E182" s="188" t="str">
        <f>IF('Marks Entry'!F182="","",'Marks Entry'!F182)</f>
        <v/>
      </c>
      <c r="F182" s="188" t="str">
        <f>IF('Marks Entry'!G182="","",'Marks Entry'!G182)</f>
        <v/>
      </c>
      <c r="G182" s="188" t="str">
        <f>IF('Marks Entry'!H182="","",'Marks Entry'!H182)</f>
        <v/>
      </c>
      <c r="H182" s="189" t="str">
        <f>IF('Marks Entry'!I182="","",'Marks Entry'!I182)</f>
        <v/>
      </c>
      <c r="I182" s="190" t="str">
        <f>IF('Marks Entry'!J182="","",'Marks Entry'!J182)</f>
        <v/>
      </c>
      <c r="J182" s="545" t="str">
        <f>IF('Marks Entry'!K182="","",'Marks Entry'!K182)</f>
        <v/>
      </c>
      <c r="K182" s="545" t="str">
        <f>IF('Marks Entry'!L182="","",'Marks Entry'!L182)</f>
        <v/>
      </c>
      <c r="L182" s="545" t="str">
        <f>IF('Marks Entry'!M182="","",'Marks Entry'!M182)</f>
        <v/>
      </c>
      <c r="M182" s="546" t="str">
        <f t="shared" si="412"/>
        <v/>
      </c>
      <c r="N182" s="545" t="str">
        <f>IF('Marks Entry'!N182="","",'Marks Entry'!N182)</f>
        <v/>
      </c>
      <c r="O182" s="546" t="str">
        <f t="shared" si="413"/>
        <v/>
      </c>
      <c r="P182" s="545" t="str">
        <f>IF('Marks Entry'!O182="","",'Marks Entry'!O182)</f>
        <v/>
      </c>
      <c r="Q182" s="547" t="str">
        <f t="shared" si="414"/>
        <v/>
      </c>
      <c r="R182" s="153">
        <f t="shared" si="415"/>
        <v>0</v>
      </c>
      <c r="S182" s="153">
        <f t="shared" si="416"/>
        <v>0</v>
      </c>
      <c r="T182" s="154" t="str">
        <f t="shared" si="417"/>
        <v/>
      </c>
      <c r="U182" s="153" t="str">
        <f t="shared" si="418"/>
        <v/>
      </c>
      <c r="V182" s="153" t="str">
        <f t="shared" si="419"/>
        <v/>
      </c>
      <c r="W182" s="153" t="str">
        <f t="shared" si="420"/>
        <v/>
      </c>
      <c r="X182" s="545" t="str">
        <f>IF('Marks Entry'!P182="","",'Marks Entry'!P182)</f>
        <v/>
      </c>
      <c r="Y182" s="545" t="str">
        <f>IF('Marks Entry'!Q182="","",'Marks Entry'!Q182)</f>
        <v/>
      </c>
      <c r="Z182" s="545" t="str">
        <f>IF('Marks Entry'!R182="","",'Marks Entry'!R182)</f>
        <v/>
      </c>
      <c r="AA182" s="546" t="str">
        <f t="shared" si="421"/>
        <v/>
      </c>
      <c r="AB182" s="545" t="str">
        <f>IF('Marks Entry'!S182="","",'Marks Entry'!S182)</f>
        <v/>
      </c>
      <c r="AC182" s="546" t="str">
        <f t="shared" si="422"/>
        <v/>
      </c>
      <c r="AD182" s="545" t="str">
        <f>IF('Marks Entry'!T182="","",'Marks Entry'!T182)</f>
        <v/>
      </c>
      <c r="AE182" s="547" t="str">
        <f t="shared" si="423"/>
        <v/>
      </c>
      <c r="AF182" s="153">
        <f t="shared" si="424"/>
        <v>0</v>
      </c>
      <c r="AG182" s="153">
        <f t="shared" si="425"/>
        <v>0</v>
      </c>
      <c r="AH182" s="154" t="str">
        <f t="shared" si="426"/>
        <v/>
      </c>
      <c r="AI182" s="153" t="str">
        <f t="shared" si="427"/>
        <v/>
      </c>
      <c r="AJ182" s="153" t="str">
        <f t="shared" si="428"/>
        <v/>
      </c>
      <c r="AK182" s="153" t="str">
        <f t="shared" si="429"/>
        <v/>
      </c>
      <c r="AL182" s="573" t="str">
        <f>IF('Marks Entry'!U182="","",'Marks Entry'!U182)</f>
        <v/>
      </c>
      <c r="AM182" s="573" t="str">
        <f>IF('Marks Entry'!V182="","",'Marks Entry'!V182)</f>
        <v/>
      </c>
      <c r="AN182" s="573" t="str">
        <f>IF('Marks Entry'!W182="","",'Marks Entry'!W182)</f>
        <v/>
      </c>
      <c r="AO182" s="573" t="str">
        <f>IF('Marks Entry'!X182="","",'Marks Entry'!X182)</f>
        <v/>
      </c>
      <c r="AP182" s="572" t="str">
        <f t="shared" si="430"/>
        <v/>
      </c>
      <c r="AQ182" s="573" t="str">
        <f>IF('Marks Entry'!Y182="","",'Marks Entry'!Y182)</f>
        <v/>
      </c>
      <c r="AR182" s="573" t="str">
        <f>IF('Marks Entry'!Z182="","",'Marks Entry'!Z182)</f>
        <v/>
      </c>
      <c r="AS182" s="572" t="str">
        <f t="shared" si="431"/>
        <v/>
      </c>
      <c r="AT182" s="572" t="str">
        <f t="shared" si="432"/>
        <v/>
      </c>
      <c r="AU182" s="573" t="str">
        <f>IF('Marks Entry'!AA182="","",'Marks Entry'!AA182)</f>
        <v/>
      </c>
      <c r="AV182" s="573" t="str">
        <f>IF('Marks Entry'!AB182="","",'Marks Entry'!AB182)</f>
        <v/>
      </c>
      <c r="AW182" s="572" t="str">
        <f t="shared" si="433"/>
        <v/>
      </c>
      <c r="AX182" s="157" t="str">
        <f t="shared" si="434"/>
        <v/>
      </c>
      <c r="AY182" s="157" t="str">
        <f t="shared" si="435"/>
        <v/>
      </c>
      <c r="AZ182" s="192" t="str">
        <f t="shared" si="436"/>
        <v/>
      </c>
      <c r="BA182" s="153">
        <f t="shared" si="437"/>
        <v>0</v>
      </c>
      <c r="BB182" s="154">
        <f t="shared" si="438"/>
        <v>0</v>
      </c>
      <c r="BC182" s="154" t="str">
        <f t="shared" si="439"/>
        <v/>
      </c>
      <c r="BD182" s="154" t="str">
        <f t="shared" si="440"/>
        <v/>
      </c>
      <c r="BE182" s="154" t="str">
        <f t="shared" si="441"/>
        <v/>
      </c>
      <c r="BF182" s="153" t="str">
        <f t="shared" si="442"/>
        <v/>
      </c>
      <c r="BG182" s="154" t="str">
        <f t="shared" si="443"/>
        <v/>
      </c>
      <c r="BH182" s="153" t="str">
        <f t="shared" si="444"/>
        <v/>
      </c>
      <c r="BI182" s="580" t="str">
        <f>IF('Marks Entry'!AC182="","",'Marks Entry'!AC182)</f>
        <v/>
      </c>
      <c r="BJ182" s="580" t="str">
        <f>IF('Marks Entry'!AD182="","",'Marks Entry'!AD182)</f>
        <v/>
      </c>
      <c r="BK182" s="580" t="str">
        <f>IF('Marks Entry'!AE182="","",'Marks Entry'!AE182)</f>
        <v/>
      </c>
      <c r="BL182" s="580" t="str">
        <f>IF('Marks Entry'!AF182="","",'Marks Entry'!AF182)</f>
        <v/>
      </c>
      <c r="BM182" s="581" t="str">
        <f t="shared" si="445"/>
        <v/>
      </c>
      <c r="BN182" s="580" t="str">
        <f>IF('Marks Entry'!AG182="","",'Marks Entry'!AG182)</f>
        <v/>
      </c>
      <c r="BO182" s="580" t="str">
        <f>IF('Marks Entry'!AH182="","",'Marks Entry'!AH182)</f>
        <v/>
      </c>
      <c r="BP182" s="581" t="str">
        <f t="shared" si="446"/>
        <v/>
      </c>
      <c r="BQ182" s="581" t="str">
        <f t="shared" si="447"/>
        <v/>
      </c>
      <c r="BR182" s="580" t="str">
        <f>IF('Marks Entry'!AI182="","",'Marks Entry'!AI182)</f>
        <v/>
      </c>
      <c r="BS182" s="580" t="str">
        <f>IF('Marks Entry'!AJ182="","",'Marks Entry'!AJ182)</f>
        <v/>
      </c>
      <c r="BT182" s="581" t="str">
        <f t="shared" si="448"/>
        <v/>
      </c>
      <c r="BU182" s="157" t="str">
        <f t="shared" si="449"/>
        <v/>
      </c>
      <c r="BV182" s="157" t="str">
        <f t="shared" si="450"/>
        <v/>
      </c>
      <c r="BW182" s="192" t="str">
        <f t="shared" si="451"/>
        <v/>
      </c>
      <c r="BX182" s="153">
        <f t="shared" si="452"/>
        <v>0</v>
      </c>
      <c r="BY182" s="154">
        <f t="shared" si="453"/>
        <v>0</v>
      </c>
      <c r="BZ182" s="154" t="str">
        <f t="shared" si="454"/>
        <v/>
      </c>
      <c r="CA182" s="154" t="str">
        <f t="shared" si="455"/>
        <v/>
      </c>
      <c r="CB182" s="154" t="str">
        <f t="shared" si="456"/>
        <v/>
      </c>
      <c r="CC182" s="153" t="str">
        <f t="shared" si="457"/>
        <v/>
      </c>
      <c r="CD182" s="154" t="str">
        <f t="shared" si="458"/>
        <v/>
      </c>
      <c r="CE182" s="153" t="str">
        <f t="shared" si="459"/>
        <v/>
      </c>
      <c r="CF182" s="580" t="str">
        <f>IF('Marks Entry'!AK182="","",'Marks Entry'!AK182)</f>
        <v/>
      </c>
      <c r="CG182" s="580" t="str">
        <f>IF('Marks Entry'!AL182="","",'Marks Entry'!AL182)</f>
        <v/>
      </c>
      <c r="CH182" s="580" t="str">
        <f>IF('Marks Entry'!AM182="","",'Marks Entry'!AM182)</f>
        <v/>
      </c>
      <c r="CI182" s="580" t="str">
        <f>IF('Marks Entry'!AN182="","",'Marks Entry'!AN182)</f>
        <v/>
      </c>
      <c r="CJ182" s="581" t="str">
        <f t="shared" si="460"/>
        <v/>
      </c>
      <c r="CK182" s="580" t="str">
        <f>IF('Marks Entry'!AO182="","",'Marks Entry'!AO182)</f>
        <v/>
      </c>
      <c r="CL182" s="580" t="str">
        <f>IF('Marks Entry'!AP182="","",'Marks Entry'!AP182)</f>
        <v/>
      </c>
      <c r="CM182" s="581" t="str">
        <f t="shared" si="461"/>
        <v/>
      </c>
      <c r="CN182" s="581" t="str">
        <f t="shared" si="462"/>
        <v/>
      </c>
      <c r="CO182" s="580" t="str">
        <f>IF('Marks Entry'!AQ182="","",'Marks Entry'!AQ182)</f>
        <v/>
      </c>
      <c r="CP182" s="580" t="str">
        <f>IF('Marks Entry'!AR182="","",'Marks Entry'!AR182)</f>
        <v/>
      </c>
      <c r="CQ182" s="581" t="str">
        <f t="shared" si="463"/>
        <v/>
      </c>
      <c r="CR182" s="157" t="str">
        <f t="shared" si="464"/>
        <v/>
      </c>
      <c r="CS182" s="157" t="str">
        <f t="shared" si="465"/>
        <v/>
      </c>
      <c r="CT182" s="192" t="str">
        <f t="shared" si="466"/>
        <v/>
      </c>
      <c r="CU182" s="153">
        <f t="shared" si="467"/>
        <v>0</v>
      </c>
      <c r="CV182" s="154">
        <f t="shared" si="468"/>
        <v>0</v>
      </c>
      <c r="CW182" s="154" t="str">
        <f t="shared" si="469"/>
        <v/>
      </c>
      <c r="CX182" s="154" t="str">
        <f t="shared" si="470"/>
        <v/>
      </c>
      <c r="CY182" s="154" t="str">
        <f t="shared" si="471"/>
        <v/>
      </c>
      <c r="CZ182" s="153" t="str">
        <f t="shared" si="472"/>
        <v/>
      </c>
      <c r="DA182" s="154" t="str">
        <f t="shared" si="473"/>
        <v/>
      </c>
      <c r="DB182" s="153" t="str">
        <f t="shared" si="474"/>
        <v/>
      </c>
      <c r="DC182" s="154">
        <f t="shared" si="475"/>
        <v>0</v>
      </c>
      <c r="DD182" s="826" t="str">
        <f>IF('Marks Entry'!AS182="","",IF(OR('Master Sheet'!$D$19="YES",'Marks Entry'!$BA$1=1),'Marks Entry'!AS182,""))</f>
        <v/>
      </c>
      <c r="DE182" s="826" t="str">
        <f>IF('Marks Entry'!AT182="","",IF(OR('Master Sheet'!$D$19="YES",'Marks Entry'!$BA$1=1),'Marks Entry'!AT182,""))</f>
        <v/>
      </c>
      <c r="DF182" s="826" t="str">
        <f>IF('Marks Entry'!AU182="","",IF(OR('Master Sheet'!$D$19="YES",'Marks Entry'!$BA$1=1),'Marks Entry'!AU182,""))</f>
        <v/>
      </c>
      <c r="DG182" s="826" t="str">
        <f>IF('Marks Entry'!AV182="","",IF(OR('Master Sheet'!$D$19="YES",'Marks Entry'!$BA$1=1),'Marks Entry'!AV182,""))</f>
        <v/>
      </c>
      <c r="DH182" s="827" t="str">
        <f t="shared" si="476"/>
        <v/>
      </c>
      <c r="DI182" s="826" t="str">
        <f>IF('Marks Entry'!AW182="","",IF(OR('Master Sheet'!$D$19="YES",'Marks Entry'!$BA$1=1),'Marks Entry'!AW182,""))</f>
        <v/>
      </c>
      <c r="DJ182" s="826" t="str">
        <f>IF('Marks Entry'!AX182="","",IF(OR('Master Sheet'!$D$19="YES",'Marks Entry'!$BA$1=1),'Marks Entry'!AX182,""))</f>
        <v/>
      </c>
      <c r="DK182" s="827" t="str">
        <f t="shared" si="477"/>
        <v/>
      </c>
      <c r="DL182" s="827" t="str">
        <f t="shared" si="478"/>
        <v/>
      </c>
      <c r="DM182" s="826" t="str">
        <f>IF('Marks Entry'!AY182="","",IF(OR('Master Sheet'!$D$19="YES",'Marks Entry'!$BA$1=1),'Marks Entry'!AY182,""))</f>
        <v/>
      </c>
      <c r="DN182" s="826" t="str">
        <f>IF('Marks Entry'!AZ182="","",IF(OR('Master Sheet'!$D$19="YES",'Marks Entry'!$BA$1=1),'Marks Entry'!AZ182,""))</f>
        <v/>
      </c>
      <c r="DO182" s="826" t="str">
        <f>IF('Marks Entry'!BA182="","",IF(OR('Master Sheet'!$D$19="YES",'Marks Entry'!$BA$1=1),'Marks Entry'!BA182,""))</f>
        <v/>
      </c>
      <c r="DP182" s="827" t="str">
        <f t="shared" si="479"/>
        <v/>
      </c>
      <c r="DQ182" s="157" t="str">
        <f t="shared" si="480"/>
        <v/>
      </c>
      <c r="DR182" s="157" t="str">
        <f t="shared" si="481"/>
        <v/>
      </c>
      <c r="DS182" s="157" t="str">
        <f t="shared" si="482"/>
        <v/>
      </c>
      <c r="DT182" s="192" t="str">
        <f t="shared" si="483"/>
        <v/>
      </c>
      <c r="DU182" s="153">
        <f t="shared" si="484"/>
        <v>0</v>
      </c>
      <c r="DV182" s="154" t="e">
        <f t="shared" si="485"/>
        <v>#VALUE!</v>
      </c>
      <c r="DW182" s="154" t="str">
        <f t="shared" si="486"/>
        <v/>
      </c>
      <c r="DX182" s="154" t="str">
        <f>IF(OR($B182="NSO",$B182=0,DS182=""),"",IF(AND(DJ182="",DO182=""),"",IF('Master Sheet'!$D$19="YES",$DO$6-COUNTIF(DO182,"ML")*DO$6,DS$6-(COUNTIF(DJ182,"ML")*DJ$6)-(COUNTIF(DO182,"ML")*DO$6))))</f>
        <v/>
      </c>
      <c r="DY182" s="154" t="str">
        <f>IF(OR($B182="NSO",$B182=0),"",IF(AND(DH182="",DI182="",DM182=""),"",IF(AND('Master Sheet'!$D$19="YES",'Marks Entry'!$BA$1=1),100,IF(AND(DJ182="",DO182=""),SUM(($DQ$7+$DR$7)-(DU182+DV182)),SUM(($DQ$6+$DR$6)-(DU182+DV182))))))</f>
        <v/>
      </c>
      <c r="DZ182" s="153" t="str">
        <f t="shared" si="487"/>
        <v/>
      </c>
      <c r="EA182" s="154" t="str">
        <f t="shared" si="488"/>
        <v/>
      </c>
      <c r="EB182" s="153" t="str">
        <f t="shared" si="489"/>
        <v/>
      </c>
      <c r="EC182" s="584" t="str">
        <f>IF('Marks Entry'!BB182="","",'Marks Entry'!BB182)</f>
        <v/>
      </c>
      <c r="ED182" s="584" t="str">
        <f>IF('Marks Entry'!BC182="","",'Marks Entry'!BC182)</f>
        <v/>
      </c>
      <c r="EE182" s="584" t="str">
        <f>IF('Marks Entry'!BD182="","",'Marks Entry'!BD182)</f>
        <v/>
      </c>
      <c r="EF182" s="590" t="str">
        <f t="shared" si="490"/>
        <v/>
      </c>
      <c r="EG182" s="595">
        <f t="shared" si="491"/>
        <v>0</v>
      </c>
      <c r="EH182" s="595">
        <f t="shared" si="492"/>
        <v>0</v>
      </c>
      <c r="EI182" s="193" t="str">
        <f t="shared" si="493"/>
        <v/>
      </c>
      <c r="EJ182" s="595" t="str">
        <f t="shared" si="494"/>
        <v/>
      </c>
      <c r="EK182" s="595" t="str">
        <f t="shared" si="495"/>
        <v/>
      </c>
      <c r="EL182" s="194" t="str">
        <f t="shared" si="496"/>
        <v/>
      </c>
      <c r="EM182" s="194" t="str">
        <f t="shared" si="497"/>
        <v/>
      </c>
      <c r="EN182" s="194" t="str">
        <f t="shared" si="498"/>
        <v/>
      </c>
      <c r="EO182" s="194" t="str">
        <f t="shared" si="499"/>
        <v/>
      </c>
      <c r="EP182" s="194" t="str">
        <f t="shared" si="500"/>
        <v/>
      </c>
      <c r="EQ182" s="194" t="str">
        <f t="shared" si="501"/>
        <v/>
      </c>
      <c r="ER182" s="195">
        <f t="shared" si="502"/>
        <v>0</v>
      </c>
      <c r="ES182" s="195">
        <f t="shared" si="503"/>
        <v>0</v>
      </c>
      <c r="ET182" s="195">
        <f t="shared" si="504"/>
        <v>0</v>
      </c>
      <c r="EU182" s="195">
        <f t="shared" si="505"/>
        <v>0</v>
      </c>
      <c r="EV182" s="195">
        <f t="shared" si="506"/>
        <v>0</v>
      </c>
      <c r="EW182" s="195" t="str">
        <f t="shared" si="507"/>
        <v/>
      </c>
      <c r="EX182" s="196" t="str">
        <f t="shared" si="508"/>
        <v/>
      </c>
      <c r="EY182" s="197" t="str">
        <f>IF('Marks Entry'!BE182="","",'Marks Entry'!BE182)</f>
        <v/>
      </c>
      <c r="EZ182" s="197" t="str">
        <f>IF('Marks Entry'!BF182="","",'Marks Entry'!BF182)</f>
        <v/>
      </c>
      <c r="FA182" s="197" t="str">
        <f>IF('Marks Entry'!BG182="","",'Marks Entry'!BG182)</f>
        <v/>
      </c>
      <c r="FB182" s="596" t="str">
        <f t="shared" si="509"/>
        <v/>
      </c>
      <c r="FC182" s="197" t="str">
        <f>IF('Marks Entry'!BH182="","",'Marks Entry'!BH182)</f>
        <v/>
      </c>
      <c r="FD182" s="197" t="str">
        <f>IF('Marks Entry'!BI182="","",'Marks Entry'!BI182)</f>
        <v/>
      </c>
      <c r="FE182" s="198" t="str">
        <f t="shared" si="510"/>
        <v/>
      </c>
      <c r="FF182" s="199" t="str">
        <f t="shared" si="511"/>
        <v/>
      </c>
      <c r="FG182" s="200" t="str">
        <f>IF(AND(E182=""),"",IF('Student DATA Entry'!L178="","",'Student DATA Entry'!L178))</f>
        <v/>
      </c>
      <c r="FH182" s="201" t="str">
        <f>IF(AND(E182=""),"",IF('Student DATA Entry'!M178="","",'Student DATA Entry'!M178))</f>
        <v/>
      </c>
      <c r="FI182" s="202" t="str">
        <f t="shared" si="512"/>
        <v/>
      </c>
      <c r="FJ182" s="189" t="str">
        <f t="shared" si="513"/>
        <v/>
      </c>
      <c r="FK182" s="189" t="str">
        <f t="shared" si="514"/>
        <v/>
      </c>
      <c r="FL182" s="203" t="str">
        <f t="shared" si="542"/>
        <v/>
      </c>
      <c r="FM182" s="189" t="str">
        <f t="shared" si="515"/>
        <v/>
      </c>
      <c r="FN182" s="204" t="str">
        <f t="shared" si="516"/>
        <v/>
      </c>
      <c r="FO182" s="203" t="str">
        <f t="shared" si="543"/>
        <v/>
      </c>
      <c r="FP182" s="205" t="str">
        <f t="shared" si="517"/>
        <v/>
      </c>
      <c r="FQ182" s="189" t="str">
        <f t="shared" si="544"/>
        <v/>
      </c>
      <c r="FR182" s="189" t="str">
        <f t="shared" si="545"/>
        <v/>
      </c>
      <c r="FS182" s="189" t="str">
        <f t="shared" si="546"/>
        <v/>
      </c>
      <c r="FT182" s="189" t="str">
        <f t="shared" si="547"/>
        <v/>
      </c>
      <c r="FU182" s="189" t="str">
        <f t="shared" si="518"/>
        <v/>
      </c>
      <c r="FV182" s="206" t="str">
        <f t="shared" si="548"/>
        <v/>
      </c>
      <c r="FW182" s="205" t="str">
        <f t="shared" si="519"/>
        <v/>
      </c>
      <c r="FX182" s="189" t="str">
        <f t="shared" si="549"/>
        <v/>
      </c>
      <c r="FY182" s="189" t="str">
        <f t="shared" si="550"/>
        <v/>
      </c>
      <c r="FZ182" s="189" t="str">
        <f t="shared" si="551"/>
        <v/>
      </c>
      <c r="GA182" s="189" t="str">
        <f t="shared" si="552"/>
        <v/>
      </c>
      <c r="GB182" s="189" t="str">
        <f t="shared" si="520"/>
        <v/>
      </c>
      <c r="GC182" s="206" t="str">
        <f t="shared" si="553"/>
        <v/>
      </c>
      <c r="GD182" s="205" t="str">
        <f t="shared" si="521"/>
        <v/>
      </c>
      <c r="GE182" s="189" t="str">
        <f t="shared" si="554"/>
        <v/>
      </c>
      <c r="GF182" s="189" t="str">
        <f t="shared" si="555"/>
        <v/>
      </c>
      <c r="GG182" s="189" t="str">
        <f t="shared" si="556"/>
        <v/>
      </c>
      <c r="GH182" s="189" t="str">
        <f t="shared" si="557"/>
        <v/>
      </c>
      <c r="GI182" s="189" t="str">
        <f t="shared" si="522"/>
        <v/>
      </c>
      <c r="GJ182" s="206" t="str">
        <f t="shared" si="558"/>
        <v/>
      </c>
      <c r="GK182" s="205" t="str">
        <f t="shared" si="523"/>
        <v/>
      </c>
      <c r="GL182" s="189" t="str">
        <f t="shared" si="559"/>
        <v/>
      </c>
      <c r="GM182" s="189" t="str">
        <f t="shared" si="560"/>
        <v/>
      </c>
      <c r="GN182" s="189" t="str">
        <f t="shared" si="561"/>
        <v/>
      </c>
      <c r="GO182" s="189" t="str">
        <f t="shared" si="562"/>
        <v/>
      </c>
      <c r="GP182" s="189" t="str">
        <f t="shared" si="524"/>
        <v/>
      </c>
      <c r="GQ182" s="206" t="str">
        <f t="shared" si="563"/>
        <v/>
      </c>
      <c r="GR182" s="189" t="str">
        <f t="shared" si="525"/>
        <v/>
      </c>
      <c r="GS182" s="189" t="str">
        <f t="shared" si="526"/>
        <v/>
      </c>
      <c r="GT182" s="207" t="str">
        <f t="shared" si="527"/>
        <v xml:space="preserve">    </v>
      </c>
      <c r="GU182" s="207" t="str">
        <f t="shared" si="528"/>
        <v xml:space="preserve">    </v>
      </c>
      <c r="GV182" s="207" t="str">
        <f t="shared" si="529"/>
        <v xml:space="preserve">    </v>
      </c>
      <c r="GW182" s="207" t="str">
        <f t="shared" si="530"/>
        <v xml:space="preserve">       </v>
      </c>
      <c r="GX182" s="598" t="str">
        <f t="shared" si="531"/>
        <v xml:space="preserve">     </v>
      </c>
      <c r="GY182" s="208" t="str">
        <f t="shared" si="564"/>
        <v/>
      </c>
      <c r="GZ182" s="606" t="str">
        <f>IF(AND(Q182="",AE182="",AZ182="",BW182="",CT182=""),"",IF(AND('Master Sheet'!$D$19="YES",'Marks Entry'!$BA$1=1),SUM(Q182,AE182,AZ182,BW182,DT182),SUM(Q182,AE182,AZ182,BW182,CT182)))</f>
        <v/>
      </c>
      <c r="HA182" s="209" t="str">
        <f>IF(GZ182="","",IF(AND('Master Sheet'!$D$19="YES",'Marks Entry'!$BA$1=1),GZ182/((900)-DC182)*100,GZ182/((1000)-DC182)*100))</f>
        <v/>
      </c>
      <c r="HB182" s="611" t="str">
        <f t="shared" si="532"/>
        <v/>
      </c>
      <c r="HC182" s="609" t="str">
        <f t="shared" si="533"/>
        <v/>
      </c>
      <c r="HD182" s="610" t="str">
        <f t="shared" si="534"/>
        <v/>
      </c>
      <c r="HE182" s="210" t="str">
        <f>IFERROR(IF(OR(GY182="SUPPLEMENTARY",GY182="RE-EXAM"),'Supp. Result Entry'!AS181,""),"")</f>
        <v/>
      </c>
      <c r="HF182" s="613" t="str">
        <f t="shared" si="535"/>
        <v/>
      </c>
      <c r="HG182" s="598" t="str">
        <f t="shared" si="536"/>
        <v/>
      </c>
      <c r="HH182" s="598" t="str">
        <f>IF(AND(HE182="",HF182="",HG182=""),"",IF(OR(GY182="SUPPLEMENTARY",GY182="RE-EXAM"),'Supp. Result Entry'!AS181,GY182))</f>
        <v/>
      </c>
      <c r="HI182" s="180"/>
      <c r="HY182" s="212" t="str">
        <f>IF('Supp. Result Entry'!U181="","",'Supp. Result Entry'!$U$6)</f>
        <v/>
      </c>
      <c r="HZ182" s="213" t="str">
        <f>IF('Supp. Result Entry'!X181="","",'Supp. Result Entry'!$X$6)</f>
        <v/>
      </c>
      <c r="IA182" s="213" t="str">
        <f>IF('Supp. Result Entry'!AA181="","",'Supp. Result Entry'!$AA$6)</f>
        <v/>
      </c>
      <c r="IB182" s="213" t="str">
        <f>IF('Supp. Result Entry'!AD181="","",'Supp. Result Entry'!$AD$6)</f>
        <v/>
      </c>
      <c r="IC182" s="213" t="str">
        <f>IF('Supp. Result Entry'!AG181="","",'Supp. Result Entry'!$AG$6)</f>
        <v/>
      </c>
      <c r="ID182" s="213" t="str">
        <f>IF('Supp. Result Entry'!AJ181="","",'Supp. Result Entry'!$AJ$6)</f>
        <v/>
      </c>
      <c r="IE182" s="213" t="str">
        <f>IF('Supp. Result Entry'!V181="","",'Supp. Result Entry'!V181)</f>
        <v/>
      </c>
      <c r="IF182" s="213" t="str">
        <f>IF('Supp. Result Entry'!Y181="","",'Supp. Result Entry'!Y181)</f>
        <v/>
      </c>
      <c r="IG182" s="213" t="str">
        <f>IF('Supp. Result Entry'!AB181="","",'Supp. Result Entry'!AB181)</f>
        <v/>
      </c>
      <c r="IH182" s="213" t="str">
        <f>IF('Supp. Result Entry'!AE181="","",'Supp. Result Entry'!AE181)</f>
        <v/>
      </c>
      <c r="II182" s="213" t="str">
        <f>IF('Supp. Result Entry'!AH181="","",'Supp. Result Entry'!AH181)</f>
        <v/>
      </c>
      <c r="IJ182" s="213" t="str">
        <f>IF('Supp. Result Entry'!AK181="","",'Supp. Result Entry'!AK181)</f>
        <v/>
      </c>
      <c r="IK182" s="213" t="str">
        <f>IF('Supp. Result Entry'!W181="","",'Supp. Result Entry'!W181)</f>
        <v/>
      </c>
      <c r="IL182" s="213" t="str">
        <f>IF('Supp. Result Entry'!Z181="","",'Supp. Result Entry'!Z181)</f>
        <v/>
      </c>
      <c r="IM182" s="213" t="str">
        <f>IF('Supp. Result Entry'!AC181="","",'Supp. Result Entry'!AC181)</f>
        <v/>
      </c>
      <c r="IN182" s="213" t="str">
        <f>IF('Supp. Result Entry'!AF181="","",'Supp. Result Entry'!AF181)</f>
        <v/>
      </c>
      <c r="IO182" s="213" t="str">
        <f>IF('Supp. Result Entry'!AI181="","",'Supp. Result Entry'!AI181)</f>
        <v/>
      </c>
      <c r="IP182" s="213" t="str">
        <f>IF('Supp. Result Entry'!AL181="","",'Supp. Result Entry'!AL181)</f>
        <v/>
      </c>
      <c r="IQ182" s="213">
        <f>COUNTIF('Supp. Result Entry'!K181:Q181,"S")</f>
        <v>0</v>
      </c>
      <c r="IR182" s="213">
        <f t="shared" si="537"/>
        <v>0</v>
      </c>
      <c r="IS182" s="213">
        <f t="shared" si="538"/>
        <v>0</v>
      </c>
      <c r="IT182" s="213" t="str">
        <f t="shared" si="406"/>
        <v/>
      </c>
      <c r="IU182" s="213" t="str">
        <f t="shared" si="407"/>
        <v/>
      </c>
      <c r="IV182" s="213" t="str">
        <f t="shared" si="408"/>
        <v/>
      </c>
      <c r="IW182" s="213" t="str">
        <f t="shared" si="409"/>
        <v/>
      </c>
      <c r="IX182" s="213" t="str">
        <f t="shared" si="410"/>
        <v/>
      </c>
      <c r="IY182" s="213" t="str">
        <f t="shared" si="539"/>
        <v/>
      </c>
      <c r="IZ182" s="213" t="str">
        <f t="shared" si="540"/>
        <v/>
      </c>
      <c r="JA182" s="213" t="str">
        <f t="shared" si="411"/>
        <v/>
      </c>
      <c r="JB182" s="211" t="str">
        <f t="shared" si="541"/>
        <v/>
      </c>
    </row>
    <row r="183" spans="1:262" s="211" customFormat="1" ht="21" customHeight="1">
      <c r="A183" s="184">
        <v>176</v>
      </c>
      <c r="B183" s="185" t="str">
        <f>IF('Marks Entry'!B183="","",'Marks Entry'!B183)</f>
        <v/>
      </c>
      <c r="C183" s="186" t="str">
        <f>IF('Marks Entry'!D183="","",'Marks Entry'!D183)</f>
        <v/>
      </c>
      <c r="D183" s="187" t="str">
        <f>IF('Marks Entry'!E183="","",'Marks Entry'!E183)</f>
        <v/>
      </c>
      <c r="E183" s="188" t="str">
        <f>IF('Marks Entry'!F183="","",'Marks Entry'!F183)</f>
        <v/>
      </c>
      <c r="F183" s="188" t="str">
        <f>IF('Marks Entry'!G183="","",'Marks Entry'!G183)</f>
        <v/>
      </c>
      <c r="G183" s="188" t="str">
        <f>IF('Marks Entry'!H183="","",'Marks Entry'!H183)</f>
        <v/>
      </c>
      <c r="H183" s="189" t="str">
        <f>IF('Marks Entry'!I183="","",'Marks Entry'!I183)</f>
        <v/>
      </c>
      <c r="I183" s="190" t="str">
        <f>IF('Marks Entry'!J183="","",'Marks Entry'!J183)</f>
        <v/>
      </c>
      <c r="J183" s="545" t="str">
        <f>IF('Marks Entry'!K183="","",'Marks Entry'!K183)</f>
        <v/>
      </c>
      <c r="K183" s="545" t="str">
        <f>IF('Marks Entry'!L183="","",'Marks Entry'!L183)</f>
        <v/>
      </c>
      <c r="L183" s="545" t="str">
        <f>IF('Marks Entry'!M183="","",'Marks Entry'!M183)</f>
        <v/>
      </c>
      <c r="M183" s="546" t="str">
        <f t="shared" si="412"/>
        <v/>
      </c>
      <c r="N183" s="545" t="str">
        <f>IF('Marks Entry'!N183="","",'Marks Entry'!N183)</f>
        <v/>
      </c>
      <c r="O183" s="546" t="str">
        <f t="shared" si="413"/>
        <v/>
      </c>
      <c r="P183" s="545" t="str">
        <f>IF('Marks Entry'!O183="","",'Marks Entry'!O183)</f>
        <v/>
      </c>
      <c r="Q183" s="547" t="str">
        <f t="shared" si="414"/>
        <v/>
      </c>
      <c r="R183" s="153">
        <f t="shared" si="415"/>
        <v>0</v>
      </c>
      <c r="S183" s="153">
        <f t="shared" si="416"/>
        <v>0</v>
      </c>
      <c r="T183" s="154" t="str">
        <f t="shared" si="417"/>
        <v/>
      </c>
      <c r="U183" s="153" t="str">
        <f t="shared" si="418"/>
        <v/>
      </c>
      <c r="V183" s="153" t="str">
        <f t="shared" si="419"/>
        <v/>
      </c>
      <c r="W183" s="153" t="str">
        <f t="shared" si="420"/>
        <v/>
      </c>
      <c r="X183" s="545" t="str">
        <f>IF('Marks Entry'!P183="","",'Marks Entry'!P183)</f>
        <v/>
      </c>
      <c r="Y183" s="545" t="str">
        <f>IF('Marks Entry'!Q183="","",'Marks Entry'!Q183)</f>
        <v/>
      </c>
      <c r="Z183" s="545" t="str">
        <f>IF('Marks Entry'!R183="","",'Marks Entry'!R183)</f>
        <v/>
      </c>
      <c r="AA183" s="546" t="str">
        <f t="shared" si="421"/>
        <v/>
      </c>
      <c r="AB183" s="545" t="str">
        <f>IF('Marks Entry'!S183="","",'Marks Entry'!S183)</f>
        <v/>
      </c>
      <c r="AC183" s="546" t="str">
        <f t="shared" si="422"/>
        <v/>
      </c>
      <c r="AD183" s="545" t="str">
        <f>IF('Marks Entry'!T183="","",'Marks Entry'!T183)</f>
        <v/>
      </c>
      <c r="AE183" s="547" t="str">
        <f t="shared" si="423"/>
        <v/>
      </c>
      <c r="AF183" s="153">
        <f t="shared" si="424"/>
        <v>0</v>
      </c>
      <c r="AG183" s="153">
        <f t="shared" si="425"/>
        <v>0</v>
      </c>
      <c r="AH183" s="154" t="str">
        <f t="shared" si="426"/>
        <v/>
      </c>
      <c r="AI183" s="153" t="str">
        <f t="shared" si="427"/>
        <v/>
      </c>
      <c r="AJ183" s="153" t="str">
        <f t="shared" si="428"/>
        <v/>
      </c>
      <c r="AK183" s="153" t="str">
        <f t="shared" si="429"/>
        <v/>
      </c>
      <c r="AL183" s="573" t="str">
        <f>IF('Marks Entry'!U183="","",'Marks Entry'!U183)</f>
        <v/>
      </c>
      <c r="AM183" s="573" t="str">
        <f>IF('Marks Entry'!V183="","",'Marks Entry'!V183)</f>
        <v/>
      </c>
      <c r="AN183" s="573" t="str">
        <f>IF('Marks Entry'!W183="","",'Marks Entry'!W183)</f>
        <v/>
      </c>
      <c r="AO183" s="573" t="str">
        <f>IF('Marks Entry'!X183="","",'Marks Entry'!X183)</f>
        <v/>
      </c>
      <c r="AP183" s="572" t="str">
        <f t="shared" si="430"/>
        <v/>
      </c>
      <c r="AQ183" s="573" t="str">
        <f>IF('Marks Entry'!Y183="","",'Marks Entry'!Y183)</f>
        <v/>
      </c>
      <c r="AR183" s="573" t="str">
        <f>IF('Marks Entry'!Z183="","",'Marks Entry'!Z183)</f>
        <v/>
      </c>
      <c r="AS183" s="572" t="str">
        <f t="shared" si="431"/>
        <v/>
      </c>
      <c r="AT183" s="572" t="str">
        <f t="shared" si="432"/>
        <v/>
      </c>
      <c r="AU183" s="573" t="str">
        <f>IF('Marks Entry'!AA183="","",'Marks Entry'!AA183)</f>
        <v/>
      </c>
      <c r="AV183" s="573" t="str">
        <f>IF('Marks Entry'!AB183="","",'Marks Entry'!AB183)</f>
        <v/>
      </c>
      <c r="AW183" s="572" t="str">
        <f t="shared" si="433"/>
        <v/>
      </c>
      <c r="AX183" s="157" t="str">
        <f t="shared" si="434"/>
        <v/>
      </c>
      <c r="AY183" s="157" t="str">
        <f t="shared" si="435"/>
        <v/>
      </c>
      <c r="AZ183" s="192" t="str">
        <f t="shared" si="436"/>
        <v/>
      </c>
      <c r="BA183" s="153">
        <f t="shared" si="437"/>
        <v>0</v>
      </c>
      <c r="BB183" s="154">
        <f t="shared" si="438"/>
        <v>0</v>
      </c>
      <c r="BC183" s="154" t="str">
        <f t="shared" si="439"/>
        <v/>
      </c>
      <c r="BD183" s="154" t="str">
        <f t="shared" si="440"/>
        <v/>
      </c>
      <c r="BE183" s="154" t="str">
        <f t="shared" si="441"/>
        <v/>
      </c>
      <c r="BF183" s="153" t="str">
        <f t="shared" si="442"/>
        <v/>
      </c>
      <c r="BG183" s="154" t="str">
        <f t="shared" si="443"/>
        <v/>
      </c>
      <c r="BH183" s="153" t="str">
        <f t="shared" si="444"/>
        <v/>
      </c>
      <c r="BI183" s="580" t="str">
        <f>IF('Marks Entry'!AC183="","",'Marks Entry'!AC183)</f>
        <v/>
      </c>
      <c r="BJ183" s="580" t="str">
        <f>IF('Marks Entry'!AD183="","",'Marks Entry'!AD183)</f>
        <v/>
      </c>
      <c r="BK183" s="580" t="str">
        <f>IF('Marks Entry'!AE183="","",'Marks Entry'!AE183)</f>
        <v/>
      </c>
      <c r="BL183" s="580" t="str">
        <f>IF('Marks Entry'!AF183="","",'Marks Entry'!AF183)</f>
        <v/>
      </c>
      <c r="BM183" s="581" t="str">
        <f t="shared" si="445"/>
        <v/>
      </c>
      <c r="BN183" s="580" t="str">
        <f>IF('Marks Entry'!AG183="","",'Marks Entry'!AG183)</f>
        <v/>
      </c>
      <c r="BO183" s="580" t="str">
        <f>IF('Marks Entry'!AH183="","",'Marks Entry'!AH183)</f>
        <v/>
      </c>
      <c r="BP183" s="581" t="str">
        <f t="shared" si="446"/>
        <v/>
      </c>
      <c r="BQ183" s="581" t="str">
        <f t="shared" si="447"/>
        <v/>
      </c>
      <c r="BR183" s="580" t="str">
        <f>IF('Marks Entry'!AI183="","",'Marks Entry'!AI183)</f>
        <v/>
      </c>
      <c r="BS183" s="580" t="str">
        <f>IF('Marks Entry'!AJ183="","",'Marks Entry'!AJ183)</f>
        <v/>
      </c>
      <c r="BT183" s="581" t="str">
        <f t="shared" si="448"/>
        <v/>
      </c>
      <c r="BU183" s="157" t="str">
        <f t="shared" si="449"/>
        <v/>
      </c>
      <c r="BV183" s="157" t="str">
        <f t="shared" si="450"/>
        <v/>
      </c>
      <c r="BW183" s="192" t="str">
        <f t="shared" si="451"/>
        <v/>
      </c>
      <c r="BX183" s="153">
        <f t="shared" si="452"/>
        <v>0</v>
      </c>
      <c r="BY183" s="154">
        <f t="shared" si="453"/>
        <v>0</v>
      </c>
      <c r="BZ183" s="154" t="str">
        <f t="shared" si="454"/>
        <v/>
      </c>
      <c r="CA183" s="154" t="str">
        <f t="shared" si="455"/>
        <v/>
      </c>
      <c r="CB183" s="154" t="str">
        <f t="shared" si="456"/>
        <v/>
      </c>
      <c r="CC183" s="153" t="str">
        <f t="shared" si="457"/>
        <v/>
      </c>
      <c r="CD183" s="154" t="str">
        <f t="shared" si="458"/>
        <v/>
      </c>
      <c r="CE183" s="153" t="str">
        <f t="shared" si="459"/>
        <v/>
      </c>
      <c r="CF183" s="580" t="str">
        <f>IF('Marks Entry'!AK183="","",'Marks Entry'!AK183)</f>
        <v/>
      </c>
      <c r="CG183" s="580" t="str">
        <f>IF('Marks Entry'!AL183="","",'Marks Entry'!AL183)</f>
        <v/>
      </c>
      <c r="CH183" s="580" t="str">
        <f>IF('Marks Entry'!AM183="","",'Marks Entry'!AM183)</f>
        <v/>
      </c>
      <c r="CI183" s="580" t="str">
        <f>IF('Marks Entry'!AN183="","",'Marks Entry'!AN183)</f>
        <v/>
      </c>
      <c r="CJ183" s="581" t="str">
        <f t="shared" si="460"/>
        <v/>
      </c>
      <c r="CK183" s="580" t="str">
        <f>IF('Marks Entry'!AO183="","",'Marks Entry'!AO183)</f>
        <v/>
      </c>
      <c r="CL183" s="580" t="str">
        <f>IF('Marks Entry'!AP183="","",'Marks Entry'!AP183)</f>
        <v/>
      </c>
      <c r="CM183" s="581" t="str">
        <f t="shared" si="461"/>
        <v/>
      </c>
      <c r="CN183" s="581" t="str">
        <f t="shared" si="462"/>
        <v/>
      </c>
      <c r="CO183" s="580" t="str">
        <f>IF('Marks Entry'!AQ183="","",'Marks Entry'!AQ183)</f>
        <v/>
      </c>
      <c r="CP183" s="580" t="str">
        <f>IF('Marks Entry'!AR183="","",'Marks Entry'!AR183)</f>
        <v/>
      </c>
      <c r="CQ183" s="581" t="str">
        <f t="shared" si="463"/>
        <v/>
      </c>
      <c r="CR183" s="157" t="str">
        <f t="shared" si="464"/>
        <v/>
      </c>
      <c r="CS183" s="157" t="str">
        <f t="shared" si="465"/>
        <v/>
      </c>
      <c r="CT183" s="192" t="str">
        <f t="shared" si="466"/>
        <v/>
      </c>
      <c r="CU183" s="153">
        <f t="shared" si="467"/>
        <v>0</v>
      </c>
      <c r="CV183" s="154">
        <f t="shared" si="468"/>
        <v>0</v>
      </c>
      <c r="CW183" s="154" t="str">
        <f t="shared" si="469"/>
        <v/>
      </c>
      <c r="CX183" s="154" t="str">
        <f t="shared" si="470"/>
        <v/>
      </c>
      <c r="CY183" s="154" t="str">
        <f t="shared" si="471"/>
        <v/>
      </c>
      <c r="CZ183" s="153" t="str">
        <f t="shared" si="472"/>
        <v/>
      </c>
      <c r="DA183" s="154" t="str">
        <f t="shared" si="473"/>
        <v/>
      </c>
      <c r="DB183" s="153" t="str">
        <f t="shared" si="474"/>
        <v/>
      </c>
      <c r="DC183" s="154">
        <f t="shared" si="475"/>
        <v>0</v>
      </c>
      <c r="DD183" s="826" t="str">
        <f>IF('Marks Entry'!AS183="","",IF(OR('Master Sheet'!$D$19="YES",'Marks Entry'!$BA$1=1),'Marks Entry'!AS183,""))</f>
        <v/>
      </c>
      <c r="DE183" s="826" t="str">
        <f>IF('Marks Entry'!AT183="","",IF(OR('Master Sheet'!$D$19="YES",'Marks Entry'!$BA$1=1),'Marks Entry'!AT183,""))</f>
        <v/>
      </c>
      <c r="DF183" s="826" t="str">
        <f>IF('Marks Entry'!AU183="","",IF(OR('Master Sheet'!$D$19="YES",'Marks Entry'!$BA$1=1),'Marks Entry'!AU183,""))</f>
        <v/>
      </c>
      <c r="DG183" s="826" t="str">
        <f>IF('Marks Entry'!AV183="","",IF(OR('Master Sheet'!$D$19="YES",'Marks Entry'!$BA$1=1),'Marks Entry'!AV183,""))</f>
        <v/>
      </c>
      <c r="DH183" s="827" t="str">
        <f t="shared" si="476"/>
        <v/>
      </c>
      <c r="DI183" s="826" t="str">
        <f>IF('Marks Entry'!AW183="","",IF(OR('Master Sheet'!$D$19="YES",'Marks Entry'!$BA$1=1),'Marks Entry'!AW183,""))</f>
        <v/>
      </c>
      <c r="DJ183" s="826" t="str">
        <f>IF('Marks Entry'!AX183="","",IF(OR('Master Sheet'!$D$19="YES",'Marks Entry'!$BA$1=1),'Marks Entry'!AX183,""))</f>
        <v/>
      </c>
      <c r="DK183" s="827" t="str">
        <f t="shared" si="477"/>
        <v/>
      </c>
      <c r="DL183" s="827" t="str">
        <f t="shared" si="478"/>
        <v/>
      </c>
      <c r="DM183" s="826" t="str">
        <f>IF('Marks Entry'!AY183="","",IF(OR('Master Sheet'!$D$19="YES",'Marks Entry'!$BA$1=1),'Marks Entry'!AY183,""))</f>
        <v/>
      </c>
      <c r="DN183" s="826" t="str">
        <f>IF('Marks Entry'!AZ183="","",IF(OR('Master Sheet'!$D$19="YES",'Marks Entry'!$BA$1=1),'Marks Entry'!AZ183,""))</f>
        <v/>
      </c>
      <c r="DO183" s="826" t="str">
        <f>IF('Marks Entry'!BA183="","",IF(OR('Master Sheet'!$D$19="YES",'Marks Entry'!$BA$1=1),'Marks Entry'!BA183,""))</f>
        <v/>
      </c>
      <c r="DP183" s="827" t="str">
        <f t="shared" si="479"/>
        <v/>
      </c>
      <c r="DQ183" s="157" t="str">
        <f t="shared" si="480"/>
        <v/>
      </c>
      <c r="DR183" s="157" t="str">
        <f t="shared" si="481"/>
        <v/>
      </c>
      <c r="DS183" s="157" t="str">
        <f t="shared" si="482"/>
        <v/>
      </c>
      <c r="DT183" s="192" t="str">
        <f t="shared" si="483"/>
        <v/>
      </c>
      <c r="DU183" s="153">
        <f t="shared" si="484"/>
        <v>0</v>
      </c>
      <c r="DV183" s="154" t="e">
        <f t="shared" si="485"/>
        <v>#VALUE!</v>
      </c>
      <c r="DW183" s="154" t="str">
        <f t="shared" si="486"/>
        <v/>
      </c>
      <c r="DX183" s="154" t="str">
        <f>IF(OR($B183="NSO",$B183=0,DS183=""),"",IF(AND(DJ183="",DO183=""),"",IF('Master Sheet'!$D$19="YES",$DO$6-COUNTIF(DO183,"ML")*DO$6,DS$6-(COUNTIF(DJ183,"ML")*DJ$6)-(COUNTIF(DO183,"ML")*DO$6))))</f>
        <v/>
      </c>
      <c r="DY183" s="154" t="str">
        <f>IF(OR($B183="NSO",$B183=0),"",IF(AND(DH183="",DI183="",DM183=""),"",IF(AND('Master Sheet'!$D$19="YES",'Marks Entry'!$BA$1=1),100,IF(AND(DJ183="",DO183=""),SUM(($DQ$7+$DR$7)-(DU183+DV183)),SUM(($DQ$6+$DR$6)-(DU183+DV183))))))</f>
        <v/>
      </c>
      <c r="DZ183" s="153" t="str">
        <f t="shared" si="487"/>
        <v/>
      </c>
      <c r="EA183" s="154" t="str">
        <f t="shared" si="488"/>
        <v/>
      </c>
      <c r="EB183" s="153" t="str">
        <f t="shared" si="489"/>
        <v/>
      </c>
      <c r="EC183" s="584" t="str">
        <f>IF('Marks Entry'!BB183="","",'Marks Entry'!BB183)</f>
        <v/>
      </c>
      <c r="ED183" s="584" t="str">
        <f>IF('Marks Entry'!BC183="","",'Marks Entry'!BC183)</f>
        <v/>
      </c>
      <c r="EE183" s="584" t="str">
        <f>IF('Marks Entry'!BD183="","",'Marks Entry'!BD183)</f>
        <v/>
      </c>
      <c r="EF183" s="590" t="str">
        <f t="shared" si="490"/>
        <v/>
      </c>
      <c r="EG183" s="595">
        <f t="shared" si="491"/>
        <v>0</v>
      </c>
      <c r="EH183" s="595">
        <f t="shared" si="492"/>
        <v>0</v>
      </c>
      <c r="EI183" s="193" t="str">
        <f t="shared" si="493"/>
        <v/>
      </c>
      <c r="EJ183" s="595" t="str">
        <f t="shared" si="494"/>
        <v/>
      </c>
      <c r="EK183" s="595" t="str">
        <f t="shared" si="495"/>
        <v/>
      </c>
      <c r="EL183" s="194" t="str">
        <f t="shared" si="496"/>
        <v/>
      </c>
      <c r="EM183" s="194" t="str">
        <f t="shared" si="497"/>
        <v/>
      </c>
      <c r="EN183" s="194" t="str">
        <f t="shared" si="498"/>
        <v/>
      </c>
      <c r="EO183" s="194" t="str">
        <f t="shared" si="499"/>
        <v/>
      </c>
      <c r="EP183" s="194" t="str">
        <f t="shared" si="500"/>
        <v/>
      </c>
      <c r="EQ183" s="194" t="str">
        <f t="shared" si="501"/>
        <v/>
      </c>
      <c r="ER183" s="195">
        <f t="shared" si="502"/>
        <v>0</v>
      </c>
      <c r="ES183" s="195">
        <f t="shared" si="503"/>
        <v>0</v>
      </c>
      <c r="ET183" s="195">
        <f t="shared" si="504"/>
        <v>0</v>
      </c>
      <c r="EU183" s="195">
        <f t="shared" si="505"/>
        <v>0</v>
      </c>
      <c r="EV183" s="195">
        <f t="shared" si="506"/>
        <v>0</v>
      </c>
      <c r="EW183" s="195" t="str">
        <f t="shared" si="507"/>
        <v/>
      </c>
      <c r="EX183" s="196" t="str">
        <f t="shared" si="508"/>
        <v/>
      </c>
      <c r="EY183" s="197" t="str">
        <f>IF('Marks Entry'!BE183="","",'Marks Entry'!BE183)</f>
        <v/>
      </c>
      <c r="EZ183" s="197" t="str">
        <f>IF('Marks Entry'!BF183="","",'Marks Entry'!BF183)</f>
        <v/>
      </c>
      <c r="FA183" s="197" t="str">
        <f>IF('Marks Entry'!BG183="","",'Marks Entry'!BG183)</f>
        <v/>
      </c>
      <c r="FB183" s="596" t="str">
        <f t="shared" si="509"/>
        <v/>
      </c>
      <c r="FC183" s="197" t="str">
        <f>IF('Marks Entry'!BH183="","",'Marks Entry'!BH183)</f>
        <v/>
      </c>
      <c r="FD183" s="197" t="str">
        <f>IF('Marks Entry'!BI183="","",'Marks Entry'!BI183)</f>
        <v/>
      </c>
      <c r="FE183" s="198" t="str">
        <f t="shared" si="510"/>
        <v/>
      </c>
      <c r="FF183" s="199" t="str">
        <f t="shared" si="511"/>
        <v/>
      </c>
      <c r="FG183" s="200" t="str">
        <f>IF(AND(E183=""),"",IF('Student DATA Entry'!L179="","",'Student DATA Entry'!L179))</f>
        <v/>
      </c>
      <c r="FH183" s="201" t="str">
        <f>IF(AND(E183=""),"",IF('Student DATA Entry'!M179="","",'Student DATA Entry'!M179))</f>
        <v/>
      </c>
      <c r="FI183" s="202" t="str">
        <f t="shared" si="512"/>
        <v/>
      </c>
      <c r="FJ183" s="189" t="str">
        <f t="shared" si="513"/>
        <v/>
      </c>
      <c r="FK183" s="189" t="str">
        <f t="shared" si="514"/>
        <v/>
      </c>
      <c r="FL183" s="203" t="str">
        <f t="shared" si="542"/>
        <v/>
      </c>
      <c r="FM183" s="189" t="str">
        <f t="shared" si="515"/>
        <v/>
      </c>
      <c r="FN183" s="204" t="str">
        <f t="shared" si="516"/>
        <v/>
      </c>
      <c r="FO183" s="203" t="str">
        <f t="shared" si="543"/>
        <v/>
      </c>
      <c r="FP183" s="205" t="str">
        <f t="shared" si="517"/>
        <v/>
      </c>
      <c r="FQ183" s="189" t="str">
        <f t="shared" si="544"/>
        <v/>
      </c>
      <c r="FR183" s="189" t="str">
        <f t="shared" si="545"/>
        <v/>
      </c>
      <c r="FS183" s="189" t="str">
        <f t="shared" si="546"/>
        <v/>
      </c>
      <c r="FT183" s="189" t="str">
        <f t="shared" si="547"/>
        <v/>
      </c>
      <c r="FU183" s="189" t="str">
        <f t="shared" si="518"/>
        <v/>
      </c>
      <c r="FV183" s="206" t="str">
        <f t="shared" si="548"/>
        <v/>
      </c>
      <c r="FW183" s="205" t="str">
        <f t="shared" si="519"/>
        <v/>
      </c>
      <c r="FX183" s="189" t="str">
        <f t="shared" si="549"/>
        <v/>
      </c>
      <c r="FY183" s="189" t="str">
        <f t="shared" si="550"/>
        <v/>
      </c>
      <c r="FZ183" s="189" t="str">
        <f t="shared" si="551"/>
        <v/>
      </c>
      <c r="GA183" s="189" t="str">
        <f t="shared" si="552"/>
        <v/>
      </c>
      <c r="GB183" s="189" t="str">
        <f t="shared" si="520"/>
        <v/>
      </c>
      <c r="GC183" s="206" t="str">
        <f t="shared" si="553"/>
        <v/>
      </c>
      <c r="GD183" s="205" t="str">
        <f t="shared" si="521"/>
        <v/>
      </c>
      <c r="GE183" s="189" t="str">
        <f t="shared" si="554"/>
        <v/>
      </c>
      <c r="GF183" s="189" t="str">
        <f t="shared" si="555"/>
        <v/>
      </c>
      <c r="GG183" s="189" t="str">
        <f t="shared" si="556"/>
        <v/>
      </c>
      <c r="GH183" s="189" t="str">
        <f t="shared" si="557"/>
        <v/>
      </c>
      <c r="GI183" s="189" t="str">
        <f t="shared" si="522"/>
        <v/>
      </c>
      <c r="GJ183" s="206" t="str">
        <f t="shared" si="558"/>
        <v/>
      </c>
      <c r="GK183" s="205" t="str">
        <f t="shared" si="523"/>
        <v/>
      </c>
      <c r="GL183" s="189" t="str">
        <f t="shared" si="559"/>
        <v/>
      </c>
      <c r="GM183" s="189" t="str">
        <f t="shared" si="560"/>
        <v/>
      </c>
      <c r="GN183" s="189" t="str">
        <f t="shared" si="561"/>
        <v/>
      </c>
      <c r="GO183" s="189" t="str">
        <f t="shared" si="562"/>
        <v/>
      </c>
      <c r="GP183" s="189" t="str">
        <f t="shared" si="524"/>
        <v/>
      </c>
      <c r="GQ183" s="206" t="str">
        <f t="shared" si="563"/>
        <v/>
      </c>
      <c r="GR183" s="189" t="str">
        <f t="shared" si="525"/>
        <v/>
      </c>
      <c r="GS183" s="189" t="str">
        <f t="shared" si="526"/>
        <v/>
      </c>
      <c r="GT183" s="207" t="str">
        <f t="shared" si="527"/>
        <v xml:space="preserve">    </v>
      </c>
      <c r="GU183" s="207" t="str">
        <f t="shared" si="528"/>
        <v xml:space="preserve">    </v>
      </c>
      <c r="GV183" s="207" t="str">
        <f t="shared" si="529"/>
        <v xml:space="preserve">    </v>
      </c>
      <c r="GW183" s="207" t="str">
        <f t="shared" si="530"/>
        <v xml:space="preserve">       </v>
      </c>
      <c r="GX183" s="598" t="str">
        <f t="shared" si="531"/>
        <v xml:space="preserve">     </v>
      </c>
      <c r="GY183" s="208" t="str">
        <f t="shared" si="564"/>
        <v/>
      </c>
      <c r="GZ183" s="606" t="str">
        <f>IF(AND(Q183="",AE183="",AZ183="",BW183="",CT183=""),"",IF(AND('Master Sheet'!$D$19="YES",'Marks Entry'!$BA$1=1),SUM(Q183,AE183,AZ183,BW183,DT183),SUM(Q183,AE183,AZ183,BW183,CT183)))</f>
        <v/>
      </c>
      <c r="HA183" s="209" t="str">
        <f>IF(GZ183="","",IF(AND('Master Sheet'!$D$19="YES",'Marks Entry'!$BA$1=1),GZ183/((900)-DC183)*100,GZ183/((1000)-DC183)*100))</f>
        <v/>
      </c>
      <c r="HB183" s="611" t="str">
        <f t="shared" si="532"/>
        <v/>
      </c>
      <c r="HC183" s="609" t="str">
        <f t="shared" si="533"/>
        <v/>
      </c>
      <c r="HD183" s="610" t="str">
        <f t="shared" si="534"/>
        <v/>
      </c>
      <c r="HE183" s="210" t="str">
        <f>IFERROR(IF(OR(GY183="SUPPLEMENTARY",GY183="RE-EXAM"),'Supp. Result Entry'!AS182,""),"")</f>
        <v/>
      </c>
      <c r="HF183" s="613" t="str">
        <f t="shared" si="535"/>
        <v/>
      </c>
      <c r="HG183" s="598" t="str">
        <f t="shared" si="536"/>
        <v/>
      </c>
      <c r="HH183" s="598" t="str">
        <f>IF(AND(HE183="",HF183="",HG183=""),"",IF(OR(GY183="SUPPLEMENTARY",GY183="RE-EXAM"),'Supp. Result Entry'!AS182,GY183))</f>
        <v/>
      </c>
      <c r="HI183" s="180"/>
      <c r="HY183" s="212" t="str">
        <f>IF('Supp. Result Entry'!U182="","",'Supp. Result Entry'!$U$6)</f>
        <v/>
      </c>
      <c r="HZ183" s="213" t="str">
        <f>IF('Supp. Result Entry'!X182="","",'Supp. Result Entry'!$X$6)</f>
        <v/>
      </c>
      <c r="IA183" s="213" t="str">
        <f>IF('Supp. Result Entry'!AA182="","",'Supp. Result Entry'!$AA$6)</f>
        <v/>
      </c>
      <c r="IB183" s="213" t="str">
        <f>IF('Supp. Result Entry'!AD182="","",'Supp. Result Entry'!$AD$6)</f>
        <v/>
      </c>
      <c r="IC183" s="213" t="str">
        <f>IF('Supp. Result Entry'!AG182="","",'Supp. Result Entry'!$AG$6)</f>
        <v/>
      </c>
      <c r="ID183" s="213" t="str">
        <f>IF('Supp. Result Entry'!AJ182="","",'Supp. Result Entry'!$AJ$6)</f>
        <v/>
      </c>
      <c r="IE183" s="213" t="str">
        <f>IF('Supp. Result Entry'!V182="","",'Supp. Result Entry'!V182)</f>
        <v/>
      </c>
      <c r="IF183" s="213" t="str">
        <f>IF('Supp. Result Entry'!Y182="","",'Supp. Result Entry'!Y182)</f>
        <v/>
      </c>
      <c r="IG183" s="213" t="str">
        <f>IF('Supp. Result Entry'!AB182="","",'Supp. Result Entry'!AB182)</f>
        <v/>
      </c>
      <c r="IH183" s="213" t="str">
        <f>IF('Supp. Result Entry'!AE182="","",'Supp. Result Entry'!AE182)</f>
        <v/>
      </c>
      <c r="II183" s="213" t="str">
        <f>IF('Supp. Result Entry'!AH182="","",'Supp. Result Entry'!AH182)</f>
        <v/>
      </c>
      <c r="IJ183" s="213" t="str">
        <f>IF('Supp. Result Entry'!AK182="","",'Supp. Result Entry'!AK182)</f>
        <v/>
      </c>
      <c r="IK183" s="213" t="str">
        <f>IF('Supp. Result Entry'!W182="","",'Supp. Result Entry'!W182)</f>
        <v/>
      </c>
      <c r="IL183" s="213" t="str">
        <f>IF('Supp. Result Entry'!Z182="","",'Supp. Result Entry'!Z182)</f>
        <v/>
      </c>
      <c r="IM183" s="213" t="str">
        <f>IF('Supp. Result Entry'!AC182="","",'Supp. Result Entry'!AC182)</f>
        <v/>
      </c>
      <c r="IN183" s="213" t="str">
        <f>IF('Supp. Result Entry'!AF182="","",'Supp. Result Entry'!AF182)</f>
        <v/>
      </c>
      <c r="IO183" s="213" t="str">
        <f>IF('Supp. Result Entry'!AI182="","",'Supp. Result Entry'!AI182)</f>
        <v/>
      </c>
      <c r="IP183" s="213" t="str">
        <f>IF('Supp. Result Entry'!AL182="","",'Supp. Result Entry'!AL182)</f>
        <v/>
      </c>
      <c r="IQ183" s="213">
        <f>COUNTIF('Supp. Result Entry'!K182:Q182,"S")</f>
        <v>0</v>
      </c>
      <c r="IR183" s="213">
        <f t="shared" si="537"/>
        <v>0</v>
      </c>
      <c r="IS183" s="213">
        <f t="shared" si="538"/>
        <v>0</v>
      </c>
      <c r="IT183" s="213" t="str">
        <f t="shared" si="406"/>
        <v/>
      </c>
      <c r="IU183" s="213" t="str">
        <f t="shared" si="407"/>
        <v/>
      </c>
      <c r="IV183" s="213" t="str">
        <f t="shared" si="408"/>
        <v/>
      </c>
      <c r="IW183" s="213" t="str">
        <f t="shared" si="409"/>
        <v/>
      </c>
      <c r="IX183" s="213" t="str">
        <f t="shared" si="410"/>
        <v/>
      </c>
      <c r="IY183" s="213" t="str">
        <f t="shared" si="539"/>
        <v/>
      </c>
      <c r="IZ183" s="213" t="str">
        <f t="shared" si="540"/>
        <v/>
      </c>
      <c r="JA183" s="213" t="str">
        <f t="shared" si="411"/>
        <v/>
      </c>
      <c r="JB183" s="211" t="str">
        <f t="shared" si="541"/>
        <v/>
      </c>
    </row>
    <row r="184" spans="1:262" s="211" customFormat="1" ht="21" customHeight="1">
      <c r="A184" s="184">
        <v>177</v>
      </c>
      <c r="B184" s="185" t="str">
        <f>IF('Marks Entry'!B184="","",'Marks Entry'!B184)</f>
        <v/>
      </c>
      <c r="C184" s="186" t="str">
        <f>IF('Marks Entry'!D184="","",'Marks Entry'!D184)</f>
        <v/>
      </c>
      <c r="D184" s="187" t="str">
        <f>IF('Marks Entry'!E184="","",'Marks Entry'!E184)</f>
        <v/>
      </c>
      <c r="E184" s="188" t="str">
        <f>IF('Marks Entry'!F184="","",'Marks Entry'!F184)</f>
        <v/>
      </c>
      <c r="F184" s="188" t="str">
        <f>IF('Marks Entry'!G184="","",'Marks Entry'!G184)</f>
        <v/>
      </c>
      <c r="G184" s="188" t="str">
        <f>IF('Marks Entry'!H184="","",'Marks Entry'!H184)</f>
        <v/>
      </c>
      <c r="H184" s="189" t="str">
        <f>IF('Marks Entry'!I184="","",'Marks Entry'!I184)</f>
        <v/>
      </c>
      <c r="I184" s="190" t="str">
        <f>IF('Marks Entry'!J184="","",'Marks Entry'!J184)</f>
        <v/>
      </c>
      <c r="J184" s="545" t="str">
        <f>IF('Marks Entry'!K184="","",'Marks Entry'!K184)</f>
        <v/>
      </c>
      <c r="K184" s="545" t="str">
        <f>IF('Marks Entry'!L184="","",'Marks Entry'!L184)</f>
        <v/>
      </c>
      <c r="L184" s="545" t="str">
        <f>IF('Marks Entry'!M184="","",'Marks Entry'!M184)</f>
        <v/>
      </c>
      <c r="M184" s="546" t="str">
        <f t="shared" si="412"/>
        <v/>
      </c>
      <c r="N184" s="545" t="str">
        <f>IF('Marks Entry'!N184="","",'Marks Entry'!N184)</f>
        <v/>
      </c>
      <c r="O184" s="546" t="str">
        <f t="shared" si="413"/>
        <v/>
      </c>
      <c r="P184" s="545" t="str">
        <f>IF('Marks Entry'!O184="","",'Marks Entry'!O184)</f>
        <v/>
      </c>
      <c r="Q184" s="547" t="str">
        <f t="shared" si="414"/>
        <v/>
      </c>
      <c r="R184" s="153">
        <f t="shared" si="415"/>
        <v>0</v>
      </c>
      <c r="S184" s="153">
        <f t="shared" si="416"/>
        <v>0</v>
      </c>
      <c r="T184" s="154" t="str">
        <f t="shared" si="417"/>
        <v/>
      </c>
      <c r="U184" s="153" t="str">
        <f t="shared" si="418"/>
        <v/>
      </c>
      <c r="V184" s="153" t="str">
        <f t="shared" si="419"/>
        <v/>
      </c>
      <c r="W184" s="153" t="str">
        <f t="shared" si="420"/>
        <v/>
      </c>
      <c r="X184" s="545" t="str">
        <f>IF('Marks Entry'!P184="","",'Marks Entry'!P184)</f>
        <v/>
      </c>
      <c r="Y184" s="545" t="str">
        <f>IF('Marks Entry'!Q184="","",'Marks Entry'!Q184)</f>
        <v/>
      </c>
      <c r="Z184" s="545" t="str">
        <f>IF('Marks Entry'!R184="","",'Marks Entry'!R184)</f>
        <v/>
      </c>
      <c r="AA184" s="546" t="str">
        <f t="shared" si="421"/>
        <v/>
      </c>
      <c r="AB184" s="545" t="str">
        <f>IF('Marks Entry'!S184="","",'Marks Entry'!S184)</f>
        <v/>
      </c>
      <c r="AC184" s="546" t="str">
        <f t="shared" si="422"/>
        <v/>
      </c>
      <c r="AD184" s="545" t="str">
        <f>IF('Marks Entry'!T184="","",'Marks Entry'!T184)</f>
        <v/>
      </c>
      <c r="AE184" s="547" t="str">
        <f t="shared" si="423"/>
        <v/>
      </c>
      <c r="AF184" s="153">
        <f t="shared" si="424"/>
        <v>0</v>
      </c>
      <c r="AG184" s="153">
        <f t="shared" si="425"/>
        <v>0</v>
      </c>
      <c r="AH184" s="154" t="str">
        <f t="shared" si="426"/>
        <v/>
      </c>
      <c r="AI184" s="153" t="str">
        <f t="shared" si="427"/>
        <v/>
      </c>
      <c r="AJ184" s="153" t="str">
        <f t="shared" si="428"/>
        <v/>
      </c>
      <c r="AK184" s="153" t="str">
        <f t="shared" si="429"/>
        <v/>
      </c>
      <c r="AL184" s="573" t="str">
        <f>IF('Marks Entry'!U184="","",'Marks Entry'!U184)</f>
        <v/>
      </c>
      <c r="AM184" s="573" t="str">
        <f>IF('Marks Entry'!V184="","",'Marks Entry'!V184)</f>
        <v/>
      </c>
      <c r="AN184" s="573" t="str">
        <f>IF('Marks Entry'!W184="","",'Marks Entry'!W184)</f>
        <v/>
      </c>
      <c r="AO184" s="573" t="str">
        <f>IF('Marks Entry'!X184="","",'Marks Entry'!X184)</f>
        <v/>
      </c>
      <c r="AP184" s="572" t="str">
        <f t="shared" si="430"/>
        <v/>
      </c>
      <c r="AQ184" s="573" t="str">
        <f>IF('Marks Entry'!Y184="","",'Marks Entry'!Y184)</f>
        <v/>
      </c>
      <c r="AR184" s="573" t="str">
        <f>IF('Marks Entry'!Z184="","",'Marks Entry'!Z184)</f>
        <v/>
      </c>
      <c r="AS184" s="572" t="str">
        <f t="shared" si="431"/>
        <v/>
      </c>
      <c r="AT184" s="572" t="str">
        <f t="shared" si="432"/>
        <v/>
      </c>
      <c r="AU184" s="573" t="str">
        <f>IF('Marks Entry'!AA184="","",'Marks Entry'!AA184)</f>
        <v/>
      </c>
      <c r="AV184" s="573" t="str">
        <f>IF('Marks Entry'!AB184="","",'Marks Entry'!AB184)</f>
        <v/>
      </c>
      <c r="AW184" s="572" t="str">
        <f t="shared" si="433"/>
        <v/>
      </c>
      <c r="AX184" s="157" t="str">
        <f t="shared" si="434"/>
        <v/>
      </c>
      <c r="AY184" s="157" t="str">
        <f t="shared" si="435"/>
        <v/>
      </c>
      <c r="AZ184" s="192" t="str">
        <f t="shared" si="436"/>
        <v/>
      </c>
      <c r="BA184" s="153">
        <f t="shared" si="437"/>
        <v>0</v>
      </c>
      <c r="BB184" s="154">
        <f t="shared" si="438"/>
        <v>0</v>
      </c>
      <c r="BC184" s="154" t="str">
        <f t="shared" si="439"/>
        <v/>
      </c>
      <c r="BD184" s="154" t="str">
        <f t="shared" si="440"/>
        <v/>
      </c>
      <c r="BE184" s="154" t="str">
        <f t="shared" si="441"/>
        <v/>
      </c>
      <c r="BF184" s="153" t="str">
        <f t="shared" si="442"/>
        <v/>
      </c>
      <c r="BG184" s="154" t="str">
        <f t="shared" si="443"/>
        <v/>
      </c>
      <c r="BH184" s="153" t="str">
        <f t="shared" si="444"/>
        <v/>
      </c>
      <c r="BI184" s="580" t="str">
        <f>IF('Marks Entry'!AC184="","",'Marks Entry'!AC184)</f>
        <v/>
      </c>
      <c r="BJ184" s="580" t="str">
        <f>IF('Marks Entry'!AD184="","",'Marks Entry'!AD184)</f>
        <v/>
      </c>
      <c r="BK184" s="580" t="str">
        <f>IF('Marks Entry'!AE184="","",'Marks Entry'!AE184)</f>
        <v/>
      </c>
      <c r="BL184" s="580" t="str">
        <f>IF('Marks Entry'!AF184="","",'Marks Entry'!AF184)</f>
        <v/>
      </c>
      <c r="BM184" s="581" t="str">
        <f t="shared" si="445"/>
        <v/>
      </c>
      <c r="BN184" s="580" t="str">
        <f>IF('Marks Entry'!AG184="","",'Marks Entry'!AG184)</f>
        <v/>
      </c>
      <c r="BO184" s="580" t="str">
        <f>IF('Marks Entry'!AH184="","",'Marks Entry'!AH184)</f>
        <v/>
      </c>
      <c r="BP184" s="581" t="str">
        <f t="shared" si="446"/>
        <v/>
      </c>
      <c r="BQ184" s="581" t="str">
        <f t="shared" si="447"/>
        <v/>
      </c>
      <c r="BR184" s="580" t="str">
        <f>IF('Marks Entry'!AI184="","",'Marks Entry'!AI184)</f>
        <v/>
      </c>
      <c r="BS184" s="580" t="str">
        <f>IF('Marks Entry'!AJ184="","",'Marks Entry'!AJ184)</f>
        <v/>
      </c>
      <c r="BT184" s="581" t="str">
        <f t="shared" si="448"/>
        <v/>
      </c>
      <c r="BU184" s="157" t="str">
        <f t="shared" si="449"/>
        <v/>
      </c>
      <c r="BV184" s="157" t="str">
        <f t="shared" si="450"/>
        <v/>
      </c>
      <c r="BW184" s="192" t="str">
        <f t="shared" si="451"/>
        <v/>
      </c>
      <c r="BX184" s="153">
        <f t="shared" si="452"/>
        <v>0</v>
      </c>
      <c r="BY184" s="154">
        <f t="shared" si="453"/>
        <v>0</v>
      </c>
      <c r="BZ184" s="154" t="str">
        <f t="shared" si="454"/>
        <v/>
      </c>
      <c r="CA184" s="154" t="str">
        <f t="shared" si="455"/>
        <v/>
      </c>
      <c r="CB184" s="154" t="str">
        <f t="shared" si="456"/>
        <v/>
      </c>
      <c r="CC184" s="153" t="str">
        <f t="shared" si="457"/>
        <v/>
      </c>
      <c r="CD184" s="154" t="str">
        <f t="shared" si="458"/>
        <v/>
      </c>
      <c r="CE184" s="153" t="str">
        <f t="shared" si="459"/>
        <v/>
      </c>
      <c r="CF184" s="580" t="str">
        <f>IF('Marks Entry'!AK184="","",'Marks Entry'!AK184)</f>
        <v/>
      </c>
      <c r="CG184" s="580" t="str">
        <f>IF('Marks Entry'!AL184="","",'Marks Entry'!AL184)</f>
        <v/>
      </c>
      <c r="CH184" s="580" t="str">
        <f>IF('Marks Entry'!AM184="","",'Marks Entry'!AM184)</f>
        <v/>
      </c>
      <c r="CI184" s="580" t="str">
        <f>IF('Marks Entry'!AN184="","",'Marks Entry'!AN184)</f>
        <v/>
      </c>
      <c r="CJ184" s="581" t="str">
        <f t="shared" si="460"/>
        <v/>
      </c>
      <c r="CK184" s="580" t="str">
        <f>IF('Marks Entry'!AO184="","",'Marks Entry'!AO184)</f>
        <v/>
      </c>
      <c r="CL184" s="580" t="str">
        <f>IF('Marks Entry'!AP184="","",'Marks Entry'!AP184)</f>
        <v/>
      </c>
      <c r="CM184" s="581" t="str">
        <f t="shared" si="461"/>
        <v/>
      </c>
      <c r="CN184" s="581" t="str">
        <f t="shared" si="462"/>
        <v/>
      </c>
      <c r="CO184" s="580" t="str">
        <f>IF('Marks Entry'!AQ184="","",'Marks Entry'!AQ184)</f>
        <v/>
      </c>
      <c r="CP184" s="580" t="str">
        <f>IF('Marks Entry'!AR184="","",'Marks Entry'!AR184)</f>
        <v/>
      </c>
      <c r="CQ184" s="581" t="str">
        <f t="shared" si="463"/>
        <v/>
      </c>
      <c r="CR184" s="157" t="str">
        <f t="shared" si="464"/>
        <v/>
      </c>
      <c r="CS184" s="157" t="str">
        <f t="shared" si="465"/>
        <v/>
      </c>
      <c r="CT184" s="192" t="str">
        <f t="shared" si="466"/>
        <v/>
      </c>
      <c r="CU184" s="153">
        <f t="shared" si="467"/>
        <v>0</v>
      </c>
      <c r="CV184" s="154">
        <f t="shared" si="468"/>
        <v>0</v>
      </c>
      <c r="CW184" s="154" t="str">
        <f t="shared" si="469"/>
        <v/>
      </c>
      <c r="CX184" s="154" t="str">
        <f t="shared" si="470"/>
        <v/>
      </c>
      <c r="CY184" s="154" t="str">
        <f t="shared" si="471"/>
        <v/>
      </c>
      <c r="CZ184" s="153" t="str">
        <f t="shared" si="472"/>
        <v/>
      </c>
      <c r="DA184" s="154" t="str">
        <f t="shared" si="473"/>
        <v/>
      </c>
      <c r="DB184" s="153" t="str">
        <f t="shared" si="474"/>
        <v/>
      </c>
      <c r="DC184" s="154">
        <f t="shared" si="475"/>
        <v>0</v>
      </c>
      <c r="DD184" s="826" t="str">
        <f>IF('Marks Entry'!AS184="","",IF(OR('Master Sheet'!$D$19="YES",'Marks Entry'!$BA$1=1),'Marks Entry'!AS184,""))</f>
        <v/>
      </c>
      <c r="DE184" s="826" t="str">
        <f>IF('Marks Entry'!AT184="","",IF(OR('Master Sheet'!$D$19="YES",'Marks Entry'!$BA$1=1),'Marks Entry'!AT184,""))</f>
        <v/>
      </c>
      <c r="DF184" s="826" t="str">
        <f>IF('Marks Entry'!AU184="","",IF(OR('Master Sheet'!$D$19="YES",'Marks Entry'!$BA$1=1),'Marks Entry'!AU184,""))</f>
        <v/>
      </c>
      <c r="DG184" s="826" t="str">
        <f>IF('Marks Entry'!AV184="","",IF(OR('Master Sheet'!$D$19="YES",'Marks Entry'!$BA$1=1),'Marks Entry'!AV184,""))</f>
        <v/>
      </c>
      <c r="DH184" s="827" t="str">
        <f t="shared" si="476"/>
        <v/>
      </c>
      <c r="DI184" s="826" t="str">
        <f>IF('Marks Entry'!AW184="","",IF(OR('Master Sheet'!$D$19="YES",'Marks Entry'!$BA$1=1),'Marks Entry'!AW184,""))</f>
        <v/>
      </c>
      <c r="DJ184" s="826" t="str">
        <f>IF('Marks Entry'!AX184="","",IF(OR('Master Sheet'!$D$19="YES",'Marks Entry'!$BA$1=1),'Marks Entry'!AX184,""))</f>
        <v/>
      </c>
      <c r="DK184" s="827" t="str">
        <f t="shared" si="477"/>
        <v/>
      </c>
      <c r="DL184" s="827" t="str">
        <f t="shared" si="478"/>
        <v/>
      </c>
      <c r="DM184" s="826" t="str">
        <f>IF('Marks Entry'!AY184="","",IF(OR('Master Sheet'!$D$19="YES",'Marks Entry'!$BA$1=1),'Marks Entry'!AY184,""))</f>
        <v/>
      </c>
      <c r="DN184" s="826" t="str">
        <f>IF('Marks Entry'!AZ184="","",IF(OR('Master Sheet'!$D$19="YES",'Marks Entry'!$BA$1=1),'Marks Entry'!AZ184,""))</f>
        <v/>
      </c>
      <c r="DO184" s="826" t="str">
        <f>IF('Marks Entry'!BA184="","",IF(OR('Master Sheet'!$D$19="YES",'Marks Entry'!$BA$1=1),'Marks Entry'!BA184,""))</f>
        <v/>
      </c>
      <c r="DP184" s="827" t="str">
        <f t="shared" si="479"/>
        <v/>
      </c>
      <c r="DQ184" s="157" t="str">
        <f t="shared" si="480"/>
        <v/>
      </c>
      <c r="DR184" s="157" t="str">
        <f t="shared" si="481"/>
        <v/>
      </c>
      <c r="DS184" s="157" t="str">
        <f t="shared" si="482"/>
        <v/>
      </c>
      <c r="DT184" s="192" t="str">
        <f t="shared" si="483"/>
        <v/>
      </c>
      <c r="DU184" s="153">
        <f t="shared" si="484"/>
        <v>0</v>
      </c>
      <c r="DV184" s="154" t="e">
        <f t="shared" si="485"/>
        <v>#VALUE!</v>
      </c>
      <c r="DW184" s="154" t="str">
        <f t="shared" si="486"/>
        <v/>
      </c>
      <c r="DX184" s="154" t="str">
        <f>IF(OR($B184="NSO",$B184=0,DS184=""),"",IF(AND(DJ184="",DO184=""),"",IF('Master Sheet'!$D$19="YES",$DO$6-COUNTIF(DO184,"ML")*DO$6,DS$6-(COUNTIF(DJ184,"ML")*DJ$6)-(COUNTIF(DO184,"ML")*DO$6))))</f>
        <v/>
      </c>
      <c r="DY184" s="154" t="str">
        <f>IF(OR($B184="NSO",$B184=0),"",IF(AND(DH184="",DI184="",DM184=""),"",IF(AND('Master Sheet'!$D$19="YES",'Marks Entry'!$BA$1=1),100,IF(AND(DJ184="",DO184=""),SUM(($DQ$7+$DR$7)-(DU184+DV184)),SUM(($DQ$6+$DR$6)-(DU184+DV184))))))</f>
        <v/>
      </c>
      <c r="DZ184" s="153" t="str">
        <f t="shared" si="487"/>
        <v/>
      </c>
      <c r="EA184" s="154" t="str">
        <f t="shared" si="488"/>
        <v/>
      </c>
      <c r="EB184" s="153" t="str">
        <f t="shared" si="489"/>
        <v/>
      </c>
      <c r="EC184" s="584" t="str">
        <f>IF('Marks Entry'!BB184="","",'Marks Entry'!BB184)</f>
        <v/>
      </c>
      <c r="ED184" s="584" t="str">
        <f>IF('Marks Entry'!BC184="","",'Marks Entry'!BC184)</f>
        <v/>
      </c>
      <c r="EE184" s="584" t="str">
        <f>IF('Marks Entry'!BD184="","",'Marks Entry'!BD184)</f>
        <v/>
      </c>
      <c r="EF184" s="590" t="str">
        <f t="shared" si="490"/>
        <v/>
      </c>
      <c r="EG184" s="595">
        <f t="shared" si="491"/>
        <v>0</v>
      </c>
      <c r="EH184" s="595">
        <f t="shared" si="492"/>
        <v>0</v>
      </c>
      <c r="EI184" s="193" t="str">
        <f t="shared" si="493"/>
        <v/>
      </c>
      <c r="EJ184" s="595" t="str">
        <f t="shared" si="494"/>
        <v/>
      </c>
      <c r="EK184" s="595" t="str">
        <f t="shared" si="495"/>
        <v/>
      </c>
      <c r="EL184" s="194" t="str">
        <f t="shared" si="496"/>
        <v/>
      </c>
      <c r="EM184" s="194" t="str">
        <f t="shared" si="497"/>
        <v/>
      </c>
      <c r="EN184" s="194" t="str">
        <f t="shared" si="498"/>
        <v/>
      </c>
      <c r="EO184" s="194" t="str">
        <f t="shared" si="499"/>
        <v/>
      </c>
      <c r="EP184" s="194" t="str">
        <f t="shared" si="500"/>
        <v/>
      </c>
      <c r="EQ184" s="194" t="str">
        <f t="shared" si="501"/>
        <v/>
      </c>
      <c r="ER184" s="195">
        <f t="shared" si="502"/>
        <v>0</v>
      </c>
      <c r="ES184" s="195">
        <f t="shared" si="503"/>
        <v>0</v>
      </c>
      <c r="ET184" s="195">
        <f t="shared" si="504"/>
        <v>0</v>
      </c>
      <c r="EU184" s="195">
        <f t="shared" si="505"/>
        <v>0</v>
      </c>
      <c r="EV184" s="195">
        <f t="shared" si="506"/>
        <v>0</v>
      </c>
      <c r="EW184" s="195" t="str">
        <f t="shared" si="507"/>
        <v/>
      </c>
      <c r="EX184" s="196" t="str">
        <f t="shared" si="508"/>
        <v/>
      </c>
      <c r="EY184" s="197" t="str">
        <f>IF('Marks Entry'!BE184="","",'Marks Entry'!BE184)</f>
        <v/>
      </c>
      <c r="EZ184" s="197" t="str">
        <f>IF('Marks Entry'!BF184="","",'Marks Entry'!BF184)</f>
        <v/>
      </c>
      <c r="FA184" s="197" t="str">
        <f>IF('Marks Entry'!BG184="","",'Marks Entry'!BG184)</f>
        <v/>
      </c>
      <c r="FB184" s="596" t="str">
        <f t="shared" si="509"/>
        <v/>
      </c>
      <c r="FC184" s="197" t="str">
        <f>IF('Marks Entry'!BH184="","",'Marks Entry'!BH184)</f>
        <v/>
      </c>
      <c r="FD184" s="197" t="str">
        <f>IF('Marks Entry'!BI184="","",'Marks Entry'!BI184)</f>
        <v/>
      </c>
      <c r="FE184" s="198" t="str">
        <f t="shared" si="510"/>
        <v/>
      </c>
      <c r="FF184" s="199" t="str">
        <f t="shared" si="511"/>
        <v/>
      </c>
      <c r="FG184" s="200" t="str">
        <f>IF(AND(E184=""),"",IF('Student DATA Entry'!L180="","",'Student DATA Entry'!L180))</f>
        <v/>
      </c>
      <c r="FH184" s="201" t="str">
        <f>IF(AND(E184=""),"",IF('Student DATA Entry'!M180="","",'Student DATA Entry'!M180))</f>
        <v/>
      </c>
      <c r="FI184" s="202" t="str">
        <f t="shared" si="512"/>
        <v/>
      </c>
      <c r="FJ184" s="189" t="str">
        <f t="shared" si="513"/>
        <v/>
      </c>
      <c r="FK184" s="189" t="str">
        <f t="shared" si="514"/>
        <v/>
      </c>
      <c r="FL184" s="203" t="str">
        <f t="shared" si="542"/>
        <v/>
      </c>
      <c r="FM184" s="189" t="str">
        <f t="shared" si="515"/>
        <v/>
      </c>
      <c r="FN184" s="204" t="str">
        <f t="shared" si="516"/>
        <v/>
      </c>
      <c r="FO184" s="203" t="str">
        <f t="shared" si="543"/>
        <v/>
      </c>
      <c r="FP184" s="205" t="str">
        <f t="shared" si="517"/>
        <v/>
      </c>
      <c r="FQ184" s="189" t="str">
        <f t="shared" si="544"/>
        <v/>
      </c>
      <c r="FR184" s="189" t="str">
        <f t="shared" si="545"/>
        <v/>
      </c>
      <c r="FS184" s="189" t="str">
        <f t="shared" si="546"/>
        <v/>
      </c>
      <c r="FT184" s="189" t="str">
        <f t="shared" si="547"/>
        <v/>
      </c>
      <c r="FU184" s="189" t="str">
        <f t="shared" si="518"/>
        <v/>
      </c>
      <c r="FV184" s="206" t="str">
        <f t="shared" si="548"/>
        <v/>
      </c>
      <c r="FW184" s="205" t="str">
        <f t="shared" si="519"/>
        <v/>
      </c>
      <c r="FX184" s="189" t="str">
        <f t="shared" si="549"/>
        <v/>
      </c>
      <c r="FY184" s="189" t="str">
        <f t="shared" si="550"/>
        <v/>
      </c>
      <c r="FZ184" s="189" t="str">
        <f t="shared" si="551"/>
        <v/>
      </c>
      <c r="GA184" s="189" t="str">
        <f t="shared" si="552"/>
        <v/>
      </c>
      <c r="GB184" s="189" t="str">
        <f t="shared" si="520"/>
        <v/>
      </c>
      <c r="GC184" s="206" t="str">
        <f t="shared" si="553"/>
        <v/>
      </c>
      <c r="GD184" s="205" t="str">
        <f t="shared" si="521"/>
        <v/>
      </c>
      <c r="GE184" s="189" t="str">
        <f t="shared" si="554"/>
        <v/>
      </c>
      <c r="GF184" s="189" t="str">
        <f t="shared" si="555"/>
        <v/>
      </c>
      <c r="GG184" s="189" t="str">
        <f t="shared" si="556"/>
        <v/>
      </c>
      <c r="GH184" s="189" t="str">
        <f t="shared" si="557"/>
        <v/>
      </c>
      <c r="GI184" s="189" t="str">
        <f t="shared" si="522"/>
        <v/>
      </c>
      <c r="GJ184" s="206" t="str">
        <f t="shared" si="558"/>
        <v/>
      </c>
      <c r="GK184" s="205" t="str">
        <f t="shared" si="523"/>
        <v/>
      </c>
      <c r="GL184" s="189" t="str">
        <f t="shared" si="559"/>
        <v/>
      </c>
      <c r="GM184" s="189" t="str">
        <f t="shared" si="560"/>
        <v/>
      </c>
      <c r="GN184" s="189" t="str">
        <f t="shared" si="561"/>
        <v/>
      </c>
      <c r="GO184" s="189" t="str">
        <f t="shared" si="562"/>
        <v/>
      </c>
      <c r="GP184" s="189" t="str">
        <f t="shared" si="524"/>
        <v/>
      </c>
      <c r="GQ184" s="206" t="str">
        <f t="shared" si="563"/>
        <v/>
      </c>
      <c r="GR184" s="189" t="str">
        <f t="shared" si="525"/>
        <v/>
      </c>
      <c r="GS184" s="189" t="str">
        <f t="shared" si="526"/>
        <v/>
      </c>
      <c r="GT184" s="207" t="str">
        <f t="shared" si="527"/>
        <v xml:space="preserve">    </v>
      </c>
      <c r="GU184" s="207" t="str">
        <f t="shared" si="528"/>
        <v xml:space="preserve">    </v>
      </c>
      <c r="GV184" s="207" t="str">
        <f t="shared" si="529"/>
        <v xml:space="preserve">    </v>
      </c>
      <c r="GW184" s="207" t="str">
        <f t="shared" si="530"/>
        <v xml:space="preserve">       </v>
      </c>
      <c r="GX184" s="598" t="str">
        <f t="shared" si="531"/>
        <v xml:space="preserve">     </v>
      </c>
      <c r="GY184" s="208" t="str">
        <f t="shared" si="564"/>
        <v/>
      </c>
      <c r="GZ184" s="606" t="str">
        <f>IF(AND(Q184="",AE184="",AZ184="",BW184="",CT184=""),"",IF(AND('Master Sheet'!$D$19="YES",'Marks Entry'!$BA$1=1),SUM(Q184,AE184,AZ184,BW184,DT184),SUM(Q184,AE184,AZ184,BW184,CT184)))</f>
        <v/>
      </c>
      <c r="HA184" s="209" t="str">
        <f>IF(GZ184="","",IF(AND('Master Sheet'!$D$19="YES",'Marks Entry'!$BA$1=1),GZ184/((900)-DC184)*100,GZ184/((1000)-DC184)*100))</f>
        <v/>
      </c>
      <c r="HB184" s="611" t="str">
        <f t="shared" si="532"/>
        <v/>
      </c>
      <c r="HC184" s="609" t="str">
        <f t="shared" si="533"/>
        <v/>
      </c>
      <c r="HD184" s="610" t="str">
        <f t="shared" si="534"/>
        <v/>
      </c>
      <c r="HE184" s="210" t="str">
        <f>IFERROR(IF(OR(GY184="SUPPLEMENTARY",GY184="RE-EXAM"),'Supp. Result Entry'!AS183,""),"")</f>
        <v/>
      </c>
      <c r="HF184" s="613" t="str">
        <f t="shared" si="535"/>
        <v/>
      </c>
      <c r="HG184" s="598" t="str">
        <f t="shared" si="536"/>
        <v/>
      </c>
      <c r="HH184" s="598" t="str">
        <f>IF(AND(HE184="",HF184="",HG184=""),"",IF(OR(GY184="SUPPLEMENTARY",GY184="RE-EXAM"),'Supp. Result Entry'!AS183,GY184))</f>
        <v/>
      </c>
      <c r="HI184" s="180"/>
      <c r="HY184" s="212" t="str">
        <f>IF('Supp. Result Entry'!U183="","",'Supp. Result Entry'!$U$6)</f>
        <v/>
      </c>
      <c r="HZ184" s="213" t="str">
        <f>IF('Supp. Result Entry'!X183="","",'Supp. Result Entry'!$X$6)</f>
        <v/>
      </c>
      <c r="IA184" s="213" t="str">
        <f>IF('Supp. Result Entry'!AA183="","",'Supp. Result Entry'!$AA$6)</f>
        <v/>
      </c>
      <c r="IB184" s="213" t="str">
        <f>IF('Supp. Result Entry'!AD183="","",'Supp. Result Entry'!$AD$6)</f>
        <v/>
      </c>
      <c r="IC184" s="213" t="str">
        <f>IF('Supp. Result Entry'!AG183="","",'Supp. Result Entry'!$AG$6)</f>
        <v/>
      </c>
      <c r="ID184" s="213" t="str">
        <f>IF('Supp. Result Entry'!AJ183="","",'Supp. Result Entry'!$AJ$6)</f>
        <v/>
      </c>
      <c r="IE184" s="213" t="str">
        <f>IF('Supp. Result Entry'!V183="","",'Supp. Result Entry'!V183)</f>
        <v/>
      </c>
      <c r="IF184" s="213" t="str">
        <f>IF('Supp. Result Entry'!Y183="","",'Supp. Result Entry'!Y183)</f>
        <v/>
      </c>
      <c r="IG184" s="213" t="str">
        <f>IF('Supp. Result Entry'!AB183="","",'Supp. Result Entry'!AB183)</f>
        <v/>
      </c>
      <c r="IH184" s="213" t="str">
        <f>IF('Supp. Result Entry'!AE183="","",'Supp. Result Entry'!AE183)</f>
        <v/>
      </c>
      <c r="II184" s="213" t="str">
        <f>IF('Supp. Result Entry'!AH183="","",'Supp. Result Entry'!AH183)</f>
        <v/>
      </c>
      <c r="IJ184" s="213" t="str">
        <f>IF('Supp. Result Entry'!AK183="","",'Supp. Result Entry'!AK183)</f>
        <v/>
      </c>
      <c r="IK184" s="213" t="str">
        <f>IF('Supp. Result Entry'!W183="","",'Supp. Result Entry'!W183)</f>
        <v/>
      </c>
      <c r="IL184" s="213" t="str">
        <f>IF('Supp. Result Entry'!Z183="","",'Supp. Result Entry'!Z183)</f>
        <v/>
      </c>
      <c r="IM184" s="213" t="str">
        <f>IF('Supp. Result Entry'!AC183="","",'Supp. Result Entry'!AC183)</f>
        <v/>
      </c>
      <c r="IN184" s="213" t="str">
        <f>IF('Supp. Result Entry'!AF183="","",'Supp. Result Entry'!AF183)</f>
        <v/>
      </c>
      <c r="IO184" s="213" t="str">
        <f>IF('Supp. Result Entry'!AI183="","",'Supp. Result Entry'!AI183)</f>
        <v/>
      </c>
      <c r="IP184" s="213" t="str">
        <f>IF('Supp. Result Entry'!AL183="","",'Supp. Result Entry'!AL183)</f>
        <v/>
      </c>
      <c r="IQ184" s="213">
        <f>COUNTIF('Supp. Result Entry'!K183:Q183,"S")</f>
        <v>0</v>
      </c>
      <c r="IR184" s="213">
        <f t="shared" si="537"/>
        <v>0</v>
      </c>
      <c r="IS184" s="213">
        <f t="shared" si="538"/>
        <v>0</v>
      </c>
      <c r="IT184" s="213" t="str">
        <f t="shared" si="406"/>
        <v/>
      </c>
      <c r="IU184" s="213" t="str">
        <f t="shared" si="407"/>
        <v/>
      </c>
      <c r="IV184" s="213" t="str">
        <f t="shared" si="408"/>
        <v/>
      </c>
      <c r="IW184" s="213" t="str">
        <f t="shared" si="409"/>
        <v/>
      </c>
      <c r="IX184" s="213" t="str">
        <f t="shared" si="410"/>
        <v/>
      </c>
      <c r="IY184" s="213" t="str">
        <f t="shared" si="539"/>
        <v/>
      </c>
      <c r="IZ184" s="213" t="str">
        <f t="shared" si="540"/>
        <v/>
      </c>
      <c r="JA184" s="213" t="str">
        <f t="shared" si="411"/>
        <v/>
      </c>
      <c r="JB184" s="211" t="str">
        <f t="shared" si="541"/>
        <v/>
      </c>
    </row>
    <row r="185" spans="1:262" s="211" customFormat="1" ht="21" customHeight="1">
      <c r="A185" s="184">
        <v>178</v>
      </c>
      <c r="B185" s="185" t="str">
        <f>IF('Marks Entry'!B185="","",'Marks Entry'!B185)</f>
        <v/>
      </c>
      <c r="C185" s="186" t="str">
        <f>IF('Marks Entry'!D185="","",'Marks Entry'!D185)</f>
        <v/>
      </c>
      <c r="D185" s="187" t="str">
        <f>IF('Marks Entry'!E185="","",'Marks Entry'!E185)</f>
        <v/>
      </c>
      <c r="E185" s="188" t="str">
        <f>IF('Marks Entry'!F185="","",'Marks Entry'!F185)</f>
        <v/>
      </c>
      <c r="F185" s="188" t="str">
        <f>IF('Marks Entry'!G185="","",'Marks Entry'!G185)</f>
        <v/>
      </c>
      <c r="G185" s="188" t="str">
        <f>IF('Marks Entry'!H185="","",'Marks Entry'!H185)</f>
        <v/>
      </c>
      <c r="H185" s="189" t="str">
        <f>IF('Marks Entry'!I185="","",'Marks Entry'!I185)</f>
        <v/>
      </c>
      <c r="I185" s="190" t="str">
        <f>IF('Marks Entry'!J185="","",'Marks Entry'!J185)</f>
        <v/>
      </c>
      <c r="J185" s="545" t="str">
        <f>IF('Marks Entry'!K185="","",'Marks Entry'!K185)</f>
        <v/>
      </c>
      <c r="K185" s="545" t="str">
        <f>IF('Marks Entry'!L185="","",'Marks Entry'!L185)</f>
        <v/>
      </c>
      <c r="L185" s="545" t="str">
        <f>IF('Marks Entry'!M185="","",'Marks Entry'!M185)</f>
        <v/>
      </c>
      <c r="M185" s="546" t="str">
        <f t="shared" si="412"/>
        <v/>
      </c>
      <c r="N185" s="545" t="str">
        <f>IF('Marks Entry'!N185="","",'Marks Entry'!N185)</f>
        <v/>
      </c>
      <c r="O185" s="546" t="str">
        <f t="shared" si="413"/>
        <v/>
      </c>
      <c r="P185" s="545" t="str">
        <f>IF('Marks Entry'!O185="","",'Marks Entry'!O185)</f>
        <v/>
      </c>
      <c r="Q185" s="547" t="str">
        <f t="shared" si="414"/>
        <v/>
      </c>
      <c r="R185" s="153">
        <f t="shared" si="415"/>
        <v>0</v>
      </c>
      <c r="S185" s="153">
        <f t="shared" si="416"/>
        <v>0</v>
      </c>
      <c r="T185" s="154" t="str">
        <f t="shared" si="417"/>
        <v/>
      </c>
      <c r="U185" s="153" t="str">
        <f t="shared" si="418"/>
        <v/>
      </c>
      <c r="V185" s="153" t="str">
        <f t="shared" si="419"/>
        <v/>
      </c>
      <c r="W185" s="153" t="str">
        <f t="shared" si="420"/>
        <v/>
      </c>
      <c r="X185" s="545" t="str">
        <f>IF('Marks Entry'!P185="","",'Marks Entry'!P185)</f>
        <v/>
      </c>
      <c r="Y185" s="545" t="str">
        <f>IF('Marks Entry'!Q185="","",'Marks Entry'!Q185)</f>
        <v/>
      </c>
      <c r="Z185" s="545" t="str">
        <f>IF('Marks Entry'!R185="","",'Marks Entry'!R185)</f>
        <v/>
      </c>
      <c r="AA185" s="546" t="str">
        <f t="shared" si="421"/>
        <v/>
      </c>
      <c r="AB185" s="545" t="str">
        <f>IF('Marks Entry'!S185="","",'Marks Entry'!S185)</f>
        <v/>
      </c>
      <c r="AC185" s="546" t="str">
        <f t="shared" si="422"/>
        <v/>
      </c>
      <c r="AD185" s="545" t="str">
        <f>IF('Marks Entry'!T185="","",'Marks Entry'!T185)</f>
        <v/>
      </c>
      <c r="AE185" s="547" t="str">
        <f t="shared" si="423"/>
        <v/>
      </c>
      <c r="AF185" s="153">
        <f t="shared" si="424"/>
        <v>0</v>
      </c>
      <c r="AG185" s="153">
        <f t="shared" si="425"/>
        <v>0</v>
      </c>
      <c r="AH185" s="154" t="str">
        <f t="shared" si="426"/>
        <v/>
      </c>
      <c r="AI185" s="153" t="str">
        <f t="shared" si="427"/>
        <v/>
      </c>
      <c r="AJ185" s="153" t="str">
        <f t="shared" si="428"/>
        <v/>
      </c>
      <c r="AK185" s="153" t="str">
        <f t="shared" si="429"/>
        <v/>
      </c>
      <c r="AL185" s="573" t="str">
        <f>IF('Marks Entry'!U185="","",'Marks Entry'!U185)</f>
        <v/>
      </c>
      <c r="AM185" s="573" t="str">
        <f>IF('Marks Entry'!V185="","",'Marks Entry'!V185)</f>
        <v/>
      </c>
      <c r="AN185" s="573" t="str">
        <f>IF('Marks Entry'!W185="","",'Marks Entry'!W185)</f>
        <v/>
      </c>
      <c r="AO185" s="573" t="str">
        <f>IF('Marks Entry'!X185="","",'Marks Entry'!X185)</f>
        <v/>
      </c>
      <c r="AP185" s="572" t="str">
        <f t="shared" si="430"/>
        <v/>
      </c>
      <c r="AQ185" s="573" t="str">
        <f>IF('Marks Entry'!Y185="","",'Marks Entry'!Y185)</f>
        <v/>
      </c>
      <c r="AR185" s="573" t="str">
        <f>IF('Marks Entry'!Z185="","",'Marks Entry'!Z185)</f>
        <v/>
      </c>
      <c r="AS185" s="572" t="str">
        <f t="shared" si="431"/>
        <v/>
      </c>
      <c r="AT185" s="572" t="str">
        <f t="shared" si="432"/>
        <v/>
      </c>
      <c r="AU185" s="573" t="str">
        <f>IF('Marks Entry'!AA185="","",'Marks Entry'!AA185)</f>
        <v/>
      </c>
      <c r="AV185" s="573" t="str">
        <f>IF('Marks Entry'!AB185="","",'Marks Entry'!AB185)</f>
        <v/>
      </c>
      <c r="AW185" s="572" t="str">
        <f t="shared" si="433"/>
        <v/>
      </c>
      <c r="AX185" s="157" t="str">
        <f t="shared" si="434"/>
        <v/>
      </c>
      <c r="AY185" s="157" t="str">
        <f t="shared" si="435"/>
        <v/>
      </c>
      <c r="AZ185" s="192" t="str">
        <f t="shared" si="436"/>
        <v/>
      </c>
      <c r="BA185" s="153">
        <f t="shared" si="437"/>
        <v>0</v>
      </c>
      <c r="BB185" s="154">
        <f t="shared" si="438"/>
        <v>0</v>
      </c>
      <c r="BC185" s="154" t="str">
        <f t="shared" si="439"/>
        <v/>
      </c>
      <c r="BD185" s="154" t="str">
        <f t="shared" si="440"/>
        <v/>
      </c>
      <c r="BE185" s="154" t="str">
        <f t="shared" si="441"/>
        <v/>
      </c>
      <c r="BF185" s="153" t="str">
        <f t="shared" si="442"/>
        <v/>
      </c>
      <c r="BG185" s="154" t="str">
        <f t="shared" si="443"/>
        <v/>
      </c>
      <c r="BH185" s="153" t="str">
        <f t="shared" si="444"/>
        <v/>
      </c>
      <c r="BI185" s="580" t="str">
        <f>IF('Marks Entry'!AC185="","",'Marks Entry'!AC185)</f>
        <v/>
      </c>
      <c r="BJ185" s="580" t="str">
        <f>IF('Marks Entry'!AD185="","",'Marks Entry'!AD185)</f>
        <v/>
      </c>
      <c r="BK185" s="580" t="str">
        <f>IF('Marks Entry'!AE185="","",'Marks Entry'!AE185)</f>
        <v/>
      </c>
      <c r="BL185" s="580" t="str">
        <f>IF('Marks Entry'!AF185="","",'Marks Entry'!AF185)</f>
        <v/>
      </c>
      <c r="BM185" s="581" t="str">
        <f t="shared" si="445"/>
        <v/>
      </c>
      <c r="BN185" s="580" t="str">
        <f>IF('Marks Entry'!AG185="","",'Marks Entry'!AG185)</f>
        <v/>
      </c>
      <c r="BO185" s="580" t="str">
        <f>IF('Marks Entry'!AH185="","",'Marks Entry'!AH185)</f>
        <v/>
      </c>
      <c r="BP185" s="581" t="str">
        <f t="shared" si="446"/>
        <v/>
      </c>
      <c r="BQ185" s="581" t="str">
        <f t="shared" si="447"/>
        <v/>
      </c>
      <c r="BR185" s="580" t="str">
        <f>IF('Marks Entry'!AI185="","",'Marks Entry'!AI185)</f>
        <v/>
      </c>
      <c r="BS185" s="580" t="str">
        <f>IF('Marks Entry'!AJ185="","",'Marks Entry'!AJ185)</f>
        <v/>
      </c>
      <c r="BT185" s="581" t="str">
        <f t="shared" si="448"/>
        <v/>
      </c>
      <c r="BU185" s="157" t="str">
        <f t="shared" si="449"/>
        <v/>
      </c>
      <c r="BV185" s="157" t="str">
        <f t="shared" si="450"/>
        <v/>
      </c>
      <c r="BW185" s="192" t="str">
        <f t="shared" si="451"/>
        <v/>
      </c>
      <c r="BX185" s="153">
        <f t="shared" si="452"/>
        <v>0</v>
      </c>
      <c r="BY185" s="154">
        <f t="shared" si="453"/>
        <v>0</v>
      </c>
      <c r="BZ185" s="154" t="str">
        <f t="shared" si="454"/>
        <v/>
      </c>
      <c r="CA185" s="154" t="str">
        <f t="shared" si="455"/>
        <v/>
      </c>
      <c r="CB185" s="154" t="str">
        <f t="shared" si="456"/>
        <v/>
      </c>
      <c r="CC185" s="153" t="str">
        <f t="shared" si="457"/>
        <v/>
      </c>
      <c r="CD185" s="154" t="str">
        <f t="shared" si="458"/>
        <v/>
      </c>
      <c r="CE185" s="153" t="str">
        <f t="shared" si="459"/>
        <v/>
      </c>
      <c r="CF185" s="580" t="str">
        <f>IF('Marks Entry'!AK185="","",'Marks Entry'!AK185)</f>
        <v/>
      </c>
      <c r="CG185" s="580" t="str">
        <f>IF('Marks Entry'!AL185="","",'Marks Entry'!AL185)</f>
        <v/>
      </c>
      <c r="CH185" s="580" t="str">
        <f>IF('Marks Entry'!AM185="","",'Marks Entry'!AM185)</f>
        <v/>
      </c>
      <c r="CI185" s="580" t="str">
        <f>IF('Marks Entry'!AN185="","",'Marks Entry'!AN185)</f>
        <v/>
      </c>
      <c r="CJ185" s="581" t="str">
        <f t="shared" si="460"/>
        <v/>
      </c>
      <c r="CK185" s="580" t="str">
        <f>IF('Marks Entry'!AO185="","",'Marks Entry'!AO185)</f>
        <v/>
      </c>
      <c r="CL185" s="580" t="str">
        <f>IF('Marks Entry'!AP185="","",'Marks Entry'!AP185)</f>
        <v/>
      </c>
      <c r="CM185" s="581" t="str">
        <f t="shared" si="461"/>
        <v/>
      </c>
      <c r="CN185" s="581" t="str">
        <f t="shared" si="462"/>
        <v/>
      </c>
      <c r="CO185" s="580" t="str">
        <f>IF('Marks Entry'!AQ185="","",'Marks Entry'!AQ185)</f>
        <v/>
      </c>
      <c r="CP185" s="580" t="str">
        <f>IF('Marks Entry'!AR185="","",'Marks Entry'!AR185)</f>
        <v/>
      </c>
      <c r="CQ185" s="581" t="str">
        <f t="shared" si="463"/>
        <v/>
      </c>
      <c r="CR185" s="157" t="str">
        <f t="shared" si="464"/>
        <v/>
      </c>
      <c r="CS185" s="157" t="str">
        <f t="shared" si="465"/>
        <v/>
      </c>
      <c r="CT185" s="192" t="str">
        <f t="shared" si="466"/>
        <v/>
      </c>
      <c r="CU185" s="153">
        <f t="shared" si="467"/>
        <v>0</v>
      </c>
      <c r="CV185" s="154">
        <f t="shared" si="468"/>
        <v>0</v>
      </c>
      <c r="CW185" s="154" t="str">
        <f t="shared" si="469"/>
        <v/>
      </c>
      <c r="CX185" s="154" t="str">
        <f t="shared" si="470"/>
        <v/>
      </c>
      <c r="CY185" s="154" t="str">
        <f t="shared" si="471"/>
        <v/>
      </c>
      <c r="CZ185" s="153" t="str">
        <f t="shared" si="472"/>
        <v/>
      </c>
      <c r="DA185" s="154" t="str">
        <f t="shared" si="473"/>
        <v/>
      </c>
      <c r="DB185" s="153" t="str">
        <f t="shared" si="474"/>
        <v/>
      </c>
      <c r="DC185" s="154">
        <f t="shared" si="475"/>
        <v>0</v>
      </c>
      <c r="DD185" s="826" t="str">
        <f>IF('Marks Entry'!AS185="","",IF(OR('Master Sheet'!$D$19="YES",'Marks Entry'!$BA$1=1),'Marks Entry'!AS185,""))</f>
        <v/>
      </c>
      <c r="DE185" s="826" t="str">
        <f>IF('Marks Entry'!AT185="","",IF(OR('Master Sheet'!$D$19="YES",'Marks Entry'!$BA$1=1),'Marks Entry'!AT185,""))</f>
        <v/>
      </c>
      <c r="DF185" s="826" t="str">
        <f>IF('Marks Entry'!AU185="","",IF(OR('Master Sheet'!$D$19="YES",'Marks Entry'!$BA$1=1),'Marks Entry'!AU185,""))</f>
        <v/>
      </c>
      <c r="DG185" s="826" t="str">
        <f>IF('Marks Entry'!AV185="","",IF(OR('Master Sheet'!$D$19="YES",'Marks Entry'!$BA$1=1),'Marks Entry'!AV185,""))</f>
        <v/>
      </c>
      <c r="DH185" s="827" t="str">
        <f t="shared" si="476"/>
        <v/>
      </c>
      <c r="DI185" s="826" t="str">
        <f>IF('Marks Entry'!AW185="","",IF(OR('Master Sheet'!$D$19="YES",'Marks Entry'!$BA$1=1),'Marks Entry'!AW185,""))</f>
        <v/>
      </c>
      <c r="DJ185" s="826" t="str">
        <f>IF('Marks Entry'!AX185="","",IF(OR('Master Sheet'!$D$19="YES",'Marks Entry'!$BA$1=1),'Marks Entry'!AX185,""))</f>
        <v/>
      </c>
      <c r="DK185" s="827" t="str">
        <f t="shared" si="477"/>
        <v/>
      </c>
      <c r="DL185" s="827" t="str">
        <f t="shared" si="478"/>
        <v/>
      </c>
      <c r="DM185" s="826" t="str">
        <f>IF('Marks Entry'!AY185="","",IF(OR('Master Sheet'!$D$19="YES",'Marks Entry'!$BA$1=1),'Marks Entry'!AY185,""))</f>
        <v/>
      </c>
      <c r="DN185" s="826" t="str">
        <f>IF('Marks Entry'!AZ185="","",IF(OR('Master Sheet'!$D$19="YES",'Marks Entry'!$BA$1=1),'Marks Entry'!AZ185,""))</f>
        <v/>
      </c>
      <c r="DO185" s="826" t="str">
        <f>IF('Marks Entry'!BA185="","",IF(OR('Master Sheet'!$D$19="YES",'Marks Entry'!$BA$1=1),'Marks Entry'!BA185,""))</f>
        <v/>
      </c>
      <c r="DP185" s="827" t="str">
        <f t="shared" si="479"/>
        <v/>
      </c>
      <c r="DQ185" s="157" t="str">
        <f t="shared" si="480"/>
        <v/>
      </c>
      <c r="DR185" s="157" t="str">
        <f t="shared" si="481"/>
        <v/>
      </c>
      <c r="DS185" s="157" t="str">
        <f t="shared" si="482"/>
        <v/>
      </c>
      <c r="DT185" s="192" t="str">
        <f t="shared" si="483"/>
        <v/>
      </c>
      <c r="DU185" s="153">
        <f t="shared" si="484"/>
        <v>0</v>
      </c>
      <c r="DV185" s="154" t="e">
        <f t="shared" si="485"/>
        <v>#VALUE!</v>
      </c>
      <c r="DW185" s="154" t="str">
        <f t="shared" si="486"/>
        <v/>
      </c>
      <c r="DX185" s="154" t="str">
        <f>IF(OR($B185="NSO",$B185=0,DS185=""),"",IF(AND(DJ185="",DO185=""),"",IF('Master Sheet'!$D$19="YES",$DO$6-COUNTIF(DO185,"ML")*DO$6,DS$6-(COUNTIF(DJ185,"ML")*DJ$6)-(COUNTIF(DO185,"ML")*DO$6))))</f>
        <v/>
      </c>
      <c r="DY185" s="154" t="str">
        <f>IF(OR($B185="NSO",$B185=0),"",IF(AND(DH185="",DI185="",DM185=""),"",IF(AND('Master Sheet'!$D$19="YES",'Marks Entry'!$BA$1=1),100,IF(AND(DJ185="",DO185=""),SUM(($DQ$7+$DR$7)-(DU185+DV185)),SUM(($DQ$6+$DR$6)-(DU185+DV185))))))</f>
        <v/>
      </c>
      <c r="DZ185" s="153" t="str">
        <f t="shared" si="487"/>
        <v/>
      </c>
      <c r="EA185" s="154" t="str">
        <f t="shared" si="488"/>
        <v/>
      </c>
      <c r="EB185" s="153" t="str">
        <f t="shared" si="489"/>
        <v/>
      </c>
      <c r="EC185" s="584" t="str">
        <f>IF('Marks Entry'!BB185="","",'Marks Entry'!BB185)</f>
        <v/>
      </c>
      <c r="ED185" s="584" t="str">
        <f>IF('Marks Entry'!BC185="","",'Marks Entry'!BC185)</f>
        <v/>
      </c>
      <c r="EE185" s="584" t="str">
        <f>IF('Marks Entry'!BD185="","",'Marks Entry'!BD185)</f>
        <v/>
      </c>
      <c r="EF185" s="590" t="str">
        <f t="shared" si="490"/>
        <v/>
      </c>
      <c r="EG185" s="595">
        <f t="shared" si="491"/>
        <v>0</v>
      </c>
      <c r="EH185" s="595">
        <f t="shared" si="492"/>
        <v>0</v>
      </c>
      <c r="EI185" s="193" t="str">
        <f t="shared" si="493"/>
        <v/>
      </c>
      <c r="EJ185" s="595" t="str">
        <f t="shared" si="494"/>
        <v/>
      </c>
      <c r="EK185" s="595" t="str">
        <f t="shared" si="495"/>
        <v/>
      </c>
      <c r="EL185" s="194" t="str">
        <f t="shared" si="496"/>
        <v/>
      </c>
      <c r="EM185" s="194" t="str">
        <f t="shared" si="497"/>
        <v/>
      </c>
      <c r="EN185" s="194" t="str">
        <f t="shared" si="498"/>
        <v/>
      </c>
      <c r="EO185" s="194" t="str">
        <f t="shared" si="499"/>
        <v/>
      </c>
      <c r="EP185" s="194" t="str">
        <f t="shared" si="500"/>
        <v/>
      </c>
      <c r="EQ185" s="194" t="str">
        <f t="shared" si="501"/>
        <v/>
      </c>
      <c r="ER185" s="195">
        <f t="shared" si="502"/>
        <v>0</v>
      </c>
      <c r="ES185" s="195">
        <f t="shared" si="503"/>
        <v>0</v>
      </c>
      <c r="ET185" s="195">
        <f t="shared" si="504"/>
        <v>0</v>
      </c>
      <c r="EU185" s="195">
        <f t="shared" si="505"/>
        <v>0</v>
      </c>
      <c r="EV185" s="195">
        <f t="shared" si="506"/>
        <v>0</v>
      </c>
      <c r="EW185" s="195" t="str">
        <f t="shared" si="507"/>
        <v/>
      </c>
      <c r="EX185" s="196" t="str">
        <f t="shared" si="508"/>
        <v/>
      </c>
      <c r="EY185" s="197" t="str">
        <f>IF('Marks Entry'!BE185="","",'Marks Entry'!BE185)</f>
        <v/>
      </c>
      <c r="EZ185" s="197" t="str">
        <f>IF('Marks Entry'!BF185="","",'Marks Entry'!BF185)</f>
        <v/>
      </c>
      <c r="FA185" s="197" t="str">
        <f>IF('Marks Entry'!BG185="","",'Marks Entry'!BG185)</f>
        <v/>
      </c>
      <c r="FB185" s="596" t="str">
        <f t="shared" si="509"/>
        <v/>
      </c>
      <c r="FC185" s="197" t="str">
        <f>IF('Marks Entry'!BH185="","",'Marks Entry'!BH185)</f>
        <v/>
      </c>
      <c r="FD185" s="197" t="str">
        <f>IF('Marks Entry'!BI185="","",'Marks Entry'!BI185)</f>
        <v/>
      </c>
      <c r="FE185" s="198" t="str">
        <f t="shared" si="510"/>
        <v/>
      </c>
      <c r="FF185" s="199" t="str">
        <f t="shared" si="511"/>
        <v/>
      </c>
      <c r="FG185" s="200" t="str">
        <f>IF(AND(E185=""),"",IF('Student DATA Entry'!L181="","",'Student DATA Entry'!L181))</f>
        <v/>
      </c>
      <c r="FH185" s="201" t="str">
        <f>IF(AND(E185=""),"",IF('Student DATA Entry'!M181="","",'Student DATA Entry'!M181))</f>
        <v/>
      </c>
      <c r="FI185" s="202" t="str">
        <f t="shared" si="512"/>
        <v/>
      </c>
      <c r="FJ185" s="189" t="str">
        <f t="shared" si="513"/>
        <v/>
      </c>
      <c r="FK185" s="189" t="str">
        <f t="shared" si="514"/>
        <v/>
      </c>
      <c r="FL185" s="203" t="str">
        <f t="shared" si="542"/>
        <v/>
      </c>
      <c r="FM185" s="189" t="str">
        <f t="shared" si="515"/>
        <v/>
      </c>
      <c r="FN185" s="204" t="str">
        <f t="shared" si="516"/>
        <v/>
      </c>
      <c r="FO185" s="203" t="str">
        <f t="shared" si="543"/>
        <v/>
      </c>
      <c r="FP185" s="205" t="str">
        <f t="shared" si="517"/>
        <v/>
      </c>
      <c r="FQ185" s="189" t="str">
        <f t="shared" si="544"/>
        <v/>
      </c>
      <c r="FR185" s="189" t="str">
        <f t="shared" si="545"/>
        <v/>
      </c>
      <c r="FS185" s="189" t="str">
        <f t="shared" si="546"/>
        <v/>
      </c>
      <c r="FT185" s="189" t="str">
        <f t="shared" si="547"/>
        <v/>
      </c>
      <c r="FU185" s="189" t="str">
        <f t="shared" si="518"/>
        <v/>
      </c>
      <c r="FV185" s="206" t="str">
        <f t="shared" si="548"/>
        <v/>
      </c>
      <c r="FW185" s="205" t="str">
        <f t="shared" si="519"/>
        <v/>
      </c>
      <c r="FX185" s="189" t="str">
        <f t="shared" si="549"/>
        <v/>
      </c>
      <c r="FY185" s="189" t="str">
        <f t="shared" si="550"/>
        <v/>
      </c>
      <c r="FZ185" s="189" t="str">
        <f t="shared" si="551"/>
        <v/>
      </c>
      <c r="GA185" s="189" t="str">
        <f t="shared" si="552"/>
        <v/>
      </c>
      <c r="GB185" s="189" t="str">
        <f t="shared" si="520"/>
        <v/>
      </c>
      <c r="GC185" s="206" t="str">
        <f t="shared" si="553"/>
        <v/>
      </c>
      <c r="GD185" s="205" t="str">
        <f t="shared" si="521"/>
        <v/>
      </c>
      <c r="GE185" s="189" t="str">
        <f t="shared" si="554"/>
        <v/>
      </c>
      <c r="GF185" s="189" t="str">
        <f t="shared" si="555"/>
        <v/>
      </c>
      <c r="GG185" s="189" t="str">
        <f t="shared" si="556"/>
        <v/>
      </c>
      <c r="GH185" s="189" t="str">
        <f t="shared" si="557"/>
        <v/>
      </c>
      <c r="GI185" s="189" t="str">
        <f t="shared" si="522"/>
        <v/>
      </c>
      <c r="GJ185" s="206" t="str">
        <f t="shared" si="558"/>
        <v/>
      </c>
      <c r="GK185" s="205" t="str">
        <f t="shared" si="523"/>
        <v/>
      </c>
      <c r="GL185" s="189" t="str">
        <f t="shared" si="559"/>
        <v/>
      </c>
      <c r="GM185" s="189" t="str">
        <f t="shared" si="560"/>
        <v/>
      </c>
      <c r="GN185" s="189" t="str">
        <f t="shared" si="561"/>
        <v/>
      </c>
      <c r="GO185" s="189" t="str">
        <f t="shared" si="562"/>
        <v/>
      </c>
      <c r="GP185" s="189" t="str">
        <f t="shared" si="524"/>
        <v/>
      </c>
      <c r="GQ185" s="206" t="str">
        <f t="shared" si="563"/>
        <v/>
      </c>
      <c r="GR185" s="189" t="str">
        <f t="shared" si="525"/>
        <v/>
      </c>
      <c r="GS185" s="189" t="str">
        <f t="shared" si="526"/>
        <v/>
      </c>
      <c r="GT185" s="207" t="str">
        <f t="shared" si="527"/>
        <v xml:space="preserve">    </v>
      </c>
      <c r="GU185" s="207" t="str">
        <f t="shared" si="528"/>
        <v xml:space="preserve">    </v>
      </c>
      <c r="GV185" s="207" t="str">
        <f t="shared" si="529"/>
        <v xml:space="preserve">    </v>
      </c>
      <c r="GW185" s="207" t="str">
        <f t="shared" si="530"/>
        <v xml:space="preserve">       </v>
      </c>
      <c r="GX185" s="598" t="str">
        <f t="shared" si="531"/>
        <v xml:space="preserve">     </v>
      </c>
      <c r="GY185" s="208" t="str">
        <f t="shared" si="564"/>
        <v/>
      </c>
      <c r="GZ185" s="606" t="str">
        <f>IF(AND(Q185="",AE185="",AZ185="",BW185="",CT185=""),"",IF(AND('Master Sheet'!$D$19="YES",'Marks Entry'!$BA$1=1),SUM(Q185,AE185,AZ185,BW185,DT185),SUM(Q185,AE185,AZ185,BW185,CT185)))</f>
        <v/>
      </c>
      <c r="HA185" s="209" t="str">
        <f>IF(GZ185="","",IF(AND('Master Sheet'!$D$19="YES",'Marks Entry'!$BA$1=1),GZ185/((900)-DC185)*100,GZ185/((1000)-DC185)*100))</f>
        <v/>
      </c>
      <c r="HB185" s="611" t="str">
        <f t="shared" si="532"/>
        <v/>
      </c>
      <c r="HC185" s="609" t="str">
        <f t="shared" si="533"/>
        <v/>
      </c>
      <c r="HD185" s="610" t="str">
        <f t="shared" si="534"/>
        <v/>
      </c>
      <c r="HE185" s="210" t="str">
        <f>IFERROR(IF(OR(GY185="SUPPLEMENTARY",GY185="RE-EXAM"),'Supp. Result Entry'!AS184,""),"")</f>
        <v/>
      </c>
      <c r="HF185" s="613" t="str">
        <f t="shared" si="535"/>
        <v/>
      </c>
      <c r="HG185" s="598" t="str">
        <f t="shared" si="536"/>
        <v/>
      </c>
      <c r="HH185" s="598" t="str">
        <f>IF(AND(HE185="",HF185="",HG185=""),"",IF(OR(GY185="SUPPLEMENTARY",GY185="RE-EXAM"),'Supp. Result Entry'!AS184,GY185))</f>
        <v/>
      </c>
      <c r="HI185" s="180"/>
      <c r="HY185" s="212" t="str">
        <f>IF('Supp. Result Entry'!U184="","",'Supp. Result Entry'!$U$6)</f>
        <v/>
      </c>
      <c r="HZ185" s="213" t="str">
        <f>IF('Supp. Result Entry'!X184="","",'Supp. Result Entry'!$X$6)</f>
        <v/>
      </c>
      <c r="IA185" s="213" t="str">
        <f>IF('Supp. Result Entry'!AA184="","",'Supp. Result Entry'!$AA$6)</f>
        <v/>
      </c>
      <c r="IB185" s="213" t="str">
        <f>IF('Supp. Result Entry'!AD184="","",'Supp. Result Entry'!$AD$6)</f>
        <v/>
      </c>
      <c r="IC185" s="213" t="str">
        <f>IF('Supp. Result Entry'!AG184="","",'Supp. Result Entry'!$AG$6)</f>
        <v/>
      </c>
      <c r="ID185" s="213" t="str">
        <f>IF('Supp. Result Entry'!AJ184="","",'Supp. Result Entry'!$AJ$6)</f>
        <v/>
      </c>
      <c r="IE185" s="213" t="str">
        <f>IF('Supp. Result Entry'!V184="","",'Supp. Result Entry'!V184)</f>
        <v/>
      </c>
      <c r="IF185" s="213" t="str">
        <f>IF('Supp. Result Entry'!Y184="","",'Supp. Result Entry'!Y184)</f>
        <v/>
      </c>
      <c r="IG185" s="213" t="str">
        <f>IF('Supp. Result Entry'!AB184="","",'Supp. Result Entry'!AB184)</f>
        <v/>
      </c>
      <c r="IH185" s="213" t="str">
        <f>IF('Supp. Result Entry'!AE184="","",'Supp. Result Entry'!AE184)</f>
        <v/>
      </c>
      <c r="II185" s="213" t="str">
        <f>IF('Supp. Result Entry'!AH184="","",'Supp. Result Entry'!AH184)</f>
        <v/>
      </c>
      <c r="IJ185" s="213" t="str">
        <f>IF('Supp. Result Entry'!AK184="","",'Supp. Result Entry'!AK184)</f>
        <v/>
      </c>
      <c r="IK185" s="213" t="str">
        <f>IF('Supp. Result Entry'!W184="","",'Supp. Result Entry'!W184)</f>
        <v/>
      </c>
      <c r="IL185" s="213" t="str">
        <f>IF('Supp. Result Entry'!Z184="","",'Supp. Result Entry'!Z184)</f>
        <v/>
      </c>
      <c r="IM185" s="213" t="str">
        <f>IF('Supp. Result Entry'!AC184="","",'Supp. Result Entry'!AC184)</f>
        <v/>
      </c>
      <c r="IN185" s="213" t="str">
        <f>IF('Supp. Result Entry'!AF184="","",'Supp. Result Entry'!AF184)</f>
        <v/>
      </c>
      <c r="IO185" s="213" t="str">
        <f>IF('Supp. Result Entry'!AI184="","",'Supp. Result Entry'!AI184)</f>
        <v/>
      </c>
      <c r="IP185" s="213" t="str">
        <f>IF('Supp. Result Entry'!AL184="","",'Supp. Result Entry'!AL184)</f>
        <v/>
      </c>
      <c r="IQ185" s="213">
        <f>COUNTIF('Supp. Result Entry'!K184:Q184,"S")</f>
        <v>0</v>
      </c>
      <c r="IR185" s="213">
        <f t="shared" si="537"/>
        <v>0</v>
      </c>
      <c r="IS185" s="213">
        <f t="shared" si="538"/>
        <v>0</v>
      </c>
      <c r="IT185" s="213" t="str">
        <f t="shared" si="406"/>
        <v/>
      </c>
      <c r="IU185" s="213" t="str">
        <f t="shared" si="407"/>
        <v/>
      </c>
      <c r="IV185" s="213" t="str">
        <f t="shared" si="408"/>
        <v/>
      </c>
      <c r="IW185" s="213" t="str">
        <f t="shared" si="409"/>
        <v/>
      </c>
      <c r="IX185" s="213" t="str">
        <f t="shared" si="410"/>
        <v/>
      </c>
      <c r="IY185" s="213" t="str">
        <f t="shared" si="539"/>
        <v/>
      </c>
      <c r="IZ185" s="213" t="str">
        <f t="shared" si="540"/>
        <v/>
      </c>
      <c r="JA185" s="213" t="str">
        <f t="shared" si="411"/>
        <v/>
      </c>
      <c r="JB185" s="211" t="str">
        <f t="shared" si="541"/>
        <v/>
      </c>
    </row>
    <row r="186" spans="1:262" s="211" customFormat="1" ht="21" customHeight="1">
      <c r="A186" s="184">
        <v>179</v>
      </c>
      <c r="B186" s="185" t="str">
        <f>IF('Marks Entry'!B186="","",'Marks Entry'!B186)</f>
        <v/>
      </c>
      <c r="C186" s="186" t="str">
        <f>IF('Marks Entry'!D186="","",'Marks Entry'!D186)</f>
        <v/>
      </c>
      <c r="D186" s="187" t="str">
        <f>IF('Marks Entry'!E186="","",'Marks Entry'!E186)</f>
        <v/>
      </c>
      <c r="E186" s="188" t="str">
        <f>IF('Marks Entry'!F186="","",'Marks Entry'!F186)</f>
        <v/>
      </c>
      <c r="F186" s="188" t="str">
        <f>IF('Marks Entry'!G186="","",'Marks Entry'!G186)</f>
        <v/>
      </c>
      <c r="G186" s="188" t="str">
        <f>IF('Marks Entry'!H186="","",'Marks Entry'!H186)</f>
        <v/>
      </c>
      <c r="H186" s="189" t="str">
        <f>IF('Marks Entry'!I186="","",'Marks Entry'!I186)</f>
        <v/>
      </c>
      <c r="I186" s="190" t="str">
        <f>IF('Marks Entry'!J186="","",'Marks Entry'!J186)</f>
        <v/>
      </c>
      <c r="J186" s="545" t="str">
        <f>IF('Marks Entry'!K186="","",'Marks Entry'!K186)</f>
        <v/>
      </c>
      <c r="K186" s="545" t="str">
        <f>IF('Marks Entry'!L186="","",'Marks Entry'!L186)</f>
        <v/>
      </c>
      <c r="L186" s="545" t="str">
        <f>IF('Marks Entry'!M186="","",'Marks Entry'!M186)</f>
        <v/>
      </c>
      <c r="M186" s="546" t="str">
        <f t="shared" si="412"/>
        <v/>
      </c>
      <c r="N186" s="545" t="str">
        <f>IF('Marks Entry'!N186="","",'Marks Entry'!N186)</f>
        <v/>
      </c>
      <c r="O186" s="546" t="str">
        <f t="shared" si="413"/>
        <v/>
      </c>
      <c r="P186" s="545" t="str">
        <f>IF('Marks Entry'!O186="","",'Marks Entry'!O186)</f>
        <v/>
      </c>
      <c r="Q186" s="547" t="str">
        <f t="shared" si="414"/>
        <v/>
      </c>
      <c r="R186" s="153">
        <f t="shared" si="415"/>
        <v>0</v>
      </c>
      <c r="S186" s="153">
        <f t="shared" si="416"/>
        <v>0</v>
      </c>
      <c r="T186" s="154" t="str">
        <f t="shared" si="417"/>
        <v/>
      </c>
      <c r="U186" s="153" t="str">
        <f t="shared" si="418"/>
        <v/>
      </c>
      <c r="V186" s="153" t="str">
        <f t="shared" si="419"/>
        <v/>
      </c>
      <c r="W186" s="153" t="str">
        <f t="shared" si="420"/>
        <v/>
      </c>
      <c r="X186" s="545" t="str">
        <f>IF('Marks Entry'!P186="","",'Marks Entry'!P186)</f>
        <v/>
      </c>
      <c r="Y186" s="545" t="str">
        <f>IF('Marks Entry'!Q186="","",'Marks Entry'!Q186)</f>
        <v/>
      </c>
      <c r="Z186" s="545" t="str">
        <f>IF('Marks Entry'!R186="","",'Marks Entry'!R186)</f>
        <v/>
      </c>
      <c r="AA186" s="546" t="str">
        <f t="shared" si="421"/>
        <v/>
      </c>
      <c r="AB186" s="545" t="str">
        <f>IF('Marks Entry'!S186="","",'Marks Entry'!S186)</f>
        <v/>
      </c>
      <c r="AC186" s="546" t="str">
        <f t="shared" si="422"/>
        <v/>
      </c>
      <c r="AD186" s="545" t="str">
        <f>IF('Marks Entry'!T186="","",'Marks Entry'!T186)</f>
        <v/>
      </c>
      <c r="AE186" s="547" t="str">
        <f t="shared" si="423"/>
        <v/>
      </c>
      <c r="AF186" s="153">
        <f t="shared" si="424"/>
        <v>0</v>
      </c>
      <c r="AG186" s="153">
        <f t="shared" si="425"/>
        <v>0</v>
      </c>
      <c r="AH186" s="154" t="str">
        <f t="shared" si="426"/>
        <v/>
      </c>
      <c r="AI186" s="153" t="str">
        <f t="shared" si="427"/>
        <v/>
      </c>
      <c r="AJ186" s="153" t="str">
        <f t="shared" si="428"/>
        <v/>
      </c>
      <c r="AK186" s="153" t="str">
        <f t="shared" si="429"/>
        <v/>
      </c>
      <c r="AL186" s="573" t="str">
        <f>IF('Marks Entry'!U186="","",'Marks Entry'!U186)</f>
        <v/>
      </c>
      <c r="AM186" s="573" t="str">
        <f>IF('Marks Entry'!V186="","",'Marks Entry'!V186)</f>
        <v/>
      </c>
      <c r="AN186" s="573" t="str">
        <f>IF('Marks Entry'!W186="","",'Marks Entry'!W186)</f>
        <v/>
      </c>
      <c r="AO186" s="573" t="str">
        <f>IF('Marks Entry'!X186="","",'Marks Entry'!X186)</f>
        <v/>
      </c>
      <c r="AP186" s="572" t="str">
        <f t="shared" si="430"/>
        <v/>
      </c>
      <c r="AQ186" s="573" t="str">
        <f>IF('Marks Entry'!Y186="","",'Marks Entry'!Y186)</f>
        <v/>
      </c>
      <c r="AR186" s="573" t="str">
        <f>IF('Marks Entry'!Z186="","",'Marks Entry'!Z186)</f>
        <v/>
      </c>
      <c r="AS186" s="572" t="str">
        <f t="shared" si="431"/>
        <v/>
      </c>
      <c r="AT186" s="572" t="str">
        <f t="shared" si="432"/>
        <v/>
      </c>
      <c r="AU186" s="573" t="str">
        <f>IF('Marks Entry'!AA186="","",'Marks Entry'!AA186)</f>
        <v/>
      </c>
      <c r="AV186" s="573" t="str">
        <f>IF('Marks Entry'!AB186="","",'Marks Entry'!AB186)</f>
        <v/>
      </c>
      <c r="AW186" s="572" t="str">
        <f t="shared" si="433"/>
        <v/>
      </c>
      <c r="AX186" s="157" t="str">
        <f t="shared" si="434"/>
        <v/>
      </c>
      <c r="AY186" s="157" t="str">
        <f t="shared" si="435"/>
        <v/>
      </c>
      <c r="AZ186" s="192" t="str">
        <f t="shared" si="436"/>
        <v/>
      </c>
      <c r="BA186" s="153">
        <f t="shared" si="437"/>
        <v>0</v>
      </c>
      <c r="BB186" s="154">
        <f t="shared" si="438"/>
        <v>0</v>
      </c>
      <c r="BC186" s="154" t="str">
        <f t="shared" si="439"/>
        <v/>
      </c>
      <c r="BD186" s="154" t="str">
        <f t="shared" si="440"/>
        <v/>
      </c>
      <c r="BE186" s="154" t="str">
        <f t="shared" si="441"/>
        <v/>
      </c>
      <c r="BF186" s="153" t="str">
        <f t="shared" si="442"/>
        <v/>
      </c>
      <c r="BG186" s="154" t="str">
        <f t="shared" si="443"/>
        <v/>
      </c>
      <c r="BH186" s="153" t="str">
        <f t="shared" si="444"/>
        <v/>
      </c>
      <c r="BI186" s="580" t="str">
        <f>IF('Marks Entry'!AC186="","",'Marks Entry'!AC186)</f>
        <v/>
      </c>
      <c r="BJ186" s="580" t="str">
        <f>IF('Marks Entry'!AD186="","",'Marks Entry'!AD186)</f>
        <v/>
      </c>
      <c r="BK186" s="580" t="str">
        <f>IF('Marks Entry'!AE186="","",'Marks Entry'!AE186)</f>
        <v/>
      </c>
      <c r="BL186" s="580" t="str">
        <f>IF('Marks Entry'!AF186="","",'Marks Entry'!AF186)</f>
        <v/>
      </c>
      <c r="BM186" s="581" t="str">
        <f t="shared" si="445"/>
        <v/>
      </c>
      <c r="BN186" s="580" t="str">
        <f>IF('Marks Entry'!AG186="","",'Marks Entry'!AG186)</f>
        <v/>
      </c>
      <c r="BO186" s="580" t="str">
        <f>IF('Marks Entry'!AH186="","",'Marks Entry'!AH186)</f>
        <v/>
      </c>
      <c r="BP186" s="581" t="str">
        <f t="shared" si="446"/>
        <v/>
      </c>
      <c r="BQ186" s="581" t="str">
        <f t="shared" si="447"/>
        <v/>
      </c>
      <c r="BR186" s="580" t="str">
        <f>IF('Marks Entry'!AI186="","",'Marks Entry'!AI186)</f>
        <v/>
      </c>
      <c r="BS186" s="580" t="str">
        <f>IF('Marks Entry'!AJ186="","",'Marks Entry'!AJ186)</f>
        <v/>
      </c>
      <c r="BT186" s="581" t="str">
        <f t="shared" si="448"/>
        <v/>
      </c>
      <c r="BU186" s="157" t="str">
        <f t="shared" si="449"/>
        <v/>
      </c>
      <c r="BV186" s="157" t="str">
        <f t="shared" si="450"/>
        <v/>
      </c>
      <c r="BW186" s="192" t="str">
        <f t="shared" si="451"/>
        <v/>
      </c>
      <c r="BX186" s="153">
        <f t="shared" si="452"/>
        <v>0</v>
      </c>
      <c r="BY186" s="154">
        <f t="shared" si="453"/>
        <v>0</v>
      </c>
      <c r="BZ186" s="154" t="str">
        <f t="shared" si="454"/>
        <v/>
      </c>
      <c r="CA186" s="154" t="str">
        <f t="shared" si="455"/>
        <v/>
      </c>
      <c r="CB186" s="154" t="str">
        <f t="shared" si="456"/>
        <v/>
      </c>
      <c r="CC186" s="153" t="str">
        <f t="shared" si="457"/>
        <v/>
      </c>
      <c r="CD186" s="154" t="str">
        <f t="shared" si="458"/>
        <v/>
      </c>
      <c r="CE186" s="153" t="str">
        <f t="shared" si="459"/>
        <v/>
      </c>
      <c r="CF186" s="580" t="str">
        <f>IF('Marks Entry'!AK186="","",'Marks Entry'!AK186)</f>
        <v/>
      </c>
      <c r="CG186" s="580" t="str">
        <f>IF('Marks Entry'!AL186="","",'Marks Entry'!AL186)</f>
        <v/>
      </c>
      <c r="CH186" s="580" t="str">
        <f>IF('Marks Entry'!AM186="","",'Marks Entry'!AM186)</f>
        <v/>
      </c>
      <c r="CI186" s="580" t="str">
        <f>IF('Marks Entry'!AN186="","",'Marks Entry'!AN186)</f>
        <v/>
      </c>
      <c r="CJ186" s="581" t="str">
        <f t="shared" si="460"/>
        <v/>
      </c>
      <c r="CK186" s="580" t="str">
        <f>IF('Marks Entry'!AO186="","",'Marks Entry'!AO186)</f>
        <v/>
      </c>
      <c r="CL186" s="580" t="str">
        <f>IF('Marks Entry'!AP186="","",'Marks Entry'!AP186)</f>
        <v/>
      </c>
      <c r="CM186" s="581" t="str">
        <f t="shared" si="461"/>
        <v/>
      </c>
      <c r="CN186" s="581" t="str">
        <f t="shared" si="462"/>
        <v/>
      </c>
      <c r="CO186" s="580" t="str">
        <f>IF('Marks Entry'!AQ186="","",'Marks Entry'!AQ186)</f>
        <v/>
      </c>
      <c r="CP186" s="580" t="str">
        <f>IF('Marks Entry'!AR186="","",'Marks Entry'!AR186)</f>
        <v/>
      </c>
      <c r="CQ186" s="581" t="str">
        <f t="shared" si="463"/>
        <v/>
      </c>
      <c r="CR186" s="157" t="str">
        <f t="shared" si="464"/>
        <v/>
      </c>
      <c r="CS186" s="157" t="str">
        <f t="shared" si="465"/>
        <v/>
      </c>
      <c r="CT186" s="192" t="str">
        <f t="shared" si="466"/>
        <v/>
      </c>
      <c r="CU186" s="153">
        <f t="shared" si="467"/>
        <v>0</v>
      </c>
      <c r="CV186" s="154">
        <f t="shared" si="468"/>
        <v>0</v>
      </c>
      <c r="CW186" s="154" t="str">
        <f t="shared" si="469"/>
        <v/>
      </c>
      <c r="CX186" s="154" t="str">
        <f t="shared" si="470"/>
        <v/>
      </c>
      <c r="CY186" s="154" t="str">
        <f t="shared" si="471"/>
        <v/>
      </c>
      <c r="CZ186" s="153" t="str">
        <f t="shared" si="472"/>
        <v/>
      </c>
      <c r="DA186" s="154" t="str">
        <f t="shared" si="473"/>
        <v/>
      </c>
      <c r="DB186" s="153" t="str">
        <f t="shared" si="474"/>
        <v/>
      </c>
      <c r="DC186" s="154">
        <f t="shared" si="475"/>
        <v>0</v>
      </c>
      <c r="DD186" s="826" t="str">
        <f>IF('Marks Entry'!AS186="","",IF(OR('Master Sheet'!$D$19="YES",'Marks Entry'!$BA$1=1),'Marks Entry'!AS186,""))</f>
        <v/>
      </c>
      <c r="DE186" s="826" t="str">
        <f>IF('Marks Entry'!AT186="","",IF(OR('Master Sheet'!$D$19="YES",'Marks Entry'!$BA$1=1),'Marks Entry'!AT186,""))</f>
        <v/>
      </c>
      <c r="DF186" s="826" t="str">
        <f>IF('Marks Entry'!AU186="","",IF(OR('Master Sheet'!$D$19="YES",'Marks Entry'!$BA$1=1),'Marks Entry'!AU186,""))</f>
        <v/>
      </c>
      <c r="DG186" s="826" t="str">
        <f>IF('Marks Entry'!AV186="","",IF(OR('Master Sheet'!$D$19="YES",'Marks Entry'!$BA$1=1),'Marks Entry'!AV186,""))</f>
        <v/>
      </c>
      <c r="DH186" s="827" t="str">
        <f t="shared" si="476"/>
        <v/>
      </c>
      <c r="DI186" s="826" t="str">
        <f>IF('Marks Entry'!AW186="","",IF(OR('Master Sheet'!$D$19="YES",'Marks Entry'!$BA$1=1),'Marks Entry'!AW186,""))</f>
        <v/>
      </c>
      <c r="DJ186" s="826" t="str">
        <f>IF('Marks Entry'!AX186="","",IF(OR('Master Sheet'!$D$19="YES",'Marks Entry'!$BA$1=1),'Marks Entry'!AX186,""))</f>
        <v/>
      </c>
      <c r="DK186" s="827" t="str">
        <f t="shared" si="477"/>
        <v/>
      </c>
      <c r="DL186" s="827" t="str">
        <f t="shared" si="478"/>
        <v/>
      </c>
      <c r="DM186" s="826" t="str">
        <f>IF('Marks Entry'!AY186="","",IF(OR('Master Sheet'!$D$19="YES",'Marks Entry'!$BA$1=1),'Marks Entry'!AY186,""))</f>
        <v/>
      </c>
      <c r="DN186" s="826" t="str">
        <f>IF('Marks Entry'!AZ186="","",IF(OR('Master Sheet'!$D$19="YES",'Marks Entry'!$BA$1=1),'Marks Entry'!AZ186,""))</f>
        <v/>
      </c>
      <c r="DO186" s="826" t="str">
        <f>IF('Marks Entry'!BA186="","",IF(OR('Master Sheet'!$D$19="YES",'Marks Entry'!$BA$1=1),'Marks Entry'!BA186,""))</f>
        <v/>
      </c>
      <c r="DP186" s="827" t="str">
        <f t="shared" si="479"/>
        <v/>
      </c>
      <c r="DQ186" s="157" t="str">
        <f t="shared" si="480"/>
        <v/>
      </c>
      <c r="DR186" s="157" t="str">
        <f t="shared" si="481"/>
        <v/>
      </c>
      <c r="DS186" s="157" t="str">
        <f t="shared" si="482"/>
        <v/>
      </c>
      <c r="DT186" s="192" t="str">
        <f t="shared" si="483"/>
        <v/>
      </c>
      <c r="DU186" s="153">
        <f t="shared" si="484"/>
        <v>0</v>
      </c>
      <c r="DV186" s="154" t="e">
        <f t="shared" si="485"/>
        <v>#VALUE!</v>
      </c>
      <c r="DW186" s="154" t="str">
        <f t="shared" si="486"/>
        <v/>
      </c>
      <c r="DX186" s="154" t="str">
        <f>IF(OR($B186="NSO",$B186=0,DS186=""),"",IF(AND(DJ186="",DO186=""),"",IF('Master Sheet'!$D$19="YES",$DO$6-COUNTIF(DO186,"ML")*DO$6,DS$6-(COUNTIF(DJ186,"ML")*DJ$6)-(COUNTIF(DO186,"ML")*DO$6))))</f>
        <v/>
      </c>
      <c r="DY186" s="154" t="str">
        <f>IF(OR($B186="NSO",$B186=0),"",IF(AND(DH186="",DI186="",DM186=""),"",IF(AND('Master Sheet'!$D$19="YES",'Marks Entry'!$BA$1=1),100,IF(AND(DJ186="",DO186=""),SUM(($DQ$7+$DR$7)-(DU186+DV186)),SUM(($DQ$6+$DR$6)-(DU186+DV186))))))</f>
        <v/>
      </c>
      <c r="DZ186" s="153" t="str">
        <f t="shared" si="487"/>
        <v/>
      </c>
      <c r="EA186" s="154" t="str">
        <f t="shared" si="488"/>
        <v/>
      </c>
      <c r="EB186" s="153" t="str">
        <f t="shared" si="489"/>
        <v/>
      </c>
      <c r="EC186" s="584" t="str">
        <f>IF('Marks Entry'!BB186="","",'Marks Entry'!BB186)</f>
        <v/>
      </c>
      <c r="ED186" s="584" t="str">
        <f>IF('Marks Entry'!BC186="","",'Marks Entry'!BC186)</f>
        <v/>
      </c>
      <c r="EE186" s="584" t="str">
        <f>IF('Marks Entry'!BD186="","",'Marks Entry'!BD186)</f>
        <v/>
      </c>
      <c r="EF186" s="590" t="str">
        <f t="shared" si="490"/>
        <v/>
      </c>
      <c r="EG186" s="595">
        <f t="shared" si="491"/>
        <v>0</v>
      </c>
      <c r="EH186" s="595">
        <f t="shared" si="492"/>
        <v>0</v>
      </c>
      <c r="EI186" s="193" t="str">
        <f t="shared" si="493"/>
        <v/>
      </c>
      <c r="EJ186" s="595" t="str">
        <f t="shared" si="494"/>
        <v/>
      </c>
      <c r="EK186" s="595" t="str">
        <f t="shared" si="495"/>
        <v/>
      </c>
      <c r="EL186" s="194" t="str">
        <f t="shared" si="496"/>
        <v/>
      </c>
      <c r="EM186" s="194" t="str">
        <f t="shared" si="497"/>
        <v/>
      </c>
      <c r="EN186" s="194" t="str">
        <f t="shared" si="498"/>
        <v/>
      </c>
      <c r="EO186" s="194" t="str">
        <f t="shared" si="499"/>
        <v/>
      </c>
      <c r="EP186" s="194" t="str">
        <f t="shared" si="500"/>
        <v/>
      </c>
      <c r="EQ186" s="194" t="str">
        <f t="shared" si="501"/>
        <v/>
      </c>
      <c r="ER186" s="195">
        <f t="shared" si="502"/>
        <v>0</v>
      </c>
      <c r="ES186" s="195">
        <f t="shared" si="503"/>
        <v>0</v>
      </c>
      <c r="ET186" s="195">
        <f t="shared" si="504"/>
        <v>0</v>
      </c>
      <c r="EU186" s="195">
        <f t="shared" si="505"/>
        <v>0</v>
      </c>
      <c r="EV186" s="195">
        <f t="shared" si="506"/>
        <v>0</v>
      </c>
      <c r="EW186" s="195" t="str">
        <f t="shared" si="507"/>
        <v/>
      </c>
      <c r="EX186" s="196" t="str">
        <f t="shared" si="508"/>
        <v/>
      </c>
      <c r="EY186" s="197" t="str">
        <f>IF('Marks Entry'!BE186="","",'Marks Entry'!BE186)</f>
        <v/>
      </c>
      <c r="EZ186" s="197" t="str">
        <f>IF('Marks Entry'!BF186="","",'Marks Entry'!BF186)</f>
        <v/>
      </c>
      <c r="FA186" s="197" t="str">
        <f>IF('Marks Entry'!BG186="","",'Marks Entry'!BG186)</f>
        <v/>
      </c>
      <c r="FB186" s="596" t="str">
        <f t="shared" si="509"/>
        <v/>
      </c>
      <c r="FC186" s="197" t="str">
        <f>IF('Marks Entry'!BH186="","",'Marks Entry'!BH186)</f>
        <v/>
      </c>
      <c r="FD186" s="197" t="str">
        <f>IF('Marks Entry'!BI186="","",'Marks Entry'!BI186)</f>
        <v/>
      </c>
      <c r="FE186" s="198" t="str">
        <f t="shared" si="510"/>
        <v/>
      </c>
      <c r="FF186" s="199" t="str">
        <f t="shared" si="511"/>
        <v/>
      </c>
      <c r="FG186" s="200" t="str">
        <f>IF(AND(E186=""),"",IF('Student DATA Entry'!L182="","",'Student DATA Entry'!L182))</f>
        <v/>
      </c>
      <c r="FH186" s="201" t="str">
        <f>IF(AND(E186=""),"",IF('Student DATA Entry'!M182="","",'Student DATA Entry'!M182))</f>
        <v/>
      </c>
      <c r="FI186" s="202" t="str">
        <f t="shared" si="512"/>
        <v/>
      </c>
      <c r="FJ186" s="189" t="str">
        <f t="shared" si="513"/>
        <v/>
      </c>
      <c r="FK186" s="189" t="str">
        <f t="shared" si="514"/>
        <v/>
      </c>
      <c r="FL186" s="203" t="str">
        <f t="shared" si="542"/>
        <v/>
      </c>
      <c r="FM186" s="189" t="str">
        <f t="shared" si="515"/>
        <v/>
      </c>
      <c r="FN186" s="204" t="str">
        <f t="shared" si="516"/>
        <v/>
      </c>
      <c r="FO186" s="203" t="str">
        <f t="shared" si="543"/>
        <v/>
      </c>
      <c r="FP186" s="205" t="str">
        <f t="shared" si="517"/>
        <v/>
      </c>
      <c r="FQ186" s="189" t="str">
        <f t="shared" si="544"/>
        <v/>
      </c>
      <c r="FR186" s="189" t="str">
        <f t="shared" si="545"/>
        <v/>
      </c>
      <c r="FS186" s="189" t="str">
        <f t="shared" si="546"/>
        <v/>
      </c>
      <c r="FT186" s="189" t="str">
        <f t="shared" si="547"/>
        <v/>
      </c>
      <c r="FU186" s="189" t="str">
        <f t="shared" si="518"/>
        <v/>
      </c>
      <c r="FV186" s="206" t="str">
        <f t="shared" si="548"/>
        <v/>
      </c>
      <c r="FW186" s="205" t="str">
        <f t="shared" si="519"/>
        <v/>
      </c>
      <c r="FX186" s="189" t="str">
        <f t="shared" si="549"/>
        <v/>
      </c>
      <c r="FY186" s="189" t="str">
        <f t="shared" si="550"/>
        <v/>
      </c>
      <c r="FZ186" s="189" t="str">
        <f t="shared" si="551"/>
        <v/>
      </c>
      <c r="GA186" s="189" t="str">
        <f t="shared" si="552"/>
        <v/>
      </c>
      <c r="GB186" s="189" t="str">
        <f t="shared" si="520"/>
        <v/>
      </c>
      <c r="GC186" s="206" t="str">
        <f t="shared" si="553"/>
        <v/>
      </c>
      <c r="GD186" s="205" t="str">
        <f t="shared" si="521"/>
        <v/>
      </c>
      <c r="GE186" s="189" t="str">
        <f t="shared" si="554"/>
        <v/>
      </c>
      <c r="GF186" s="189" t="str">
        <f t="shared" si="555"/>
        <v/>
      </c>
      <c r="GG186" s="189" t="str">
        <f t="shared" si="556"/>
        <v/>
      </c>
      <c r="GH186" s="189" t="str">
        <f t="shared" si="557"/>
        <v/>
      </c>
      <c r="GI186" s="189" t="str">
        <f t="shared" si="522"/>
        <v/>
      </c>
      <c r="GJ186" s="206" t="str">
        <f t="shared" si="558"/>
        <v/>
      </c>
      <c r="GK186" s="205" t="str">
        <f t="shared" si="523"/>
        <v/>
      </c>
      <c r="GL186" s="189" t="str">
        <f t="shared" si="559"/>
        <v/>
      </c>
      <c r="GM186" s="189" t="str">
        <f t="shared" si="560"/>
        <v/>
      </c>
      <c r="GN186" s="189" t="str">
        <f t="shared" si="561"/>
        <v/>
      </c>
      <c r="GO186" s="189" t="str">
        <f t="shared" si="562"/>
        <v/>
      </c>
      <c r="GP186" s="189" t="str">
        <f t="shared" si="524"/>
        <v/>
      </c>
      <c r="GQ186" s="206" t="str">
        <f t="shared" si="563"/>
        <v/>
      </c>
      <c r="GR186" s="189" t="str">
        <f t="shared" si="525"/>
        <v/>
      </c>
      <c r="GS186" s="189" t="str">
        <f t="shared" si="526"/>
        <v/>
      </c>
      <c r="GT186" s="207" t="str">
        <f t="shared" si="527"/>
        <v xml:space="preserve">    </v>
      </c>
      <c r="GU186" s="207" t="str">
        <f t="shared" si="528"/>
        <v xml:space="preserve">    </v>
      </c>
      <c r="GV186" s="207" t="str">
        <f t="shared" si="529"/>
        <v xml:space="preserve">    </v>
      </c>
      <c r="GW186" s="207" t="str">
        <f t="shared" si="530"/>
        <v xml:space="preserve">       </v>
      </c>
      <c r="GX186" s="598" t="str">
        <f t="shared" si="531"/>
        <v xml:space="preserve">     </v>
      </c>
      <c r="GY186" s="208" t="str">
        <f t="shared" si="564"/>
        <v/>
      </c>
      <c r="GZ186" s="606" t="str">
        <f>IF(AND(Q186="",AE186="",AZ186="",BW186="",CT186=""),"",IF(AND('Master Sheet'!$D$19="YES",'Marks Entry'!$BA$1=1),SUM(Q186,AE186,AZ186,BW186,DT186),SUM(Q186,AE186,AZ186,BW186,CT186)))</f>
        <v/>
      </c>
      <c r="HA186" s="209" t="str">
        <f>IF(GZ186="","",IF(AND('Master Sheet'!$D$19="YES",'Marks Entry'!$BA$1=1),GZ186/((900)-DC186)*100,GZ186/((1000)-DC186)*100))</f>
        <v/>
      </c>
      <c r="HB186" s="611" t="str">
        <f t="shared" si="532"/>
        <v/>
      </c>
      <c r="HC186" s="609" t="str">
        <f t="shared" si="533"/>
        <v/>
      </c>
      <c r="HD186" s="610" t="str">
        <f t="shared" si="534"/>
        <v/>
      </c>
      <c r="HE186" s="210" t="str">
        <f>IFERROR(IF(OR(GY186="SUPPLEMENTARY",GY186="RE-EXAM"),'Supp. Result Entry'!AS185,""),"")</f>
        <v/>
      </c>
      <c r="HF186" s="613" t="str">
        <f t="shared" si="535"/>
        <v/>
      </c>
      <c r="HG186" s="598" t="str">
        <f t="shared" si="536"/>
        <v/>
      </c>
      <c r="HH186" s="598" t="str">
        <f>IF(AND(HE186="",HF186="",HG186=""),"",IF(OR(GY186="SUPPLEMENTARY",GY186="RE-EXAM"),'Supp. Result Entry'!AS185,GY186))</f>
        <v/>
      </c>
      <c r="HI186" s="180"/>
      <c r="HY186" s="212" t="str">
        <f>IF('Supp. Result Entry'!U185="","",'Supp. Result Entry'!$U$6)</f>
        <v/>
      </c>
      <c r="HZ186" s="213" t="str">
        <f>IF('Supp. Result Entry'!X185="","",'Supp. Result Entry'!$X$6)</f>
        <v/>
      </c>
      <c r="IA186" s="213" t="str">
        <f>IF('Supp. Result Entry'!AA185="","",'Supp. Result Entry'!$AA$6)</f>
        <v/>
      </c>
      <c r="IB186" s="213" t="str">
        <f>IF('Supp. Result Entry'!AD185="","",'Supp. Result Entry'!$AD$6)</f>
        <v/>
      </c>
      <c r="IC186" s="213" t="str">
        <f>IF('Supp. Result Entry'!AG185="","",'Supp. Result Entry'!$AG$6)</f>
        <v/>
      </c>
      <c r="ID186" s="213" t="str">
        <f>IF('Supp. Result Entry'!AJ185="","",'Supp. Result Entry'!$AJ$6)</f>
        <v/>
      </c>
      <c r="IE186" s="213" t="str">
        <f>IF('Supp. Result Entry'!V185="","",'Supp. Result Entry'!V185)</f>
        <v/>
      </c>
      <c r="IF186" s="213" t="str">
        <f>IF('Supp. Result Entry'!Y185="","",'Supp. Result Entry'!Y185)</f>
        <v/>
      </c>
      <c r="IG186" s="213" t="str">
        <f>IF('Supp. Result Entry'!AB185="","",'Supp. Result Entry'!AB185)</f>
        <v/>
      </c>
      <c r="IH186" s="213" t="str">
        <f>IF('Supp. Result Entry'!AE185="","",'Supp. Result Entry'!AE185)</f>
        <v/>
      </c>
      <c r="II186" s="213" t="str">
        <f>IF('Supp. Result Entry'!AH185="","",'Supp. Result Entry'!AH185)</f>
        <v/>
      </c>
      <c r="IJ186" s="213" t="str">
        <f>IF('Supp. Result Entry'!AK185="","",'Supp. Result Entry'!AK185)</f>
        <v/>
      </c>
      <c r="IK186" s="213" t="str">
        <f>IF('Supp. Result Entry'!W185="","",'Supp. Result Entry'!W185)</f>
        <v/>
      </c>
      <c r="IL186" s="213" t="str">
        <f>IF('Supp. Result Entry'!Z185="","",'Supp. Result Entry'!Z185)</f>
        <v/>
      </c>
      <c r="IM186" s="213" t="str">
        <f>IF('Supp. Result Entry'!AC185="","",'Supp. Result Entry'!AC185)</f>
        <v/>
      </c>
      <c r="IN186" s="213" t="str">
        <f>IF('Supp. Result Entry'!AF185="","",'Supp. Result Entry'!AF185)</f>
        <v/>
      </c>
      <c r="IO186" s="213" t="str">
        <f>IF('Supp. Result Entry'!AI185="","",'Supp. Result Entry'!AI185)</f>
        <v/>
      </c>
      <c r="IP186" s="213" t="str">
        <f>IF('Supp. Result Entry'!AL185="","",'Supp. Result Entry'!AL185)</f>
        <v/>
      </c>
      <c r="IQ186" s="213">
        <f>COUNTIF('Supp. Result Entry'!K185:Q185,"S")</f>
        <v>0</v>
      </c>
      <c r="IR186" s="213">
        <f t="shared" si="537"/>
        <v>0</v>
      </c>
      <c r="IS186" s="213">
        <f t="shared" si="538"/>
        <v>0</v>
      </c>
      <c r="IT186" s="213" t="str">
        <f t="shared" si="406"/>
        <v/>
      </c>
      <c r="IU186" s="213" t="str">
        <f t="shared" si="407"/>
        <v/>
      </c>
      <c r="IV186" s="213" t="str">
        <f t="shared" si="408"/>
        <v/>
      </c>
      <c r="IW186" s="213" t="str">
        <f t="shared" si="409"/>
        <v/>
      </c>
      <c r="IX186" s="213" t="str">
        <f t="shared" si="410"/>
        <v/>
      </c>
      <c r="IY186" s="213" t="str">
        <f t="shared" si="539"/>
        <v/>
      </c>
      <c r="IZ186" s="213" t="str">
        <f t="shared" si="540"/>
        <v/>
      </c>
      <c r="JA186" s="213" t="str">
        <f t="shared" si="411"/>
        <v/>
      </c>
      <c r="JB186" s="211" t="str">
        <f t="shared" si="541"/>
        <v/>
      </c>
    </row>
    <row r="187" spans="1:262" s="211" customFormat="1" ht="21" customHeight="1">
      <c r="A187" s="184">
        <v>180</v>
      </c>
      <c r="B187" s="185" t="str">
        <f>IF('Marks Entry'!B187="","",'Marks Entry'!B187)</f>
        <v/>
      </c>
      <c r="C187" s="186" t="str">
        <f>IF('Marks Entry'!D187="","",'Marks Entry'!D187)</f>
        <v/>
      </c>
      <c r="D187" s="187" t="str">
        <f>IF('Marks Entry'!E187="","",'Marks Entry'!E187)</f>
        <v/>
      </c>
      <c r="E187" s="188" t="str">
        <f>IF('Marks Entry'!F187="","",'Marks Entry'!F187)</f>
        <v/>
      </c>
      <c r="F187" s="188" t="str">
        <f>IF('Marks Entry'!G187="","",'Marks Entry'!G187)</f>
        <v/>
      </c>
      <c r="G187" s="188" t="str">
        <f>IF('Marks Entry'!H187="","",'Marks Entry'!H187)</f>
        <v/>
      </c>
      <c r="H187" s="189" t="str">
        <f>IF('Marks Entry'!I187="","",'Marks Entry'!I187)</f>
        <v/>
      </c>
      <c r="I187" s="190" t="str">
        <f>IF('Marks Entry'!J187="","",'Marks Entry'!J187)</f>
        <v/>
      </c>
      <c r="J187" s="545" t="str">
        <f>IF('Marks Entry'!K187="","",'Marks Entry'!K187)</f>
        <v/>
      </c>
      <c r="K187" s="545" t="str">
        <f>IF('Marks Entry'!L187="","",'Marks Entry'!L187)</f>
        <v/>
      </c>
      <c r="L187" s="545" t="str">
        <f>IF('Marks Entry'!M187="","",'Marks Entry'!M187)</f>
        <v/>
      </c>
      <c r="M187" s="546" t="str">
        <f t="shared" si="412"/>
        <v/>
      </c>
      <c r="N187" s="545" t="str">
        <f>IF('Marks Entry'!N187="","",'Marks Entry'!N187)</f>
        <v/>
      </c>
      <c r="O187" s="546" t="str">
        <f t="shared" si="413"/>
        <v/>
      </c>
      <c r="P187" s="545" t="str">
        <f>IF('Marks Entry'!O187="","",'Marks Entry'!O187)</f>
        <v/>
      </c>
      <c r="Q187" s="547" t="str">
        <f t="shared" si="414"/>
        <v/>
      </c>
      <c r="R187" s="153">
        <f t="shared" si="415"/>
        <v>0</v>
      </c>
      <c r="S187" s="153">
        <f t="shared" si="416"/>
        <v>0</v>
      </c>
      <c r="T187" s="154" t="str">
        <f t="shared" si="417"/>
        <v/>
      </c>
      <c r="U187" s="153" t="str">
        <f t="shared" si="418"/>
        <v/>
      </c>
      <c r="V187" s="153" t="str">
        <f t="shared" si="419"/>
        <v/>
      </c>
      <c r="W187" s="153" t="str">
        <f t="shared" si="420"/>
        <v/>
      </c>
      <c r="X187" s="545" t="str">
        <f>IF('Marks Entry'!P187="","",'Marks Entry'!P187)</f>
        <v/>
      </c>
      <c r="Y187" s="545" t="str">
        <f>IF('Marks Entry'!Q187="","",'Marks Entry'!Q187)</f>
        <v/>
      </c>
      <c r="Z187" s="545" t="str">
        <f>IF('Marks Entry'!R187="","",'Marks Entry'!R187)</f>
        <v/>
      </c>
      <c r="AA187" s="546" t="str">
        <f t="shared" si="421"/>
        <v/>
      </c>
      <c r="AB187" s="545" t="str">
        <f>IF('Marks Entry'!S187="","",'Marks Entry'!S187)</f>
        <v/>
      </c>
      <c r="AC187" s="546" t="str">
        <f t="shared" si="422"/>
        <v/>
      </c>
      <c r="AD187" s="545" t="str">
        <f>IF('Marks Entry'!T187="","",'Marks Entry'!T187)</f>
        <v/>
      </c>
      <c r="AE187" s="547" t="str">
        <f t="shared" si="423"/>
        <v/>
      </c>
      <c r="AF187" s="153">
        <f t="shared" si="424"/>
        <v>0</v>
      </c>
      <c r="AG187" s="153">
        <f t="shared" si="425"/>
        <v>0</v>
      </c>
      <c r="AH187" s="154" t="str">
        <f t="shared" si="426"/>
        <v/>
      </c>
      <c r="AI187" s="153" t="str">
        <f t="shared" si="427"/>
        <v/>
      </c>
      <c r="AJ187" s="153" t="str">
        <f t="shared" si="428"/>
        <v/>
      </c>
      <c r="AK187" s="153" t="str">
        <f t="shared" si="429"/>
        <v/>
      </c>
      <c r="AL187" s="573" t="str">
        <f>IF('Marks Entry'!U187="","",'Marks Entry'!U187)</f>
        <v/>
      </c>
      <c r="AM187" s="573" t="str">
        <f>IF('Marks Entry'!V187="","",'Marks Entry'!V187)</f>
        <v/>
      </c>
      <c r="AN187" s="573" t="str">
        <f>IF('Marks Entry'!W187="","",'Marks Entry'!W187)</f>
        <v/>
      </c>
      <c r="AO187" s="573" t="str">
        <f>IF('Marks Entry'!X187="","",'Marks Entry'!X187)</f>
        <v/>
      </c>
      <c r="AP187" s="572" t="str">
        <f t="shared" si="430"/>
        <v/>
      </c>
      <c r="AQ187" s="573" t="str">
        <f>IF('Marks Entry'!Y187="","",'Marks Entry'!Y187)</f>
        <v/>
      </c>
      <c r="AR187" s="573" t="str">
        <f>IF('Marks Entry'!Z187="","",'Marks Entry'!Z187)</f>
        <v/>
      </c>
      <c r="AS187" s="572" t="str">
        <f t="shared" si="431"/>
        <v/>
      </c>
      <c r="AT187" s="572" t="str">
        <f t="shared" si="432"/>
        <v/>
      </c>
      <c r="AU187" s="573" t="str">
        <f>IF('Marks Entry'!AA187="","",'Marks Entry'!AA187)</f>
        <v/>
      </c>
      <c r="AV187" s="573" t="str">
        <f>IF('Marks Entry'!AB187="","",'Marks Entry'!AB187)</f>
        <v/>
      </c>
      <c r="AW187" s="572" t="str">
        <f t="shared" si="433"/>
        <v/>
      </c>
      <c r="AX187" s="157" t="str">
        <f t="shared" si="434"/>
        <v/>
      </c>
      <c r="AY187" s="157" t="str">
        <f t="shared" si="435"/>
        <v/>
      </c>
      <c r="AZ187" s="192" t="str">
        <f t="shared" si="436"/>
        <v/>
      </c>
      <c r="BA187" s="153">
        <f t="shared" si="437"/>
        <v>0</v>
      </c>
      <c r="BB187" s="154">
        <f t="shared" si="438"/>
        <v>0</v>
      </c>
      <c r="BC187" s="154" t="str">
        <f t="shared" si="439"/>
        <v/>
      </c>
      <c r="BD187" s="154" t="str">
        <f t="shared" si="440"/>
        <v/>
      </c>
      <c r="BE187" s="154" t="str">
        <f t="shared" si="441"/>
        <v/>
      </c>
      <c r="BF187" s="153" t="str">
        <f t="shared" si="442"/>
        <v/>
      </c>
      <c r="BG187" s="154" t="str">
        <f t="shared" si="443"/>
        <v/>
      </c>
      <c r="BH187" s="153" t="str">
        <f t="shared" si="444"/>
        <v/>
      </c>
      <c r="BI187" s="580" t="str">
        <f>IF('Marks Entry'!AC187="","",'Marks Entry'!AC187)</f>
        <v/>
      </c>
      <c r="BJ187" s="580" t="str">
        <f>IF('Marks Entry'!AD187="","",'Marks Entry'!AD187)</f>
        <v/>
      </c>
      <c r="BK187" s="580" t="str">
        <f>IF('Marks Entry'!AE187="","",'Marks Entry'!AE187)</f>
        <v/>
      </c>
      <c r="BL187" s="580" t="str">
        <f>IF('Marks Entry'!AF187="","",'Marks Entry'!AF187)</f>
        <v/>
      </c>
      <c r="BM187" s="581" t="str">
        <f t="shared" si="445"/>
        <v/>
      </c>
      <c r="BN187" s="580" t="str">
        <f>IF('Marks Entry'!AG187="","",'Marks Entry'!AG187)</f>
        <v/>
      </c>
      <c r="BO187" s="580" t="str">
        <f>IF('Marks Entry'!AH187="","",'Marks Entry'!AH187)</f>
        <v/>
      </c>
      <c r="BP187" s="581" t="str">
        <f t="shared" si="446"/>
        <v/>
      </c>
      <c r="BQ187" s="581" t="str">
        <f t="shared" si="447"/>
        <v/>
      </c>
      <c r="BR187" s="580" t="str">
        <f>IF('Marks Entry'!AI187="","",'Marks Entry'!AI187)</f>
        <v/>
      </c>
      <c r="BS187" s="580" t="str">
        <f>IF('Marks Entry'!AJ187="","",'Marks Entry'!AJ187)</f>
        <v/>
      </c>
      <c r="BT187" s="581" t="str">
        <f t="shared" si="448"/>
        <v/>
      </c>
      <c r="BU187" s="157" t="str">
        <f t="shared" si="449"/>
        <v/>
      </c>
      <c r="BV187" s="157" t="str">
        <f t="shared" si="450"/>
        <v/>
      </c>
      <c r="BW187" s="192" t="str">
        <f t="shared" si="451"/>
        <v/>
      </c>
      <c r="BX187" s="153">
        <f t="shared" si="452"/>
        <v>0</v>
      </c>
      <c r="BY187" s="154">
        <f t="shared" si="453"/>
        <v>0</v>
      </c>
      <c r="BZ187" s="154" t="str">
        <f t="shared" si="454"/>
        <v/>
      </c>
      <c r="CA187" s="154" t="str">
        <f t="shared" si="455"/>
        <v/>
      </c>
      <c r="CB187" s="154" t="str">
        <f t="shared" si="456"/>
        <v/>
      </c>
      <c r="CC187" s="153" t="str">
        <f t="shared" si="457"/>
        <v/>
      </c>
      <c r="CD187" s="154" t="str">
        <f t="shared" si="458"/>
        <v/>
      </c>
      <c r="CE187" s="153" t="str">
        <f t="shared" si="459"/>
        <v/>
      </c>
      <c r="CF187" s="580" t="str">
        <f>IF('Marks Entry'!AK187="","",'Marks Entry'!AK187)</f>
        <v/>
      </c>
      <c r="CG187" s="580" t="str">
        <f>IF('Marks Entry'!AL187="","",'Marks Entry'!AL187)</f>
        <v/>
      </c>
      <c r="CH187" s="580" t="str">
        <f>IF('Marks Entry'!AM187="","",'Marks Entry'!AM187)</f>
        <v/>
      </c>
      <c r="CI187" s="580" t="str">
        <f>IF('Marks Entry'!AN187="","",'Marks Entry'!AN187)</f>
        <v/>
      </c>
      <c r="CJ187" s="581" t="str">
        <f t="shared" si="460"/>
        <v/>
      </c>
      <c r="CK187" s="580" t="str">
        <f>IF('Marks Entry'!AO187="","",'Marks Entry'!AO187)</f>
        <v/>
      </c>
      <c r="CL187" s="580" t="str">
        <f>IF('Marks Entry'!AP187="","",'Marks Entry'!AP187)</f>
        <v/>
      </c>
      <c r="CM187" s="581" t="str">
        <f t="shared" si="461"/>
        <v/>
      </c>
      <c r="CN187" s="581" t="str">
        <f t="shared" si="462"/>
        <v/>
      </c>
      <c r="CO187" s="580" t="str">
        <f>IF('Marks Entry'!AQ187="","",'Marks Entry'!AQ187)</f>
        <v/>
      </c>
      <c r="CP187" s="580" t="str">
        <f>IF('Marks Entry'!AR187="","",'Marks Entry'!AR187)</f>
        <v/>
      </c>
      <c r="CQ187" s="581" t="str">
        <f t="shared" si="463"/>
        <v/>
      </c>
      <c r="CR187" s="157" t="str">
        <f t="shared" si="464"/>
        <v/>
      </c>
      <c r="CS187" s="157" t="str">
        <f t="shared" si="465"/>
        <v/>
      </c>
      <c r="CT187" s="192" t="str">
        <f t="shared" si="466"/>
        <v/>
      </c>
      <c r="CU187" s="153">
        <f t="shared" si="467"/>
        <v>0</v>
      </c>
      <c r="CV187" s="154">
        <f t="shared" si="468"/>
        <v>0</v>
      </c>
      <c r="CW187" s="154" t="str">
        <f t="shared" si="469"/>
        <v/>
      </c>
      <c r="CX187" s="154" t="str">
        <f t="shared" si="470"/>
        <v/>
      </c>
      <c r="CY187" s="154" t="str">
        <f t="shared" si="471"/>
        <v/>
      </c>
      <c r="CZ187" s="153" t="str">
        <f t="shared" si="472"/>
        <v/>
      </c>
      <c r="DA187" s="154" t="str">
        <f t="shared" si="473"/>
        <v/>
      </c>
      <c r="DB187" s="153" t="str">
        <f t="shared" si="474"/>
        <v/>
      </c>
      <c r="DC187" s="154">
        <f t="shared" si="475"/>
        <v>0</v>
      </c>
      <c r="DD187" s="826" t="str">
        <f>IF('Marks Entry'!AS187="","",IF(OR('Master Sheet'!$D$19="YES",'Marks Entry'!$BA$1=1),'Marks Entry'!AS187,""))</f>
        <v/>
      </c>
      <c r="DE187" s="826" t="str">
        <f>IF('Marks Entry'!AT187="","",IF(OR('Master Sheet'!$D$19="YES",'Marks Entry'!$BA$1=1),'Marks Entry'!AT187,""))</f>
        <v/>
      </c>
      <c r="DF187" s="826" t="str">
        <f>IF('Marks Entry'!AU187="","",IF(OR('Master Sheet'!$D$19="YES",'Marks Entry'!$BA$1=1),'Marks Entry'!AU187,""))</f>
        <v/>
      </c>
      <c r="DG187" s="826" t="str">
        <f>IF('Marks Entry'!AV187="","",IF(OR('Master Sheet'!$D$19="YES",'Marks Entry'!$BA$1=1),'Marks Entry'!AV187,""))</f>
        <v/>
      </c>
      <c r="DH187" s="827" t="str">
        <f t="shared" si="476"/>
        <v/>
      </c>
      <c r="DI187" s="826" t="str">
        <f>IF('Marks Entry'!AW187="","",IF(OR('Master Sheet'!$D$19="YES",'Marks Entry'!$BA$1=1),'Marks Entry'!AW187,""))</f>
        <v/>
      </c>
      <c r="DJ187" s="826" t="str">
        <f>IF('Marks Entry'!AX187="","",IF(OR('Master Sheet'!$D$19="YES",'Marks Entry'!$BA$1=1),'Marks Entry'!AX187,""))</f>
        <v/>
      </c>
      <c r="DK187" s="827" t="str">
        <f t="shared" si="477"/>
        <v/>
      </c>
      <c r="DL187" s="827" t="str">
        <f t="shared" si="478"/>
        <v/>
      </c>
      <c r="DM187" s="826" t="str">
        <f>IF('Marks Entry'!AY187="","",IF(OR('Master Sheet'!$D$19="YES",'Marks Entry'!$BA$1=1),'Marks Entry'!AY187,""))</f>
        <v/>
      </c>
      <c r="DN187" s="826" t="str">
        <f>IF('Marks Entry'!AZ187="","",IF(OR('Master Sheet'!$D$19="YES",'Marks Entry'!$BA$1=1),'Marks Entry'!AZ187,""))</f>
        <v/>
      </c>
      <c r="DO187" s="826" t="str">
        <f>IF('Marks Entry'!BA187="","",IF(OR('Master Sheet'!$D$19="YES",'Marks Entry'!$BA$1=1),'Marks Entry'!BA187,""))</f>
        <v/>
      </c>
      <c r="DP187" s="827" t="str">
        <f t="shared" si="479"/>
        <v/>
      </c>
      <c r="DQ187" s="157" t="str">
        <f t="shared" si="480"/>
        <v/>
      </c>
      <c r="DR187" s="157" t="str">
        <f t="shared" si="481"/>
        <v/>
      </c>
      <c r="DS187" s="157" t="str">
        <f t="shared" si="482"/>
        <v/>
      </c>
      <c r="DT187" s="192" t="str">
        <f t="shared" si="483"/>
        <v/>
      </c>
      <c r="DU187" s="153">
        <f t="shared" si="484"/>
        <v>0</v>
      </c>
      <c r="DV187" s="154" t="e">
        <f t="shared" si="485"/>
        <v>#VALUE!</v>
      </c>
      <c r="DW187" s="154" t="str">
        <f t="shared" si="486"/>
        <v/>
      </c>
      <c r="DX187" s="154" t="str">
        <f>IF(OR($B187="NSO",$B187=0,DS187=""),"",IF(AND(DJ187="",DO187=""),"",IF('Master Sheet'!$D$19="YES",$DO$6-COUNTIF(DO187,"ML")*DO$6,DS$6-(COUNTIF(DJ187,"ML")*DJ$6)-(COUNTIF(DO187,"ML")*DO$6))))</f>
        <v/>
      </c>
      <c r="DY187" s="154" t="str">
        <f>IF(OR($B187="NSO",$B187=0),"",IF(AND(DH187="",DI187="",DM187=""),"",IF(AND('Master Sheet'!$D$19="YES",'Marks Entry'!$BA$1=1),100,IF(AND(DJ187="",DO187=""),SUM(($DQ$7+$DR$7)-(DU187+DV187)),SUM(($DQ$6+$DR$6)-(DU187+DV187))))))</f>
        <v/>
      </c>
      <c r="DZ187" s="153" t="str">
        <f t="shared" si="487"/>
        <v/>
      </c>
      <c r="EA187" s="154" t="str">
        <f t="shared" si="488"/>
        <v/>
      </c>
      <c r="EB187" s="153" t="str">
        <f t="shared" si="489"/>
        <v/>
      </c>
      <c r="EC187" s="584" t="str">
        <f>IF('Marks Entry'!BB187="","",'Marks Entry'!BB187)</f>
        <v/>
      </c>
      <c r="ED187" s="584" t="str">
        <f>IF('Marks Entry'!BC187="","",'Marks Entry'!BC187)</f>
        <v/>
      </c>
      <c r="EE187" s="584" t="str">
        <f>IF('Marks Entry'!BD187="","",'Marks Entry'!BD187)</f>
        <v/>
      </c>
      <c r="EF187" s="590" t="str">
        <f t="shared" si="490"/>
        <v/>
      </c>
      <c r="EG187" s="595">
        <f t="shared" si="491"/>
        <v>0</v>
      </c>
      <c r="EH187" s="595">
        <f t="shared" si="492"/>
        <v>0</v>
      </c>
      <c r="EI187" s="193" t="str">
        <f t="shared" si="493"/>
        <v/>
      </c>
      <c r="EJ187" s="595" t="str">
        <f t="shared" si="494"/>
        <v/>
      </c>
      <c r="EK187" s="595" t="str">
        <f t="shared" si="495"/>
        <v/>
      </c>
      <c r="EL187" s="194" t="str">
        <f t="shared" si="496"/>
        <v/>
      </c>
      <c r="EM187" s="194" t="str">
        <f t="shared" si="497"/>
        <v/>
      </c>
      <c r="EN187" s="194" t="str">
        <f t="shared" si="498"/>
        <v/>
      </c>
      <c r="EO187" s="194" t="str">
        <f t="shared" si="499"/>
        <v/>
      </c>
      <c r="EP187" s="194" t="str">
        <f t="shared" si="500"/>
        <v/>
      </c>
      <c r="EQ187" s="194" t="str">
        <f t="shared" si="501"/>
        <v/>
      </c>
      <c r="ER187" s="195">
        <f t="shared" si="502"/>
        <v>0</v>
      </c>
      <c r="ES187" s="195">
        <f t="shared" si="503"/>
        <v>0</v>
      </c>
      <c r="ET187" s="195">
        <f t="shared" si="504"/>
        <v>0</v>
      </c>
      <c r="EU187" s="195">
        <f t="shared" si="505"/>
        <v>0</v>
      </c>
      <c r="EV187" s="195">
        <f t="shared" si="506"/>
        <v>0</v>
      </c>
      <c r="EW187" s="195" t="str">
        <f t="shared" si="507"/>
        <v/>
      </c>
      <c r="EX187" s="196" t="str">
        <f t="shared" si="508"/>
        <v/>
      </c>
      <c r="EY187" s="197" t="str">
        <f>IF('Marks Entry'!BE187="","",'Marks Entry'!BE187)</f>
        <v/>
      </c>
      <c r="EZ187" s="197" t="str">
        <f>IF('Marks Entry'!BF187="","",'Marks Entry'!BF187)</f>
        <v/>
      </c>
      <c r="FA187" s="197" t="str">
        <f>IF('Marks Entry'!BG187="","",'Marks Entry'!BG187)</f>
        <v/>
      </c>
      <c r="FB187" s="596" t="str">
        <f t="shared" si="509"/>
        <v/>
      </c>
      <c r="FC187" s="197" t="str">
        <f>IF('Marks Entry'!BH187="","",'Marks Entry'!BH187)</f>
        <v/>
      </c>
      <c r="FD187" s="197" t="str">
        <f>IF('Marks Entry'!BI187="","",'Marks Entry'!BI187)</f>
        <v/>
      </c>
      <c r="FE187" s="198" t="str">
        <f t="shared" si="510"/>
        <v/>
      </c>
      <c r="FF187" s="199" t="str">
        <f t="shared" si="511"/>
        <v/>
      </c>
      <c r="FG187" s="200" t="str">
        <f>IF(AND(E187=""),"",IF('Student DATA Entry'!L183="","",'Student DATA Entry'!L183))</f>
        <v/>
      </c>
      <c r="FH187" s="201" t="str">
        <f>IF(AND(E187=""),"",IF('Student DATA Entry'!M183="","",'Student DATA Entry'!M183))</f>
        <v/>
      </c>
      <c r="FI187" s="202" t="str">
        <f t="shared" si="512"/>
        <v/>
      </c>
      <c r="FJ187" s="189" t="str">
        <f t="shared" si="513"/>
        <v/>
      </c>
      <c r="FK187" s="189" t="str">
        <f t="shared" si="514"/>
        <v/>
      </c>
      <c r="FL187" s="203" t="str">
        <f t="shared" si="542"/>
        <v/>
      </c>
      <c r="FM187" s="189" t="str">
        <f t="shared" si="515"/>
        <v/>
      </c>
      <c r="FN187" s="204" t="str">
        <f t="shared" si="516"/>
        <v/>
      </c>
      <c r="FO187" s="203" t="str">
        <f t="shared" si="543"/>
        <v/>
      </c>
      <c r="FP187" s="205" t="str">
        <f t="shared" si="517"/>
        <v/>
      </c>
      <c r="FQ187" s="189" t="str">
        <f t="shared" si="544"/>
        <v/>
      </c>
      <c r="FR187" s="189" t="str">
        <f t="shared" si="545"/>
        <v/>
      </c>
      <c r="FS187" s="189" t="str">
        <f t="shared" si="546"/>
        <v/>
      </c>
      <c r="FT187" s="189" t="str">
        <f t="shared" si="547"/>
        <v/>
      </c>
      <c r="FU187" s="189" t="str">
        <f t="shared" si="518"/>
        <v/>
      </c>
      <c r="FV187" s="206" t="str">
        <f t="shared" si="548"/>
        <v/>
      </c>
      <c r="FW187" s="205" t="str">
        <f t="shared" si="519"/>
        <v/>
      </c>
      <c r="FX187" s="189" t="str">
        <f t="shared" si="549"/>
        <v/>
      </c>
      <c r="FY187" s="189" t="str">
        <f t="shared" si="550"/>
        <v/>
      </c>
      <c r="FZ187" s="189" t="str">
        <f t="shared" si="551"/>
        <v/>
      </c>
      <c r="GA187" s="189" t="str">
        <f t="shared" si="552"/>
        <v/>
      </c>
      <c r="GB187" s="189" t="str">
        <f t="shared" si="520"/>
        <v/>
      </c>
      <c r="GC187" s="206" t="str">
        <f t="shared" si="553"/>
        <v/>
      </c>
      <c r="GD187" s="205" t="str">
        <f t="shared" si="521"/>
        <v/>
      </c>
      <c r="GE187" s="189" t="str">
        <f t="shared" si="554"/>
        <v/>
      </c>
      <c r="GF187" s="189" t="str">
        <f t="shared" si="555"/>
        <v/>
      </c>
      <c r="GG187" s="189" t="str">
        <f t="shared" si="556"/>
        <v/>
      </c>
      <c r="GH187" s="189" t="str">
        <f t="shared" si="557"/>
        <v/>
      </c>
      <c r="GI187" s="189" t="str">
        <f t="shared" si="522"/>
        <v/>
      </c>
      <c r="GJ187" s="206" t="str">
        <f t="shared" si="558"/>
        <v/>
      </c>
      <c r="GK187" s="205" t="str">
        <f t="shared" si="523"/>
        <v/>
      </c>
      <c r="GL187" s="189" t="str">
        <f t="shared" si="559"/>
        <v/>
      </c>
      <c r="GM187" s="189" t="str">
        <f t="shared" si="560"/>
        <v/>
      </c>
      <c r="GN187" s="189" t="str">
        <f t="shared" si="561"/>
        <v/>
      </c>
      <c r="GO187" s="189" t="str">
        <f t="shared" si="562"/>
        <v/>
      </c>
      <c r="GP187" s="189" t="str">
        <f t="shared" si="524"/>
        <v/>
      </c>
      <c r="GQ187" s="206" t="str">
        <f t="shared" si="563"/>
        <v/>
      </c>
      <c r="GR187" s="189" t="str">
        <f t="shared" si="525"/>
        <v/>
      </c>
      <c r="GS187" s="189" t="str">
        <f t="shared" si="526"/>
        <v/>
      </c>
      <c r="GT187" s="207" t="str">
        <f t="shared" si="527"/>
        <v xml:space="preserve">    </v>
      </c>
      <c r="GU187" s="207" t="str">
        <f t="shared" si="528"/>
        <v xml:space="preserve">    </v>
      </c>
      <c r="GV187" s="207" t="str">
        <f t="shared" si="529"/>
        <v xml:space="preserve">    </v>
      </c>
      <c r="GW187" s="207" t="str">
        <f t="shared" si="530"/>
        <v xml:space="preserve">       </v>
      </c>
      <c r="GX187" s="598" t="str">
        <f t="shared" si="531"/>
        <v xml:space="preserve">     </v>
      </c>
      <c r="GY187" s="208" t="str">
        <f t="shared" si="564"/>
        <v/>
      </c>
      <c r="GZ187" s="606" t="str">
        <f>IF(AND(Q187="",AE187="",AZ187="",BW187="",CT187=""),"",IF(AND('Master Sheet'!$D$19="YES",'Marks Entry'!$BA$1=1),SUM(Q187,AE187,AZ187,BW187,DT187),SUM(Q187,AE187,AZ187,BW187,CT187)))</f>
        <v/>
      </c>
      <c r="HA187" s="209" t="str">
        <f>IF(GZ187="","",IF(AND('Master Sheet'!$D$19="YES",'Marks Entry'!$BA$1=1),GZ187/((900)-DC187)*100,GZ187/((1000)-DC187)*100))</f>
        <v/>
      </c>
      <c r="HB187" s="611" t="str">
        <f t="shared" si="532"/>
        <v/>
      </c>
      <c r="HC187" s="609" t="str">
        <f t="shared" si="533"/>
        <v/>
      </c>
      <c r="HD187" s="610" t="str">
        <f t="shared" si="534"/>
        <v/>
      </c>
      <c r="HE187" s="210" t="str">
        <f>IFERROR(IF(OR(GY187="SUPPLEMENTARY",GY187="RE-EXAM"),'Supp. Result Entry'!AS186,""),"")</f>
        <v/>
      </c>
      <c r="HF187" s="613" t="str">
        <f t="shared" si="535"/>
        <v/>
      </c>
      <c r="HG187" s="598" t="str">
        <f t="shared" si="536"/>
        <v/>
      </c>
      <c r="HH187" s="598" t="str">
        <f>IF(AND(HE187="",HF187="",HG187=""),"",IF(OR(GY187="SUPPLEMENTARY",GY187="RE-EXAM"),'Supp. Result Entry'!AS186,GY187))</f>
        <v/>
      </c>
      <c r="HI187" s="180"/>
      <c r="HY187" s="212" t="str">
        <f>IF('Supp. Result Entry'!U186="","",'Supp. Result Entry'!$U$6)</f>
        <v/>
      </c>
      <c r="HZ187" s="213" t="str">
        <f>IF('Supp. Result Entry'!X186="","",'Supp. Result Entry'!$X$6)</f>
        <v/>
      </c>
      <c r="IA187" s="213" t="str">
        <f>IF('Supp. Result Entry'!AA186="","",'Supp. Result Entry'!$AA$6)</f>
        <v/>
      </c>
      <c r="IB187" s="213" t="str">
        <f>IF('Supp. Result Entry'!AD186="","",'Supp. Result Entry'!$AD$6)</f>
        <v/>
      </c>
      <c r="IC187" s="213" t="str">
        <f>IF('Supp. Result Entry'!AG186="","",'Supp. Result Entry'!$AG$6)</f>
        <v/>
      </c>
      <c r="ID187" s="213" t="str">
        <f>IF('Supp. Result Entry'!AJ186="","",'Supp. Result Entry'!$AJ$6)</f>
        <v/>
      </c>
      <c r="IE187" s="213" t="str">
        <f>IF('Supp. Result Entry'!V186="","",'Supp. Result Entry'!V186)</f>
        <v/>
      </c>
      <c r="IF187" s="213" t="str">
        <f>IF('Supp. Result Entry'!Y186="","",'Supp. Result Entry'!Y186)</f>
        <v/>
      </c>
      <c r="IG187" s="213" t="str">
        <f>IF('Supp. Result Entry'!AB186="","",'Supp. Result Entry'!AB186)</f>
        <v/>
      </c>
      <c r="IH187" s="213" t="str">
        <f>IF('Supp. Result Entry'!AE186="","",'Supp. Result Entry'!AE186)</f>
        <v/>
      </c>
      <c r="II187" s="213" t="str">
        <f>IF('Supp. Result Entry'!AH186="","",'Supp. Result Entry'!AH186)</f>
        <v/>
      </c>
      <c r="IJ187" s="213" t="str">
        <f>IF('Supp. Result Entry'!AK186="","",'Supp. Result Entry'!AK186)</f>
        <v/>
      </c>
      <c r="IK187" s="213" t="str">
        <f>IF('Supp. Result Entry'!W186="","",'Supp. Result Entry'!W186)</f>
        <v/>
      </c>
      <c r="IL187" s="213" t="str">
        <f>IF('Supp. Result Entry'!Z186="","",'Supp. Result Entry'!Z186)</f>
        <v/>
      </c>
      <c r="IM187" s="213" t="str">
        <f>IF('Supp. Result Entry'!AC186="","",'Supp. Result Entry'!AC186)</f>
        <v/>
      </c>
      <c r="IN187" s="213" t="str">
        <f>IF('Supp. Result Entry'!AF186="","",'Supp. Result Entry'!AF186)</f>
        <v/>
      </c>
      <c r="IO187" s="213" t="str">
        <f>IF('Supp. Result Entry'!AI186="","",'Supp. Result Entry'!AI186)</f>
        <v/>
      </c>
      <c r="IP187" s="213" t="str">
        <f>IF('Supp. Result Entry'!AL186="","",'Supp. Result Entry'!AL186)</f>
        <v/>
      </c>
      <c r="IQ187" s="213">
        <f>COUNTIF('Supp. Result Entry'!K186:Q186,"S")</f>
        <v>0</v>
      </c>
      <c r="IR187" s="213">
        <f t="shared" si="537"/>
        <v>0</v>
      </c>
      <c r="IS187" s="213">
        <f t="shared" si="538"/>
        <v>0</v>
      </c>
      <c r="IT187" s="213" t="str">
        <f t="shared" si="406"/>
        <v/>
      </c>
      <c r="IU187" s="213" t="str">
        <f t="shared" si="407"/>
        <v/>
      </c>
      <c r="IV187" s="213" t="str">
        <f t="shared" si="408"/>
        <v/>
      </c>
      <c r="IW187" s="213" t="str">
        <f t="shared" si="409"/>
        <v/>
      </c>
      <c r="IX187" s="213" t="str">
        <f t="shared" si="410"/>
        <v/>
      </c>
      <c r="IY187" s="213" t="str">
        <f t="shared" si="539"/>
        <v/>
      </c>
      <c r="IZ187" s="213" t="str">
        <f t="shared" si="540"/>
        <v/>
      </c>
      <c r="JA187" s="213" t="str">
        <f t="shared" si="411"/>
        <v/>
      </c>
      <c r="JB187" s="211" t="str">
        <f t="shared" si="541"/>
        <v/>
      </c>
    </row>
    <row r="188" spans="1:262" s="211" customFormat="1" ht="21" customHeight="1">
      <c r="A188" s="184">
        <v>181</v>
      </c>
      <c r="B188" s="185" t="str">
        <f>IF('Marks Entry'!B188="","",'Marks Entry'!B188)</f>
        <v/>
      </c>
      <c r="C188" s="186" t="str">
        <f>IF('Marks Entry'!D188="","",'Marks Entry'!D188)</f>
        <v/>
      </c>
      <c r="D188" s="187" t="str">
        <f>IF('Marks Entry'!E188="","",'Marks Entry'!E188)</f>
        <v/>
      </c>
      <c r="E188" s="188" t="str">
        <f>IF('Marks Entry'!F188="","",'Marks Entry'!F188)</f>
        <v/>
      </c>
      <c r="F188" s="188" t="str">
        <f>IF('Marks Entry'!G188="","",'Marks Entry'!G188)</f>
        <v/>
      </c>
      <c r="G188" s="188" t="str">
        <f>IF('Marks Entry'!H188="","",'Marks Entry'!H188)</f>
        <v/>
      </c>
      <c r="H188" s="189" t="str">
        <f>IF('Marks Entry'!I188="","",'Marks Entry'!I188)</f>
        <v/>
      </c>
      <c r="I188" s="190" t="str">
        <f>IF('Marks Entry'!J188="","",'Marks Entry'!J188)</f>
        <v/>
      </c>
      <c r="J188" s="545" t="str">
        <f>IF('Marks Entry'!K188="","",'Marks Entry'!K188)</f>
        <v/>
      </c>
      <c r="K188" s="545" t="str">
        <f>IF('Marks Entry'!L188="","",'Marks Entry'!L188)</f>
        <v/>
      </c>
      <c r="L188" s="545" t="str">
        <f>IF('Marks Entry'!M188="","",'Marks Entry'!M188)</f>
        <v/>
      </c>
      <c r="M188" s="546" t="str">
        <f t="shared" si="412"/>
        <v/>
      </c>
      <c r="N188" s="545" t="str">
        <f>IF('Marks Entry'!N188="","",'Marks Entry'!N188)</f>
        <v/>
      </c>
      <c r="O188" s="546" t="str">
        <f t="shared" si="413"/>
        <v/>
      </c>
      <c r="P188" s="545" t="str">
        <f>IF('Marks Entry'!O188="","",'Marks Entry'!O188)</f>
        <v/>
      </c>
      <c r="Q188" s="547" t="str">
        <f t="shared" si="414"/>
        <v/>
      </c>
      <c r="R188" s="153">
        <f t="shared" si="415"/>
        <v>0</v>
      </c>
      <c r="S188" s="153">
        <f t="shared" si="416"/>
        <v>0</v>
      </c>
      <c r="T188" s="154" t="str">
        <f t="shared" si="417"/>
        <v/>
      </c>
      <c r="U188" s="153" t="str">
        <f t="shared" si="418"/>
        <v/>
      </c>
      <c r="V188" s="153" t="str">
        <f t="shared" si="419"/>
        <v/>
      </c>
      <c r="W188" s="153" t="str">
        <f t="shared" si="420"/>
        <v/>
      </c>
      <c r="X188" s="545" t="str">
        <f>IF('Marks Entry'!P188="","",'Marks Entry'!P188)</f>
        <v/>
      </c>
      <c r="Y188" s="545" t="str">
        <f>IF('Marks Entry'!Q188="","",'Marks Entry'!Q188)</f>
        <v/>
      </c>
      <c r="Z188" s="545" t="str">
        <f>IF('Marks Entry'!R188="","",'Marks Entry'!R188)</f>
        <v/>
      </c>
      <c r="AA188" s="546" t="str">
        <f t="shared" si="421"/>
        <v/>
      </c>
      <c r="AB188" s="545" t="str">
        <f>IF('Marks Entry'!S188="","",'Marks Entry'!S188)</f>
        <v/>
      </c>
      <c r="AC188" s="546" t="str">
        <f t="shared" si="422"/>
        <v/>
      </c>
      <c r="AD188" s="545" t="str">
        <f>IF('Marks Entry'!T188="","",'Marks Entry'!T188)</f>
        <v/>
      </c>
      <c r="AE188" s="547" t="str">
        <f t="shared" si="423"/>
        <v/>
      </c>
      <c r="AF188" s="153">
        <f t="shared" si="424"/>
        <v>0</v>
      </c>
      <c r="AG188" s="153">
        <f t="shared" si="425"/>
        <v>0</v>
      </c>
      <c r="AH188" s="154" t="str">
        <f t="shared" si="426"/>
        <v/>
      </c>
      <c r="AI188" s="153" t="str">
        <f t="shared" si="427"/>
        <v/>
      </c>
      <c r="AJ188" s="153" t="str">
        <f t="shared" si="428"/>
        <v/>
      </c>
      <c r="AK188" s="153" t="str">
        <f t="shared" si="429"/>
        <v/>
      </c>
      <c r="AL188" s="573" t="str">
        <f>IF('Marks Entry'!U188="","",'Marks Entry'!U188)</f>
        <v/>
      </c>
      <c r="AM188" s="573" t="str">
        <f>IF('Marks Entry'!V188="","",'Marks Entry'!V188)</f>
        <v/>
      </c>
      <c r="AN188" s="573" t="str">
        <f>IF('Marks Entry'!W188="","",'Marks Entry'!W188)</f>
        <v/>
      </c>
      <c r="AO188" s="573" t="str">
        <f>IF('Marks Entry'!X188="","",'Marks Entry'!X188)</f>
        <v/>
      </c>
      <c r="AP188" s="572" t="str">
        <f t="shared" si="430"/>
        <v/>
      </c>
      <c r="AQ188" s="573" t="str">
        <f>IF('Marks Entry'!Y188="","",'Marks Entry'!Y188)</f>
        <v/>
      </c>
      <c r="AR188" s="573" t="str">
        <f>IF('Marks Entry'!Z188="","",'Marks Entry'!Z188)</f>
        <v/>
      </c>
      <c r="AS188" s="572" t="str">
        <f t="shared" si="431"/>
        <v/>
      </c>
      <c r="AT188" s="572" t="str">
        <f t="shared" si="432"/>
        <v/>
      </c>
      <c r="AU188" s="573" t="str">
        <f>IF('Marks Entry'!AA188="","",'Marks Entry'!AA188)</f>
        <v/>
      </c>
      <c r="AV188" s="573" t="str">
        <f>IF('Marks Entry'!AB188="","",'Marks Entry'!AB188)</f>
        <v/>
      </c>
      <c r="AW188" s="572" t="str">
        <f t="shared" si="433"/>
        <v/>
      </c>
      <c r="AX188" s="157" t="str">
        <f t="shared" si="434"/>
        <v/>
      </c>
      <c r="AY188" s="157" t="str">
        <f t="shared" si="435"/>
        <v/>
      </c>
      <c r="AZ188" s="192" t="str">
        <f t="shared" si="436"/>
        <v/>
      </c>
      <c r="BA188" s="153">
        <f t="shared" si="437"/>
        <v>0</v>
      </c>
      <c r="BB188" s="154">
        <f t="shared" si="438"/>
        <v>0</v>
      </c>
      <c r="BC188" s="154" t="str">
        <f t="shared" si="439"/>
        <v/>
      </c>
      <c r="BD188" s="154" t="str">
        <f t="shared" si="440"/>
        <v/>
      </c>
      <c r="BE188" s="154" t="str">
        <f t="shared" si="441"/>
        <v/>
      </c>
      <c r="BF188" s="153" t="str">
        <f t="shared" si="442"/>
        <v/>
      </c>
      <c r="BG188" s="154" t="str">
        <f t="shared" si="443"/>
        <v/>
      </c>
      <c r="BH188" s="153" t="str">
        <f t="shared" si="444"/>
        <v/>
      </c>
      <c r="BI188" s="580" t="str">
        <f>IF('Marks Entry'!AC188="","",'Marks Entry'!AC188)</f>
        <v/>
      </c>
      <c r="BJ188" s="580" t="str">
        <f>IF('Marks Entry'!AD188="","",'Marks Entry'!AD188)</f>
        <v/>
      </c>
      <c r="BK188" s="580" t="str">
        <f>IF('Marks Entry'!AE188="","",'Marks Entry'!AE188)</f>
        <v/>
      </c>
      <c r="BL188" s="580" t="str">
        <f>IF('Marks Entry'!AF188="","",'Marks Entry'!AF188)</f>
        <v/>
      </c>
      <c r="BM188" s="581" t="str">
        <f t="shared" si="445"/>
        <v/>
      </c>
      <c r="BN188" s="580" t="str">
        <f>IF('Marks Entry'!AG188="","",'Marks Entry'!AG188)</f>
        <v/>
      </c>
      <c r="BO188" s="580" t="str">
        <f>IF('Marks Entry'!AH188="","",'Marks Entry'!AH188)</f>
        <v/>
      </c>
      <c r="BP188" s="581" t="str">
        <f t="shared" si="446"/>
        <v/>
      </c>
      <c r="BQ188" s="581" t="str">
        <f t="shared" si="447"/>
        <v/>
      </c>
      <c r="BR188" s="580" t="str">
        <f>IF('Marks Entry'!AI188="","",'Marks Entry'!AI188)</f>
        <v/>
      </c>
      <c r="BS188" s="580" t="str">
        <f>IF('Marks Entry'!AJ188="","",'Marks Entry'!AJ188)</f>
        <v/>
      </c>
      <c r="BT188" s="581" t="str">
        <f t="shared" si="448"/>
        <v/>
      </c>
      <c r="BU188" s="157" t="str">
        <f t="shared" si="449"/>
        <v/>
      </c>
      <c r="BV188" s="157" t="str">
        <f t="shared" si="450"/>
        <v/>
      </c>
      <c r="BW188" s="192" t="str">
        <f t="shared" si="451"/>
        <v/>
      </c>
      <c r="BX188" s="153">
        <f t="shared" si="452"/>
        <v>0</v>
      </c>
      <c r="BY188" s="154">
        <f t="shared" si="453"/>
        <v>0</v>
      </c>
      <c r="BZ188" s="154" t="str">
        <f t="shared" si="454"/>
        <v/>
      </c>
      <c r="CA188" s="154" t="str">
        <f t="shared" si="455"/>
        <v/>
      </c>
      <c r="CB188" s="154" t="str">
        <f t="shared" si="456"/>
        <v/>
      </c>
      <c r="CC188" s="153" t="str">
        <f t="shared" si="457"/>
        <v/>
      </c>
      <c r="CD188" s="154" t="str">
        <f t="shared" si="458"/>
        <v/>
      </c>
      <c r="CE188" s="153" t="str">
        <f t="shared" si="459"/>
        <v/>
      </c>
      <c r="CF188" s="580" t="str">
        <f>IF('Marks Entry'!AK188="","",'Marks Entry'!AK188)</f>
        <v/>
      </c>
      <c r="CG188" s="580" t="str">
        <f>IF('Marks Entry'!AL188="","",'Marks Entry'!AL188)</f>
        <v/>
      </c>
      <c r="CH188" s="580" t="str">
        <f>IF('Marks Entry'!AM188="","",'Marks Entry'!AM188)</f>
        <v/>
      </c>
      <c r="CI188" s="580" t="str">
        <f>IF('Marks Entry'!AN188="","",'Marks Entry'!AN188)</f>
        <v/>
      </c>
      <c r="CJ188" s="581" t="str">
        <f t="shared" si="460"/>
        <v/>
      </c>
      <c r="CK188" s="580" t="str">
        <f>IF('Marks Entry'!AO188="","",'Marks Entry'!AO188)</f>
        <v/>
      </c>
      <c r="CL188" s="580" t="str">
        <f>IF('Marks Entry'!AP188="","",'Marks Entry'!AP188)</f>
        <v/>
      </c>
      <c r="CM188" s="581" t="str">
        <f t="shared" si="461"/>
        <v/>
      </c>
      <c r="CN188" s="581" t="str">
        <f t="shared" si="462"/>
        <v/>
      </c>
      <c r="CO188" s="580" t="str">
        <f>IF('Marks Entry'!AQ188="","",'Marks Entry'!AQ188)</f>
        <v/>
      </c>
      <c r="CP188" s="580" t="str">
        <f>IF('Marks Entry'!AR188="","",'Marks Entry'!AR188)</f>
        <v/>
      </c>
      <c r="CQ188" s="581" t="str">
        <f t="shared" si="463"/>
        <v/>
      </c>
      <c r="CR188" s="157" t="str">
        <f t="shared" si="464"/>
        <v/>
      </c>
      <c r="CS188" s="157" t="str">
        <f t="shared" si="465"/>
        <v/>
      </c>
      <c r="CT188" s="192" t="str">
        <f t="shared" si="466"/>
        <v/>
      </c>
      <c r="CU188" s="153">
        <f t="shared" si="467"/>
        <v>0</v>
      </c>
      <c r="CV188" s="154">
        <f t="shared" si="468"/>
        <v>0</v>
      </c>
      <c r="CW188" s="154" t="str">
        <f t="shared" si="469"/>
        <v/>
      </c>
      <c r="CX188" s="154" t="str">
        <f t="shared" si="470"/>
        <v/>
      </c>
      <c r="CY188" s="154" t="str">
        <f t="shared" si="471"/>
        <v/>
      </c>
      <c r="CZ188" s="153" t="str">
        <f t="shared" si="472"/>
        <v/>
      </c>
      <c r="DA188" s="154" t="str">
        <f t="shared" si="473"/>
        <v/>
      </c>
      <c r="DB188" s="153" t="str">
        <f t="shared" si="474"/>
        <v/>
      </c>
      <c r="DC188" s="154">
        <f t="shared" si="475"/>
        <v>0</v>
      </c>
      <c r="DD188" s="826" t="str">
        <f>IF('Marks Entry'!AS188="","",IF(OR('Master Sheet'!$D$19="YES",'Marks Entry'!$BA$1=1),'Marks Entry'!AS188,""))</f>
        <v/>
      </c>
      <c r="DE188" s="826" t="str">
        <f>IF('Marks Entry'!AT188="","",IF(OR('Master Sheet'!$D$19="YES",'Marks Entry'!$BA$1=1),'Marks Entry'!AT188,""))</f>
        <v/>
      </c>
      <c r="DF188" s="826" t="str">
        <f>IF('Marks Entry'!AU188="","",IF(OR('Master Sheet'!$D$19="YES",'Marks Entry'!$BA$1=1),'Marks Entry'!AU188,""))</f>
        <v/>
      </c>
      <c r="DG188" s="826" t="str">
        <f>IF('Marks Entry'!AV188="","",IF(OR('Master Sheet'!$D$19="YES",'Marks Entry'!$BA$1=1),'Marks Entry'!AV188,""))</f>
        <v/>
      </c>
      <c r="DH188" s="827" t="str">
        <f t="shared" si="476"/>
        <v/>
      </c>
      <c r="DI188" s="826" t="str">
        <f>IF('Marks Entry'!AW188="","",IF(OR('Master Sheet'!$D$19="YES",'Marks Entry'!$BA$1=1),'Marks Entry'!AW188,""))</f>
        <v/>
      </c>
      <c r="DJ188" s="826" t="str">
        <f>IF('Marks Entry'!AX188="","",IF(OR('Master Sheet'!$D$19="YES",'Marks Entry'!$BA$1=1),'Marks Entry'!AX188,""))</f>
        <v/>
      </c>
      <c r="DK188" s="827" t="str">
        <f t="shared" si="477"/>
        <v/>
      </c>
      <c r="DL188" s="827" t="str">
        <f t="shared" si="478"/>
        <v/>
      </c>
      <c r="DM188" s="826" t="str">
        <f>IF('Marks Entry'!AY188="","",IF(OR('Master Sheet'!$D$19="YES",'Marks Entry'!$BA$1=1),'Marks Entry'!AY188,""))</f>
        <v/>
      </c>
      <c r="DN188" s="826" t="str">
        <f>IF('Marks Entry'!AZ188="","",IF(OR('Master Sheet'!$D$19="YES",'Marks Entry'!$BA$1=1),'Marks Entry'!AZ188,""))</f>
        <v/>
      </c>
      <c r="DO188" s="826" t="str">
        <f>IF('Marks Entry'!BA188="","",IF(OR('Master Sheet'!$D$19="YES",'Marks Entry'!$BA$1=1),'Marks Entry'!BA188,""))</f>
        <v/>
      </c>
      <c r="DP188" s="827" t="str">
        <f t="shared" si="479"/>
        <v/>
      </c>
      <c r="DQ188" s="157" t="str">
        <f t="shared" si="480"/>
        <v/>
      </c>
      <c r="DR188" s="157" t="str">
        <f t="shared" si="481"/>
        <v/>
      </c>
      <c r="DS188" s="157" t="str">
        <f t="shared" si="482"/>
        <v/>
      </c>
      <c r="DT188" s="192" t="str">
        <f t="shared" si="483"/>
        <v/>
      </c>
      <c r="DU188" s="153">
        <f t="shared" si="484"/>
        <v>0</v>
      </c>
      <c r="DV188" s="154" t="e">
        <f t="shared" si="485"/>
        <v>#VALUE!</v>
      </c>
      <c r="DW188" s="154" t="str">
        <f t="shared" si="486"/>
        <v/>
      </c>
      <c r="DX188" s="154" t="str">
        <f>IF(OR($B188="NSO",$B188=0,DS188=""),"",IF(AND(DJ188="",DO188=""),"",IF('Master Sheet'!$D$19="YES",$DO$6-COUNTIF(DO188,"ML")*DO$6,DS$6-(COUNTIF(DJ188,"ML")*DJ$6)-(COUNTIF(DO188,"ML")*DO$6))))</f>
        <v/>
      </c>
      <c r="DY188" s="154" t="str">
        <f>IF(OR($B188="NSO",$B188=0),"",IF(AND(DH188="",DI188="",DM188=""),"",IF(AND('Master Sheet'!$D$19="YES",'Marks Entry'!$BA$1=1),100,IF(AND(DJ188="",DO188=""),SUM(($DQ$7+$DR$7)-(DU188+DV188)),SUM(($DQ$6+$DR$6)-(DU188+DV188))))))</f>
        <v/>
      </c>
      <c r="DZ188" s="153" t="str">
        <f t="shared" si="487"/>
        <v/>
      </c>
      <c r="EA188" s="154" t="str">
        <f t="shared" si="488"/>
        <v/>
      </c>
      <c r="EB188" s="153" t="str">
        <f t="shared" si="489"/>
        <v/>
      </c>
      <c r="EC188" s="584" t="str">
        <f>IF('Marks Entry'!BB188="","",'Marks Entry'!BB188)</f>
        <v/>
      </c>
      <c r="ED188" s="584" t="str">
        <f>IF('Marks Entry'!BC188="","",'Marks Entry'!BC188)</f>
        <v/>
      </c>
      <c r="EE188" s="584" t="str">
        <f>IF('Marks Entry'!BD188="","",'Marks Entry'!BD188)</f>
        <v/>
      </c>
      <c r="EF188" s="590" t="str">
        <f t="shared" si="490"/>
        <v/>
      </c>
      <c r="EG188" s="595">
        <f t="shared" si="491"/>
        <v>0</v>
      </c>
      <c r="EH188" s="595">
        <f t="shared" si="492"/>
        <v>0</v>
      </c>
      <c r="EI188" s="193" t="str">
        <f t="shared" si="493"/>
        <v/>
      </c>
      <c r="EJ188" s="595" t="str">
        <f t="shared" si="494"/>
        <v/>
      </c>
      <c r="EK188" s="595" t="str">
        <f t="shared" si="495"/>
        <v/>
      </c>
      <c r="EL188" s="194" t="str">
        <f t="shared" si="496"/>
        <v/>
      </c>
      <c r="EM188" s="194" t="str">
        <f t="shared" si="497"/>
        <v/>
      </c>
      <c r="EN188" s="194" t="str">
        <f t="shared" si="498"/>
        <v/>
      </c>
      <c r="EO188" s="194" t="str">
        <f t="shared" si="499"/>
        <v/>
      </c>
      <c r="EP188" s="194" t="str">
        <f t="shared" si="500"/>
        <v/>
      </c>
      <c r="EQ188" s="194" t="str">
        <f t="shared" si="501"/>
        <v/>
      </c>
      <c r="ER188" s="195">
        <f t="shared" si="502"/>
        <v>0</v>
      </c>
      <c r="ES188" s="195">
        <f t="shared" si="503"/>
        <v>0</v>
      </c>
      <c r="ET188" s="195">
        <f t="shared" si="504"/>
        <v>0</v>
      </c>
      <c r="EU188" s="195">
        <f t="shared" si="505"/>
        <v>0</v>
      </c>
      <c r="EV188" s="195">
        <f t="shared" si="506"/>
        <v>0</v>
      </c>
      <c r="EW188" s="195" t="str">
        <f t="shared" si="507"/>
        <v/>
      </c>
      <c r="EX188" s="196" t="str">
        <f t="shared" si="508"/>
        <v/>
      </c>
      <c r="EY188" s="197" t="str">
        <f>IF('Marks Entry'!BE188="","",'Marks Entry'!BE188)</f>
        <v/>
      </c>
      <c r="EZ188" s="197" t="str">
        <f>IF('Marks Entry'!BF188="","",'Marks Entry'!BF188)</f>
        <v/>
      </c>
      <c r="FA188" s="197" t="str">
        <f>IF('Marks Entry'!BG188="","",'Marks Entry'!BG188)</f>
        <v/>
      </c>
      <c r="FB188" s="596" t="str">
        <f t="shared" si="509"/>
        <v/>
      </c>
      <c r="FC188" s="197" t="str">
        <f>IF('Marks Entry'!BH188="","",'Marks Entry'!BH188)</f>
        <v/>
      </c>
      <c r="FD188" s="197" t="str">
        <f>IF('Marks Entry'!BI188="","",'Marks Entry'!BI188)</f>
        <v/>
      </c>
      <c r="FE188" s="198" t="str">
        <f t="shared" si="510"/>
        <v/>
      </c>
      <c r="FF188" s="199" t="str">
        <f t="shared" si="511"/>
        <v/>
      </c>
      <c r="FG188" s="200" t="str">
        <f>IF(AND(E188=""),"",IF('Student DATA Entry'!L184="","",'Student DATA Entry'!L184))</f>
        <v/>
      </c>
      <c r="FH188" s="201" t="str">
        <f>IF(AND(E188=""),"",IF('Student DATA Entry'!M184="","",'Student DATA Entry'!M184))</f>
        <v/>
      </c>
      <c r="FI188" s="202" t="str">
        <f t="shared" si="512"/>
        <v/>
      </c>
      <c r="FJ188" s="189" t="str">
        <f t="shared" si="513"/>
        <v/>
      </c>
      <c r="FK188" s="189" t="str">
        <f t="shared" si="514"/>
        <v/>
      </c>
      <c r="FL188" s="203" t="str">
        <f t="shared" si="542"/>
        <v/>
      </c>
      <c r="FM188" s="189" t="str">
        <f t="shared" si="515"/>
        <v/>
      </c>
      <c r="FN188" s="204" t="str">
        <f t="shared" si="516"/>
        <v/>
      </c>
      <c r="FO188" s="203" t="str">
        <f t="shared" si="543"/>
        <v/>
      </c>
      <c r="FP188" s="205" t="str">
        <f t="shared" si="517"/>
        <v/>
      </c>
      <c r="FQ188" s="189" t="str">
        <f t="shared" si="544"/>
        <v/>
      </c>
      <c r="FR188" s="189" t="str">
        <f t="shared" si="545"/>
        <v/>
      </c>
      <c r="FS188" s="189" t="str">
        <f t="shared" si="546"/>
        <v/>
      </c>
      <c r="FT188" s="189" t="str">
        <f t="shared" si="547"/>
        <v/>
      </c>
      <c r="FU188" s="189" t="str">
        <f t="shared" si="518"/>
        <v/>
      </c>
      <c r="FV188" s="206" t="str">
        <f t="shared" si="548"/>
        <v/>
      </c>
      <c r="FW188" s="205" t="str">
        <f t="shared" si="519"/>
        <v/>
      </c>
      <c r="FX188" s="189" t="str">
        <f t="shared" si="549"/>
        <v/>
      </c>
      <c r="FY188" s="189" t="str">
        <f t="shared" si="550"/>
        <v/>
      </c>
      <c r="FZ188" s="189" t="str">
        <f t="shared" si="551"/>
        <v/>
      </c>
      <c r="GA188" s="189" t="str">
        <f t="shared" si="552"/>
        <v/>
      </c>
      <c r="GB188" s="189" t="str">
        <f t="shared" si="520"/>
        <v/>
      </c>
      <c r="GC188" s="206" t="str">
        <f t="shared" si="553"/>
        <v/>
      </c>
      <c r="GD188" s="205" t="str">
        <f t="shared" si="521"/>
        <v/>
      </c>
      <c r="GE188" s="189" t="str">
        <f t="shared" si="554"/>
        <v/>
      </c>
      <c r="GF188" s="189" t="str">
        <f t="shared" si="555"/>
        <v/>
      </c>
      <c r="GG188" s="189" t="str">
        <f t="shared" si="556"/>
        <v/>
      </c>
      <c r="GH188" s="189" t="str">
        <f t="shared" si="557"/>
        <v/>
      </c>
      <c r="GI188" s="189" t="str">
        <f t="shared" si="522"/>
        <v/>
      </c>
      <c r="GJ188" s="206" t="str">
        <f t="shared" si="558"/>
        <v/>
      </c>
      <c r="GK188" s="205" t="str">
        <f t="shared" si="523"/>
        <v/>
      </c>
      <c r="GL188" s="189" t="str">
        <f t="shared" si="559"/>
        <v/>
      </c>
      <c r="GM188" s="189" t="str">
        <f t="shared" si="560"/>
        <v/>
      </c>
      <c r="GN188" s="189" t="str">
        <f t="shared" si="561"/>
        <v/>
      </c>
      <c r="GO188" s="189" t="str">
        <f t="shared" si="562"/>
        <v/>
      </c>
      <c r="GP188" s="189" t="str">
        <f t="shared" si="524"/>
        <v/>
      </c>
      <c r="GQ188" s="206" t="str">
        <f t="shared" si="563"/>
        <v/>
      </c>
      <c r="GR188" s="189" t="str">
        <f t="shared" si="525"/>
        <v/>
      </c>
      <c r="GS188" s="189" t="str">
        <f t="shared" si="526"/>
        <v/>
      </c>
      <c r="GT188" s="207" t="str">
        <f t="shared" si="527"/>
        <v xml:space="preserve">    </v>
      </c>
      <c r="GU188" s="207" t="str">
        <f t="shared" si="528"/>
        <v xml:space="preserve">    </v>
      </c>
      <c r="GV188" s="207" t="str">
        <f t="shared" si="529"/>
        <v xml:space="preserve">    </v>
      </c>
      <c r="GW188" s="207" t="str">
        <f t="shared" si="530"/>
        <v xml:space="preserve">       </v>
      </c>
      <c r="GX188" s="598" t="str">
        <f t="shared" si="531"/>
        <v xml:space="preserve">     </v>
      </c>
      <c r="GY188" s="208" t="str">
        <f t="shared" si="564"/>
        <v/>
      </c>
      <c r="GZ188" s="606" t="str">
        <f>IF(AND(Q188="",AE188="",AZ188="",BW188="",CT188=""),"",IF(AND('Master Sheet'!$D$19="YES",'Marks Entry'!$BA$1=1),SUM(Q188,AE188,AZ188,BW188,DT188),SUM(Q188,AE188,AZ188,BW188,CT188)))</f>
        <v/>
      </c>
      <c r="HA188" s="209" t="str">
        <f>IF(GZ188="","",IF(AND('Master Sheet'!$D$19="YES",'Marks Entry'!$BA$1=1),GZ188/((900)-DC188)*100,GZ188/((1000)-DC188)*100))</f>
        <v/>
      </c>
      <c r="HB188" s="611" t="str">
        <f t="shared" si="532"/>
        <v/>
      </c>
      <c r="HC188" s="609" t="str">
        <f t="shared" si="533"/>
        <v/>
      </c>
      <c r="HD188" s="610" t="str">
        <f t="shared" si="534"/>
        <v/>
      </c>
      <c r="HE188" s="210" t="str">
        <f>IFERROR(IF(OR(GY188="SUPPLEMENTARY",GY188="RE-EXAM"),'Supp. Result Entry'!AS187,""),"")</f>
        <v/>
      </c>
      <c r="HF188" s="613" t="str">
        <f t="shared" si="535"/>
        <v/>
      </c>
      <c r="HG188" s="598" t="str">
        <f t="shared" si="536"/>
        <v/>
      </c>
      <c r="HH188" s="598" t="str">
        <f>IF(AND(HE188="",HF188="",HG188=""),"",IF(OR(GY188="SUPPLEMENTARY",GY188="RE-EXAM"),'Supp. Result Entry'!AS187,GY188))</f>
        <v/>
      </c>
      <c r="HI188" s="180"/>
      <c r="HY188" s="212" t="str">
        <f>IF('Supp. Result Entry'!U187="","",'Supp. Result Entry'!$U$6)</f>
        <v/>
      </c>
      <c r="HZ188" s="213" t="str">
        <f>IF('Supp. Result Entry'!X187="","",'Supp. Result Entry'!$X$6)</f>
        <v/>
      </c>
      <c r="IA188" s="213" t="str">
        <f>IF('Supp. Result Entry'!AA187="","",'Supp. Result Entry'!$AA$6)</f>
        <v/>
      </c>
      <c r="IB188" s="213" t="str">
        <f>IF('Supp. Result Entry'!AD187="","",'Supp. Result Entry'!$AD$6)</f>
        <v/>
      </c>
      <c r="IC188" s="213" t="str">
        <f>IF('Supp. Result Entry'!AG187="","",'Supp. Result Entry'!$AG$6)</f>
        <v/>
      </c>
      <c r="ID188" s="213" t="str">
        <f>IF('Supp. Result Entry'!AJ187="","",'Supp. Result Entry'!$AJ$6)</f>
        <v/>
      </c>
      <c r="IE188" s="213" t="str">
        <f>IF('Supp. Result Entry'!V187="","",'Supp. Result Entry'!V187)</f>
        <v/>
      </c>
      <c r="IF188" s="213" t="str">
        <f>IF('Supp. Result Entry'!Y187="","",'Supp. Result Entry'!Y187)</f>
        <v/>
      </c>
      <c r="IG188" s="213" t="str">
        <f>IF('Supp. Result Entry'!AB187="","",'Supp. Result Entry'!AB187)</f>
        <v/>
      </c>
      <c r="IH188" s="213" t="str">
        <f>IF('Supp. Result Entry'!AE187="","",'Supp. Result Entry'!AE187)</f>
        <v/>
      </c>
      <c r="II188" s="213" t="str">
        <f>IF('Supp. Result Entry'!AH187="","",'Supp. Result Entry'!AH187)</f>
        <v/>
      </c>
      <c r="IJ188" s="213" t="str">
        <f>IF('Supp. Result Entry'!AK187="","",'Supp. Result Entry'!AK187)</f>
        <v/>
      </c>
      <c r="IK188" s="213" t="str">
        <f>IF('Supp. Result Entry'!W187="","",'Supp. Result Entry'!W187)</f>
        <v/>
      </c>
      <c r="IL188" s="213" t="str">
        <f>IF('Supp. Result Entry'!Z187="","",'Supp. Result Entry'!Z187)</f>
        <v/>
      </c>
      <c r="IM188" s="213" t="str">
        <f>IF('Supp. Result Entry'!AC187="","",'Supp. Result Entry'!AC187)</f>
        <v/>
      </c>
      <c r="IN188" s="213" t="str">
        <f>IF('Supp. Result Entry'!AF187="","",'Supp. Result Entry'!AF187)</f>
        <v/>
      </c>
      <c r="IO188" s="213" t="str">
        <f>IF('Supp. Result Entry'!AI187="","",'Supp. Result Entry'!AI187)</f>
        <v/>
      </c>
      <c r="IP188" s="213" t="str">
        <f>IF('Supp. Result Entry'!AL187="","",'Supp. Result Entry'!AL187)</f>
        <v/>
      </c>
      <c r="IQ188" s="213">
        <f>COUNTIF('Supp. Result Entry'!K187:Q187,"S")</f>
        <v>0</v>
      </c>
      <c r="IR188" s="213">
        <f t="shared" si="537"/>
        <v>0</v>
      </c>
      <c r="IS188" s="213">
        <f t="shared" si="538"/>
        <v>0</v>
      </c>
      <c r="IT188" s="213" t="str">
        <f t="shared" si="406"/>
        <v/>
      </c>
      <c r="IU188" s="213" t="str">
        <f t="shared" si="407"/>
        <v/>
      </c>
      <c r="IV188" s="213" t="str">
        <f t="shared" si="408"/>
        <v/>
      </c>
      <c r="IW188" s="213" t="str">
        <f t="shared" si="409"/>
        <v/>
      </c>
      <c r="IX188" s="213" t="str">
        <f t="shared" si="410"/>
        <v/>
      </c>
      <c r="IY188" s="213" t="str">
        <f t="shared" si="539"/>
        <v/>
      </c>
      <c r="IZ188" s="213" t="str">
        <f t="shared" si="540"/>
        <v/>
      </c>
      <c r="JA188" s="213" t="str">
        <f t="shared" si="411"/>
        <v/>
      </c>
      <c r="JB188" s="211" t="str">
        <f t="shared" si="541"/>
        <v/>
      </c>
    </row>
    <row r="189" spans="1:262" s="211" customFormat="1" ht="21" customHeight="1">
      <c r="A189" s="184">
        <v>182</v>
      </c>
      <c r="B189" s="185" t="str">
        <f>IF('Marks Entry'!B189="","",'Marks Entry'!B189)</f>
        <v/>
      </c>
      <c r="C189" s="186" t="str">
        <f>IF('Marks Entry'!D189="","",'Marks Entry'!D189)</f>
        <v/>
      </c>
      <c r="D189" s="187" t="str">
        <f>IF('Marks Entry'!E189="","",'Marks Entry'!E189)</f>
        <v/>
      </c>
      <c r="E189" s="188" t="str">
        <f>IF('Marks Entry'!F189="","",'Marks Entry'!F189)</f>
        <v/>
      </c>
      <c r="F189" s="188" t="str">
        <f>IF('Marks Entry'!G189="","",'Marks Entry'!G189)</f>
        <v/>
      </c>
      <c r="G189" s="188" t="str">
        <f>IF('Marks Entry'!H189="","",'Marks Entry'!H189)</f>
        <v/>
      </c>
      <c r="H189" s="189" t="str">
        <f>IF('Marks Entry'!I189="","",'Marks Entry'!I189)</f>
        <v/>
      </c>
      <c r="I189" s="190" t="str">
        <f>IF('Marks Entry'!J189="","",'Marks Entry'!J189)</f>
        <v/>
      </c>
      <c r="J189" s="545" t="str">
        <f>IF('Marks Entry'!K189="","",'Marks Entry'!K189)</f>
        <v/>
      </c>
      <c r="K189" s="545" t="str">
        <f>IF('Marks Entry'!L189="","",'Marks Entry'!L189)</f>
        <v/>
      </c>
      <c r="L189" s="545" t="str">
        <f>IF('Marks Entry'!M189="","",'Marks Entry'!M189)</f>
        <v/>
      </c>
      <c r="M189" s="546" t="str">
        <f t="shared" si="412"/>
        <v/>
      </c>
      <c r="N189" s="545" t="str">
        <f>IF('Marks Entry'!N189="","",'Marks Entry'!N189)</f>
        <v/>
      </c>
      <c r="O189" s="546" t="str">
        <f t="shared" si="413"/>
        <v/>
      </c>
      <c r="P189" s="545" t="str">
        <f>IF('Marks Entry'!O189="","",'Marks Entry'!O189)</f>
        <v/>
      </c>
      <c r="Q189" s="547" t="str">
        <f t="shared" si="414"/>
        <v/>
      </c>
      <c r="R189" s="153">
        <f t="shared" si="415"/>
        <v>0</v>
      </c>
      <c r="S189" s="153">
        <f t="shared" si="416"/>
        <v>0</v>
      </c>
      <c r="T189" s="154" t="str">
        <f t="shared" si="417"/>
        <v/>
      </c>
      <c r="U189" s="153" t="str">
        <f t="shared" si="418"/>
        <v/>
      </c>
      <c r="V189" s="153" t="str">
        <f t="shared" si="419"/>
        <v/>
      </c>
      <c r="W189" s="153" t="str">
        <f t="shared" si="420"/>
        <v/>
      </c>
      <c r="X189" s="545" t="str">
        <f>IF('Marks Entry'!P189="","",'Marks Entry'!P189)</f>
        <v/>
      </c>
      <c r="Y189" s="545" t="str">
        <f>IF('Marks Entry'!Q189="","",'Marks Entry'!Q189)</f>
        <v/>
      </c>
      <c r="Z189" s="545" t="str">
        <f>IF('Marks Entry'!R189="","",'Marks Entry'!R189)</f>
        <v/>
      </c>
      <c r="AA189" s="546" t="str">
        <f t="shared" si="421"/>
        <v/>
      </c>
      <c r="AB189" s="545" t="str">
        <f>IF('Marks Entry'!S189="","",'Marks Entry'!S189)</f>
        <v/>
      </c>
      <c r="AC189" s="546" t="str">
        <f t="shared" si="422"/>
        <v/>
      </c>
      <c r="AD189" s="545" t="str">
        <f>IF('Marks Entry'!T189="","",'Marks Entry'!T189)</f>
        <v/>
      </c>
      <c r="AE189" s="547" t="str">
        <f t="shared" si="423"/>
        <v/>
      </c>
      <c r="AF189" s="153">
        <f t="shared" si="424"/>
        <v>0</v>
      </c>
      <c r="AG189" s="153">
        <f t="shared" si="425"/>
        <v>0</v>
      </c>
      <c r="AH189" s="154" t="str">
        <f t="shared" si="426"/>
        <v/>
      </c>
      <c r="AI189" s="153" t="str">
        <f t="shared" si="427"/>
        <v/>
      </c>
      <c r="AJ189" s="153" t="str">
        <f t="shared" si="428"/>
        <v/>
      </c>
      <c r="AK189" s="153" t="str">
        <f t="shared" si="429"/>
        <v/>
      </c>
      <c r="AL189" s="573" t="str">
        <f>IF('Marks Entry'!U189="","",'Marks Entry'!U189)</f>
        <v/>
      </c>
      <c r="AM189" s="573" t="str">
        <f>IF('Marks Entry'!V189="","",'Marks Entry'!V189)</f>
        <v/>
      </c>
      <c r="AN189" s="573" t="str">
        <f>IF('Marks Entry'!W189="","",'Marks Entry'!W189)</f>
        <v/>
      </c>
      <c r="AO189" s="573" t="str">
        <f>IF('Marks Entry'!X189="","",'Marks Entry'!X189)</f>
        <v/>
      </c>
      <c r="AP189" s="572" t="str">
        <f t="shared" si="430"/>
        <v/>
      </c>
      <c r="AQ189" s="573" t="str">
        <f>IF('Marks Entry'!Y189="","",'Marks Entry'!Y189)</f>
        <v/>
      </c>
      <c r="AR189" s="573" t="str">
        <f>IF('Marks Entry'!Z189="","",'Marks Entry'!Z189)</f>
        <v/>
      </c>
      <c r="AS189" s="572" t="str">
        <f t="shared" si="431"/>
        <v/>
      </c>
      <c r="AT189" s="572" t="str">
        <f t="shared" si="432"/>
        <v/>
      </c>
      <c r="AU189" s="573" t="str">
        <f>IF('Marks Entry'!AA189="","",'Marks Entry'!AA189)</f>
        <v/>
      </c>
      <c r="AV189" s="573" t="str">
        <f>IF('Marks Entry'!AB189="","",'Marks Entry'!AB189)</f>
        <v/>
      </c>
      <c r="AW189" s="572" t="str">
        <f t="shared" si="433"/>
        <v/>
      </c>
      <c r="AX189" s="157" t="str">
        <f t="shared" si="434"/>
        <v/>
      </c>
      <c r="AY189" s="157" t="str">
        <f t="shared" si="435"/>
        <v/>
      </c>
      <c r="AZ189" s="192" t="str">
        <f t="shared" si="436"/>
        <v/>
      </c>
      <c r="BA189" s="153">
        <f t="shared" si="437"/>
        <v>0</v>
      </c>
      <c r="BB189" s="154">
        <f t="shared" si="438"/>
        <v>0</v>
      </c>
      <c r="BC189" s="154" t="str">
        <f t="shared" si="439"/>
        <v/>
      </c>
      <c r="BD189" s="154" t="str">
        <f t="shared" si="440"/>
        <v/>
      </c>
      <c r="BE189" s="154" t="str">
        <f t="shared" si="441"/>
        <v/>
      </c>
      <c r="BF189" s="153" t="str">
        <f t="shared" si="442"/>
        <v/>
      </c>
      <c r="BG189" s="154" t="str">
        <f t="shared" si="443"/>
        <v/>
      </c>
      <c r="BH189" s="153" t="str">
        <f t="shared" si="444"/>
        <v/>
      </c>
      <c r="BI189" s="580" t="str">
        <f>IF('Marks Entry'!AC189="","",'Marks Entry'!AC189)</f>
        <v/>
      </c>
      <c r="BJ189" s="580" t="str">
        <f>IF('Marks Entry'!AD189="","",'Marks Entry'!AD189)</f>
        <v/>
      </c>
      <c r="BK189" s="580" t="str">
        <f>IF('Marks Entry'!AE189="","",'Marks Entry'!AE189)</f>
        <v/>
      </c>
      <c r="BL189" s="580" t="str">
        <f>IF('Marks Entry'!AF189="","",'Marks Entry'!AF189)</f>
        <v/>
      </c>
      <c r="BM189" s="581" t="str">
        <f t="shared" si="445"/>
        <v/>
      </c>
      <c r="BN189" s="580" t="str">
        <f>IF('Marks Entry'!AG189="","",'Marks Entry'!AG189)</f>
        <v/>
      </c>
      <c r="BO189" s="580" t="str">
        <f>IF('Marks Entry'!AH189="","",'Marks Entry'!AH189)</f>
        <v/>
      </c>
      <c r="BP189" s="581" t="str">
        <f t="shared" si="446"/>
        <v/>
      </c>
      <c r="BQ189" s="581" t="str">
        <f t="shared" si="447"/>
        <v/>
      </c>
      <c r="BR189" s="580" t="str">
        <f>IF('Marks Entry'!AI189="","",'Marks Entry'!AI189)</f>
        <v/>
      </c>
      <c r="BS189" s="580" t="str">
        <f>IF('Marks Entry'!AJ189="","",'Marks Entry'!AJ189)</f>
        <v/>
      </c>
      <c r="BT189" s="581" t="str">
        <f t="shared" si="448"/>
        <v/>
      </c>
      <c r="BU189" s="157" t="str">
        <f t="shared" si="449"/>
        <v/>
      </c>
      <c r="BV189" s="157" t="str">
        <f t="shared" si="450"/>
        <v/>
      </c>
      <c r="BW189" s="192" t="str">
        <f t="shared" si="451"/>
        <v/>
      </c>
      <c r="BX189" s="153">
        <f t="shared" si="452"/>
        <v>0</v>
      </c>
      <c r="BY189" s="154">
        <f t="shared" si="453"/>
        <v>0</v>
      </c>
      <c r="BZ189" s="154" t="str">
        <f t="shared" si="454"/>
        <v/>
      </c>
      <c r="CA189" s="154" t="str">
        <f t="shared" si="455"/>
        <v/>
      </c>
      <c r="CB189" s="154" t="str">
        <f t="shared" si="456"/>
        <v/>
      </c>
      <c r="CC189" s="153" t="str">
        <f t="shared" si="457"/>
        <v/>
      </c>
      <c r="CD189" s="154" t="str">
        <f t="shared" si="458"/>
        <v/>
      </c>
      <c r="CE189" s="153" t="str">
        <f t="shared" si="459"/>
        <v/>
      </c>
      <c r="CF189" s="580" t="str">
        <f>IF('Marks Entry'!AK189="","",'Marks Entry'!AK189)</f>
        <v/>
      </c>
      <c r="CG189" s="580" t="str">
        <f>IF('Marks Entry'!AL189="","",'Marks Entry'!AL189)</f>
        <v/>
      </c>
      <c r="CH189" s="580" t="str">
        <f>IF('Marks Entry'!AM189="","",'Marks Entry'!AM189)</f>
        <v/>
      </c>
      <c r="CI189" s="580" t="str">
        <f>IF('Marks Entry'!AN189="","",'Marks Entry'!AN189)</f>
        <v/>
      </c>
      <c r="CJ189" s="581" t="str">
        <f t="shared" si="460"/>
        <v/>
      </c>
      <c r="CK189" s="580" t="str">
        <f>IF('Marks Entry'!AO189="","",'Marks Entry'!AO189)</f>
        <v/>
      </c>
      <c r="CL189" s="580" t="str">
        <f>IF('Marks Entry'!AP189="","",'Marks Entry'!AP189)</f>
        <v/>
      </c>
      <c r="CM189" s="581" t="str">
        <f t="shared" si="461"/>
        <v/>
      </c>
      <c r="CN189" s="581" t="str">
        <f t="shared" si="462"/>
        <v/>
      </c>
      <c r="CO189" s="580" t="str">
        <f>IF('Marks Entry'!AQ189="","",'Marks Entry'!AQ189)</f>
        <v/>
      </c>
      <c r="CP189" s="580" t="str">
        <f>IF('Marks Entry'!AR189="","",'Marks Entry'!AR189)</f>
        <v/>
      </c>
      <c r="CQ189" s="581" t="str">
        <f t="shared" si="463"/>
        <v/>
      </c>
      <c r="CR189" s="157" t="str">
        <f t="shared" si="464"/>
        <v/>
      </c>
      <c r="CS189" s="157" t="str">
        <f t="shared" si="465"/>
        <v/>
      </c>
      <c r="CT189" s="192" t="str">
        <f t="shared" si="466"/>
        <v/>
      </c>
      <c r="CU189" s="153">
        <f t="shared" si="467"/>
        <v>0</v>
      </c>
      <c r="CV189" s="154">
        <f t="shared" si="468"/>
        <v>0</v>
      </c>
      <c r="CW189" s="154" t="str">
        <f t="shared" si="469"/>
        <v/>
      </c>
      <c r="CX189" s="154" t="str">
        <f t="shared" si="470"/>
        <v/>
      </c>
      <c r="CY189" s="154" t="str">
        <f t="shared" si="471"/>
        <v/>
      </c>
      <c r="CZ189" s="153" t="str">
        <f t="shared" si="472"/>
        <v/>
      </c>
      <c r="DA189" s="154" t="str">
        <f t="shared" si="473"/>
        <v/>
      </c>
      <c r="DB189" s="153" t="str">
        <f t="shared" si="474"/>
        <v/>
      </c>
      <c r="DC189" s="154">
        <f t="shared" si="475"/>
        <v>0</v>
      </c>
      <c r="DD189" s="826" t="str">
        <f>IF('Marks Entry'!AS189="","",IF(OR('Master Sheet'!$D$19="YES",'Marks Entry'!$BA$1=1),'Marks Entry'!AS189,""))</f>
        <v/>
      </c>
      <c r="DE189" s="826" t="str">
        <f>IF('Marks Entry'!AT189="","",IF(OR('Master Sheet'!$D$19="YES",'Marks Entry'!$BA$1=1),'Marks Entry'!AT189,""))</f>
        <v/>
      </c>
      <c r="DF189" s="826" t="str">
        <f>IF('Marks Entry'!AU189="","",IF(OR('Master Sheet'!$D$19="YES",'Marks Entry'!$BA$1=1),'Marks Entry'!AU189,""))</f>
        <v/>
      </c>
      <c r="DG189" s="826" t="str">
        <f>IF('Marks Entry'!AV189="","",IF(OR('Master Sheet'!$D$19="YES",'Marks Entry'!$BA$1=1),'Marks Entry'!AV189,""))</f>
        <v/>
      </c>
      <c r="DH189" s="827" t="str">
        <f t="shared" si="476"/>
        <v/>
      </c>
      <c r="DI189" s="826" t="str">
        <f>IF('Marks Entry'!AW189="","",IF(OR('Master Sheet'!$D$19="YES",'Marks Entry'!$BA$1=1),'Marks Entry'!AW189,""))</f>
        <v/>
      </c>
      <c r="DJ189" s="826" t="str">
        <f>IF('Marks Entry'!AX189="","",IF(OR('Master Sheet'!$D$19="YES",'Marks Entry'!$BA$1=1),'Marks Entry'!AX189,""))</f>
        <v/>
      </c>
      <c r="DK189" s="827" t="str">
        <f t="shared" si="477"/>
        <v/>
      </c>
      <c r="DL189" s="827" t="str">
        <f t="shared" si="478"/>
        <v/>
      </c>
      <c r="DM189" s="826" t="str">
        <f>IF('Marks Entry'!AY189="","",IF(OR('Master Sheet'!$D$19="YES",'Marks Entry'!$BA$1=1),'Marks Entry'!AY189,""))</f>
        <v/>
      </c>
      <c r="DN189" s="826" t="str">
        <f>IF('Marks Entry'!AZ189="","",IF(OR('Master Sheet'!$D$19="YES",'Marks Entry'!$BA$1=1),'Marks Entry'!AZ189,""))</f>
        <v/>
      </c>
      <c r="DO189" s="826" t="str">
        <f>IF('Marks Entry'!BA189="","",IF(OR('Master Sheet'!$D$19="YES",'Marks Entry'!$BA$1=1),'Marks Entry'!BA189,""))</f>
        <v/>
      </c>
      <c r="DP189" s="827" t="str">
        <f t="shared" si="479"/>
        <v/>
      </c>
      <c r="DQ189" s="157" t="str">
        <f t="shared" si="480"/>
        <v/>
      </c>
      <c r="DR189" s="157" t="str">
        <f t="shared" si="481"/>
        <v/>
      </c>
      <c r="DS189" s="157" t="str">
        <f t="shared" si="482"/>
        <v/>
      </c>
      <c r="DT189" s="192" t="str">
        <f t="shared" si="483"/>
        <v/>
      </c>
      <c r="DU189" s="153">
        <f t="shared" si="484"/>
        <v>0</v>
      </c>
      <c r="DV189" s="154" t="e">
        <f t="shared" si="485"/>
        <v>#VALUE!</v>
      </c>
      <c r="DW189" s="154" t="str">
        <f t="shared" si="486"/>
        <v/>
      </c>
      <c r="DX189" s="154" t="str">
        <f>IF(OR($B189="NSO",$B189=0,DS189=""),"",IF(AND(DJ189="",DO189=""),"",IF('Master Sheet'!$D$19="YES",$DO$6-COUNTIF(DO189,"ML")*DO$6,DS$6-(COUNTIF(DJ189,"ML")*DJ$6)-(COUNTIF(DO189,"ML")*DO$6))))</f>
        <v/>
      </c>
      <c r="DY189" s="154" t="str">
        <f>IF(OR($B189="NSO",$B189=0),"",IF(AND(DH189="",DI189="",DM189=""),"",IF(AND('Master Sheet'!$D$19="YES",'Marks Entry'!$BA$1=1),100,IF(AND(DJ189="",DO189=""),SUM(($DQ$7+$DR$7)-(DU189+DV189)),SUM(($DQ$6+$DR$6)-(DU189+DV189))))))</f>
        <v/>
      </c>
      <c r="DZ189" s="153" t="str">
        <f t="shared" si="487"/>
        <v/>
      </c>
      <c r="EA189" s="154" t="str">
        <f t="shared" si="488"/>
        <v/>
      </c>
      <c r="EB189" s="153" t="str">
        <f t="shared" si="489"/>
        <v/>
      </c>
      <c r="EC189" s="584" t="str">
        <f>IF('Marks Entry'!BB189="","",'Marks Entry'!BB189)</f>
        <v/>
      </c>
      <c r="ED189" s="584" t="str">
        <f>IF('Marks Entry'!BC189="","",'Marks Entry'!BC189)</f>
        <v/>
      </c>
      <c r="EE189" s="584" t="str">
        <f>IF('Marks Entry'!BD189="","",'Marks Entry'!BD189)</f>
        <v/>
      </c>
      <c r="EF189" s="590" t="str">
        <f t="shared" si="490"/>
        <v/>
      </c>
      <c r="EG189" s="595">
        <f t="shared" si="491"/>
        <v>0</v>
      </c>
      <c r="EH189" s="595">
        <f t="shared" si="492"/>
        <v>0</v>
      </c>
      <c r="EI189" s="193" t="str">
        <f t="shared" si="493"/>
        <v/>
      </c>
      <c r="EJ189" s="595" t="str">
        <f t="shared" si="494"/>
        <v/>
      </c>
      <c r="EK189" s="595" t="str">
        <f t="shared" si="495"/>
        <v/>
      </c>
      <c r="EL189" s="194" t="str">
        <f t="shared" si="496"/>
        <v/>
      </c>
      <c r="EM189" s="194" t="str">
        <f t="shared" si="497"/>
        <v/>
      </c>
      <c r="EN189" s="194" t="str">
        <f t="shared" si="498"/>
        <v/>
      </c>
      <c r="EO189" s="194" t="str">
        <f t="shared" si="499"/>
        <v/>
      </c>
      <c r="EP189" s="194" t="str">
        <f t="shared" si="500"/>
        <v/>
      </c>
      <c r="EQ189" s="194" t="str">
        <f t="shared" si="501"/>
        <v/>
      </c>
      <c r="ER189" s="195">
        <f t="shared" si="502"/>
        <v>0</v>
      </c>
      <c r="ES189" s="195">
        <f t="shared" si="503"/>
        <v>0</v>
      </c>
      <c r="ET189" s="195">
        <f t="shared" si="504"/>
        <v>0</v>
      </c>
      <c r="EU189" s="195">
        <f t="shared" si="505"/>
        <v>0</v>
      </c>
      <c r="EV189" s="195">
        <f t="shared" si="506"/>
        <v>0</v>
      </c>
      <c r="EW189" s="195" t="str">
        <f t="shared" si="507"/>
        <v/>
      </c>
      <c r="EX189" s="196" t="str">
        <f t="shared" si="508"/>
        <v/>
      </c>
      <c r="EY189" s="197" t="str">
        <f>IF('Marks Entry'!BE189="","",'Marks Entry'!BE189)</f>
        <v/>
      </c>
      <c r="EZ189" s="197" t="str">
        <f>IF('Marks Entry'!BF189="","",'Marks Entry'!BF189)</f>
        <v/>
      </c>
      <c r="FA189" s="197" t="str">
        <f>IF('Marks Entry'!BG189="","",'Marks Entry'!BG189)</f>
        <v/>
      </c>
      <c r="FB189" s="596" t="str">
        <f t="shared" si="509"/>
        <v/>
      </c>
      <c r="FC189" s="197" t="str">
        <f>IF('Marks Entry'!BH189="","",'Marks Entry'!BH189)</f>
        <v/>
      </c>
      <c r="FD189" s="197" t="str">
        <f>IF('Marks Entry'!BI189="","",'Marks Entry'!BI189)</f>
        <v/>
      </c>
      <c r="FE189" s="198" t="str">
        <f t="shared" si="510"/>
        <v/>
      </c>
      <c r="FF189" s="199" t="str">
        <f t="shared" si="511"/>
        <v/>
      </c>
      <c r="FG189" s="200" t="str">
        <f>IF(AND(E189=""),"",IF('Student DATA Entry'!L185="","",'Student DATA Entry'!L185))</f>
        <v/>
      </c>
      <c r="FH189" s="201" t="str">
        <f>IF(AND(E189=""),"",IF('Student DATA Entry'!M185="","",'Student DATA Entry'!M185))</f>
        <v/>
      </c>
      <c r="FI189" s="202" t="str">
        <f t="shared" si="512"/>
        <v/>
      </c>
      <c r="FJ189" s="189" t="str">
        <f t="shared" si="513"/>
        <v/>
      </c>
      <c r="FK189" s="189" t="str">
        <f t="shared" si="514"/>
        <v/>
      </c>
      <c r="FL189" s="203" t="str">
        <f t="shared" si="542"/>
        <v/>
      </c>
      <c r="FM189" s="189" t="str">
        <f t="shared" si="515"/>
        <v/>
      </c>
      <c r="FN189" s="204" t="str">
        <f t="shared" si="516"/>
        <v/>
      </c>
      <c r="FO189" s="203" t="str">
        <f t="shared" si="543"/>
        <v/>
      </c>
      <c r="FP189" s="205" t="str">
        <f t="shared" si="517"/>
        <v/>
      </c>
      <c r="FQ189" s="189" t="str">
        <f t="shared" si="544"/>
        <v/>
      </c>
      <c r="FR189" s="189" t="str">
        <f t="shared" si="545"/>
        <v/>
      </c>
      <c r="FS189" s="189" t="str">
        <f t="shared" si="546"/>
        <v/>
      </c>
      <c r="FT189" s="189" t="str">
        <f t="shared" si="547"/>
        <v/>
      </c>
      <c r="FU189" s="189" t="str">
        <f t="shared" si="518"/>
        <v/>
      </c>
      <c r="FV189" s="206" t="str">
        <f t="shared" si="548"/>
        <v/>
      </c>
      <c r="FW189" s="205" t="str">
        <f t="shared" si="519"/>
        <v/>
      </c>
      <c r="FX189" s="189" t="str">
        <f t="shared" si="549"/>
        <v/>
      </c>
      <c r="FY189" s="189" t="str">
        <f t="shared" si="550"/>
        <v/>
      </c>
      <c r="FZ189" s="189" t="str">
        <f t="shared" si="551"/>
        <v/>
      </c>
      <c r="GA189" s="189" t="str">
        <f t="shared" si="552"/>
        <v/>
      </c>
      <c r="GB189" s="189" t="str">
        <f t="shared" si="520"/>
        <v/>
      </c>
      <c r="GC189" s="206" t="str">
        <f t="shared" si="553"/>
        <v/>
      </c>
      <c r="GD189" s="205" t="str">
        <f t="shared" si="521"/>
        <v/>
      </c>
      <c r="GE189" s="189" t="str">
        <f t="shared" si="554"/>
        <v/>
      </c>
      <c r="GF189" s="189" t="str">
        <f t="shared" si="555"/>
        <v/>
      </c>
      <c r="GG189" s="189" t="str">
        <f t="shared" si="556"/>
        <v/>
      </c>
      <c r="GH189" s="189" t="str">
        <f t="shared" si="557"/>
        <v/>
      </c>
      <c r="GI189" s="189" t="str">
        <f t="shared" si="522"/>
        <v/>
      </c>
      <c r="GJ189" s="206" t="str">
        <f t="shared" si="558"/>
        <v/>
      </c>
      <c r="GK189" s="205" t="str">
        <f t="shared" si="523"/>
        <v/>
      </c>
      <c r="GL189" s="189" t="str">
        <f t="shared" si="559"/>
        <v/>
      </c>
      <c r="GM189" s="189" t="str">
        <f t="shared" si="560"/>
        <v/>
      </c>
      <c r="GN189" s="189" t="str">
        <f t="shared" si="561"/>
        <v/>
      </c>
      <c r="GO189" s="189" t="str">
        <f t="shared" si="562"/>
        <v/>
      </c>
      <c r="GP189" s="189" t="str">
        <f t="shared" si="524"/>
        <v/>
      </c>
      <c r="GQ189" s="206" t="str">
        <f t="shared" si="563"/>
        <v/>
      </c>
      <c r="GR189" s="189" t="str">
        <f t="shared" si="525"/>
        <v/>
      </c>
      <c r="GS189" s="189" t="str">
        <f t="shared" si="526"/>
        <v/>
      </c>
      <c r="GT189" s="207" t="str">
        <f t="shared" si="527"/>
        <v xml:space="preserve">    </v>
      </c>
      <c r="GU189" s="207" t="str">
        <f t="shared" si="528"/>
        <v xml:space="preserve">    </v>
      </c>
      <c r="GV189" s="207" t="str">
        <f t="shared" si="529"/>
        <v xml:space="preserve">    </v>
      </c>
      <c r="GW189" s="207" t="str">
        <f t="shared" si="530"/>
        <v xml:space="preserve">       </v>
      </c>
      <c r="GX189" s="598" t="str">
        <f t="shared" si="531"/>
        <v xml:space="preserve">     </v>
      </c>
      <c r="GY189" s="208" t="str">
        <f t="shared" si="564"/>
        <v/>
      </c>
      <c r="GZ189" s="606" t="str">
        <f>IF(AND(Q189="",AE189="",AZ189="",BW189="",CT189=""),"",IF(AND('Master Sheet'!$D$19="YES",'Marks Entry'!$BA$1=1),SUM(Q189,AE189,AZ189,BW189,DT189),SUM(Q189,AE189,AZ189,BW189,CT189)))</f>
        <v/>
      </c>
      <c r="HA189" s="209" t="str">
        <f>IF(GZ189="","",IF(AND('Master Sheet'!$D$19="YES",'Marks Entry'!$BA$1=1),GZ189/((900)-DC189)*100,GZ189/((1000)-DC189)*100))</f>
        <v/>
      </c>
      <c r="HB189" s="611" t="str">
        <f t="shared" si="532"/>
        <v/>
      </c>
      <c r="HC189" s="609" t="str">
        <f t="shared" si="533"/>
        <v/>
      </c>
      <c r="HD189" s="610" t="str">
        <f t="shared" si="534"/>
        <v/>
      </c>
      <c r="HE189" s="210" t="str">
        <f>IFERROR(IF(OR(GY189="SUPPLEMENTARY",GY189="RE-EXAM"),'Supp. Result Entry'!AS188,""),"")</f>
        <v/>
      </c>
      <c r="HF189" s="613" t="str">
        <f t="shared" si="535"/>
        <v/>
      </c>
      <c r="HG189" s="598" t="str">
        <f t="shared" si="536"/>
        <v/>
      </c>
      <c r="HH189" s="598" t="str">
        <f>IF(AND(HE189="",HF189="",HG189=""),"",IF(OR(GY189="SUPPLEMENTARY",GY189="RE-EXAM"),'Supp. Result Entry'!AS188,GY189))</f>
        <v/>
      </c>
      <c r="HI189" s="180"/>
      <c r="HY189" s="212" t="str">
        <f>IF('Supp. Result Entry'!U188="","",'Supp. Result Entry'!$U$6)</f>
        <v/>
      </c>
      <c r="HZ189" s="213" t="str">
        <f>IF('Supp. Result Entry'!X188="","",'Supp. Result Entry'!$X$6)</f>
        <v/>
      </c>
      <c r="IA189" s="213" t="str">
        <f>IF('Supp. Result Entry'!AA188="","",'Supp. Result Entry'!$AA$6)</f>
        <v/>
      </c>
      <c r="IB189" s="213" t="str">
        <f>IF('Supp. Result Entry'!AD188="","",'Supp. Result Entry'!$AD$6)</f>
        <v/>
      </c>
      <c r="IC189" s="213" t="str">
        <f>IF('Supp. Result Entry'!AG188="","",'Supp. Result Entry'!$AG$6)</f>
        <v/>
      </c>
      <c r="ID189" s="213" t="str">
        <f>IF('Supp. Result Entry'!AJ188="","",'Supp. Result Entry'!$AJ$6)</f>
        <v/>
      </c>
      <c r="IE189" s="213" t="str">
        <f>IF('Supp. Result Entry'!V188="","",'Supp. Result Entry'!V188)</f>
        <v/>
      </c>
      <c r="IF189" s="213" t="str">
        <f>IF('Supp. Result Entry'!Y188="","",'Supp. Result Entry'!Y188)</f>
        <v/>
      </c>
      <c r="IG189" s="213" t="str">
        <f>IF('Supp. Result Entry'!AB188="","",'Supp. Result Entry'!AB188)</f>
        <v/>
      </c>
      <c r="IH189" s="213" t="str">
        <f>IF('Supp. Result Entry'!AE188="","",'Supp. Result Entry'!AE188)</f>
        <v/>
      </c>
      <c r="II189" s="213" t="str">
        <f>IF('Supp. Result Entry'!AH188="","",'Supp. Result Entry'!AH188)</f>
        <v/>
      </c>
      <c r="IJ189" s="213" t="str">
        <f>IF('Supp. Result Entry'!AK188="","",'Supp. Result Entry'!AK188)</f>
        <v/>
      </c>
      <c r="IK189" s="213" t="str">
        <f>IF('Supp. Result Entry'!W188="","",'Supp. Result Entry'!W188)</f>
        <v/>
      </c>
      <c r="IL189" s="213" t="str">
        <f>IF('Supp. Result Entry'!Z188="","",'Supp. Result Entry'!Z188)</f>
        <v/>
      </c>
      <c r="IM189" s="213" t="str">
        <f>IF('Supp. Result Entry'!AC188="","",'Supp. Result Entry'!AC188)</f>
        <v/>
      </c>
      <c r="IN189" s="213" t="str">
        <f>IF('Supp. Result Entry'!AF188="","",'Supp. Result Entry'!AF188)</f>
        <v/>
      </c>
      <c r="IO189" s="213" t="str">
        <f>IF('Supp. Result Entry'!AI188="","",'Supp. Result Entry'!AI188)</f>
        <v/>
      </c>
      <c r="IP189" s="213" t="str">
        <f>IF('Supp. Result Entry'!AL188="","",'Supp. Result Entry'!AL188)</f>
        <v/>
      </c>
      <c r="IQ189" s="213">
        <f>COUNTIF('Supp. Result Entry'!K188:Q188,"S")</f>
        <v>0</v>
      </c>
      <c r="IR189" s="213">
        <f t="shared" si="537"/>
        <v>0</v>
      </c>
      <c r="IS189" s="213">
        <f t="shared" si="538"/>
        <v>0</v>
      </c>
      <c r="IT189" s="213" t="str">
        <f t="shared" si="406"/>
        <v/>
      </c>
      <c r="IU189" s="213" t="str">
        <f t="shared" si="407"/>
        <v/>
      </c>
      <c r="IV189" s="213" t="str">
        <f t="shared" si="408"/>
        <v/>
      </c>
      <c r="IW189" s="213" t="str">
        <f t="shared" si="409"/>
        <v/>
      </c>
      <c r="IX189" s="213" t="str">
        <f t="shared" si="410"/>
        <v/>
      </c>
      <c r="IY189" s="213" t="str">
        <f t="shared" si="539"/>
        <v/>
      </c>
      <c r="IZ189" s="213" t="str">
        <f t="shared" si="540"/>
        <v/>
      </c>
      <c r="JA189" s="213" t="str">
        <f t="shared" si="411"/>
        <v/>
      </c>
      <c r="JB189" s="211" t="str">
        <f t="shared" si="541"/>
        <v/>
      </c>
    </row>
    <row r="190" spans="1:262" s="211" customFormat="1" ht="21" customHeight="1">
      <c r="A190" s="184">
        <v>183</v>
      </c>
      <c r="B190" s="185" t="str">
        <f>IF('Marks Entry'!B190="","",'Marks Entry'!B190)</f>
        <v/>
      </c>
      <c r="C190" s="186" t="str">
        <f>IF('Marks Entry'!D190="","",'Marks Entry'!D190)</f>
        <v/>
      </c>
      <c r="D190" s="187" t="str">
        <f>IF('Marks Entry'!E190="","",'Marks Entry'!E190)</f>
        <v/>
      </c>
      <c r="E190" s="188" t="str">
        <f>IF('Marks Entry'!F190="","",'Marks Entry'!F190)</f>
        <v/>
      </c>
      <c r="F190" s="188" t="str">
        <f>IF('Marks Entry'!G190="","",'Marks Entry'!G190)</f>
        <v/>
      </c>
      <c r="G190" s="188" t="str">
        <f>IF('Marks Entry'!H190="","",'Marks Entry'!H190)</f>
        <v/>
      </c>
      <c r="H190" s="189" t="str">
        <f>IF('Marks Entry'!I190="","",'Marks Entry'!I190)</f>
        <v/>
      </c>
      <c r="I190" s="190" t="str">
        <f>IF('Marks Entry'!J190="","",'Marks Entry'!J190)</f>
        <v/>
      </c>
      <c r="J190" s="545" t="str">
        <f>IF('Marks Entry'!K190="","",'Marks Entry'!K190)</f>
        <v/>
      </c>
      <c r="K190" s="545" t="str">
        <f>IF('Marks Entry'!L190="","",'Marks Entry'!L190)</f>
        <v/>
      </c>
      <c r="L190" s="545" t="str">
        <f>IF('Marks Entry'!M190="","",'Marks Entry'!M190)</f>
        <v/>
      </c>
      <c r="M190" s="546" t="str">
        <f t="shared" si="412"/>
        <v/>
      </c>
      <c r="N190" s="545" t="str">
        <f>IF('Marks Entry'!N190="","",'Marks Entry'!N190)</f>
        <v/>
      </c>
      <c r="O190" s="546" t="str">
        <f t="shared" si="413"/>
        <v/>
      </c>
      <c r="P190" s="545" t="str">
        <f>IF('Marks Entry'!O190="","",'Marks Entry'!O190)</f>
        <v/>
      </c>
      <c r="Q190" s="547" t="str">
        <f t="shared" si="414"/>
        <v/>
      </c>
      <c r="R190" s="153">
        <f t="shared" si="415"/>
        <v>0</v>
      </c>
      <c r="S190" s="153">
        <f t="shared" si="416"/>
        <v>0</v>
      </c>
      <c r="T190" s="154" t="str">
        <f t="shared" si="417"/>
        <v/>
      </c>
      <c r="U190" s="153" t="str">
        <f t="shared" si="418"/>
        <v/>
      </c>
      <c r="V190" s="153" t="str">
        <f t="shared" si="419"/>
        <v/>
      </c>
      <c r="W190" s="153" t="str">
        <f t="shared" si="420"/>
        <v/>
      </c>
      <c r="X190" s="545" t="str">
        <f>IF('Marks Entry'!P190="","",'Marks Entry'!P190)</f>
        <v/>
      </c>
      <c r="Y190" s="545" t="str">
        <f>IF('Marks Entry'!Q190="","",'Marks Entry'!Q190)</f>
        <v/>
      </c>
      <c r="Z190" s="545" t="str">
        <f>IF('Marks Entry'!R190="","",'Marks Entry'!R190)</f>
        <v/>
      </c>
      <c r="AA190" s="546" t="str">
        <f t="shared" si="421"/>
        <v/>
      </c>
      <c r="AB190" s="545" t="str">
        <f>IF('Marks Entry'!S190="","",'Marks Entry'!S190)</f>
        <v/>
      </c>
      <c r="AC190" s="546" t="str">
        <f t="shared" si="422"/>
        <v/>
      </c>
      <c r="AD190" s="545" t="str">
        <f>IF('Marks Entry'!T190="","",'Marks Entry'!T190)</f>
        <v/>
      </c>
      <c r="AE190" s="547" t="str">
        <f t="shared" si="423"/>
        <v/>
      </c>
      <c r="AF190" s="153">
        <f t="shared" si="424"/>
        <v>0</v>
      </c>
      <c r="AG190" s="153">
        <f t="shared" si="425"/>
        <v>0</v>
      </c>
      <c r="AH190" s="154" t="str">
        <f t="shared" si="426"/>
        <v/>
      </c>
      <c r="AI190" s="153" t="str">
        <f t="shared" si="427"/>
        <v/>
      </c>
      <c r="AJ190" s="153" t="str">
        <f t="shared" si="428"/>
        <v/>
      </c>
      <c r="AK190" s="153" t="str">
        <f t="shared" si="429"/>
        <v/>
      </c>
      <c r="AL190" s="573" t="str">
        <f>IF('Marks Entry'!U190="","",'Marks Entry'!U190)</f>
        <v/>
      </c>
      <c r="AM190" s="573" t="str">
        <f>IF('Marks Entry'!V190="","",'Marks Entry'!V190)</f>
        <v/>
      </c>
      <c r="AN190" s="573" t="str">
        <f>IF('Marks Entry'!W190="","",'Marks Entry'!W190)</f>
        <v/>
      </c>
      <c r="AO190" s="573" t="str">
        <f>IF('Marks Entry'!X190="","",'Marks Entry'!X190)</f>
        <v/>
      </c>
      <c r="AP190" s="572" t="str">
        <f t="shared" si="430"/>
        <v/>
      </c>
      <c r="AQ190" s="573" t="str">
        <f>IF('Marks Entry'!Y190="","",'Marks Entry'!Y190)</f>
        <v/>
      </c>
      <c r="AR190" s="573" t="str">
        <f>IF('Marks Entry'!Z190="","",'Marks Entry'!Z190)</f>
        <v/>
      </c>
      <c r="AS190" s="572" t="str">
        <f t="shared" si="431"/>
        <v/>
      </c>
      <c r="AT190" s="572" t="str">
        <f t="shared" si="432"/>
        <v/>
      </c>
      <c r="AU190" s="573" t="str">
        <f>IF('Marks Entry'!AA190="","",'Marks Entry'!AA190)</f>
        <v/>
      </c>
      <c r="AV190" s="573" t="str">
        <f>IF('Marks Entry'!AB190="","",'Marks Entry'!AB190)</f>
        <v/>
      </c>
      <c r="AW190" s="572" t="str">
        <f t="shared" si="433"/>
        <v/>
      </c>
      <c r="AX190" s="157" t="str">
        <f t="shared" si="434"/>
        <v/>
      </c>
      <c r="AY190" s="157" t="str">
        <f t="shared" si="435"/>
        <v/>
      </c>
      <c r="AZ190" s="192" t="str">
        <f t="shared" si="436"/>
        <v/>
      </c>
      <c r="BA190" s="153">
        <f t="shared" si="437"/>
        <v>0</v>
      </c>
      <c r="BB190" s="154">
        <f t="shared" si="438"/>
        <v>0</v>
      </c>
      <c r="BC190" s="154" t="str">
        <f t="shared" si="439"/>
        <v/>
      </c>
      <c r="BD190" s="154" t="str">
        <f t="shared" si="440"/>
        <v/>
      </c>
      <c r="BE190" s="154" t="str">
        <f t="shared" si="441"/>
        <v/>
      </c>
      <c r="BF190" s="153" t="str">
        <f t="shared" si="442"/>
        <v/>
      </c>
      <c r="BG190" s="154" t="str">
        <f t="shared" si="443"/>
        <v/>
      </c>
      <c r="BH190" s="153" t="str">
        <f t="shared" si="444"/>
        <v/>
      </c>
      <c r="BI190" s="580" t="str">
        <f>IF('Marks Entry'!AC190="","",'Marks Entry'!AC190)</f>
        <v/>
      </c>
      <c r="BJ190" s="580" t="str">
        <f>IF('Marks Entry'!AD190="","",'Marks Entry'!AD190)</f>
        <v/>
      </c>
      <c r="BK190" s="580" t="str">
        <f>IF('Marks Entry'!AE190="","",'Marks Entry'!AE190)</f>
        <v/>
      </c>
      <c r="BL190" s="580" t="str">
        <f>IF('Marks Entry'!AF190="","",'Marks Entry'!AF190)</f>
        <v/>
      </c>
      <c r="BM190" s="581" t="str">
        <f t="shared" si="445"/>
        <v/>
      </c>
      <c r="BN190" s="580" t="str">
        <f>IF('Marks Entry'!AG190="","",'Marks Entry'!AG190)</f>
        <v/>
      </c>
      <c r="BO190" s="580" t="str">
        <f>IF('Marks Entry'!AH190="","",'Marks Entry'!AH190)</f>
        <v/>
      </c>
      <c r="BP190" s="581" t="str">
        <f t="shared" si="446"/>
        <v/>
      </c>
      <c r="BQ190" s="581" t="str">
        <f t="shared" si="447"/>
        <v/>
      </c>
      <c r="BR190" s="580" t="str">
        <f>IF('Marks Entry'!AI190="","",'Marks Entry'!AI190)</f>
        <v/>
      </c>
      <c r="BS190" s="580" t="str">
        <f>IF('Marks Entry'!AJ190="","",'Marks Entry'!AJ190)</f>
        <v/>
      </c>
      <c r="BT190" s="581" t="str">
        <f t="shared" si="448"/>
        <v/>
      </c>
      <c r="BU190" s="157" t="str">
        <f t="shared" si="449"/>
        <v/>
      </c>
      <c r="BV190" s="157" t="str">
        <f t="shared" si="450"/>
        <v/>
      </c>
      <c r="BW190" s="192" t="str">
        <f t="shared" si="451"/>
        <v/>
      </c>
      <c r="BX190" s="153">
        <f t="shared" si="452"/>
        <v>0</v>
      </c>
      <c r="BY190" s="154">
        <f t="shared" si="453"/>
        <v>0</v>
      </c>
      <c r="BZ190" s="154" t="str">
        <f t="shared" si="454"/>
        <v/>
      </c>
      <c r="CA190" s="154" t="str">
        <f t="shared" si="455"/>
        <v/>
      </c>
      <c r="CB190" s="154" t="str">
        <f t="shared" si="456"/>
        <v/>
      </c>
      <c r="CC190" s="153" t="str">
        <f t="shared" si="457"/>
        <v/>
      </c>
      <c r="CD190" s="154" t="str">
        <f t="shared" si="458"/>
        <v/>
      </c>
      <c r="CE190" s="153" t="str">
        <f t="shared" si="459"/>
        <v/>
      </c>
      <c r="CF190" s="580" t="str">
        <f>IF('Marks Entry'!AK190="","",'Marks Entry'!AK190)</f>
        <v/>
      </c>
      <c r="CG190" s="580" t="str">
        <f>IF('Marks Entry'!AL190="","",'Marks Entry'!AL190)</f>
        <v/>
      </c>
      <c r="CH190" s="580" t="str">
        <f>IF('Marks Entry'!AM190="","",'Marks Entry'!AM190)</f>
        <v/>
      </c>
      <c r="CI190" s="580" t="str">
        <f>IF('Marks Entry'!AN190="","",'Marks Entry'!AN190)</f>
        <v/>
      </c>
      <c r="CJ190" s="581" t="str">
        <f t="shared" si="460"/>
        <v/>
      </c>
      <c r="CK190" s="580" t="str">
        <f>IF('Marks Entry'!AO190="","",'Marks Entry'!AO190)</f>
        <v/>
      </c>
      <c r="CL190" s="580" t="str">
        <f>IF('Marks Entry'!AP190="","",'Marks Entry'!AP190)</f>
        <v/>
      </c>
      <c r="CM190" s="581" t="str">
        <f t="shared" si="461"/>
        <v/>
      </c>
      <c r="CN190" s="581" t="str">
        <f t="shared" si="462"/>
        <v/>
      </c>
      <c r="CO190" s="580" t="str">
        <f>IF('Marks Entry'!AQ190="","",'Marks Entry'!AQ190)</f>
        <v/>
      </c>
      <c r="CP190" s="580" t="str">
        <f>IF('Marks Entry'!AR190="","",'Marks Entry'!AR190)</f>
        <v/>
      </c>
      <c r="CQ190" s="581" t="str">
        <f t="shared" si="463"/>
        <v/>
      </c>
      <c r="CR190" s="157" t="str">
        <f t="shared" si="464"/>
        <v/>
      </c>
      <c r="CS190" s="157" t="str">
        <f t="shared" si="465"/>
        <v/>
      </c>
      <c r="CT190" s="192" t="str">
        <f t="shared" si="466"/>
        <v/>
      </c>
      <c r="CU190" s="153">
        <f t="shared" si="467"/>
        <v>0</v>
      </c>
      <c r="CV190" s="154">
        <f t="shared" si="468"/>
        <v>0</v>
      </c>
      <c r="CW190" s="154" t="str">
        <f t="shared" si="469"/>
        <v/>
      </c>
      <c r="CX190" s="154" t="str">
        <f t="shared" si="470"/>
        <v/>
      </c>
      <c r="CY190" s="154" t="str">
        <f t="shared" si="471"/>
        <v/>
      </c>
      <c r="CZ190" s="153" t="str">
        <f t="shared" si="472"/>
        <v/>
      </c>
      <c r="DA190" s="154" t="str">
        <f t="shared" si="473"/>
        <v/>
      </c>
      <c r="DB190" s="153" t="str">
        <f t="shared" si="474"/>
        <v/>
      </c>
      <c r="DC190" s="154">
        <f t="shared" si="475"/>
        <v>0</v>
      </c>
      <c r="DD190" s="826" t="str">
        <f>IF('Marks Entry'!AS190="","",IF(OR('Master Sheet'!$D$19="YES",'Marks Entry'!$BA$1=1),'Marks Entry'!AS190,""))</f>
        <v/>
      </c>
      <c r="DE190" s="826" t="str">
        <f>IF('Marks Entry'!AT190="","",IF(OR('Master Sheet'!$D$19="YES",'Marks Entry'!$BA$1=1),'Marks Entry'!AT190,""))</f>
        <v/>
      </c>
      <c r="DF190" s="826" t="str">
        <f>IF('Marks Entry'!AU190="","",IF(OR('Master Sheet'!$D$19="YES",'Marks Entry'!$BA$1=1),'Marks Entry'!AU190,""))</f>
        <v/>
      </c>
      <c r="DG190" s="826" t="str">
        <f>IF('Marks Entry'!AV190="","",IF(OR('Master Sheet'!$D$19="YES",'Marks Entry'!$BA$1=1),'Marks Entry'!AV190,""))</f>
        <v/>
      </c>
      <c r="DH190" s="827" t="str">
        <f t="shared" si="476"/>
        <v/>
      </c>
      <c r="DI190" s="826" t="str">
        <f>IF('Marks Entry'!AW190="","",IF(OR('Master Sheet'!$D$19="YES",'Marks Entry'!$BA$1=1),'Marks Entry'!AW190,""))</f>
        <v/>
      </c>
      <c r="DJ190" s="826" t="str">
        <f>IF('Marks Entry'!AX190="","",IF(OR('Master Sheet'!$D$19="YES",'Marks Entry'!$BA$1=1),'Marks Entry'!AX190,""))</f>
        <v/>
      </c>
      <c r="DK190" s="827" t="str">
        <f t="shared" si="477"/>
        <v/>
      </c>
      <c r="DL190" s="827" t="str">
        <f t="shared" si="478"/>
        <v/>
      </c>
      <c r="DM190" s="826" t="str">
        <f>IF('Marks Entry'!AY190="","",IF(OR('Master Sheet'!$D$19="YES",'Marks Entry'!$BA$1=1),'Marks Entry'!AY190,""))</f>
        <v/>
      </c>
      <c r="DN190" s="826" t="str">
        <f>IF('Marks Entry'!AZ190="","",IF(OR('Master Sheet'!$D$19="YES",'Marks Entry'!$BA$1=1),'Marks Entry'!AZ190,""))</f>
        <v/>
      </c>
      <c r="DO190" s="826" t="str">
        <f>IF('Marks Entry'!BA190="","",IF(OR('Master Sheet'!$D$19="YES",'Marks Entry'!$BA$1=1),'Marks Entry'!BA190,""))</f>
        <v/>
      </c>
      <c r="DP190" s="827" t="str">
        <f t="shared" si="479"/>
        <v/>
      </c>
      <c r="DQ190" s="157" t="str">
        <f t="shared" si="480"/>
        <v/>
      </c>
      <c r="DR190" s="157" t="str">
        <f t="shared" si="481"/>
        <v/>
      </c>
      <c r="DS190" s="157" t="str">
        <f t="shared" si="482"/>
        <v/>
      </c>
      <c r="DT190" s="192" t="str">
        <f t="shared" si="483"/>
        <v/>
      </c>
      <c r="DU190" s="153">
        <f t="shared" si="484"/>
        <v>0</v>
      </c>
      <c r="DV190" s="154" t="e">
        <f t="shared" si="485"/>
        <v>#VALUE!</v>
      </c>
      <c r="DW190" s="154" t="str">
        <f t="shared" si="486"/>
        <v/>
      </c>
      <c r="DX190" s="154" t="str">
        <f>IF(OR($B190="NSO",$B190=0,DS190=""),"",IF(AND(DJ190="",DO190=""),"",IF('Master Sheet'!$D$19="YES",$DO$6-COUNTIF(DO190,"ML")*DO$6,DS$6-(COUNTIF(DJ190,"ML")*DJ$6)-(COUNTIF(DO190,"ML")*DO$6))))</f>
        <v/>
      </c>
      <c r="DY190" s="154" t="str">
        <f>IF(OR($B190="NSO",$B190=0),"",IF(AND(DH190="",DI190="",DM190=""),"",IF(AND('Master Sheet'!$D$19="YES",'Marks Entry'!$BA$1=1),100,IF(AND(DJ190="",DO190=""),SUM(($DQ$7+$DR$7)-(DU190+DV190)),SUM(($DQ$6+$DR$6)-(DU190+DV190))))))</f>
        <v/>
      </c>
      <c r="DZ190" s="153" t="str">
        <f t="shared" si="487"/>
        <v/>
      </c>
      <c r="EA190" s="154" t="str">
        <f t="shared" si="488"/>
        <v/>
      </c>
      <c r="EB190" s="153" t="str">
        <f t="shared" si="489"/>
        <v/>
      </c>
      <c r="EC190" s="584" t="str">
        <f>IF('Marks Entry'!BB190="","",'Marks Entry'!BB190)</f>
        <v/>
      </c>
      <c r="ED190" s="584" t="str">
        <f>IF('Marks Entry'!BC190="","",'Marks Entry'!BC190)</f>
        <v/>
      </c>
      <c r="EE190" s="584" t="str">
        <f>IF('Marks Entry'!BD190="","",'Marks Entry'!BD190)</f>
        <v/>
      </c>
      <c r="EF190" s="590" t="str">
        <f t="shared" si="490"/>
        <v/>
      </c>
      <c r="EG190" s="595">
        <f t="shared" si="491"/>
        <v>0</v>
      </c>
      <c r="EH190" s="595">
        <f t="shared" si="492"/>
        <v>0</v>
      </c>
      <c r="EI190" s="193" t="str">
        <f t="shared" si="493"/>
        <v/>
      </c>
      <c r="EJ190" s="595" t="str">
        <f t="shared" si="494"/>
        <v/>
      </c>
      <c r="EK190" s="595" t="str">
        <f t="shared" si="495"/>
        <v/>
      </c>
      <c r="EL190" s="194" t="str">
        <f t="shared" si="496"/>
        <v/>
      </c>
      <c r="EM190" s="194" t="str">
        <f t="shared" si="497"/>
        <v/>
      </c>
      <c r="EN190" s="194" t="str">
        <f t="shared" si="498"/>
        <v/>
      </c>
      <c r="EO190" s="194" t="str">
        <f t="shared" si="499"/>
        <v/>
      </c>
      <c r="EP190" s="194" t="str">
        <f t="shared" si="500"/>
        <v/>
      </c>
      <c r="EQ190" s="194" t="str">
        <f t="shared" si="501"/>
        <v/>
      </c>
      <c r="ER190" s="195">
        <f t="shared" si="502"/>
        <v>0</v>
      </c>
      <c r="ES190" s="195">
        <f t="shared" si="503"/>
        <v>0</v>
      </c>
      <c r="ET190" s="195">
        <f t="shared" si="504"/>
        <v>0</v>
      </c>
      <c r="EU190" s="195">
        <f t="shared" si="505"/>
        <v>0</v>
      </c>
      <c r="EV190" s="195">
        <f t="shared" si="506"/>
        <v>0</v>
      </c>
      <c r="EW190" s="195" t="str">
        <f t="shared" si="507"/>
        <v/>
      </c>
      <c r="EX190" s="196" t="str">
        <f t="shared" si="508"/>
        <v/>
      </c>
      <c r="EY190" s="197" t="str">
        <f>IF('Marks Entry'!BE190="","",'Marks Entry'!BE190)</f>
        <v/>
      </c>
      <c r="EZ190" s="197" t="str">
        <f>IF('Marks Entry'!BF190="","",'Marks Entry'!BF190)</f>
        <v/>
      </c>
      <c r="FA190" s="197" t="str">
        <f>IF('Marks Entry'!BG190="","",'Marks Entry'!BG190)</f>
        <v/>
      </c>
      <c r="FB190" s="596" t="str">
        <f t="shared" si="509"/>
        <v/>
      </c>
      <c r="FC190" s="197" t="str">
        <f>IF('Marks Entry'!BH190="","",'Marks Entry'!BH190)</f>
        <v/>
      </c>
      <c r="FD190" s="197" t="str">
        <f>IF('Marks Entry'!BI190="","",'Marks Entry'!BI190)</f>
        <v/>
      </c>
      <c r="FE190" s="198" t="str">
        <f t="shared" si="510"/>
        <v/>
      </c>
      <c r="FF190" s="199" t="str">
        <f t="shared" si="511"/>
        <v/>
      </c>
      <c r="FG190" s="200" t="str">
        <f>IF(AND(E190=""),"",IF('Student DATA Entry'!L186="","",'Student DATA Entry'!L186))</f>
        <v/>
      </c>
      <c r="FH190" s="201" t="str">
        <f>IF(AND(E190=""),"",IF('Student DATA Entry'!M186="","",'Student DATA Entry'!M186))</f>
        <v/>
      </c>
      <c r="FI190" s="202" t="str">
        <f t="shared" si="512"/>
        <v/>
      </c>
      <c r="FJ190" s="189" t="str">
        <f t="shared" si="513"/>
        <v/>
      </c>
      <c r="FK190" s="189" t="str">
        <f t="shared" si="514"/>
        <v/>
      </c>
      <c r="FL190" s="203" t="str">
        <f t="shared" si="542"/>
        <v/>
      </c>
      <c r="FM190" s="189" t="str">
        <f t="shared" si="515"/>
        <v/>
      </c>
      <c r="FN190" s="204" t="str">
        <f t="shared" si="516"/>
        <v/>
      </c>
      <c r="FO190" s="203" t="str">
        <f t="shared" si="543"/>
        <v/>
      </c>
      <c r="FP190" s="205" t="str">
        <f t="shared" si="517"/>
        <v/>
      </c>
      <c r="FQ190" s="189" t="str">
        <f t="shared" si="544"/>
        <v/>
      </c>
      <c r="FR190" s="189" t="str">
        <f t="shared" si="545"/>
        <v/>
      </c>
      <c r="FS190" s="189" t="str">
        <f t="shared" si="546"/>
        <v/>
      </c>
      <c r="FT190" s="189" t="str">
        <f t="shared" si="547"/>
        <v/>
      </c>
      <c r="FU190" s="189" t="str">
        <f t="shared" si="518"/>
        <v/>
      </c>
      <c r="FV190" s="206" t="str">
        <f t="shared" si="548"/>
        <v/>
      </c>
      <c r="FW190" s="205" t="str">
        <f t="shared" si="519"/>
        <v/>
      </c>
      <c r="FX190" s="189" t="str">
        <f t="shared" si="549"/>
        <v/>
      </c>
      <c r="FY190" s="189" t="str">
        <f t="shared" si="550"/>
        <v/>
      </c>
      <c r="FZ190" s="189" t="str">
        <f t="shared" si="551"/>
        <v/>
      </c>
      <c r="GA190" s="189" t="str">
        <f t="shared" si="552"/>
        <v/>
      </c>
      <c r="GB190" s="189" t="str">
        <f t="shared" si="520"/>
        <v/>
      </c>
      <c r="GC190" s="206" t="str">
        <f t="shared" si="553"/>
        <v/>
      </c>
      <c r="GD190" s="205" t="str">
        <f t="shared" si="521"/>
        <v/>
      </c>
      <c r="GE190" s="189" t="str">
        <f t="shared" si="554"/>
        <v/>
      </c>
      <c r="GF190" s="189" t="str">
        <f t="shared" si="555"/>
        <v/>
      </c>
      <c r="GG190" s="189" t="str">
        <f t="shared" si="556"/>
        <v/>
      </c>
      <c r="GH190" s="189" t="str">
        <f t="shared" si="557"/>
        <v/>
      </c>
      <c r="GI190" s="189" t="str">
        <f t="shared" si="522"/>
        <v/>
      </c>
      <c r="GJ190" s="206" t="str">
        <f t="shared" si="558"/>
        <v/>
      </c>
      <c r="GK190" s="205" t="str">
        <f t="shared" si="523"/>
        <v/>
      </c>
      <c r="GL190" s="189" t="str">
        <f t="shared" si="559"/>
        <v/>
      </c>
      <c r="GM190" s="189" t="str">
        <f t="shared" si="560"/>
        <v/>
      </c>
      <c r="GN190" s="189" t="str">
        <f t="shared" si="561"/>
        <v/>
      </c>
      <c r="GO190" s="189" t="str">
        <f t="shared" si="562"/>
        <v/>
      </c>
      <c r="GP190" s="189" t="str">
        <f t="shared" si="524"/>
        <v/>
      </c>
      <c r="GQ190" s="206" t="str">
        <f t="shared" si="563"/>
        <v/>
      </c>
      <c r="GR190" s="189" t="str">
        <f t="shared" si="525"/>
        <v/>
      </c>
      <c r="GS190" s="189" t="str">
        <f t="shared" si="526"/>
        <v/>
      </c>
      <c r="GT190" s="207" t="str">
        <f t="shared" si="527"/>
        <v xml:space="preserve">    </v>
      </c>
      <c r="GU190" s="207" t="str">
        <f t="shared" si="528"/>
        <v xml:space="preserve">    </v>
      </c>
      <c r="GV190" s="207" t="str">
        <f t="shared" si="529"/>
        <v xml:space="preserve">    </v>
      </c>
      <c r="GW190" s="207" t="str">
        <f t="shared" si="530"/>
        <v xml:space="preserve">       </v>
      </c>
      <c r="GX190" s="598" t="str">
        <f t="shared" si="531"/>
        <v xml:space="preserve">     </v>
      </c>
      <c r="GY190" s="208" t="str">
        <f t="shared" si="564"/>
        <v/>
      </c>
      <c r="GZ190" s="606" t="str">
        <f>IF(AND(Q190="",AE190="",AZ190="",BW190="",CT190=""),"",IF(AND('Master Sheet'!$D$19="YES",'Marks Entry'!$BA$1=1),SUM(Q190,AE190,AZ190,BW190,DT190),SUM(Q190,AE190,AZ190,BW190,CT190)))</f>
        <v/>
      </c>
      <c r="HA190" s="209" t="str">
        <f>IF(GZ190="","",IF(AND('Master Sheet'!$D$19="YES",'Marks Entry'!$BA$1=1),GZ190/((900)-DC190)*100,GZ190/((1000)-DC190)*100))</f>
        <v/>
      </c>
      <c r="HB190" s="611" t="str">
        <f t="shared" si="532"/>
        <v/>
      </c>
      <c r="HC190" s="609" t="str">
        <f t="shared" si="533"/>
        <v/>
      </c>
      <c r="HD190" s="610" t="str">
        <f t="shared" si="534"/>
        <v/>
      </c>
      <c r="HE190" s="210" t="str">
        <f>IFERROR(IF(OR(GY190="SUPPLEMENTARY",GY190="RE-EXAM"),'Supp. Result Entry'!AS189,""),"")</f>
        <v/>
      </c>
      <c r="HF190" s="613" t="str">
        <f t="shared" si="535"/>
        <v/>
      </c>
      <c r="HG190" s="598" t="str">
        <f t="shared" si="536"/>
        <v/>
      </c>
      <c r="HH190" s="598" t="str">
        <f>IF(AND(HE190="",HF190="",HG190=""),"",IF(OR(GY190="SUPPLEMENTARY",GY190="RE-EXAM"),'Supp. Result Entry'!AS189,GY190))</f>
        <v/>
      </c>
      <c r="HI190" s="180"/>
      <c r="HY190" s="212" t="str">
        <f>IF('Supp. Result Entry'!U189="","",'Supp. Result Entry'!$U$6)</f>
        <v/>
      </c>
      <c r="HZ190" s="213" t="str">
        <f>IF('Supp. Result Entry'!X189="","",'Supp. Result Entry'!$X$6)</f>
        <v/>
      </c>
      <c r="IA190" s="213" t="str">
        <f>IF('Supp. Result Entry'!AA189="","",'Supp. Result Entry'!$AA$6)</f>
        <v/>
      </c>
      <c r="IB190" s="213" t="str">
        <f>IF('Supp. Result Entry'!AD189="","",'Supp. Result Entry'!$AD$6)</f>
        <v/>
      </c>
      <c r="IC190" s="213" t="str">
        <f>IF('Supp. Result Entry'!AG189="","",'Supp. Result Entry'!$AG$6)</f>
        <v/>
      </c>
      <c r="ID190" s="213" t="str">
        <f>IF('Supp. Result Entry'!AJ189="","",'Supp. Result Entry'!$AJ$6)</f>
        <v/>
      </c>
      <c r="IE190" s="213" t="str">
        <f>IF('Supp. Result Entry'!V189="","",'Supp. Result Entry'!V189)</f>
        <v/>
      </c>
      <c r="IF190" s="213" t="str">
        <f>IF('Supp. Result Entry'!Y189="","",'Supp. Result Entry'!Y189)</f>
        <v/>
      </c>
      <c r="IG190" s="213" t="str">
        <f>IF('Supp. Result Entry'!AB189="","",'Supp. Result Entry'!AB189)</f>
        <v/>
      </c>
      <c r="IH190" s="213" t="str">
        <f>IF('Supp. Result Entry'!AE189="","",'Supp. Result Entry'!AE189)</f>
        <v/>
      </c>
      <c r="II190" s="213" t="str">
        <f>IF('Supp. Result Entry'!AH189="","",'Supp. Result Entry'!AH189)</f>
        <v/>
      </c>
      <c r="IJ190" s="213" t="str">
        <f>IF('Supp. Result Entry'!AK189="","",'Supp. Result Entry'!AK189)</f>
        <v/>
      </c>
      <c r="IK190" s="213" t="str">
        <f>IF('Supp. Result Entry'!W189="","",'Supp. Result Entry'!W189)</f>
        <v/>
      </c>
      <c r="IL190" s="213" t="str">
        <f>IF('Supp. Result Entry'!Z189="","",'Supp. Result Entry'!Z189)</f>
        <v/>
      </c>
      <c r="IM190" s="213" t="str">
        <f>IF('Supp. Result Entry'!AC189="","",'Supp. Result Entry'!AC189)</f>
        <v/>
      </c>
      <c r="IN190" s="213" t="str">
        <f>IF('Supp. Result Entry'!AF189="","",'Supp. Result Entry'!AF189)</f>
        <v/>
      </c>
      <c r="IO190" s="213" t="str">
        <f>IF('Supp. Result Entry'!AI189="","",'Supp. Result Entry'!AI189)</f>
        <v/>
      </c>
      <c r="IP190" s="213" t="str">
        <f>IF('Supp. Result Entry'!AL189="","",'Supp. Result Entry'!AL189)</f>
        <v/>
      </c>
      <c r="IQ190" s="213">
        <f>COUNTIF('Supp. Result Entry'!K189:Q189,"S")</f>
        <v>0</v>
      </c>
      <c r="IR190" s="213">
        <f t="shared" si="537"/>
        <v>0</v>
      </c>
      <c r="IS190" s="213">
        <f t="shared" si="538"/>
        <v>0</v>
      </c>
      <c r="IT190" s="213" t="str">
        <f t="shared" si="406"/>
        <v/>
      </c>
      <c r="IU190" s="213" t="str">
        <f t="shared" si="407"/>
        <v/>
      </c>
      <c r="IV190" s="213" t="str">
        <f t="shared" si="408"/>
        <v/>
      </c>
      <c r="IW190" s="213" t="str">
        <f t="shared" si="409"/>
        <v/>
      </c>
      <c r="IX190" s="213" t="str">
        <f t="shared" si="410"/>
        <v/>
      </c>
      <c r="IY190" s="213" t="str">
        <f t="shared" si="539"/>
        <v/>
      </c>
      <c r="IZ190" s="213" t="str">
        <f t="shared" si="540"/>
        <v/>
      </c>
      <c r="JA190" s="213" t="str">
        <f t="shared" si="411"/>
        <v/>
      </c>
      <c r="JB190" s="211" t="str">
        <f t="shared" si="541"/>
        <v/>
      </c>
    </row>
    <row r="191" spans="1:262" s="211" customFormat="1" ht="21" customHeight="1">
      <c r="A191" s="184">
        <v>184</v>
      </c>
      <c r="B191" s="185" t="str">
        <f>IF('Marks Entry'!B191="","",'Marks Entry'!B191)</f>
        <v/>
      </c>
      <c r="C191" s="186" t="str">
        <f>IF('Marks Entry'!D191="","",'Marks Entry'!D191)</f>
        <v/>
      </c>
      <c r="D191" s="187" t="str">
        <f>IF('Marks Entry'!E191="","",'Marks Entry'!E191)</f>
        <v/>
      </c>
      <c r="E191" s="188" t="str">
        <f>IF('Marks Entry'!F191="","",'Marks Entry'!F191)</f>
        <v/>
      </c>
      <c r="F191" s="188" t="str">
        <f>IF('Marks Entry'!G191="","",'Marks Entry'!G191)</f>
        <v/>
      </c>
      <c r="G191" s="188" t="str">
        <f>IF('Marks Entry'!H191="","",'Marks Entry'!H191)</f>
        <v/>
      </c>
      <c r="H191" s="189" t="str">
        <f>IF('Marks Entry'!I191="","",'Marks Entry'!I191)</f>
        <v/>
      </c>
      <c r="I191" s="190" t="str">
        <f>IF('Marks Entry'!J191="","",'Marks Entry'!J191)</f>
        <v/>
      </c>
      <c r="J191" s="545" t="str">
        <f>IF('Marks Entry'!K191="","",'Marks Entry'!K191)</f>
        <v/>
      </c>
      <c r="K191" s="545" t="str">
        <f>IF('Marks Entry'!L191="","",'Marks Entry'!L191)</f>
        <v/>
      </c>
      <c r="L191" s="545" t="str">
        <f>IF('Marks Entry'!M191="","",'Marks Entry'!M191)</f>
        <v/>
      </c>
      <c r="M191" s="546" t="str">
        <f t="shared" si="412"/>
        <v/>
      </c>
      <c r="N191" s="545" t="str">
        <f>IF('Marks Entry'!N191="","",'Marks Entry'!N191)</f>
        <v/>
      </c>
      <c r="O191" s="546" t="str">
        <f t="shared" si="413"/>
        <v/>
      </c>
      <c r="P191" s="545" t="str">
        <f>IF('Marks Entry'!O191="","",'Marks Entry'!O191)</f>
        <v/>
      </c>
      <c r="Q191" s="547" t="str">
        <f t="shared" si="414"/>
        <v/>
      </c>
      <c r="R191" s="153">
        <f t="shared" si="415"/>
        <v>0</v>
      </c>
      <c r="S191" s="153">
        <f t="shared" si="416"/>
        <v>0</v>
      </c>
      <c r="T191" s="154" t="str">
        <f t="shared" si="417"/>
        <v/>
      </c>
      <c r="U191" s="153" t="str">
        <f t="shared" si="418"/>
        <v/>
      </c>
      <c r="V191" s="153" t="str">
        <f t="shared" si="419"/>
        <v/>
      </c>
      <c r="W191" s="153" t="str">
        <f t="shared" si="420"/>
        <v/>
      </c>
      <c r="X191" s="545" t="str">
        <f>IF('Marks Entry'!P191="","",'Marks Entry'!P191)</f>
        <v/>
      </c>
      <c r="Y191" s="545" t="str">
        <f>IF('Marks Entry'!Q191="","",'Marks Entry'!Q191)</f>
        <v/>
      </c>
      <c r="Z191" s="545" t="str">
        <f>IF('Marks Entry'!R191="","",'Marks Entry'!R191)</f>
        <v/>
      </c>
      <c r="AA191" s="546" t="str">
        <f t="shared" si="421"/>
        <v/>
      </c>
      <c r="AB191" s="545" t="str">
        <f>IF('Marks Entry'!S191="","",'Marks Entry'!S191)</f>
        <v/>
      </c>
      <c r="AC191" s="546" t="str">
        <f t="shared" si="422"/>
        <v/>
      </c>
      <c r="AD191" s="545" t="str">
        <f>IF('Marks Entry'!T191="","",'Marks Entry'!T191)</f>
        <v/>
      </c>
      <c r="AE191" s="547" t="str">
        <f t="shared" si="423"/>
        <v/>
      </c>
      <c r="AF191" s="153">
        <f t="shared" si="424"/>
        <v>0</v>
      </c>
      <c r="AG191" s="153">
        <f t="shared" si="425"/>
        <v>0</v>
      </c>
      <c r="AH191" s="154" t="str">
        <f t="shared" si="426"/>
        <v/>
      </c>
      <c r="AI191" s="153" t="str">
        <f t="shared" si="427"/>
        <v/>
      </c>
      <c r="AJ191" s="153" t="str">
        <f t="shared" si="428"/>
        <v/>
      </c>
      <c r="AK191" s="153" t="str">
        <f t="shared" si="429"/>
        <v/>
      </c>
      <c r="AL191" s="573" t="str">
        <f>IF('Marks Entry'!U191="","",'Marks Entry'!U191)</f>
        <v/>
      </c>
      <c r="AM191" s="573" t="str">
        <f>IF('Marks Entry'!V191="","",'Marks Entry'!V191)</f>
        <v/>
      </c>
      <c r="AN191" s="573" t="str">
        <f>IF('Marks Entry'!W191="","",'Marks Entry'!W191)</f>
        <v/>
      </c>
      <c r="AO191" s="573" t="str">
        <f>IF('Marks Entry'!X191="","",'Marks Entry'!X191)</f>
        <v/>
      </c>
      <c r="AP191" s="572" t="str">
        <f t="shared" si="430"/>
        <v/>
      </c>
      <c r="AQ191" s="573" t="str">
        <f>IF('Marks Entry'!Y191="","",'Marks Entry'!Y191)</f>
        <v/>
      </c>
      <c r="AR191" s="573" t="str">
        <f>IF('Marks Entry'!Z191="","",'Marks Entry'!Z191)</f>
        <v/>
      </c>
      <c r="AS191" s="572" t="str">
        <f t="shared" si="431"/>
        <v/>
      </c>
      <c r="AT191" s="572" t="str">
        <f t="shared" si="432"/>
        <v/>
      </c>
      <c r="AU191" s="573" t="str">
        <f>IF('Marks Entry'!AA191="","",'Marks Entry'!AA191)</f>
        <v/>
      </c>
      <c r="AV191" s="573" t="str">
        <f>IF('Marks Entry'!AB191="","",'Marks Entry'!AB191)</f>
        <v/>
      </c>
      <c r="AW191" s="572" t="str">
        <f t="shared" si="433"/>
        <v/>
      </c>
      <c r="AX191" s="157" t="str">
        <f t="shared" si="434"/>
        <v/>
      </c>
      <c r="AY191" s="157" t="str">
        <f t="shared" si="435"/>
        <v/>
      </c>
      <c r="AZ191" s="192" t="str">
        <f t="shared" si="436"/>
        <v/>
      </c>
      <c r="BA191" s="153">
        <f t="shared" si="437"/>
        <v>0</v>
      </c>
      <c r="BB191" s="154">
        <f t="shared" si="438"/>
        <v>0</v>
      </c>
      <c r="BC191" s="154" t="str">
        <f t="shared" si="439"/>
        <v/>
      </c>
      <c r="BD191" s="154" t="str">
        <f t="shared" si="440"/>
        <v/>
      </c>
      <c r="BE191" s="154" t="str">
        <f t="shared" si="441"/>
        <v/>
      </c>
      <c r="BF191" s="153" t="str">
        <f t="shared" si="442"/>
        <v/>
      </c>
      <c r="BG191" s="154" t="str">
        <f t="shared" si="443"/>
        <v/>
      </c>
      <c r="BH191" s="153" t="str">
        <f t="shared" si="444"/>
        <v/>
      </c>
      <c r="BI191" s="580" t="str">
        <f>IF('Marks Entry'!AC191="","",'Marks Entry'!AC191)</f>
        <v/>
      </c>
      <c r="BJ191" s="580" t="str">
        <f>IF('Marks Entry'!AD191="","",'Marks Entry'!AD191)</f>
        <v/>
      </c>
      <c r="BK191" s="580" t="str">
        <f>IF('Marks Entry'!AE191="","",'Marks Entry'!AE191)</f>
        <v/>
      </c>
      <c r="BL191" s="580" t="str">
        <f>IF('Marks Entry'!AF191="","",'Marks Entry'!AF191)</f>
        <v/>
      </c>
      <c r="BM191" s="581" t="str">
        <f t="shared" si="445"/>
        <v/>
      </c>
      <c r="BN191" s="580" t="str">
        <f>IF('Marks Entry'!AG191="","",'Marks Entry'!AG191)</f>
        <v/>
      </c>
      <c r="BO191" s="580" t="str">
        <f>IF('Marks Entry'!AH191="","",'Marks Entry'!AH191)</f>
        <v/>
      </c>
      <c r="BP191" s="581" t="str">
        <f t="shared" si="446"/>
        <v/>
      </c>
      <c r="BQ191" s="581" t="str">
        <f t="shared" si="447"/>
        <v/>
      </c>
      <c r="BR191" s="580" t="str">
        <f>IF('Marks Entry'!AI191="","",'Marks Entry'!AI191)</f>
        <v/>
      </c>
      <c r="BS191" s="580" t="str">
        <f>IF('Marks Entry'!AJ191="","",'Marks Entry'!AJ191)</f>
        <v/>
      </c>
      <c r="BT191" s="581" t="str">
        <f t="shared" si="448"/>
        <v/>
      </c>
      <c r="BU191" s="157" t="str">
        <f t="shared" si="449"/>
        <v/>
      </c>
      <c r="BV191" s="157" t="str">
        <f t="shared" si="450"/>
        <v/>
      </c>
      <c r="BW191" s="192" t="str">
        <f t="shared" si="451"/>
        <v/>
      </c>
      <c r="BX191" s="153">
        <f t="shared" si="452"/>
        <v>0</v>
      </c>
      <c r="BY191" s="154">
        <f t="shared" si="453"/>
        <v>0</v>
      </c>
      <c r="BZ191" s="154" t="str">
        <f t="shared" si="454"/>
        <v/>
      </c>
      <c r="CA191" s="154" t="str">
        <f t="shared" si="455"/>
        <v/>
      </c>
      <c r="CB191" s="154" t="str">
        <f t="shared" si="456"/>
        <v/>
      </c>
      <c r="CC191" s="153" t="str">
        <f t="shared" si="457"/>
        <v/>
      </c>
      <c r="CD191" s="154" t="str">
        <f t="shared" si="458"/>
        <v/>
      </c>
      <c r="CE191" s="153" t="str">
        <f t="shared" si="459"/>
        <v/>
      </c>
      <c r="CF191" s="580" t="str">
        <f>IF('Marks Entry'!AK191="","",'Marks Entry'!AK191)</f>
        <v/>
      </c>
      <c r="CG191" s="580" t="str">
        <f>IF('Marks Entry'!AL191="","",'Marks Entry'!AL191)</f>
        <v/>
      </c>
      <c r="CH191" s="580" t="str">
        <f>IF('Marks Entry'!AM191="","",'Marks Entry'!AM191)</f>
        <v/>
      </c>
      <c r="CI191" s="580" t="str">
        <f>IF('Marks Entry'!AN191="","",'Marks Entry'!AN191)</f>
        <v/>
      </c>
      <c r="CJ191" s="581" t="str">
        <f t="shared" si="460"/>
        <v/>
      </c>
      <c r="CK191" s="580" t="str">
        <f>IF('Marks Entry'!AO191="","",'Marks Entry'!AO191)</f>
        <v/>
      </c>
      <c r="CL191" s="580" t="str">
        <f>IF('Marks Entry'!AP191="","",'Marks Entry'!AP191)</f>
        <v/>
      </c>
      <c r="CM191" s="581" t="str">
        <f t="shared" si="461"/>
        <v/>
      </c>
      <c r="CN191" s="581" t="str">
        <f t="shared" si="462"/>
        <v/>
      </c>
      <c r="CO191" s="580" t="str">
        <f>IF('Marks Entry'!AQ191="","",'Marks Entry'!AQ191)</f>
        <v/>
      </c>
      <c r="CP191" s="580" t="str">
        <f>IF('Marks Entry'!AR191="","",'Marks Entry'!AR191)</f>
        <v/>
      </c>
      <c r="CQ191" s="581" t="str">
        <f t="shared" si="463"/>
        <v/>
      </c>
      <c r="CR191" s="157" t="str">
        <f t="shared" si="464"/>
        <v/>
      </c>
      <c r="CS191" s="157" t="str">
        <f t="shared" si="465"/>
        <v/>
      </c>
      <c r="CT191" s="192" t="str">
        <f t="shared" si="466"/>
        <v/>
      </c>
      <c r="CU191" s="153">
        <f t="shared" si="467"/>
        <v>0</v>
      </c>
      <c r="CV191" s="154">
        <f t="shared" si="468"/>
        <v>0</v>
      </c>
      <c r="CW191" s="154" t="str">
        <f t="shared" si="469"/>
        <v/>
      </c>
      <c r="CX191" s="154" t="str">
        <f t="shared" si="470"/>
        <v/>
      </c>
      <c r="CY191" s="154" t="str">
        <f t="shared" si="471"/>
        <v/>
      </c>
      <c r="CZ191" s="153" t="str">
        <f t="shared" si="472"/>
        <v/>
      </c>
      <c r="DA191" s="154" t="str">
        <f t="shared" si="473"/>
        <v/>
      </c>
      <c r="DB191" s="153" t="str">
        <f t="shared" si="474"/>
        <v/>
      </c>
      <c r="DC191" s="154">
        <f t="shared" si="475"/>
        <v>0</v>
      </c>
      <c r="DD191" s="826" t="str">
        <f>IF('Marks Entry'!AS191="","",IF(OR('Master Sheet'!$D$19="YES",'Marks Entry'!$BA$1=1),'Marks Entry'!AS191,""))</f>
        <v/>
      </c>
      <c r="DE191" s="826" t="str">
        <f>IF('Marks Entry'!AT191="","",IF(OR('Master Sheet'!$D$19="YES",'Marks Entry'!$BA$1=1),'Marks Entry'!AT191,""))</f>
        <v/>
      </c>
      <c r="DF191" s="826" t="str">
        <f>IF('Marks Entry'!AU191="","",IF(OR('Master Sheet'!$D$19="YES",'Marks Entry'!$BA$1=1),'Marks Entry'!AU191,""))</f>
        <v/>
      </c>
      <c r="DG191" s="826" t="str">
        <f>IF('Marks Entry'!AV191="","",IF(OR('Master Sheet'!$D$19="YES",'Marks Entry'!$BA$1=1),'Marks Entry'!AV191,""))</f>
        <v/>
      </c>
      <c r="DH191" s="827" t="str">
        <f t="shared" si="476"/>
        <v/>
      </c>
      <c r="DI191" s="826" t="str">
        <f>IF('Marks Entry'!AW191="","",IF(OR('Master Sheet'!$D$19="YES",'Marks Entry'!$BA$1=1),'Marks Entry'!AW191,""))</f>
        <v/>
      </c>
      <c r="DJ191" s="826" t="str">
        <f>IF('Marks Entry'!AX191="","",IF(OR('Master Sheet'!$D$19="YES",'Marks Entry'!$BA$1=1),'Marks Entry'!AX191,""))</f>
        <v/>
      </c>
      <c r="DK191" s="827" t="str">
        <f t="shared" si="477"/>
        <v/>
      </c>
      <c r="DL191" s="827" t="str">
        <f t="shared" si="478"/>
        <v/>
      </c>
      <c r="DM191" s="826" t="str">
        <f>IF('Marks Entry'!AY191="","",IF(OR('Master Sheet'!$D$19="YES",'Marks Entry'!$BA$1=1),'Marks Entry'!AY191,""))</f>
        <v/>
      </c>
      <c r="DN191" s="826" t="str">
        <f>IF('Marks Entry'!AZ191="","",IF(OR('Master Sheet'!$D$19="YES",'Marks Entry'!$BA$1=1),'Marks Entry'!AZ191,""))</f>
        <v/>
      </c>
      <c r="DO191" s="826" t="str">
        <f>IF('Marks Entry'!BA191="","",IF(OR('Master Sheet'!$D$19="YES",'Marks Entry'!$BA$1=1),'Marks Entry'!BA191,""))</f>
        <v/>
      </c>
      <c r="DP191" s="827" t="str">
        <f t="shared" si="479"/>
        <v/>
      </c>
      <c r="DQ191" s="157" t="str">
        <f t="shared" si="480"/>
        <v/>
      </c>
      <c r="DR191" s="157" t="str">
        <f t="shared" si="481"/>
        <v/>
      </c>
      <c r="DS191" s="157" t="str">
        <f t="shared" si="482"/>
        <v/>
      </c>
      <c r="DT191" s="192" t="str">
        <f t="shared" si="483"/>
        <v/>
      </c>
      <c r="DU191" s="153">
        <f t="shared" si="484"/>
        <v>0</v>
      </c>
      <c r="DV191" s="154" t="e">
        <f t="shared" si="485"/>
        <v>#VALUE!</v>
      </c>
      <c r="DW191" s="154" t="str">
        <f t="shared" si="486"/>
        <v/>
      </c>
      <c r="DX191" s="154" t="str">
        <f>IF(OR($B191="NSO",$B191=0,DS191=""),"",IF(AND(DJ191="",DO191=""),"",IF('Master Sheet'!$D$19="YES",$DO$6-COUNTIF(DO191,"ML")*DO$6,DS$6-(COUNTIF(DJ191,"ML")*DJ$6)-(COUNTIF(DO191,"ML")*DO$6))))</f>
        <v/>
      </c>
      <c r="DY191" s="154" t="str">
        <f>IF(OR($B191="NSO",$B191=0),"",IF(AND(DH191="",DI191="",DM191=""),"",IF(AND('Master Sheet'!$D$19="YES",'Marks Entry'!$BA$1=1),100,IF(AND(DJ191="",DO191=""),SUM(($DQ$7+$DR$7)-(DU191+DV191)),SUM(($DQ$6+$DR$6)-(DU191+DV191))))))</f>
        <v/>
      </c>
      <c r="DZ191" s="153" t="str">
        <f t="shared" si="487"/>
        <v/>
      </c>
      <c r="EA191" s="154" t="str">
        <f t="shared" si="488"/>
        <v/>
      </c>
      <c r="EB191" s="153" t="str">
        <f t="shared" si="489"/>
        <v/>
      </c>
      <c r="EC191" s="584" t="str">
        <f>IF('Marks Entry'!BB191="","",'Marks Entry'!BB191)</f>
        <v/>
      </c>
      <c r="ED191" s="584" t="str">
        <f>IF('Marks Entry'!BC191="","",'Marks Entry'!BC191)</f>
        <v/>
      </c>
      <c r="EE191" s="584" t="str">
        <f>IF('Marks Entry'!BD191="","",'Marks Entry'!BD191)</f>
        <v/>
      </c>
      <c r="EF191" s="590" t="str">
        <f t="shared" si="490"/>
        <v/>
      </c>
      <c r="EG191" s="595">
        <f t="shared" si="491"/>
        <v>0</v>
      </c>
      <c r="EH191" s="595">
        <f t="shared" si="492"/>
        <v>0</v>
      </c>
      <c r="EI191" s="193" t="str">
        <f t="shared" si="493"/>
        <v/>
      </c>
      <c r="EJ191" s="595" t="str">
        <f t="shared" si="494"/>
        <v/>
      </c>
      <c r="EK191" s="595" t="str">
        <f t="shared" si="495"/>
        <v/>
      </c>
      <c r="EL191" s="194" t="str">
        <f t="shared" si="496"/>
        <v/>
      </c>
      <c r="EM191" s="194" t="str">
        <f t="shared" si="497"/>
        <v/>
      </c>
      <c r="EN191" s="194" t="str">
        <f t="shared" si="498"/>
        <v/>
      </c>
      <c r="EO191" s="194" t="str">
        <f t="shared" si="499"/>
        <v/>
      </c>
      <c r="EP191" s="194" t="str">
        <f t="shared" si="500"/>
        <v/>
      </c>
      <c r="EQ191" s="194" t="str">
        <f t="shared" si="501"/>
        <v/>
      </c>
      <c r="ER191" s="195">
        <f t="shared" si="502"/>
        <v>0</v>
      </c>
      <c r="ES191" s="195">
        <f t="shared" si="503"/>
        <v>0</v>
      </c>
      <c r="ET191" s="195">
        <f t="shared" si="504"/>
        <v>0</v>
      </c>
      <c r="EU191" s="195">
        <f t="shared" si="505"/>
        <v>0</v>
      </c>
      <c r="EV191" s="195">
        <f t="shared" si="506"/>
        <v>0</v>
      </c>
      <c r="EW191" s="195" t="str">
        <f t="shared" si="507"/>
        <v/>
      </c>
      <c r="EX191" s="196" t="str">
        <f t="shared" si="508"/>
        <v/>
      </c>
      <c r="EY191" s="197" t="str">
        <f>IF('Marks Entry'!BE191="","",'Marks Entry'!BE191)</f>
        <v/>
      </c>
      <c r="EZ191" s="197" t="str">
        <f>IF('Marks Entry'!BF191="","",'Marks Entry'!BF191)</f>
        <v/>
      </c>
      <c r="FA191" s="197" t="str">
        <f>IF('Marks Entry'!BG191="","",'Marks Entry'!BG191)</f>
        <v/>
      </c>
      <c r="FB191" s="596" t="str">
        <f t="shared" si="509"/>
        <v/>
      </c>
      <c r="FC191" s="197" t="str">
        <f>IF('Marks Entry'!BH191="","",'Marks Entry'!BH191)</f>
        <v/>
      </c>
      <c r="FD191" s="197" t="str">
        <f>IF('Marks Entry'!BI191="","",'Marks Entry'!BI191)</f>
        <v/>
      </c>
      <c r="FE191" s="198" t="str">
        <f t="shared" si="510"/>
        <v/>
      </c>
      <c r="FF191" s="199" t="str">
        <f t="shared" si="511"/>
        <v/>
      </c>
      <c r="FG191" s="200" t="str">
        <f>IF(AND(E191=""),"",IF('Student DATA Entry'!L187="","",'Student DATA Entry'!L187))</f>
        <v/>
      </c>
      <c r="FH191" s="201" t="str">
        <f>IF(AND(E191=""),"",IF('Student DATA Entry'!M187="","",'Student DATA Entry'!M187))</f>
        <v/>
      </c>
      <c r="FI191" s="202" t="str">
        <f t="shared" si="512"/>
        <v/>
      </c>
      <c r="FJ191" s="189" t="str">
        <f t="shared" si="513"/>
        <v/>
      </c>
      <c r="FK191" s="189" t="str">
        <f t="shared" si="514"/>
        <v/>
      </c>
      <c r="FL191" s="203" t="str">
        <f t="shared" si="542"/>
        <v/>
      </c>
      <c r="FM191" s="189" t="str">
        <f t="shared" si="515"/>
        <v/>
      </c>
      <c r="FN191" s="204" t="str">
        <f t="shared" si="516"/>
        <v/>
      </c>
      <c r="FO191" s="203" t="str">
        <f t="shared" si="543"/>
        <v/>
      </c>
      <c r="FP191" s="205" t="str">
        <f t="shared" si="517"/>
        <v/>
      </c>
      <c r="FQ191" s="189" t="str">
        <f t="shared" si="544"/>
        <v/>
      </c>
      <c r="FR191" s="189" t="str">
        <f t="shared" si="545"/>
        <v/>
      </c>
      <c r="FS191" s="189" t="str">
        <f t="shared" si="546"/>
        <v/>
      </c>
      <c r="FT191" s="189" t="str">
        <f t="shared" si="547"/>
        <v/>
      </c>
      <c r="FU191" s="189" t="str">
        <f t="shared" si="518"/>
        <v/>
      </c>
      <c r="FV191" s="206" t="str">
        <f t="shared" si="548"/>
        <v/>
      </c>
      <c r="FW191" s="205" t="str">
        <f t="shared" si="519"/>
        <v/>
      </c>
      <c r="FX191" s="189" t="str">
        <f t="shared" si="549"/>
        <v/>
      </c>
      <c r="FY191" s="189" t="str">
        <f t="shared" si="550"/>
        <v/>
      </c>
      <c r="FZ191" s="189" t="str">
        <f t="shared" si="551"/>
        <v/>
      </c>
      <c r="GA191" s="189" t="str">
        <f t="shared" si="552"/>
        <v/>
      </c>
      <c r="GB191" s="189" t="str">
        <f t="shared" si="520"/>
        <v/>
      </c>
      <c r="GC191" s="206" t="str">
        <f t="shared" si="553"/>
        <v/>
      </c>
      <c r="GD191" s="205" t="str">
        <f t="shared" si="521"/>
        <v/>
      </c>
      <c r="GE191" s="189" t="str">
        <f t="shared" si="554"/>
        <v/>
      </c>
      <c r="GF191" s="189" t="str">
        <f t="shared" si="555"/>
        <v/>
      </c>
      <c r="GG191" s="189" t="str">
        <f t="shared" si="556"/>
        <v/>
      </c>
      <c r="GH191" s="189" t="str">
        <f t="shared" si="557"/>
        <v/>
      </c>
      <c r="GI191" s="189" t="str">
        <f t="shared" si="522"/>
        <v/>
      </c>
      <c r="GJ191" s="206" t="str">
        <f t="shared" si="558"/>
        <v/>
      </c>
      <c r="GK191" s="205" t="str">
        <f t="shared" si="523"/>
        <v/>
      </c>
      <c r="GL191" s="189" t="str">
        <f t="shared" si="559"/>
        <v/>
      </c>
      <c r="GM191" s="189" t="str">
        <f t="shared" si="560"/>
        <v/>
      </c>
      <c r="GN191" s="189" t="str">
        <f t="shared" si="561"/>
        <v/>
      </c>
      <c r="GO191" s="189" t="str">
        <f t="shared" si="562"/>
        <v/>
      </c>
      <c r="GP191" s="189" t="str">
        <f t="shared" si="524"/>
        <v/>
      </c>
      <c r="GQ191" s="206" t="str">
        <f t="shared" si="563"/>
        <v/>
      </c>
      <c r="GR191" s="189" t="str">
        <f t="shared" si="525"/>
        <v/>
      </c>
      <c r="GS191" s="189" t="str">
        <f t="shared" si="526"/>
        <v/>
      </c>
      <c r="GT191" s="207" t="str">
        <f t="shared" si="527"/>
        <v xml:space="preserve">    </v>
      </c>
      <c r="GU191" s="207" t="str">
        <f t="shared" si="528"/>
        <v xml:space="preserve">    </v>
      </c>
      <c r="GV191" s="207" t="str">
        <f t="shared" si="529"/>
        <v xml:space="preserve">    </v>
      </c>
      <c r="GW191" s="207" t="str">
        <f t="shared" si="530"/>
        <v xml:space="preserve">       </v>
      </c>
      <c r="GX191" s="598" t="str">
        <f t="shared" si="531"/>
        <v xml:space="preserve">     </v>
      </c>
      <c r="GY191" s="208" t="str">
        <f t="shared" si="564"/>
        <v/>
      </c>
      <c r="GZ191" s="606" t="str">
        <f>IF(AND(Q191="",AE191="",AZ191="",BW191="",CT191=""),"",IF(AND('Master Sheet'!$D$19="YES",'Marks Entry'!$BA$1=1),SUM(Q191,AE191,AZ191,BW191,DT191),SUM(Q191,AE191,AZ191,BW191,CT191)))</f>
        <v/>
      </c>
      <c r="HA191" s="209" t="str">
        <f>IF(GZ191="","",IF(AND('Master Sheet'!$D$19="YES",'Marks Entry'!$BA$1=1),GZ191/((900)-DC191)*100,GZ191/((1000)-DC191)*100))</f>
        <v/>
      </c>
      <c r="HB191" s="611" t="str">
        <f t="shared" si="532"/>
        <v/>
      </c>
      <c r="HC191" s="609" t="str">
        <f t="shared" si="533"/>
        <v/>
      </c>
      <c r="HD191" s="610" t="str">
        <f t="shared" si="534"/>
        <v/>
      </c>
      <c r="HE191" s="210" t="str">
        <f>IFERROR(IF(OR(GY191="SUPPLEMENTARY",GY191="RE-EXAM"),'Supp. Result Entry'!AS190,""),"")</f>
        <v/>
      </c>
      <c r="HF191" s="613" t="str">
        <f t="shared" si="535"/>
        <v/>
      </c>
      <c r="HG191" s="598" t="str">
        <f t="shared" si="536"/>
        <v/>
      </c>
      <c r="HH191" s="598" t="str">
        <f>IF(AND(HE191="",HF191="",HG191=""),"",IF(OR(GY191="SUPPLEMENTARY",GY191="RE-EXAM"),'Supp. Result Entry'!AS190,GY191))</f>
        <v/>
      </c>
      <c r="HI191" s="180"/>
      <c r="HY191" s="212" t="str">
        <f>IF('Supp. Result Entry'!U190="","",'Supp. Result Entry'!$U$6)</f>
        <v/>
      </c>
      <c r="HZ191" s="213" t="str">
        <f>IF('Supp. Result Entry'!X190="","",'Supp. Result Entry'!$X$6)</f>
        <v/>
      </c>
      <c r="IA191" s="213" t="str">
        <f>IF('Supp. Result Entry'!AA190="","",'Supp. Result Entry'!$AA$6)</f>
        <v/>
      </c>
      <c r="IB191" s="213" t="str">
        <f>IF('Supp. Result Entry'!AD190="","",'Supp. Result Entry'!$AD$6)</f>
        <v/>
      </c>
      <c r="IC191" s="213" t="str">
        <f>IF('Supp. Result Entry'!AG190="","",'Supp. Result Entry'!$AG$6)</f>
        <v/>
      </c>
      <c r="ID191" s="213" t="str">
        <f>IF('Supp. Result Entry'!AJ190="","",'Supp. Result Entry'!$AJ$6)</f>
        <v/>
      </c>
      <c r="IE191" s="213" t="str">
        <f>IF('Supp. Result Entry'!V190="","",'Supp. Result Entry'!V190)</f>
        <v/>
      </c>
      <c r="IF191" s="213" t="str">
        <f>IF('Supp. Result Entry'!Y190="","",'Supp. Result Entry'!Y190)</f>
        <v/>
      </c>
      <c r="IG191" s="213" t="str">
        <f>IF('Supp. Result Entry'!AB190="","",'Supp. Result Entry'!AB190)</f>
        <v/>
      </c>
      <c r="IH191" s="213" t="str">
        <f>IF('Supp. Result Entry'!AE190="","",'Supp. Result Entry'!AE190)</f>
        <v/>
      </c>
      <c r="II191" s="213" t="str">
        <f>IF('Supp. Result Entry'!AH190="","",'Supp. Result Entry'!AH190)</f>
        <v/>
      </c>
      <c r="IJ191" s="213" t="str">
        <f>IF('Supp. Result Entry'!AK190="","",'Supp. Result Entry'!AK190)</f>
        <v/>
      </c>
      <c r="IK191" s="213" t="str">
        <f>IF('Supp. Result Entry'!W190="","",'Supp. Result Entry'!W190)</f>
        <v/>
      </c>
      <c r="IL191" s="213" t="str">
        <f>IF('Supp. Result Entry'!Z190="","",'Supp. Result Entry'!Z190)</f>
        <v/>
      </c>
      <c r="IM191" s="213" t="str">
        <f>IF('Supp. Result Entry'!AC190="","",'Supp. Result Entry'!AC190)</f>
        <v/>
      </c>
      <c r="IN191" s="213" t="str">
        <f>IF('Supp. Result Entry'!AF190="","",'Supp. Result Entry'!AF190)</f>
        <v/>
      </c>
      <c r="IO191" s="213" t="str">
        <f>IF('Supp. Result Entry'!AI190="","",'Supp. Result Entry'!AI190)</f>
        <v/>
      </c>
      <c r="IP191" s="213" t="str">
        <f>IF('Supp. Result Entry'!AL190="","",'Supp. Result Entry'!AL190)</f>
        <v/>
      </c>
      <c r="IQ191" s="213">
        <f>COUNTIF('Supp. Result Entry'!K190:Q190,"S")</f>
        <v>0</v>
      </c>
      <c r="IR191" s="213">
        <f t="shared" si="537"/>
        <v>0</v>
      </c>
      <c r="IS191" s="213">
        <f t="shared" si="538"/>
        <v>0</v>
      </c>
      <c r="IT191" s="213" t="str">
        <f t="shared" si="406"/>
        <v/>
      </c>
      <c r="IU191" s="213" t="str">
        <f t="shared" si="407"/>
        <v/>
      </c>
      <c r="IV191" s="213" t="str">
        <f t="shared" si="408"/>
        <v/>
      </c>
      <c r="IW191" s="213" t="str">
        <f t="shared" si="409"/>
        <v/>
      </c>
      <c r="IX191" s="213" t="str">
        <f t="shared" si="410"/>
        <v/>
      </c>
      <c r="IY191" s="213" t="str">
        <f t="shared" si="539"/>
        <v/>
      </c>
      <c r="IZ191" s="213" t="str">
        <f t="shared" si="540"/>
        <v/>
      </c>
      <c r="JA191" s="213" t="str">
        <f t="shared" si="411"/>
        <v/>
      </c>
      <c r="JB191" s="211" t="str">
        <f t="shared" si="541"/>
        <v/>
      </c>
    </row>
    <row r="192" spans="1:262" s="211" customFormat="1" ht="21" customHeight="1">
      <c r="A192" s="184">
        <v>185</v>
      </c>
      <c r="B192" s="185" t="str">
        <f>IF('Marks Entry'!B192="","",'Marks Entry'!B192)</f>
        <v/>
      </c>
      <c r="C192" s="186" t="str">
        <f>IF('Marks Entry'!D192="","",'Marks Entry'!D192)</f>
        <v/>
      </c>
      <c r="D192" s="187" t="str">
        <f>IF('Marks Entry'!E192="","",'Marks Entry'!E192)</f>
        <v/>
      </c>
      <c r="E192" s="188" t="str">
        <f>IF('Marks Entry'!F192="","",'Marks Entry'!F192)</f>
        <v/>
      </c>
      <c r="F192" s="188" t="str">
        <f>IF('Marks Entry'!G192="","",'Marks Entry'!G192)</f>
        <v/>
      </c>
      <c r="G192" s="188" t="str">
        <f>IF('Marks Entry'!H192="","",'Marks Entry'!H192)</f>
        <v/>
      </c>
      <c r="H192" s="189" t="str">
        <f>IF('Marks Entry'!I192="","",'Marks Entry'!I192)</f>
        <v/>
      </c>
      <c r="I192" s="190" t="str">
        <f>IF('Marks Entry'!J192="","",'Marks Entry'!J192)</f>
        <v/>
      </c>
      <c r="J192" s="545" t="str">
        <f>IF('Marks Entry'!K192="","",'Marks Entry'!K192)</f>
        <v/>
      </c>
      <c r="K192" s="545" t="str">
        <f>IF('Marks Entry'!L192="","",'Marks Entry'!L192)</f>
        <v/>
      </c>
      <c r="L192" s="545" t="str">
        <f>IF('Marks Entry'!M192="","",'Marks Entry'!M192)</f>
        <v/>
      </c>
      <c r="M192" s="546" t="str">
        <f t="shared" si="412"/>
        <v/>
      </c>
      <c r="N192" s="545" t="str">
        <f>IF('Marks Entry'!N192="","",'Marks Entry'!N192)</f>
        <v/>
      </c>
      <c r="O192" s="546" t="str">
        <f t="shared" si="413"/>
        <v/>
      </c>
      <c r="P192" s="545" t="str">
        <f>IF('Marks Entry'!O192="","",'Marks Entry'!O192)</f>
        <v/>
      </c>
      <c r="Q192" s="547" t="str">
        <f t="shared" si="414"/>
        <v/>
      </c>
      <c r="R192" s="153">
        <f t="shared" si="415"/>
        <v>0</v>
      </c>
      <c r="S192" s="153">
        <f t="shared" si="416"/>
        <v>0</v>
      </c>
      <c r="T192" s="154" t="str">
        <f t="shared" si="417"/>
        <v/>
      </c>
      <c r="U192" s="153" t="str">
        <f t="shared" si="418"/>
        <v/>
      </c>
      <c r="V192" s="153" t="str">
        <f t="shared" si="419"/>
        <v/>
      </c>
      <c r="W192" s="153" t="str">
        <f t="shared" si="420"/>
        <v/>
      </c>
      <c r="X192" s="545" t="str">
        <f>IF('Marks Entry'!P192="","",'Marks Entry'!P192)</f>
        <v/>
      </c>
      <c r="Y192" s="545" t="str">
        <f>IF('Marks Entry'!Q192="","",'Marks Entry'!Q192)</f>
        <v/>
      </c>
      <c r="Z192" s="545" t="str">
        <f>IF('Marks Entry'!R192="","",'Marks Entry'!R192)</f>
        <v/>
      </c>
      <c r="AA192" s="546" t="str">
        <f t="shared" si="421"/>
        <v/>
      </c>
      <c r="AB192" s="545" t="str">
        <f>IF('Marks Entry'!S192="","",'Marks Entry'!S192)</f>
        <v/>
      </c>
      <c r="AC192" s="546" t="str">
        <f t="shared" si="422"/>
        <v/>
      </c>
      <c r="AD192" s="545" t="str">
        <f>IF('Marks Entry'!T192="","",'Marks Entry'!T192)</f>
        <v/>
      </c>
      <c r="AE192" s="547" t="str">
        <f t="shared" si="423"/>
        <v/>
      </c>
      <c r="AF192" s="153">
        <f t="shared" si="424"/>
        <v>0</v>
      </c>
      <c r="AG192" s="153">
        <f t="shared" si="425"/>
        <v>0</v>
      </c>
      <c r="AH192" s="154" t="str">
        <f t="shared" si="426"/>
        <v/>
      </c>
      <c r="AI192" s="153" t="str">
        <f t="shared" si="427"/>
        <v/>
      </c>
      <c r="AJ192" s="153" t="str">
        <f t="shared" si="428"/>
        <v/>
      </c>
      <c r="AK192" s="153" t="str">
        <f t="shared" si="429"/>
        <v/>
      </c>
      <c r="AL192" s="573" t="str">
        <f>IF('Marks Entry'!U192="","",'Marks Entry'!U192)</f>
        <v/>
      </c>
      <c r="AM192" s="573" t="str">
        <f>IF('Marks Entry'!V192="","",'Marks Entry'!V192)</f>
        <v/>
      </c>
      <c r="AN192" s="573" t="str">
        <f>IF('Marks Entry'!W192="","",'Marks Entry'!W192)</f>
        <v/>
      </c>
      <c r="AO192" s="573" t="str">
        <f>IF('Marks Entry'!X192="","",'Marks Entry'!X192)</f>
        <v/>
      </c>
      <c r="AP192" s="572" t="str">
        <f t="shared" si="430"/>
        <v/>
      </c>
      <c r="AQ192" s="573" t="str">
        <f>IF('Marks Entry'!Y192="","",'Marks Entry'!Y192)</f>
        <v/>
      </c>
      <c r="AR192" s="573" t="str">
        <f>IF('Marks Entry'!Z192="","",'Marks Entry'!Z192)</f>
        <v/>
      </c>
      <c r="AS192" s="572" t="str">
        <f t="shared" si="431"/>
        <v/>
      </c>
      <c r="AT192" s="572" t="str">
        <f t="shared" si="432"/>
        <v/>
      </c>
      <c r="AU192" s="573" t="str">
        <f>IF('Marks Entry'!AA192="","",'Marks Entry'!AA192)</f>
        <v/>
      </c>
      <c r="AV192" s="573" t="str">
        <f>IF('Marks Entry'!AB192="","",'Marks Entry'!AB192)</f>
        <v/>
      </c>
      <c r="AW192" s="572" t="str">
        <f t="shared" si="433"/>
        <v/>
      </c>
      <c r="AX192" s="157" t="str">
        <f t="shared" si="434"/>
        <v/>
      </c>
      <c r="AY192" s="157" t="str">
        <f t="shared" si="435"/>
        <v/>
      </c>
      <c r="AZ192" s="192" t="str">
        <f t="shared" si="436"/>
        <v/>
      </c>
      <c r="BA192" s="153">
        <f t="shared" si="437"/>
        <v>0</v>
      </c>
      <c r="BB192" s="154">
        <f t="shared" si="438"/>
        <v>0</v>
      </c>
      <c r="BC192" s="154" t="str">
        <f t="shared" si="439"/>
        <v/>
      </c>
      <c r="BD192" s="154" t="str">
        <f t="shared" si="440"/>
        <v/>
      </c>
      <c r="BE192" s="154" t="str">
        <f t="shared" si="441"/>
        <v/>
      </c>
      <c r="BF192" s="153" t="str">
        <f t="shared" si="442"/>
        <v/>
      </c>
      <c r="BG192" s="154" t="str">
        <f t="shared" si="443"/>
        <v/>
      </c>
      <c r="BH192" s="153" t="str">
        <f t="shared" si="444"/>
        <v/>
      </c>
      <c r="BI192" s="580" t="str">
        <f>IF('Marks Entry'!AC192="","",'Marks Entry'!AC192)</f>
        <v/>
      </c>
      <c r="BJ192" s="580" t="str">
        <f>IF('Marks Entry'!AD192="","",'Marks Entry'!AD192)</f>
        <v/>
      </c>
      <c r="BK192" s="580" t="str">
        <f>IF('Marks Entry'!AE192="","",'Marks Entry'!AE192)</f>
        <v/>
      </c>
      <c r="BL192" s="580" t="str">
        <f>IF('Marks Entry'!AF192="","",'Marks Entry'!AF192)</f>
        <v/>
      </c>
      <c r="BM192" s="581" t="str">
        <f t="shared" si="445"/>
        <v/>
      </c>
      <c r="BN192" s="580" t="str">
        <f>IF('Marks Entry'!AG192="","",'Marks Entry'!AG192)</f>
        <v/>
      </c>
      <c r="BO192" s="580" t="str">
        <f>IF('Marks Entry'!AH192="","",'Marks Entry'!AH192)</f>
        <v/>
      </c>
      <c r="BP192" s="581" t="str">
        <f t="shared" si="446"/>
        <v/>
      </c>
      <c r="BQ192" s="581" t="str">
        <f t="shared" si="447"/>
        <v/>
      </c>
      <c r="BR192" s="580" t="str">
        <f>IF('Marks Entry'!AI192="","",'Marks Entry'!AI192)</f>
        <v/>
      </c>
      <c r="BS192" s="580" t="str">
        <f>IF('Marks Entry'!AJ192="","",'Marks Entry'!AJ192)</f>
        <v/>
      </c>
      <c r="BT192" s="581" t="str">
        <f t="shared" si="448"/>
        <v/>
      </c>
      <c r="BU192" s="157" t="str">
        <f t="shared" si="449"/>
        <v/>
      </c>
      <c r="BV192" s="157" t="str">
        <f t="shared" si="450"/>
        <v/>
      </c>
      <c r="BW192" s="192" t="str">
        <f t="shared" si="451"/>
        <v/>
      </c>
      <c r="BX192" s="153">
        <f t="shared" si="452"/>
        <v>0</v>
      </c>
      <c r="BY192" s="154">
        <f t="shared" si="453"/>
        <v>0</v>
      </c>
      <c r="BZ192" s="154" t="str">
        <f t="shared" si="454"/>
        <v/>
      </c>
      <c r="CA192" s="154" t="str">
        <f t="shared" si="455"/>
        <v/>
      </c>
      <c r="CB192" s="154" t="str">
        <f t="shared" si="456"/>
        <v/>
      </c>
      <c r="CC192" s="153" t="str">
        <f t="shared" si="457"/>
        <v/>
      </c>
      <c r="CD192" s="154" t="str">
        <f t="shared" si="458"/>
        <v/>
      </c>
      <c r="CE192" s="153" t="str">
        <f t="shared" si="459"/>
        <v/>
      </c>
      <c r="CF192" s="580" t="str">
        <f>IF('Marks Entry'!AK192="","",'Marks Entry'!AK192)</f>
        <v/>
      </c>
      <c r="CG192" s="580" t="str">
        <f>IF('Marks Entry'!AL192="","",'Marks Entry'!AL192)</f>
        <v/>
      </c>
      <c r="CH192" s="580" t="str">
        <f>IF('Marks Entry'!AM192="","",'Marks Entry'!AM192)</f>
        <v/>
      </c>
      <c r="CI192" s="580" t="str">
        <f>IF('Marks Entry'!AN192="","",'Marks Entry'!AN192)</f>
        <v/>
      </c>
      <c r="CJ192" s="581" t="str">
        <f t="shared" si="460"/>
        <v/>
      </c>
      <c r="CK192" s="580" t="str">
        <f>IF('Marks Entry'!AO192="","",'Marks Entry'!AO192)</f>
        <v/>
      </c>
      <c r="CL192" s="580" t="str">
        <f>IF('Marks Entry'!AP192="","",'Marks Entry'!AP192)</f>
        <v/>
      </c>
      <c r="CM192" s="581" t="str">
        <f t="shared" si="461"/>
        <v/>
      </c>
      <c r="CN192" s="581" t="str">
        <f t="shared" si="462"/>
        <v/>
      </c>
      <c r="CO192" s="580" t="str">
        <f>IF('Marks Entry'!AQ192="","",'Marks Entry'!AQ192)</f>
        <v/>
      </c>
      <c r="CP192" s="580" t="str">
        <f>IF('Marks Entry'!AR192="","",'Marks Entry'!AR192)</f>
        <v/>
      </c>
      <c r="CQ192" s="581" t="str">
        <f t="shared" si="463"/>
        <v/>
      </c>
      <c r="CR192" s="157" t="str">
        <f t="shared" si="464"/>
        <v/>
      </c>
      <c r="CS192" s="157" t="str">
        <f t="shared" si="465"/>
        <v/>
      </c>
      <c r="CT192" s="192" t="str">
        <f t="shared" si="466"/>
        <v/>
      </c>
      <c r="CU192" s="153">
        <f t="shared" si="467"/>
        <v>0</v>
      </c>
      <c r="CV192" s="154">
        <f t="shared" si="468"/>
        <v>0</v>
      </c>
      <c r="CW192" s="154" t="str">
        <f t="shared" si="469"/>
        <v/>
      </c>
      <c r="CX192" s="154" t="str">
        <f t="shared" si="470"/>
        <v/>
      </c>
      <c r="CY192" s="154" t="str">
        <f t="shared" si="471"/>
        <v/>
      </c>
      <c r="CZ192" s="153" t="str">
        <f t="shared" si="472"/>
        <v/>
      </c>
      <c r="DA192" s="154" t="str">
        <f t="shared" si="473"/>
        <v/>
      </c>
      <c r="DB192" s="153" t="str">
        <f t="shared" si="474"/>
        <v/>
      </c>
      <c r="DC192" s="154">
        <f t="shared" si="475"/>
        <v>0</v>
      </c>
      <c r="DD192" s="826" t="str">
        <f>IF('Marks Entry'!AS192="","",IF(OR('Master Sheet'!$D$19="YES",'Marks Entry'!$BA$1=1),'Marks Entry'!AS192,""))</f>
        <v/>
      </c>
      <c r="DE192" s="826" t="str">
        <f>IF('Marks Entry'!AT192="","",IF(OR('Master Sheet'!$D$19="YES",'Marks Entry'!$BA$1=1),'Marks Entry'!AT192,""))</f>
        <v/>
      </c>
      <c r="DF192" s="826" t="str">
        <f>IF('Marks Entry'!AU192="","",IF(OR('Master Sheet'!$D$19="YES",'Marks Entry'!$BA$1=1),'Marks Entry'!AU192,""))</f>
        <v/>
      </c>
      <c r="DG192" s="826" t="str">
        <f>IF('Marks Entry'!AV192="","",IF(OR('Master Sheet'!$D$19="YES",'Marks Entry'!$BA$1=1),'Marks Entry'!AV192,""))</f>
        <v/>
      </c>
      <c r="DH192" s="827" t="str">
        <f t="shared" si="476"/>
        <v/>
      </c>
      <c r="DI192" s="826" t="str">
        <f>IF('Marks Entry'!AW192="","",IF(OR('Master Sheet'!$D$19="YES",'Marks Entry'!$BA$1=1),'Marks Entry'!AW192,""))</f>
        <v/>
      </c>
      <c r="DJ192" s="826" t="str">
        <f>IF('Marks Entry'!AX192="","",IF(OR('Master Sheet'!$D$19="YES",'Marks Entry'!$BA$1=1),'Marks Entry'!AX192,""))</f>
        <v/>
      </c>
      <c r="DK192" s="827" t="str">
        <f t="shared" si="477"/>
        <v/>
      </c>
      <c r="DL192" s="827" t="str">
        <f t="shared" si="478"/>
        <v/>
      </c>
      <c r="DM192" s="826" t="str">
        <f>IF('Marks Entry'!AY192="","",IF(OR('Master Sheet'!$D$19="YES",'Marks Entry'!$BA$1=1),'Marks Entry'!AY192,""))</f>
        <v/>
      </c>
      <c r="DN192" s="826" t="str">
        <f>IF('Marks Entry'!AZ192="","",IF(OR('Master Sheet'!$D$19="YES",'Marks Entry'!$BA$1=1),'Marks Entry'!AZ192,""))</f>
        <v/>
      </c>
      <c r="DO192" s="826" t="str">
        <f>IF('Marks Entry'!BA192="","",IF(OR('Master Sheet'!$D$19="YES",'Marks Entry'!$BA$1=1),'Marks Entry'!BA192,""))</f>
        <v/>
      </c>
      <c r="DP192" s="827" t="str">
        <f t="shared" si="479"/>
        <v/>
      </c>
      <c r="DQ192" s="157" t="str">
        <f t="shared" si="480"/>
        <v/>
      </c>
      <c r="DR192" s="157" t="str">
        <f t="shared" si="481"/>
        <v/>
      </c>
      <c r="DS192" s="157" t="str">
        <f t="shared" si="482"/>
        <v/>
      </c>
      <c r="DT192" s="192" t="str">
        <f t="shared" si="483"/>
        <v/>
      </c>
      <c r="DU192" s="153">
        <f t="shared" si="484"/>
        <v>0</v>
      </c>
      <c r="DV192" s="154" t="e">
        <f t="shared" si="485"/>
        <v>#VALUE!</v>
      </c>
      <c r="DW192" s="154" t="str">
        <f t="shared" si="486"/>
        <v/>
      </c>
      <c r="DX192" s="154" t="str">
        <f>IF(OR($B192="NSO",$B192=0,DS192=""),"",IF(AND(DJ192="",DO192=""),"",IF('Master Sheet'!$D$19="YES",$DO$6-COUNTIF(DO192,"ML")*DO$6,DS$6-(COUNTIF(DJ192,"ML")*DJ$6)-(COUNTIF(DO192,"ML")*DO$6))))</f>
        <v/>
      </c>
      <c r="DY192" s="154" t="str">
        <f>IF(OR($B192="NSO",$B192=0),"",IF(AND(DH192="",DI192="",DM192=""),"",IF(AND('Master Sheet'!$D$19="YES",'Marks Entry'!$BA$1=1),100,IF(AND(DJ192="",DO192=""),SUM(($DQ$7+$DR$7)-(DU192+DV192)),SUM(($DQ$6+$DR$6)-(DU192+DV192))))))</f>
        <v/>
      </c>
      <c r="DZ192" s="153" t="str">
        <f t="shared" si="487"/>
        <v/>
      </c>
      <c r="EA192" s="154" t="str">
        <f t="shared" si="488"/>
        <v/>
      </c>
      <c r="EB192" s="153" t="str">
        <f t="shared" si="489"/>
        <v/>
      </c>
      <c r="EC192" s="584" t="str">
        <f>IF('Marks Entry'!BB192="","",'Marks Entry'!BB192)</f>
        <v/>
      </c>
      <c r="ED192" s="584" t="str">
        <f>IF('Marks Entry'!BC192="","",'Marks Entry'!BC192)</f>
        <v/>
      </c>
      <c r="EE192" s="584" t="str">
        <f>IF('Marks Entry'!BD192="","",'Marks Entry'!BD192)</f>
        <v/>
      </c>
      <c r="EF192" s="590" t="str">
        <f t="shared" si="490"/>
        <v/>
      </c>
      <c r="EG192" s="595">
        <f t="shared" si="491"/>
        <v>0</v>
      </c>
      <c r="EH192" s="595">
        <f t="shared" si="492"/>
        <v>0</v>
      </c>
      <c r="EI192" s="193" t="str">
        <f t="shared" si="493"/>
        <v/>
      </c>
      <c r="EJ192" s="595" t="str">
        <f t="shared" si="494"/>
        <v/>
      </c>
      <c r="EK192" s="595" t="str">
        <f t="shared" si="495"/>
        <v/>
      </c>
      <c r="EL192" s="194" t="str">
        <f t="shared" si="496"/>
        <v/>
      </c>
      <c r="EM192" s="194" t="str">
        <f t="shared" si="497"/>
        <v/>
      </c>
      <c r="EN192" s="194" t="str">
        <f t="shared" si="498"/>
        <v/>
      </c>
      <c r="EO192" s="194" t="str">
        <f t="shared" si="499"/>
        <v/>
      </c>
      <c r="EP192" s="194" t="str">
        <f t="shared" si="500"/>
        <v/>
      </c>
      <c r="EQ192" s="194" t="str">
        <f t="shared" si="501"/>
        <v/>
      </c>
      <c r="ER192" s="195">
        <f t="shared" si="502"/>
        <v>0</v>
      </c>
      <c r="ES192" s="195">
        <f t="shared" si="503"/>
        <v>0</v>
      </c>
      <c r="ET192" s="195">
        <f t="shared" si="504"/>
        <v>0</v>
      </c>
      <c r="EU192" s="195">
        <f t="shared" si="505"/>
        <v>0</v>
      </c>
      <c r="EV192" s="195">
        <f t="shared" si="506"/>
        <v>0</v>
      </c>
      <c r="EW192" s="195" t="str">
        <f t="shared" si="507"/>
        <v/>
      </c>
      <c r="EX192" s="196" t="str">
        <f t="shared" si="508"/>
        <v/>
      </c>
      <c r="EY192" s="197" t="str">
        <f>IF('Marks Entry'!BE192="","",'Marks Entry'!BE192)</f>
        <v/>
      </c>
      <c r="EZ192" s="197" t="str">
        <f>IF('Marks Entry'!BF192="","",'Marks Entry'!BF192)</f>
        <v/>
      </c>
      <c r="FA192" s="197" t="str">
        <f>IF('Marks Entry'!BG192="","",'Marks Entry'!BG192)</f>
        <v/>
      </c>
      <c r="FB192" s="596" t="str">
        <f t="shared" si="509"/>
        <v/>
      </c>
      <c r="FC192" s="197" t="str">
        <f>IF('Marks Entry'!BH192="","",'Marks Entry'!BH192)</f>
        <v/>
      </c>
      <c r="FD192" s="197" t="str">
        <f>IF('Marks Entry'!BI192="","",'Marks Entry'!BI192)</f>
        <v/>
      </c>
      <c r="FE192" s="198" t="str">
        <f t="shared" si="510"/>
        <v/>
      </c>
      <c r="FF192" s="199" t="str">
        <f t="shared" si="511"/>
        <v/>
      </c>
      <c r="FG192" s="200" t="str">
        <f>IF(AND(E192=""),"",IF('Student DATA Entry'!L188="","",'Student DATA Entry'!L188))</f>
        <v/>
      </c>
      <c r="FH192" s="201" t="str">
        <f>IF(AND(E192=""),"",IF('Student DATA Entry'!M188="","",'Student DATA Entry'!M188))</f>
        <v/>
      </c>
      <c r="FI192" s="202" t="str">
        <f t="shared" si="512"/>
        <v/>
      </c>
      <c r="FJ192" s="189" t="str">
        <f t="shared" si="513"/>
        <v/>
      </c>
      <c r="FK192" s="189" t="str">
        <f t="shared" si="514"/>
        <v/>
      </c>
      <c r="FL192" s="203" t="str">
        <f t="shared" si="542"/>
        <v/>
      </c>
      <c r="FM192" s="189" t="str">
        <f t="shared" si="515"/>
        <v/>
      </c>
      <c r="FN192" s="204" t="str">
        <f t="shared" si="516"/>
        <v/>
      </c>
      <c r="FO192" s="203" t="str">
        <f t="shared" si="543"/>
        <v/>
      </c>
      <c r="FP192" s="205" t="str">
        <f t="shared" si="517"/>
        <v/>
      </c>
      <c r="FQ192" s="189" t="str">
        <f t="shared" si="544"/>
        <v/>
      </c>
      <c r="FR192" s="189" t="str">
        <f t="shared" si="545"/>
        <v/>
      </c>
      <c r="FS192" s="189" t="str">
        <f t="shared" si="546"/>
        <v/>
      </c>
      <c r="FT192" s="189" t="str">
        <f t="shared" si="547"/>
        <v/>
      </c>
      <c r="FU192" s="189" t="str">
        <f t="shared" si="518"/>
        <v/>
      </c>
      <c r="FV192" s="206" t="str">
        <f t="shared" si="548"/>
        <v/>
      </c>
      <c r="FW192" s="205" t="str">
        <f t="shared" si="519"/>
        <v/>
      </c>
      <c r="FX192" s="189" t="str">
        <f t="shared" si="549"/>
        <v/>
      </c>
      <c r="FY192" s="189" t="str">
        <f t="shared" si="550"/>
        <v/>
      </c>
      <c r="FZ192" s="189" t="str">
        <f t="shared" si="551"/>
        <v/>
      </c>
      <c r="GA192" s="189" t="str">
        <f t="shared" si="552"/>
        <v/>
      </c>
      <c r="GB192" s="189" t="str">
        <f t="shared" si="520"/>
        <v/>
      </c>
      <c r="GC192" s="206" t="str">
        <f t="shared" si="553"/>
        <v/>
      </c>
      <c r="GD192" s="205" t="str">
        <f t="shared" si="521"/>
        <v/>
      </c>
      <c r="GE192" s="189" t="str">
        <f t="shared" si="554"/>
        <v/>
      </c>
      <c r="GF192" s="189" t="str">
        <f t="shared" si="555"/>
        <v/>
      </c>
      <c r="GG192" s="189" t="str">
        <f t="shared" si="556"/>
        <v/>
      </c>
      <c r="GH192" s="189" t="str">
        <f t="shared" si="557"/>
        <v/>
      </c>
      <c r="GI192" s="189" t="str">
        <f t="shared" si="522"/>
        <v/>
      </c>
      <c r="GJ192" s="206" t="str">
        <f t="shared" si="558"/>
        <v/>
      </c>
      <c r="GK192" s="205" t="str">
        <f t="shared" si="523"/>
        <v/>
      </c>
      <c r="GL192" s="189" t="str">
        <f t="shared" si="559"/>
        <v/>
      </c>
      <c r="GM192" s="189" t="str">
        <f t="shared" si="560"/>
        <v/>
      </c>
      <c r="GN192" s="189" t="str">
        <f t="shared" si="561"/>
        <v/>
      </c>
      <c r="GO192" s="189" t="str">
        <f t="shared" si="562"/>
        <v/>
      </c>
      <c r="GP192" s="189" t="str">
        <f t="shared" si="524"/>
        <v/>
      </c>
      <c r="GQ192" s="206" t="str">
        <f t="shared" si="563"/>
        <v/>
      </c>
      <c r="GR192" s="189" t="str">
        <f t="shared" si="525"/>
        <v/>
      </c>
      <c r="GS192" s="189" t="str">
        <f t="shared" si="526"/>
        <v/>
      </c>
      <c r="GT192" s="207" t="str">
        <f t="shared" si="527"/>
        <v xml:space="preserve">    </v>
      </c>
      <c r="GU192" s="207" t="str">
        <f t="shared" si="528"/>
        <v xml:space="preserve">    </v>
      </c>
      <c r="GV192" s="207" t="str">
        <f t="shared" si="529"/>
        <v xml:space="preserve">    </v>
      </c>
      <c r="GW192" s="207" t="str">
        <f t="shared" si="530"/>
        <v xml:space="preserve">       </v>
      </c>
      <c r="GX192" s="598" t="str">
        <f t="shared" si="531"/>
        <v xml:space="preserve">     </v>
      </c>
      <c r="GY192" s="208" t="str">
        <f t="shared" si="564"/>
        <v/>
      </c>
      <c r="GZ192" s="606" t="str">
        <f>IF(AND(Q192="",AE192="",AZ192="",BW192="",CT192=""),"",IF(AND('Master Sheet'!$D$19="YES",'Marks Entry'!$BA$1=1),SUM(Q192,AE192,AZ192,BW192,DT192),SUM(Q192,AE192,AZ192,BW192,CT192)))</f>
        <v/>
      </c>
      <c r="HA192" s="209" t="str">
        <f>IF(GZ192="","",IF(AND('Master Sheet'!$D$19="YES",'Marks Entry'!$BA$1=1),GZ192/((900)-DC192)*100,GZ192/((1000)-DC192)*100))</f>
        <v/>
      </c>
      <c r="HB192" s="611" t="str">
        <f t="shared" si="532"/>
        <v/>
      </c>
      <c r="HC192" s="609" t="str">
        <f t="shared" si="533"/>
        <v/>
      </c>
      <c r="HD192" s="610" t="str">
        <f t="shared" si="534"/>
        <v/>
      </c>
      <c r="HE192" s="210" t="str">
        <f>IFERROR(IF(OR(GY192="SUPPLEMENTARY",GY192="RE-EXAM"),'Supp. Result Entry'!AS191,""),"")</f>
        <v/>
      </c>
      <c r="HF192" s="613" t="str">
        <f t="shared" si="535"/>
        <v/>
      </c>
      <c r="HG192" s="598" t="str">
        <f t="shared" si="536"/>
        <v/>
      </c>
      <c r="HH192" s="598" t="str">
        <f>IF(AND(HE192="",HF192="",HG192=""),"",IF(OR(GY192="SUPPLEMENTARY",GY192="RE-EXAM"),'Supp. Result Entry'!AS191,GY192))</f>
        <v/>
      </c>
      <c r="HI192" s="180"/>
      <c r="HY192" s="212" t="str">
        <f>IF('Supp. Result Entry'!U191="","",'Supp. Result Entry'!$U$6)</f>
        <v/>
      </c>
      <c r="HZ192" s="213" t="str">
        <f>IF('Supp. Result Entry'!X191="","",'Supp. Result Entry'!$X$6)</f>
        <v/>
      </c>
      <c r="IA192" s="213" t="str">
        <f>IF('Supp. Result Entry'!AA191="","",'Supp. Result Entry'!$AA$6)</f>
        <v/>
      </c>
      <c r="IB192" s="213" t="str">
        <f>IF('Supp. Result Entry'!AD191="","",'Supp. Result Entry'!$AD$6)</f>
        <v/>
      </c>
      <c r="IC192" s="213" t="str">
        <f>IF('Supp. Result Entry'!AG191="","",'Supp. Result Entry'!$AG$6)</f>
        <v/>
      </c>
      <c r="ID192" s="213" t="str">
        <f>IF('Supp. Result Entry'!AJ191="","",'Supp. Result Entry'!$AJ$6)</f>
        <v/>
      </c>
      <c r="IE192" s="213" t="str">
        <f>IF('Supp. Result Entry'!V191="","",'Supp. Result Entry'!V191)</f>
        <v/>
      </c>
      <c r="IF192" s="213" t="str">
        <f>IF('Supp. Result Entry'!Y191="","",'Supp. Result Entry'!Y191)</f>
        <v/>
      </c>
      <c r="IG192" s="213" t="str">
        <f>IF('Supp. Result Entry'!AB191="","",'Supp. Result Entry'!AB191)</f>
        <v/>
      </c>
      <c r="IH192" s="213" t="str">
        <f>IF('Supp. Result Entry'!AE191="","",'Supp. Result Entry'!AE191)</f>
        <v/>
      </c>
      <c r="II192" s="213" t="str">
        <f>IF('Supp. Result Entry'!AH191="","",'Supp. Result Entry'!AH191)</f>
        <v/>
      </c>
      <c r="IJ192" s="213" t="str">
        <f>IF('Supp. Result Entry'!AK191="","",'Supp. Result Entry'!AK191)</f>
        <v/>
      </c>
      <c r="IK192" s="213" t="str">
        <f>IF('Supp. Result Entry'!W191="","",'Supp. Result Entry'!W191)</f>
        <v/>
      </c>
      <c r="IL192" s="213" t="str">
        <f>IF('Supp. Result Entry'!Z191="","",'Supp. Result Entry'!Z191)</f>
        <v/>
      </c>
      <c r="IM192" s="213" t="str">
        <f>IF('Supp. Result Entry'!AC191="","",'Supp. Result Entry'!AC191)</f>
        <v/>
      </c>
      <c r="IN192" s="213" t="str">
        <f>IF('Supp. Result Entry'!AF191="","",'Supp. Result Entry'!AF191)</f>
        <v/>
      </c>
      <c r="IO192" s="213" t="str">
        <f>IF('Supp. Result Entry'!AI191="","",'Supp. Result Entry'!AI191)</f>
        <v/>
      </c>
      <c r="IP192" s="213" t="str">
        <f>IF('Supp. Result Entry'!AL191="","",'Supp. Result Entry'!AL191)</f>
        <v/>
      </c>
      <c r="IQ192" s="213">
        <f>COUNTIF('Supp. Result Entry'!K191:Q191,"S")</f>
        <v>0</v>
      </c>
      <c r="IR192" s="213">
        <f t="shared" si="537"/>
        <v>0</v>
      </c>
      <c r="IS192" s="213">
        <f t="shared" si="538"/>
        <v>0</v>
      </c>
      <c r="IT192" s="213" t="str">
        <f t="shared" si="406"/>
        <v/>
      </c>
      <c r="IU192" s="213" t="str">
        <f t="shared" si="407"/>
        <v/>
      </c>
      <c r="IV192" s="213" t="str">
        <f t="shared" si="408"/>
        <v/>
      </c>
      <c r="IW192" s="213" t="str">
        <f t="shared" si="409"/>
        <v/>
      </c>
      <c r="IX192" s="213" t="str">
        <f t="shared" si="410"/>
        <v/>
      </c>
      <c r="IY192" s="213" t="str">
        <f t="shared" si="539"/>
        <v/>
      </c>
      <c r="IZ192" s="213" t="str">
        <f t="shared" si="540"/>
        <v/>
      </c>
      <c r="JA192" s="213" t="str">
        <f t="shared" si="411"/>
        <v/>
      </c>
      <c r="JB192" s="211" t="str">
        <f t="shared" si="541"/>
        <v/>
      </c>
    </row>
    <row r="193" spans="1:262" s="211" customFormat="1" ht="21" customHeight="1">
      <c r="A193" s="184">
        <v>186</v>
      </c>
      <c r="B193" s="185" t="str">
        <f>IF('Marks Entry'!B193="","",'Marks Entry'!B193)</f>
        <v/>
      </c>
      <c r="C193" s="186" t="str">
        <f>IF('Marks Entry'!D193="","",'Marks Entry'!D193)</f>
        <v/>
      </c>
      <c r="D193" s="187" t="str">
        <f>IF('Marks Entry'!E193="","",'Marks Entry'!E193)</f>
        <v/>
      </c>
      <c r="E193" s="188" t="str">
        <f>IF('Marks Entry'!F193="","",'Marks Entry'!F193)</f>
        <v/>
      </c>
      <c r="F193" s="188" t="str">
        <f>IF('Marks Entry'!G193="","",'Marks Entry'!G193)</f>
        <v/>
      </c>
      <c r="G193" s="188" t="str">
        <f>IF('Marks Entry'!H193="","",'Marks Entry'!H193)</f>
        <v/>
      </c>
      <c r="H193" s="189" t="str">
        <f>IF('Marks Entry'!I193="","",'Marks Entry'!I193)</f>
        <v/>
      </c>
      <c r="I193" s="190" t="str">
        <f>IF('Marks Entry'!J193="","",'Marks Entry'!J193)</f>
        <v/>
      </c>
      <c r="J193" s="545" t="str">
        <f>IF('Marks Entry'!K193="","",'Marks Entry'!K193)</f>
        <v/>
      </c>
      <c r="K193" s="545" t="str">
        <f>IF('Marks Entry'!L193="","",'Marks Entry'!L193)</f>
        <v/>
      </c>
      <c r="L193" s="545" t="str">
        <f>IF('Marks Entry'!M193="","",'Marks Entry'!M193)</f>
        <v/>
      </c>
      <c r="M193" s="546" t="str">
        <f t="shared" si="412"/>
        <v/>
      </c>
      <c r="N193" s="545" t="str">
        <f>IF('Marks Entry'!N193="","",'Marks Entry'!N193)</f>
        <v/>
      </c>
      <c r="O193" s="546" t="str">
        <f t="shared" si="413"/>
        <v/>
      </c>
      <c r="P193" s="545" t="str">
        <f>IF('Marks Entry'!O193="","",'Marks Entry'!O193)</f>
        <v/>
      </c>
      <c r="Q193" s="547" t="str">
        <f t="shared" si="414"/>
        <v/>
      </c>
      <c r="R193" s="153">
        <f t="shared" si="415"/>
        <v>0</v>
      </c>
      <c r="S193" s="153">
        <f t="shared" si="416"/>
        <v>0</v>
      </c>
      <c r="T193" s="154" t="str">
        <f t="shared" si="417"/>
        <v/>
      </c>
      <c r="U193" s="153" t="str">
        <f t="shared" si="418"/>
        <v/>
      </c>
      <c r="V193" s="153" t="str">
        <f t="shared" si="419"/>
        <v/>
      </c>
      <c r="W193" s="153" t="str">
        <f t="shared" si="420"/>
        <v/>
      </c>
      <c r="X193" s="545" t="str">
        <f>IF('Marks Entry'!P193="","",'Marks Entry'!P193)</f>
        <v/>
      </c>
      <c r="Y193" s="545" t="str">
        <f>IF('Marks Entry'!Q193="","",'Marks Entry'!Q193)</f>
        <v/>
      </c>
      <c r="Z193" s="545" t="str">
        <f>IF('Marks Entry'!R193="","",'Marks Entry'!R193)</f>
        <v/>
      </c>
      <c r="AA193" s="546" t="str">
        <f t="shared" si="421"/>
        <v/>
      </c>
      <c r="AB193" s="545" t="str">
        <f>IF('Marks Entry'!S193="","",'Marks Entry'!S193)</f>
        <v/>
      </c>
      <c r="AC193" s="546" t="str">
        <f t="shared" si="422"/>
        <v/>
      </c>
      <c r="AD193" s="545" t="str">
        <f>IF('Marks Entry'!T193="","",'Marks Entry'!T193)</f>
        <v/>
      </c>
      <c r="AE193" s="547" t="str">
        <f t="shared" si="423"/>
        <v/>
      </c>
      <c r="AF193" s="153">
        <f t="shared" si="424"/>
        <v>0</v>
      </c>
      <c r="AG193" s="153">
        <f t="shared" si="425"/>
        <v>0</v>
      </c>
      <c r="AH193" s="154" t="str">
        <f t="shared" si="426"/>
        <v/>
      </c>
      <c r="AI193" s="153" t="str">
        <f t="shared" si="427"/>
        <v/>
      </c>
      <c r="AJ193" s="153" t="str">
        <f t="shared" si="428"/>
        <v/>
      </c>
      <c r="AK193" s="153" t="str">
        <f t="shared" si="429"/>
        <v/>
      </c>
      <c r="AL193" s="573" t="str">
        <f>IF('Marks Entry'!U193="","",'Marks Entry'!U193)</f>
        <v/>
      </c>
      <c r="AM193" s="573" t="str">
        <f>IF('Marks Entry'!V193="","",'Marks Entry'!V193)</f>
        <v/>
      </c>
      <c r="AN193" s="573" t="str">
        <f>IF('Marks Entry'!W193="","",'Marks Entry'!W193)</f>
        <v/>
      </c>
      <c r="AO193" s="573" t="str">
        <f>IF('Marks Entry'!X193="","",'Marks Entry'!X193)</f>
        <v/>
      </c>
      <c r="AP193" s="572" t="str">
        <f t="shared" si="430"/>
        <v/>
      </c>
      <c r="AQ193" s="573" t="str">
        <f>IF('Marks Entry'!Y193="","",'Marks Entry'!Y193)</f>
        <v/>
      </c>
      <c r="AR193" s="573" t="str">
        <f>IF('Marks Entry'!Z193="","",'Marks Entry'!Z193)</f>
        <v/>
      </c>
      <c r="AS193" s="572" t="str">
        <f t="shared" si="431"/>
        <v/>
      </c>
      <c r="AT193" s="572" t="str">
        <f t="shared" si="432"/>
        <v/>
      </c>
      <c r="AU193" s="573" t="str">
        <f>IF('Marks Entry'!AA193="","",'Marks Entry'!AA193)</f>
        <v/>
      </c>
      <c r="AV193" s="573" t="str">
        <f>IF('Marks Entry'!AB193="","",'Marks Entry'!AB193)</f>
        <v/>
      </c>
      <c r="AW193" s="572" t="str">
        <f t="shared" si="433"/>
        <v/>
      </c>
      <c r="AX193" s="157" t="str">
        <f t="shared" si="434"/>
        <v/>
      </c>
      <c r="AY193" s="157" t="str">
        <f t="shared" si="435"/>
        <v/>
      </c>
      <c r="AZ193" s="192" t="str">
        <f t="shared" si="436"/>
        <v/>
      </c>
      <c r="BA193" s="153">
        <f t="shared" si="437"/>
        <v>0</v>
      </c>
      <c r="BB193" s="154">
        <f t="shared" si="438"/>
        <v>0</v>
      </c>
      <c r="BC193" s="154" t="str">
        <f t="shared" si="439"/>
        <v/>
      </c>
      <c r="BD193" s="154" t="str">
        <f t="shared" si="440"/>
        <v/>
      </c>
      <c r="BE193" s="154" t="str">
        <f t="shared" si="441"/>
        <v/>
      </c>
      <c r="BF193" s="153" t="str">
        <f t="shared" si="442"/>
        <v/>
      </c>
      <c r="BG193" s="154" t="str">
        <f t="shared" si="443"/>
        <v/>
      </c>
      <c r="BH193" s="153" t="str">
        <f t="shared" si="444"/>
        <v/>
      </c>
      <c r="BI193" s="580" t="str">
        <f>IF('Marks Entry'!AC193="","",'Marks Entry'!AC193)</f>
        <v/>
      </c>
      <c r="BJ193" s="580" t="str">
        <f>IF('Marks Entry'!AD193="","",'Marks Entry'!AD193)</f>
        <v/>
      </c>
      <c r="BK193" s="580" t="str">
        <f>IF('Marks Entry'!AE193="","",'Marks Entry'!AE193)</f>
        <v/>
      </c>
      <c r="BL193" s="580" t="str">
        <f>IF('Marks Entry'!AF193="","",'Marks Entry'!AF193)</f>
        <v/>
      </c>
      <c r="BM193" s="581" t="str">
        <f t="shared" si="445"/>
        <v/>
      </c>
      <c r="BN193" s="580" t="str">
        <f>IF('Marks Entry'!AG193="","",'Marks Entry'!AG193)</f>
        <v/>
      </c>
      <c r="BO193" s="580" t="str">
        <f>IF('Marks Entry'!AH193="","",'Marks Entry'!AH193)</f>
        <v/>
      </c>
      <c r="BP193" s="581" t="str">
        <f t="shared" si="446"/>
        <v/>
      </c>
      <c r="BQ193" s="581" t="str">
        <f t="shared" si="447"/>
        <v/>
      </c>
      <c r="BR193" s="580" t="str">
        <f>IF('Marks Entry'!AI193="","",'Marks Entry'!AI193)</f>
        <v/>
      </c>
      <c r="BS193" s="580" t="str">
        <f>IF('Marks Entry'!AJ193="","",'Marks Entry'!AJ193)</f>
        <v/>
      </c>
      <c r="BT193" s="581" t="str">
        <f t="shared" si="448"/>
        <v/>
      </c>
      <c r="BU193" s="157" t="str">
        <f t="shared" si="449"/>
        <v/>
      </c>
      <c r="BV193" s="157" t="str">
        <f t="shared" si="450"/>
        <v/>
      </c>
      <c r="BW193" s="192" t="str">
        <f t="shared" si="451"/>
        <v/>
      </c>
      <c r="BX193" s="153">
        <f t="shared" si="452"/>
        <v>0</v>
      </c>
      <c r="BY193" s="154">
        <f t="shared" si="453"/>
        <v>0</v>
      </c>
      <c r="BZ193" s="154" t="str">
        <f t="shared" si="454"/>
        <v/>
      </c>
      <c r="CA193" s="154" t="str">
        <f t="shared" si="455"/>
        <v/>
      </c>
      <c r="CB193" s="154" t="str">
        <f t="shared" si="456"/>
        <v/>
      </c>
      <c r="CC193" s="153" t="str">
        <f t="shared" si="457"/>
        <v/>
      </c>
      <c r="CD193" s="154" t="str">
        <f t="shared" si="458"/>
        <v/>
      </c>
      <c r="CE193" s="153" t="str">
        <f t="shared" si="459"/>
        <v/>
      </c>
      <c r="CF193" s="580" t="str">
        <f>IF('Marks Entry'!AK193="","",'Marks Entry'!AK193)</f>
        <v/>
      </c>
      <c r="CG193" s="580" t="str">
        <f>IF('Marks Entry'!AL193="","",'Marks Entry'!AL193)</f>
        <v/>
      </c>
      <c r="CH193" s="580" t="str">
        <f>IF('Marks Entry'!AM193="","",'Marks Entry'!AM193)</f>
        <v/>
      </c>
      <c r="CI193" s="580" t="str">
        <f>IF('Marks Entry'!AN193="","",'Marks Entry'!AN193)</f>
        <v/>
      </c>
      <c r="CJ193" s="581" t="str">
        <f t="shared" si="460"/>
        <v/>
      </c>
      <c r="CK193" s="580" t="str">
        <f>IF('Marks Entry'!AO193="","",'Marks Entry'!AO193)</f>
        <v/>
      </c>
      <c r="CL193" s="580" t="str">
        <f>IF('Marks Entry'!AP193="","",'Marks Entry'!AP193)</f>
        <v/>
      </c>
      <c r="CM193" s="581" t="str">
        <f t="shared" si="461"/>
        <v/>
      </c>
      <c r="CN193" s="581" t="str">
        <f t="shared" si="462"/>
        <v/>
      </c>
      <c r="CO193" s="580" t="str">
        <f>IF('Marks Entry'!AQ193="","",'Marks Entry'!AQ193)</f>
        <v/>
      </c>
      <c r="CP193" s="580" t="str">
        <f>IF('Marks Entry'!AR193="","",'Marks Entry'!AR193)</f>
        <v/>
      </c>
      <c r="CQ193" s="581" t="str">
        <f t="shared" si="463"/>
        <v/>
      </c>
      <c r="CR193" s="157" t="str">
        <f t="shared" si="464"/>
        <v/>
      </c>
      <c r="CS193" s="157" t="str">
        <f t="shared" si="465"/>
        <v/>
      </c>
      <c r="CT193" s="192" t="str">
        <f t="shared" si="466"/>
        <v/>
      </c>
      <c r="CU193" s="153">
        <f t="shared" si="467"/>
        <v>0</v>
      </c>
      <c r="CV193" s="154">
        <f t="shared" si="468"/>
        <v>0</v>
      </c>
      <c r="CW193" s="154" t="str">
        <f t="shared" si="469"/>
        <v/>
      </c>
      <c r="CX193" s="154" t="str">
        <f t="shared" si="470"/>
        <v/>
      </c>
      <c r="CY193" s="154" t="str">
        <f t="shared" si="471"/>
        <v/>
      </c>
      <c r="CZ193" s="153" t="str">
        <f t="shared" si="472"/>
        <v/>
      </c>
      <c r="DA193" s="154" t="str">
        <f t="shared" si="473"/>
        <v/>
      </c>
      <c r="DB193" s="153" t="str">
        <f t="shared" si="474"/>
        <v/>
      </c>
      <c r="DC193" s="154">
        <f t="shared" si="475"/>
        <v>0</v>
      </c>
      <c r="DD193" s="826" t="str">
        <f>IF('Marks Entry'!AS193="","",IF(OR('Master Sheet'!$D$19="YES",'Marks Entry'!$BA$1=1),'Marks Entry'!AS193,""))</f>
        <v/>
      </c>
      <c r="DE193" s="826" t="str">
        <f>IF('Marks Entry'!AT193="","",IF(OR('Master Sheet'!$D$19="YES",'Marks Entry'!$BA$1=1),'Marks Entry'!AT193,""))</f>
        <v/>
      </c>
      <c r="DF193" s="826" t="str">
        <f>IF('Marks Entry'!AU193="","",IF(OR('Master Sheet'!$D$19="YES",'Marks Entry'!$BA$1=1),'Marks Entry'!AU193,""))</f>
        <v/>
      </c>
      <c r="DG193" s="826" t="str">
        <f>IF('Marks Entry'!AV193="","",IF(OR('Master Sheet'!$D$19="YES",'Marks Entry'!$BA$1=1),'Marks Entry'!AV193,""))</f>
        <v/>
      </c>
      <c r="DH193" s="827" t="str">
        <f t="shared" si="476"/>
        <v/>
      </c>
      <c r="DI193" s="826" t="str">
        <f>IF('Marks Entry'!AW193="","",IF(OR('Master Sheet'!$D$19="YES",'Marks Entry'!$BA$1=1),'Marks Entry'!AW193,""))</f>
        <v/>
      </c>
      <c r="DJ193" s="826" t="str">
        <f>IF('Marks Entry'!AX193="","",IF(OR('Master Sheet'!$D$19="YES",'Marks Entry'!$BA$1=1),'Marks Entry'!AX193,""))</f>
        <v/>
      </c>
      <c r="DK193" s="827" t="str">
        <f t="shared" si="477"/>
        <v/>
      </c>
      <c r="DL193" s="827" t="str">
        <f t="shared" si="478"/>
        <v/>
      </c>
      <c r="DM193" s="826" t="str">
        <f>IF('Marks Entry'!AY193="","",IF(OR('Master Sheet'!$D$19="YES",'Marks Entry'!$BA$1=1),'Marks Entry'!AY193,""))</f>
        <v/>
      </c>
      <c r="DN193" s="826" t="str">
        <f>IF('Marks Entry'!AZ193="","",IF(OR('Master Sheet'!$D$19="YES",'Marks Entry'!$BA$1=1),'Marks Entry'!AZ193,""))</f>
        <v/>
      </c>
      <c r="DO193" s="826" t="str">
        <f>IF('Marks Entry'!BA193="","",IF(OR('Master Sheet'!$D$19="YES",'Marks Entry'!$BA$1=1),'Marks Entry'!BA193,""))</f>
        <v/>
      </c>
      <c r="DP193" s="827" t="str">
        <f t="shared" si="479"/>
        <v/>
      </c>
      <c r="DQ193" s="157" t="str">
        <f t="shared" si="480"/>
        <v/>
      </c>
      <c r="DR193" s="157" t="str">
        <f t="shared" si="481"/>
        <v/>
      </c>
      <c r="DS193" s="157" t="str">
        <f t="shared" si="482"/>
        <v/>
      </c>
      <c r="DT193" s="192" t="str">
        <f t="shared" si="483"/>
        <v/>
      </c>
      <c r="DU193" s="153">
        <f t="shared" si="484"/>
        <v>0</v>
      </c>
      <c r="DV193" s="154" t="e">
        <f t="shared" si="485"/>
        <v>#VALUE!</v>
      </c>
      <c r="DW193" s="154" t="str">
        <f t="shared" si="486"/>
        <v/>
      </c>
      <c r="DX193" s="154" t="str">
        <f>IF(OR($B193="NSO",$B193=0,DS193=""),"",IF(AND(DJ193="",DO193=""),"",IF('Master Sheet'!$D$19="YES",$DO$6-COUNTIF(DO193,"ML")*DO$6,DS$6-(COUNTIF(DJ193,"ML")*DJ$6)-(COUNTIF(DO193,"ML")*DO$6))))</f>
        <v/>
      </c>
      <c r="DY193" s="154" t="str">
        <f>IF(OR($B193="NSO",$B193=0),"",IF(AND(DH193="",DI193="",DM193=""),"",IF(AND('Master Sheet'!$D$19="YES",'Marks Entry'!$BA$1=1),100,IF(AND(DJ193="",DO193=""),SUM(($DQ$7+$DR$7)-(DU193+DV193)),SUM(($DQ$6+$DR$6)-(DU193+DV193))))))</f>
        <v/>
      </c>
      <c r="DZ193" s="153" t="str">
        <f t="shared" si="487"/>
        <v/>
      </c>
      <c r="EA193" s="154" t="str">
        <f t="shared" si="488"/>
        <v/>
      </c>
      <c r="EB193" s="153" t="str">
        <f t="shared" si="489"/>
        <v/>
      </c>
      <c r="EC193" s="584" t="str">
        <f>IF('Marks Entry'!BB193="","",'Marks Entry'!BB193)</f>
        <v/>
      </c>
      <c r="ED193" s="584" t="str">
        <f>IF('Marks Entry'!BC193="","",'Marks Entry'!BC193)</f>
        <v/>
      </c>
      <c r="EE193" s="584" t="str">
        <f>IF('Marks Entry'!BD193="","",'Marks Entry'!BD193)</f>
        <v/>
      </c>
      <c r="EF193" s="590" t="str">
        <f t="shared" si="490"/>
        <v/>
      </c>
      <c r="EG193" s="595">
        <f t="shared" si="491"/>
        <v>0</v>
      </c>
      <c r="EH193" s="595">
        <f t="shared" si="492"/>
        <v>0</v>
      </c>
      <c r="EI193" s="193" t="str">
        <f t="shared" si="493"/>
        <v/>
      </c>
      <c r="EJ193" s="595" t="str">
        <f t="shared" si="494"/>
        <v/>
      </c>
      <c r="EK193" s="595" t="str">
        <f t="shared" si="495"/>
        <v/>
      </c>
      <c r="EL193" s="194" t="str">
        <f t="shared" si="496"/>
        <v/>
      </c>
      <c r="EM193" s="194" t="str">
        <f t="shared" si="497"/>
        <v/>
      </c>
      <c r="EN193" s="194" t="str">
        <f t="shared" si="498"/>
        <v/>
      </c>
      <c r="EO193" s="194" t="str">
        <f t="shared" si="499"/>
        <v/>
      </c>
      <c r="EP193" s="194" t="str">
        <f t="shared" si="500"/>
        <v/>
      </c>
      <c r="EQ193" s="194" t="str">
        <f t="shared" si="501"/>
        <v/>
      </c>
      <c r="ER193" s="195">
        <f t="shared" si="502"/>
        <v>0</v>
      </c>
      <c r="ES193" s="195">
        <f t="shared" si="503"/>
        <v>0</v>
      </c>
      <c r="ET193" s="195">
        <f t="shared" si="504"/>
        <v>0</v>
      </c>
      <c r="EU193" s="195">
        <f t="shared" si="505"/>
        <v>0</v>
      </c>
      <c r="EV193" s="195">
        <f t="shared" si="506"/>
        <v>0</v>
      </c>
      <c r="EW193" s="195" t="str">
        <f t="shared" si="507"/>
        <v/>
      </c>
      <c r="EX193" s="196" t="str">
        <f t="shared" si="508"/>
        <v/>
      </c>
      <c r="EY193" s="197" t="str">
        <f>IF('Marks Entry'!BE193="","",'Marks Entry'!BE193)</f>
        <v/>
      </c>
      <c r="EZ193" s="197" t="str">
        <f>IF('Marks Entry'!BF193="","",'Marks Entry'!BF193)</f>
        <v/>
      </c>
      <c r="FA193" s="197" t="str">
        <f>IF('Marks Entry'!BG193="","",'Marks Entry'!BG193)</f>
        <v/>
      </c>
      <c r="FB193" s="596" t="str">
        <f t="shared" si="509"/>
        <v/>
      </c>
      <c r="FC193" s="197" t="str">
        <f>IF('Marks Entry'!BH193="","",'Marks Entry'!BH193)</f>
        <v/>
      </c>
      <c r="FD193" s="197" t="str">
        <f>IF('Marks Entry'!BI193="","",'Marks Entry'!BI193)</f>
        <v/>
      </c>
      <c r="FE193" s="198" t="str">
        <f t="shared" si="510"/>
        <v/>
      </c>
      <c r="FF193" s="199" t="str">
        <f t="shared" si="511"/>
        <v/>
      </c>
      <c r="FG193" s="200" t="str">
        <f>IF(AND(E193=""),"",IF('Student DATA Entry'!L189="","",'Student DATA Entry'!L189))</f>
        <v/>
      </c>
      <c r="FH193" s="201" t="str">
        <f>IF(AND(E193=""),"",IF('Student DATA Entry'!M189="","",'Student DATA Entry'!M189))</f>
        <v/>
      </c>
      <c r="FI193" s="202" t="str">
        <f t="shared" si="512"/>
        <v/>
      </c>
      <c r="FJ193" s="189" t="str">
        <f t="shared" si="513"/>
        <v/>
      </c>
      <c r="FK193" s="189" t="str">
        <f t="shared" si="514"/>
        <v/>
      </c>
      <c r="FL193" s="203" t="str">
        <f t="shared" si="542"/>
        <v/>
      </c>
      <c r="FM193" s="189" t="str">
        <f t="shared" si="515"/>
        <v/>
      </c>
      <c r="FN193" s="204" t="str">
        <f t="shared" si="516"/>
        <v/>
      </c>
      <c r="FO193" s="203" t="str">
        <f t="shared" si="543"/>
        <v/>
      </c>
      <c r="FP193" s="205" t="str">
        <f t="shared" si="517"/>
        <v/>
      </c>
      <c r="FQ193" s="189" t="str">
        <f t="shared" si="544"/>
        <v/>
      </c>
      <c r="FR193" s="189" t="str">
        <f t="shared" si="545"/>
        <v/>
      </c>
      <c r="FS193" s="189" t="str">
        <f t="shared" si="546"/>
        <v/>
      </c>
      <c r="FT193" s="189" t="str">
        <f t="shared" si="547"/>
        <v/>
      </c>
      <c r="FU193" s="189" t="str">
        <f t="shared" si="518"/>
        <v/>
      </c>
      <c r="FV193" s="206" t="str">
        <f t="shared" si="548"/>
        <v/>
      </c>
      <c r="FW193" s="205" t="str">
        <f t="shared" si="519"/>
        <v/>
      </c>
      <c r="FX193" s="189" t="str">
        <f t="shared" si="549"/>
        <v/>
      </c>
      <c r="FY193" s="189" t="str">
        <f t="shared" si="550"/>
        <v/>
      </c>
      <c r="FZ193" s="189" t="str">
        <f t="shared" si="551"/>
        <v/>
      </c>
      <c r="GA193" s="189" t="str">
        <f t="shared" si="552"/>
        <v/>
      </c>
      <c r="GB193" s="189" t="str">
        <f t="shared" si="520"/>
        <v/>
      </c>
      <c r="GC193" s="206" t="str">
        <f t="shared" si="553"/>
        <v/>
      </c>
      <c r="GD193" s="205" t="str">
        <f t="shared" si="521"/>
        <v/>
      </c>
      <c r="GE193" s="189" t="str">
        <f t="shared" si="554"/>
        <v/>
      </c>
      <c r="GF193" s="189" t="str">
        <f t="shared" si="555"/>
        <v/>
      </c>
      <c r="GG193" s="189" t="str">
        <f t="shared" si="556"/>
        <v/>
      </c>
      <c r="GH193" s="189" t="str">
        <f t="shared" si="557"/>
        <v/>
      </c>
      <c r="GI193" s="189" t="str">
        <f t="shared" si="522"/>
        <v/>
      </c>
      <c r="GJ193" s="206" t="str">
        <f t="shared" si="558"/>
        <v/>
      </c>
      <c r="GK193" s="205" t="str">
        <f t="shared" si="523"/>
        <v/>
      </c>
      <c r="GL193" s="189" t="str">
        <f t="shared" si="559"/>
        <v/>
      </c>
      <c r="GM193" s="189" t="str">
        <f t="shared" si="560"/>
        <v/>
      </c>
      <c r="GN193" s="189" t="str">
        <f t="shared" si="561"/>
        <v/>
      </c>
      <c r="GO193" s="189" t="str">
        <f t="shared" si="562"/>
        <v/>
      </c>
      <c r="GP193" s="189" t="str">
        <f t="shared" si="524"/>
        <v/>
      </c>
      <c r="GQ193" s="206" t="str">
        <f t="shared" si="563"/>
        <v/>
      </c>
      <c r="GR193" s="189" t="str">
        <f t="shared" si="525"/>
        <v/>
      </c>
      <c r="GS193" s="189" t="str">
        <f t="shared" si="526"/>
        <v/>
      </c>
      <c r="GT193" s="207" t="str">
        <f t="shared" si="527"/>
        <v xml:space="preserve">    </v>
      </c>
      <c r="GU193" s="207" t="str">
        <f t="shared" si="528"/>
        <v xml:space="preserve">    </v>
      </c>
      <c r="GV193" s="207" t="str">
        <f t="shared" si="529"/>
        <v xml:space="preserve">    </v>
      </c>
      <c r="GW193" s="207" t="str">
        <f t="shared" si="530"/>
        <v xml:space="preserve">       </v>
      </c>
      <c r="GX193" s="598" t="str">
        <f t="shared" si="531"/>
        <v xml:space="preserve">     </v>
      </c>
      <c r="GY193" s="208" t="str">
        <f t="shared" si="564"/>
        <v/>
      </c>
      <c r="GZ193" s="606" t="str">
        <f>IF(AND(Q193="",AE193="",AZ193="",BW193="",CT193=""),"",IF(AND('Master Sheet'!$D$19="YES",'Marks Entry'!$BA$1=1),SUM(Q193,AE193,AZ193,BW193,DT193),SUM(Q193,AE193,AZ193,BW193,CT193)))</f>
        <v/>
      </c>
      <c r="HA193" s="209" t="str">
        <f>IF(GZ193="","",IF(AND('Master Sheet'!$D$19="YES",'Marks Entry'!$BA$1=1),GZ193/((900)-DC193)*100,GZ193/((1000)-DC193)*100))</f>
        <v/>
      </c>
      <c r="HB193" s="611" t="str">
        <f t="shared" si="532"/>
        <v/>
      </c>
      <c r="HC193" s="609" t="str">
        <f t="shared" si="533"/>
        <v/>
      </c>
      <c r="HD193" s="610" t="str">
        <f t="shared" si="534"/>
        <v/>
      </c>
      <c r="HE193" s="210" t="str">
        <f>IFERROR(IF(OR(GY193="SUPPLEMENTARY",GY193="RE-EXAM"),'Supp. Result Entry'!AS192,""),"")</f>
        <v/>
      </c>
      <c r="HF193" s="613" t="str">
        <f t="shared" si="535"/>
        <v/>
      </c>
      <c r="HG193" s="598" t="str">
        <f t="shared" si="536"/>
        <v/>
      </c>
      <c r="HH193" s="598" t="str">
        <f>IF(AND(HE193="",HF193="",HG193=""),"",IF(OR(GY193="SUPPLEMENTARY",GY193="RE-EXAM"),'Supp. Result Entry'!AS192,GY193))</f>
        <v/>
      </c>
      <c r="HI193" s="180"/>
      <c r="HY193" s="212" t="str">
        <f>IF('Supp. Result Entry'!U192="","",'Supp. Result Entry'!$U$6)</f>
        <v/>
      </c>
      <c r="HZ193" s="213" t="str">
        <f>IF('Supp. Result Entry'!X192="","",'Supp. Result Entry'!$X$6)</f>
        <v/>
      </c>
      <c r="IA193" s="213" t="str">
        <f>IF('Supp. Result Entry'!AA192="","",'Supp. Result Entry'!$AA$6)</f>
        <v/>
      </c>
      <c r="IB193" s="213" t="str">
        <f>IF('Supp. Result Entry'!AD192="","",'Supp. Result Entry'!$AD$6)</f>
        <v/>
      </c>
      <c r="IC193" s="213" t="str">
        <f>IF('Supp. Result Entry'!AG192="","",'Supp. Result Entry'!$AG$6)</f>
        <v/>
      </c>
      <c r="ID193" s="213" t="str">
        <f>IF('Supp. Result Entry'!AJ192="","",'Supp. Result Entry'!$AJ$6)</f>
        <v/>
      </c>
      <c r="IE193" s="213" t="str">
        <f>IF('Supp. Result Entry'!V192="","",'Supp. Result Entry'!V192)</f>
        <v/>
      </c>
      <c r="IF193" s="213" t="str">
        <f>IF('Supp. Result Entry'!Y192="","",'Supp. Result Entry'!Y192)</f>
        <v/>
      </c>
      <c r="IG193" s="213" t="str">
        <f>IF('Supp. Result Entry'!AB192="","",'Supp. Result Entry'!AB192)</f>
        <v/>
      </c>
      <c r="IH193" s="213" t="str">
        <f>IF('Supp. Result Entry'!AE192="","",'Supp. Result Entry'!AE192)</f>
        <v/>
      </c>
      <c r="II193" s="213" t="str">
        <f>IF('Supp. Result Entry'!AH192="","",'Supp. Result Entry'!AH192)</f>
        <v/>
      </c>
      <c r="IJ193" s="213" t="str">
        <f>IF('Supp. Result Entry'!AK192="","",'Supp. Result Entry'!AK192)</f>
        <v/>
      </c>
      <c r="IK193" s="213" t="str">
        <f>IF('Supp. Result Entry'!W192="","",'Supp. Result Entry'!W192)</f>
        <v/>
      </c>
      <c r="IL193" s="213" t="str">
        <f>IF('Supp. Result Entry'!Z192="","",'Supp. Result Entry'!Z192)</f>
        <v/>
      </c>
      <c r="IM193" s="213" t="str">
        <f>IF('Supp. Result Entry'!AC192="","",'Supp. Result Entry'!AC192)</f>
        <v/>
      </c>
      <c r="IN193" s="213" t="str">
        <f>IF('Supp. Result Entry'!AF192="","",'Supp. Result Entry'!AF192)</f>
        <v/>
      </c>
      <c r="IO193" s="213" t="str">
        <f>IF('Supp. Result Entry'!AI192="","",'Supp. Result Entry'!AI192)</f>
        <v/>
      </c>
      <c r="IP193" s="213" t="str">
        <f>IF('Supp. Result Entry'!AL192="","",'Supp. Result Entry'!AL192)</f>
        <v/>
      </c>
      <c r="IQ193" s="213">
        <f>COUNTIF('Supp. Result Entry'!K192:Q192,"S")</f>
        <v>0</v>
      </c>
      <c r="IR193" s="213">
        <f t="shared" si="537"/>
        <v>0</v>
      </c>
      <c r="IS193" s="213">
        <f t="shared" si="538"/>
        <v>0</v>
      </c>
      <c r="IT193" s="213" t="str">
        <f t="shared" si="406"/>
        <v/>
      </c>
      <c r="IU193" s="213" t="str">
        <f t="shared" si="407"/>
        <v/>
      </c>
      <c r="IV193" s="213" t="str">
        <f t="shared" si="408"/>
        <v/>
      </c>
      <c r="IW193" s="213" t="str">
        <f t="shared" si="409"/>
        <v/>
      </c>
      <c r="IX193" s="213" t="str">
        <f t="shared" si="410"/>
        <v/>
      </c>
      <c r="IY193" s="213" t="str">
        <f t="shared" si="539"/>
        <v/>
      </c>
      <c r="IZ193" s="213" t="str">
        <f t="shared" si="540"/>
        <v/>
      </c>
      <c r="JA193" s="213" t="str">
        <f t="shared" si="411"/>
        <v/>
      </c>
      <c r="JB193" s="211" t="str">
        <f t="shared" si="541"/>
        <v/>
      </c>
    </row>
    <row r="194" spans="1:262" s="211" customFormat="1" ht="21" customHeight="1">
      <c r="A194" s="184">
        <v>187</v>
      </c>
      <c r="B194" s="185" t="str">
        <f>IF('Marks Entry'!B194="","",'Marks Entry'!B194)</f>
        <v/>
      </c>
      <c r="C194" s="186" t="str">
        <f>IF('Marks Entry'!D194="","",'Marks Entry'!D194)</f>
        <v/>
      </c>
      <c r="D194" s="187" t="str">
        <f>IF('Marks Entry'!E194="","",'Marks Entry'!E194)</f>
        <v/>
      </c>
      <c r="E194" s="188" t="str">
        <f>IF('Marks Entry'!F194="","",'Marks Entry'!F194)</f>
        <v/>
      </c>
      <c r="F194" s="188" t="str">
        <f>IF('Marks Entry'!G194="","",'Marks Entry'!G194)</f>
        <v/>
      </c>
      <c r="G194" s="188" t="str">
        <f>IF('Marks Entry'!H194="","",'Marks Entry'!H194)</f>
        <v/>
      </c>
      <c r="H194" s="189" t="str">
        <f>IF('Marks Entry'!I194="","",'Marks Entry'!I194)</f>
        <v/>
      </c>
      <c r="I194" s="190" t="str">
        <f>IF('Marks Entry'!J194="","",'Marks Entry'!J194)</f>
        <v/>
      </c>
      <c r="J194" s="545" t="str">
        <f>IF('Marks Entry'!K194="","",'Marks Entry'!K194)</f>
        <v/>
      </c>
      <c r="K194" s="545" t="str">
        <f>IF('Marks Entry'!L194="","",'Marks Entry'!L194)</f>
        <v/>
      </c>
      <c r="L194" s="545" t="str">
        <f>IF('Marks Entry'!M194="","",'Marks Entry'!M194)</f>
        <v/>
      </c>
      <c r="M194" s="546" t="str">
        <f t="shared" si="412"/>
        <v/>
      </c>
      <c r="N194" s="545" t="str">
        <f>IF('Marks Entry'!N194="","",'Marks Entry'!N194)</f>
        <v/>
      </c>
      <c r="O194" s="546" t="str">
        <f t="shared" si="413"/>
        <v/>
      </c>
      <c r="P194" s="545" t="str">
        <f>IF('Marks Entry'!O194="","",'Marks Entry'!O194)</f>
        <v/>
      </c>
      <c r="Q194" s="547" t="str">
        <f t="shared" si="414"/>
        <v/>
      </c>
      <c r="R194" s="153">
        <f t="shared" si="415"/>
        <v>0</v>
      </c>
      <c r="S194" s="153">
        <f t="shared" si="416"/>
        <v>0</v>
      </c>
      <c r="T194" s="154" t="str">
        <f t="shared" si="417"/>
        <v/>
      </c>
      <c r="U194" s="153" t="str">
        <f t="shared" si="418"/>
        <v/>
      </c>
      <c r="V194" s="153" t="str">
        <f t="shared" si="419"/>
        <v/>
      </c>
      <c r="W194" s="153" t="str">
        <f t="shared" si="420"/>
        <v/>
      </c>
      <c r="X194" s="545" t="str">
        <f>IF('Marks Entry'!P194="","",'Marks Entry'!P194)</f>
        <v/>
      </c>
      <c r="Y194" s="545" t="str">
        <f>IF('Marks Entry'!Q194="","",'Marks Entry'!Q194)</f>
        <v/>
      </c>
      <c r="Z194" s="545" t="str">
        <f>IF('Marks Entry'!R194="","",'Marks Entry'!R194)</f>
        <v/>
      </c>
      <c r="AA194" s="546" t="str">
        <f t="shared" si="421"/>
        <v/>
      </c>
      <c r="AB194" s="545" t="str">
        <f>IF('Marks Entry'!S194="","",'Marks Entry'!S194)</f>
        <v/>
      </c>
      <c r="AC194" s="546" t="str">
        <f t="shared" si="422"/>
        <v/>
      </c>
      <c r="AD194" s="545" t="str">
        <f>IF('Marks Entry'!T194="","",'Marks Entry'!T194)</f>
        <v/>
      </c>
      <c r="AE194" s="547" t="str">
        <f t="shared" si="423"/>
        <v/>
      </c>
      <c r="AF194" s="153">
        <f t="shared" si="424"/>
        <v>0</v>
      </c>
      <c r="AG194" s="153">
        <f t="shared" si="425"/>
        <v>0</v>
      </c>
      <c r="AH194" s="154" t="str">
        <f t="shared" si="426"/>
        <v/>
      </c>
      <c r="AI194" s="153" t="str">
        <f t="shared" si="427"/>
        <v/>
      </c>
      <c r="AJ194" s="153" t="str">
        <f t="shared" si="428"/>
        <v/>
      </c>
      <c r="AK194" s="153" t="str">
        <f t="shared" si="429"/>
        <v/>
      </c>
      <c r="AL194" s="573" t="str">
        <f>IF('Marks Entry'!U194="","",'Marks Entry'!U194)</f>
        <v/>
      </c>
      <c r="AM194" s="573" t="str">
        <f>IF('Marks Entry'!V194="","",'Marks Entry'!V194)</f>
        <v/>
      </c>
      <c r="AN194" s="573" t="str">
        <f>IF('Marks Entry'!W194="","",'Marks Entry'!W194)</f>
        <v/>
      </c>
      <c r="AO194" s="573" t="str">
        <f>IF('Marks Entry'!X194="","",'Marks Entry'!X194)</f>
        <v/>
      </c>
      <c r="AP194" s="572" t="str">
        <f t="shared" si="430"/>
        <v/>
      </c>
      <c r="AQ194" s="573" t="str">
        <f>IF('Marks Entry'!Y194="","",'Marks Entry'!Y194)</f>
        <v/>
      </c>
      <c r="AR194" s="573" t="str">
        <f>IF('Marks Entry'!Z194="","",'Marks Entry'!Z194)</f>
        <v/>
      </c>
      <c r="AS194" s="572" t="str">
        <f t="shared" si="431"/>
        <v/>
      </c>
      <c r="AT194" s="572" t="str">
        <f t="shared" si="432"/>
        <v/>
      </c>
      <c r="AU194" s="573" t="str">
        <f>IF('Marks Entry'!AA194="","",'Marks Entry'!AA194)</f>
        <v/>
      </c>
      <c r="AV194" s="573" t="str">
        <f>IF('Marks Entry'!AB194="","",'Marks Entry'!AB194)</f>
        <v/>
      </c>
      <c r="AW194" s="572" t="str">
        <f t="shared" si="433"/>
        <v/>
      </c>
      <c r="AX194" s="157" t="str">
        <f t="shared" si="434"/>
        <v/>
      </c>
      <c r="AY194" s="157" t="str">
        <f t="shared" si="435"/>
        <v/>
      </c>
      <c r="AZ194" s="192" t="str">
        <f t="shared" si="436"/>
        <v/>
      </c>
      <c r="BA194" s="153">
        <f t="shared" si="437"/>
        <v>0</v>
      </c>
      <c r="BB194" s="154">
        <f t="shared" si="438"/>
        <v>0</v>
      </c>
      <c r="BC194" s="154" t="str">
        <f t="shared" si="439"/>
        <v/>
      </c>
      <c r="BD194" s="154" t="str">
        <f t="shared" si="440"/>
        <v/>
      </c>
      <c r="BE194" s="154" t="str">
        <f t="shared" si="441"/>
        <v/>
      </c>
      <c r="BF194" s="153" t="str">
        <f t="shared" si="442"/>
        <v/>
      </c>
      <c r="BG194" s="154" t="str">
        <f t="shared" si="443"/>
        <v/>
      </c>
      <c r="BH194" s="153" t="str">
        <f t="shared" si="444"/>
        <v/>
      </c>
      <c r="BI194" s="580" t="str">
        <f>IF('Marks Entry'!AC194="","",'Marks Entry'!AC194)</f>
        <v/>
      </c>
      <c r="BJ194" s="580" t="str">
        <f>IF('Marks Entry'!AD194="","",'Marks Entry'!AD194)</f>
        <v/>
      </c>
      <c r="BK194" s="580" t="str">
        <f>IF('Marks Entry'!AE194="","",'Marks Entry'!AE194)</f>
        <v/>
      </c>
      <c r="BL194" s="580" t="str">
        <f>IF('Marks Entry'!AF194="","",'Marks Entry'!AF194)</f>
        <v/>
      </c>
      <c r="BM194" s="581" t="str">
        <f t="shared" si="445"/>
        <v/>
      </c>
      <c r="BN194" s="580" t="str">
        <f>IF('Marks Entry'!AG194="","",'Marks Entry'!AG194)</f>
        <v/>
      </c>
      <c r="BO194" s="580" t="str">
        <f>IF('Marks Entry'!AH194="","",'Marks Entry'!AH194)</f>
        <v/>
      </c>
      <c r="BP194" s="581" t="str">
        <f t="shared" si="446"/>
        <v/>
      </c>
      <c r="BQ194" s="581" t="str">
        <f t="shared" si="447"/>
        <v/>
      </c>
      <c r="BR194" s="580" t="str">
        <f>IF('Marks Entry'!AI194="","",'Marks Entry'!AI194)</f>
        <v/>
      </c>
      <c r="BS194" s="580" t="str">
        <f>IF('Marks Entry'!AJ194="","",'Marks Entry'!AJ194)</f>
        <v/>
      </c>
      <c r="BT194" s="581" t="str">
        <f t="shared" si="448"/>
        <v/>
      </c>
      <c r="BU194" s="157" t="str">
        <f t="shared" si="449"/>
        <v/>
      </c>
      <c r="BV194" s="157" t="str">
        <f t="shared" si="450"/>
        <v/>
      </c>
      <c r="BW194" s="192" t="str">
        <f t="shared" si="451"/>
        <v/>
      </c>
      <c r="BX194" s="153">
        <f t="shared" si="452"/>
        <v>0</v>
      </c>
      <c r="BY194" s="154">
        <f t="shared" si="453"/>
        <v>0</v>
      </c>
      <c r="BZ194" s="154" t="str">
        <f t="shared" si="454"/>
        <v/>
      </c>
      <c r="CA194" s="154" t="str">
        <f t="shared" si="455"/>
        <v/>
      </c>
      <c r="CB194" s="154" t="str">
        <f t="shared" si="456"/>
        <v/>
      </c>
      <c r="CC194" s="153" t="str">
        <f t="shared" si="457"/>
        <v/>
      </c>
      <c r="CD194" s="154" t="str">
        <f t="shared" si="458"/>
        <v/>
      </c>
      <c r="CE194" s="153" t="str">
        <f t="shared" si="459"/>
        <v/>
      </c>
      <c r="CF194" s="580" t="str">
        <f>IF('Marks Entry'!AK194="","",'Marks Entry'!AK194)</f>
        <v/>
      </c>
      <c r="CG194" s="580" t="str">
        <f>IF('Marks Entry'!AL194="","",'Marks Entry'!AL194)</f>
        <v/>
      </c>
      <c r="CH194" s="580" t="str">
        <f>IF('Marks Entry'!AM194="","",'Marks Entry'!AM194)</f>
        <v/>
      </c>
      <c r="CI194" s="580" t="str">
        <f>IF('Marks Entry'!AN194="","",'Marks Entry'!AN194)</f>
        <v/>
      </c>
      <c r="CJ194" s="581" t="str">
        <f t="shared" si="460"/>
        <v/>
      </c>
      <c r="CK194" s="580" t="str">
        <f>IF('Marks Entry'!AO194="","",'Marks Entry'!AO194)</f>
        <v/>
      </c>
      <c r="CL194" s="580" t="str">
        <f>IF('Marks Entry'!AP194="","",'Marks Entry'!AP194)</f>
        <v/>
      </c>
      <c r="CM194" s="581" t="str">
        <f t="shared" si="461"/>
        <v/>
      </c>
      <c r="CN194" s="581" t="str">
        <f t="shared" si="462"/>
        <v/>
      </c>
      <c r="CO194" s="580" t="str">
        <f>IF('Marks Entry'!AQ194="","",'Marks Entry'!AQ194)</f>
        <v/>
      </c>
      <c r="CP194" s="580" t="str">
        <f>IF('Marks Entry'!AR194="","",'Marks Entry'!AR194)</f>
        <v/>
      </c>
      <c r="CQ194" s="581" t="str">
        <f t="shared" si="463"/>
        <v/>
      </c>
      <c r="CR194" s="157" t="str">
        <f t="shared" si="464"/>
        <v/>
      </c>
      <c r="CS194" s="157" t="str">
        <f t="shared" si="465"/>
        <v/>
      </c>
      <c r="CT194" s="192" t="str">
        <f t="shared" si="466"/>
        <v/>
      </c>
      <c r="CU194" s="153">
        <f t="shared" si="467"/>
        <v>0</v>
      </c>
      <c r="CV194" s="154">
        <f t="shared" si="468"/>
        <v>0</v>
      </c>
      <c r="CW194" s="154" t="str">
        <f t="shared" si="469"/>
        <v/>
      </c>
      <c r="CX194" s="154" t="str">
        <f t="shared" si="470"/>
        <v/>
      </c>
      <c r="CY194" s="154" t="str">
        <f t="shared" si="471"/>
        <v/>
      </c>
      <c r="CZ194" s="153" t="str">
        <f t="shared" si="472"/>
        <v/>
      </c>
      <c r="DA194" s="154" t="str">
        <f t="shared" si="473"/>
        <v/>
      </c>
      <c r="DB194" s="153" t="str">
        <f t="shared" si="474"/>
        <v/>
      </c>
      <c r="DC194" s="154">
        <f t="shared" si="475"/>
        <v>0</v>
      </c>
      <c r="DD194" s="826" t="str">
        <f>IF('Marks Entry'!AS194="","",IF(OR('Master Sheet'!$D$19="YES",'Marks Entry'!$BA$1=1),'Marks Entry'!AS194,""))</f>
        <v/>
      </c>
      <c r="DE194" s="826" t="str">
        <f>IF('Marks Entry'!AT194="","",IF(OR('Master Sheet'!$D$19="YES",'Marks Entry'!$BA$1=1),'Marks Entry'!AT194,""))</f>
        <v/>
      </c>
      <c r="DF194" s="826" t="str">
        <f>IF('Marks Entry'!AU194="","",IF(OR('Master Sheet'!$D$19="YES",'Marks Entry'!$BA$1=1),'Marks Entry'!AU194,""))</f>
        <v/>
      </c>
      <c r="DG194" s="826" t="str">
        <f>IF('Marks Entry'!AV194="","",IF(OR('Master Sheet'!$D$19="YES",'Marks Entry'!$BA$1=1),'Marks Entry'!AV194,""))</f>
        <v/>
      </c>
      <c r="DH194" s="827" t="str">
        <f t="shared" si="476"/>
        <v/>
      </c>
      <c r="DI194" s="826" t="str">
        <f>IF('Marks Entry'!AW194="","",IF(OR('Master Sheet'!$D$19="YES",'Marks Entry'!$BA$1=1),'Marks Entry'!AW194,""))</f>
        <v/>
      </c>
      <c r="DJ194" s="826" t="str">
        <f>IF('Marks Entry'!AX194="","",IF(OR('Master Sheet'!$D$19="YES",'Marks Entry'!$BA$1=1),'Marks Entry'!AX194,""))</f>
        <v/>
      </c>
      <c r="DK194" s="827" t="str">
        <f t="shared" si="477"/>
        <v/>
      </c>
      <c r="DL194" s="827" t="str">
        <f t="shared" si="478"/>
        <v/>
      </c>
      <c r="DM194" s="826" t="str">
        <f>IF('Marks Entry'!AY194="","",IF(OR('Master Sheet'!$D$19="YES",'Marks Entry'!$BA$1=1),'Marks Entry'!AY194,""))</f>
        <v/>
      </c>
      <c r="DN194" s="826" t="str">
        <f>IF('Marks Entry'!AZ194="","",IF(OR('Master Sheet'!$D$19="YES",'Marks Entry'!$BA$1=1),'Marks Entry'!AZ194,""))</f>
        <v/>
      </c>
      <c r="DO194" s="826" t="str">
        <f>IF('Marks Entry'!BA194="","",IF(OR('Master Sheet'!$D$19="YES",'Marks Entry'!$BA$1=1),'Marks Entry'!BA194,""))</f>
        <v/>
      </c>
      <c r="DP194" s="827" t="str">
        <f t="shared" si="479"/>
        <v/>
      </c>
      <c r="DQ194" s="157" t="str">
        <f t="shared" si="480"/>
        <v/>
      </c>
      <c r="DR194" s="157" t="str">
        <f t="shared" si="481"/>
        <v/>
      </c>
      <c r="DS194" s="157" t="str">
        <f t="shared" si="482"/>
        <v/>
      </c>
      <c r="DT194" s="192" t="str">
        <f t="shared" si="483"/>
        <v/>
      </c>
      <c r="DU194" s="153">
        <f t="shared" si="484"/>
        <v>0</v>
      </c>
      <c r="DV194" s="154" t="e">
        <f t="shared" si="485"/>
        <v>#VALUE!</v>
      </c>
      <c r="DW194" s="154" t="str">
        <f t="shared" si="486"/>
        <v/>
      </c>
      <c r="DX194" s="154" t="str">
        <f>IF(OR($B194="NSO",$B194=0,DS194=""),"",IF(AND(DJ194="",DO194=""),"",IF('Master Sheet'!$D$19="YES",$DO$6-COUNTIF(DO194,"ML")*DO$6,DS$6-(COUNTIF(DJ194,"ML")*DJ$6)-(COUNTIF(DO194,"ML")*DO$6))))</f>
        <v/>
      </c>
      <c r="DY194" s="154" t="str">
        <f>IF(OR($B194="NSO",$B194=0),"",IF(AND(DH194="",DI194="",DM194=""),"",IF(AND('Master Sheet'!$D$19="YES",'Marks Entry'!$BA$1=1),100,IF(AND(DJ194="",DO194=""),SUM(($DQ$7+$DR$7)-(DU194+DV194)),SUM(($DQ$6+$DR$6)-(DU194+DV194))))))</f>
        <v/>
      </c>
      <c r="DZ194" s="153" t="str">
        <f t="shared" si="487"/>
        <v/>
      </c>
      <c r="EA194" s="154" t="str">
        <f t="shared" si="488"/>
        <v/>
      </c>
      <c r="EB194" s="153" t="str">
        <f t="shared" si="489"/>
        <v/>
      </c>
      <c r="EC194" s="584" t="str">
        <f>IF('Marks Entry'!BB194="","",'Marks Entry'!BB194)</f>
        <v/>
      </c>
      <c r="ED194" s="584" t="str">
        <f>IF('Marks Entry'!BC194="","",'Marks Entry'!BC194)</f>
        <v/>
      </c>
      <c r="EE194" s="584" t="str">
        <f>IF('Marks Entry'!BD194="","",'Marks Entry'!BD194)</f>
        <v/>
      </c>
      <c r="EF194" s="590" t="str">
        <f t="shared" si="490"/>
        <v/>
      </c>
      <c r="EG194" s="595">
        <f t="shared" si="491"/>
        <v>0</v>
      </c>
      <c r="EH194" s="595">
        <f t="shared" si="492"/>
        <v>0</v>
      </c>
      <c r="EI194" s="193" t="str">
        <f t="shared" si="493"/>
        <v/>
      </c>
      <c r="EJ194" s="595" t="str">
        <f t="shared" si="494"/>
        <v/>
      </c>
      <c r="EK194" s="595" t="str">
        <f t="shared" si="495"/>
        <v/>
      </c>
      <c r="EL194" s="194" t="str">
        <f t="shared" si="496"/>
        <v/>
      </c>
      <c r="EM194" s="194" t="str">
        <f t="shared" si="497"/>
        <v/>
      </c>
      <c r="EN194" s="194" t="str">
        <f t="shared" si="498"/>
        <v/>
      </c>
      <c r="EO194" s="194" t="str">
        <f t="shared" si="499"/>
        <v/>
      </c>
      <c r="EP194" s="194" t="str">
        <f t="shared" si="500"/>
        <v/>
      </c>
      <c r="EQ194" s="194" t="str">
        <f t="shared" si="501"/>
        <v/>
      </c>
      <c r="ER194" s="195">
        <f t="shared" si="502"/>
        <v>0</v>
      </c>
      <c r="ES194" s="195">
        <f t="shared" si="503"/>
        <v>0</v>
      </c>
      <c r="ET194" s="195">
        <f t="shared" si="504"/>
        <v>0</v>
      </c>
      <c r="EU194" s="195">
        <f t="shared" si="505"/>
        <v>0</v>
      </c>
      <c r="EV194" s="195">
        <f t="shared" si="506"/>
        <v>0</v>
      </c>
      <c r="EW194" s="195" t="str">
        <f t="shared" si="507"/>
        <v/>
      </c>
      <c r="EX194" s="196" t="str">
        <f t="shared" si="508"/>
        <v/>
      </c>
      <c r="EY194" s="197" t="str">
        <f>IF('Marks Entry'!BE194="","",'Marks Entry'!BE194)</f>
        <v/>
      </c>
      <c r="EZ194" s="197" t="str">
        <f>IF('Marks Entry'!BF194="","",'Marks Entry'!BF194)</f>
        <v/>
      </c>
      <c r="FA194" s="197" t="str">
        <f>IF('Marks Entry'!BG194="","",'Marks Entry'!BG194)</f>
        <v/>
      </c>
      <c r="FB194" s="596" t="str">
        <f t="shared" si="509"/>
        <v/>
      </c>
      <c r="FC194" s="197" t="str">
        <f>IF('Marks Entry'!BH194="","",'Marks Entry'!BH194)</f>
        <v/>
      </c>
      <c r="FD194" s="197" t="str">
        <f>IF('Marks Entry'!BI194="","",'Marks Entry'!BI194)</f>
        <v/>
      </c>
      <c r="FE194" s="198" t="str">
        <f t="shared" si="510"/>
        <v/>
      </c>
      <c r="FF194" s="199" t="str">
        <f t="shared" si="511"/>
        <v/>
      </c>
      <c r="FG194" s="200" t="str">
        <f>IF(AND(E194=""),"",IF('Student DATA Entry'!L190="","",'Student DATA Entry'!L190))</f>
        <v/>
      </c>
      <c r="FH194" s="201" t="str">
        <f>IF(AND(E194=""),"",IF('Student DATA Entry'!M190="","",'Student DATA Entry'!M190))</f>
        <v/>
      </c>
      <c r="FI194" s="202" t="str">
        <f t="shared" si="512"/>
        <v/>
      </c>
      <c r="FJ194" s="189" t="str">
        <f t="shared" si="513"/>
        <v/>
      </c>
      <c r="FK194" s="189" t="str">
        <f t="shared" si="514"/>
        <v/>
      </c>
      <c r="FL194" s="203" t="str">
        <f t="shared" si="542"/>
        <v/>
      </c>
      <c r="FM194" s="189" t="str">
        <f t="shared" si="515"/>
        <v/>
      </c>
      <c r="FN194" s="204" t="str">
        <f t="shared" si="516"/>
        <v/>
      </c>
      <c r="FO194" s="203" t="str">
        <f t="shared" si="543"/>
        <v/>
      </c>
      <c r="FP194" s="205" t="str">
        <f t="shared" si="517"/>
        <v/>
      </c>
      <c r="FQ194" s="189" t="str">
        <f t="shared" si="544"/>
        <v/>
      </c>
      <c r="FR194" s="189" t="str">
        <f t="shared" si="545"/>
        <v/>
      </c>
      <c r="FS194" s="189" t="str">
        <f t="shared" si="546"/>
        <v/>
      </c>
      <c r="FT194" s="189" t="str">
        <f t="shared" si="547"/>
        <v/>
      </c>
      <c r="FU194" s="189" t="str">
        <f t="shared" si="518"/>
        <v/>
      </c>
      <c r="FV194" s="206" t="str">
        <f t="shared" si="548"/>
        <v/>
      </c>
      <c r="FW194" s="205" t="str">
        <f t="shared" si="519"/>
        <v/>
      </c>
      <c r="FX194" s="189" t="str">
        <f t="shared" si="549"/>
        <v/>
      </c>
      <c r="FY194" s="189" t="str">
        <f t="shared" si="550"/>
        <v/>
      </c>
      <c r="FZ194" s="189" t="str">
        <f t="shared" si="551"/>
        <v/>
      </c>
      <c r="GA194" s="189" t="str">
        <f t="shared" si="552"/>
        <v/>
      </c>
      <c r="GB194" s="189" t="str">
        <f t="shared" si="520"/>
        <v/>
      </c>
      <c r="GC194" s="206" t="str">
        <f t="shared" si="553"/>
        <v/>
      </c>
      <c r="GD194" s="205" t="str">
        <f t="shared" si="521"/>
        <v/>
      </c>
      <c r="GE194" s="189" t="str">
        <f t="shared" si="554"/>
        <v/>
      </c>
      <c r="GF194" s="189" t="str">
        <f t="shared" si="555"/>
        <v/>
      </c>
      <c r="GG194" s="189" t="str">
        <f t="shared" si="556"/>
        <v/>
      </c>
      <c r="GH194" s="189" t="str">
        <f t="shared" si="557"/>
        <v/>
      </c>
      <c r="GI194" s="189" t="str">
        <f t="shared" si="522"/>
        <v/>
      </c>
      <c r="GJ194" s="206" t="str">
        <f t="shared" si="558"/>
        <v/>
      </c>
      <c r="GK194" s="205" t="str">
        <f t="shared" si="523"/>
        <v/>
      </c>
      <c r="GL194" s="189" t="str">
        <f t="shared" si="559"/>
        <v/>
      </c>
      <c r="GM194" s="189" t="str">
        <f t="shared" si="560"/>
        <v/>
      </c>
      <c r="GN194" s="189" t="str">
        <f t="shared" si="561"/>
        <v/>
      </c>
      <c r="GO194" s="189" t="str">
        <f t="shared" si="562"/>
        <v/>
      </c>
      <c r="GP194" s="189" t="str">
        <f t="shared" si="524"/>
        <v/>
      </c>
      <c r="GQ194" s="206" t="str">
        <f t="shared" si="563"/>
        <v/>
      </c>
      <c r="GR194" s="189" t="str">
        <f t="shared" si="525"/>
        <v/>
      </c>
      <c r="GS194" s="189" t="str">
        <f t="shared" si="526"/>
        <v/>
      </c>
      <c r="GT194" s="207" t="str">
        <f t="shared" si="527"/>
        <v xml:space="preserve">    </v>
      </c>
      <c r="GU194" s="207" t="str">
        <f t="shared" si="528"/>
        <v xml:space="preserve">    </v>
      </c>
      <c r="GV194" s="207" t="str">
        <f t="shared" si="529"/>
        <v xml:space="preserve">    </v>
      </c>
      <c r="GW194" s="207" t="str">
        <f t="shared" si="530"/>
        <v xml:space="preserve">       </v>
      </c>
      <c r="GX194" s="598" t="str">
        <f t="shared" si="531"/>
        <v xml:space="preserve">     </v>
      </c>
      <c r="GY194" s="208" t="str">
        <f t="shared" si="564"/>
        <v/>
      </c>
      <c r="GZ194" s="606" t="str">
        <f>IF(AND(Q194="",AE194="",AZ194="",BW194="",CT194=""),"",IF(AND('Master Sheet'!$D$19="YES",'Marks Entry'!$BA$1=1),SUM(Q194,AE194,AZ194,BW194,DT194),SUM(Q194,AE194,AZ194,BW194,CT194)))</f>
        <v/>
      </c>
      <c r="HA194" s="209" t="str">
        <f>IF(GZ194="","",IF(AND('Master Sheet'!$D$19="YES",'Marks Entry'!$BA$1=1),GZ194/((900)-DC194)*100,GZ194/((1000)-DC194)*100))</f>
        <v/>
      </c>
      <c r="HB194" s="611" t="str">
        <f t="shared" si="532"/>
        <v/>
      </c>
      <c r="HC194" s="609" t="str">
        <f t="shared" si="533"/>
        <v/>
      </c>
      <c r="HD194" s="610" t="str">
        <f t="shared" si="534"/>
        <v/>
      </c>
      <c r="HE194" s="210" t="str">
        <f>IFERROR(IF(OR(GY194="SUPPLEMENTARY",GY194="RE-EXAM"),'Supp. Result Entry'!AS193,""),"")</f>
        <v/>
      </c>
      <c r="HF194" s="613" t="str">
        <f t="shared" si="535"/>
        <v/>
      </c>
      <c r="HG194" s="598" t="str">
        <f t="shared" si="536"/>
        <v/>
      </c>
      <c r="HH194" s="598" t="str">
        <f>IF(AND(HE194="",HF194="",HG194=""),"",IF(OR(GY194="SUPPLEMENTARY",GY194="RE-EXAM"),'Supp. Result Entry'!AS193,GY194))</f>
        <v/>
      </c>
      <c r="HI194" s="180"/>
      <c r="HY194" s="212" t="str">
        <f>IF('Supp. Result Entry'!U193="","",'Supp. Result Entry'!$U$6)</f>
        <v/>
      </c>
      <c r="HZ194" s="213" t="str">
        <f>IF('Supp. Result Entry'!X193="","",'Supp. Result Entry'!$X$6)</f>
        <v/>
      </c>
      <c r="IA194" s="213" t="str">
        <f>IF('Supp. Result Entry'!AA193="","",'Supp. Result Entry'!$AA$6)</f>
        <v/>
      </c>
      <c r="IB194" s="213" t="str">
        <f>IF('Supp. Result Entry'!AD193="","",'Supp. Result Entry'!$AD$6)</f>
        <v/>
      </c>
      <c r="IC194" s="213" t="str">
        <f>IF('Supp. Result Entry'!AG193="","",'Supp. Result Entry'!$AG$6)</f>
        <v/>
      </c>
      <c r="ID194" s="213" t="str">
        <f>IF('Supp. Result Entry'!AJ193="","",'Supp. Result Entry'!$AJ$6)</f>
        <v/>
      </c>
      <c r="IE194" s="213" t="str">
        <f>IF('Supp. Result Entry'!V193="","",'Supp. Result Entry'!V193)</f>
        <v/>
      </c>
      <c r="IF194" s="213" t="str">
        <f>IF('Supp. Result Entry'!Y193="","",'Supp. Result Entry'!Y193)</f>
        <v/>
      </c>
      <c r="IG194" s="213" t="str">
        <f>IF('Supp. Result Entry'!AB193="","",'Supp. Result Entry'!AB193)</f>
        <v/>
      </c>
      <c r="IH194" s="213" t="str">
        <f>IF('Supp. Result Entry'!AE193="","",'Supp. Result Entry'!AE193)</f>
        <v/>
      </c>
      <c r="II194" s="213" t="str">
        <f>IF('Supp. Result Entry'!AH193="","",'Supp. Result Entry'!AH193)</f>
        <v/>
      </c>
      <c r="IJ194" s="213" t="str">
        <f>IF('Supp. Result Entry'!AK193="","",'Supp. Result Entry'!AK193)</f>
        <v/>
      </c>
      <c r="IK194" s="213" t="str">
        <f>IF('Supp. Result Entry'!W193="","",'Supp. Result Entry'!W193)</f>
        <v/>
      </c>
      <c r="IL194" s="213" t="str">
        <f>IF('Supp. Result Entry'!Z193="","",'Supp. Result Entry'!Z193)</f>
        <v/>
      </c>
      <c r="IM194" s="213" t="str">
        <f>IF('Supp. Result Entry'!AC193="","",'Supp. Result Entry'!AC193)</f>
        <v/>
      </c>
      <c r="IN194" s="213" t="str">
        <f>IF('Supp. Result Entry'!AF193="","",'Supp. Result Entry'!AF193)</f>
        <v/>
      </c>
      <c r="IO194" s="213" t="str">
        <f>IF('Supp. Result Entry'!AI193="","",'Supp. Result Entry'!AI193)</f>
        <v/>
      </c>
      <c r="IP194" s="213" t="str">
        <f>IF('Supp. Result Entry'!AL193="","",'Supp. Result Entry'!AL193)</f>
        <v/>
      </c>
      <c r="IQ194" s="213">
        <f>COUNTIF('Supp. Result Entry'!K193:Q193,"S")</f>
        <v>0</v>
      </c>
      <c r="IR194" s="213">
        <f t="shared" si="537"/>
        <v>0</v>
      </c>
      <c r="IS194" s="213">
        <f t="shared" si="538"/>
        <v>0</v>
      </c>
      <c r="IT194" s="213" t="str">
        <f t="shared" si="406"/>
        <v/>
      </c>
      <c r="IU194" s="213" t="str">
        <f t="shared" si="407"/>
        <v/>
      </c>
      <c r="IV194" s="213" t="str">
        <f t="shared" si="408"/>
        <v/>
      </c>
      <c r="IW194" s="213" t="str">
        <f t="shared" si="409"/>
        <v/>
      </c>
      <c r="IX194" s="213" t="str">
        <f t="shared" si="410"/>
        <v/>
      </c>
      <c r="IY194" s="213" t="str">
        <f t="shared" si="539"/>
        <v/>
      </c>
      <c r="IZ194" s="213" t="str">
        <f t="shared" si="540"/>
        <v/>
      </c>
      <c r="JA194" s="213" t="str">
        <f t="shared" si="411"/>
        <v/>
      </c>
      <c r="JB194" s="211" t="str">
        <f t="shared" si="541"/>
        <v/>
      </c>
    </row>
    <row r="195" spans="1:262" s="211" customFormat="1" ht="21" customHeight="1">
      <c r="A195" s="184">
        <v>188</v>
      </c>
      <c r="B195" s="185" t="str">
        <f>IF('Marks Entry'!B195="","",'Marks Entry'!B195)</f>
        <v/>
      </c>
      <c r="C195" s="186" t="str">
        <f>IF('Marks Entry'!D195="","",'Marks Entry'!D195)</f>
        <v/>
      </c>
      <c r="D195" s="187" t="str">
        <f>IF('Marks Entry'!E195="","",'Marks Entry'!E195)</f>
        <v/>
      </c>
      <c r="E195" s="188" t="str">
        <f>IF('Marks Entry'!F195="","",'Marks Entry'!F195)</f>
        <v/>
      </c>
      <c r="F195" s="188" t="str">
        <f>IF('Marks Entry'!G195="","",'Marks Entry'!G195)</f>
        <v/>
      </c>
      <c r="G195" s="188" t="str">
        <f>IF('Marks Entry'!H195="","",'Marks Entry'!H195)</f>
        <v/>
      </c>
      <c r="H195" s="189" t="str">
        <f>IF('Marks Entry'!I195="","",'Marks Entry'!I195)</f>
        <v/>
      </c>
      <c r="I195" s="190" t="str">
        <f>IF('Marks Entry'!J195="","",'Marks Entry'!J195)</f>
        <v/>
      </c>
      <c r="J195" s="545" t="str">
        <f>IF('Marks Entry'!K195="","",'Marks Entry'!K195)</f>
        <v/>
      </c>
      <c r="K195" s="545" t="str">
        <f>IF('Marks Entry'!L195="","",'Marks Entry'!L195)</f>
        <v/>
      </c>
      <c r="L195" s="545" t="str">
        <f>IF('Marks Entry'!M195="","",'Marks Entry'!M195)</f>
        <v/>
      </c>
      <c r="M195" s="546" t="str">
        <f t="shared" si="412"/>
        <v/>
      </c>
      <c r="N195" s="545" t="str">
        <f>IF('Marks Entry'!N195="","",'Marks Entry'!N195)</f>
        <v/>
      </c>
      <c r="O195" s="546" t="str">
        <f t="shared" si="413"/>
        <v/>
      </c>
      <c r="P195" s="545" t="str">
        <f>IF('Marks Entry'!O195="","",'Marks Entry'!O195)</f>
        <v/>
      </c>
      <c r="Q195" s="547" t="str">
        <f t="shared" si="414"/>
        <v/>
      </c>
      <c r="R195" s="153">
        <f t="shared" si="415"/>
        <v>0</v>
      </c>
      <c r="S195" s="153">
        <f t="shared" si="416"/>
        <v>0</v>
      </c>
      <c r="T195" s="154" t="str">
        <f t="shared" si="417"/>
        <v/>
      </c>
      <c r="U195" s="153" t="str">
        <f t="shared" si="418"/>
        <v/>
      </c>
      <c r="V195" s="153" t="str">
        <f t="shared" si="419"/>
        <v/>
      </c>
      <c r="W195" s="153" t="str">
        <f t="shared" si="420"/>
        <v/>
      </c>
      <c r="X195" s="545" t="str">
        <f>IF('Marks Entry'!P195="","",'Marks Entry'!P195)</f>
        <v/>
      </c>
      <c r="Y195" s="545" t="str">
        <f>IF('Marks Entry'!Q195="","",'Marks Entry'!Q195)</f>
        <v/>
      </c>
      <c r="Z195" s="545" t="str">
        <f>IF('Marks Entry'!R195="","",'Marks Entry'!R195)</f>
        <v/>
      </c>
      <c r="AA195" s="546" t="str">
        <f t="shared" si="421"/>
        <v/>
      </c>
      <c r="AB195" s="545" t="str">
        <f>IF('Marks Entry'!S195="","",'Marks Entry'!S195)</f>
        <v/>
      </c>
      <c r="AC195" s="546" t="str">
        <f t="shared" si="422"/>
        <v/>
      </c>
      <c r="AD195" s="545" t="str">
        <f>IF('Marks Entry'!T195="","",'Marks Entry'!T195)</f>
        <v/>
      </c>
      <c r="AE195" s="547" t="str">
        <f t="shared" si="423"/>
        <v/>
      </c>
      <c r="AF195" s="153">
        <f t="shared" si="424"/>
        <v>0</v>
      </c>
      <c r="AG195" s="153">
        <f t="shared" si="425"/>
        <v>0</v>
      </c>
      <c r="AH195" s="154" t="str">
        <f t="shared" si="426"/>
        <v/>
      </c>
      <c r="AI195" s="153" t="str">
        <f t="shared" si="427"/>
        <v/>
      </c>
      <c r="AJ195" s="153" t="str">
        <f t="shared" si="428"/>
        <v/>
      </c>
      <c r="AK195" s="153" t="str">
        <f t="shared" si="429"/>
        <v/>
      </c>
      <c r="AL195" s="573" t="str">
        <f>IF('Marks Entry'!U195="","",'Marks Entry'!U195)</f>
        <v/>
      </c>
      <c r="AM195" s="573" t="str">
        <f>IF('Marks Entry'!V195="","",'Marks Entry'!V195)</f>
        <v/>
      </c>
      <c r="AN195" s="573" t="str">
        <f>IF('Marks Entry'!W195="","",'Marks Entry'!W195)</f>
        <v/>
      </c>
      <c r="AO195" s="573" t="str">
        <f>IF('Marks Entry'!X195="","",'Marks Entry'!X195)</f>
        <v/>
      </c>
      <c r="AP195" s="572" t="str">
        <f t="shared" si="430"/>
        <v/>
      </c>
      <c r="AQ195" s="573" t="str">
        <f>IF('Marks Entry'!Y195="","",'Marks Entry'!Y195)</f>
        <v/>
      </c>
      <c r="AR195" s="573" t="str">
        <f>IF('Marks Entry'!Z195="","",'Marks Entry'!Z195)</f>
        <v/>
      </c>
      <c r="AS195" s="572" t="str">
        <f t="shared" si="431"/>
        <v/>
      </c>
      <c r="AT195" s="572" t="str">
        <f t="shared" si="432"/>
        <v/>
      </c>
      <c r="AU195" s="573" t="str">
        <f>IF('Marks Entry'!AA195="","",'Marks Entry'!AA195)</f>
        <v/>
      </c>
      <c r="AV195" s="573" t="str">
        <f>IF('Marks Entry'!AB195="","",'Marks Entry'!AB195)</f>
        <v/>
      </c>
      <c r="AW195" s="572" t="str">
        <f t="shared" si="433"/>
        <v/>
      </c>
      <c r="AX195" s="157" t="str">
        <f t="shared" si="434"/>
        <v/>
      </c>
      <c r="AY195" s="157" t="str">
        <f t="shared" si="435"/>
        <v/>
      </c>
      <c r="AZ195" s="192" t="str">
        <f t="shared" si="436"/>
        <v/>
      </c>
      <c r="BA195" s="153">
        <f t="shared" si="437"/>
        <v>0</v>
      </c>
      <c r="BB195" s="154">
        <f t="shared" si="438"/>
        <v>0</v>
      </c>
      <c r="BC195" s="154" t="str">
        <f t="shared" si="439"/>
        <v/>
      </c>
      <c r="BD195" s="154" t="str">
        <f t="shared" si="440"/>
        <v/>
      </c>
      <c r="BE195" s="154" t="str">
        <f t="shared" si="441"/>
        <v/>
      </c>
      <c r="BF195" s="153" t="str">
        <f t="shared" si="442"/>
        <v/>
      </c>
      <c r="BG195" s="154" t="str">
        <f t="shared" si="443"/>
        <v/>
      </c>
      <c r="BH195" s="153" t="str">
        <f t="shared" si="444"/>
        <v/>
      </c>
      <c r="BI195" s="580" t="str">
        <f>IF('Marks Entry'!AC195="","",'Marks Entry'!AC195)</f>
        <v/>
      </c>
      <c r="BJ195" s="580" t="str">
        <f>IF('Marks Entry'!AD195="","",'Marks Entry'!AD195)</f>
        <v/>
      </c>
      <c r="BK195" s="580" t="str">
        <f>IF('Marks Entry'!AE195="","",'Marks Entry'!AE195)</f>
        <v/>
      </c>
      <c r="BL195" s="580" t="str">
        <f>IF('Marks Entry'!AF195="","",'Marks Entry'!AF195)</f>
        <v/>
      </c>
      <c r="BM195" s="581" t="str">
        <f t="shared" si="445"/>
        <v/>
      </c>
      <c r="BN195" s="580" t="str">
        <f>IF('Marks Entry'!AG195="","",'Marks Entry'!AG195)</f>
        <v/>
      </c>
      <c r="BO195" s="580" t="str">
        <f>IF('Marks Entry'!AH195="","",'Marks Entry'!AH195)</f>
        <v/>
      </c>
      <c r="BP195" s="581" t="str">
        <f t="shared" si="446"/>
        <v/>
      </c>
      <c r="BQ195" s="581" t="str">
        <f t="shared" si="447"/>
        <v/>
      </c>
      <c r="BR195" s="580" t="str">
        <f>IF('Marks Entry'!AI195="","",'Marks Entry'!AI195)</f>
        <v/>
      </c>
      <c r="BS195" s="580" t="str">
        <f>IF('Marks Entry'!AJ195="","",'Marks Entry'!AJ195)</f>
        <v/>
      </c>
      <c r="BT195" s="581" t="str">
        <f t="shared" si="448"/>
        <v/>
      </c>
      <c r="BU195" s="157" t="str">
        <f t="shared" si="449"/>
        <v/>
      </c>
      <c r="BV195" s="157" t="str">
        <f t="shared" si="450"/>
        <v/>
      </c>
      <c r="BW195" s="192" t="str">
        <f t="shared" si="451"/>
        <v/>
      </c>
      <c r="BX195" s="153">
        <f t="shared" si="452"/>
        <v>0</v>
      </c>
      <c r="BY195" s="154">
        <f t="shared" si="453"/>
        <v>0</v>
      </c>
      <c r="BZ195" s="154" t="str">
        <f t="shared" si="454"/>
        <v/>
      </c>
      <c r="CA195" s="154" t="str">
        <f t="shared" si="455"/>
        <v/>
      </c>
      <c r="CB195" s="154" t="str">
        <f t="shared" si="456"/>
        <v/>
      </c>
      <c r="CC195" s="153" t="str">
        <f t="shared" si="457"/>
        <v/>
      </c>
      <c r="CD195" s="154" t="str">
        <f t="shared" si="458"/>
        <v/>
      </c>
      <c r="CE195" s="153" t="str">
        <f t="shared" si="459"/>
        <v/>
      </c>
      <c r="CF195" s="580" t="str">
        <f>IF('Marks Entry'!AK195="","",'Marks Entry'!AK195)</f>
        <v/>
      </c>
      <c r="CG195" s="580" t="str">
        <f>IF('Marks Entry'!AL195="","",'Marks Entry'!AL195)</f>
        <v/>
      </c>
      <c r="CH195" s="580" t="str">
        <f>IF('Marks Entry'!AM195="","",'Marks Entry'!AM195)</f>
        <v/>
      </c>
      <c r="CI195" s="580" t="str">
        <f>IF('Marks Entry'!AN195="","",'Marks Entry'!AN195)</f>
        <v/>
      </c>
      <c r="CJ195" s="581" t="str">
        <f t="shared" si="460"/>
        <v/>
      </c>
      <c r="CK195" s="580" t="str">
        <f>IF('Marks Entry'!AO195="","",'Marks Entry'!AO195)</f>
        <v/>
      </c>
      <c r="CL195" s="580" t="str">
        <f>IF('Marks Entry'!AP195="","",'Marks Entry'!AP195)</f>
        <v/>
      </c>
      <c r="CM195" s="581" t="str">
        <f t="shared" si="461"/>
        <v/>
      </c>
      <c r="CN195" s="581" t="str">
        <f t="shared" si="462"/>
        <v/>
      </c>
      <c r="CO195" s="580" t="str">
        <f>IF('Marks Entry'!AQ195="","",'Marks Entry'!AQ195)</f>
        <v/>
      </c>
      <c r="CP195" s="580" t="str">
        <f>IF('Marks Entry'!AR195="","",'Marks Entry'!AR195)</f>
        <v/>
      </c>
      <c r="CQ195" s="581" t="str">
        <f t="shared" si="463"/>
        <v/>
      </c>
      <c r="CR195" s="157" t="str">
        <f t="shared" si="464"/>
        <v/>
      </c>
      <c r="CS195" s="157" t="str">
        <f t="shared" si="465"/>
        <v/>
      </c>
      <c r="CT195" s="192" t="str">
        <f t="shared" si="466"/>
        <v/>
      </c>
      <c r="CU195" s="153">
        <f t="shared" si="467"/>
        <v>0</v>
      </c>
      <c r="CV195" s="154">
        <f t="shared" si="468"/>
        <v>0</v>
      </c>
      <c r="CW195" s="154" t="str">
        <f t="shared" si="469"/>
        <v/>
      </c>
      <c r="CX195" s="154" t="str">
        <f t="shared" si="470"/>
        <v/>
      </c>
      <c r="CY195" s="154" t="str">
        <f t="shared" si="471"/>
        <v/>
      </c>
      <c r="CZ195" s="153" t="str">
        <f t="shared" si="472"/>
        <v/>
      </c>
      <c r="DA195" s="154" t="str">
        <f t="shared" si="473"/>
        <v/>
      </c>
      <c r="DB195" s="153" t="str">
        <f t="shared" si="474"/>
        <v/>
      </c>
      <c r="DC195" s="154">
        <f t="shared" si="475"/>
        <v>0</v>
      </c>
      <c r="DD195" s="826" t="str">
        <f>IF('Marks Entry'!AS195="","",IF(OR('Master Sheet'!$D$19="YES",'Marks Entry'!$BA$1=1),'Marks Entry'!AS195,""))</f>
        <v/>
      </c>
      <c r="DE195" s="826" t="str">
        <f>IF('Marks Entry'!AT195="","",IF(OR('Master Sheet'!$D$19="YES",'Marks Entry'!$BA$1=1),'Marks Entry'!AT195,""))</f>
        <v/>
      </c>
      <c r="DF195" s="826" t="str">
        <f>IF('Marks Entry'!AU195="","",IF(OR('Master Sheet'!$D$19="YES",'Marks Entry'!$BA$1=1),'Marks Entry'!AU195,""))</f>
        <v/>
      </c>
      <c r="DG195" s="826" t="str">
        <f>IF('Marks Entry'!AV195="","",IF(OR('Master Sheet'!$D$19="YES",'Marks Entry'!$BA$1=1),'Marks Entry'!AV195,""))</f>
        <v/>
      </c>
      <c r="DH195" s="827" t="str">
        <f t="shared" si="476"/>
        <v/>
      </c>
      <c r="DI195" s="826" t="str">
        <f>IF('Marks Entry'!AW195="","",IF(OR('Master Sheet'!$D$19="YES",'Marks Entry'!$BA$1=1),'Marks Entry'!AW195,""))</f>
        <v/>
      </c>
      <c r="DJ195" s="826" t="str">
        <f>IF('Marks Entry'!AX195="","",IF(OR('Master Sheet'!$D$19="YES",'Marks Entry'!$BA$1=1),'Marks Entry'!AX195,""))</f>
        <v/>
      </c>
      <c r="DK195" s="827" t="str">
        <f t="shared" si="477"/>
        <v/>
      </c>
      <c r="DL195" s="827" t="str">
        <f t="shared" si="478"/>
        <v/>
      </c>
      <c r="DM195" s="826" t="str">
        <f>IF('Marks Entry'!AY195="","",IF(OR('Master Sheet'!$D$19="YES",'Marks Entry'!$BA$1=1),'Marks Entry'!AY195,""))</f>
        <v/>
      </c>
      <c r="DN195" s="826" t="str">
        <f>IF('Marks Entry'!AZ195="","",IF(OR('Master Sheet'!$D$19="YES",'Marks Entry'!$BA$1=1),'Marks Entry'!AZ195,""))</f>
        <v/>
      </c>
      <c r="DO195" s="826" t="str">
        <f>IF('Marks Entry'!BA195="","",IF(OR('Master Sheet'!$D$19="YES",'Marks Entry'!$BA$1=1),'Marks Entry'!BA195,""))</f>
        <v/>
      </c>
      <c r="DP195" s="827" t="str">
        <f t="shared" si="479"/>
        <v/>
      </c>
      <c r="DQ195" s="157" t="str">
        <f t="shared" si="480"/>
        <v/>
      </c>
      <c r="DR195" s="157" t="str">
        <f t="shared" si="481"/>
        <v/>
      </c>
      <c r="DS195" s="157" t="str">
        <f t="shared" si="482"/>
        <v/>
      </c>
      <c r="DT195" s="192" t="str">
        <f t="shared" si="483"/>
        <v/>
      </c>
      <c r="DU195" s="153">
        <f t="shared" si="484"/>
        <v>0</v>
      </c>
      <c r="DV195" s="154" t="e">
        <f t="shared" si="485"/>
        <v>#VALUE!</v>
      </c>
      <c r="DW195" s="154" t="str">
        <f t="shared" si="486"/>
        <v/>
      </c>
      <c r="DX195" s="154" t="str">
        <f>IF(OR($B195="NSO",$B195=0,DS195=""),"",IF(AND(DJ195="",DO195=""),"",IF('Master Sheet'!$D$19="YES",$DO$6-COUNTIF(DO195,"ML")*DO$6,DS$6-(COUNTIF(DJ195,"ML")*DJ$6)-(COUNTIF(DO195,"ML")*DO$6))))</f>
        <v/>
      </c>
      <c r="DY195" s="154" t="str">
        <f>IF(OR($B195="NSO",$B195=0),"",IF(AND(DH195="",DI195="",DM195=""),"",IF(AND('Master Sheet'!$D$19="YES",'Marks Entry'!$BA$1=1),100,IF(AND(DJ195="",DO195=""),SUM(($DQ$7+$DR$7)-(DU195+DV195)),SUM(($DQ$6+$DR$6)-(DU195+DV195))))))</f>
        <v/>
      </c>
      <c r="DZ195" s="153" t="str">
        <f t="shared" si="487"/>
        <v/>
      </c>
      <c r="EA195" s="154" t="str">
        <f t="shared" si="488"/>
        <v/>
      </c>
      <c r="EB195" s="153" t="str">
        <f t="shared" si="489"/>
        <v/>
      </c>
      <c r="EC195" s="584" t="str">
        <f>IF('Marks Entry'!BB195="","",'Marks Entry'!BB195)</f>
        <v/>
      </c>
      <c r="ED195" s="584" t="str">
        <f>IF('Marks Entry'!BC195="","",'Marks Entry'!BC195)</f>
        <v/>
      </c>
      <c r="EE195" s="584" t="str">
        <f>IF('Marks Entry'!BD195="","",'Marks Entry'!BD195)</f>
        <v/>
      </c>
      <c r="EF195" s="590" t="str">
        <f t="shared" si="490"/>
        <v/>
      </c>
      <c r="EG195" s="595">
        <f t="shared" si="491"/>
        <v>0</v>
      </c>
      <c r="EH195" s="595">
        <f t="shared" si="492"/>
        <v>0</v>
      </c>
      <c r="EI195" s="193" t="str">
        <f t="shared" si="493"/>
        <v/>
      </c>
      <c r="EJ195" s="595" t="str">
        <f t="shared" si="494"/>
        <v/>
      </c>
      <c r="EK195" s="595" t="str">
        <f t="shared" si="495"/>
        <v/>
      </c>
      <c r="EL195" s="194" t="str">
        <f t="shared" si="496"/>
        <v/>
      </c>
      <c r="EM195" s="194" t="str">
        <f t="shared" si="497"/>
        <v/>
      </c>
      <c r="EN195" s="194" t="str">
        <f t="shared" si="498"/>
        <v/>
      </c>
      <c r="EO195" s="194" t="str">
        <f t="shared" si="499"/>
        <v/>
      </c>
      <c r="EP195" s="194" t="str">
        <f t="shared" si="500"/>
        <v/>
      </c>
      <c r="EQ195" s="194" t="str">
        <f t="shared" si="501"/>
        <v/>
      </c>
      <c r="ER195" s="195">
        <f t="shared" si="502"/>
        <v>0</v>
      </c>
      <c r="ES195" s="195">
        <f t="shared" si="503"/>
        <v>0</v>
      </c>
      <c r="ET195" s="195">
        <f t="shared" si="504"/>
        <v>0</v>
      </c>
      <c r="EU195" s="195">
        <f t="shared" si="505"/>
        <v>0</v>
      </c>
      <c r="EV195" s="195">
        <f t="shared" si="506"/>
        <v>0</v>
      </c>
      <c r="EW195" s="195" t="str">
        <f t="shared" si="507"/>
        <v/>
      </c>
      <c r="EX195" s="196" t="str">
        <f t="shared" si="508"/>
        <v/>
      </c>
      <c r="EY195" s="197" t="str">
        <f>IF('Marks Entry'!BE195="","",'Marks Entry'!BE195)</f>
        <v/>
      </c>
      <c r="EZ195" s="197" t="str">
        <f>IF('Marks Entry'!BF195="","",'Marks Entry'!BF195)</f>
        <v/>
      </c>
      <c r="FA195" s="197" t="str">
        <f>IF('Marks Entry'!BG195="","",'Marks Entry'!BG195)</f>
        <v/>
      </c>
      <c r="FB195" s="596" t="str">
        <f t="shared" si="509"/>
        <v/>
      </c>
      <c r="FC195" s="197" t="str">
        <f>IF('Marks Entry'!BH195="","",'Marks Entry'!BH195)</f>
        <v/>
      </c>
      <c r="FD195" s="197" t="str">
        <f>IF('Marks Entry'!BI195="","",'Marks Entry'!BI195)</f>
        <v/>
      </c>
      <c r="FE195" s="198" t="str">
        <f t="shared" si="510"/>
        <v/>
      </c>
      <c r="FF195" s="199" t="str">
        <f t="shared" si="511"/>
        <v/>
      </c>
      <c r="FG195" s="200" t="str">
        <f>IF(AND(E195=""),"",IF('Student DATA Entry'!L191="","",'Student DATA Entry'!L191))</f>
        <v/>
      </c>
      <c r="FH195" s="201" t="str">
        <f>IF(AND(E195=""),"",IF('Student DATA Entry'!M191="","",'Student DATA Entry'!M191))</f>
        <v/>
      </c>
      <c r="FI195" s="202" t="str">
        <f t="shared" si="512"/>
        <v/>
      </c>
      <c r="FJ195" s="189" t="str">
        <f t="shared" si="513"/>
        <v/>
      </c>
      <c r="FK195" s="189" t="str">
        <f t="shared" si="514"/>
        <v/>
      </c>
      <c r="FL195" s="203" t="str">
        <f t="shared" si="542"/>
        <v/>
      </c>
      <c r="FM195" s="189" t="str">
        <f t="shared" si="515"/>
        <v/>
      </c>
      <c r="FN195" s="204" t="str">
        <f t="shared" si="516"/>
        <v/>
      </c>
      <c r="FO195" s="203" t="str">
        <f t="shared" si="543"/>
        <v/>
      </c>
      <c r="FP195" s="205" t="str">
        <f t="shared" si="517"/>
        <v/>
      </c>
      <c r="FQ195" s="189" t="str">
        <f t="shared" si="544"/>
        <v/>
      </c>
      <c r="FR195" s="189" t="str">
        <f t="shared" si="545"/>
        <v/>
      </c>
      <c r="FS195" s="189" t="str">
        <f t="shared" si="546"/>
        <v/>
      </c>
      <c r="FT195" s="189" t="str">
        <f t="shared" si="547"/>
        <v/>
      </c>
      <c r="FU195" s="189" t="str">
        <f t="shared" si="518"/>
        <v/>
      </c>
      <c r="FV195" s="206" t="str">
        <f t="shared" si="548"/>
        <v/>
      </c>
      <c r="FW195" s="205" t="str">
        <f t="shared" si="519"/>
        <v/>
      </c>
      <c r="FX195" s="189" t="str">
        <f t="shared" si="549"/>
        <v/>
      </c>
      <c r="FY195" s="189" t="str">
        <f t="shared" si="550"/>
        <v/>
      </c>
      <c r="FZ195" s="189" t="str">
        <f t="shared" si="551"/>
        <v/>
      </c>
      <c r="GA195" s="189" t="str">
        <f t="shared" si="552"/>
        <v/>
      </c>
      <c r="GB195" s="189" t="str">
        <f t="shared" si="520"/>
        <v/>
      </c>
      <c r="GC195" s="206" t="str">
        <f t="shared" si="553"/>
        <v/>
      </c>
      <c r="GD195" s="205" t="str">
        <f t="shared" si="521"/>
        <v/>
      </c>
      <c r="GE195" s="189" t="str">
        <f t="shared" si="554"/>
        <v/>
      </c>
      <c r="GF195" s="189" t="str">
        <f t="shared" si="555"/>
        <v/>
      </c>
      <c r="GG195" s="189" t="str">
        <f t="shared" si="556"/>
        <v/>
      </c>
      <c r="GH195" s="189" t="str">
        <f t="shared" si="557"/>
        <v/>
      </c>
      <c r="GI195" s="189" t="str">
        <f t="shared" si="522"/>
        <v/>
      </c>
      <c r="GJ195" s="206" t="str">
        <f t="shared" si="558"/>
        <v/>
      </c>
      <c r="GK195" s="205" t="str">
        <f t="shared" si="523"/>
        <v/>
      </c>
      <c r="GL195" s="189" t="str">
        <f t="shared" si="559"/>
        <v/>
      </c>
      <c r="GM195" s="189" t="str">
        <f t="shared" si="560"/>
        <v/>
      </c>
      <c r="GN195" s="189" t="str">
        <f t="shared" si="561"/>
        <v/>
      </c>
      <c r="GO195" s="189" t="str">
        <f t="shared" si="562"/>
        <v/>
      </c>
      <c r="GP195" s="189" t="str">
        <f t="shared" si="524"/>
        <v/>
      </c>
      <c r="GQ195" s="206" t="str">
        <f t="shared" si="563"/>
        <v/>
      </c>
      <c r="GR195" s="189" t="str">
        <f t="shared" si="525"/>
        <v/>
      </c>
      <c r="GS195" s="189" t="str">
        <f t="shared" si="526"/>
        <v/>
      </c>
      <c r="GT195" s="207" t="str">
        <f t="shared" si="527"/>
        <v xml:space="preserve">    </v>
      </c>
      <c r="GU195" s="207" t="str">
        <f t="shared" si="528"/>
        <v xml:space="preserve">    </v>
      </c>
      <c r="GV195" s="207" t="str">
        <f t="shared" si="529"/>
        <v xml:space="preserve">    </v>
      </c>
      <c r="GW195" s="207" t="str">
        <f t="shared" si="530"/>
        <v xml:space="preserve">       </v>
      </c>
      <c r="GX195" s="598" t="str">
        <f t="shared" si="531"/>
        <v xml:space="preserve">     </v>
      </c>
      <c r="GY195" s="208" t="str">
        <f t="shared" si="564"/>
        <v/>
      </c>
      <c r="GZ195" s="606" t="str">
        <f>IF(AND(Q195="",AE195="",AZ195="",BW195="",CT195=""),"",IF(AND('Master Sheet'!$D$19="YES",'Marks Entry'!$BA$1=1),SUM(Q195,AE195,AZ195,BW195,DT195),SUM(Q195,AE195,AZ195,BW195,CT195)))</f>
        <v/>
      </c>
      <c r="HA195" s="209" t="str">
        <f>IF(GZ195="","",IF(AND('Master Sheet'!$D$19="YES",'Marks Entry'!$BA$1=1),GZ195/((900)-DC195)*100,GZ195/((1000)-DC195)*100))</f>
        <v/>
      </c>
      <c r="HB195" s="611" t="str">
        <f t="shared" si="532"/>
        <v/>
      </c>
      <c r="HC195" s="609" t="str">
        <f t="shared" si="533"/>
        <v/>
      </c>
      <c r="HD195" s="610" t="str">
        <f t="shared" si="534"/>
        <v/>
      </c>
      <c r="HE195" s="210" t="str">
        <f>IFERROR(IF(OR(GY195="SUPPLEMENTARY",GY195="RE-EXAM"),'Supp. Result Entry'!AS194,""),"")</f>
        <v/>
      </c>
      <c r="HF195" s="613" t="str">
        <f t="shared" si="535"/>
        <v/>
      </c>
      <c r="HG195" s="598" t="str">
        <f t="shared" si="536"/>
        <v/>
      </c>
      <c r="HH195" s="598" t="str">
        <f>IF(AND(HE195="",HF195="",HG195=""),"",IF(OR(GY195="SUPPLEMENTARY",GY195="RE-EXAM"),'Supp. Result Entry'!AS194,GY195))</f>
        <v/>
      </c>
      <c r="HI195" s="180"/>
      <c r="HY195" s="212" t="str">
        <f>IF('Supp. Result Entry'!U194="","",'Supp. Result Entry'!$U$6)</f>
        <v/>
      </c>
      <c r="HZ195" s="213" t="str">
        <f>IF('Supp. Result Entry'!X194="","",'Supp. Result Entry'!$X$6)</f>
        <v/>
      </c>
      <c r="IA195" s="213" t="str">
        <f>IF('Supp. Result Entry'!AA194="","",'Supp. Result Entry'!$AA$6)</f>
        <v/>
      </c>
      <c r="IB195" s="213" t="str">
        <f>IF('Supp. Result Entry'!AD194="","",'Supp. Result Entry'!$AD$6)</f>
        <v/>
      </c>
      <c r="IC195" s="213" t="str">
        <f>IF('Supp. Result Entry'!AG194="","",'Supp. Result Entry'!$AG$6)</f>
        <v/>
      </c>
      <c r="ID195" s="213" t="str">
        <f>IF('Supp. Result Entry'!AJ194="","",'Supp. Result Entry'!$AJ$6)</f>
        <v/>
      </c>
      <c r="IE195" s="213" t="str">
        <f>IF('Supp. Result Entry'!V194="","",'Supp. Result Entry'!V194)</f>
        <v/>
      </c>
      <c r="IF195" s="213" t="str">
        <f>IF('Supp. Result Entry'!Y194="","",'Supp. Result Entry'!Y194)</f>
        <v/>
      </c>
      <c r="IG195" s="213" t="str">
        <f>IF('Supp. Result Entry'!AB194="","",'Supp. Result Entry'!AB194)</f>
        <v/>
      </c>
      <c r="IH195" s="213" t="str">
        <f>IF('Supp. Result Entry'!AE194="","",'Supp. Result Entry'!AE194)</f>
        <v/>
      </c>
      <c r="II195" s="213" t="str">
        <f>IF('Supp. Result Entry'!AH194="","",'Supp. Result Entry'!AH194)</f>
        <v/>
      </c>
      <c r="IJ195" s="213" t="str">
        <f>IF('Supp. Result Entry'!AK194="","",'Supp. Result Entry'!AK194)</f>
        <v/>
      </c>
      <c r="IK195" s="213" t="str">
        <f>IF('Supp. Result Entry'!W194="","",'Supp. Result Entry'!W194)</f>
        <v/>
      </c>
      <c r="IL195" s="213" t="str">
        <f>IF('Supp. Result Entry'!Z194="","",'Supp. Result Entry'!Z194)</f>
        <v/>
      </c>
      <c r="IM195" s="213" t="str">
        <f>IF('Supp. Result Entry'!AC194="","",'Supp. Result Entry'!AC194)</f>
        <v/>
      </c>
      <c r="IN195" s="213" t="str">
        <f>IF('Supp. Result Entry'!AF194="","",'Supp. Result Entry'!AF194)</f>
        <v/>
      </c>
      <c r="IO195" s="213" t="str">
        <f>IF('Supp. Result Entry'!AI194="","",'Supp. Result Entry'!AI194)</f>
        <v/>
      </c>
      <c r="IP195" s="213" t="str">
        <f>IF('Supp. Result Entry'!AL194="","",'Supp. Result Entry'!AL194)</f>
        <v/>
      </c>
      <c r="IQ195" s="213">
        <f>COUNTIF('Supp. Result Entry'!K194:Q194,"S")</f>
        <v>0</v>
      </c>
      <c r="IR195" s="213">
        <f t="shared" si="537"/>
        <v>0</v>
      </c>
      <c r="IS195" s="213">
        <f t="shared" si="538"/>
        <v>0</v>
      </c>
      <c r="IT195" s="213" t="str">
        <f t="shared" si="406"/>
        <v/>
      </c>
      <c r="IU195" s="213" t="str">
        <f t="shared" si="407"/>
        <v/>
      </c>
      <c r="IV195" s="213" t="str">
        <f t="shared" si="408"/>
        <v/>
      </c>
      <c r="IW195" s="213" t="str">
        <f t="shared" si="409"/>
        <v/>
      </c>
      <c r="IX195" s="213" t="str">
        <f t="shared" si="410"/>
        <v/>
      </c>
      <c r="IY195" s="213" t="str">
        <f t="shared" si="539"/>
        <v/>
      </c>
      <c r="IZ195" s="213" t="str">
        <f t="shared" si="540"/>
        <v/>
      </c>
      <c r="JA195" s="213" t="str">
        <f t="shared" si="411"/>
        <v/>
      </c>
      <c r="JB195" s="211" t="str">
        <f t="shared" si="541"/>
        <v/>
      </c>
    </row>
    <row r="196" spans="1:262" s="211" customFormat="1" ht="21" customHeight="1">
      <c r="A196" s="184">
        <v>189</v>
      </c>
      <c r="B196" s="185" t="str">
        <f>IF('Marks Entry'!B196="","",'Marks Entry'!B196)</f>
        <v/>
      </c>
      <c r="C196" s="186" t="str">
        <f>IF('Marks Entry'!D196="","",'Marks Entry'!D196)</f>
        <v/>
      </c>
      <c r="D196" s="187" t="str">
        <f>IF('Marks Entry'!E196="","",'Marks Entry'!E196)</f>
        <v/>
      </c>
      <c r="E196" s="188" t="str">
        <f>IF('Marks Entry'!F196="","",'Marks Entry'!F196)</f>
        <v/>
      </c>
      <c r="F196" s="188" t="str">
        <f>IF('Marks Entry'!G196="","",'Marks Entry'!G196)</f>
        <v/>
      </c>
      <c r="G196" s="188" t="str">
        <f>IF('Marks Entry'!H196="","",'Marks Entry'!H196)</f>
        <v/>
      </c>
      <c r="H196" s="189" t="str">
        <f>IF('Marks Entry'!I196="","",'Marks Entry'!I196)</f>
        <v/>
      </c>
      <c r="I196" s="190" t="str">
        <f>IF('Marks Entry'!J196="","",'Marks Entry'!J196)</f>
        <v/>
      </c>
      <c r="J196" s="545" t="str">
        <f>IF('Marks Entry'!K196="","",'Marks Entry'!K196)</f>
        <v/>
      </c>
      <c r="K196" s="545" t="str">
        <f>IF('Marks Entry'!L196="","",'Marks Entry'!L196)</f>
        <v/>
      </c>
      <c r="L196" s="545" t="str">
        <f>IF('Marks Entry'!M196="","",'Marks Entry'!M196)</f>
        <v/>
      </c>
      <c r="M196" s="546" t="str">
        <f t="shared" si="412"/>
        <v/>
      </c>
      <c r="N196" s="545" t="str">
        <f>IF('Marks Entry'!N196="","",'Marks Entry'!N196)</f>
        <v/>
      </c>
      <c r="O196" s="546" t="str">
        <f t="shared" si="413"/>
        <v/>
      </c>
      <c r="P196" s="545" t="str">
        <f>IF('Marks Entry'!O196="","",'Marks Entry'!O196)</f>
        <v/>
      </c>
      <c r="Q196" s="547" t="str">
        <f t="shared" si="414"/>
        <v/>
      </c>
      <c r="R196" s="153">
        <f t="shared" si="415"/>
        <v>0</v>
      </c>
      <c r="S196" s="153">
        <f t="shared" si="416"/>
        <v>0</v>
      </c>
      <c r="T196" s="154" t="str">
        <f t="shared" si="417"/>
        <v/>
      </c>
      <c r="U196" s="153" t="str">
        <f t="shared" si="418"/>
        <v/>
      </c>
      <c r="V196" s="153" t="str">
        <f t="shared" si="419"/>
        <v/>
      </c>
      <c r="W196" s="153" t="str">
        <f t="shared" si="420"/>
        <v/>
      </c>
      <c r="X196" s="545" t="str">
        <f>IF('Marks Entry'!P196="","",'Marks Entry'!P196)</f>
        <v/>
      </c>
      <c r="Y196" s="545" t="str">
        <f>IF('Marks Entry'!Q196="","",'Marks Entry'!Q196)</f>
        <v/>
      </c>
      <c r="Z196" s="545" t="str">
        <f>IF('Marks Entry'!R196="","",'Marks Entry'!R196)</f>
        <v/>
      </c>
      <c r="AA196" s="546" t="str">
        <f t="shared" si="421"/>
        <v/>
      </c>
      <c r="AB196" s="545" t="str">
        <f>IF('Marks Entry'!S196="","",'Marks Entry'!S196)</f>
        <v/>
      </c>
      <c r="AC196" s="546" t="str">
        <f t="shared" si="422"/>
        <v/>
      </c>
      <c r="AD196" s="545" t="str">
        <f>IF('Marks Entry'!T196="","",'Marks Entry'!T196)</f>
        <v/>
      </c>
      <c r="AE196" s="547" t="str">
        <f t="shared" si="423"/>
        <v/>
      </c>
      <c r="AF196" s="153">
        <f t="shared" si="424"/>
        <v>0</v>
      </c>
      <c r="AG196" s="153">
        <f t="shared" si="425"/>
        <v>0</v>
      </c>
      <c r="AH196" s="154" t="str">
        <f t="shared" si="426"/>
        <v/>
      </c>
      <c r="AI196" s="153" t="str">
        <f t="shared" si="427"/>
        <v/>
      </c>
      <c r="AJ196" s="153" t="str">
        <f t="shared" si="428"/>
        <v/>
      </c>
      <c r="AK196" s="153" t="str">
        <f t="shared" si="429"/>
        <v/>
      </c>
      <c r="AL196" s="573" t="str">
        <f>IF('Marks Entry'!U196="","",'Marks Entry'!U196)</f>
        <v/>
      </c>
      <c r="AM196" s="573" t="str">
        <f>IF('Marks Entry'!V196="","",'Marks Entry'!V196)</f>
        <v/>
      </c>
      <c r="AN196" s="573" t="str">
        <f>IF('Marks Entry'!W196="","",'Marks Entry'!W196)</f>
        <v/>
      </c>
      <c r="AO196" s="573" t="str">
        <f>IF('Marks Entry'!X196="","",'Marks Entry'!X196)</f>
        <v/>
      </c>
      <c r="AP196" s="572" t="str">
        <f t="shared" si="430"/>
        <v/>
      </c>
      <c r="AQ196" s="573" t="str">
        <f>IF('Marks Entry'!Y196="","",'Marks Entry'!Y196)</f>
        <v/>
      </c>
      <c r="AR196" s="573" t="str">
        <f>IF('Marks Entry'!Z196="","",'Marks Entry'!Z196)</f>
        <v/>
      </c>
      <c r="AS196" s="572" t="str">
        <f t="shared" si="431"/>
        <v/>
      </c>
      <c r="AT196" s="572" t="str">
        <f t="shared" si="432"/>
        <v/>
      </c>
      <c r="AU196" s="573" t="str">
        <f>IF('Marks Entry'!AA196="","",'Marks Entry'!AA196)</f>
        <v/>
      </c>
      <c r="AV196" s="573" t="str">
        <f>IF('Marks Entry'!AB196="","",'Marks Entry'!AB196)</f>
        <v/>
      </c>
      <c r="AW196" s="572" t="str">
        <f t="shared" si="433"/>
        <v/>
      </c>
      <c r="AX196" s="157" t="str">
        <f t="shared" si="434"/>
        <v/>
      </c>
      <c r="AY196" s="157" t="str">
        <f t="shared" si="435"/>
        <v/>
      </c>
      <c r="AZ196" s="192" t="str">
        <f t="shared" si="436"/>
        <v/>
      </c>
      <c r="BA196" s="153">
        <f t="shared" si="437"/>
        <v>0</v>
      </c>
      <c r="BB196" s="154">
        <f t="shared" si="438"/>
        <v>0</v>
      </c>
      <c r="BC196" s="154" t="str">
        <f t="shared" si="439"/>
        <v/>
      </c>
      <c r="BD196" s="154" t="str">
        <f t="shared" si="440"/>
        <v/>
      </c>
      <c r="BE196" s="154" t="str">
        <f t="shared" si="441"/>
        <v/>
      </c>
      <c r="BF196" s="153" t="str">
        <f t="shared" si="442"/>
        <v/>
      </c>
      <c r="BG196" s="154" t="str">
        <f t="shared" si="443"/>
        <v/>
      </c>
      <c r="BH196" s="153" t="str">
        <f t="shared" si="444"/>
        <v/>
      </c>
      <c r="BI196" s="580" t="str">
        <f>IF('Marks Entry'!AC196="","",'Marks Entry'!AC196)</f>
        <v/>
      </c>
      <c r="BJ196" s="580" t="str">
        <f>IF('Marks Entry'!AD196="","",'Marks Entry'!AD196)</f>
        <v/>
      </c>
      <c r="BK196" s="580" t="str">
        <f>IF('Marks Entry'!AE196="","",'Marks Entry'!AE196)</f>
        <v/>
      </c>
      <c r="BL196" s="580" t="str">
        <f>IF('Marks Entry'!AF196="","",'Marks Entry'!AF196)</f>
        <v/>
      </c>
      <c r="BM196" s="581" t="str">
        <f t="shared" si="445"/>
        <v/>
      </c>
      <c r="BN196" s="580" t="str">
        <f>IF('Marks Entry'!AG196="","",'Marks Entry'!AG196)</f>
        <v/>
      </c>
      <c r="BO196" s="580" t="str">
        <f>IF('Marks Entry'!AH196="","",'Marks Entry'!AH196)</f>
        <v/>
      </c>
      <c r="BP196" s="581" t="str">
        <f t="shared" si="446"/>
        <v/>
      </c>
      <c r="BQ196" s="581" t="str">
        <f t="shared" si="447"/>
        <v/>
      </c>
      <c r="BR196" s="580" t="str">
        <f>IF('Marks Entry'!AI196="","",'Marks Entry'!AI196)</f>
        <v/>
      </c>
      <c r="BS196" s="580" t="str">
        <f>IF('Marks Entry'!AJ196="","",'Marks Entry'!AJ196)</f>
        <v/>
      </c>
      <c r="BT196" s="581" t="str">
        <f t="shared" si="448"/>
        <v/>
      </c>
      <c r="BU196" s="157" t="str">
        <f t="shared" si="449"/>
        <v/>
      </c>
      <c r="BV196" s="157" t="str">
        <f t="shared" si="450"/>
        <v/>
      </c>
      <c r="BW196" s="192" t="str">
        <f t="shared" si="451"/>
        <v/>
      </c>
      <c r="BX196" s="153">
        <f t="shared" si="452"/>
        <v>0</v>
      </c>
      <c r="BY196" s="154">
        <f t="shared" si="453"/>
        <v>0</v>
      </c>
      <c r="BZ196" s="154" t="str">
        <f t="shared" si="454"/>
        <v/>
      </c>
      <c r="CA196" s="154" t="str">
        <f t="shared" si="455"/>
        <v/>
      </c>
      <c r="CB196" s="154" t="str">
        <f t="shared" si="456"/>
        <v/>
      </c>
      <c r="CC196" s="153" t="str">
        <f t="shared" si="457"/>
        <v/>
      </c>
      <c r="CD196" s="154" t="str">
        <f t="shared" si="458"/>
        <v/>
      </c>
      <c r="CE196" s="153" t="str">
        <f t="shared" si="459"/>
        <v/>
      </c>
      <c r="CF196" s="580" t="str">
        <f>IF('Marks Entry'!AK196="","",'Marks Entry'!AK196)</f>
        <v/>
      </c>
      <c r="CG196" s="580" t="str">
        <f>IF('Marks Entry'!AL196="","",'Marks Entry'!AL196)</f>
        <v/>
      </c>
      <c r="CH196" s="580" t="str">
        <f>IF('Marks Entry'!AM196="","",'Marks Entry'!AM196)</f>
        <v/>
      </c>
      <c r="CI196" s="580" t="str">
        <f>IF('Marks Entry'!AN196="","",'Marks Entry'!AN196)</f>
        <v/>
      </c>
      <c r="CJ196" s="581" t="str">
        <f t="shared" si="460"/>
        <v/>
      </c>
      <c r="CK196" s="580" t="str">
        <f>IF('Marks Entry'!AO196="","",'Marks Entry'!AO196)</f>
        <v/>
      </c>
      <c r="CL196" s="580" t="str">
        <f>IF('Marks Entry'!AP196="","",'Marks Entry'!AP196)</f>
        <v/>
      </c>
      <c r="CM196" s="581" t="str">
        <f t="shared" si="461"/>
        <v/>
      </c>
      <c r="CN196" s="581" t="str">
        <f t="shared" si="462"/>
        <v/>
      </c>
      <c r="CO196" s="580" t="str">
        <f>IF('Marks Entry'!AQ196="","",'Marks Entry'!AQ196)</f>
        <v/>
      </c>
      <c r="CP196" s="580" t="str">
        <f>IF('Marks Entry'!AR196="","",'Marks Entry'!AR196)</f>
        <v/>
      </c>
      <c r="CQ196" s="581" t="str">
        <f t="shared" si="463"/>
        <v/>
      </c>
      <c r="CR196" s="157" t="str">
        <f t="shared" si="464"/>
        <v/>
      </c>
      <c r="CS196" s="157" t="str">
        <f t="shared" si="465"/>
        <v/>
      </c>
      <c r="CT196" s="192" t="str">
        <f t="shared" si="466"/>
        <v/>
      </c>
      <c r="CU196" s="153">
        <f t="shared" si="467"/>
        <v>0</v>
      </c>
      <c r="CV196" s="154">
        <f t="shared" si="468"/>
        <v>0</v>
      </c>
      <c r="CW196" s="154" t="str">
        <f t="shared" si="469"/>
        <v/>
      </c>
      <c r="CX196" s="154" t="str">
        <f t="shared" si="470"/>
        <v/>
      </c>
      <c r="CY196" s="154" t="str">
        <f t="shared" si="471"/>
        <v/>
      </c>
      <c r="CZ196" s="153" t="str">
        <f t="shared" si="472"/>
        <v/>
      </c>
      <c r="DA196" s="154" t="str">
        <f t="shared" si="473"/>
        <v/>
      </c>
      <c r="DB196" s="153" t="str">
        <f t="shared" si="474"/>
        <v/>
      </c>
      <c r="DC196" s="154">
        <f t="shared" si="475"/>
        <v>0</v>
      </c>
      <c r="DD196" s="826" t="str">
        <f>IF('Marks Entry'!AS196="","",IF(OR('Master Sheet'!$D$19="YES",'Marks Entry'!$BA$1=1),'Marks Entry'!AS196,""))</f>
        <v/>
      </c>
      <c r="DE196" s="826" t="str">
        <f>IF('Marks Entry'!AT196="","",IF(OR('Master Sheet'!$D$19="YES",'Marks Entry'!$BA$1=1),'Marks Entry'!AT196,""))</f>
        <v/>
      </c>
      <c r="DF196" s="826" t="str">
        <f>IF('Marks Entry'!AU196="","",IF(OR('Master Sheet'!$D$19="YES",'Marks Entry'!$BA$1=1),'Marks Entry'!AU196,""))</f>
        <v/>
      </c>
      <c r="DG196" s="826" t="str">
        <f>IF('Marks Entry'!AV196="","",IF(OR('Master Sheet'!$D$19="YES",'Marks Entry'!$BA$1=1),'Marks Entry'!AV196,""))</f>
        <v/>
      </c>
      <c r="DH196" s="827" t="str">
        <f t="shared" si="476"/>
        <v/>
      </c>
      <c r="DI196" s="826" t="str">
        <f>IF('Marks Entry'!AW196="","",IF(OR('Master Sheet'!$D$19="YES",'Marks Entry'!$BA$1=1),'Marks Entry'!AW196,""))</f>
        <v/>
      </c>
      <c r="DJ196" s="826" t="str">
        <f>IF('Marks Entry'!AX196="","",IF(OR('Master Sheet'!$D$19="YES",'Marks Entry'!$BA$1=1),'Marks Entry'!AX196,""))</f>
        <v/>
      </c>
      <c r="DK196" s="827" t="str">
        <f t="shared" si="477"/>
        <v/>
      </c>
      <c r="DL196" s="827" t="str">
        <f t="shared" si="478"/>
        <v/>
      </c>
      <c r="DM196" s="826" t="str">
        <f>IF('Marks Entry'!AY196="","",IF(OR('Master Sheet'!$D$19="YES",'Marks Entry'!$BA$1=1),'Marks Entry'!AY196,""))</f>
        <v/>
      </c>
      <c r="DN196" s="826" t="str">
        <f>IF('Marks Entry'!AZ196="","",IF(OR('Master Sheet'!$D$19="YES",'Marks Entry'!$BA$1=1),'Marks Entry'!AZ196,""))</f>
        <v/>
      </c>
      <c r="DO196" s="826" t="str">
        <f>IF('Marks Entry'!BA196="","",IF(OR('Master Sheet'!$D$19="YES",'Marks Entry'!$BA$1=1),'Marks Entry'!BA196,""))</f>
        <v/>
      </c>
      <c r="DP196" s="827" t="str">
        <f t="shared" si="479"/>
        <v/>
      </c>
      <c r="DQ196" s="157" t="str">
        <f t="shared" si="480"/>
        <v/>
      </c>
      <c r="DR196" s="157" t="str">
        <f t="shared" si="481"/>
        <v/>
      </c>
      <c r="DS196" s="157" t="str">
        <f t="shared" si="482"/>
        <v/>
      </c>
      <c r="DT196" s="192" t="str">
        <f t="shared" si="483"/>
        <v/>
      </c>
      <c r="DU196" s="153">
        <f t="shared" si="484"/>
        <v>0</v>
      </c>
      <c r="DV196" s="154" t="e">
        <f t="shared" si="485"/>
        <v>#VALUE!</v>
      </c>
      <c r="DW196" s="154" t="str">
        <f t="shared" si="486"/>
        <v/>
      </c>
      <c r="DX196" s="154" t="str">
        <f>IF(OR($B196="NSO",$B196=0,DS196=""),"",IF(AND(DJ196="",DO196=""),"",IF('Master Sheet'!$D$19="YES",$DO$6-COUNTIF(DO196,"ML")*DO$6,DS$6-(COUNTIF(DJ196,"ML")*DJ$6)-(COUNTIF(DO196,"ML")*DO$6))))</f>
        <v/>
      </c>
      <c r="DY196" s="154" t="str">
        <f>IF(OR($B196="NSO",$B196=0),"",IF(AND(DH196="",DI196="",DM196=""),"",IF(AND('Master Sheet'!$D$19="YES",'Marks Entry'!$BA$1=1),100,IF(AND(DJ196="",DO196=""),SUM(($DQ$7+$DR$7)-(DU196+DV196)),SUM(($DQ$6+$DR$6)-(DU196+DV196))))))</f>
        <v/>
      </c>
      <c r="DZ196" s="153" t="str">
        <f t="shared" si="487"/>
        <v/>
      </c>
      <c r="EA196" s="154" t="str">
        <f t="shared" si="488"/>
        <v/>
      </c>
      <c r="EB196" s="153" t="str">
        <f t="shared" si="489"/>
        <v/>
      </c>
      <c r="EC196" s="584" t="str">
        <f>IF('Marks Entry'!BB196="","",'Marks Entry'!BB196)</f>
        <v/>
      </c>
      <c r="ED196" s="584" t="str">
        <f>IF('Marks Entry'!BC196="","",'Marks Entry'!BC196)</f>
        <v/>
      </c>
      <c r="EE196" s="584" t="str">
        <f>IF('Marks Entry'!BD196="","",'Marks Entry'!BD196)</f>
        <v/>
      </c>
      <c r="EF196" s="590" t="str">
        <f t="shared" si="490"/>
        <v/>
      </c>
      <c r="EG196" s="595">
        <f t="shared" si="491"/>
        <v>0</v>
      </c>
      <c r="EH196" s="595">
        <f t="shared" si="492"/>
        <v>0</v>
      </c>
      <c r="EI196" s="193" t="str">
        <f t="shared" si="493"/>
        <v/>
      </c>
      <c r="EJ196" s="595" t="str">
        <f t="shared" si="494"/>
        <v/>
      </c>
      <c r="EK196" s="595" t="str">
        <f t="shared" si="495"/>
        <v/>
      </c>
      <c r="EL196" s="194" t="str">
        <f t="shared" si="496"/>
        <v/>
      </c>
      <c r="EM196" s="194" t="str">
        <f t="shared" si="497"/>
        <v/>
      </c>
      <c r="EN196" s="194" t="str">
        <f t="shared" si="498"/>
        <v/>
      </c>
      <c r="EO196" s="194" t="str">
        <f t="shared" si="499"/>
        <v/>
      </c>
      <c r="EP196" s="194" t="str">
        <f t="shared" si="500"/>
        <v/>
      </c>
      <c r="EQ196" s="194" t="str">
        <f t="shared" si="501"/>
        <v/>
      </c>
      <c r="ER196" s="195">
        <f t="shared" si="502"/>
        <v>0</v>
      </c>
      <c r="ES196" s="195">
        <f t="shared" si="503"/>
        <v>0</v>
      </c>
      <c r="ET196" s="195">
        <f t="shared" si="504"/>
        <v>0</v>
      </c>
      <c r="EU196" s="195">
        <f t="shared" si="505"/>
        <v>0</v>
      </c>
      <c r="EV196" s="195">
        <f t="shared" si="506"/>
        <v>0</v>
      </c>
      <c r="EW196" s="195" t="str">
        <f t="shared" si="507"/>
        <v/>
      </c>
      <c r="EX196" s="196" t="str">
        <f t="shared" si="508"/>
        <v/>
      </c>
      <c r="EY196" s="197" t="str">
        <f>IF('Marks Entry'!BE196="","",'Marks Entry'!BE196)</f>
        <v/>
      </c>
      <c r="EZ196" s="197" t="str">
        <f>IF('Marks Entry'!BF196="","",'Marks Entry'!BF196)</f>
        <v/>
      </c>
      <c r="FA196" s="197" t="str">
        <f>IF('Marks Entry'!BG196="","",'Marks Entry'!BG196)</f>
        <v/>
      </c>
      <c r="FB196" s="596" t="str">
        <f t="shared" si="509"/>
        <v/>
      </c>
      <c r="FC196" s="197" t="str">
        <f>IF('Marks Entry'!BH196="","",'Marks Entry'!BH196)</f>
        <v/>
      </c>
      <c r="FD196" s="197" t="str">
        <f>IF('Marks Entry'!BI196="","",'Marks Entry'!BI196)</f>
        <v/>
      </c>
      <c r="FE196" s="198" t="str">
        <f t="shared" si="510"/>
        <v/>
      </c>
      <c r="FF196" s="199" t="str">
        <f t="shared" si="511"/>
        <v/>
      </c>
      <c r="FG196" s="200" t="str">
        <f>IF(AND(E196=""),"",IF('Student DATA Entry'!L192="","",'Student DATA Entry'!L192))</f>
        <v/>
      </c>
      <c r="FH196" s="201" t="str">
        <f>IF(AND(E196=""),"",IF('Student DATA Entry'!M192="","",'Student DATA Entry'!M192))</f>
        <v/>
      </c>
      <c r="FI196" s="202" t="str">
        <f t="shared" si="512"/>
        <v/>
      </c>
      <c r="FJ196" s="189" t="str">
        <f t="shared" si="513"/>
        <v/>
      </c>
      <c r="FK196" s="189" t="str">
        <f t="shared" si="514"/>
        <v/>
      </c>
      <c r="FL196" s="203" t="str">
        <f t="shared" si="542"/>
        <v/>
      </c>
      <c r="FM196" s="189" t="str">
        <f t="shared" si="515"/>
        <v/>
      </c>
      <c r="FN196" s="204" t="str">
        <f t="shared" si="516"/>
        <v/>
      </c>
      <c r="FO196" s="203" t="str">
        <f t="shared" si="543"/>
        <v/>
      </c>
      <c r="FP196" s="205" t="str">
        <f t="shared" si="517"/>
        <v/>
      </c>
      <c r="FQ196" s="189" t="str">
        <f t="shared" si="544"/>
        <v/>
      </c>
      <c r="FR196" s="189" t="str">
        <f t="shared" si="545"/>
        <v/>
      </c>
      <c r="FS196" s="189" t="str">
        <f t="shared" si="546"/>
        <v/>
      </c>
      <c r="FT196" s="189" t="str">
        <f t="shared" si="547"/>
        <v/>
      </c>
      <c r="FU196" s="189" t="str">
        <f t="shared" si="518"/>
        <v/>
      </c>
      <c r="FV196" s="206" t="str">
        <f t="shared" si="548"/>
        <v/>
      </c>
      <c r="FW196" s="205" t="str">
        <f t="shared" si="519"/>
        <v/>
      </c>
      <c r="FX196" s="189" t="str">
        <f t="shared" si="549"/>
        <v/>
      </c>
      <c r="FY196" s="189" t="str">
        <f t="shared" si="550"/>
        <v/>
      </c>
      <c r="FZ196" s="189" t="str">
        <f t="shared" si="551"/>
        <v/>
      </c>
      <c r="GA196" s="189" t="str">
        <f t="shared" si="552"/>
        <v/>
      </c>
      <c r="GB196" s="189" t="str">
        <f t="shared" si="520"/>
        <v/>
      </c>
      <c r="GC196" s="206" t="str">
        <f t="shared" si="553"/>
        <v/>
      </c>
      <c r="GD196" s="205" t="str">
        <f t="shared" si="521"/>
        <v/>
      </c>
      <c r="GE196" s="189" t="str">
        <f t="shared" si="554"/>
        <v/>
      </c>
      <c r="GF196" s="189" t="str">
        <f t="shared" si="555"/>
        <v/>
      </c>
      <c r="GG196" s="189" t="str">
        <f t="shared" si="556"/>
        <v/>
      </c>
      <c r="GH196" s="189" t="str">
        <f t="shared" si="557"/>
        <v/>
      </c>
      <c r="GI196" s="189" t="str">
        <f t="shared" si="522"/>
        <v/>
      </c>
      <c r="GJ196" s="206" t="str">
        <f t="shared" si="558"/>
        <v/>
      </c>
      <c r="GK196" s="205" t="str">
        <f t="shared" si="523"/>
        <v/>
      </c>
      <c r="GL196" s="189" t="str">
        <f t="shared" si="559"/>
        <v/>
      </c>
      <c r="GM196" s="189" t="str">
        <f t="shared" si="560"/>
        <v/>
      </c>
      <c r="GN196" s="189" t="str">
        <f t="shared" si="561"/>
        <v/>
      </c>
      <c r="GO196" s="189" t="str">
        <f t="shared" si="562"/>
        <v/>
      </c>
      <c r="GP196" s="189" t="str">
        <f t="shared" si="524"/>
        <v/>
      </c>
      <c r="GQ196" s="206" t="str">
        <f t="shared" si="563"/>
        <v/>
      </c>
      <c r="GR196" s="189" t="str">
        <f t="shared" si="525"/>
        <v/>
      </c>
      <c r="GS196" s="189" t="str">
        <f t="shared" si="526"/>
        <v/>
      </c>
      <c r="GT196" s="207" t="str">
        <f t="shared" si="527"/>
        <v xml:space="preserve">    </v>
      </c>
      <c r="GU196" s="207" t="str">
        <f t="shared" si="528"/>
        <v xml:space="preserve">    </v>
      </c>
      <c r="GV196" s="207" t="str">
        <f t="shared" si="529"/>
        <v xml:space="preserve">    </v>
      </c>
      <c r="GW196" s="207" t="str">
        <f t="shared" si="530"/>
        <v xml:space="preserve">       </v>
      </c>
      <c r="GX196" s="598" t="str">
        <f t="shared" si="531"/>
        <v xml:space="preserve">     </v>
      </c>
      <c r="GY196" s="208" t="str">
        <f t="shared" si="564"/>
        <v/>
      </c>
      <c r="GZ196" s="606" t="str">
        <f>IF(AND(Q196="",AE196="",AZ196="",BW196="",CT196=""),"",IF(AND('Master Sheet'!$D$19="YES",'Marks Entry'!$BA$1=1),SUM(Q196,AE196,AZ196,BW196,DT196),SUM(Q196,AE196,AZ196,BW196,CT196)))</f>
        <v/>
      </c>
      <c r="HA196" s="209" t="str">
        <f>IF(GZ196="","",IF(AND('Master Sheet'!$D$19="YES",'Marks Entry'!$BA$1=1),GZ196/((900)-DC196)*100,GZ196/((1000)-DC196)*100))</f>
        <v/>
      </c>
      <c r="HB196" s="611" t="str">
        <f t="shared" si="532"/>
        <v/>
      </c>
      <c r="HC196" s="609" t="str">
        <f t="shared" si="533"/>
        <v/>
      </c>
      <c r="HD196" s="610" t="str">
        <f t="shared" si="534"/>
        <v/>
      </c>
      <c r="HE196" s="210" t="str">
        <f>IFERROR(IF(OR(GY196="SUPPLEMENTARY",GY196="RE-EXAM"),'Supp. Result Entry'!AS195,""),"")</f>
        <v/>
      </c>
      <c r="HF196" s="613" t="str">
        <f t="shared" si="535"/>
        <v/>
      </c>
      <c r="HG196" s="598" t="str">
        <f t="shared" si="536"/>
        <v/>
      </c>
      <c r="HH196" s="598" t="str">
        <f>IF(AND(HE196="",HF196="",HG196=""),"",IF(OR(GY196="SUPPLEMENTARY",GY196="RE-EXAM"),'Supp. Result Entry'!AS195,GY196))</f>
        <v/>
      </c>
      <c r="HI196" s="180"/>
      <c r="HY196" s="212" t="str">
        <f>IF('Supp. Result Entry'!U195="","",'Supp. Result Entry'!$U$6)</f>
        <v/>
      </c>
      <c r="HZ196" s="213" t="str">
        <f>IF('Supp. Result Entry'!X195="","",'Supp. Result Entry'!$X$6)</f>
        <v/>
      </c>
      <c r="IA196" s="213" t="str">
        <f>IF('Supp. Result Entry'!AA195="","",'Supp. Result Entry'!$AA$6)</f>
        <v/>
      </c>
      <c r="IB196" s="213" t="str">
        <f>IF('Supp. Result Entry'!AD195="","",'Supp. Result Entry'!$AD$6)</f>
        <v/>
      </c>
      <c r="IC196" s="213" t="str">
        <f>IF('Supp. Result Entry'!AG195="","",'Supp. Result Entry'!$AG$6)</f>
        <v/>
      </c>
      <c r="ID196" s="213" t="str">
        <f>IF('Supp. Result Entry'!AJ195="","",'Supp. Result Entry'!$AJ$6)</f>
        <v/>
      </c>
      <c r="IE196" s="213" t="str">
        <f>IF('Supp. Result Entry'!V195="","",'Supp. Result Entry'!V195)</f>
        <v/>
      </c>
      <c r="IF196" s="213" t="str">
        <f>IF('Supp. Result Entry'!Y195="","",'Supp. Result Entry'!Y195)</f>
        <v/>
      </c>
      <c r="IG196" s="213" t="str">
        <f>IF('Supp. Result Entry'!AB195="","",'Supp. Result Entry'!AB195)</f>
        <v/>
      </c>
      <c r="IH196" s="213" t="str">
        <f>IF('Supp. Result Entry'!AE195="","",'Supp. Result Entry'!AE195)</f>
        <v/>
      </c>
      <c r="II196" s="213" t="str">
        <f>IF('Supp. Result Entry'!AH195="","",'Supp. Result Entry'!AH195)</f>
        <v/>
      </c>
      <c r="IJ196" s="213" t="str">
        <f>IF('Supp. Result Entry'!AK195="","",'Supp. Result Entry'!AK195)</f>
        <v/>
      </c>
      <c r="IK196" s="213" t="str">
        <f>IF('Supp. Result Entry'!W195="","",'Supp. Result Entry'!W195)</f>
        <v/>
      </c>
      <c r="IL196" s="213" t="str">
        <f>IF('Supp. Result Entry'!Z195="","",'Supp. Result Entry'!Z195)</f>
        <v/>
      </c>
      <c r="IM196" s="213" t="str">
        <f>IF('Supp. Result Entry'!AC195="","",'Supp. Result Entry'!AC195)</f>
        <v/>
      </c>
      <c r="IN196" s="213" t="str">
        <f>IF('Supp. Result Entry'!AF195="","",'Supp. Result Entry'!AF195)</f>
        <v/>
      </c>
      <c r="IO196" s="213" t="str">
        <f>IF('Supp. Result Entry'!AI195="","",'Supp. Result Entry'!AI195)</f>
        <v/>
      </c>
      <c r="IP196" s="213" t="str">
        <f>IF('Supp. Result Entry'!AL195="","",'Supp. Result Entry'!AL195)</f>
        <v/>
      </c>
      <c r="IQ196" s="213">
        <f>COUNTIF('Supp. Result Entry'!K195:Q195,"S")</f>
        <v>0</v>
      </c>
      <c r="IR196" s="213">
        <f t="shared" si="537"/>
        <v>0</v>
      </c>
      <c r="IS196" s="213">
        <f t="shared" si="538"/>
        <v>0</v>
      </c>
      <c r="IT196" s="213" t="str">
        <f t="shared" si="406"/>
        <v/>
      </c>
      <c r="IU196" s="213" t="str">
        <f t="shared" si="407"/>
        <v/>
      </c>
      <c r="IV196" s="213" t="str">
        <f t="shared" si="408"/>
        <v/>
      </c>
      <c r="IW196" s="213" t="str">
        <f t="shared" si="409"/>
        <v/>
      </c>
      <c r="IX196" s="213" t="str">
        <f t="shared" si="410"/>
        <v/>
      </c>
      <c r="IY196" s="213" t="str">
        <f t="shared" si="539"/>
        <v/>
      </c>
      <c r="IZ196" s="213" t="str">
        <f t="shared" si="540"/>
        <v/>
      </c>
      <c r="JA196" s="213" t="str">
        <f t="shared" si="411"/>
        <v/>
      </c>
      <c r="JB196" s="211" t="str">
        <f t="shared" si="541"/>
        <v/>
      </c>
    </row>
    <row r="197" spans="1:262" s="211" customFormat="1" ht="21" customHeight="1">
      <c r="A197" s="184">
        <v>190</v>
      </c>
      <c r="B197" s="185" t="str">
        <f>IF('Marks Entry'!B197="","",'Marks Entry'!B197)</f>
        <v/>
      </c>
      <c r="C197" s="186" t="str">
        <f>IF('Marks Entry'!D197="","",'Marks Entry'!D197)</f>
        <v/>
      </c>
      <c r="D197" s="187" t="str">
        <f>IF('Marks Entry'!E197="","",'Marks Entry'!E197)</f>
        <v/>
      </c>
      <c r="E197" s="188" t="str">
        <f>IF('Marks Entry'!F197="","",'Marks Entry'!F197)</f>
        <v/>
      </c>
      <c r="F197" s="188" t="str">
        <f>IF('Marks Entry'!G197="","",'Marks Entry'!G197)</f>
        <v/>
      </c>
      <c r="G197" s="188" t="str">
        <f>IF('Marks Entry'!H197="","",'Marks Entry'!H197)</f>
        <v/>
      </c>
      <c r="H197" s="189" t="str">
        <f>IF('Marks Entry'!I197="","",'Marks Entry'!I197)</f>
        <v/>
      </c>
      <c r="I197" s="190" t="str">
        <f>IF('Marks Entry'!J197="","",'Marks Entry'!J197)</f>
        <v/>
      </c>
      <c r="J197" s="545" t="str">
        <f>IF('Marks Entry'!K197="","",'Marks Entry'!K197)</f>
        <v/>
      </c>
      <c r="K197" s="545" t="str">
        <f>IF('Marks Entry'!L197="","",'Marks Entry'!L197)</f>
        <v/>
      </c>
      <c r="L197" s="545" t="str">
        <f>IF('Marks Entry'!M197="","",'Marks Entry'!M197)</f>
        <v/>
      </c>
      <c r="M197" s="546" t="str">
        <f t="shared" si="412"/>
        <v/>
      </c>
      <c r="N197" s="545" t="str">
        <f>IF('Marks Entry'!N197="","",'Marks Entry'!N197)</f>
        <v/>
      </c>
      <c r="O197" s="546" t="str">
        <f t="shared" si="413"/>
        <v/>
      </c>
      <c r="P197" s="545" t="str">
        <f>IF('Marks Entry'!O197="","",'Marks Entry'!O197)</f>
        <v/>
      </c>
      <c r="Q197" s="547" t="str">
        <f t="shared" si="414"/>
        <v/>
      </c>
      <c r="R197" s="153">
        <f t="shared" si="415"/>
        <v>0</v>
      </c>
      <c r="S197" s="153">
        <f t="shared" si="416"/>
        <v>0</v>
      </c>
      <c r="T197" s="154" t="str">
        <f t="shared" si="417"/>
        <v/>
      </c>
      <c r="U197" s="153" t="str">
        <f t="shared" si="418"/>
        <v/>
      </c>
      <c r="V197" s="153" t="str">
        <f t="shared" si="419"/>
        <v/>
      </c>
      <c r="W197" s="153" t="str">
        <f t="shared" si="420"/>
        <v/>
      </c>
      <c r="X197" s="545" t="str">
        <f>IF('Marks Entry'!P197="","",'Marks Entry'!P197)</f>
        <v/>
      </c>
      <c r="Y197" s="545" t="str">
        <f>IF('Marks Entry'!Q197="","",'Marks Entry'!Q197)</f>
        <v/>
      </c>
      <c r="Z197" s="545" t="str">
        <f>IF('Marks Entry'!R197="","",'Marks Entry'!R197)</f>
        <v/>
      </c>
      <c r="AA197" s="546" t="str">
        <f t="shared" si="421"/>
        <v/>
      </c>
      <c r="AB197" s="545" t="str">
        <f>IF('Marks Entry'!S197="","",'Marks Entry'!S197)</f>
        <v/>
      </c>
      <c r="AC197" s="546" t="str">
        <f t="shared" si="422"/>
        <v/>
      </c>
      <c r="AD197" s="545" t="str">
        <f>IF('Marks Entry'!T197="","",'Marks Entry'!T197)</f>
        <v/>
      </c>
      <c r="AE197" s="547" t="str">
        <f t="shared" si="423"/>
        <v/>
      </c>
      <c r="AF197" s="153">
        <f t="shared" si="424"/>
        <v>0</v>
      </c>
      <c r="AG197" s="153">
        <f t="shared" si="425"/>
        <v>0</v>
      </c>
      <c r="AH197" s="154" t="str">
        <f t="shared" si="426"/>
        <v/>
      </c>
      <c r="AI197" s="153" t="str">
        <f t="shared" si="427"/>
        <v/>
      </c>
      <c r="AJ197" s="153" t="str">
        <f t="shared" si="428"/>
        <v/>
      </c>
      <c r="AK197" s="153" t="str">
        <f t="shared" si="429"/>
        <v/>
      </c>
      <c r="AL197" s="573" t="str">
        <f>IF('Marks Entry'!U197="","",'Marks Entry'!U197)</f>
        <v/>
      </c>
      <c r="AM197" s="573" t="str">
        <f>IF('Marks Entry'!V197="","",'Marks Entry'!V197)</f>
        <v/>
      </c>
      <c r="AN197" s="573" t="str">
        <f>IF('Marks Entry'!W197="","",'Marks Entry'!W197)</f>
        <v/>
      </c>
      <c r="AO197" s="573" t="str">
        <f>IF('Marks Entry'!X197="","",'Marks Entry'!X197)</f>
        <v/>
      </c>
      <c r="AP197" s="572" t="str">
        <f t="shared" si="430"/>
        <v/>
      </c>
      <c r="AQ197" s="573" t="str">
        <f>IF('Marks Entry'!Y197="","",'Marks Entry'!Y197)</f>
        <v/>
      </c>
      <c r="AR197" s="573" t="str">
        <f>IF('Marks Entry'!Z197="","",'Marks Entry'!Z197)</f>
        <v/>
      </c>
      <c r="AS197" s="572" t="str">
        <f t="shared" si="431"/>
        <v/>
      </c>
      <c r="AT197" s="572" t="str">
        <f t="shared" si="432"/>
        <v/>
      </c>
      <c r="AU197" s="573" t="str">
        <f>IF('Marks Entry'!AA197="","",'Marks Entry'!AA197)</f>
        <v/>
      </c>
      <c r="AV197" s="573" t="str">
        <f>IF('Marks Entry'!AB197="","",'Marks Entry'!AB197)</f>
        <v/>
      </c>
      <c r="AW197" s="572" t="str">
        <f t="shared" si="433"/>
        <v/>
      </c>
      <c r="AX197" s="157" t="str">
        <f t="shared" si="434"/>
        <v/>
      </c>
      <c r="AY197" s="157" t="str">
        <f t="shared" si="435"/>
        <v/>
      </c>
      <c r="AZ197" s="192" t="str">
        <f t="shared" si="436"/>
        <v/>
      </c>
      <c r="BA197" s="153">
        <f t="shared" si="437"/>
        <v>0</v>
      </c>
      <c r="BB197" s="154">
        <f t="shared" si="438"/>
        <v>0</v>
      </c>
      <c r="BC197" s="154" t="str">
        <f t="shared" si="439"/>
        <v/>
      </c>
      <c r="BD197" s="154" t="str">
        <f t="shared" si="440"/>
        <v/>
      </c>
      <c r="BE197" s="154" t="str">
        <f t="shared" si="441"/>
        <v/>
      </c>
      <c r="BF197" s="153" t="str">
        <f t="shared" si="442"/>
        <v/>
      </c>
      <c r="BG197" s="154" t="str">
        <f t="shared" si="443"/>
        <v/>
      </c>
      <c r="BH197" s="153" t="str">
        <f t="shared" si="444"/>
        <v/>
      </c>
      <c r="BI197" s="580" t="str">
        <f>IF('Marks Entry'!AC197="","",'Marks Entry'!AC197)</f>
        <v/>
      </c>
      <c r="BJ197" s="580" t="str">
        <f>IF('Marks Entry'!AD197="","",'Marks Entry'!AD197)</f>
        <v/>
      </c>
      <c r="BK197" s="580" t="str">
        <f>IF('Marks Entry'!AE197="","",'Marks Entry'!AE197)</f>
        <v/>
      </c>
      <c r="BL197" s="580" t="str">
        <f>IF('Marks Entry'!AF197="","",'Marks Entry'!AF197)</f>
        <v/>
      </c>
      <c r="BM197" s="581" t="str">
        <f t="shared" si="445"/>
        <v/>
      </c>
      <c r="BN197" s="580" t="str">
        <f>IF('Marks Entry'!AG197="","",'Marks Entry'!AG197)</f>
        <v/>
      </c>
      <c r="BO197" s="580" t="str">
        <f>IF('Marks Entry'!AH197="","",'Marks Entry'!AH197)</f>
        <v/>
      </c>
      <c r="BP197" s="581" t="str">
        <f t="shared" si="446"/>
        <v/>
      </c>
      <c r="BQ197" s="581" t="str">
        <f t="shared" si="447"/>
        <v/>
      </c>
      <c r="BR197" s="580" t="str">
        <f>IF('Marks Entry'!AI197="","",'Marks Entry'!AI197)</f>
        <v/>
      </c>
      <c r="BS197" s="580" t="str">
        <f>IF('Marks Entry'!AJ197="","",'Marks Entry'!AJ197)</f>
        <v/>
      </c>
      <c r="BT197" s="581" t="str">
        <f t="shared" si="448"/>
        <v/>
      </c>
      <c r="BU197" s="157" t="str">
        <f t="shared" si="449"/>
        <v/>
      </c>
      <c r="BV197" s="157" t="str">
        <f t="shared" si="450"/>
        <v/>
      </c>
      <c r="BW197" s="192" t="str">
        <f t="shared" si="451"/>
        <v/>
      </c>
      <c r="BX197" s="153">
        <f t="shared" si="452"/>
        <v>0</v>
      </c>
      <c r="BY197" s="154">
        <f t="shared" si="453"/>
        <v>0</v>
      </c>
      <c r="BZ197" s="154" t="str">
        <f t="shared" si="454"/>
        <v/>
      </c>
      <c r="CA197" s="154" t="str">
        <f t="shared" si="455"/>
        <v/>
      </c>
      <c r="CB197" s="154" t="str">
        <f t="shared" si="456"/>
        <v/>
      </c>
      <c r="CC197" s="153" t="str">
        <f t="shared" si="457"/>
        <v/>
      </c>
      <c r="CD197" s="154" t="str">
        <f t="shared" si="458"/>
        <v/>
      </c>
      <c r="CE197" s="153" t="str">
        <f t="shared" si="459"/>
        <v/>
      </c>
      <c r="CF197" s="580" t="str">
        <f>IF('Marks Entry'!AK197="","",'Marks Entry'!AK197)</f>
        <v/>
      </c>
      <c r="CG197" s="580" t="str">
        <f>IF('Marks Entry'!AL197="","",'Marks Entry'!AL197)</f>
        <v/>
      </c>
      <c r="CH197" s="580" t="str">
        <f>IF('Marks Entry'!AM197="","",'Marks Entry'!AM197)</f>
        <v/>
      </c>
      <c r="CI197" s="580" t="str">
        <f>IF('Marks Entry'!AN197="","",'Marks Entry'!AN197)</f>
        <v/>
      </c>
      <c r="CJ197" s="581" t="str">
        <f t="shared" si="460"/>
        <v/>
      </c>
      <c r="CK197" s="580" t="str">
        <f>IF('Marks Entry'!AO197="","",'Marks Entry'!AO197)</f>
        <v/>
      </c>
      <c r="CL197" s="580" t="str">
        <f>IF('Marks Entry'!AP197="","",'Marks Entry'!AP197)</f>
        <v/>
      </c>
      <c r="CM197" s="581" t="str">
        <f t="shared" si="461"/>
        <v/>
      </c>
      <c r="CN197" s="581" t="str">
        <f t="shared" si="462"/>
        <v/>
      </c>
      <c r="CO197" s="580" t="str">
        <f>IF('Marks Entry'!AQ197="","",'Marks Entry'!AQ197)</f>
        <v/>
      </c>
      <c r="CP197" s="580" t="str">
        <f>IF('Marks Entry'!AR197="","",'Marks Entry'!AR197)</f>
        <v/>
      </c>
      <c r="CQ197" s="581" t="str">
        <f t="shared" si="463"/>
        <v/>
      </c>
      <c r="CR197" s="157" t="str">
        <f t="shared" si="464"/>
        <v/>
      </c>
      <c r="CS197" s="157" t="str">
        <f t="shared" si="465"/>
        <v/>
      </c>
      <c r="CT197" s="192" t="str">
        <f t="shared" si="466"/>
        <v/>
      </c>
      <c r="CU197" s="153">
        <f t="shared" si="467"/>
        <v>0</v>
      </c>
      <c r="CV197" s="154">
        <f t="shared" si="468"/>
        <v>0</v>
      </c>
      <c r="CW197" s="154" t="str">
        <f t="shared" si="469"/>
        <v/>
      </c>
      <c r="CX197" s="154" t="str">
        <f t="shared" si="470"/>
        <v/>
      </c>
      <c r="CY197" s="154" t="str">
        <f t="shared" si="471"/>
        <v/>
      </c>
      <c r="CZ197" s="153" t="str">
        <f t="shared" si="472"/>
        <v/>
      </c>
      <c r="DA197" s="154" t="str">
        <f t="shared" si="473"/>
        <v/>
      </c>
      <c r="DB197" s="153" t="str">
        <f t="shared" si="474"/>
        <v/>
      </c>
      <c r="DC197" s="154">
        <f t="shared" si="475"/>
        <v>0</v>
      </c>
      <c r="DD197" s="826" t="str">
        <f>IF('Marks Entry'!AS197="","",IF(OR('Master Sheet'!$D$19="YES",'Marks Entry'!$BA$1=1),'Marks Entry'!AS197,""))</f>
        <v/>
      </c>
      <c r="DE197" s="826" t="str">
        <f>IF('Marks Entry'!AT197="","",IF(OR('Master Sheet'!$D$19="YES",'Marks Entry'!$BA$1=1),'Marks Entry'!AT197,""))</f>
        <v/>
      </c>
      <c r="DF197" s="826" t="str">
        <f>IF('Marks Entry'!AU197="","",IF(OR('Master Sheet'!$D$19="YES",'Marks Entry'!$BA$1=1),'Marks Entry'!AU197,""))</f>
        <v/>
      </c>
      <c r="DG197" s="826" t="str">
        <f>IF('Marks Entry'!AV197="","",IF(OR('Master Sheet'!$D$19="YES",'Marks Entry'!$BA$1=1),'Marks Entry'!AV197,""))</f>
        <v/>
      </c>
      <c r="DH197" s="827" t="str">
        <f t="shared" si="476"/>
        <v/>
      </c>
      <c r="DI197" s="826" t="str">
        <f>IF('Marks Entry'!AW197="","",IF(OR('Master Sheet'!$D$19="YES",'Marks Entry'!$BA$1=1),'Marks Entry'!AW197,""))</f>
        <v/>
      </c>
      <c r="DJ197" s="826" t="str">
        <f>IF('Marks Entry'!AX197="","",IF(OR('Master Sheet'!$D$19="YES",'Marks Entry'!$BA$1=1),'Marks Entry'!AX197,""))</f>
        <v/>
      </c>
      <c r="DK197" s="827" t="str">
        <f t="shared" si="477"/>
        <v/>
      </c>
      <c r="DL197" s="827" t="str">
        <f t="shared" si="478"/>
        <v/>
      </c>
      <c r="DM197" s="826" t="str">
        <f>IF('Marks Entry'!AY197="","",IF(OR('Master Sheet'!$D$19="YES",'Marks Entry'!$BA$1=1),'Marks Entry'!AY197,""))</f>
        <v/>
      </c>
      <c r="DN197" s="826" t="str">
        <f>IF('Marks Entry'!AZ197="","",IF(OR('Master Sheet'!$D$19="YES",'Marks Entry'!$BA$1=1),'Marks Entry'!AZ197,""))</f>
        <v/>
      </c>
      <c r="DO197" s="826" t="str">
        <f>IF('Marks Entry'!BA197="","",IF(OR('Master Sheet'!$D$19="YES",'Marks Entry'!$BA$1=1),'Marks Entry'!BA197,""))</f>
        <v/>
      </c>
      <c r="DP197" s="827" t="str">
        <f t="shared" si="479"/>
        <v/>
      </c>
      <c r="DQ197" s="157" t="str">
        <f t="shared" si="480"/>
        <v/>
      </c>
      <c r="DR197" s="157" t="str">
        <f t="shared" si="481"/>
        <v/>
      </c>
      <c r="DS197" s="157" t="str">
        <f t="shared" si="482"/>
        <v/>
      </c>
      <c r="DT197" s="192" t="str">
        <f t="shared" si="483"/>
        <v/>
      </c>
      <c r="DU197" s="153">
        <f t="shared" si="484"/>
        <v>0</v>
      </c>
      <c r="DV197" s="154" t="e">
        <f t="shared" si="485"/>
        <v>#VALUE!</v>
      </c>
      <c r="DW197" s="154" t="str">
        <f t="shared" si="486"/>
        <v/>
      </c>
      <c r="DX197" s="154" t="str">
        <f>IF(OR($B197="NSO",$B197=0,DS197=""),"",IF(AND(DJ197="",DO197=""),"",IF('Master Sheet'!$D$19="YES",$DO$6-COUNTIF(DO197,"ML")*DO$6,DS$6-(COUNTIF(DJ197,"ML")*DJ$6)-(COUNTIF(DO197,"ML")*DO$6))))</f>
        <v/>
      </c>
      <c r="DY197" s="154" t="str">
        <f>IF(OR($B197="NSO",$B197=0),"",IF(AND(DH197="",DI197="",DM197=""),"",IF(AND('Master Sheet'!$D$19="YES",'Marks Entry'!$BA$1=1),100,IF(AND(DJ197="",DO197=""),SUM(($DQ$7+$DR$7)-(DU197+DV197)),SUM(($DQ$6+$DR$6)-(DU197+DV197))))))</f>
        <v/>
      </c>
      <c r="DZ197" s="153" t="str">
        <f t="shared" si="487"/>
        <v/>
      </c>
      <c r="EA197" s="154" t="str">
        <f t="shared" si="488"/>
        <v/>
      </c>
      <c r="EB197" s="153" t="str">
        <f t="shared" si="489"/>
        <v/>
      </c>
      <c r="EC197" s="584" t="str">
        <f>IF('Marks Entry'!BB197="","",'Marks Entry'!BB197)</f>
        <v/>
      </c>
      <c r="ED197" s="584" t="str">
        <f>IF('Marks Entry'!BC197="","",'Marks Entry'!BC197)</f>
        <v/>
      </c>
      <c r="EE197" s="584" t="str">
        <f>IF('Marks Entry'!BD197="","",'Marks Entry'!BD197)</f>
        <v/>
      </c>
      <c r="EF197" s="590" t="str">
        <f t="shared" si="490"/>
        <v/>
      </c>
      <c r="EG197" s="595">
        <f t="shared" si="491"/>
        <v>0</v>
      </c>
      <c r="EH197" s="595">
        <f t="shared" si="492"/>
        <v>0</v>
      </c>
      <c r="EI197" s="193" t="str">
        <f t="shared" si="493"/>
        <v/>
      </c>
      <c r="EJ197" s="595" t="str">
        <f t="shared" si="494"/>
        <v/>
      </c>
      <c r="EK197" s="595" t="str">
        <f t="shared" si="495"/>
        <v/>
      </c>
      <c r="EL197" s="194" t="str">
        <f t="shared" si="496"/>
        <v/>
      </c>
      <c r="EM197" s="194" t="str">
        <f t="shared" si="497"/>
        <v/>
      </c>
      <c r="EN197" s="194" t="str">
        <f t="shared" si="498"/>
        <v/>
      </c>
      <c r="EO197" s="194" t="str">
        <f t="shared" si="499"/>
        <v/>
      </c>
      <c r="EP197" s="194" t="str">
        <f t="shared" si="500"/>
        <v/>
      </c>
      <c r="EQ197" s="194" t="str">
        <f t="shared" si="501"/>
        <v/>
      </c>
      <c r="ER197" s="195">
        <f t="shared" si="502"/>
        <v>0</v>
      </c>
      <c r="ES197" s="195">
        <f t="shared" si="503"/>
        <v>0</v>
      </c>
      <c r="ET197" s="195">
        <f t="shared" si="504"/>
        <v>0</v>
      </c>
      <c r="EU197" s="195">
        <f t="shared" si="505"/>
        <v>0</v>
      </c>
      <c r="EV197" s="195">
        <f t="shared" si="506"/>
        <v>0</v>
      </c>
      <c r="EW197" s="195" t="str">
        <f t="shared" si="507"/>
        <v/>
      </c>
      <c r="EX197" s="196" t="str">
        <f t="shared" si="508"/>
        <v/>
      </c>
      <c r="EY197" s="197" t="str">
        <f>IF('Marks Entry'!BE197="","",'Marks Entry'!BE197)</f>
        <v/>
      </c>
      <c r="EZ197" s="197" t="str">
        <f>IF('Marks Entry'!BF197="","",'Marks Entry'!BF197)</f>
        <v/>
      </c>
      <c r="FA197" s="197" t="str">
        <f>IF('Marks Entry'!BG197="","",'Marks Entry'!BG197)</f>
        <v/>
      </c>
      <c r="FB197" s="596" t="str">
        <f t="shared" si="509"/>
        <v/>
      </c>
      <c r="FC197" s="197" t="str">
        <f>IF('Marks Entry'!BH197="","",'Marks Entry'!BH197)</f>
        <v/>
      </c>
      <c r="FD197" s="197" t="str">
        <f>IF('Marks Entry'!BI197="","",'Marks Entry'!BI197)</f>
        <v/>
      </c>
      <c r="FE197" s="198" t="str">
        <f t="shared" si="510"/>
        <v/>
      </c>
      <c r="FF197" s="199" t="str">
        <f t="shared" si="511"/>
        <v/>
      </c>
      <c r="FG197" s="200" t="str">
        <f>IF(AND(E197=""),"",IF('Student DATA Entry'!L193="","",'Student DATA Entry'!L193))</f>
        <v/>
      </c>
      <c r="FH197" s="201" t="str">
        <f>IF(AND(E197=""),"",IF('Student DATA Entry'!M193="","",'Student DATA Entry'!M193))</f>
        <v/>
      </c>
      <c r="FI197" s="202" t="str">
        <f t="shared" si="512"/>
        <v/>
      </c>
      <c r="FJ197" s="189" t="str">
        <f t="shared" si="513"/>
        <v/>
      </c>
      <c r="FK197" s="189" t="str">
        <f t="shared" si="514"/>
        <v/>
      </c>
      <c r="FL197" s="203" t="str">
        <f t="shared" si="542"/>
        <v/>
      </c>
      <c r="FM197" s="189" t="str">
        <f t="shared" si="515"/>
        <v/>
      </c>
      <c r="FN197" s="204" t="str">
        <f t="shared" si="516"/>
        <v/>
      </c>
      <c r="FO197" s="203" t="str">
        <f t="shared" si="543"/>
        <v/>
      </c>
      <c r="FP197" s="205" t="str">
        <f t="shared" si="517"/>
        <v/>
      </c>
      <c r="FQ197" s="189" t="str">
        <f t="shared" si="544"/>
        <v/>
      </c>
      <c r="FR197" s="189" t="str">
        <f t="shared" si="545"/>
        <v/>
      </c>
      <c r="FS197" s="189" t="str">
        <f t="shared" si="546"/>
        <v/>
      </c>
      <c r="FT197" s="189" t="str">
        <f t="shared" si="547"/>
        <v/>
      </c>
      <c r="FU197" s="189" t="str">
        <f t="shared" si="518"/>
        <v/>
      </c>
      <c r="FV197" s="206" t="str">
        <f t="shared" si="548"/>
        <v/>
      </c>
      <c r="FW197" s="205" t="str">
        <f t="shared" si="519"/>
        <v/>
      </c>
      <c r="FX197" s="189" t="str">
        <f t="shared" si="549"/>
        <v/>
      </c>
      <c r="FY197" s="189" t="str">
        <f t="shared" si="550"/>
        <v/>
      </c>
      <c r="FZ197" s="189" t="str">
        <f t="shared" si="551"/>
        <v/>
      </c>
      <c r="GA197" s="189" t="str">
        <f t="shared" si="552"/>
        <v/>
      </c>
      <c r="GB197" s="189" t="str">
        <f t="shared" si="520"/>
        <v/>
      </c>
      <c r="GC197" s="206" t="str">
        <f t="shared" si="553"/>
        <v/>
      </c>
      <c r="GD197" s="205" t="str">
        <f t="shared" si="521"/>
        <v/>
      </c>
      <c r="GE197" s="189" t="str">
        <f t="shared" si="554"/>
        <v/>
      </c>
      <c r="GF197" s="189" t="str">
        <f t="shared" si="555"/>
        <v/>
      </c>
      <c r="GG197" s="189" t="str">
        <f t="shared" si="556"/>
        <v/>
      </c>
      <c r="GH197" s="189" t="str">
        <f t="shared" si="557"/>
        <v/>
      </c>
      <c r="GI197" s="189" t="str">
        <f t="shared" si="522"/>
        <v/>
      </c>
      <c r="GJ197" s="206" t="str">
        <f t="shared" si="558"/>
        <v/>
      </c>
      <c r="GK197" s="205" t="str">
        <f t="shared" si="523"/>
        <v/>
      </c>
      <c r="GL197" s="189" t="str">
        <f t="shared" si="559"/>
        <v/>
      </c>
      <c r="GM197" s="189" t="str">
        <f t="shared" si="560"/>
        <v/>
      </c>
      <c r="GN197" s="189" t="str">
        <f t="shared" si="561"/>
        <v/>
      </c>
      <c r="GO197" s="189" t="str">
        <f t="shared" si="562"/>
        <v/>
      </c>
      <c r="GP197" s="189" t="str">
        <f t="shared" si="524"/>
        <v/>
      </c>
      <c r="GQ197" s="206" t="str">
        <f t="shared" si="563"/>
        <v/>
      </c>
      <c r="GR197" s="189" t="str">
        <f t="shared" si="525"/>
        <v/>
      </c>
      <c r="GS197" s="189" t="str">
        <f t="shared" si="526"/>
        <v/>
      </c>
      <c r="GT197" s="207" t="str">
        <f t="shared" si="527"/>
        <v xml:space="preserve">    </v>
      </c>
      <c r="GU197" s="207" t="str">
        <f t="shared" si="528"/>
        <v xml:space="preserve">    </v>
      </c>
      <c r="GV197" s="207" t="str">
        <f t="shared" si="529"/>
        <v xml:space="preserve">    </v>
      </c>
      <c r="GW197" s="207" t="str">
        <f t="shared" si="530"/>
        <v xml:space="preserve">       </v>
      </c>
      <c r="GX197" s="598" t="str">
        <f t="shared" si="531"/>
        <v xml:space="preserve">     </v>
      </c>
      <c r="GY197" s="208" t="str">
        <f t="shared" si="564"/>
        <v/>
      </c>
      <c r="GZ197" s="606" t="str">
        <f>IF(AND(Q197="",AE197="",AZ197="",BW197="",CT197=""),"",IF(AND('Master Sheet'!$D$19="YES",'Marks Entry'!$BA$1=1),SUM(Q197,AE197,AZ197,BW197,DT197),SUM(Q197,AE197,AZ197,BW197,CT197)))</f>
        <v/>
      </c>
      <c r="HA197" s="209" t="str">
        <f>IF(GZ197="","",IF(AND('Master Sheet'!$D$19="YES",'Marks Entry'!$BA$1=1),GZ197/((900)-DC197)*100,GZ197/((1000)-DC197)*100))</f>
        <v/>
      </c>
      <c r="HB197" s="611" t="str">
        <f t="shared" si="532"/>
        <v/>
      </c>
      <c r="HC197" s="609" t="str">
        <f t="shared" si="533"/>
        <v/>
      </c>
      <c r="HD197" s="610" t="str">
        <f t="shared" si="534"/>
        <v/>
      </c>
      <c r="HE197" s="210" t="str">
        <f>IFERROR(IF(OR(GY197="SUPPLEMENTARY",GY197="RE-EXAM"),'Supp. Result Entry'!AS196,""),"")</f>
        <v/>
      </c>
      <c r="HF197" s="613" t="str">
        <f t="shared" si="535"/>
        <v/>
      </c>
      <c r="HG197" s="598" t="str">
        <f t="shared" si="536"/>
        <v/>
      </c>
      <c r="HH197" s="598" t="str">
        <f>IF(AND(HE197="",HF197="",HG197=""),"",IF(OR(GY197="SUPPLEMENTARY",GY197="RE-EXAM"),'Supp. Result Entry'!AS196,GY197))</f>
        <v/>
      </c>
      <c r="HI197" s="180"/>
      <c r="HY197" s="212" t="str">
        <f>IF('Supp. Result Entry'!U196="","",'Supp. Result Entry'!$U$6)</f>
        <v/>
      </c>
      <c r="HZ197" s="213" t="str">
        <f>IF('Supp. Result Entry'!X196="","",'Supp. Result Entry'!$X$6)</f>
        <v/>
      </c>
      <c r="IA197" s="213" t="str">
        <f>IF('Supp. Result Entry'!AA196="","",'Supp. Result Entry'!$AA$6)</f>
        <v/>
      </c>
      <c r="IB197" s="213" t="str">
        <f>IF('Supp. Result Entry'!AD196="","",'Supp. Result Entry'!$AD$6)</f>
        <v/>
      </c>
      <c r="IC197" s="213" t="str">
        <f>IF('Supp. Result Entry'!AG196="","",'Supp. Result Entry'!$AG$6)</f>
        <v/>
      </c>
      <c r="ID197" s="213" t="str">
        <f>IF('Supp. Result Entry'!AJ196="","",'Supp. Result Entry'!$AJ$6)</f>
        <v/>
      </c>
      <c r="IE197" s="213" t="str">
        <f>IF('Supp. Result Entry'!V196="","",'Supp. Result Entry'!V196)</f>
        <v/>
      </c>
      <c r="IF197" s="213" t="str">
        <f>IF('Supp. Result Entry'!Y196="","",'Supp. Result Entry'!Y196)</f>
        <v/>
      </c>
      <c r="IG197" s="213" t="str">
        <f>IF('Supp. Result Entry'!AB196="","",'Supp. Result Entry'!AB196)</f>
        <v/>
      </c>
      <c r="IH197" s="213" t="str">
        <f>IF('Supp. Result Entry'!AE196="","",'Supp. Result Entry'!AE196)</f>
        <v/>
      </c>
      <c r="II197" s="213" t="str">
        <f>IF('Supp. Result Entry'!AH196="","",'Supp. Result Entry'!AH196)</f>
        <v/>
      </c>
      <c r="IJ197" s="213" t="str">
        <f>IF('Supp. Result Entry'!AK196="","",'Supp. Result Entry'!AK196)</f>
        <v/>
      </c>
      <c r="IK197" s="213" t="str">
        <f>IF('Supp. Result Entry'!W196="","",'Supp. Result Entry'!W196)</f>
        <v/>
      </c>
      <c r="IL197" s="213" t="str">
        <f>IF('Supp. Result Entry'!Z196="","",'Supp. Result Entry'!Z196)</f>
        <v/>
      </c>
      <c r="IM197" s="213" t="str">
        <f>IF('Supp. Result Entry'!AC196="","",'Supp. Result Entry'!AC196)</f>
        <v/>
      </c>
      <c r="IN197" s="213" t="str">
        <f>IF('Supp. Result Entry'!AF196="","",'Supp. Result Entry'!AF196)</f>
        <v/>
      </c>
      <c r="IO197" s="213" t="str">
        <f>IF('Supp. Result Entry'!AI196="","",'Supp. Result Entry'!AI196)</f>
        <v/>
      </c>
      <c r="IP197" s="213" t="str">
        <f>IF('Supp. Result Entry'!AL196="","",'Supp. Result Entry'!AL196)</f>
        <v/>
      </c>
      <c r="IQ197" s="213">
        <f>COUNTIF('Supp. Result Entry'!K196:Q196,"S")</f>
        <v>0</v>
      </c>
      <c r="IR197" s="213">
        <f t="shared" si="537"/>
        <v>0</v>
      </c>
      <c r="IS197" s="213">
        <f t="shared" si="538"/>
        <v>0</v>
      </c>
      <c r="IT197" s="213" t="str">
        <f t="shared" si="406"/>
        <v/>
      </c>
      <c r="IU197" s="213" t="str">
        <f t="shared" si="407"/>
        <v/>
      </c>
      <c r="IV197" s="213" t="str">
        <f t="shared" si="408"/>
        <v/>
      </c>
      <c r="IW197" s="213" t="str">
        <f t="shared" si="409"/>
        <v/>
      </c>
      <c r="IX197" s="213" t="str">
        <f t="shared" si="410"/>
        <v/>
      </c>
      <c r="IY197" s="213" t="str">
        <f t="shared" si="539"/>
        <v/>
      </c>
      <c r="IZ197" s="213" t="str">
        <f t="shared" si="540"/>
        <v/>
      </c>
      <c r="JA197" s="213" t="str">
        <f t="shared" si="411"/>
        <v/>
      </c>
      <c r="JB197" s="211" t="str">
        <f t="shared" si="541"/>
        <v/>
      </c>
    </row>
    <row r="198" spans="1:262" s="211" customFormat="1" ht="21" customHeight="1">
      <c r="A198" s="184">
        <v>191</v>
      </c>
      <c r="B198" s="185" t="str">
        <f>IF('Marks Entry'!B198="","",'Marks Entry'!B198)</f>
        <v/>
      </c>
      <c r="C198" s="186" t="str">
        <f>IF('Marks Entry'!D198="","",'Marks Entry'!D198)</f>
        <v/>
      </c>
      <c r="D198" s="187" t="str">
        <f>IF('Marks Entry'!E198="","",'Marks Entry'!E198)</f>
        <v/>
      </c>
      <c r="E198" s="188" t="str">
        <f>IF('Marks Entry'!F198="","",'Marks Entry'!F198)</f>
        <v/>
      </c>
      <c r="F198" s="188" t="str">
        <f>IF('Marks Entry'!G198="","",'Marks Entry'!G198)</f>
        <v/>
      </c>
      <c r="G198" s="188" t="str">
        <f>IF('Marks Entry'!H198="","",'Marks Entry'!H198)</f>
        <v/>
      </c>
      <c r="H198" s="189" t="str">
        <f>IF('Marks Entry'!I198="","",'Marks Entry'!I198)</f>
        <v/>
      </c>
      <c r="I198" s="190" t="str">
        <f>IF('Marks Entry'!J198="","",'Marks Entry'!J198)</f>
        <v/>
      </c>
      <c r="J198" s="545" t="str">
        <f>IF('Marks Entry'!K198="","",'Marks Entry'!K198)</f>
        <v/>
      </c>
      <c r="K198" s="545" t="str">
        <f>IF('Marks Entry'!L198="","",'Marks Entry'!L198)</f>
        <v/>
      </c>
      <c r="L198" s="545" t="str">
        <f>IF('Marks Entry'!M198="","",'Marks Entry'!M198)</f>
        <v/>
      </c>
      <c r="M198" s="546" t="str">
        <f t="shared" si="412"/>
        <v/>
      </c>
      <c r="N198" s="545" t="str">
        <f>IF('Marks Entry'!N198="","",'Marks Entry'!N198)</f>
        <v/>
      </c>
      <c r="O198" s="546" t="str">
        <f t="shared" si="413"/>
        <v/>
      </c>
      <c r="P198" s="545" t="str">
        <f>IF('Marks Entry'!O198="","",'Marks Entry'!O198)</f>
        <v/>
      </c>
      <c r="Q198" s="547" t="str">
        <f t="shared" si="414"/>
        <v/>
      </c>
      <c r="R198" s="153">
        <f t="shared" si="415"/>
        <v>0</v>
      </c>
      <c r="S198" s="153">
        <f t="shared" si="416"/>
        <v>0</v>
      </c>
      <c r="T198" s="154" t="str">
        <f t="shared" si="417"/>
        <v/>
      </c>
      <c r="U198" s="153" t="str">
        <f t="shared" si="418"/>
        <v/>
      </c>
      <c r="V198" s="153" t="str">
        <f t="shared" si="419"/>
        <v/>
      </c>
      <c r="W198" s="153" t="str">
        <f t="shared" si="420"/>
        <v/>
      </c>
      <c r="X198" s="545" t="str">
        <f>IF('Marks Entry'!P198="","",'Marks Entry'!P198)</f>
        <v/>
      </c>
      <c r="Y198" s="545" t="str">
        <f>IF('Marks Entry'!Q198="","",'Marks Entry'!Q198)</f>
        <v/>
      </c>
      <c r="Z198" s="545" t="str">
        <f>IF('Marks Entry'!R198="","",'Marks Entry'!R198)</f>
        <v/>
      </c>
      <c r="AA198" s="546" t="str">
        <f t="shared" si="421"/>
        <v/>
      </c>
      <c r="AB198" s="545" t="str">
        <f>IF('Marks Entry'!S198="","",'Marks Entry'!S198)</f>
        <v/>
      </c>
      <c r="AC198" s="546" t="str">
        <f t="shared" si="422"/>
        <v/>
      </c>
      <c r="AD198" s="545" t="str">
        <f>IF('Marks Entry'!T198="","",'Marks Entry'!T198)</f>
        <v/>
      </c>
      <c r="AE198" s="547" t="str">
        <f t="shared" si="423"/>
        <v/>
      </c>
      <c r="AF198" s="153">
        <f t="shared" si="424"/>
        <v>0</v>
      </c>
      <c r="AG198" s="153">
        <f t="shared" si="425"/>
        <v>0</v>
      </c>
      <c r="AH198" s="154" t="str">
        <f t="shared" si="426"/>
        <v/>
      </c>
      <c r="AI198" s="153" t="str">
        <f t="shared" si="427"/>
        <v/>
      </c>
      <c r="AJ198" s="153" t="str">
        <f t="shared" si="428"/>
        <v/>
      </c>
      <c r="AK198" s="153" t="str">
        <f t="shared" si="429"/>
        <v/>
      </c>
      <c r="AL198" s="573" t="str">
        <f>IF('Marks Entry'!U198="","",'Marks Entry'!U198)</f>
        <v/>
      </c>
      <c r="AM198" s="573" t="str">
        <f>IF('Marks Entry'!V198="","",'Marks Entry'!V198)</f>
        <v/>
      </c>
      <c r="AN198" s="573" t="str">
        <f>IF('Marks Entry'!W198="","",'Marks Entry'!W198)</f>
        <v/>
      </c>
      <c r="AO198" s="573" t="str">
        <f>IF('Marks Entry'!X198="","",'Marks Entry'!X198)</f>
        <v/>
      </c>
      <c r="AP198" s="572" t="str">
        <f t="shared" si="430"/>
        <v/>
      </c>
      <c r="AQ198" s="573" t="str">
        <f>IF('Marks Entry'!Y198="","",'Marks Entry'!Y198)</f>
        <v/>
      </c>
      <c r="AR198" s="573" t="str">
        <f>IF('Marks Entry'!Z198="","",'Marks Entry'!Z198)</f>
        <v/>
      </c>
      <c r="AS198" s="572" t="str">
        <f t="shared" si="431"/>
        <v/>
      </c>
      <c r="AT198" s="572" t="str">
        <f t="shared" si="432"/>
        <v/>
      </c>
      <c r="AU198" s="573" t="str">
        <f>IF('Marks Entry'!AA198="","",'Marks Entry'!AA198)</f>
        <v/>
      </c>
      <c r="AV198" s="573" t="str">
        <f>IF('Marks Entry'!AB198="","",'Marks Entry'!AB198)</f>
        <v/>
      </c>
      <c r="AW198" s="572" t="str">
        <f t="shared" si="433"/>
        <v/>
      </c>
      <c r="AX198" s="157" t="str">
        <f t="shared" si="434"/>
        <v/>
      </c>
      <c r="AY198" s="157" t="str">
        <f t="shared" si="435"/>
        <v/>
      </c>
      <c r="AZ198" s="192" t="str">
        <f t="shared" si="436"/>
        <v/>
      </c>
      <c r="BA198" s="153">
        <f t="shared" si="437"/>
        <v>0</v>
      </c>
      <c r="BB198" s="154">
        <f t="shared" si="438"/>
        <v>0</v>
      </c>
      <c r="BC198" s="154" t="str">
        <f t="shared" si="439"/>
        <v/>
      </c>
      <c r="BD198" s="154" t="str">
        <f t="shared" si="440"/>
        <v/>
      </c>
      <c r="BE198" s="154" t="str">
        <f t="shared" si="441"/>
        <v/>
      </c>
      <c r="BF198" s="153" t="str">
        <f t="shared" si="442"/>
        <v/>
      </c>
      <c r="BG198" s="154" t="str">
        <f t="shared" si="443"/>
        <v/>
      </c>
      <c r="BH198" s="153" t="str">
        <f t="shared" si="444"/>
        <v/>
      </c>
      <c r="BI198" s="580" t="str">
        <f>IF('Marks Entry'!AC198="","",'Marks Entry'!AC198)</f>
        <v/>
      </c>
      <c r="BJ198" s="580" t="str">
        <f>IF('Marks Entry'!AD198="","",'Marks Entry'!AD198)</f>
        <v/>
      </c>
      <c r="BK198" s="580" t="str">
        <f>IF('Marks Entry'!AE198="","",'Marks Entry'!AE198)</f>
        <v/>
      </c>
      <c r="BL198" s="580" t="str">
        <f>IF('Marks Entry'!AF198="","",'Marks Entry'!AF198)</f>
        <v/>
      </c>
      <c r="BM198" s="581" t="str">
        <f t="shared" si="445"/>
        <v/>
      </c>
      <c r="BN198" s="580" t="str">
        <f>IF('Marks Entry'!AG198="","",'Marks Entry'!AG198)</f>
        <v/>
      </c>
      <c r="BO198" s="580" t="str">
        <f>IF('Marks Entry'!AH198="","",'Marks Entry'!AH198)</f>
        <v/>
      </c>
      <c r="BP198" s="581" t="str">
        <f t="shared" si="446"/>
        <v/>
      </c>
      <c r="BQ198" s="581" t="str">
        <f t="shared" si="447"/>
        <v/>
      </c>
      <c r="BR198" s="580" t="str">
        <f>IF('Marks Entry'!AI198="","",'Marks Entry'!AI198)</f>
        <v/>
      </c>
      <c r="BS198" s="580" t="str">
        <f>IF('Marks Entry'!AJ198="","",'Marks Entry'!AJ198)</f>
        <v/>
      </c>
      <c r="BT198" s="581" t="str">
        <f t="shared" si="448"/>
        <v/>
      </c>
      <c r="BU198" s="157" t="str">
        <f t="shared" si="449"/>
        <v/>
      </c>
      <c r="BV198" s="157" t="str">
        <f t="shared" si="450"/>
        <v/>
      </c>
      <c r="BW198" s="192" t="str">
        <f t="shared" si="451"/>
        <v/>
      </c>
      <c r="BX198" s="153">
        <f t="shared" si="452"/>
        <v>0</v>
      </c>
      <c r="BY198" s="154">
        <f t="shared" si="453"/>
        <v>0</v>
      </c>
      <c r="BZ198" s="154" t="str">
        <f t="shared" si="454"/>
        <v/>
      </c>
      <c r="CA198" s="154" t="str">
        <f t="shared" si="455"/>
        <v/>
      </c>
      <c r="CB198" s="154" t="str">
        <f t="shared" si="456"/>
        <v/>
      </c>
      <c r="CC198" s="153" t="str">
        <f t="shared" si="457"/>
        <v/>
      </c>
      <c r="CD198" s="154" t="str">
        <f t="shared" si="458"/>
        <v/>
      </c>
      <c r="CE198" s="153" t="str">
        <f t="shared" si="459"/>
        <v/>
      </c>
      <c r="CF198" s="580" t="str">
        <f>IF('Marks Entry'!AK198="","",'Marks Entry'!AK198)</f>
        <v/>
      </c>
      <c r="CG198" s="580" t="str">
        <f>IF('Marks Entry'!AL198="","",'Marks Entry'!AL198)</f>
        <v/>
      </c>
      <c r="CH198" s="580" t="str">
        <f>IF('Marks Entry'!AM198="","",'Marks Entry'!AM198)</f>
        <v/>
      </c>
      <c r="CI198" s="580" t="str">
        <f>IF('Marks Entry'!AN198="","",'Marks Entry'!AN198)</f>
        <v/>
      </c>
      <c r="CJ198" s="581" t="str">
        <f t="shared" si="460"/>
        <v/>
      </c>
      <c r="CK198" s="580" t="str">
        <f>IF('Marks Entry'!AO198="","",'Marks Entry'!AO198)</f>
        <v/>
      </c>
      <c r="CL198" s="580" t="str">
        <f>IF('Marks Entry'!AP198="","",'Marks Entry'!AP198)</f>
        <v/>
      </c>
      <c r="CM198" s="581" t="str">
        <f t="shared" si="461"/>
        <v/>
      </c>
      <c r="CN198" s="581" t="str">
        <f t="shared" si="462"/>
        <v/>
      </c>
      <c r="CO198" s="580" t="str">
        <f>IF('Marks Entry'!AQ198="","",'Marks Entry'!AQ198)</f>
        <v/>
      </c>
      <c r="CP198" s="580" t="str">
        <f>IF('Marks Entry'!AR198="","",'Marks Entry'!AR198)</f>
        <v/>
      </c>
      <c r="CQ198" s="581" t="str">
        <f t="shared" si="463"/>
        <v/>
      </c>
      <c r="CR198" s="157" t="str">
        <f t="shared" si="464"/>
        <v/>
      </c>
      <c r="CS198" s="157" t="str">
        <f t="shared" si="465"/>
        <v/>
      </c>
      <c r="CT198" s="192" t="str">
        <f t="shared" si="466"/>
        <v/>
      </c>
      <c r="CU198" s="153">
        <f t="shared" si="467"/>
        <v>0</v>
      </c>
      <c r="CV198" s="154">
        <f t="shared" si="468"/>
        <v>0</v>
      </c>
      <c r="CW198" s="154" t="str">
        <f t="shared" si="469"/>
        <v/>
      </c>
      <c r="CX198" s="154" t="str">
        <f t="shared" si="470"/>
        <v/>
      </c>
      <c r="CY198" s="154" t="str">
        <f t="shared" si="471"/>
        <v/>
      </c>
      <c r="CZ198" s="153" t="str">
        <f t="shared" si="472"/>
        <v/>
      </c>
      <c r="DA198" s="154" t="str">
        <f t="shared" si="473"/>
        <v/>
      </c>
      <c r="DB198" s="153" t="str">
        <f t="shared" si="474"/>
        <v/>
      </c>
      <c r="DC198" s="154">
        <f t="shared" si="475"/>
        <v>0</v>
      </c>
      <c r="DD198" s="826" t="str">
        <f>IF('Marks Entry'!AS198="","",IF(OR('Master Sheet'!$D$19="YES",'Marks Entry'!$BA$1=1),'Marks Entry'!AS198,""))</f>
        <v/>
      </c>
      <c r="DE198" s="826" t="str">
        <f>IF('Marks Entry'!AT198="","",IF(OR('Master Sheet'!$D$19="YES",'Marks Entry'!$BA$1=1),'Marks Entry'!AT198,""))</f>
        <v/>
      </c>
      <c r="DF198" s="826" t="str">
        <f>IF('Marks Entry'!AU198="","",IF(OR('Master Sheet'!$D$19="YES",'Marks Entry'!$BA$1=1),'Marks Entry'!AU198,""))</f>
        <v/>
      </c>
      <c r="DG198" s="826" t="str">
        <f>IF('Marks Entry'!AV198="","",IF(OR('Master Sheet'!$D$19="YES",'Marks Entry'!$BA$1=1),'Marks Entry'!AV198,""))</f>
        <v/>
      </c>
      <c r="DH198" s="827" t="str">
        <f t="shared" si="476"/>
        <v/>
      </c>
      <c r="DI198" s="826" t="str">
        <f>IF('Marks Entry'!AW198="","",IF(OR('Master Sheet'!$D$19="YES",'Marks Entry'!$BA$1=1),'Marks Entry'!AW198,""))</f>
        <v/>
      </c>
      <c r="DJ198" s="826" t="str">
        <f>IF('Marks Entry'!AX198="","",IF(OR('Master Sheet'!$D$19="YES",'Marks Entry'!$BA$1=1),'Marks Entry'!AX198,""))</f>
        <v/>
      </c>
      <c r="DK198" s="827" t="str">
        <f t="shared" si="477"/>
        <v/>
      </c>
      <c r="DL198" s="827" t="str">
        <f t="shared" si="478"/>
        <v/>
      </c>
      <c r="DM198" s="826" t="str">
        <f>IF('Marks Entry'!AY198="","",IF(OR('Master Sheet'!$D$19="YES",'Marks Entry'!$BA$1=1),'Marks Entry'!AY198,""))</f>
        <v/>
      </c>
      <c r="DN198" s="826" t="str">
        <f>IF('Marks Entry'!AZ198="","",IF(OR('Master Sheet'!$D$19="YES",'Marks Entry'!$BA$1=1),'Marks Entry'!AZ198,""))</f>
        <v/>
      </c>
      <c r="DO198" s="826" t="str">
        <f>IF('Marks Entry'!BA198="","",IF(OR('Master Sheet'!$D$19="YES",'Marks Entry'!$BA$1=1),'Marks Entry'!BA198,""))</f>
        <v/>
      </c>
      <c r="DP198" s="827" t="str">
        <f t="shared" si="479"/>
        <v/>
      </c>
      <c r="DQ198" s="157" t="str">
        <f t="shared" si="480"/>
        <v/>
      </c>
      <c r="DR198" s="157" t="str">
        <f t="shared" si="481"/>
        <v/>
      </c>
      <c r="DS198" s="157" t="str">
        <f t="shared" si="482"/>
        <v/>
      </c>
      <c r="DT198" s="192" t="str">
        <f t="shared" si="483"/>
        <v/>
      </c>
      <c r="DU198" s="153">
        <f t="shared" si="484"/>
        <v>0</v>
      </c>
      <c r="DV198" s="154" t="e">
        <f t="shared" si="485"/>
        <v>#VALUE!</v>
      </c>
      <c r="DW198" s="154" t="str">
        <f t="shared" si="486"/>
        <v/>
      </c>
      <c r="DX198" s="154" t="str">
        <f>IF(OR($B198="NSO",$B198=0,DS198=""),"",IF(AND(DJ198="",DO198=""),"",IF('Master Sheet'!$D$19="YES",$DO$6-COUNTIF(DO198,"ML")*DO$6,DS$6-(COUNTIF(DJ198,"ML")*DJ$6)-(COUNTIF(DO198,"ML")*DO$6))))</f>
        <v/>
      </c>
      <c r="DY198" s="154" t="str">
        <f>IF(OR($B198="NSO",$B198=0),"",IF(AND(DH198="",DI198="",DM198=""),"",IF(AND('Master Sheet'!$D$19="YES",'Marks Entry'!$BA$1=1),100,IF(AND(DJ198="",DO198=""),SUM(($DQ$7+$DR$7)-(DU198+DV198)),SUM(($DQ$6+$DR$6)-(DU198+DV198))))))</f>
        <v/>
      </c>
      <c r="DZ198" s="153" t="str">
        <f t="shared" si="487"/>
        <v/>
      </c>
      <c r="EA198" s="154" t="str">
        <f t="shared" si="488"/>
        <v/>
      </c>
      <c r="EB198" s="153" t="str">
        <f t="shared" si="489"/>
        <v/>
      </c>
      <c r="EC198" s="584" t="str">
        <f>IF('Marks Entry'!BB198="","",'Marks Entry'!BB198)</f>
        <v/>
      </c>
      <c r="ED198" s="584" t="str">
        <f>IF('Marks Entry'!BC198="","",'Marks Entry'!BC198)</f>
        <v/>
      </c>
      <c r="EE198" s="584" t="str">
        <f>IF('Marks Entry'!BD198="","",'Marks Entry'!BD198)</f>
        <v/>
      </c>
      <c r="EF198" s="590" t="str">
        <f t="shared" si="490"/>
        <v/>
      </c>
      <c r="EG198" s="595">
        <f t="shared" si="491"/>
        <v>0</v>
      </c>
      <c r="EH198" s="595">
        <f t="shared" si="492"/>
        <v>0</v>
      </c>
      <c r="EI198" s="193" t="str">
        <f t="shared" si="493"/>
        <v/>
      </c>
      <c r="EJ198" s="595" t="str">
        <f t="shared" si="494"/>
        <v/>
      </c>
      <c r="EK198" s="595" t="str">
        <f t="shared" si="495"/>
        <v/>
      </c>
      <c r="EL198" s="194" t="str">
        <f t="shared" si="496"/>
        <v/>
      </c>
      <c r="EM198" s="194" t="str">
        <f t="shared" si="497"/>
        <v/>
      </c>
      <c r="EN198" s="194" t="str">
        <f t="shared" si="498"/>
        <v/>
      </c>
      <c r="EO198" s="194" t="str">
        <f t="shared" si="499"/>
        <v/>
      </c>
      <c r="EP198" s="194" t="str">
        <f t="shared" si="500"/>
        <v/>
      </c>
      <c r="EQ198" s="194" t="str">
        <f t="shared" si="501"/>
        <v/>
      </c>
      <c r="ER198" s="195">
        <f t="shared" si="502"/>
        <v>0</v>
      </c>
      <c r="ES198" s="195">
        <f t="shared" si="503"/>
        <v>0</v>
      </c>
      <c r="ET198" s="195">
        <f t="shared" si="504"/>
        <v>0</v>
      </c>
      <c r="EU198" s="195">
        <f t="shared" si="505"/>
        <v>0</v>
      </c>
      <c r="EV198" s="195">
        <f t="shared" si="506"/>
        <v>0</v>
      </c>
      <c r="EW198" s="195" t="str">
        <f t="shared" si="507"/>
        <v/>
      </c>
      <c r="EX198" s="196" t="str">
        <f t="shared" si="508"/>
        <v/>
      </c>
      <c r="EY198" s="197" t="str">
        <f>IF('Marks Entry'!BE198="","",'Marks Entry'!BE198)</f>
        <v/>
      </c>
      <c r="EZ198" s="197" t="str">
        <f>IF('Marks Entry'!BF198="","",'Marks Entry'!BF198)</f>
        <v/>
      </c>
      <c r="FA198" s="197" t="str">
        <f>IF('Marks Entry'!BG198="","",'Marks Entry'!BG198)</f>
        <v/>
      </c>
      <c r="FB198" s="596" t="str">
        <f t="shared" si="509"/>
        <v/>
      </c>
      <c r="FC198" s="197" t="str">
        <f>IF('Marks Entry'!BH198="","",'Marks Entry'!BH198)</f>
        <v/>
      </c>
      <c r="FD198" s="197" t="str">
        <f>IF('Marks Entry'!BI198="","",'Marks Entry'!BI198)</f>
        <v/>
      </c>
      <c r="FE198" s="198" t="str">
        <f t="shared" si="510"/>
        <v/>
      </c>
      <c r="FF198" s="199" t="str">
        <f t="shared" si="511"/>
        <v/>
      </c>
      <c r="FG198" s="200" t="str">
        <f>IF(AND(E198=""),"",IF('Student DATA Entry'!L194="","",'Student DATA Entry'!L194))</f>
        <v/>
      </c>
      <c r="FH198" s="201" t="str">
        <f>IF(AND(E198=""),"",IF('Student DATA Entry'!M194="","",'Student DATA Entry'!M194))</f>
        <v/>
      </c>
      <c r="FI198" s="202" t="str">
        <f t="shared" si="512"/>
        <v/>
      </c>
      <c r="FJ198" s="189" t="str">
        <f t="shared" si="513"/>
        <v/>
      </c>
      <c r="FK198" s="189" t="str">
        <f t="shared" si="514"/>
        <v/>
      </c>
      <c r="FL198" s="203" t="str">
        <f t="shared" si="542"/>
        <v/>
      </c>
      <c r="FM198" s="189" t="str">
        <f t="shared" si="515"/>
        <v/>
      </c>
      <c r="FN198" s="204" t="str">
        <f t="shared" si="516"/>
        <v/>
      </c>
      <c r="FO198" s="203" t="str">
        <f t="shared" si="543"/>
        <v/>
      </c>
      <c r="FP198" s="205" t="str">
        <f t="shared" si="517"/>
        <v/>
      </c>
      <c r="FQ198" s="189" t="str">
        <f t="shared" si="544"/>
        <v/>
      </c>
      <c r="FR198" s="189" t="str">
        <f t="shared" si="545"/>
        <v/>
      </c>
      <c r="FS198" s="189" t="str">
        <f t="shared" si="546"/>
        <v/>
      </c>
      <c r="FT198" s="189" t="str">
        <f t="shared" si="547"/>
        <v/>
      </c>
      <c r="FU198" s="189" t="str">
        <f t="shared" si="518"/>
        <v/>
      </c>
      <c r="FV198" s="206" t="str">
        <f t="shared" si="548"/>
        <v/>
      </c>
      <c r="FW198" s="205" t="str">
        <f t="shared" si="519"/>
        <v/>
      </c>
      <c r="FX198" s="189" t="str">
        <f t="shared" si="549"/>
        <v/>
      </c>
      <c r="FY198" s="189" t="str">
        <f t="shared" si="550"/>
        <v/>
      </c>
      <c r="FZ198" s="189" t="str">
        <f t="shared" si="551"/>
        <v/>
      </c>
      <c r="GA198" s="189" t="str">
        <f t="shared" si="552"/>
        <v/>
      </c>
      <c r="GB198" s="189" t="str">
        <f t="shared" si="520"/>
        <v/>
      </c>
      <c r="GC198" s="206" t="str">
        <f t="shared" si="553"/>
        <v/>
      </c>
      <c r="GD198" s="205" t="str">
        <f t="shared" si="521"/>
        <v/>
      </c>
      <c r="GE198" s="189" t="str">
        <f t="shared" si="554"/>
        <v/>
      </c>
      <c r="GF198" s="189" t="str">
        <f t="shared" si="555"/>
        <v/>
      </c>
      <c r="GG198" s="189" t="str">
        <f t="shared" si="556"/>
        <v/>
      </c>
      <c r="GH198" s="189" t="str">
        <f t="shared" si="557"/>
        <v/>
      </c>
      <c r="GI198" s="189" t="str">
        <f t="shared" si="522"/>
        <v/>
      </c>
      <c r="GJ198" s="206" t="str">
        <f t="shared" si="558"/>
        <v/>
      </c>
      <c r="GK198" s="205" t="str">
        <f t="shared" si="523"/>
        <v/>
      </c>
      <c r="GL198" s="189" t="str">
        <f t="shared" si="559"/>
        <v/>
      </c>
      <c r="GM198" s="189" t="str">
        <f t="shared" si="560"/>
        <v/>
      </c>
      <c r="GN198" s="189" t="str">
        <f t="shared" si="561"/>
        <v/>
      </c>
      <c r="GO198" s="189" t="str">
        <f t="shared" si="562"/>
        <v/>
      </c>
      <c r="GP198" s="189" t="str">
        <f t="shared" si="524"/>
        <v/>
      </c>
      <c r="GQ198" s="206" t="str">
        <f t="shared" si="563"/>
        <v/>
      </c>
      <c r="GR198" s="189" t="str">
        <f t="shared" si="525"/>
        <v/>
      </c>
      <c r="GS198" s="189" t="str">
        <f t="shared" si="526"/>
        <v/>
      </c>
      <c r="GT198" s="207" t="str">
        <f t="shared" si="527"/>
        <v xml:space="preserve">    </v>
      </c>
      <c r="GU198" s="207" t="str">
        <f t="shared" si="528"/>
        <v xml:space="preserve">    </v>
      </c>
      <c r="GV198" s="207" t="str">
        <f t="shared" si="529"/>
        <v xml:space="preserve">    </v>
      </c>
      <c r="GW198" s="207" t="str">
        <f t="shared" si="530"/>
        <v xml:space="preserve">       </v>
      </c>
      <c r="GX198" s="598" t="str">
        <f t="shared" si="531"/>
        <v xml:space="preserve">     </v>
      </c>
      <c r="GY198" s="208" t="str">
        <f t="shared" si="564"/>
        <v/>
      </c>
      <c r="GZ198" s="606" t="str">
        <f>IF(AND(Q198="",AE198="",AZ198="",BW198="",CT198=""),"",IF(AND('Master Sheet'!$D$19="YES",'Marks Entry'!$BA$1=1),SUM(Q198,AE198,AZ198,BW198,DT198),SUM(Q198,AE198,AZ198,BW198,CT198)))</f>
        <v/>
      </c>
      <c r="HA198" s="209" t="str">
        <f>IF(GZ198="","",IF(AND('Master Sheet'!$D$19="YES",'Marks Entry'!$BA$1=1),GZ198/((900)-DC198)*100,GZ198/((1000)-DC198)*100))</f>
        <v/>
      </c>
      <c r="HB198" s="611" t="str">
        <f t="shared" si="532"/>
        <v/>
      </c>
      <c r="HC198" s="609" t="str">
        <f t="shared" si="533"/>
        <v/>
      </c>
      <c r="HD198" s="610" t="str">
        <f t="shared" si="534"/>
        <v/>
      </c>
      <c r="HE198" s="210" t="str">
        <f>IFERROR(IF(OR(GY198="SUPPLEMENTARY",GY198="RE-EXAM"),'Supp. Result Entry'!AS197,""),"")</f>
        <v/>
      </c>
      <c r="HF198" s="613" t="str">
        <f t="shared" si="535"/>
        <v/>
      </c>
      <c r="HG198" s="598" t="str">
        <f t="shared" si="536"/>
        <v/>
      </c>
      <c r="HH198" s="598" t="str">
        <f>IF(AND(HE198="",HF198="",HG198=""),"",IF(OR(GY198="SUPPLEMENTARY",GY198="RE-EXAM"),'Supp. Result Entry'!AS197,GY198))</f>
        <v/>
      </c>
      <c r="HI198" s="180"/>
      <c r="HY198" s="212" t="str">
        <f>IF('Supp. Result Entry'!U197="","",'Supp. Result Entry'!$U$6)</f>
        <v/>
      </c>
      <c r="HZ198" s="213" t="str">
        <f>IF('Supp. Result Entry'!X197="","",'Supp. Result Entry'!$X$6)</f>
        <v/>
      </c>
      <c r="IA198" s="213" t="str">
        <f>IF('Supp. Result Entry'!AA197="","",'Supp. Result Entry'!$AA$6)</f>
        <v/>
      </c>
      <c r="IB198" s="213" t="str">
        <f>IF('Supp. Result Entry'!AD197="","",'Supp. Result Entry'!$AD$6)</f>
        <v/>
      </c>
      <c r="IC198" s="213" t="str">
        <f>IF('Supp. Result Entry'!AG197="","",'Supp. Result Entry'!$AG$6)</f>
        <v/>
      </c>
      <c r="ID198" s="213" t="str">
        <f>IF('Supp. Result Entry'!AJ197="","",'Supp. Result Entry'!$AJ$6)</f>
        <v/>
      </c>
      <c r="IE198" s="213" t="str">
        <f>IF('Supp. Result Entry'!V197="","",'Supp. Result Entry'!V197)</f>
        <v/>
      </c>
      <c r="IF198" s="213" t="str">
        <f>IF('Supp. Result Entry'!Y197="","",'Supp. Result Entry'!Y197)</f>
        <v/>
      </c>
      <c r="IG198" s="213" t="str">
        <f>IF('Supp. Result Entry'!AB197="","",'Supp. Result Entry'!AB197)</f>
        <v/>
      </c>
      <c r="IH198" s="213" t="str">
        <f>IF('Supp. Result Entry'!AE197="","",'Supp. Result Entry'!AE197)</f>
        <v/>
      </c>
      <c r="II198" s="213" t="str">
        <f>IF('Supp. Result Entry'!AH197="","",'Supp. Result Entry'!AH197)</f>
        <v/>
      </c>
      <c r="IJ198" s="213" t="str">
        <f>IF('Supp. Result Entry'!AK197="","",'Supp. Result Entry'!AK197)</f>
        <v/>
      </c>
      <c r="IK198" s="213" t="str">
        <f>IF('Supp. Result Entry'!W197="","",'Supp. Result Entry'!W197)</f>
        <v/>
      </c>
      <c r="IL198" s="213" t="str">
        <f>IF('Supp. Result Entry'!Z197="","",'Supp. Result Entry'!Z197)</f>
        <v/>
      </c>
      <c r="IM198" s="213" t="str">
        <f>IF('Supp. Result Entry'!AC197="","",'Supp. Result Entry'!AC197)</f>
        <v/>
      </c>
      <c r="IN198" s="213" t="str">
        <f>IF('Supp. Result Entry'!AF197="","",'Supp. Result Entry'!AF197)</f>
        <v/>
      </c>
      <c r="IO198" s="213" t="str">
        <f>IF('Supp. Result Entry'!AI197="","",'Supp. Result Entry'!AI197)</f>
        <v/>
      </c>
      <c r="IP198" s="213" t="str">
        <f>IF('Supp. Result Entry'!AL197="","",'Supp. Result Entry'!AL197)</f>
        <v/>
      </c>
      <c r="IQ198" s="213">
        <f>COUNTIF('Supp. Result Entry'!K197:Q197,"S")</f>
        <v>0</v>
      </c>
      <c r="IR198" s="213">
        <f t="shared" si="537"/>
        <v>0</v>
      </c>
      <c r="IS198" s="213">
        <f t="shared" si="538"/>
        <v>0</v>
      </c>
      <c r="IT198" s="213" t="str">
        <f t="shared" si="406"/>
        <v/>
      </c>
      <c r="IU198" s="213" t="str">
        <f t="shared" si="407"/>
        <v/>
      </c>
      <c r="IV198" s="213" t="str">
        <f t="shared" si="408"/>
        <v/>
      </c>
      <c r="IW198" s="213" t="str">
        <f t="shared" si="409"/>
        <v/>
      </c>
      <c r="IX198" s="213" t="str">
        <f t="shared" si="410"/>
        <v/>
      </c>
      <c r="IY198" s="213" t="str">
        <f t="shared" si="539"/>
        <v/>
      </c>
      <c r="IZ198" s="213" t="str">
        <f t="shared" si="540"/>
        <v/>
      </c>
      <c r="JA198" s="213" t="str">
        <f t="shared" si="411"/>
        <v/>
      </c>
      <c r="JB198" s="211" t="str">
        <f t="shared" si="541"/>
        <v/>
      </c>
    </row>
    <row r="199" spans="1:262" s="211" customFormat="1" ht="21" customHeight="1">
      <c r="A199" s="184">
        <v>192</v>
      </c>
      <c r="B199" s="185" t="str">
        <f>IF('Marks Entry'!B199="","",'Marks Entry'!B199)</f>
        <v/>
      </c>
      <c r="C199" s="186" t="str">
        <f>IF('Marks Entry'!D199="","",'Marks Entry'!D199)</f>
        <v/>
      </c>
      <c r="D199" s="187" t="str">
        <f>IF('Marks Entry'!E199="","",'Marks Entry'!E199)</f>
        <v/>
      </c>
      <c r="E199" s="188" t="str">
        <f>IF('Marks Entry'!F199="","",'Marks Entry'!F199)</f>
        <v/>
      </c>
      <c r="F199" s="188" t="str">
        <f>IF('Marks Entry'!G199="","",'Marks Entry'!G199)</f>
        <v/>
      </c>
      <c r="G199" s="188" t="str">
        <f>IF('Marks Entry'!H199="","",'Marks Entry'!H199)</f>
        <v/>
      </c>
      <c r="H199" s="189" t="str">
        <f>IF('Marks Entry'!I199="","",'Marks Entry'!I199)</f>
        <v/>
      </c>
      <c r="I199" s="190" t="str">
        <f>IF('Marks Entry'!J199="","",'Marks Entry'!J199)</f>
        <v/>
      </c>
      <c r="J199" s="545" t="str">
        <f>IF('Marks Entry'!K199="","",'Marks Entry'!K199)</f>
        <v/>
      </c>
      <c r="K199" s="545" t="str">
        <f>IF('Marks Entry'!L199="","",'Marks Entry'!L199)</f>
        <v/>
      </c>
      <c r="L199" s="545" t="str">
        <f>IF('Marks Entry'!M199="","",'Marks Entry'!M199)</f>
        <v/>
      </c>
      <c r="M199" s="546" t="str">
        <f t="shared" si="412"/>
        <v/>
      </c>
      <c r="N199" s="545" t="str">
        <f>IF('Marks Entry'!N199="","",'Marks Entry'!N199)</f>
        <v/>
      </c>
      <c r="O199" s="546" t="str">
        <f t="shared" si="413"/>
        <v/>
      </c>
      <c r="P199" s="545" t="str">
        <f>IF('Marks Entry'!O199="","",'Marks Entry'!O199)</f>
        <v/>
      </c>
      <c r="Q199" s="547" t="str">
        <f t="shared" si="414"/>
        <v/>
      </c>
      <c r="R199" s="153">
        <f t="shared" si="415"/>
        <v>0</v>
      </c>
      <c r="S199" s="153">
        <f t="shared" si="416"/>
        <v>0</v>
      </c>
      <c r="T199" s="154" t="str">
        <f t="shared" si="417"/>
        <v/>
      </c>
      <c r="U199" s="153" t="str">
        <f t="shared" si="418"/>
        <v/>
      </c>
      <c r="V199" s="153" t="str">
        <f t="shared" si="419"/>
        <v/>
      </c>
      <c r="W199" s="153" t="str">
        <f t="shared" si="420"/>
        <v/>
      </c>
      <c r="X199" s="545" t="str">
        <f>IF('Marks Entry'!P199="","",'Marks Entry'!P199)</f>
        <v/>
      </c>
      <c r="Y199" s="545" t="str">
        <f>IF('Marks Entry'!Q199="","",'Marks Entry'!Q199)</f>
        <v/>
      </c>
      <c r="Z199" s="545" t="str">
        <f>IF('Marks Entry'!R199="","",'Marks Entry'!R199)</f>
        <v/>
      </c>
      <c r="AA199" s="546" t="str">
        <f t="shared" si="421"/>
        <v/>
      </c>
      <c r="AB199" s="545" t="str">
        <f>IF('Marks Entry'!S199="","",'Marks Entry'!S199)</f>
        <v/>
      </c>
      <c r="AC199" s="546" t="str">
        <f t="shared" si="422"/>
        <v/>
      </c>
      <c r="AD199" s="545" t="str">
        <f>IF('Marks Entry'!T199="","",'Marks Entry'!T199)</f>
        <v/>
      </c>
      <c r="AE199" s="547" t="str">
        <f t="shared" si="423"/>
        <v/>
      </c>
      <c r="AF199" s="153">
        <f t="shared" si="424"/>
        <v>0</v>
      </c>
      <c r="AG199" s="153">
        <f t="shared" si="425"/>
        <v>0</v>
      </c>
      <c r="AH199" s="154" t="str">
        <f t="shared" si="426"/>
        <v/>
      </c>
      <c r="AI199" s="153" t="str">
        <f t="shared" si="427"/>
        <v/>
      </c>
      <c r="AJ199" s="153" t="str">
        <f t="shared" si="428"/>
        <v/>
      </c>
      <c r="AK199" s="153" t="str">
        <f t="shared" si="429"/>
        <v/>
      </c>
      <c r="AL199" s="573" t="str">
        <f>IF('Marks Entry'!U199="","",'Marks Entry'!U199)</f>
        <v/>
      </c>
      <c r="AM199" s="573" t="str">
        <f>IF('Marks Entry'!V199="","",'Marks Entry'!V199)</f>
        <v/>
      </c>
      <c r="AN199" s="573" t="str">
        <f>IF('Marks Entry'!W199="","",'Marks Entry'!W199)</f>
        <v/>
      </c>
      <c r="AO199" s="573" t="str">
        <f>IF('Marks Entry'!X199="","",'Marks Entry'!X199)</f>
        <v/>
      </c>
      <c r="AP199" s="572" t="str">
        <f t="shared" si="430"/>
        <v/>
      </c>
      <c r="AQ199" s="573" t="str">
        <f>IF('Marks Entry'!Y199="","",'Marks Entry'!Y199)</f>
        <v/>
      </c>
      <c r="AR199" s="573" t="str">
        <f>IF('Marks Entry'!Z199="","",'Marks Entry'!Z199)</f>
        <v/>
      </c>
      <c r="AS199" s="572" t="str">
        <f t="shared" si="431"/>
        <v/>
      </c>
      <c r="AT199" s="572" t="str">
        <f t="shared" si="432"/>
        <v/>
      </c>
      <c r="AU199" s="573" t="str">
        <f>IF('Marks Entry'!AA199="","",'Marks Entry'!AA199)</f>
        <v/>
      </c>
      <c r="AV199" s="573" t="str">
        <f>IF('Marks Entry'!AB199="","",'Marks Entry'!AB199)</f>
        <v/>
      </c>
      <c r="AW199" s="572" t="str">
        <f t="shared" si="433"/>
        <v/>
      </c>
      <c r="AX199" s="157" t="str">
        <f t="shared" si="434"/>
        <v/>
      </c>
      <c r="AY199" s="157" t="str">
        <f t="shared" si="435"/>
        <v/>
      </c>
      <c r="AZ199" s="192" t="str">
        <f t="shared" si="436"/>
        <v/>
      </c>
      <c r="BA199" s="153">
        <f t="shared" si="437"/>
        <v>0</v>
      </c>
      <c r="BB199" s="154">
        <f t="shared" si="438"/>
        <v>0</v>
      </c>
      <c r="BC199" s="154" t="str">
        <f t="shared" si="439"/>
        <v/>
      </c>
      <c r="BD199" s="154" t="str">
        <f t="shared" si="440"/>
        <v/>
      </c>
      <c r="BE199" s="154" t="str">
        <f t="shared" si="441"/>
        <v/>
      </c>
      <c r="BF199" s="153" t="str">
        <f t="shared" si="442"/>
        <v/>
      </c>
      <c r="BG199" s="154" t="str">
        <f t="shared" si="443"/>
        <v/>
      </c>
      <c r="BH199" s="153" t="str">
        <f t="shared" si="444"/>
        <v/>
      </c>
      <c r="BI199" s="580" t="str">
        <f>IF('Marks Entry'!AC199="","",'Marks Entry'!AC199)</f>
        <v/>
      </c>
      <c r="BJ199" s="580" t="str">
        <f>IF('Marks Entry'!AD199="","",'Marks Entry'!AD199)</f>
        <v/>
      </c>
      <c r="BK199" s="580" t="str">
        <f>IF('Marks Entry'!AE199="","",'Marks Entry'!AE199)</f>
        <v/>
      </c>
      <c r="BL199" s="580" t="str">
        <f>IF('Marks Entry'!AF199="","",'Marks Entry'!AF199)</f>
        <v/>
      </c>
      <c r="BM199" s="581" t="str">
        <f t="shared" si="445"/>
        <v/>
      </c>
      <c r="BN199" s="580" t="str">
        <f>IF('Marks Entry'!AG199="","",'Marks Entry'!AG199)</f>
        <v/>
      </c>
      <c r="BO199" s="580" t="str">
        <f>IF('Marks Entry'!AH199="","",'Marks Entry'!AH199)</f>
        <v/>
      </c>
      <c r="BP199" s="581" t="str">
        <f t="shared" si="446"/>
        <v/>
      </c>
      <c r="BQ199" s="581" t="str">
        <f t="shared" si="447"/>
        <v/>
      </c>
      <c r="BR199" s="580" t="str">
        <f>IF('Marks Entry'!AI199="","",'Marks Entry'!AI199)</f>
        <v/>
      </c>
      <c r="BS199" s="580" t="str">
        <f>IF('Marks Entry'!AJ199="","",'Marks Entry'!AJ199)</f>
        <v/>
      </c>
      <c r="BT199" s="581" t="str">
        <f t="shared" si="448"/>
        <v/>
      </c>
      <c r="BU199" s="157" t="str">
        <f t="shared" si="449"/>
        <v/>
      </c>
      <c r="BV199" s="157" t="str">
        <f t="shared" si="450"/>
        <v/>
      </c>
      <c r="BW199" s="192" t="str">
        <f t="shared" si="451"/>
        <v/>
      </c>
      <c r="BX199" s="153">
        <f t="shared" si="452"/>
        <v>0</v>
      </c>
      <c r="BY199" s="154">
        <f t="shared" si="453"/>
        <v>0</v>
      </c>
      <c r="BZ199" s="154" t="str">
        <f t="shared" si="454"/>
        <v/>
      </c>
      <c r="CA199" s="154" t="str">
        <f t="shared" si="455"/>
        <v/>
      </c>
      <c r="CB199" s="154" t="str">
        <f t="shared" si="456"/>
        <v/>
      </c>
      <c r="CC199" s="153" t="str">
        <f t="shared" si="457"/>
        <v/>
      </c>
      <c r="CD199" s="154" t="str">
        <f t="shared" si="458"/>
        <v/>
      </c>
      <c r="CE199" s="153" t="str">
        <f t="shared" si="459"/>
        <v/>
      </c>
      <c r="CF199" s="580" t="str">
        <f>IF('Marks Entry'!AK199="","",'Marks Entry'!AK199)</f>
        <v/>
      </c>
      <c r="CG199" s="580" t="str">
        <f>IF('Marks Entry'!AL199="","",'Marks Entry'!AL199)</f>
        <v/>
      </c>
      <c r="CH199" s="580" t="str">
        <f>IF('Marks Entry'!AM199="","",'Marks Entry'!AM199)</f>
        <v/>
      </c>
      <c r="CI199" s="580" t="str">
        <f>IF('Marks Entry'!AN199="","",'Marks Entry'!AN199)</f>
        <v/>
      </c>
      <c r="CJ199" s="581" t="str">
        <f t="shared" si="460"/>
        <v/>
      </c>
      <c r="CK199" s="580" t="str">
        <f>IF('Marks Entry'!AO199="","",'Marks Entry'!AO199)</f>
        <v/>
      </c>
      <c r="CL199" s="580" t="str">
        <f>IF('Marks Entry'!AP199="","",'Marks Entry'!AP199)</f>
        <v/>
      </c>
      <c r="CM199" s="581" t="str">
        <f t="shared" si="461"/>
        <v/>
      </c>
      <c r="CN199" s="581" t="str">
        <f t="shared" si="462"/>
        <v/>
      </c>
      <c r="CO199" s="580" t="str">
        <f>IF('Marks Entry'!AQ199="","",'Marks Entry'!AQ199)</f>
        <v/>
      </c>
      <c r="CP199" s="580" t="str">
        <f>IF('Marks Entry'!AR199="","",'Marks Entry'!AR199)</f>
        <v/>
      </c>
      <c r="CQ199" s="581" t="str">
        <f t="shared" si="463"/>
        <v/>
      </c>
      <c r="CR199" s="157" t="str">
        <f t="shared" si="464"/>
        <v/>
      </c>
      <c r="CS199" s="157" t="str">
        <f t="shared" si="465"/>
        <v/>
      </c>
      <c r="CT199" s="192" t="str">
        <f t="shared" si="466"/>
        <v/>
      </c>
      <c r="CU199" s="153">
        <f t="shared" si="467"/>
        <v>0</v>
      </c>
      <c r="CV199" s="154">
        <f t="shared" si="468"/>
        <v>0</v>
      </c>
      <c r="CW199" s="154" t="str">
        <f t="shared" si="469"/>
        <v/>
      </c>
      <c r="CX199" s="154" t="str">
        <f t="shared" si="470"/>
        <v/>
      </c>
      <c r="CY199" s="154" t="str">
        <f t="shared" si="471"/>
        <v/>
      </c>
      <c r="CZ199" s="153" t="str">
        <f t="shared" si="472"/>
        <v/>
      </c>
      <c r="DA199" s="154" t="str">
        <f t="shared" si="473"/>
        <v/>
      </c>
      <c r="DB199" s="153" t="str">
        <f t="shared" si="474"/>
        <v/>
      </c>
      <c r="DC199" s="154">
        <f t="shared" si="475"/>
        <v>0</v>
      </c>
      <c r="DD199" s="826" t="str">
        <f>IF('Marks Entry'!AS199="","",IF(OR('Master Sheet'!$D$19="YES",'Marks Entry'!$BA$1=1),'Marks Entry'!AS199,""))</f>
        <v/>
      </c>
      <c r="DE199" s="826" t="str">
        <f>IF('Marks Entry'!AT199="","",IF(OR('Master Sheet'!$D$19="YES",'Marks Entry'!$BA$1=1),'Marks Entry'!AT199,""))</f>
        <v/>
      </c>
      <c r="DF199" s="826" t="str">
        <f>IF('Marks Entry'!AU199="","",IF(OR('Master Sheet'!$D$19="YES",'Marks Entry'!$BA$1=1),'Marks Entry'!AU199,""))</f>
        <v/>
      </c>
      <c r="DG199" s="826" t="str">
        <f>IF('Marks Entry'!AV199="","",IF(OR('Master Sheet'!$D$19="YES",'Marks Entry'!$BA$1=1),'Marks Entry'!AV199,""))</f>
        <v/>
      </c>
      <c r="DH199" s="827" t="str">
        <f t="shared" si="476"/>
        <v/>
      </c>
      <c r="DI199" s="826" t="str">
        <f>IF('Marks Entry'!AW199="","",IF(OR('Master Sheet'!$D$19="YES",'Marks Entry'!$BA$1=1),'Marks Entry'!AW199,""))</f>
        <v/>
      </c>
      <c r="DJ199" s="826" t="str">
        <f>IF('Marks Entry'!AX199="","",IF(OR('Master Sheet'!$D$19="YES",'Marks Entry'!$BA$1=1),'Marks Entry'!AX199,""))</f>
        <v/>
      </c>
      <c r="DK199" s="827" t="str">
        <f t="shared" si="477"/>
        <v/>
      </c>
      <c r="DL199" s="827" t="str">
        <f t="shared" si="478"/>
        <v/>
      </c>
      <c r="DM199" s="826" t="str">
        <f>IF('Marks Entry'!AY199="","",IF(OR('Master Sheet'!$D$19="YES",'Marks Entry'!$BA$1=1),'Marks Entry'!AY199,""))</f>
        <v/>
      </c>
      <c r="DN199" s="826" t="str">
        <f>IF('Marks Entry'!AZ199="","",IF(OR('Master Sheet'!$D$19="YES",'Marks Entry'!$BA$1=1),'Marks Entry'!AZ199,""))</f>
        <v/>
      </c>
      <c r="DO199" s="826" t="str">
        <f>IF('Marks Entry'!BA199="","",IF(OR('Master Sheet'!$D$19="YES",'Marks Entry'!$BA$1=1),'Marks Entry'!BA199,""))</f>
        <v/>
      </c>
      <c r="DP199" s="827" t="str">
        <f t="shared" si="479"/>
        <v/>
      </c>
      <c r="DQ199" s="157" t="str">
        <f t="shared" si="480"/>
        <v/>
      </c>
      <c r="DR199" s="157" t="str">
        <f t="shared" si="481"/>
        <v/>
      </c>
      <c r="DS199" s="157" t="str">
        <f t="shared" si="482"/>
        <v/>
      </c>
      <c r="DT199" s="192" t="str">
        <f t="shared" si="483"/>
        <v/>
      </c>
      <c r="DU199" s="153">
        <f t="shared" si="484"/>
        <v>0</v>
      </c>
      <c r="DV199" s="154" t="e">
        <f t="shared" si="485"/>
        <v>#VALUE!</v>
      </c>
      <c r="DW199" s="154" t="str">
        <f t="shared" si="486"/>
        <v/>
      </c>
      <c r="DX199" s="154" t="str">
        <f>IF(OR($B199="NSO",$B199=0,DS199=""),"",IF(AND(DJ199="",DO199=""),"",IF('Master Sheet'!$D$19="YES",$DO$6-COUNTIF(DO199,"ML")*DO$6,DS$6-(COUNTIF(DJ199,"ML")*DJ$6)-(COUNTIF(DO199,"ML")*DO$6))))</f>
        <v/>
      </c>
      <c r="DY199" s="154" t="str">
        <f>IF(OR($B199="NSO",$B199=0),"",IF(AND(DH199="",DI199="",DM199=""),"",IF(AND('Master Sheet'!$D$19="YES",'Marks Entry'!$BA$1=1),100,IF(AND(DJ199="",DO199=""),SUM(($DQ$7+$DR$7)-(DU199+DV199)),SUM(($DQ$6+$DR$6)-(DU199+DV199))))))</f>
        <v/>
      </c>
      <c r="DZ199" s="153" t="str">
        <f t="shared" si="487"/>
        <v/>
      </c>
      <c r="EA199" s="154" t="str">
        <f t="shared" si="488"/>
        <v/>
      </c>
      <c r="EB199" s="153" t="str">
        <f t="shared" si="489"/>
        <v/>
      </c>
      <c r="EC199" s="584" t="str">
        <f>IF('Marks Entry'!BB199="","",'Marks Entry'!BB199)</f>
        <v/>
      </c>
      <c r="ED199" s="584" t="str">
        <f>IF('Marks Entry'!BC199="","",'Marks Entry'!BC199)</f>
        <v/>
      </c>
      <c r="EE199" s="584" t="str">
        <f>IF('Marks Entry'!BD199="","",'Marks Entry'!BD199)</f>
        <v/>
      </c>
      <c r="EF199" s="590" t="str">
        <f t="shared" si="490"/>
        <v/>
      </c>
      <c r="EG199" s="595">
        <f t="shared" si="491"/>
        <v>0</v>
      </c>
      <c r="EH199" s="595">
        <f t="shared" si="492"/>
        <v>0</v>
      </c>
      <c r="EI199" s="193" t="str">
        <f t="shared" si="493"/>
        <v/>
      </c>
      <c r="EJ199" s="595" t="str">
        <f t="shared" si="494"/>
        <v/>
      </c>
      <c r="EK199" s="595" t="str">
        <f t="shared" si="495"/>
        <v/>
      </c>
      <c r="EL199" s="194" t="str">
        <f t="shared" si="496"/>
        <v/>
      </c>
      <c r="EM199" s="194" t="str">
        <f t="shared" si="497"/>
        <v/>
      </c>
      <c r="EN199" s="194" t="str">
        <f t="shared" si="498"/>
        <v/>
      </c>
      <c r="EO199" s="194" t="str">
        <f t="shared" si="499"/>
        <v/>
      </c>
      <c r="EP199" s="194" t="str">
        <f t="shared" si="500"/>
        <v/>
      </c>
      <c r="EQ199" s="194" t="str">
        <f t="shared" si="501"/>
        <v/>
      </c>
      <c r="ER199" s="195">
        <f t="shared" si="502"/>
        <v>0</v>
      </c>
      <c r="ES199" s="195">
        <f t="shared" si="503"/>
        <v>0</v>
      </c>
      <c r="ET199" s="195">
        <f t="shared" si="504"/>
        <v>0</v>
      </c>
      <c r="EU199" s="195">
        <f t="shared" si="505"/>
        <v>0</v>
      </c>
      <c r="EV199" s="195">
        <f t="shared" si="506"/>
        <v>0</v>
      </c>
      <c r="EW199" s="195" t="str">
        <f t="shared" si="507"/>
        <v/>
      </c>
      <c r="EX199" s="196" t="str">
        <f t="shared" si="508"/>
        <v/>
      </c>
      <c r="EY199" s="197" t="str">
        <f>IF('Marks Entry'!BE199="","",'Marks Entry'!BE199)</f>
        <v/>
      </c>
      <c r="EZ199" s="197" t="str">
        <f>IF('Marks Entry'!BF199="","",'Marks Entry'!BF199)</f>
        <v/>
      </c>
      <c r="FA199" s="197" t="str">
        <f>IF('Marks Entry'!BG199="","",'Marks Entry'!BG199)</f>
        <v/>
      </c>
      <c r="FB199" s="596" t="str">
        <f t="shared" si="509"/>
        <v/>
      </c>
      <c r="FC199" s="197" t="str">
        <f>IF('Marks Entry'!BH199="","",'Marks Entry'!BH199)</f>
        <v/>
      </c>
      <c r="FD199" s="197" t="str">
        <f>IF('Marks Entry'!BI199="","",'Marks Entry'!BI199)</f>
        <v/>
      </c>
      <c r="FE199" s="198" t="str">
        <f t="shared" si="510"/>
        <v/>
      </c>
      <c r="FF199" s="199" t="str">
        <f t="shared" si="511"/>
        <v/>
      </c>
      <c r="FG199" s="200" t="str">
        <f>IF(AND(E199=""),"",IF('Student DATA Entry'!L195="","",'Student DATA Entry'!L195))</f>
        <v/>
      </c>
      <c r="FH199" s="201" t="str">
        <f>IF(AND(E199=""),"",IF('Student DATA Entry'!M195="","",'Student DATA Entry'!M195))</f>
        <v/>
      </c>
      <c r="FI199" s="202" t="str">
        <f t="shared" si="512"/>
        <v/>
      </c>
      <c r="FJ199" s="189" t="str">
        <f t="shared" si="513"/>
        <v/>
      </c>
      <c r="FK199" s="189" t="str">
        <f t="shared" si="514"/>
        <v/>
      </c>
      <c r="FL199" s="203" t="str">
        <f t="shared" si="542"/>
        <v/>
      </c>
      <c r="FM199" s="189" t="str">
        <f t="shared" si="515"/>
        <v/>
      </c>
      <c r="FN199" s="204" t="str">
        <f t="shared" si="516"/>
        <v/>
      </c>
      <c r="FO199" s="203" t="str">
        <f t="shared" si="543"/>
        <v/>
      </c>
      <c r="FP199" s="205" t="str">
        <f t="shared" si="517"/>
        <v/>
      </c>
      <c r="FQ199" s="189" t="str">
        <f t="shared" si="544"/>
        <v/>
      </c>
      <c r="FR199" s="189" t="str">
        <f t="shared" si="545"/>
        <v/>
      </c>
      <c r="FS199" s="189" t="str">
        <f t="shared" si="546"/>
        <v/>
      </c>
      <c r="FT199" s="189" t="str">
        <f t="shared" si="547"/>
        <v/>
      </c>
      <c r="FU199" s="189" t="str">
        <f t="shared" si="518"/>
        <v/>
      </c>
      <c r="FV199" s="206" t="str">
        <f t="shared" si="548"/>
        <v/>
      </c>
      <c r="FW199" s="205" t="str">
        <f t="shared" si="519"/>
        <v/>
      </c>
      <c r="FX199" s="189" t="str">
        <f t="shared" si="549"/>
        <v/>
      </c>
      <c r="FY199" s="189" t="str">
        <f t="shared" si="550"/>
        <v/>
      </c>
      <c r="FZ199" s="189" t="str">
        <f t="shared" si="551"/>
        <v/>
      </c>
      <c r="GA199" s="189" t="str">
        <f t="shared" si="552"/>
        <v/>
      </c>
      <c r="GB199" s="189" t="str">
        <f t="shared" si="520"/>
        <v/>
      </c>
      <c r="GC199" s="206" t="str">
        <f t="shared" si="553"/>
        <v/>
      </c>
      <c r="GD199" s="205" t="str">
        <f t="shared" si="521"/>
        <v/>
      </c>
      <c r="GE199" s="189" t="str">
        <f t="shared" si="554"/>
        <v/>
      </c>
      <c r="GF199" s="189" t="str">
        <f t="shared" si="555"/>
        <v/>
      </c>
      <c r="GG199" s="189" t="str">
        <f t="shared" si="556"/>
        <v/>
      </c>
      <c r="GH199" s="189" t="str">
        <f t="shared" si="557"/>
        <v/>
      </c>
      <c r="GI199" s="189" t="str">
        <f t="shared" si="522"/>
        <v/>
      </c>
      <c r="GJ199" s="206" t="str">
        <f t="shared" si="558"/>
        <v/>
      </c>
      <c r="GK199" s="205" t="str">
        <f t="shared" si="523"/>
        <v/>
      </c>
      <c r="GL199" s="189" t="str">
        <f t="shared" si="559"/>
        <v/>
      </c>
      <c r="GM199" s="189" t="str">
        <f t="shared" si="560"/>
        <v/>
      </c>
      <c r="GN199" s="189" t="str">
        <f t="shared" si="561"/>
        <v/>
      </c>
      <c r="GO199" s="189" t="str">
        <f t="shared" si="562"/>
        <v/>
      </c>
      <c r="GP199" s="189" t="str">
        <f t="shared" si="524"/>
        <v/>
      </c>
      <c r="GQ199" s="206" t="str">
        <f t="shared" si="563"/>
        <v/>
      </c>
      <c r="GR199" s="189" t="str">
        <f t="shared" si="525"/>
        <v/>
      </c>
      <c r="GS199" s="189" t="str">
        <f t="shared" si="526"/>
        <v/>
      </c>
      <c r="GT199" s="207" t="str">
        <f t="shared" si="527"/>
        <v xml:space="preserve">    </v>
      </c>
      <c r="GU199" s="207" t="str">
        <f t="shared" si="528"/>
        <v xml:space="preserve">    </v>
      </c>
      <c r="GV199" s="207" t="str">
        <f t="shared" si="529"/>
        <v xml:space="preserve">    </v>
      </c>
      <c r="GW199" s="207" t="str">
        <f t="shared" si="530"/>
        <v xml:space="preserve">       </v>
      </c>
      <c r="GX199" s="598" t="str">
        <f t="shared" si="531"/>
        <v xml:space="preserve">     </v>
      </c>
      <c r="GY199" s="208" t="str">
        <f t="shared" si="564"/>
        <v/>
      </c>
      <c r="GZ199" s="606" t="str">
        <f>IF(AND(Q199="",AE199="",AZ199="",BW199="",CT199=""),"",IF(AND('Master Sheet'!$D$19="YES",'Marks Entry'!$BA$1=1),SUM(Q199,AE199,AZ199,BW199,DT199),SUM(Q199,AE199,AZ199,BW199,CT199)))</f>
        <v/>
      </c>
      <c r="HA199" s="209" t="str">
        <f>IF(GZ199="","",IF(AND('Master Sheet'!$D$19="YES",'Marks Entry'!$BA$1=1),GZ199/((900)-DC199)*100,GZ199/((1000)-DC199)*100))</f>
        <v/>
      </c>
      <c r="HB199" s="611" t="str">
        <f t="shared" si="532"/>
        <v/>
      </c>
      <c r="HC199" s="609" t="str">
        <f t="shared" si="533"/>
        <v/>
      </c>
      <c r="HD199" s="610" t="str">
        <f t="shared" si="534"/>
        <v/>
      </c>
      <c r="HE199" s="210" t="str">
        <f>IFERROR(IF(OR(GY199="SUPPLEMENTARY",GY199="RE-EXAM"),'Supp. Result Entry'!AS198,""),"")</f>
        <v/>
      </c>
      <c r="HF199" s="613" t="str">
        <f t="shared" si="535"/>
        <v/>
      </c>
      <c r="HG199" s="598" t="str">
        <f t="shared" si="536"/>
        <v/>
      </c>
      <c r="HH199" s="598" t="str">
        <f>IF(AND(HE199="",HF199="",HG199=""),"",IF(OR(GY199="SUPPLEMENTARY",GY199="RE-EXAM"),'Supp. Result Entry'!AS198,GY199))</f>
        <v/>
      </c>
      <c r="HI199" s="180"/>
      <c r="HY199" s="212" t="str">
        <f>IF('Supp. Result Entry'!U198="","",'Supp. Result Entry'!$U$6)</f>
        <v/>
      </c>
      <c r="HZ199" s="213" t="str">
        <f>IF('Supp. Result Entry'!X198="","",'Supp. Result Entry'!$X$6)</f>
        <v/>
      </c>
      <c r="IA199" s="213" t="str">
        <f>IF('Supp. Result Entry'!AA198="","",'Supp. Result Entry'!$AA$6)</f>
        <v/>
      </c>
      <c r="IB199" s="213" t="str">
        <f>IF('Supp. Result Entry'!AD198="","",'Supp. Result Entry'!$AD$6)</f>
        <v/>
      </c>
      <c r="IC199" s="213" t="str">
        <f>IF('Supp. Result Entry'!AG198="","",'Supp. Result Entry'!$AG$6)</f>
        <v/>
      </c>
      <c r="ID199" s="213" t="str">
        <f>IF('Supp. Result Entry'!AJ198="","",'Supp. Result Entry'!$AJ$6)</f>
        <v/>
      </c>
      <c r="IE199" s="213" t="str">
        <f>IF('Supp. Result Entry'!V198="","",'Supp. Result Entry'!V198)</f>
        <v/>
      </c>
      <c r="IF199" s="213" t="str">
        <f>IF('Supp. Result Entry'!Y198="","",'Supp. Result Entry'!Y198)</f>
        <v/>
      </c>
      <c r="IG199" s="213" t="str">
        <f>IF('Supp. Result Entry'!AB198="","",'Supp. Result Entry'!AB198)</f>
        <v/>
      </c>
      <c r="IH199" s="213" t="str">
        <f>IF('Supp. Result Entry'!AE198="","",'Supp. Result Entry'!AE198)</f>
        <v/>
      </c>
      <c r="II199" s="213" t="str">
        <f>IF('Supp. Result Entry'!AH198="","",'Supp. Result Entry'!AH198)</f>
        <v/>
      </c>
      <c r="IJ199" s="213" t="str">
        <f>IF('Supp. Result Entry'!AK198="","",'Supp. Result Entry'!AK198)</f>
        <v/>
      </c>
      <c r="IK199" s="213" t="str">
        <f>IF('Supp. Result Entry'!W198="","",'Supp. Result Entry'!W198)</f>
        <v/>
      </c>
      <c r="IL199" s="213" t="str">
        <f>IF('Supp. Result Entry'!Z198="","",'Supp. Result Entry'!Z198)</f>
        <v/>
      </c>
      <c r="IM199" s="213" t="str">
        <f>IF('Supp. Result Entry'!AC198="","",'Supp. Result Entry'!AC198)</f>
        <v/>
      </c>
      <c r="IN199" s="213" t="str">
        <f>IF('Supp. Result Entry'!AF198="","",'Supp. Result Entry'!AF198)</f>
        <v/>
      </c>
      <c r="IO199" s="213" t="str">
        <f>IF('Supp. Result Entry'!AI198="","",'Supp. Result Entry'!AI198)</f>
        <v/>
      </c>
      <c r="IP199" s="213" t="str">
        <f>IF('Supp. Result Entry'!AL198="","",'Supp. Result Entry'!AL198)</f>
        <v/>
      </c>
      <c r="IQ199" s="213">
        <f>COUNTIF('Supp. Result Entry'!K198:Q198,"S")</f>
        <v>0</v>
      </c>
      <c r="IR199" s="213">
        <f t="shared" si="537"/>
        <v>0</v>
      </c>
      <c r="IS199" s="213">
        <f t="shared" si="538"/>
        <v>0</v>
      </c>
      <c r="IT199" s="213" t="str">
        <f t="shared" si="406"/>
        <v/>
      </c>
      <c r="IU199" s="213" t="str">
        <f t="shared" si="407"/>
        <v/>
      </c>
      <c r="IV199" s="213" t="str">
        <f t="shared" si="408"/>
        <v/>
      </c>
      <c r="IW199" s="213" t="str">
        <f t="shared" si="409"/>
        <v/>
      </c>
      <c r="IX199" s="213" t="str">
        <f t="shared" si="410"/>
        <v/>
      </c>
      <c r="IY199" s="213" t="str">
        <f t="shared" si="539"/>
        <v/>
      </c>
      <c r="IZ199" s="213" t="str">
        <f t="shared" si="540"/>
        <v/>
      </c>
      <c r="JA199" s="213" t="str">
        <f t="shared" si="411"/>
        <v/>
      </c>
      <c r="JB199" s="211" t="str">
        <f t="shared" si="541"/>
        <v/>
      </c>
    </row>
    <row r="200" spans="1:262" s="211" customFormat="1" ht="21" customHeight="1">
      <c r="A200" s="184">
        <v>193</v>
      </c>
      <c r="B200" s="185" t="str">
        <f>IF('Marks Entry'!B200="","",'Marks Entry'!B200)</f>
        <v/>
      </c>
      <c r="C200" s="186" t="str">
        <f>IF('Marks Entry'!D200="","",'Marks Entry'!D200)</f>
        <v/>
      </c>
      <c r="D200" s="187" t="str">
        <f>IF('Marks Entry'!E200="","",'Marks Entry'!E200)</f>
        <v/>
      </c>
      <c r="E200" s="188" t="str">
        <f>IF('Marks Entry'!F200="","",'Marks Entry'!F200)</f>
        <v/>
      </c>
      <c r="F200" s="188" t="str">
        <f>IF('Marks Entry'!G200="","",'Marks Entry'!G200)</f>
        <v/>
      </c>
      <c r="G200" s="188" t="str">
        <f>IF('Marks Entry'!H200="","",'Marks Entry'!H200)</f>
        <v/>
      </c>
      <c r="H200" s="189" t="str">
        <f>IF('Marks Entry'!I200="","",'Marks Entry'!I200)</f>
        <v/>
      </c>
      <c r="I200" s="190" t="str">
        <f>IF('Marks Entry'!J200="","",'Marks Entry'!J200)</f>
        <v/>
      </c>
      <c r="J200" s="545" t="str">
        <f>IF('Marks Entry'!K200="","",'Marks Entry'!K200)</f>
        <v/>
      </c>
      <c r="K200" s="545" t="str">
        <f>IF('Marks Entry'!L200="","",'Marks Entry'!L200)</f>
        <v/>
      </c>
      <c r="L200" s="545" t="str">
        <f>IF('Marks Entry'!M200="","",'Marks Entry'!M200)</f>
        <v/>
      </c>
      <c r="M200" s="546" t="str">
        <f t="shared" si="412"/>
        <v/>
      </c>
      <c r="N200" s="545" t="str">
        <f>IF('Marks Entry'!N200="","",'Marks Entry'!N200)</f>
        <v/>
      </c>
      <c r="O200" s="546" t="str">
        <f t="shared" si="413"/>
        <v/>
      </c>
      <c r="P200" s="545" t="str">
        <f>IF('Marks Entry'!O200="","",'Marks Entry'!O200)</f>
        <v/>
      </c>
      <c r="Q200" s="547" t="str">
        <f t="shared" si="414"/>
        <v/>
      </c>
      <c r="R200" s="153">
        <f t="shared" si="415"/>
        <v>0</v>
      </c>
      <c r="S200" s="153">
        <f t="shared" si="416"/>
        <v>0</v>
      </c>
      <c r="T200" s="154" t="str">
        <f t="shared" si="417"/>
        <v/>
      </c>
      <c r="U200" s="153" t="str">
        <f t="shared" si="418"/>
        <v/>
      </c>
      <c r="V200" s="153" t="str">
        <f t="shared" si="419"/>
        <v/>
      </c>
      <c r="W200" s="153" t="str">
        <f t="shared" si="420"/>
        <v/>
      </c>
      <c r="X200" s="545" t="str">
        <f>IF('Marks Entry'!P200="","",'Marks Entry'!P200)</f>
        <v/>
      </c>
      <c r="Y200" s="545" t="str">
        <f>IF('Marks Entry'!Q200="","",'Marks Entry'!Q200)</f>
        <v/>
      </c>
      <c r="Z200" s="545" t="str">
        <f>IF('Marks Entry'!R200="","",'Marks Entry'!R200)</f>
        <v/>
      </c>
      <c r="AA200" s="546" t="str">
        <f t="shared" si="421"/>
        <v/>
      </c>
      <c r="AB200" s="545" t="str">
        <f>IF('Marks Entry'!S200="","",'Marks Entry'!S200)</f>
        <v/>
      </c>
      <c r="AC200" s="546" t="str">
        <f t="shared" si="422"/>
        <v/>
      </c>
      <c r="AD200" s="545" t="str">
        <f>IF('Marks Entry'!T200="","",'Marks Entry'!T200)</f>
        <v/>
      </c>
      <c r="AE200" s="547" t="str">
        <f t="shared" si="423"/>
        <v/>
      </c>
      <c r="AF200" s="153">
        <f t="shared" si="424"/>
        <v>0</v>
      </c>
      <c r="AG200" s="153">
        <f t="shared" si="425"/>
        <v>0</v>
      </c>
      <c r="AH200" s="154" t="str">
        <f t="shared" si="426"/>
        <v/>
      </c>
      <c r="AI200" s="153" t="str">
        <f t="shared" si="427"/>
        <v/>
      </c>
      <c r="AJ200" s="153" t="str">
        <f t="shared" si="428"/>
        <v/>
      </c>
      <c r="AK200" s="153" t="str">
        <f t="shared" si="429"/>
        <v/>
      </c>
      <c r="AL200" s="573" t="str">
        <f>IF('Marks Entry'!U200="","",'Marks Entry'!U200)</f>
        <v/>
      </c>
      <c r="AM200" s="573" t="str">
        <f>IF('Marks Entry'!V200="","",'Marks Entry'!V200)</f>
        <v/>
      </c>
      <c r="AN200" s="573" t="str">
        <f>IF('Marks Entry'!W200="","",'Marks Entry'!W200)</f>
        <v/>
      </c>
      <c r="AO200" s="573" t="str">
        <f>IF('Marks Entry'!X200="","",'Marks Entry'!X200)</f>
        <v/>
      </c>
      <c r="AP200" s="572" t="str">
        <f t="shared" si="430"/>
        <v/>
      </c>
      <c r="AQ200" s="573" t="str">
        <f>IF('Marks Entry'!Y200="","",'Marks Entry'!Y200)</f>
        <v/>
      </c>
      <c r="AR200" s="573" t="str">
        <f>IF('Marks Entry'!Z200="","",'Marks Entry'!Z200)</f>
        <v/>
      </c>
      <c r="AS200" s="572" t="str">
        <f t="shared" si="431"/>
        <v/>
      </c>
      <c r="AT200" s="572" t="str">
        <f t="shared" si="432"/>
        <v/>
      </c>
      <c r="AU200" s="573" t="str">
        <f>IF('Marks Entry'!AA200="","",'Marks Entry'!AA200)</f>
        <v/>
      </c>
      <c r="AV200" s="573" t="str">
        <f>IF('Marks Entry'!AB200="","",'Marks Entry'!AB200)</f>
        <v/>
      </c>
      <c r="AW200" s="572" t="str">
        <f t="shared" si="433"/>
        <v/>
      </c>
      <c r="AX200" s="157" t="str">
        <f t="shared" si="434"/>
        <v/>
      </c>
      <c r="AY200" s="157" t="str">
        <f t="shared" si="435"/>
        <v/>
      </c>
      <c r="AZ200" s="192" t="str">
        <f t="shared" si="436"/>
        <v/>
      </c>
      <c r="BA200" s="153">
        <f t="shared" si="437"/>
        <v>0</v>
      </c>
      <c r="BB200" s="154">
        <f t="shared" si="438"/>
        <v>0</v>
      </c>
      <c r="BC200" s="154" t="str">
        <f t="shared" si="439"/>
        <v/>
      </c>
      <c r="BD200" s="154" t="str">
        <f t="shared" si="440"/>
        <v/>
      </c>
      <c r="BE200" s="154" t="str">
        <f t="shared" si="441"/>
        <v/>
      </c>
      <c r="BF200" s="153" t="str">
        <f t="shared" si="442"/>
        <v/>
      </c>
      <c r="BG200" s="154" t="str">
        <f t="shared" si="443"/>
        <v/>
      </c>
      <c r="BH200" s="153" t="str">
        <f t="shared" si="444"/>
        <v/>
      </c>
      <c r="BI200" s="580" t="str">
        <f>IF('Marks Entry'!AC200="","",'Marks Entry'!AC200)</f>
        <v/>
      </c>
      <c r="BJ200" s="580" t="str">
        <f>IF('Marks Entry'!AD200="","",'Marks Entry'!AD200)</f>
        <v/>
      </c>
      <c r="BK200" s="580" t="str">
        <f>IF('Marks Entry'!AE200="","",'Marks Entry'!AE200)</f>
        <v/>
      </c>
      <c r="BL200" s="580" t="str">
        <f>IF('Marks Entry'!AF200="","",'Marks Entry'!AF200)</f>
        <v/>
      </c>
      <c r="BM200" s="581" t="str">
        <f t="shared" si="445"/>
        <v/>
      </c>
      <c r="BN200" s="580" t="str">
        <f>IF('Marks Entry'!AG200="","",'Marks Entry'!AG200)</f>
        <v/>
      </c>
      <c r="BO200" s="580" t="str">
        <f>IF('Marks Entry'!AH200="","",'Marks Entry'!AH200)</f>
        <v/>
      </c>
      <c r="BP200" s="581" t="str">
        <f t="shared" si="446"/>
        <v/>
      </c>
      <c r="BQ200" s="581" t="str">
        <f t="shared" si="447"/>
        <v/>
      </c>
      <c r="BR200" s="580" t="str">
        <f>IF('Marks Entry'!AI200="","",'Marks Entry'!AI200)</f>
        <v/>
      </c>
      <c r="BS200" s="580" t="str">
        <f>IF('Marks Entry'!AJ200="","",'Marks Entry'!AJ200)</f>
        <v/>
      </c>
      <c r="BT200" s="581" t="str">
        <f t="shared" si="448"/>
        <v/>
      </c>
      <c r="BU200" s="157" t="str">
        <f t="shared" si="449"/>
        <v/>
      </c>
      <c r="BV200" s="157" t="str">
        <f t="shared" si="450"/>
        <v/>
      </c>
      <c r="BW200" s="192" t="str">
        <f t="shared" si="451"/>
        <v/>
      </c>
      <c r="BX200" s="153">
        <f t="shared" si="452"/>
        <v>0</v>
      </c>
      <c r="BY200" s="154">
        <f t="shared" si="453"/>
        <v>0</v>
      </c>
      <c r="BZ200" s="154" t="str">
        <f t="shared" si="454"/>
        <v/>
      </c>
      <c r="CA200" s="154" t="str">
        <f t="shared" si="455"/>
        <v/>
      </c>
      <c r="CB200" s="154" t="str">
        <f t="shared" si="456"/>
        <v/>
      </c>
      <c r="CC200" s="153" t="str">
        <f t="shared" si="457"/>
        <v/>
      </c>
      <c r="CD200" s="154" t="str">
        <f t="shared" si="458"/>
        <v/>
      </c>
      <c r="CE200" s="153" t="str">
        <f t="shared" si="459"/>
        <v/>
      </c>
      <c r="CF200" s="580" t="str">
        <f>IF('Marks Entry'!AK200="","",'Marks Entry'!AK200)</f>
        <v/>
      </c>
      <c r="CG200" s="580" t="str">
        <f>IF('Marks Entry'!AL200="","",'Marks Entry'!AL200)</f>
        <v/>
      </c>
      <c r="CH200" s="580" t="str">
        <f>IF('Marks Entry'!AM200="","",'Marks Entry'!AM200)</f>
        <v/>
      </c>
      <c r="CI200" s="580" t="str">
        <f>IF('Marks Entry'!AN200="","",'Marks Entry'!AN200)</f>
        <v/>
      </c>
      <c r="CJ200" s="581" t="str">
        <f t="shared" si="460"/>
        <v/>
      </c>
      <c r="CK200" s="580" t="str">
        <f>IF('Marks Entry'!AO200="","",'Marks Entry'!AO200)</f>
        <v/>
      </c>
      <c r="CL200" s="580" t="str">
        <f>IF('Marks Entry'!AP200="","",'Marks Entry'!AP200)</f>
        <v/>
      </c>
      <c r="CM200" s="581" t="str">
        <f t="shared" si="461"/>
        <v/>
      </c>
      <c r="CN200" s="581" t="str">
        <f t="shared" si="462"/>
        <v/>
      </c>
      <c r="CO200" s="580" t="str">
        <f>IF('Marks Entry'!AQ200="","",'Marks Entry'!AQ200)</f>
        <v/>
      </c>
      <c r="CP200" s="580" t="str">
        <f>IF('Marks Entry'!AR200="","",'Marks Entry'!AR200)</f>
        <v/>
      </c>
      <c r="CQ200" s="581" t="str">
        <f t="shared" si="463"/>
        <v/>
      </c>
      <c r="CR200" s="157" t="str">
        <f t="shared" si="464"/>
        <v/>
      </c>
      <c r="CS200" s="157" t="str">
        <f t="shared" si="465"/>
        <v/>
      </c>
      <c r="CT200" s="192" t="str">
        <f t="shared" si="466"/>
        <v/>
      </c>
      <c r="CU200" s="153">
        <f t="shared" si="467"/>
        <v>0</v>
      </c>
      <c r="CV200" s="154">
        <f t="shared" si="468"/>
        <v>0</v>
      </c>
      <c r="CW200" s="154" t="str">
        <f t="shared" si="469"/>
        <v/>
      </c>
      <c r="CX200" s="154" t="str">
        <f t="shared" si="470"/>
        <v/>
      </c>
      <c r="CY200" s="154" t="str">
        <f t="shared" si="471"/>
        <v/>
      </c>
      <c r="CZ200" s="153" t="str">
        <f t="shared" si="472"/>
        <v/>
      </c>
      <c r="DA200" s="154" t="str">
        <f t="shared" si="473"/>
        <v/>
      </c>
      <c r="DB200" s="153" t="str">
        <f t="shared" si="474"/>
        <v/>
      </c>
      <c r="DC200" s="154">
        <f t="shared" si="475"/>
        <v>0</v>
      </c>
      <c r="DD200" s="826" t="str">
        <f>IF('Marks Entry'!AS200="","",IF(OR('Master Sheet'!$D$19="YES",'Marks Entry'!$BA$1=1),'Marks Entry'!AS200,""))</f>
        <v/>
      </c>
      <c r="DE200" s="826" t="str">
        <f>IF('Marks Entry'!AT200="","",IF(OR('Master Sheet'!$D$19="YES",'Marks Entry'!$BA$1=1),'Marks Entry'!AT200,""))</f>
        <v/>
      </c>
      <c r="DF200" s="826" t="str">
        <f>IF('Marks Entry'!AU200="","",IF(OR('Master Sheet'!$D$19="YES",'Marks Entry'!$BA$1=1),'Marks Entry'!AU200,""))</f>
        <v/>
      </c>
      <c r="DG200" s="826" t="str">
        <f>IF('Marks Entry'!AV200="","",IF(OR('Master Sheet'!$D$19="YES",'Marks Entry'!$BA$1=1),'Marks Entry'!AV200,""))</f>
        <v/>
      </c>
      <c r="DH200" s="827" t="str">
        <f t="shared" si="476"/>
        <v/>
      </c>
      <c r="DI200" s="826" t="str">
        <f>IF('Marks Entry'!AW200="","",IF(OR('Master Sheet'!$D$19="YES",'Marks Entry'!$BA$1=1),'Marks Entry'!AW200,""))</f>
        <v/>
      </c>
      <c r="DJ200" s="826" t="str">
        <f>IF('Marks Entry'!AX200="","",IF(OR('Master Sheet'!$D$19="YES",'Marks Entry'!$BA$1=1),'Marks Entry'!AX200,""))</f>
        <v/>
      </c>
      <c r="DK200" s="827" t="str">
        <f t="shared" si="477"/>
        <v/>
      </c>
      <c r="DL200" s="827" t="str">
        <f t="shared" si="478"/>
        <v/>
      </c>
      <c r="DM200" s="826" t="str">
        <f>IF('Marks Entry'!AY200="","",IF(OR('Master Sheet'!$D$19="YES",'Marks Entry'!$BA$1=1),'Marks Entry'!AY200,""))</f>
        <v/>
      </c>
      <c r="DN200" s="826" t="str">
        <f>IF('Marks Entry'!AZ200="","",IF(OR('Master Sheet'!$D$19="YES",'Marks Entry'!$BA$1=1),'Marks Entry'!AZ200,""))</f>
        <v/>
      </c>
      <c r="DO200" s="826" t="str">
        <f>IF('Marks Entry'!BA200="","",IF(OR('Master Sheet'!$D$19="YES",'Marks Entry'!$BA$1=1),'Marks Entry'!BA200,""))</f>
        <v/>
      </c>
      <c r="DP200" s="827" t="str">
        <f t="shared" si="479"/>
        <v/>
      </c>
      <c r="DQ200" s="157" t="str">
        <f t="shared" si="480"/>
        <v/>
      </c>
      <c r="DR200" s="157" t="str">
        <f t="shared" si="481"/>
        <v/>
      </c>
      <c r="DS200" s="157" t="str">
        <f t="shared" si="482"/>
        <v/>
      </c>
      <c r="DT200" s="192" t="str">
        <f t="shared" si="483"/>
        <v/>
      </c>
      <c r="DU200" s="153">
        <f t="shared" si="484"/>
        <v>0</v>
      </c>
      <c r="DV200" s="154" t="e">
        <f t="shared" si="485"/>
        <v>#VALUE!</v>
      </c>
      <c r="DW200" s="154" t="str">
        <f t="shared" si="486"/>
        <v/>
      </c>
      <c r="DX200" s="154" t="str">
        <f>IF(OR($B200="NSO",$B200=0,DS200=""),"",IF(AND(DJ200="",DO200=""),"",IF('Master Sheet'!$D$19="YES",$DO$6-COUNTIF(DO200,"ML")*DO$6,DS$6-(COUNTIF(DJ200,"ML")*DJ$6)-(COUNTIF(DO200,"ML")*DO$6))))</f>
        <v/>
      </c>
      <c r="DY200" s="154" t="str">
        <f>IF(OR($B200="NSO",$B200=0),"",IF(AND(DH200="",DI200="",DM200=""),"",IF(AND('Master Sheet'!$D$19="YES",'Marks Entry'!$BA$1=1),100,IF(AND(DJ200="",DO200=""),SUM(($DQ$7+$DR$7)-(DU200+DV200)),SUM(($DQ$6+$DR$6)-(DU200+DV200))))))</f>
        <v/>
      </c>
      <c r="DZ200" s="153" t="str">
        <f t="shared" si="487"/>
        <v/>
      </c>
      <c r="EA200" s="154" t="str">
        <f t="shared" si="488"/>
        <v/>
      </c>
      <c r="EB200" s="153" t="str">
        <f t="shared" si="489"/>
        <v/>
      </c>
      <c r="EC200" s="584" t="str">
        <f>IF('Marks Entry'!BB200="","",'Marks Entry'!BB200)</f>
        <v/>
      </c>
      <c r="ED200" s="584" t="str">
        <f>IF('Marks Entry'!BC200="","",'Marks Entry'!BC200)</f>
        <v/>
      </c>
      <c r="EE200" s="584" t="str">
        <f>IF('Marks Entry'!BD200="","",'Marks Entry'!BD200)</f>
        <v/>
      </c>
      <c r="EF200" s="590" t="str">
        <f t="shared" si="490"/>
        <v/>
      </c>
      <c r="EG200" s="595">
        <f t="shared" si="491"/>
        <v>0</v>
      </c>
      <c r="EH200" s="595">
        <f t="shared" si="492"/>
        <v>0</v>
      </c>
      <c r="EI200" s="193" t="str">
        <f t="shared" si="493"/>
        <v/>
      </c>
      <c r="EJ200" s="595" t="str">
        <f t="shared" si="494"/>
        <v/>
      </c>
      <c r="EK200" s="595" t="str">
        <f t="shared" si="495"/>
        <v/>
      </c>
      <c r="EL200" s="194" t="str">
        <f t="shared" si="496"/>
        <v/>
      </c>
      <c r="EM200" s="194" t="str">
        <f t="shared" si="497"/>
        <v/>
      </c>
      <c r="EN200" s="194" t="str">
        <f t="shared" si="498"/>
        <v/>
      </c>
      <c r="EO200" s="194" t="str">
        <f t="shared" si="499"/>
        <v/>
      </c>
      <c r="EP200" s="194" t="str">
        <f t="shared" si="500"/>
        <v/>
      </c>
      <c r="EQ200" s="194" t="str">
        <f t="shared" si="501"/>
        <v/>
      </c>
      <c r="ER200" s="195">
        <f t="shared" si="502"/>
        <v>0</v>
      </c>
      <c r="ES200" s="195">
        <f t="shared" si="503"/>
        <v>0</v>
      </c>
      <c r="ET200" s="195">
        <f t="shared" si="504"/>
        <v>0</v>
      </c>
      <c r="EU200" s="195">
        <f t="shared" si="505"/>
        <v>0</v>
      </c>
      <c r="EV200" s="195">
        <f t="shared" si="506"/>
        <v>0</v>
      </c>
      <c r="EW200" s="195" t="str">
        <f t="shared" si="507"/>
        <v/>
      </c>
      <c r="EX200" s="196" t="str">
        <f t="shared" si="508"/>
        <v/>
      </c>
      <c r="EY200" s="197" t="str">
        <f>IF('Marks Entry'!BE200="","",'Marks Entry'!BE200)</f>
        <v/>
      </c>
      <c r="EZ200" s="197" t="str">
        <f>IF('Marks Entry'!BF200="","",'Marks Entry'!BF200)</f>
        <v/>
      </c>
      <c r="FA200" s="197" t="str">
        <f>IF('Marks Entry'!BG200="","",'Marks Entry'!BG200)</f>
        <v/>
      </c>
      <c r="FB200" s="596" t="str">
        <f t="shared" si="509"/>
        <v/>
      </c>
      <c r="FC200" s="197" t="str">
        <f>IF('Marks Entry'!BH200="","",'Marks Entry'!BH200)</f>
        <v/>
      </c>
      <c r="FD200" s="197" t="str">
        <f>IF('Marks Entry'!BI200="","",'Marks Entry'!BI200)</f>
        <v/>
      </c>
      <c r="FE200" s="198" t="str">
        <f t="shared" si="510"/>
        <v/>
      </c>
      <c r="FF200" s="199" t="str">
        <f t="shared" si="511"/>
        <v/>
      </c>
      <c r="FG200" s="200" t="str">
        <f>IF(AND(E200=""),"",IF('Student DATA Entry'!L196="","",'Student DATA Entry'!L196))</f>
        <v/>
      </c>
      <c r="FH200" s="201" t="str">
        <f>IF(AND(E200=""),"",IF('Student DATA Entry'!M196="","",'Student DATA Entry'!M196))</f>
        <v/>
      </c>
      <c r="FI200" s="202" t="str">
        <f t="shared" si="512"/>
        <v/>
      </c>
      <c r="FJ200" s="189" t="str">
        <f t="shared" si="513"/>
        <v/>
      </c>
      <c r="FK200" s="189" t="str">
        <f t="shared" si="514"/>
        <v/>
      </c>
      <c r="FL200" s="203" t="str">
        <f t="shared" ref="FL200:FL207" si="565">IF(FJ200="G",ROUNDUP(36%*T200-Q200,0),"")</f>
        <v/>
      </c>
      <c r="FM200" s="189" t="str">
        <f t="shared" si="515"/>
        <v/>
      </c>
      <c r="FN200" s="204" t="str">
        <f t="shared" si="516"/>
        <v/>
      </c>
      <c r="FO200" s="203" t="str">
        <f t="shared" ref="FO200:FO207" si="566">IF(FM200="G",ROUNDUP(36%*AH200-AE200,0),"")</f>
        <v/>
      </c>
      <c r="FP200" s="205" t="str">
        <f t="shared" si="517"/>
        <v/>
      </c>
      <c r="FQ200" s="189" t="str">
        <f t="shared" ref="FQ200:FQ207" si="567">IF(AL200="A",FP200,"")</f>
        <v/>
      </c>
      <c r="FR200" s="189" t="str">
        <f t="shared" ref="FR200:FR207" si="568">IF(AL200="B",FP200,"")</f>
        <v/>
      </c>
      <c r="FS200" s="189" t="str">
        <f t="shared" ref="FS200:FS207" si="569">IF(AL200="C",FP200,"")</f>
        <v/>
      </c>
      <c r="FT200" s="189" t="str">
        <f t="shared" ref="FT200:FT207" si="570">IF(AL200="D",FP200,"")</f>
        <v/>
      </c>
      <c r="FU200" s="189" t="str">
        <f t="shared" si="518"/>
        <v/>
      </c>
      <c r="FV200" s="206" t="str">
        <f t="shared" ref="FV200:FV207" si="571">IF(FP200="G",ROUNDUP(36%*BE200-AX200,0),"")</f>
        <v/>
      </c>
      <c r="FW200" s="205" t="str">
        <f t="shared" si="519"/>
        <v/>
      </c>
      <c r="FX200" s="189" t="str">
        <f t="shared" ref="FX200:FX207" si="572">IF(BI200="A",FW200,"")</f>
        <v/>
      </c>
      <c r="FY200" s="189" t="str">
        <f t="shared" ref="FY200:FY207" si="573">IF(BI200="B",FW200,"")</f>
        <v/>
      </c>
      <c r="FZ200" s="189" t="str">
        <f t="shared" ref="FZ200:FZ207" si="574">IF(BI200="C",FW200,"")</f>
        <v/>
      </c>
      <c r="GA200" s="189" t="str">
        <f t="shared" ref="GA200:GA207" si="575">IF(BI200="D",FW200,"")</f>
        <v/>
      </c>
      <c r="GB200" s="189" t="str">
        <f t="shared" si="520"/>
        <v/>
      </c>
      <c r="GC200" s="206" t="str">
        <f t="shared" ref="GC200:GC207" si="576">IF(FW200="G",ROUNDUP(36%*CB200-BU200,0),"")</f>
        <v/>
      </c>
      <c r="GD200" s="205" t="str">
        <f t="shared" si="521"/>
        <v/>
      </c>
      <c r="GE200" s="189" t="str">
        <f t="shared" ref="GE200:GE207" si="577">IF(CF200="A",GD200,"")</f>
        <v/>
      </c>
      <c r="GF200" s="189" t="str">
        <f t="shared" ref="GF200:GF207" si="578">IF(CF200="B",GD200,"")</f>
        <v/>
      </c>
      <c r="GG200" s="189" t="str">
        <f t="shared" ref="GG200:GG207" si="579">IF(CF200="C",GD200,"")</f>
        <v/>
      </c>
      <c r="GH200" s="189" t="str">
        <f t="shared" ref="GH200:GH207" si="580">IF(CF200="D",GD200,"")</f>
        <v/>
      </c>
      <c r="GI200" s="189" t="str">
        <f t="shared" si="522"/>
        <v/>
      </c>
      <c r="GJ200" s="206" t="str">
        <f t="shared" ref="GJ200:GJ207" si="581">IF(GD200="G",ROUNDUP(36%*CY200-CR200,0),"")</f>
        <v/>
      </c>
      <c r="GK200" s="205" t="str">
        <f t="shared" si="523"/>
        <v/>
      </c>
      <c r="GL200" s="189" t="str">
        <f t="shared" ref="GL200:GL207" si="582">IF(DD200="A",GK200,"")</f>
        <v/>
      </c>
      <c r="GM200" s="189" t="str">
        <f t="shared" ref="GM200:GM207" si="583">IF(DD200="B",GK200,"")</f>
        <v/>
      </c>
      <c r="GN200" s="189" t="str">
        <f t="shared" ref="GN200:GN207" si="584">IF(DD200="C",GK200,"")</f>
        <v/>
      </c>
      <c r="GO200" s="189" t="str">
        <f t="shared" ref="GO200:GO207" si="585">IF(DD200="D",GK200,"")</f>
        <v/>
      </c>
      <c r="GP200" s="189" t="str">
        <f t="shared" si="524"/>
        <v/>
      </c>
      <c r="GQ200" s="206" t="str">
        <f t="shared" ref="GQ200:GQ207" si="586">IF(GK200="G",ROUNDUP(36%*DY200-DQ200,0),"")</f>
        <v/>
      </c>
      <c r="GR200" s="189" t="str">
        <f t="shared" si="525"/>
        <v/>
      </c>
      <c r="GS200" s="189" t="str">
        <f t="shared" si="526"/>
        <v/>
      </c>
      <c r="GT200" s="207" t="str">
        <f t="shared" si="527"/>
        <v xml:space="preserve">    </v>
      </c>
      <c r="GU200" s="207" t="str">
        <f t="shared" si="528"/>
        <v xml:space="preserve">    </v>
      </c>
      <c r="GV200" s="207" t="str">
        <f t="shared" si="529"/>
        <v xml:space="preserve">    </v>
      </c>
      <c r="GW200" s="207" t="str">
        <f t="shared" si="530"/>
        <v xml:space="preserve">       </v>
      </c>
      <c r="GX200" s="598" t="str">
        <f t="shared" si="531"/>
        <v xml:space="preserve">     </v>
      </c>
      <c r="GY200" s="208" t="str">
        <f t="shared" ref="GY200:GY207" si="587">IF(B200="NSO","NSO",IF(AND(OR(EX200="PASS",EX200="BY GRACE PASS",EX200="RE-EXAM"),EW200="F"),"FAIL",IF(AND(OR(EX200="PASS",EX200="BY GRACE PASS"),EW200="RE"),"RE-EXAM",EX200)))</f>
        <v/>
      </c>
      <c r="GZ200" s="606" t="str">
        <f>IF(AND(Q200="",AE200="",AZ200="",BW200="",CT200=""),"",IF(AND('Master Sheet'!$D$19="YES",'Marks Entry'!$BA$1=1),SUM(Q200,AE200,AZ200,BW200,DT200),SUM(Q200,AE200,AZ200,BW200,CT200)))</f>
        <v/>
      </c>
      <c r="HA200" s="209" t="str">
        <f>IF(GZ200="","",IF(AND('Master Sheet'!$D$19="YES",'Marks Entry'!$BA$1=1),GZ200/((900)-DC200)*100,GZ200/((1000)-DC200)*100))</f>
        <v/>
      </c>
      <c r="HB200" s="611" t="str">
        <f t="shared" si="532"/>
        <v/>
      </c>
      <c r="HC200" s="609" t="str">
        <f t="shared" si="533"/>
        <v/>
      </c>
      <c r="HD200" s="610" t="str">
        <f t="shared" si="534"/>
        <v/>
      </c>
      <c r="HE200" s="210" t="str">
        <f>IFERROR(IF(OR(GY200="SUPPLEMENTARY",GY200="RE-EXAM"),'Supp. Result Entry'!AS199,""),"")</f>
        <v/>
      </c>
      <c r="HF200" s="613" t="str">
        <f t="shared" si="535"/>
        <v/>
      </c>
      <c r="HG200" s="598" t="str">
        <f t="shared" si="536"/>
        <v/>
      </c>
      <c r="HH200" s="598" t="str">
        <f>IF(AND(HE200="",HF200="",HG200=""),"",IF(OR(GY200="SUPPLEMENTARY",GY200="RE-EXAM"),'Supp. Result Entry'!AS199,GY200))</f>
        <v/>
      </c>
      <c r="HI200" s="180"/>
      <c r="HY200" s="212" t="str">
        <f>IF('Supp. Result Entry'!U199="","",'Supp. Result Entry'!$U$6)</f>
        <v/>
      </c>
      <c r="HZ200" s="213" t="str">
        <f>IF('Supp. Result Entry'!X199="","",'Supp. Result Entry'!$X$6)</f>
        <v/>
      </c>
      <c r="IA200" s="213" t="str">
        <f>IF('Supp. Result Entry'!AA199="","",'Supp. Result Entry'!$AA$6)</f>
        <v/>
      </c>
      <c r="IB200" s="213" t="str">
        <f>IF('Supp. Result Entry'!AD199="","",'Supp. Result Entry'!$AD$6)</f>
        <v/>
      </c>
      <c r="IC200" s="213" t="str">
        <f>IF('Supp. Result Entry'!AG199="","",'Supp. Result Entry'!$AG$6)</f>
        <v/>
      </c>
      <c r="ID200" s="213" t="str">
        <f>IF('Supp. Result Entry'!AJ199="","",'Supp. Result Entry'!$AJ$6)</f>
        <v/>
      </c>
      <c r="IE200" s="213" t="str">
        <f>IF('Supp. Result Entry'!V199="","",'Supp. Result Entry'!V199)</f>
        <v/>
      </c>
      <c r="IF200" s="213" t="str">
        <f>IF('Supp. Result Entry'!Y199="","",'Supp. Result Entry'!Y199)</f>
        <v/>
      </c>
      <c r="IG200" s="213" t="str">
        <f>IF('Supp. Result Entry'!AB199="","",'Supp. Result Entry'!AB199)</f>
        <v/>
      </c>
      <c r="IH200" s="213" t="str">
        <f>IF('Supp. Result Entry'!AE199="","",'Supp. Result Entry'!AE199)</f>
        <v/>
      </c>
      <c r="II200" s="213" t="str">
        <f>IF('Supp. Result Entry'!AH199="","",'Supp. Result Entry'!AH199)</f>
        <v/>
      </c>
      <c r="IJ200" s="213" t="str">
        <f>IF('Supp. Result Entry'!AK199="","",'Supp. Result Entry'!AK199)</f>
        <v/>
      </c>
      <c r="IK200" s="213" t="str">
        <f>IF('Supp. Result Entry'!W199="","",'Supp. Result Entry'!W199)</f>
        <v/>
      </c>
      <c r="IL200" s="213" t="str">
        <f>IF('Supp. Result Entry'!Z199="","",'Supp. Result Entry'!Z199)</f>
        <v/>
      </c>
      <c r="IM200" s="213" t="str">
        <f>IF('Supp. Result Entry'!AC199="","",'Supp. Result Entry'!AC199)</f>
        <v/>
      </c>
      <c r="IN200" s="213" t="str">
        <f>IF('Supp. Result Entry'!AF199="","",'Supp. Result Entry'!AF199)</f>
        <v/>
      </c>
      <c r="IO200" s="213" t="str">
        <f>IF('Supp. Result Entry'!AI199="","",'Supp. Result Entry'!AI199)</f>
        <v/>
      </c>
      <c r="IP200" s="213" t="str">
        <f>IF('Supp. Result Entry'!AL199="","",'Supp. Result Entry'!AL199)</f>
        <v/>
      </c>
      <c r="IQ200" s="213">
        <f>COUNTIF('Supp. Result Entry'!K199:Q199,"S")</f>
        <v>0</v>
      </c>
      <c r="IR200" s="213">
        <f t="shared" si="537"/>
        <v>0</v>
      </c>
      <c r="IS200" s="213">
        <f t="shared" si="538"/>
        <v>0</v>
      </c>
      <c r="IT200" s="213" t="str">
        <f t="shared" ref="IT200:IT219" si="588">IF(OR(IQ200=0,IQ200&lt;IS200),"",IF(OR(FJ200="RE",FJ200="REP"),SUM(Q200,IE200),IF(FJ200="S",IE200,Q200)))</f>
        <v/>
      </c>
      <c r="IU200" s="213" t="str">
        <f t="shared" ref="IU200:IU219" si="589">IF(OR(IQ200=0,IQ200&lt;IS200),"",IF(OR(FM200="RE",FM200="REP"),SUM(AE200,IF200),IF(FM200="S",IF200,AE200)))</f>
        <v/>
      </c>
      <c r="IV200" s="213" t="str">
        <f t="shared" ref="IV200:IV219" si="590">IF(OR(IQ200=0,IQ200&lt;IS200),"",IF(OR(FP200="RE",FP200="REP"),SUM(AZ200,IG200),IF(FP200="S",IG200,AZ200)))</f>
        <v/>
      </c>
      <c r="IW200" s="213" t="str">
        <f t="shared" ref="IW200:IW219" si="591">IF(OR(IQ200=0,IQ200&lt;IS200),"",IF(OR(FW200="RE",FW200="REP"),SUM(BW200,IH200),IF(FW200="S",IH200,BW200)))</f>
        <v/>
      </c>
      <c r="IX200" s="213" t="str">
        <f t="shared" ref="IX200:IX219" si="592">IF(OR(IQ200=0,IQ200&lt;IS200),"",IF(OR(GD200="RE",GD200="REP"),SUM(CT200,II200),IF(GD200="S",II200,CT200)))</f>
        <v/>
      </c>
      <c r="IY200" s="213" t="str">
        <f t="shared" si="539"/>
        <v/>
      </c>
      <c r="IZ200" s="213" t="str">
        <f t="shared" si="540"/>
        <v/>
      </c>
      <c r="JA200" s="213" t="str">
        <f t="shared" ref="JA200:JA219" si="593">IF(OR(IQ200=0,IQ200&lt;IS200),"",SUM(($Q$6+$AE$6+$AZ$6+$BW$6+$CT$6)))</f>
        <v/>
      </c>
      <c r="JB200" s="211" t="str">
        <f t="shared" si="541"/>
        <v/>
      </c>
    </row>
    <row r="201" spans="1:262" s="211" customFormat="1" ht="21" customHeight="1">
      <c r="A201" s="184">
        <v>194</v>
      </c>
      <c r="B201" s="185" t="str">
        <f>IF('Marks Entry'!B201="","",'Marks Entry'!B201)</f>
        <v/>
      </c>
      <c r="C201" s="186" t="str">
        <f>IF('Marks Entry'!D201="","",'Marks Entry'!D201)</f>
        <v/>
      </c>
      <c r="D201" s="187" t="str">
        <f>IF('Marks Entry'!E201="","",'Marks Entry'!E201)</f>
        <v/>
      </c>
      <c r="E201" s="188" t="str">
        <f>IF('Marks Entry'!F201="","",'Marks Entry'!F201)</f>
        <v/>
      </c>
      <c r="F201" s="188" t="str">
        <f>IF('Marks Entry'!G201="","",'Marks Entry'!G201)</f>
        <v/>
      </c>
      <c r="G201" s="188" t="str">
        <f>IF('Marks Entry'!H201="","",'Marks Entry'!H201)</f>
        <v/>
      </c>
      <c r="H201" s="189" t="str">
        <f>IF('Marks Entry'!I201="","",'Marks Entry'!I201)</f>
        <v/>
      </c>
      <c r="I201" s="190" t="str">
        <f>IF('Marks Entry'!J201="","",'Marks Entry'!J201)</f>
        <v/>
      </c>
      <c r="J201" s="545" t="str">
        <f>IF('Marks Entry'!K201="","",'Marks Entry'!K201)</f>
        <v/>
      </c>
      <c r="K201" s="545" t="str">
        <f>IF('Marks Entry'!L201="","",'Marks Entry'!L201)</f>
        <v/>
      </c>
      <c r="L201" s="545" t="str">
        <f>IF('Marks Entry'!M201="","",'Marks Entry'!M201)</f>
        <v/>
      </c>
      <c r="M201" s="546" t="str">
        <f t="shared" ref="M201:M207" si="594">IF(AND(J201="",K201="",L201=""),"",IF(AND(J201="AB",K201="AB",L201="AB"),"AB",IF(AND(J201="ML",K201="ML",L201="ML"),"ML",SUM(J201:L201))))</f>
        <v/>
      </c>
      <c r="N201" s="545" t="str">
        <f>IF('Marks Entry'!N201="","",'Marks Entry'!N201)</f>
        <v/>
      </c>
      <c r="O201" s="546" t="str">
        <f t="shared" ref="O201:O207" si="595">IF(AND(N201="",M201=""),"",IF(AND(N201="AB",M201="AB"),"AB",IF(AND(N201="ML",M201="ML"),"ML",SUM(M201,N201))))</f>
        <v/>
      </c>
      <c r="P201" s="545" t="str">
        <f>IF('Marks Entry'!O201="","",'Marks Entry'!O201)</f>
        <v/>
      </c>
      <c r="Q201" s="547" t="str">
        <f t="shared" ref="Q201:Q207" si="596">IF(AND(O201="",P201=""),"",IF(AND(O201="AB",P201="AB"),"AB",IF(AND(O201="ML",P201="ML"),"ML",SUM(O201,P201))))</f>
        <v/>
      </c>
      <c r="R201" s="153">
        <f t="shared" ref="R201:R207" si="597">COUNTIF(J201:L201,"NA")*10</f>
        <v>0</v>
      </c>
      <c r="S201" s="153">
        <f t="shared" ref="S201:S207" si="598">(COUNTIF(J201:L201,"ML")*10)+(COUNTIF(N201,"ML")*70)+(COUNTIF(P201,"ML")*100)</f>
        <v>0</v>
      </c>
      <c r="T201" s="154" t="str">
        <f t="shared" ref="T201:T207" si="599">IF(OR($B201="NSO",$B201=0),"",IF(AND(J201="",K201="",L201="",N201="",P201=""),"",IF(AND(K201="",J201="",O201="",N201=""),20-R201-S201,IF(AND(K201="",L201="",N201=""),20-R201-S201,IF(AND(N201="",P201=""),40-R201-S201,IF(P201="",100-R201-S201,200-R201-S201))))))</f>
        <v/>
      </c>
      <c r="U201" s="153" t="str">
        <f t="shared" ref="U201:U207" si="600">IF(OR($B201="",$C201="",$E201=""),"",IF(AND(OR(J201="ab",J201="ml",J201=""),OR(K201="ab",K201="ml",K201=""),OR(N201="ab",N201="ml",N201="")),"AB",IF(AND(OR(N201="ab",N201="ml",N201=""),OR(P201="ab",P201="ml",P201=""),OR(L201="ab",L201="ml")),"AB",IF(AND(OR(P201="ab",P201="ml",P201=""),OR(J201="ab",J201="ml",J201=""),OR(K201="ab",K201="ml",K201="")),"AB",""))))</f>
        <v/>
      </c>
      <c r="V201" s="153" t="str">
        <f t="shared" ref="V201:V207" si="601">IF(OR($B201="NSO",$B201="",Q201=""),"",IF(OR(U201="AB",P201="ab"),"AB",IF(P201="ML","RE",IF(AND(Q201&gt;=36%*T201,P201&gt;=20%*$P$6),"P",IF(AND(Q201&gt;=34%*T201,S201=0,P201&gt;=20%*$P$6),"G2",IF(AND(Q201&gt;=31%*T201,S201=0,P201&gt;=20%*$P$6),"G1",IF(Q201&gt;=25%*T201,"S","F")))))))</f>
        <v/>
      </c>
      <c r="W201" s="153" t="str">
        <f t="shared" ref="W201:W207" si="602">IF(OR(V201="",V201=0,V201="S",V201="RE",V201="F",V201="AB"),V201,IF(Q201&gt;=75%*T201,"D",IF(Q201&gt;=60%*T201,"I",IF(Q201&gt;=48%*T201,"II",IF(Q201&gt;=36%*T201,"III",V201)))))</f>
        <v/>
      </c>
      <c r="X201" s="545" t="str">
        <f>IF('Marks Entry'!P201="","",'Marks Entry'!P201)</f>
        <v/>
      </c>
      <c r="Y201" s="545" t="str">
        <f>IF('Marks Entry'!Q201="","",'Marks Entry'!Q201)</f>
        <v/>
      </c>
      <c r="Z201" s="545" t="str">
        <f>IF('Marks Entry'!R201="","",'Marks Entry'!R201)</f>
        <v/>
      </c>
      <c r="AA201" s="546" t="str">
        <f t="shared" ref="AA201:AA207" si="603">IF(AND(X201="",Y201="",Z201=""),"",IF(AND(X201="AB",Y201="AB",Z201="AB"),"AB",IF(AND(X201="ML",Y201="ML",Z201="ML"),"ML",SUM(X201:Z201))))</f>
        <v/>
      </c>
      <c r="AB201" s="545" t="str">
        <f>IF('Marks Entry'!S201="","",'Marks Entry'!S201)</f>
        <v/>
      </c>
      <c r="AC201" s="546" t="str">
        <f t="shared" ref="AC201:AC207" si="604">IF(AND(AB201="",AA201=""),"",IF(AND(AB201="AB",AA201="AB"),"AB",IF(AND(AB201="ML",AA201="ML"),"ML",SUM(AA201,AB201))))</f>
        <v/>
      </c>
      <c r="AD201" s="545" t="str">
        <f>IF('Marks Entry'!T201="","",'Marks Entry'!T201)</f>
        <v/>
      </c>
      <c r="AE201" s="547" t="str">
        <f t="shared" ref="AE201:AE207" si="605">IF(AND(AC201="",AD201=""),"",IF(AND(AC201="AB",AD201="AB"),"AB",IF(AND(AC201="ML",AD201="ML"),"ML",SUM(AC201,AD201))))</f>
        <v/>
      </c>
      <c r="AF201" s="153">
        <f t="shared" ref="AF201:AF207" si="606">COUNTIF(X201:Z201,"NA")*10</f>
        <v>0</v>
      </c>
      <c r="AG201" s="153">
        <f t="shared" ref="AG201:AG207" si="607">(COUNTIF(X201:Z201,"ML")*10)+(COUNTIF(AB201,"ML")*70)+(COUNTIF(AD201,"ML")*100)</f>
        <v>0</v>
      </c>
      <c r="AH201" s="154" t="str">
        <f t="shared" ref="AH201:AH207" si="608">IF(OR($B201="NSO",$B201=0),"",IF(AND(X201="",Y201="",Z201="",AB201="",AD201=""),"",IF(AND(Y201="",X201="",AC201="",AB201=""),20-AF201-AG201,IF(AND(Y201="",Z201="",AB201=""),20-AF201-AG201,IF(AND(AB201="",AD201=""),40-AF201-AG201,IF(AD201="",100-AF201-AG201,200-AF201-AG201))))))</f>
        <v/>
      </c>
      <c r="AI201" s="153" t="str">
        <f t="shared" ref="AI201:AI207" si="609">IF(OR($B201="",$C201="",$E201=""),"",IF(AND(OR(X201="ab",X201="ml",X201=""),OR(Y201="ab",Y201="ml",Y201=""),OR(AB201="ab",AB201="ml",AB201="")),"AB",IF(AND(OR(AB201="ab",AB201="ml",AB201=""),OR(AD201="ab",AD201="ml",AD201=""),OR(Z201="ab",Z201="ml")),"AB",IF(AND(OR(AD201="ab",AD201="ml",AD201=""),OR(X201="ab",X201="ml",X201=""),OR(Y201="ab",Y201="ml",Y201="")),"AB",""))))</f>
        <v/>
      </c>
      <c r="AJ201" s="153" t="str">
        <f t="shared" ref="AJ201:AJ207" si="610">IF(OR($B201="NSO",$B201="",AE201=""),"",IF(OR(AI201="AB",AD201="ab"),"AB",IF(AD201="ML","RE",IF(AND(AE201&gt;=36%*AH201,AD201&gt;=20%*$P$6),"P",IF(AND(AE201&gt;=34%*AH201,AG201=0,AD201&gt;=20%*$P$6),"G2",IF(AND(AE201&gt;=31%*AH201,AG201=0,AD201&gt;=20%*$P$6),"G1",IF(AE201&gt;=25%*AH201,"S","F")))))))</f>
        <v/>
      </c>
      <c r="AK201" s="153" t="str">
        <f t="shared" ref="AK201:AK207" si="611">IF(OR(AJ201="",AJ201=0,AJ201="S",AJ201="RE",AJ201="F",AJ201="AB"),AJ201,IF(AE201&gt;=75%*AH201,"D",IF(AE201&gt;=60%*AH201,"I",IF(AE201&gt;=48%*AH201,"II",IF(AE201&gt;=36%*AH201,"III",AJ201)))))</f>
        <v/>
      </c>
      <c r="AL201" s="573" t="str">
        <f>IF('Marks Entry'!U201="","",'Marks Entry'!U201)</f>
        <v/>
      </c>
      <c r="AM201" s="573" t="str">
        <f>IF('Marks Entry'!V201="","",'Marks Entry'!V201)</f>
        <v/>
      </c>
      <c r="AN201" s="573" t="str">
        <f>IF('Marks Entry'!W201="","",'Marks Entry'!W201)</f>
        <v/>
      </c>
      <c r="AO201" s="573" t="str">
        <f>IF('Marks Entry'!X201="","",'Marks Entry'!X201)</f>
        <v/>
      </c>
      <c r="AP201" s="572" t="str">
        <f t="shared" ref="AP201:AP207" si="612">IF(AND(AM201="",AN201="",AO201=""),"",IF(AND(AM201="AB",AN201="AB",AO201="AB"),"AB",IF(AND(AM201="ML",AN201="ML",AO201="ML"),"ML",SUM(AM201:AO201))))</f>
        <v/>
      </c>
      <c r="AQ201" s="573" t="str">
        <f>IF('Marks Entry'!Y201="","",'Marks Entry'!Y201)</f>
        <v/>
      </c>
      <c r="AR201" s="573" t="str">
        <f>IF('Marks Entry'!Z201="","",'Marks Entry'!Z201)</f>
        <v/>
      </c>
      <c r="AS201" s="572" t="str">
        <f t="shared" ref="AS201:AS207" si="613">IF(AND(AQ201="",AR201=""),"",IF(AND(AQ201="AB",AR201="AB"),"AB",IF(AND(AQ201="ML",AR201="ML"),"ML",SUM(AQ201:AR201))))</f>
        <v/>
      </c>
      <c r="AT201" s="572" t="str">
        <f t="shared" ref="AT201:AT207" si="614">IF(AND(AS201="",AP201=""),"",IF(AND(AS201="AB",AP201="AB"),"AB",IF(AND(AS201="ML",AP201="ML"),"ML",SUM(AP201,AS201))))</f>
        <v/>
      </c>
      <c r="AU201" s="573" t="str">
        <f>IF('Marks Entry'!AA201="","",'Marks Entry'!AA201)</f>
        <v/>
      </c>
      <c r="AV201" s="573" t="str">
        <f>IF('Marks Entry'!AB201="","",'Marks Entry'!AB201)</f>
        <v/>
      </c>
      <c r="AW201" s="572" t="str">
        <f t="shared" ref="AW201:AW207" si="615">IF(AND(AU201="",AV201=""),"",IF(AND(AU201="AB",AV201="AB"),"AB",IF(AND(AU201="ML",AV201="ML"),"ML",SUM(AU201:AV201))))</f>
        <v/>
      </c>
      <c r="AX201" s="157" t="str">
        <f t="shared" ref="AX201:AX207" si="616">IF(AND(AP201="",AQ201="",AU201=""),"",SUM(AP201,AQ201,AU201))</f>
        <v/>
      </c>
      <c r="AY201" s="157" t="str">
        <f t="shared" ref="AY201:AY207" si="617">IF(AND(AR201="",AV201=""),"",SUM(AR201,AV201))</f>
        <v/>
      </c>
      <c r="AZ201" s="192" t="str">
        <f t="shared" ref="AZ201:AZ207" si="618">IF(AND(AT201="",AW201=""),"",SUM(AT201,AW201))</f>
        <v/>
      </c>
      <c r="BA201" s="153">
        <f t="shared" ref="BA201:BA207" si="619">COUNTIF(AM201:AO201,"NA")*10</f>
        <v>0</v>
      </c>
      <c r="BB201" s="154">
        <f t="shared" ref="BB201:BB207" si="620">IF(AND(AQ201="",AU201=""),(COUNTIF(AM201:AO201,"ML")*10+(COUNTIF(AQ201,"ML"))*AQ$6+(COUNTIF(AU201,"ML"))*AU$6),(COUNTIF(AM201:AO201,"ML")*10+(COUNTIF(AQ201,"ML"))*AQ$6+(COUNTIF(AU201,"ML"))*AU$6))</f>
        <v>0</v>
      </c>
      <c r="BC201" s="154" t="str">
        <f t="shared" ref="BC201:BC207" si="621">IF(OR($B201="NSO",$B201=0,AX201=""),"",IF(AND(AR201="",AV201=""),SUM($AU$7),SUM($AU$6)))</f>
        <v/>
      </c>
      <c r="BD201" s="154" t="str">
        <f t="shared" ref="BD201:BD207" si="622">IF(OR($B201="NSO",$B201=0,AY201=""),"",IF(AND(AR201="",AV201=""),"",AY$6-(COUNTIF(AR201,"ML")*AR$6)-(COUNTIF(AV201,"ML")*AV$6)))</f>
        <v/>
      </c>
      <c r="BE201" s="154" t="str">
        <f t="shared" ref="BE201:BE207" si="623">IF(OR($B201="NSO",$B201=0),"",IF(AND(AP201="",AQ201="",AU201=""),"",IF(AND(AR201="",AV201=""),SUM(($AX$7)-(BA201+BB201)),SUM(($AX$6)-(BA201+BB201)))))</f>
        <v/>
      </c>
      <c r="BF201" s="153" t="str">
        <f t="shared" ref="BF201:BF207" si="624">IF(AND(OR(AM201="ab",AM201="ml"),OR(AQ201="ab",AQ201="ml"),OR(AN201="ab",AN201="ml")),"AB",IF(AND(OR(AM201="ab",AM201="ml"),OR(AQ201="ab",AQ201="ml"),OR(AU201="ab",AU201="ml")),"AB",IF(AND(OR(AQ201="ab",AQ201="ml"),OR(AO201="ab",AO201="ml"),OR(AN201="ab",AN201="ml")),"AB",IF(AND(OR(AQ201="ab",AQ201="ml"),OR(AU201="ab",AU201="ml"),OR(AN201="ab",AN201="ml")),"AB",IF(AND(OR(AQ201="ab",AQ201="ml"),OR(AU201="ab",AU201="ml")),"AB","")))))</f>
        <v/>
      </c>
      <c r="BG201" s="154" t="str">
        <f t="shared" ref="BG201:BG207" si="625">IF(OR($B201="NSO",$B201=0,AU201="",AW201="",AZ201=""),"",IF(OR(AU201="AB",AV201="AB",BF201="AB"),"AB",IF(OR(AU201="ML",AW201="ML"),"RE",IF(AV201="MLP","REP",IF(AV201&lt;33%*$AV$6,"FP",IF(AR201&lt;33%*$AR$6,"FP",IF(AND(AX201&gt;=36%*BE201,SUM(AU201)&gt;=20%*BC201,AY201&gt;=SUM(BD201)*36%),"P",IF(AND(AX201&gt;=34%*BE201,BB201=0,SUM(AU201)&gt;=20%*BC201,AY201&gt;=SUM(BD201)*36%),"G2",IF(AND(AX201&gt;=31%*BE201,BB201=0,SUM(AU201)&gt;=20%*BC201,AY201&gt;=SUM(BD201)*36%),"G1",IF(AND(AX201&gt;=25%*BE201,SUM(AU201)&gt;=20%*BC201),"S","F"))))))))))</f>
        <v/>
      </c>
      <c r="BH201" s="153" t="str">
        <f t="shared" ref="BH201:BH207" si="626">IF(OR(BG201="REP",BG201="RE",BG201=0,BG201="",BG201="F",BG201="AB"),BG201,IF(AND(AZ201&gt;=75%*($AZ$6-BA201-BB201),BG201="P"),"D",IF(AND(AZ201&gt;=60%*($AZ$6-BA201-BB201),BG201="P"),"I",IF(AND(AZ201&gt;=48%*($AZ$6-BA201-BB201),BG201="P"),"II",IF(AND(AZ201&gt;=36%*($AZ$6-BA201-BB201),BG201="P"),"III",BG201)))))</f>
        <v/>
      </c>
      <c r="BI201" s="580" t="str">
        <f>IF('Marks Entry'!AC201="","",'Marks Entry'!AC201)</f>
        <v/>
      </c>
      <c r="BJ201" s="580" t="str">
        <f>IF('Marks Entry'!AD201="","",'Marks Entry'!AD201)</f>
        <v/>
      </c>
      <c r="BK201" s="580" t="str">
        <f>IF('Marks Entry'!AE201="","",'Marks Entry'!AE201)</f>
        <v/>
      </c>
      <c r="BL201" s="580" t="str">
        <f>IF('Marks Entry'!AF201="","",'Marks Entry'!AF201)</f>
        <v/>
      </c>
      <c r="BM201" s="581" t="str">
        <f t="shared" ref="BM201:BM207" si="627">IF(AND(BJ201="",BK201="",BL201=""),"",IF(AND(BJ201="AB",BK201="AB",BL201="AB"),"AB",IF(AND(BJ201="ML",BK201="ML",BL201="ML"),"ML",SUM(BJ201:BL201))))</f>
        <v/>
      </c>
      <c r="BN201" s="580" t="str">
        <f>IF('Marks Entry'!AG201="","",'Marks Entry'!AG201)</f>
        <v/>
      </c>
      <c r="BO201" s="580" t="str">
        <f>IF('Marks Entry'!AH201="","",'Marks Entry'!AH201)</f>
        <v/>
      </c>
      <c r="BP201" s="581" t="str">
        <f t="shared" ref="BP201:BP207" si="628">IF(AND(BN201="",BO201=""),"",IF(AND(BN201="AB",BO201="AB"),"AB",IF(AND(BN201="ML",BO201="ML"),"ML",SUM(BN201:BO201))))</f>
        <v/>
      </c>
      <c r="BQ201" s="581" t="str">
        <f t="shared" ref="BQ201:BQ207" si="629">IF(AND(BP201="",BM201=""),"",IF(AND(BP201="AB",BM201="AB"),"AB",IF(AND(BP201="ML",BM201="ML"),"ML",SUM(BM201,BP201))))</f>
        <v/>
      </c>
      <c r="BR201" s="580" t="str">
        <f>IF('Marks Entry'!AI201="","",'Marks Entry'!AI201)</f>
        <v/>
      </c>
      <c r="BS201" s="580" t="str">
        <f>IF('Marks Entry'!AJ201="","",'Marks Entry'!AJ201)</f>
        <v/>
      </c>
      <c r="BT201" s="581" t="str">
        <f t="shared" ref="BT201:BT207" si="630">IF(AND(BR201="",BS201=""),"",IF(AND(BR201="AB",BS201="AB"),"AB",IF(AND(BR201="ML",BS201="ML"),"ML",SUM(BR201:BS201))))</f>
        <v/>
      </c>
      <c r="BU201" s="157" t="str">
        <f t="shared" ref="BU201:BU207" si="631">IF(AND(BM201="",BN201="",BR201=""),"",SUM(BM201,BN201,BR201))</f>
        <v/>
      </c>
      <c r="BV201" s="157" t="str">
        <f t="shared" ref="BV201:BV207" si="632">IF(AND(BO201="",BS201=""),"",SUM(BO201,BS201))</f>
        <v/>
      </c>
      <c r="BW201" s="192" t="str">
        <f t="shared" ref="BW201:BW207" si="633">IF(AND(BQ201="",BT201=""),"",SUM(BQ201,BT201))</f>
        <v/>
      </c>
      <c r="BX201" s="153">
        <f t="shared" ref="BX201:BX207" si="634">COUNTIF(BJ201:BL201,"NA")*10</f>
        <v>0</v>
      </c>
      <c r="BY201" s="154">
        <f t="shared" ref="BY201:BY207" si="635">IF(AND(BN201="",BR201=""),(COUNTIF(BJ201:BL201,"ML")*10+(COUNTIF(BN201,"ML"))*BN$6+(COUNTIF(BR201,"ML"))*BR$6),(COUNTIF(BJ201:BL201,"ML")*10+(COUNTIF(BN201,"ML"))*BN$6+(COUNTIF(BR201,"ML"))*BR$6))</f>
        <v>0</v>
      </c>
      <c r="BZ201" s="154" t="str">
        <f t="shared" ref="BZ201:BZ207" si="636">IF(OR($B201="NSO",$B201=0,BU201=""),"",IF(AND(BO201="",BS201=""),SUM($BR$7),SUM($BR$6)))</f>
        <v/>
      </c>
      <c r="CA201" s="154" t="str">
        <f t="shared" ref="CA201:CA207" si="637">IF(OR($B201="NSO",$B201=0,BV201=""),"",IF(AND(BO201="",BS201=""),"",BV$6-(COUNTIF(BO201,"ML")*BO$6)-(COUNTIF(BS201,"ML")*BS$6)))</f>
        <v/>
      </c>
      <c r="CB201" s="154" t="str">
        <f t="shared" ref="CB201:CB207" si="638">IF(OR($B201="NSO",$B201=0),"",IF(AND(BM201="",BN201="",BR201=""),"",IF(AND(BO201="",BS201=""),SUM(($BU$7)-(BX201+BY201)),SUM(($BU$6)-(BX201+BY201)))))</f>
        <v/>
      </c>
      <c r="CC201" s="153" t="str">
        <f t="shared" ref="CC201:CC207" si="639">IF(AND(OR(BJ201="ab",BJ201="ml"),OR(BN201="ab",BN201="ml"),OR(BK201="ab",BK201="ml")),"AB",IF(AND(OR(BJ201="ab",BJ201="ml"),OR(BN201="ab",BN201="ml"),OR(BR201="ab",BR201="ml")),"AB",IF(AND(OR(BN201="ab",BN201="ml"),OR(BL201="ab",BL201="ml"),OR(BK201="ab",BK201="ml")),"AB",IF(AND(OR(BN201="ab",BN201="ml"),OR(BR201="ab",BR201="ml"),OR(BK201="ab",BK201="ml")),"AB",IF(AND(OR(BN201="ab",BN201="ml"),OR(BR201="ab",BR201="ml")),"AB","")))))</f>
        <v/>
      </c>
      <c r="CD201" s="154" t="str">
        <f t="shared" ref="CD201:CD207" si="640">IF(OR($B201="NSO",$B201=0,BR201="",BT201="",BW201=""),"",IF(OR(BR201="AB",BS201="AB",CC201="AB"),"AB",IF(OR(BR201="ML",BT201="ML"),"RE",IF(BS201="MLP","REP",IF(BS201&lt;33%*$AV$6,"FP",IF(BO201&lt;33%*$AR$6,"FP",IF(AND(BU201&gt;=36%*CB201,SUM(BR201)&gt;=20%*BZ201,BV201&gt;=SUM(CA201)*36%),"P",IF(AND(BU201&gt;=34%*CB201,BY201=0,SUM(BR201)&gt;=20%*BZ201,BV201&gt;=SUM(CA201)*36%),"G2",IF(AND(BU201&gt;=31%*CB201,BY201=0,SUM(BR201)&gt;=20%*BZ201,BV201&gt;=SUM(CA201)*36%),"G1",IF(AND(BU201&gt;=25%*CB201,SUM(BR201)&gt;=20%*BZ201),"S","F"))))))))))</f>
        <v/>
      </c>
      <c r="CE201" s="153" t="str">
        <f t="shared" ref="CE201:CE207" si="641">IF(OR(CD201="REP",CD201="RE",CD201=0,CD201="",CD201="F",CD201="AB"),CD201,IF(AND(BW201&gt;=75%*($BW$6-BX201-BY201),CD201="P"),"D",IF(AND(BW201&gt;=60%*($BW$6-BX201-BY201),CD201="P"),"I",IF(AND(BW201&gt;=48%*($BW$6-BX201-BY201),CD201="P"),"II",IF(AND(BW201&gt;=36%*($BW$6-BX201-BY201),CD201="P"),"III",CD201)))))</f>
        <v/>
      </c>
      <c r="CF201" s="580" t="str">
        <f>IF('Marks Entry'!AK201="","",'Marks Entry'!AK201)</f>
        <v/>
      </c>
      <c r="CG201" s="580" t="str">
        <f>IF('Marks Entry'!AL201="","",'Marks Entry'!AL201)</f>
        <v/>
      </c>
      <c r="CH201" s="580" t="str">
        <f>IF('Marks Entry'!AM201="","",'Marks Entry'!AM201)</f>
        <v/>
      </c>
      <c r="CI201" s="580" t="str">
        <f>IF('Marks Entry'!AN201="","",'Marks Entry'!AN201)</f>
        <v/>
      </c>
      <c r="CJ201" s="581" t="str">
        <f t="shared" ref="CJ201:CJ206" si="642">IF(AND(CG201="",CH201="",CI201=""),"",IF(AND(CG201="AB",CH201="AB",CI201="AB"),"AB",IF(AND(CG201="ML",CH201="ML",CI201="ML"),"ML",SUM(CG201:CI201))))</f>
        <v/>
      </c>
      <c r="CK201" s="580" t="str">
        <f>IF('Marks Entry'!AO201="","",'Marks Entry'!AO201)</f>
        <v/>
      </c>
      <c r="CL201" s="580" t="str">
        <f>IF('Marks Entry'!AP201="","",'Marks Entry'!AP201)</f>
        <v/>
      </c>
      <c r="CM201" s="581" t="str">
        <f t="shared" ref="CM201:CM206" si="643">IF(AND(CK201="",CL201=""),"",IF(AND(CK201="AB",CL201="AB"),"AB",IF(AND(CK201="ML",CL201="ML"),"ML",SUM(CK201:CL201))))</f>
        <v/>
      </c>
      <c r="CN201" s="581" t="str">
        <f t="shared" ref="CN201:CN206" si="644">IF(AND(CM201="",CJ201=""),"",IF(AND(CM201="AB",CJ201="AB"),"AB",IF(AND(CM201="ML",CJ201="ML"),"ML",SUM(CJ201,CM201))))</f>
        <v/>
      </c>
      <c r="CO201" s="580" t="str">
        <f>IF('Marks Entry'!AQ201="","",'Marks Entry'!AQ201)</f>
        <v/>
      </c>
      <c r="CP201" s="580" t="str">
        <f>IF('Marks Entry'!AR201="","",'Marks Entry'!AR201)</f>
        <v/>
      </c>
      <c r="CQ201" s="581" t="str">
        <f t="shared" ref="CQ201:CQ206" si="645">IF(AND(CO201="",CP201=""),"",IF(AND(CO201="AB",CP201="AB"),"AB",IF(AND(CO201="ML",CP201="ML"),"ML",SUM(CO201:CP201))))</f>
        <v/>
      </c>
      <c r="CR201" s="157" t="str">
        <f t="shared" ref="CR201:CR206" si="646">IF(AND(CJ201="",CK201="",CO201=""),"",SUM(CJ201,CK201,CO201))</f>
        <v/>
      </c>
      <c r="CS201" s="157" t="str">
        <f t="shared" ref="CS201:CS206" si="647">IF(AND(CL201="",CP201=""),"",SUM(CL201,CP201))</f>
        <v/>
      </c>
      <c r="CT201" s="192" t="str">
        <f t="shared" ref="CT201:CT206" si="648">IF(AND(CN201="",CQ201=""),"",SUM(CN201,CQ201))</f>
        <v/>
      </c>
      <c r="CU201" s="153">
        <f t="shared" ref="CU201:CU207" si="649">COUNTIF(CG201:CI201,"NA")*10</f>
        <v>0</v>
      </c>
      <c r="CV201" s="154">
        <f t="shared" ref="CV201:CV207" si="650">IF(AND(CK201="",CO201=""),(COUNTIF(CG201:CI201,"ML")*10+(COUNTIF(CK201,"ML"))*CK$6+(COUNTIF(CO201,"ML"))*CO$6),(COUNTIF(CG201:CI201,"ML")*10+(COUNTIF(CK201,"ML"))*CK$6+(COUNTIF(CO201,"ML"))*CO$6))</f>
        <v>0</v>
      </c>
      <c r="CW201" s="154" t="str">
        <f t="shared" ref="CW201:CW207" si="651">IF(OR($B201="NSO",$B201=0,CR201=""),"",IF(AND(CL201="",CP201=""),SUM($CO$7),SUM($CO$6)))</f>
        <v/>
      </c>
      <c r="CX201" s="154" t="str">
        <f t="shared" ref="CX201:CX207" si="652">IF(OR($B201="NSO",$B201=0,CS201=""),"",IF(AND(CL201="",CP201=""),"",CS$6-(COUNTIF(CL201,"ML")*CL$6)-(COUNTIF(CP201,"ML")*CP$6)))</f>
        <v/>
      </c>
      <c r="CY201" s="154" t="str">
        <f t="shared" ref="CY201:CY207" si="653">IF(OR($B201="NSO",$B201=0),"",IF(AND(CJ201="",CK201="",CO201=""),"",IF(AND(CL201="",CP201=""),SUM((CR$7)-(CU201+CV201)),SUM((CR$6)-(CU201+CV201)))))</f>
        <v/>
      </c>
      <c r="CZ201" s="153" t="str">
        <f t="shared" ref="CZ201:CZ207" si="654">IF(AND(OR(CG201="ab",CG201="ml"),OR(CK201="ab",CK201="ml"),OR(CH201="ab",CH201="ml")),"AB",IF(AND(OR(CG201="ab",CG201="ml"),OR(CK201="ab",CK201="ml"),OR(CO201="ab",CO201="ml")),"AB",IF(AND(OR(CK201="ab",CK201="ml"),OR(CI201="ab",CI201="ml"),OR(CH201="ab",CH201="ml")),"AB",IF(AND(OR(CK201="ab",CK201="ml"),OR(CO201="ab",CO201="ml"),OR(CH201="ab",CH201="ml")),"AB",IF(AND(OR(CK201="ab",CK201="ml"),OR(CO201="ab",CO201="ml")),"AB","")))))</f>
        <v/>
      </c>
      <c r="DA201" s="154" t="str">
        <f t="shared" ref="DA201:DA207" si="655">IF(OR($B201="NSO",$B201=0,CO201="",CQ201="",CT201=""),"",IF(OR(CO201="AB",CP201="AB",CZ201="AB"),"AB",IF(OR(CO201="ML",CQ201="ML"),"RE",IF(CP201="MLP","REP",IF(CP201&lt;33%*$AV$6,"FP",IF(CL201&lt;33%*$AR$6,"FP",IF(AND(CR201&gt;=36%*CY201,SUM(CO201)&gt;=20%*CW201,CS201&gt;=SUM(CX201)*36%),"P",IF(AND(CR201&gt;=34%*CY201,CV201=0,SUM(CO201)&gt;=20%*CW201,CS201&gt;=SUM(CX201)*36%),"G2",IF(AND(CR201&gt;=31%*CY201,CV201=0,SUM(CO201)&gt;=20%*CW201,CS201&gt;=SUM(CX201)*36%),"G1",IF(AND(CR201&gt;=25%*CY201,SUM(CO201)&gt;=20%*CW201),"S","F"))))))))))</f>
        <v/>
      </c>
      <c r="DB201" s="153" t="str">
        <f t="shared" ref="DB201:DB207" si="656">IF(OR(DA201="REP",DA201="RE",DA201=0,DA201="",DA201="F",DA201="AB"),DA201,IF(AND(CT201&gt;=75%*($CT$6-CU201-CV201),DA201="P"),"D",IF(AND(CT201&gt;=60%*($CT$6-CU201-CV201),DA201="P"),"I",IF(AND(CT201&gt;=48%*($CT$6-CU201-CV201),DA201="P"),"II",IF(AND(CT201&gt;=36%*($CT$6-CU201-CV201),DA201="P"),"III",DA201)))))</f>
        <v/>
      </c>
      <c r="DC201" s="154">
        <f t="shared" ref="DC201:DC207" si="657">SUM(R201,S201,AF201,AG201,BA201,BB201,BX201,BY201,CU201,CV201)</f>
        <v>0</v>
      </c>
      <c r="DD201" s="826" t="str">
        <f>IF('Marks Entry'!AS201="","",IF(OR('Master Sheet'!$D$19="YES",'Marks Entry'!$BA$1=1),'Marks Entry'!AS201,""))</f>
        <v/>
      </c>
      <c r="DE201" s="826" t="str">
        <f>IF('Marks Entry'!AT201="","",IF(OR('Master Sheet'!$D$19="YES",'Marks Entry'!$BA$1=1),'Marks Entry'!AT201,""))</f>
        <v/>
      </c>
      <c r="DF201" s="826" t="str">
        <f>IF('Marks Entry'!AU201="","",IF(OR('Master Sheet'!$D$19="YES",'Marks Entry'!$BA$1=1),'Marks Entry'!AU201,""))</f>
        <v/>
      </c>
      <c r="DG201" s="826" t="str">
        <f>IF('Marks Entry'!AV201="","",IF(OR('Master Sheet'!$D$19="YES",'Marks Entry'!$BA$1=1),'Marks Entry'!AV201,""))</f>
        <v/>
      </c>
      <c r="DH201" s="827" t="str">
        <f t="shared" ref="DH201:DH207" si="658">IF(AND(DE201="",DF201="",DG201=""),"",IF(AND(DE201="AB",DF201="AB",DG201="AB"),"AB",IF(AND(DE201="ML",DF201="ML",DG201="ML"),"ML",SUM(DE201:DG201))))</f>
        <v/>
      </c>
      <c r="DI201" s="826" t="str">
        <f>IF('Marks Entry'!AW201="","",IF(OR('Master Sheet'!$D$19="YES",'Marks Entry'!$BA$1=1),'Marks Entry'!AW201,""))</f>
        <v/>
      </c>
      <c r="DJ201" s="826" t="str">
        <f>IF('Marks Entry'!AX201="","",IF(OR('Master Sheet'!$D$19="YES",'Marks Entry'!$BA$1=1),'Marks Entry'!AX201,""))</f>
        <v/>
      </c>
      <c r="DK201" s="827" t="str">
        <f t="shared" ref="DK201:DK207" si="659">IF(AND(DI201="",DJ201=""),"",IF(AND(DI201="AB",DJ201="AB"),"AB",IF(AND(DI201="ML",DJ201="ML"),"ML",SUM(DI201:DJ201))))</f>
        <v/>
      </c>
      <c r="DL201" s="827" t="str">
        <f t="shared" ref="DL201:DL207" si="660">IF(AND(DK201="",DH201=""),"",IF(AND(DK201="AB",DH201="AB"),"AB",IF(AND(DK201="ML",DH201="ML"),"ML",SUM(DH201,DK201))))</f>
        <v/>
      </c>
      <c r="DM201" s="826" t="str">
        <f>IF('Marks Entry'!AY201="","",IF(OR('Master Sheet'!$D$19="YES",'Marks Entry'!$BA$1=1),'Marks Entry'!AY201,""))</f>
        <v/>
      </c>
      <c r="DN201" s="826" t="str">
        <f>IF('Marks Entry'!AZ201="","",IF(OR('Master Sheet'!$D$19="YES",'Marks Entry'!$BA$1=1),'Marks Entry'!AZ201,""))</f>
        <v/>
      </c>
      <c r="DO201" s="826" t="str">
        <f>IF('Marks Entry'!BA201="","",IF(OR('Master Sheet'!$D$19="YES",'Marks Entry'!$BA$1=1),'Marks Entry'!BA201,""))</f>
        <v/>
      </c>
      <c r="DP201" s="827" t="str">
        <f t="shared" ref="DP201:DP207" si="661">IF(AND(DM201="",DN201="",DO201=""),"",IF(AND(DM201="AB",DN201="AB",DO201="AB"),"AB",IF(AND(DM201="ML",DN201="ML",DO201="ML"),"ML",SUM(DM201:DO201))))</f>
        <v/>
      </c>
      <c r="DQ201" s="157" t="str">
        <f t="shared" ref="DQ201:DQ207" si="662">IF(AND(DH201="",DI201="",DM201="",DN201=""),"",SUM(DH201,DI201,DM201))</f>
        <v/>
      </c>
      <c r="DR201" s="157" t="str">
        <f t="shared" ref="DR201:DR207" si="663">IF(AND(DN201=""),"",SUM(DN201))</f>
        <v/>
      </c>
      <c r="DS201" s="157" t="str">
        <f t="shared" ref="DS201:DS207" si="664">IF(AND(DJ201="",DO201=""),"",SUM(DJ201,DO201))</f>
        <v/>
      </c>
      <c r="DT201" s="192" t="str">
        <f t="shared" ref="DT201:DT207" si="665">IF(AND(DL201="",DP201=""),"",SUM(DL201,DP201))</f>
        <v/>
      </c>
      <c r="DU201" s="153">
        <f t="shared" ref="DU201:DU207" si="666">COUNTIF(DE201:DG201,"NA")*10</f>
        <v>0</v>
      </c>
      <c r="DV201" s="154" t="e">
        <f t="shared" ref="DV201:DV207" si="667">IF(AND(DI201="",DM201=""),(COUNTIF(DE201:DG201,"ML")*10+(COUNTIF(DI201,"ML"))*DI$6+(COUNTIF(DM201,"ML"))*DM$6),(COUNTIF(DE201:DG201,"ML")*10+(COUNTIF(DI201,"ML"))*DI$6+(COUNTIF(DM201,"ML"))*DM$6))</f>
        <v>#VALUE!</v>
      </c>
      <c r="DW201" s="154" t="str">
        <f t="shared" ref="DW201:DW207" si="668">IF(OR($B201="NSO",$B201=0,DM201=""),"",IF(AND(DO201=""),SUM($DM$7,DN$7),SUM($DM$6,DN$6)))</f>
        <v/>
      </c>
      <c r="DX201" s="154" t="str">
        <f>IF(OR($B201="NSO",$B201=0,DS201=""),"",IF(AND(DJ201="",DO201=""),"",IF('Master Sheet'!$D$19="YES",$DO$6-COUNTIF(DO201,"ML")*DO$6,DS$6-(COUNTIF(DJ201,"ML")*DJ$6)-(COUNTIF(DO201,"ML")*DO$6))))</f>
        <v/>
      </c>
      <c r="DY201" s="154" t="str">
        <f>IF(OR($B201="NSO",$B201=0),"",IF(AND(DH201="",DI201="",DM201=""),"",IF(AND('Master Sheet'!$D$19="YES",'Marks Entry'!$BA$1=1),100,IF(AND(DJ201="",DO201=""),SUM(($DQ$7+$DR$7)-(DU201+DV201)),SUM(($DQ$6+$DR$6)-(DU201+DV201))))))</f>
        <v/>
      </c>
      <c r="DZ201" s="153" t="str">
        <f t="shared" ref="DZ201:DZ207" si="669">IF(AND(OR(DE201="ab",DF201="ml"),OR(DI201="ab",DI201="ml")),"AB",IF(AND(OR(DE201="ab",DE201="ml"),OR(DF201="ab",DF201="ml"),OR(DH201="ab",DH201="ml")),"AB",IF(AND(OR(DI201="ab",DI201="ml"),OR(DF201="ab",DF201="ml"),OR(DG201="ab",DG201="ml")),"AB",IF(AND(OR(DKJ201="ab",DI201="ml"),OR(DM201="ab",DM201="ml"),OR(DN201="ab",DN201="ml")),"AB",""))))</f>
        <v/>
      </c>
      <c r="EA201" s="154" t="str">
        <f t="shared" ref="EA201:EA207" si="670">IF(OR($B201="NSO",$B201=0,DM201="",DT201="",DQ201=""),"",IF(OR(DM201="AB",DO201="AB",DZ201="AB"),"AB",IF(OR(DM201="ML",DP201="ML"),"RE",IF(DO201="MLP","REP",IF(DO201&lt;33%*$DO$6,"FP",IF(DJ201&lt;33%*$DJ$6,"FP",IF(AND(DT201&gt;=36%*DY201,SUM(DM201)&gt;=20%*DW201,DS201&gt;=SUM(DX201)*36%),"P",IF(AND(DQ201&gt;=34%*DY201,DV201=0,SUM(DM201)&gt;=20%*DW201,DS201&gt;=SUM(DX201)*36%),"G2",IF(AND(DQ201&gt;=31%*DY201,DV201=0,SUM(DM201)&gt;=20%*DW201,DS201&gt;=SUM(DX201)*36%),"G1",IF(AND(DQ201&gt;=25%*DY201,SUM(DM201)&gt;=20%*DW201),"S","F"))))))))))</f>
        <v/>
      </c>
      <c r="EB201" s="153" t="str">
        <f t="shared" ref="EB201:EB207" si="671">IF(OR(EA201="REP",EA201="RE",EA201=0,EA201="",EA201="F",EA201="AB"),EA201,IF(AND(DT201&gt;=75%*($DT$6-DU201-DV201),EA201="P"),"D",IF(AND(DT201&gt;=60%*($DT$6-DU201-DV201),EA201="P"),"I",IF(AND(DT201&gt;=48%*($DT$6-DU201-DV201),EA201="P"),"II",IF(AND(DT201&gt;=36%*($DT$6-DU201-DV201),EA201="P"),"III",EA201)))))</f>
        <v/>
      </c>
      <c r="EC201" s="584" t="str">
        <f>IF('Marks Entry'!BB201="","",'Marks Entry'!BB201)</f>
        <v/>
      </c>
      <c r="ED201" s="584" t="str">
        <f>IF('Marks Entry'!BC201="","",'Marks Entry'!BC201)</f>
        <v/>
      </c>
      <c r="EE201" s="584" t="str">
        <f>IF('Marks Entry'!BD201="","",'Marks Entry'!BD201)</f>
        <v/>
      </c>
      <c r="EF201" s="590" t="str">
        <f t="shared" ref="EF201:EF207" si="672">IF(AND(EC201="",ED201="",EE201=""),"",SUM(EC201:EE201))</f>
        <v/>
      </c>
      <c r="EG201" s="595">
        <f t="shared" ref="EG201:EG207" si="673">COUNTIF(EC201,"NA")*$EC$6</f>
        <v>0</v>
      </c>
      <c r="EH201" s="595">
        <f t="shared" ref="EH201:EH207" si="674">(COUNTIF(EC201,"ML")*$EC$6)+(COUNTIF(ED201,"ML")*$ED$6)</f>
        <v>0</v>
      </c>
      <c r="EI201" s="193" t="str">
        <f t="shared" ref="EI201:EI207" si="675">IF(OR($B201="NSO",$B201=0),"",IF(AND(EC201="",ED201="",EE201=""),"",IF(AND(EC201="",ED201=""),30-EG201-EH201,IF(AND(ED201="",EE201=""),60-EG201-EH201,100-EG201-EH201))))</f>
        <v/>
      </c>
      <c r="EJ201" s="595" t="str">
        <f t="shared" ref="EJ201:EJ207" si="676">IF(OR(EE201="ab",EE201="ml"),EE201,"")</f>
        <v/>
      </c>
      <c r="EK201" s="595" t="str">
        <f t="shared" ref="EK201:EK207" si="677">IF(OR($B201="NSO",$B201=0,EF201=""),"",IF(OR(EJ201="AB",EE201="ab"),"AB",IF(AND(EX201="FAIL",(OR(EF201="ml",EF201&lt;20%*$EF$6,EF201&lt;36%*EI201))),"F",IF(OR(EE201="ML",EE201&lt;20%*$EE$6,EF201&lt;36%*EI201),"RE",IF(EF201&gt;80%*EI201,"A",IF(EF201&gt;60%*EI201,"B",IF(EF201&gt;40%*EI201,"C","D")))))))</f>
        <v/>
      </c>
      <c r="EL201" s="194" t="str">
        <f t="shared" ref="EL201:EL207" si="678">W201</f>
        <v/>
      </c>
      <c r="EM201" s="194" t="str">
        <f t="shared" ref="EM201:EM207" si="679">AK201</f>
        <v/>
      </c>
      <c r="EN201" s="194" t="str">
        <f t="shared" ref="EN201:EN207" si="680">BH201</f>
        <v/>
      </c>
      <c r="EO201" s="194" t="str">
        <f t="shared" ref="EO201:EO207" si="681">CE201</f>
        <v/>
      </c>
      <c r="EP201" s="194" t="str">
        <f t="shared" ref="EP201:EP207" si="682">DB201</f>
        <v/>
      </c>
      <c r="EQ201" s="194" t="str">
        <f t="shared" ref="EQ201:EQ207" si="683">EB201</f>
        <v/>
      </c>
      <c r="ER201" s="195">
        <f t="shared" ref="ER201:ER207" si="684">COUNTIF(EL201:EP201,"F")+COUNTIF(EL201:EP201,"AB")+COUNTIF(EN201:EP201,"FP")</f>
        <v>0</v>
      </c>
      <c r="ES201" s="195">
        <f t="shared" ref="ES201:ES207" si="685">COUNTIF(EL201:EP201,"S")</f>
        <v>0</v>
      </c>
      <c r="ET201" s="195">
        <f t="shared" ref="ET201:ET207" si="686">COUNTIF(EL201:EP201,"G1")</f>
        <v>0</v>
      </c>
      <c r="EU201" s="195">
        <f t="shared" ref="EU201:EU207" si="687">COUNTIF(EL201:EP201,"G2")</f>
        <v>0</v>
      </c>
      <c r="EV201" s="195">
        <f t="shared" ref="EV201:EV207" si="688">COUNTIF(EL201:EP201,"RE")+COUNTIF(EL201:EP201,"REP")</f>
        <v>0</v>
      </c>
      <c r="EW201" s="195" t="str">
        <f t="shared" ref="EW201:EW207" si="689">IF(OR(EK201="AB",EK201="F"),"D",IF(OR(EK201="RE"),"D",""))</f>
        <v/>
      </c>
      <c r="EX201" s="196" t="str">
        <f t="shared" ref="EX201:EX207" si="690">IF(B201="NSO","NSO",IF(OR(B201="",B201=0,P201="",AD201="",AW201="",BT201=""),"",IF(OR(ER201&gt;0,(ES201+ET201+EU201)&gt;2),"FAIL",IF(EV201&gt;0,"RE-EXAM",IF(OR(ES201&gt;0,ET201&gt;1),"SUPPLEMENTARY",IF(AND(ET201&gt;0,EU201&gt;0),"SUPPLEMENTARY",IF((ET201+EU201)&gt;0,"BY GRACE PASS","PASS")))))))</f>
        <v/>
      </c>
      <c r="EY201" s="197" t="str">
        <f>IF('Marks Entry'!BE201="","",'Marks Entry'!BE201)</f>
        <v/>
      </c>
      <c r="EZ201" s="197" t="str">
        <f>IF('Marks Entry'!BF201="","",'Marks Entry'!BF201)</f>
        <v/>
      </c>
      <c r="FA201" s="197" t="str">
        <f>IF('Marks Entry'!BG201="","",'Marks Entry'!BG201)</f>
        <v/>
      </c>
      <c r="FB201" s="596" t="str">
        <f t="shared" ref="FB201:FB207" si="691">IF(AND(EY201="",EZ201="",FA201=""),"",IF(AND(EY201="AB",EZ201="AB",FA201="AB"),"AB",IF(AND(EY201="ML",EZ201="ML",FA201="ML"),"ML",SUM(EY201:FA201))))</f>
        <v/>
      </c>
      <c r="FC201" s="197" t="str">
        <f>IF('Marks Entry'!BH201="","",'Marks Entry'!BH201)</f>
        <v/>
      </c>
      <c r="FD201" s="197" t="str">
        <f>IF('Marks Entry'!BI201="","",'Marks Entry'!BI201)</f>
        <v/>
      </c>
      <c r="FE201" s="198" t="str">
        <f t="shared" ref="FE201:FE207" si="692">IF(AND(EY201="",EZ201="",FA201="",FC201="",FD201=""),"",SUM(EY201,EZ201,FA201,FC201,FD201))</f>
        <v/>
      </c>
      <c r="FF201" s="199" t="str">
        <f t="shared" ref="FF201:FF207" si="693">IF(OR($B201="NSO",$B201=0,FE201=""),"",IF(OR(FE201="AB",FD201="ab"),"AB",IF(AND(EX201="FAIL",(OR(FE201&lt;36%*$FE$6))),"F",IF(OR(FD201="ML",FD201&lt;20%*$FD$6,FE201&lt;36%*$FE$6),"RE",IF(FE201&gt;80%*$FE$6,"A",IF(FE201&gt;60%*$FE$6,"B",IF(FE201&gt;40%*$FE$6,"C","D")))))))</f>
        <v/>
      </c>
      <c r="FG201" s="200" t="str">
        <f>IF(AND(E201=""),"",IF('Student DATA Entry'!L197="","",'Student DATA Entry'!L197))</f>
        <v/>
      </c>
      <c r="FH201" s="201" t="str">
        <f>IF(AND(E201=""),"",IF('Student DATA Entry'!M197="","",'Student DATA Entry'!M197))</f>
        <v/>
      </c>
      <c r="FI201" s="202" t="str">
        <f t="shared" ref="FI201:FI207" si="694">IF(OR(FG201=0,FH201=0,FG201="",FH201=""),"",FH201/FG201*100)</f>
        <v/>
      </c>
      <c r="FJ201" s="189" t="str">
        <f t="shared" ref="FJ201:FJ207" si="695">IF(AND(EX201="FAIL",(OR(EL201="G1",EL201="G2",EL201="S",EL201="RE"))),"F",IF(AND(EX201="RE-EXAM",(OR(EL201="G1",EL201="G2",EL201="S"))),"S",IF(AND(EX201="SUPPLEMENTARY",(OR(EL201="G1",EL201="G2"))),"S",IF(AND(EX201="BY GRACE PASS",(OR(EL201="G1",EL201="G2"))),"G",EL201))))</f>
        <v/>
      </c>
      <c r="FK201" s="189" t="str">
        <f t="shared" ref="FK201:FK207" si="696">IF(FJ201="G",",+","")</f>
        <v/>
      </c>
      <c r="FL201" s="203" t="str">
        <f t="shared" si="565"/>
        <v/>
      </c>
      <c r="FM201" s="189" t="str">
        <f t="shared" ref="FM201:FM207" si="697">IF(AND(EX201="vuqRrh.kZ",(OR(EM201="G1",EM201="G2",EM201="S",EM201="RE"))),"F",IF(AND(EX201="iqu% ijh{kk",(OR(EM201="G1",EM201="G2",EM201="S"))),"S",IF(AND(EX201="iwjd",(OR(EM201="G1",EM201="G2"))),"S",IF(AND(EX201="lk- mRrh.kZ",(OR(EM201="G1",EM201="G2"))),"G",EM201))))</f>
        <v/>
      </c>
      <c r="FN201" s="204" t="str">
        <f t="shared" ref="FN201:FN207" si="698">IF(FM201="G",",+","")</f>
        <v/>
      </c>
      <c r="FO201" s="203" t="str">
        <f t="shared" si="566"/>
        <v/>
      </c>
      <c r="FP201" s="205" t="str">
        <f t="shared" ref="FP201:FP207" si="699">IF(AND(EX201="FAIL",(OR(EN201="G1",EN201="G2",EN201="S",EN201="RE"))),"F",IF(AND(EX201="RE-EXAM",(OR(EN201="G1",EN201="G2",EN201="S"))),"S",IF(AND(EX201="SUPPLEMENTARY",(OR(EN201="G1",EN201="G2"))),"S",IF(AND(EX201="BY GRACE PASS",(OR(EN201="G1",EN201="G2"))),"G",EN201))))</f>
        <v/>
      </c>
      <c r="FQ201" s="189" t="str">
        <f t="shared" si="567"/>
        <v/>
      </c>
      <c r="FR201" s="189" t="str">
        <f t="shared" si="568"/>
        <v/>
      </c>
      <c r="FS201" s="189" t="str">
        <f t="shared" si="569"/>
        <v/>
      </c>
      <c r="FT201" s="189" t="str">
        <f t="shared" si="570"/>
        <v/>
      </c>
      <c r="FU201" s="189" t="str">
        <f t="shared" ref="FU201:FU207" si="700">IF(FP201="G",",+","")</f>
        <v/>
      </c>
      <c r="FV201" s="206" t="str">
        <f t="shared" si="571"/>
        <v/>
      </c>
      <c r="FW201" s="205" t="str">
        <f t="shared" ref="FW201:FW207" si="701">IF(AND(EX201="FAIL",(OR(EO201="G1",EO201="G2",EO201="S",EO201="RE",))),"F",IF(AND(EX201="RE-EXAM",(OR(EO201="G1",EO201="G2",EO201="S"))),"S",IF(AND(EX201="SUPPLEMENTARY",(OR(EO201="G1",EO201="G2"))),"S",IF(AND(EX201="BY GRACE PASS",(OR(EO201="G1",EO201="G2"))),"G",EO201))))</f>
        <v/>
      </c>
      <c r="FX201" s="189" t="str">
        <f t="shared" si="572"/>
        <v/>
      </c>
      <c r="FY201" s="189" t="str">
        <f t="shared" si="573"/>
        <v/>
      </c>
      <c r="FZ201" s="189" t="str">
        <f t="shared" si="574"/>
        <v/>
      </c>
      <c r="GA201" s="189" t="str">
        <f t="shared" si="575"/>
        <v/>
      </c>
      <c r="GB201" s="189" t="str">
        <f t="shared" ref="GB201:GB207" si="702">IF(FW201="G",",+","")</f>
        <v/>
      </c>
      <c r="GC201" s="206" t="str">
        <f t="shared" si="576"/>
        <v/>
      </c>
      <c r="GD201" s="205" t="str">
        <f t="shared" ref="GD201:GD207" si="703">IF(AND(EX201="FAIL",(OR(EP201="G1",EP201="G2",EP201="S",EP201="RE"))),"F",IF(AND(EX201="RE-EXAM",(OR(EP201="G1",EP201="G2",EP201="S"))),"S",IF(AND(EX201="SUPPLEMENTARY",(OR(EP201="G1",EP201="G2"))),"S",IF(AND(EX201="BY GRACE PASS",(OR(EP201="G1",EP201="G2"))),"G",EP201))))</f>
        <v/>
      </c>
      <c r="GE201" s="189" t="str">
        <f t="shared" si="577"/>
        <v/>
      </c>
      <c r="GF201" s="189" t="str">
        <f t="shared" si="578"/>
        <v/>
      </c>
      <c r="GG201" s="189" t="str">
        <f t="shared" si="579"/>
        <v/>
      </c>
      <c r="GH201" s="189" t="str">
        <f t="shared" si="580"/>
        <v/>
      </c>
      <c r="GI201" s="189" t="str">
        <f t="shared" ref="GI201:GI207" si="704">IF(GD201="G",",+","")</f>
        <v/>
      </c>
      <c r="GJ201" s="206" t="str">
        <f t="shared" si="581"/>
        <v/>
      </c>
      <c r="GK201" s="205" t="str">
        <f t="shared" ref="GK201:GK207" si="705">IF(AND(EX201="FAIL",(OR(EQ201="G1",EQ201="G2",EQ201="S",EQ201="RE"))),"F",IF(AND(EX201="RE-EXAM",(OR(EQ201="G1",EQ201="G2",EQ201="S"))),"S",IF(AND(EX201="SUPPLEMENTARY",(OR(EQ201="G1",EQ201="G2"))),"S",IF(AND(EX201="BY GRACE PASS",(OR(EQ201="G1",EQ201="G2"))),"G",EQ201))))</f>
        <v/>
      </c>
      <c r="GL201" s="189" t="str">
        <f t="shared" si="582"/>
        <v/>
      </c>
      <c r="GM201" s="189" t="str">
        <f t="shared" si="583"/>
        <v/>
      </c>
      <c r="GN201" s="189" t="str">
        <f t="shared" si="584"/>
        <v/>
      </c>
      <c r="GO201" s="189" t="str">
        <f t="shared" si="585"/>
        <v/>
      </c>
      <c r="GP201" s="189" t="str">
        <f t="shared" ref="GP201:GP207" si="706">IF(GK201="G",",+","")</f>
        <v/>
      </c>
      <c r="GQ201" s="206" t="str">
        <f t="shared" si="586"/>
        <v/>
      </c>
      <c r="GR201" s="189" t="str">
        <f t="shared" ref="GR201:GR207" si="707">IF(AND(EX201="FAIL",EK201="RE"),"F",EK201)</f>
        <v/>
      </c>
      <c r="GS201" s="189" t="str">
        <f t="shared" ref="GS201:GS207" si="708">IF(AND(EX201="FAIL",FF201="RE"),"F",FF201)</f>
        <v/>
      </c>
      <c r="GT201" s="207" t="str">
        <f t="shared" ref="GT201:GT207" si="709">CONCATENATE(IF(FJ201="F",$FJ$5,IF(FJ201="AB",$FJ$5,""))," ",IF(FM201="F",$FM$5,IF(FM201="AB",$FM$5,""))," ",IF(FQ201="F",$FQ$5,IF(FR201="F",$FR$5,IF(FS201="F",$FS$5,IF(FQ201="AB",$FQ$5,IF(FR201="AB",$FR$5,IF(FS201="AB",$FS$5,IF(FQ201="FP",$FQ$5,IF(FR201="FP",$FR$5,IF(FS201="FP",$FS$5,"")))))))))," ",IF(FX201="F",$FX$5,IF(FY201="F",$FY$5,IF(FZ201="F",$FZ$5,IF(FX201="AB",$FX$5,IF(FY201="AB",$FY$5,IF(FZ201="AB",$FZ$5,IF(FX201="FP",$FX$5,IF(FY201="FP",$FY$5,IF(FZ201="FP",$FZ$5,"")))))))))," ",IF(GE201="F",$GE$5,IF(GF201="F",$GF$5,IF(GG201="F",$GG$5,IF(GE201="AB",$GE$5,IF(GF201="AB",$GF$5,IF(GG201="AB",$GG$5,IF(GE201="FP",$GE$5,IF(GF201="FP",$GF$5,IF(GG201="FP",$GG$5,""))))))))),"",IF(GL201="F",$GL$5,IF(GM201="F",$GM$5,IF(GN201="F",$GN$5,IF(GL201="AB",$GL$5,IF(GM201="AB",$GM$5,IF(GN201="AB",$GN$5,IF(GL201="FP",$GL$5,IF(GM201="FP",$GM$5,IF(GN201="FP",$GN$5,""))))))))))</f>
        <v xml:space="preserve">    </v>
      </c>
      <c r="GU201" s="207" t="str">
        <f t="shared" ref="GU201:GU207" si="710">CONCATENATE(IF(FJ201="S",$FJ$5,"")," ",IF(FM201="S",$FM$5,"")," ",IF(FQ201="S",$FQ$5,IF(FR201="S",$FR$5,IF(FS201="S",$FS$5,IF(FT201="S",$FT$5,""))))," ",IF(FX201="S",$FX$5,IF(FY201="S",$FY$5,IF(FZ201="S",$FZ$5,IF(GA201="S",$GA$5,""))))," ",IF(GE201="S",$GE$5,IF(GF201="S",$GF$5,IF(GG201="S",$GG$5,IF(GH201="S",$GH$5,"")))))</f>
        <v xml:space="preserve">    </v>
      </c>
      <c r="GV201" s="207" t="str">
        <f t="shared" ref="GV201:GV207" si="711">CONCATENATE(IF(FJ201="G",$FJ$5,"")," ",IF(FM201="G",$FM$5,"")," ",IF(FQ201="G",$FQ$5,IF(FR201="G",$FR$5,IF(FS201="G",$FS$5,"")))," ",IF(FX201="G",$FX$5,IF(FY201="G",$FY$5,IF(FZ201="G",$FZ$5,"")))," ",IF(GE201="G",$GE$5,IF(GF201="G",$GF$5,IF(GG201="G",$GG$5,""))))</f>
        <v xml:space="preserve">    </v>
      </c>
      <c r="GW201" s="207" t="str">
        <f t="shared" ref="GW201:GW206" si="712">CONCATENATE(IF(FJ201="RE",$FJ$5,"")," ",IF(FM201="RE",$FM$5,"")," ",IF(OR(FQ201="RE",FQ201="REP"),$FQ$5,IF(OR(FR201="RE",FR201="REP"),$FR$5,IF(OR(FS201="RE",FS201="REP"),$FS$5,IF(OR(FT201="RE",FT201="REP"),$FT$5,""))))," ",IF(OR(FX201="RE",FX201="REP"),$FX$5,IF(OR(FY201="RE",FY201="REP"),$FY$5,IF(OR(FZ201="RE",FZ201="REP"),$FZ$5,IF(OR(GA201="RE",GA201="REP"),$GA$5,""))))," ",IF(OR(GE201="RE",GE201="REP"),$GE$5,IF(OR(GF201="RE",GF201="REP"),$GF$5,IF(OR(GG201="RE",GG201="REP"),$GG$5,IF(OR(GH201="RE",GH201="REP"),$GH$5,""))))," ",IF(GR201="RE",$GR$4," "),"",IF(GS201="RE",$GS$4," "),"",)</f>
        <v xml:space="preserve">       </v>
      </c>
      <c r="GX201" s="598" t="str">
        <f t="shared" ref="GX201:GX207" si="713">CONCATENATE(IF(FJ201="D",$FJ$5,"")," ",IF($FM201="D",$FM$5,"")," ",IF(FQ201="D",$FQ$5,IF(FR201="D",$FR$5,IF(FS201="D",$FS$5,IF(FT201="D",$FT$5,""))))," ",IF(FX201="D",$FX$5,IF(FY201="D",$FY$5,IF(FZ201="D",$FZ$5,IF(GA201="D",$GA$5,""))))," ",IF(GE201="D",$GE$5,IF(GF201="D",$GF$5,IF(GG201="D",$GG$5,IF(GH201="D",$GH$5,""))))," ",IF(GL201="D",$GL$5,IF(GM201="D",$GM$5,IF(GN201="D",$GN$5,IF(GO201="D",$GO$5,"")))))</f>
        <v xml:space="preserve">     </v>
      </c>
      <c r="GY201" s="208" t="str">
        <f t="shared" si="587"/>
        <v/>
      </c>
      <c r="GZ201" s="606" t="str">
        <f>IF(AND(Q201="",AE201="",AZ201="",BW201="",CT201=""),"",IF(AND('Master Sheet'!$D$19="YES",'Marks Entry'!$BA$1=1),SUM(Q201,AE201,AZ201,BW201,DT201),SUM(Q201,AE201,AZ201,BW201,CT201)))</f>
        <v/>
      </c>
      <c r="HA201" s="209" t="str">
        <f>IF(GZ201="","",IF(AND('Master Sheet'!$D$19="YES",'Marks Entry'!$BA$1=1),GZ201/((900)-DC201)*100,GZ201/((1000)-DC201)*100))</f>
        <v/>
      </c>
      <c r="HB201" s="611" t="str">
        <f t="shared" ref="HB201:HB207" si="714">IF(HA201="","",IF(AND(HA201&gt;=60,(GY201="PASS")),"I",IF(AND(HA201&gt;=60,(GY201="BY GRACE PASS")),"I",IF(AND(HA201&gt;=48,(GY201="PASS")),"II",IF(AND(HA201&gt;=48,(GY201="BY GRACE PASS")),"II",IF(AND(HA201&gt;=36,(GY201="PASS")),"III",IF(AND(HA201&gt;=36,(GY201="BY GRACE PASS")),"III","")))))))</f>
        <v/>
      </c>
      <c r="HC201" s="609" t="str">
        <f t="shared" ref="HC201:HC207" si="715">IF(OR(GY201="PASS",GY201="BY GRACE PASS"),HA201,"")</f>
        <v/>
      </c>
      <c r="HD201" s="610" t="str">
        <f t="shared" ref="HD201:HD207" si="716">IF(HC201="","",SUMPRODUCT((HC201&lt;HC$8:HC$207)/COUNTIF(HC$8:HC$207,HC$8:HC$207)))</f>
        <v/>
      </c>
      <c r="HE201" s="210" t="str">
        <f>IFERROR(IF(OR(GY201="SUPPLEMENTARY",GY201="RE-EXAM"),'Supp. Result Entry'!AS200,""),"")</f>
        <v/>
      </c>
      <c r="HF201" s="613" t="str">
        <f t="shared" ref="HF201:HF207" si="717">IF(OR(JB201="",IS201=0),"",IF(IZ201="","",IZ201))</f>
        <v/>
      </c>
      <c r="HG201" s="598" t="str">
        <f t="shared" ref="HG201:HG207" si="718">IF(AND(JB201=""),"",IF(HE201="","",IF(AND(JB201="FAIL"),"Failed",JB201)))</f>
        <v/>
      </c>
      <c r="HH201" s="598" t="str">
        <f>IF(AND(HE201="",HF201="",HG201=""),"",IF(OR(GY201="SUPPLEMENTARY",GY201="RE-EXAM"),'Supp. Result Entry'!AS200,GY201))</f>
        <v/>
      </c>
      <c r="HI201" s="180"/>
      <c r="HY201" s="212" t="str">
        <f>IF('Supp. Result Entry'!U200="","",'Supp. Result Entry'!$U$6)</f>
        <v/>
      </c>
      <c r="HZ201" s="213" t="str">
        <f>IF('Supp. Result Entry'!X200="","",'Supp. Result Entry'!$X$6)</f>
        <v/>
      </c>
      <c r="IA201" s="213" t="str">
        <f>IF('Supp. Result Entry'!AA200="","",'Supp. Result Entry'!$AA$6)</f>
        <v/>
      </c>
      <c r="IB201" s="213" t="str">
        <f>IF('Supp. Result Entry'!AD200="","",'Supp. Result Entry'!$AD$6)</f>
        <v/>
      </c>
      <c r="IC201" s="213" t="str">
        <f>IF('Supp. Result Entry'!AG200="","",'Supp. Result Entry'!$AG$6)</f>
        <v/>
      </c>
      <c r="ID201" s="213" t="str">
        <f>IF('Supp. Result Entry'!AJ200="","",'Supp. Result Entry'!$AJ$6)</f>
        <v/>
      </c>
      <c r="IE201" s="213" t="str">
        <f>IF('Supp. Result Entry'!V200="","",'Supp. Result Entry'!V200)</f>
        <v/>
      </c>
      <c r="IF201" s="213" t="str">
        <f>IF('Supp. Result Entry'!Y200="","",'Supp. Result Entry'!Y200)</f>
        <v/>
      </c>
      <c r="IG201" s="213" t="str">
        <f>IF('Supp. Result Entry'!AB200="","",'Supp. Result Entry'!AB200)</f>
        <v/>
      </c>
      <c r="IH201" s="213" t="str">
        <f>IF('Supp. Result Entry'!AE200="","",'Supp. Result Entry'!AE200)</f>
        <v/>
      </c>
      <c r="II201" s="213" t="str">
        <f>IF('Supp. Result Entry'!AH200="","",'Supp. Result Entry'!AH200)</f>
        <v/>
      </c>
      <c r="IJ201" s="213" t="str">
        <f>IF('Supp. Result Entry'!AK200="","",'Supp. Result Entry'!AK200)</f>
        <v/>
      </c>
      <c r="IK201" s="213" t="str">
        <f>IF('Supp. Result Entry'!W200="","",'Supp. Result Entry'!W200)</f>
        <v/>
      </c>
      <c r="IL201" s="213" t="str">
        <f>IF('Supp. Result Entry'!Z200="","",'Supp. Result Entry'!Z200)</f>
        <v/>
      </c>
      <c r="IM201" s="213" t="str">
        <f>IF('Supp. Result Entry'!AC200="","",'Supp. Result Entry'!AC200)</f>
        <v/>
      </c>
      <c r="IN201" s="213" t="str">
        <f>IF('Supp. Result Entry'!AF200="","",'Supp. Result Entry'!AF200)</f>
        <v/>
      </c>
      <c r="IO201" s="213" t="str">
        <f>IF('Supp. Result Entry'!AI200="","",'Supp. Result Entry'!AI200)</f>
        <v/>
      </c>
      <c r="IP201" s="213" t="str">
        <f>IF('Supp. Result Entry'!AL200="","",'Supp. Result Entry'!AL200)</f>
        <v/>
      </c>
      <c r="IQ201" s="213">
        <f>COUNTIF('Supp. Result Entry'!K200:Q200,"S")</f>
        <v>0</v>
      </c>
      <c r="IR201" s="213">
        <f t="shared" ref="IR201:IR219" si="719">COUNTIF(FJ201:GR201,"RE")+COUNTIF(FJ201:GR201,"REP")</f>
        <v>0</v>
      </c>
      <c r="IS201" s="213">
        <f t="shared" ref="IS201:IS219" si="720">COUNTIF(IK201:IP201,"P")</f>
        <v>0</v>
      </c>
      <c r="IT201" s="213" t="str">
        <f t="shared" si="588"/>
        <v/>
      </c>
      <c r="IU201" s="213" t="str">
        <f t="shared" si="589"/>
        <v/>
      </c>
      <c r="IV201" s="213" t="str">
        <f t="shared" si="590"/>
        <v/>
      </c>
      <c r="IW201" s="213" t="str">
        <f t="shared" si="591"/>
        <v/>
      </c>
      <c r="IX201" s="213" t="str">
        <f t="shared" si="592"/>
        <v/>
      </c>
      <c r="IY201" s="213" t="str">
        <f t="shared" ref="IY201:IY219" si="721">IF(OR(IQ201=0,IQ201&lt;IS201),"",SUM(IT201:IX201))</f>
        <v/>
      </c>
      <c r="IZ201" s="213" t="str">
        <f t="shared" ref="IZ201:IZ219" si="722">IF(OR(IQ201=0,IQ201&lt;IS201),"",IY201/JA201*100)</f>
        <v/>
      </c>
      <c r="JA201" s="213" t="str">
        <f t="shared" si="593"/>
        <v/>
      </c>
      <c r="JB201" s="211" t="str">
        <f t="shared" ref="JB201:JB219" si="723">IF(IZ201="","",IF(IZ201&gt;=60,"I",IF(IZ201&gt;=48,"II",IF(IZ201&gt;=36,"III",""))))</f>
        <v/>
      </c>
    </row>
    <row r="202" spans="1:262" s="211" customFormat="1" ht="21" customHeight="1">
      <c r="A202" s="184">
        <v>195</v>
      </c>
      <c r="B202" s="185" t="str">
        <f>IF('Marks Entry'!B202="","",'Marks Entry'!B202)</f>
        <v/>
      </c>
      <c r="C202" s="186" t="str">
        <f>IF('Marks Entry'!D202="","",'Marks Entry'!D202)</f>
        <v/>
      </c>
      <c r="D202" s="187" t="str">
        <f>IF('Marks Entry'!E202="","",'Marks Entry'!E202)</f>
        <v/>
      </c>
      <c r="E202" s="188" t="str">
        <f>IF('Marks Entry'!F202="","",'Marks Entry'!F202)</f>
        <v/>
      </c>
      <c r="F202" s="188" t="str">
        <f>IF('Marks Entry'!G202="","",'Marks Entry'!G202)</f>
        <v/>
      </c>
      <c r="G202" s="188" t="str">
        <f>IF('Marks Entry'!H202="","",'Marks Entry'!H202)</f>
        <v/>
      </c>
      <c r="H202" s="189" t="str">
        <f>IF('Marks Entry'!I202="","",'Marks Entry'!I202)</f>
        <v/>
      </c>
      <c r="I202" s="190" t="str">
        <f>IF('Marks Entry'!J202="","",'Marks Entry'!J202)</f>
        <v/>
      </c>
      <c r="J202" s="545" t="str">
        <f>IF('Marks Entry'!K202="","",'Marks Entry'!K202)</f>
        <v/>
      </c>
      <c r="K202" s="545" t="str">
        <f>IF('Marks Entry'!L202="","",'Marks Entry'!L202)</f>
        <v/>
      </c>
      <c r="L202" s="545" t="str">
        <f>IF('Marks Entry'!M202="","",'Marks Entry'!M202)</f>
        <v/>
      </c>
      <c r="M202" s="546" t="str">
        <f t="shared" si="594"/>
        <v/>
      </c>
      <c r="N202" s="545" t="str">
        <f>IF('Marks Entry'!N202="","",'Marks Entry'!N202)</f>
        <v/>
      </c>
      <c r="O202" s="546" t="str">
        <f t="shared" si="595"/>
        <v/>
      </c>
      <c r="P202" s="545" t="str">
        <f>IF('Marks Entry'!O202="","",'Marks Entry'!O202)</f>
        <v/>
      </c>
      <c r="Q202" s="547" t="str">
        <f t="shared" si="596"/>
        <v/>
      </c>
      <c r="R202" s="153">
        <f t="shared" si="597"/>
        <v>0</v>
      </c>
      <c r="S202" s="153">
        <f t="shared" si="598"/>
        <v>0</v>
      </c>
      <c r="T202" s="154" t="str">
        <f t="shared" si="599"/>
        <v/>
      </c>
      <c r="U202" s="153" t="str">
        <f t="shared" si="600"/>
        <v/>
      </c>
      <c r="V202" s="153" t="str">
        <f t="shared" si="601"/>
        <v/>
      </c>
      <c r="W202" s="153" t="str">
        <f t="shared" si="602"/>
        <v/>
      </c>
      <c r="X202" s="545" t="str">
        <f>IF('Marks Entry'!P202="","",'Marks Entry'!P202)</f>
        <v/>
      </c>
      <c r="Y202" s="545" t="str">
        <f>IF('Marks Entry'!Q202="","",'Marks Entry'!Q202)</f>
        <v/>
      </c>
      <c r="Z202" s="545" t="str">
        <f>IF('Marks Entry'!R202="","",'Marks Entry'!R202)</f>
        <v/>
      </c>
      <c r="AA202" s="546" t="str">
        <f t="shared" si="603"/>
        <v/>
      </c>
      <c r="AB202" s="545" t="str">
        <f>IF('Marks Entry'!S202="","",'Marks Entry'!S202)</f>
        <v/>
      </c>
      <c r="AC202" s="546" t="str">
        <f t="shared" si="604"/>
        <v/>
      </c>
      <c r="AD202" s="545" t="str">
        <f>IF('Marks Entry'!T202="","",'Marks Entry'!T202)</f>
        <v/>
      </c>
      <c r="AE202" s="547" t="str">
        <f t="shared" si="605"/>
        <v/>
      </c>
      <c r="AF202" s="153">
        <f t="shared" si="606"/>
        <v>0</v>
      </c>
      <c r="AG202" s="153">
        <f t="shared" si="607"/>
        <v>0</v>
      </c>
      <c r="AH202" s="154" t="str">
        <f t="shared" si="608"/>
        <v/>
      </c>
      <c r="AI202" s="153" t="str">
        <f t="shared" si="609"/>
        <v/>
      </c>
      <c r="AJ202" s="153" t="str">
        <f t="shared" si="610"/>
        <v/>
      </c>
      <c r="AK202" s="153" t="str">
        <f t="shared" si="611"/>
        <v/>
      </c>
      <c r="AL202" s="573" t="str">
        <f>IF('Marks Entry'!U202="","",'Marks Entry'!U202)</f>
        <v/>
      </c>
      <c r="AM202" s="573" t="str">
        <f>IF('Marks Entry'!V202="","",'Marks Entry'!V202)</f>
        <v/>
      </c>
      <c r="AN202" s="573" t="str">
        <f>IF('Marks Entry'!W202="","",'Marks Entry'!W202)</f>
        <v/>
      </c>
      <c r="AO202" s="573" t="str">
        <f>IF('Marks Entry'!X202="","",'Marks Entry'!X202)</f>
        <v/>
      </c>
      <c r="AP202" s="572" t="str">
        <f t="shared" si="612"/>
        <v/>
      </c>
      <c r="AQ202" s="573" t="str">
        <f>IF('Marks Entry'!Y202="","",'Marks Entry'!Y202)</f>
        <v/>
      </c>
      <c r="AR202" s="573" t="str">
        <f>IF('Marks Entry'!Z202="","",'Marks Entry'!Z202)</f>
        <v/>
      </c>
      <c r="AS202" s="572" t="str">
        <f t="shared" si="613"/>
        <v/>
      </c>
      <c r="AT202" s="572" t="str">
        <f t="shared" si="614"/>
        <v/>
      </c>
      <c r="AU202" s="573" t="str">
        <f>IF('Marks Entry'!AA202="","",'Marks Entry'!AA202)</f>
        <v/>
      </c>
      <c r="AV202" s="573" t="str">
        <f>IF('Marks Entry'!AB202="","",'Marks Entry'!AB202)</f>
        <v/>
      </c>
      <c r="AW202" s="572" t="str">
        <f t="shared" si="615"/>
        <v/>
      </c>
      <c r="AX202" s="157" t="str">
        <f t="shared" si="616"/>
        <v/>
      </c>
      <c r="AY202" s="157" t="str">
        <f t="shared" si="617"/>
        <v/>
      </c>
      <c r="AZ202" s="192" t="str">
        <f t="shared" si="618"/>
        <v/>
      </c>
      <c r="BA202" s="153">
        <f t="shared" si="619"/>
        <v>0</v>
      </c>
      <c r="BB202" s="154">
        <f t="shared" si="620"/>
        <v>0</v>
      </c>
      <c r="BC202" s="154" t="str">
        <f t="shared" si="621"/>
        <v/>
      </c>
      <c r="BD202" s="154" t="str">
        <f t="shared" si="622"/>
        <v/>
      </c>
      <c r="BE202" s="154" t="str">
        <f t="shared" si="623"/>
        <v/>
      </c>
      <c r="BF202" s="153" t="str">
        <f t="shared" si="624"/>
        <v/>
      </c>
      <c r="BG202" s="154" t="str">
        <f t="shared" si="625"/>
        <v/>
      </c>
      <c r="BH202" s="153" t="str">
        <f t="shared" si="626"/>
        <v/>
      </c>
      <c r="BI202" s="580" t="str">
        <f>IF('Marks Entry'!AC202="","",'Marks Entry'!AC202)</f>
        <v/>
      </c>
      <c r="BJ202" s="580" t="str">
        <f>IF('Marks Entry'!AD202="","",'Marks Entry'!AD202)</f>
        <v/>
      </c>
      <c r="BK202" s="580" t="str">
        <f>IF('Marks Entry'!AE202="","",'Marks Entry'!AE202)</f>
        <v/>
      </c>
      <c r="BL202" s="580" t="str">
        <f>IF('Marks Entry'!AF202="","",'Marks Entry'!AF202)</f>
        <v/>
      </c>
      <c r="BM202" s="581" t="str">
        <f t="shared" si="627"/>
        <v/>
      </c>
      <c r="BN202" s="580" t="str">
        <f>IF('Marks Entry'!AG202="","",'Marks Entry'!AG202)</f>
        <v/>
      </c>
      <c r="BO202" s="580" t="str">
        <f>IF('Marks Entry'!AH202="","",'Marks Entry'!AH202)</f>
        <v/>
      </c>
      <c r="BP202" s="581" t="str">
        <f t="shared" si="628"/>
        <v/>
      </c>
      <c r="BQ202" s="581" t="str">
        <f t="shared" si="629"/>
        <v/>
      </c>
      <c r="BR202" s="580" t="str">
        <f>IF('Marks Entry'!AI202="","",'Marks Entry'!AI202)</f>
        <v/>
      </c>
      <c r="BS202" s="580" t="str">
        <f>IF('Marks Entry'!AJ202="","",'Marks Entry'!AJ202)</f>
        <v/>
      </c>
      <c r="BT202" s="581" t="str">
        <f t="shared" si="630"/>
        <v/>
      </c>
      <c r="BU202" s="157" t="str">
        <f t="shared" si="631"/>
        <v/>
      </c>
      <c r="BV202" s="157" t="str">
        <f t="shared" si="632"/>
        <v/>
      </c>
      <c r="BW202" s="192" t="str">
        <f t="shared" si="633"/>
        <v/>
      </c>
      <c r="BX202" s="153">
        <f t="shared" si="634"/>
        <v>0</v>
      </c>
      <c r="BY202" s="154">
        <f t="shared" si="635"/>
        <v>0</v>
      </c>
      <c r="BZ202" s="154" t="str">
        <f t="shared" si="636"/>
        <v/>
      </c>
      <c r="CA202" s="154" t="str">
        <f t="shared" si="637"/>
        <v/>
      </c>
      <c r="CB202" s="154" t="str">
        <f t="shared" si="638"/>
        <v/>
      </c>
      <c r="CC202" s="153" t="str">
        <f t="shared" si="639"/>
        <v/>
      </c>
      <c r="CD202" s="154" t="str">
        <f t="shared" si="640"/>
        <v/>
      </c>
      <c r="CE202" s="153" t="str">
        <f t="shared" si="641"/>
        <v/>
      </c>
      <c r="CF202" s="580" t="str">
        <f>IF('Marks Entry'!AK202="","",'Marks Entry'!AK202)</f>
        <v/>
      </c>
      <c r="CG202" s="580" t="str">
        <f>IF('Marks Entry'!AL202="","",'Marks Entry'!AL202)</f>
        <v/>
      </c>
      <c r="CH202" s="580" t="str">
        <f>IF('Marks Entry'!AM202="","",'Marks Entry'!AM202)</f>
        <v/>
      </c>
      <c r="CI202" s="580" t="str">
        <f>IF('Marks Entry'!AN202="","",'Marks Entry'!AN202)</f>
        <v/>
      </c>
      <c r="CJ202" s="581" t="str">
        <f t="shared" si="642"/>
        <v/>
      </c>
      <c r="CK202" s="580" t="str">
        <f>IF('Marks Entry'!AO202="","",'Marks Entry'!AO202)</f>
        <v/>
      </c>
      <c r="CL202" s="580" t="str">
        <f>IF('Marks Entry'!AP202="","",'Marks Entry'!AP202)</f>
        <v/>
      </c>
      <c r="CM202" s="581" t="str">
        <f t="shared" si="643"/>
        <v/>
      </c>
      <c r="CN202" s="581" t="str">
        <f t="shared" si="644"/>
        <v/>
      </c>
      <c r="CO202" s="580" t="str">
        <f>IF('Marks Entry'!AQ202="","",'Marks Entry'!AQ202)</f>
        <v/>
      </c>
      <c r="CP202" s="580" t="str">
        <f>IF('Marks Entry'!AR202="","",'Marks Entry'!AR202)</f>
        <v/>
      </c>
      <c r="CQ202" s="581" t="str">
        <f t="shared" si="645"/>
        <v/>
      </c>
      <c r="CR202" s="157" t="str">
        <f t="shared" si="646"/>
        <v/>
      </c>
      <c r="CS202" s="157" t="str">
        <f t="shared" si="647"/>
        <v/>
      </c>
      <c r="CT202" s="192" t="str">
        <f t="shared" si="648"/>
        <v/>
      </c>
      <c r="CU202" s="153">
        <f t="shared" si="649"/>
        <v>0</v>
      </c>
      <c r="CV202" s="154">
        <f t="shared" si="650"/>
        <v>0</v>
      </c>
      <c r="CW202" s="154" t="str">
        <f t="shared" si="651"/>
        <v/>
      </c>
      <c r="CX202" s="154" t="str">
        <f t="shared" si="652"/>
        <v/>
      </c>
      <c r="CY202" s="154" t="str">
        <f t="shared" si="653"/>
        <v/>
      </c>
      <c r="CZ202" s="153" t="str">
        <f t="shared" si="654"/>
        <v/>
      </c>
      <c r="DA202" s="154" t="str">
        <f t="shared" si="655"/>
        <v/>
      </c>
      <c r="DB202" s="153" t="str">
        <f t="shared" si="656"/>
        <v/>
      </c>
      <c r="DC202" s="154">
        <f t="shared" si="657"/>
        <v>0</v>
      </c>
      <c r="DD202" s="826" t="str">
        <f>IF('Marks Entry'!AS202="","",IF(OR('Master Sheet'!$D$19="YES",'Marks Entry'!$BA$1=1),'Marks Entry'!AS202,""))</f>
        <v/>
      </c>
      <c r="DE202" s="826" t="str">
        <f>IF('Marks Entry'!AT202="","",IF(OR('Master Sheet'!$D$19="YES",'Marks Entry'!$BA$1=1),'Marks Entry'!AT202,""))</f>
        <v/>
      </c>
      <c r="DF202" s="826" t="str">
        <f>IF('Marks Entry'!AU202="","",IF(OR('Master Sheet'!$D$19="YES",'Marks Entry'!$BA$1=1),'Marks Entry'!AU202,""))</f>
        <v/>
      </c>
      <c r="DG202" s="826" t="str">
        <f>IF('Marks Entry'!AV202="","",IF(OR('Master Sheet'!$D$19="YES",'Marks Entry'!$BA$1=1),'Marks Entry'!AV202,""))</f>
        <v/>
      </c>
      <c r="DH202" s="827" t="str">
        <f t="shared" si="658"/>
        <v/>
      </c>
      <c r="DI202" s="826" t="str">
        <f>IF('Marks Entry'!AW202="","",IF(OR('Master Sheet'!$D$19="YES",'Marks Entry'!$BA$1=1),'Marks Entry'!AW202,""))</f>
        <v/>
      </c>
      <c r="DJ202" s="826" t="str">
        <f>IF('Marks Entry'!AX202="","",IF(OR('Master Sheet'!$D$19="YES",'Marks Entry'!$BA$1=1),'Marks Entry'!AX202,""))</f>
        <v/>
      </c>
      <c r="DK202" s="827" t="str">
        <f t="shared" si="659"/>
        <v/>
      </c>
      <c r="DL202" s="827" t="str">
        <f t="shared" si="660"/>
        <v/>
      </c>
      <c r="DM202" s="826" t="str">
        <f>IF('Marks Entry'!AY202="","",IF(OR('Master Sheet'!$D$19="YES",'Marks Entry'!$BA$1=1),'Marks Entry'!AY202,""))</f>
        <v/>
      </c>
      <c r="DN202" s="826" t="str">
        <f>IF('Marks Entry'!AZ202="","",IF(OR('Master Sheet'!$D$19="YES",'Marks Entry'!$BA$1=1),'Marks Entry'!AZ202,""))</f>
        <v/>
      </c>
      <c r="DO202" s="826" t="str">
        <f>IF('Marks Entry'!BA202="","",IF(OR('Master Sheet'!$D$19="YES",'Marks Entry'!$BA$1=1),'Marks Entry'!BA202,""))</f>
        <v/>
      </c>
      <c r="DP202" s="827" t="str">
        <f t="shared" si="661"/>
        <v/>
      </c>
      <c r="DQ202" s="157" t="str">
        <f t="shared" si="662"/>
        <v/>
      </c>
      <c r="DR202" s="157" t="str">
        <f t="shared" si="663"/>
        <v/>
      </c>
      <c r="DS202" s="157" t="str">
        <f t="shared" si="664"/>
        <v/>
      </c>
      <c r="DT202" s="192" t="str">
        <f t="shared" si="665"/>
        <v/>
      </c>
      <c r="DU202" s="153">
        <f t="shared" si="666"/>
        <v>0</v>
      </c>
      <c r="DV202" s="154" t="e">
        <f t="shared" si="667"/>
        <v>#VALUE!</v>
      </c>
      <c r="DW202" s="154" t="str">
        <f t="shared" si="668"/>
        <v/>
      </c>
      <c r="DX202" s="154" t="str">
        <f>IF(OR($B202="NSO",$B202=0,DS202=""),"",IF(AND(DJ202="",DO202=""),"",IF('Master Sheet'!$D$19="YES",$DO$6-COUNTIF(DO202,"ML")*DO$6,DS$6-(COUNTIF(DJ202,"ML")*DJ$6)-(COUNTIF(DO202,"ML")*DO$6))))</f>
        <v/>
      </c>
      <c r="DY202" s="154" t="str">
        <f>IF(OR($B202="NSO",$B202=0),"",IF(AND(DH202="",DI202="",DM202=""),"",IF(AND('Master Sheet'!$D$19="YES",'Marks Entry'!$BA$1=1),100,IF(AND(DJ202="",DO202=""),SUM(($DQ$7+$DR$7)-(DU202+DV202)),SUM(($DQ$6+$DR$6)-(DU202+DV202))))))</f>
        <v/>
      </c>
      <c r="DZ202" s="153" t="str">
        <f t="shared" si="669"/>
        <v/>
      </c>
      <c r="EA202" s="154" t="str">
        <f t="shared" si="670"/>
        <v/>
      </c>
      <c r="EB202" s="153" t="str">
        <f t="shared" si="671"/>
        <v/>
      </c>
      <c r="EC202" s="584" t="str">
        <f>IF('Marks Entry'!BB202="","",'Marks Entry'!BB202)</f>
        <v/>
      </c>
      <c r="ED202" s="584" t="str">
        <f>IF('Marks Entry'!BC202="","",'Marks Entry'!BC202)</f>
        <v/>
      </c>
      <c r="EE202" s="584" t="str">
        <f>IF('Marks Entry'!BD202="","",'Marks Entry'!BD202)</f>
        <v/>
      </c>
      <c r="EF202" s="590" t="str">
        <f t="shared" si="672"/>
        <v/>
      </c>
      <c r="EG202" s="595">
        <f t="shared" si="673"/>
        <v>0</v>
      </c>
      <c r="EH202" s="595">
        <f t="shared" si="674"/>
        <v>0</v>
      </c>
      <c r="EI202" s="193" t="str">
        <f t="shared" si="675"/>
        <v/>
      </c>
      <c r="EJ202" s="595" t="str">
        <f t="shared" si="676"/>
        <v/>
      </c>
      <c r="EK202" s="595" t="str">
        <f t="shared" si="677"/>
        <v/>
      </c>
      <c r="EL202" s="194" t="str">
        <f t="shared" si="678"/>
        <v/>
      </c>
      <c r="EM202" s="194" t="str">
        <f t="shared" si="679"/>
        <v/>
      </c>
      <c r="EN202" s="194" t="str">
        <f t="shared" si="680"/>
        <v/>
      </c>
      <c r="EO202" s="194" t="str">
        <f t="shared" si="681"/>
        <v/>
      </c>
      <c r="EP202" s="194" t="str">
        <f t="shared" si="682"/>
        <v/>
      </c>
      <c r="EQ202" s="194" t="str">
        <f t="shared" si="683"/>
        <v/>
      </c>
      <c r="ER202" s="195">
        <f t="shared" si="684"/>
        <v>0</v>
      </c>
      <c r="ES202" s="195">
        <f t="shared" si="685"/>
        <v>0</v>
      </c>
      <c r="ET202" s="195">
        <f t="shared" si="686"/>
        <v>0</v>
      </c>
      <c r="EU202" s="195">
        <f t="shared" si="687"/>
        <v>0</v>
      </c>
      <c r="EV202" s="195">
        <f t="shared" si="688"/>
        <v>0</v>
      </c>
      <c r="EW202" s="195" t="str">
        <f t="shared" si="689"/>
        <v/>
      </c>
      <c r="EX202" s="196" t="str">
        <f t="shared" si="690"/>
        <v/>
      </c>
      <c r="EY202" s="197" t="str">
        <f>IF('Marks Entry'!BE202="","",'Marks Entry'!BE202)</f>
        <v/>
      </c>
      <c r="EZ202" s="197" t="str">
        <f>IF('Marks Entry'!BF202="","",'Marks Entry'!BF202)</f>
        <v/>
      </c>
      <c r="FA202" s="197" t="str">
        <f>IF('Marks Entry'!BG202="","",'Marks Entry'!BG202)</f>
        <v/>
      </c>
      <c r="FB202" s="596" t="str">
        <f t="shared" si="691"/>
        <v/>
      </c>
      <c r="FC202" s="197" t="str">
        <f>IF('Marks Entry'!BH202="","",'Marks Entry'!BH202)</f>
        <v/>
      </c>
      <c r="FD202" s="197" t="str">
        <f>IF('Marks Entry'!BI202="","",'Marks Entry'!BI202)</f>
        <v/>
      </c>
      <c r="FE202" s="198" t="str">
        <f t="shared" si="692"/>
        <v/>
      </c>
      <c r="FF202" s="199" t="str">
        <f t="shared" si="693"/>
        <v/>
      </c>
      <c r="FG202" s="200" t="str">
        <f>IF(AND(E202=""),"",IF('Student DATA Entry'!L198="","",'Student DATA Entry'!L198))</f>
        <v/>
      </c>
      <c r="FH202" s="201" t="str">
        <f>IF(AND(E202=""),"",IF('Student DATA Entry'!M198="","",'Student DATA Entry'!M198))</f>
        <v/>
      </c>
      <c r="FI202" s="202" t="str">
        <f t="shared" si="694"/>
        <v/>
      </c>
      <c r="FJ202" s="189" t="str">
        <f t="shared" si="695"/>
        <v/>
      </c>
      <c r="FK202" s="189" t="str">
        <f t="shared" si="696"/>
        <v/>
      </c>
      <c r="FL202" s="203" t="str">
        <f t="shared" si="565"/>
        <v/>
      </c>
      <c r="FM202" s="189" t="str">
        <f t="shared" si="697"/>
        <v/>
      </c>
      <c r="FN202" s="204" t="str">
        <f t="shared" si="698"/>
        <v/>
      </c>
      <c r="FO202" s="203" t="str">
        <f t="shared" si="566"/>
        <v/>
      </c>
      <c r="FP202" s="205" t="str">
        <f t="shared" si="699"/>
        <v/>
      </c>
      <c r="FQ202" s="189" t="str">
        <f t="shared" si="567"/>
        <v/>
      </c>
      <c r="FR202" s="189" t="str">
        <f t="shared" si="568"/>
        <v/>
      </c>
      <c r="FS202" s="189" t="str">
        <f t="shared" si="569"/>
        <v/>
      </c>
      <c r="FT202" s="189" t="str">
        <f t="shared" si="570"/>
        <v/>
      </c>
      <c r="FU202" s="189" t="str">
        <f t="shared" si="700"/>
        <v/>
      </c>
      <c r="FV202" s="206" t="str">
        <f t="shared" si="571"/>
        <v/>
      </c>
      <c r="FW202" s="205" t="str">
        <f t="shared" si="701"/>
        <v/>
      </c>
      <c r="FX202" s="189" t="str">
        <f t="shared" si="572"/>
        <v/>
      </c>
      <c r="FY202" s="189" t="str">
        <f t="shared" si="573"/>
        <v/>
      </c>
      <c r="FZ202" s="189" t="str">
        <f t="shared" si="574"/>
        <v/>
      </c>
      <c r="GA202" s="189" t="str">
        <f t="shared" si="575"/>
        <v/>
      </c>
      <c r="GB202" s="189" t="str">
        <f t="shared" si="702"/>
        <v/>
      </c>
      <c r="GC202" s="206" t="str">
        <f t="shared" si="576"/>
        <v/>
      </c>
      <c r="GD202" s="205" t="str">
        <f t="shared" si="703"/>
        <v/>
      </c>
      <c r="GE202" s="189" t="str">
        <f t="shared" si="577"/>
        <v/>
      </c>
      <c r="GF202" s="189" t="str">
        <f t="shared" si="578"/>
        <v/>
      </c>
      <c r="GG202" s="189" t="str">
        <f t="shared" si="579"/>
        <v/>
      </c>
      <c r="GH202" s="189" t="str">
        <f t="shared" si="580"/>
        <v/>
      </c>
      <c r="GI202" s="189" t="str">
        <f t="shared" si="704"/>
        <v/>
      </c>
      <c r="GJ202" s="206" t="str">
        <f t="shared" si="581"/>
        <v/>
      </c>
      <c r="GK202" s="205" t="str">
        <f t="shared" si="705"/>
        <v/>
      </c>
      <c r="GL202" s="189" t="str">
        <f t="shared" si="582"/>
        <v/>
      </c>
      <c r="GM202" s="189" t="str">
        <f t="shared" si="583"/>
        <v/>
      </c>
      <c r="GN202" s="189" t="str">
        <f t="shared" si="584"/>
        <v/>
      </c>
      <c r="GO202" s="189" t="str">
        <f t="shared" si="585"/>
        <v/>
      </c>
      <c r="GP202" s="189" t="str">
        <f t="shared" si="706"/>
        <v/>
      </c>
      <c r="GQ202" s="206" t="str">
        <f t="shared" si="586"/>
        <v/>
      </c>
      <c r="GR202" s="189" t="str">
        <f t="shared" si="707"/>
        <v/>
      </c>
      <c r="GS202" s="189" t="str">
        <f t="shared" si="708"/>
        <v/>
      </c>
      <c r="GT202" s="207" t="str">
        <f t="shared" si="709"/>
        <v xml:space="preserve">    </v>
      </c>
      <c r="GU202" s="207" t="str">
        <f t="shared" si="710"/>
        <v xml:space="preserve">    </v>
      </c>
      <c r="GV202" s="207" t="str">
        <f t="shared" si="711"/>
        <v xml:space="preserve">    </v>
      </c>
      <c r="GW202" s="207" t="str">
        <f t="shared" si="712"/>
        <v xml:space="preserve">       </v>
      </c>
      <c r="GX202" s="598" t="str">
        <f t="shared" si="713"/>
        <v xml:space="preserve">     </v>
      </c>
      <c r="GY202" s="208" t="str">
        <f t="shared" si="587"/>
        <v/>
      </c>
      <c r="GZ202" s="606" t="str">
        <f>IF(AND(Q202="",AE202="",AZ202="",BW202="",CT202=""),"",IF(AND('Master Sheet'!$D$19="YES",'Marks Entry'!$BA$1=1),SUM(Q202,AE202,AZ202,BW202,DT202),SUM(Q202,AE202,AZ202,BW202,CT202)))</f>
        <v/>
      </c>
      <c r="HA202" s="209" t="str">
        <f>IF(GZ202="","",IF(AND('Master Sheet'!$D$19="YES",'Marks Entry'!$BA$1=1),GZ202/((900)-DC202)*100,GZ202/((1000)-DC202)*100))</f>
        <v/>
      </c>
      <c r="HB202" s="611" t="str">
        <f t="shared" si="714"/>
        <v/>
      </c>
      <c r="HC202" s="609" t="str">
        <f t="shared" si="715"/>
        <v/>
      </c>
      <c r="HD202" s="610" t="str">
        <f t="shared" si="716"/>
        <v/>
      </c>
      <c r="HE202" s="210" t="str">
        <f>IFERROR(IF(OR(GY202="SUPPLEMENTARY",GY202="RE-EXAM"),'Supp. Result Entry'!AS201,""),"")</f>
        <v/>
      </c>
      <c r="HF202" s="613" t="str">
        <f t="shared" si="717"/>
        <v/>
      </c>
      <c r="HG202" s="598" t="str">
        <f t="shared" si="718"/>
        <v/>
      </c>
      <c r="HH202" s="598" t="str">
        <f>IF(AND(HE202="",HF202="",HG202=""),"",IF(OR(GY202="SUPPLEMENTARY",GY202="RE-EXAM"),'Supp. Result Entry'!AS201,GY202))</f>
        <v/>
      </c>
      <c r="HI202" s="180"/>
      <c r="HY202" s="212" t="str">
        <f>IF('Supp. Result Entry'!U201="","",'Supp. Result Entry'!$U$6)</f>
        <v/>
      </c>
      <c r="HZ202" s="213" t="str">
        <f>IF('Supp. Result Entry'!X201="","",'Supp. Result Entry'!$X$6)</f>
        <v/>
      </c>
      <c r="IA202" s="213" t="str">
        <f>IF('Supp. Result Entry'!AA201="","",'Supp. Result Entry'!$AA$6)</f>
        <v/>
      </c>
      <c r="IB202" s="213" t="str">
        <f>IF('Supp. Result Entry'!AD201="","",'Supp. Result Entry'!$AD$6)</f>
        <v/>
      </c>
      <c r="IC202" s="213" t="str">
        <f>IF('Supp. Result Entry'!AG201="","",'Supp. Result Entry'!$AG$6)</f>
        <v/>
      </c>
      <c r="ID202" s="213" t="str">
        <f>IF('Supp. Result Entry'!AJ201="","",'Supp. Result Entry'!$AJ$6)</f>
        <v/>
      </c>
      <c r="IE202" s="213" t="str">
        <f>IF('Supp. Result Entry'!V201="","",'Supp. Result Entry'!V201)</f>
        <v/>
      </c>
      <c r="IF202" s="213" t="str">
        <f>IF('Supp. Result Entry'!Y201="","",'Supp. Result Entry'!Y201)</f>
        <v/>
      </c>
      <c r="IG202" s="213" t="str">
        <f>IF('Supp. Result Entry'!AB201="","",'Supp. Result Entry'!AB201)</f>
        <v/>
      </c>
      <c r="IH202" s="213" t="str">
        <f>IF('Supp. Result Entry'!AE201="","",'Supp. Result Entry'!AE201)</f>
        <v/>
      </c>
      <c r="II202" s="213" t="str">
        <f>IF('Supp. Result Entry'!AH201="","",'Supp. Result Entry'!AH201)</f>
        <v/>
      </c>
      <c r="IJ202" s="213" t="str">
        <f>IF('Supp. Result Entry'!AK201="","",'Supp. Result Entry'!AK201)</f>
        <v/>
      </c>
      <c r="IK202" s="213" t="str">
        <f>IF('Supp. Result Entry'!W201="","",'Supp. Result Entry'!W201)</f>
        <v/>
      </c>
      <c r="IL202" s="213" t="str">
        <f>IF('Supp. Result Entry'!Z201="","",'Supp. Result Entry'!Z201)</f>
        <v/>
      </c>
      <c r="IM202" s="213" t="str">
        <f>IF('Supp. Result Entry'!AC201="","",'Supp. Result Entry'!AC201)</f>
        <v/>
      </c>
      <c r="IN202" s="213" t="str">
        <f>IF('Supp. Result Entry'!AF201="","",'Supp. Result Entry'!AF201)</f>
        <v/>
      </c>
      <c r="IO202" s="213" t="str">
        <f>IF('Supp. Result Entry'!AI201="","",'Supp. Result Entry'!AI201)</f>
        <v/>
      </c>
      <c r="IP202" s="213" t="str">
        <f>IF('Supp. Result Entry'!AL201="","",'Supp. Result Entry'!AL201)</f>
        <v/>
      </c>
      <c r="IQ202" s="213">
        <f>COUNTIF('Supp. Result Entry'!K201:Q201,"S")</f>
        <v>0</v>
      </c>
      <c r="IR202" s="213">
        <f t="shared" si="719"/>
        <v>0</v>
      </c>
      <c r="IS202" s="213">
        <f t="shared" si="720"/>
        <v>0</v>
      </c>
      <c r="IT202" s="213" t="str">
        <f t="shared" si="588"/>
        <v/>
      </c>
      <c r="IU202" s="213" t="str">
        <f t="shared" si="589"/>
        <v/>
      </c>
      <c r="IV202" s="213" t="str">
        <f t="shared" si="590"/>
        <v/>
      </c>
      <c r="IW202" s="213" t="str">
        <f t="shared" si="591"/>
        <v/>
      </c>
      <c r="IX202" s="213" t="str">
        <f t="shared" si="592"/>
        <v/>
      </c>
      <c r="IY202" s="213" t="str">
        <f t="shared" si="721"/>
        <v/>
      </c>
      <c r="IZ202" s="213" t="str">
        <f t="shared" si="722"/>
        <v/>
      </c>
      <c r="JA202" s="213" t="str">
        <f t="shared" si="593"/>
        <v/>
      </c>
      <c r="JB202" s="211" t="str">
        <f t="shared" si="723"/>
        <v/>
      </c>
    </row>
    <row r="203" spans="1:262" s="211" customFormat="1" ht="21" customHeight="1">
      <c r="A203" s="184">
        <v>196</v>
      </c>
      <c r="B203" s="185" t="str">
        <f>IF('Marks Entry'!B203="","",'Marks Entry'!B203)</f>
        <v/>
      </c>
      <c r="C203" s="186" t="str">
        <f>IF('Marks Entry'!D203="","",'Marks Entry'!D203)</f>
        <v/>
      </c>
      <c r="D203" s="187" t="str">
        <f>IF('Marks Entry'!E203="","",'Marks Entry'!E203)</f>
        <v/>
      </c>
      <c r="E203" s="188" t="str">
        <f>IF('Marks Entry'!F203="","",'Marks Entry'!F203)</f>
        <v/>
      </c>
      <c r="F203" s="188" t="str">
        <f>IF('Marks Entry'!G203="","",'Marks Entry'!G203)</f>
        <v/>
      </c>
      <c r="G203" s="188" t="str">
        <f>IF('Marks Entry'!H203="","",'Marks Entry'!H203)</f>
        <v/>
      </c>
      <c r="H203" s="189" t="str">
        <f>IF('Marks Entry'!I203="","",'Marks Entry'!I203)</f>
        <v/>
      </c>
      <c r="I203" s="190" t="str">
        <f>IF('Marks Entry'!J203="","",'Marks Entry'!J203)</f>
        <v/>
      </c>
      <c r="J203" s="545" t="str">
        <f>IF('Marks Entry'!K203="","",'Marks Entry'!K203)</f>
        <v/>
      </c>
      <c r="K203" s="545" t="str">
        <f>IF('Marks Entry'!L203="","",'Marks Entry'!L203)</f>
        <v/>
      </c>
      <c r="L203" s="545" t="str">
        <f>IF('Marks Entry'!M203="","",'Marks Entry'!M203)</f>
        <v/>
      </c>
      <c r="M203" s="546" t="str">
        <f t="shared" si="594"/>
        <v/>
      </c>
      <c r="N203" s="545" t="str">
        <f>IF('Marks Entry'!N203="","",'Marks Entry'!N203)</f>
        <v/>
      </c>
      <c r="O203" s="546" t="str">
        <f t="shared" si="595"/>
        <v/>
      </c>
      <c r="P203" s="545" t="str">
        <f>IF('Marks Entry'!O203="","",'Marks Entry'!O203)</f>
        <v/>
      </c>
      <c r="Q203" s="547" t="str">
        <f t="shared" si="596"/>
        <v/>
      </c>
      <c r="R203" s="153">
        <f t="shared" si="597"/>
        <v>0</v>
      </c>
      <c r="S203" s="153">
        <f t="shared" si="598"/>
        <v>0</v>
      </c>
      <c r="T203" s="154" t="str">
        <f t="shared" si="599"/>
        <v/>
      </c>
      <c r="U203" s="153" t="str">
        <f t="shared" si="600"/>
        <v/>
      </c>
      <c r="V203" s="153" t="str">
        <f t="shared" si="601"/>
        <v/>
      </c>
      <c r="W203" s="153" t="str">
        <f t="shared" si="602"/>
        <v/>
      </c>
      <c r="X203" s="545" t="str">
        <f>IF('Marks Entry'!P203="","",'Marks Entry'!P203)</f>
        <v/>
      </c>
      <c r="Y203" s="545" t="str">
        <f>IF('Marks Entry'!Q203="","",'Marks Entry'!Q203)</f>
        <v/>
      </c>
      <c r="Z203" s="545" t="str">
        <f>IF('Marks Entry'!R203="","",'Marks Entry'!R203)</f>
        <v/>
      </c>
      <c r="AA203" s="546" t="str">
        <f t="shared" si="603"/>
        <v/>
      </c>
      <c r="AB203" s="545" t="str">
        <f>IF('Marks Entry'!S203="","",'Marks Entry'!S203)</f>
        <v/>
      </c>
      <c r="AC203" s="546" t="str">
        <f t="shared" si="604"/>
        <v/>
      </c>
      <c r="AD203" s="545" t="str">
        <f>IF('Marks Entry'!T203="","",'Marks Entry'!T203)</f>
        <v/>
      </c>
      <c r="AE203" s="547" t="str">
        <f t="shared" si="605"/>
        <v/>
      </c>
      <c r="AF203" s="153">
        <f t="shared" si="606"/>
        <v>0</v>
      </c>
      <c r="AG203" s="153">
        <f t="shared" si="607"/>
        <v>0</v>
      </c>
      <c r="AH203" s="154" t="str">
        <f t="shared" si="608"/>
        <v/>
      </c>
      <c r="AI203" s="153" t="str">
        <f t="shared" si="609"/>
        <v/>
      </c>
      <c r="AJ203" s="153" t="str">
        <f t="shared" si="610"/>
        <v/>
      </c>
      <c r="AK203" s="153" t="str">
        <f t="shared" si="611"/>
        <v/>
      </c>
      <c r="AL203" s="573" t="str">
        <f>IF('Marks Entry'!U203="","",'Marks Entry'!U203)</f>
        <v/>
      </c>
      <c r="AM203" s="573" t="str">
        <f>IF('Marks Entry'!V203="","",'Marks Entry'!V203)</f>
        <v/>
      </c>
      <c r="AN203" s="573" t="str">
        <f>IF('Marks Entry'!W203="","",'Marks Entry'!W203)</f>
        <v/>
      </c>
      <c r="AO203" s="573" t="str">
        <f>IF('Marks Entry'!X203="","",'Marks Entry'!X203)</f>
        <v/>
      </c>
      <c r="AP203" s="572" t="str">
        <f t="shared" si="612"/>
        <v/>
      </c>
      <c r="AQ203" s="573" t="str">
        <f>IF('Marks Entry'!Y203="","",'Marks Entry'!Y203)</f>
        <v/>
      </c>
      <c r="AR203" s="573" t="str">
        <f>IF('Marks Entry'!Z203="","",'Marks Entry'!Z203)</f>
        <v/>
      </c>
      <c r="AS203" s="572" t="str">
        <f t="shared" si="613"/>
        <v/>
      </c>
      <c r="AT203" s="572" t="str">
        <f t="shared" si="614"/>
        <v/>
      </c>
      <c r="AU203" s="573" t="str">
        <f>IF('Marks Entry'!AA203="","",'Marks Entry'!AA203)</f>
        <v/>
      </c>
      <c r="AV203" s="573" t="str">
        <f>IF('Marks Entry'!AB203="","",'Marks Entry'!AB203)</f>
        <v/>
      </c>
      <c r="AW203" s="572" t="str">
        <f t="shared" si="615"/>
        <v/>
      </c>
      <c r="AX203" s="157" t="str">
        <f t="shared" si="616"/>
        <v/>
      </c>
      <c r="AY203" s="157" t="str">
        <f t="shared" si="617"/>
        <v/>
      </c>
      <c r="AZ203" s="192" t="str">
        <f t="shared" si="618"/>
        <v/>
      </c>
      <c r="BA203" s="153">
        <f t="shared" si="619"/>
        <v>0</v>
      </c>
      <c r="BB203" s="154">
        <f t="shared" si="620"/>
        <v>0</v>
      </c>
      <c r="BC203" s="154" t="str">
        <f t="shared" si="621"/>
        <v/>
      </c>
      <c r="BD203" s="154" t="str">
        <f t="shared" si="622"/>
        <v/>
      </c>
      <c r="BE203" s="154" t="str">
        <f t="shared" si="623"/>
        <v/>
      </c>
      <c r="BF203" s="153" t="str">
        <f t="shared" si="624"/>
        <v/>
      </c>
      <c r="BG203" s="154" t="str">
        <f t="shared" si="625"/>
        <v/>
      </c>
      <c r="BH203" s="153" t="str">
        <f t="shared" si="626"/>
        <v/>
      </c>
      <c r="BI203" s="580" t="str">
        <f>IF('Marks Entry'!AC203="","",'Marks Entry'!AC203)</f>
        <v/>
      </c>
      <c r="BJ203" s="580" t="str">
        <f>IF('Marks Entry'!AD203="","",'Marks Entry'!AD203)</f>
        <v/>
      </c>
      <c r="BK203" s="580" t="str">
        <f>IF('Marks Entry'!AE203="","",'Marks Entry'!AE203)</f>
        <v/>
      </c>
      <c r="BL203" s="580" t="str">
        <f>IF('Marks Entry'!AF203="","",'Marks Entry'!AF203)</f>
        <v/>
      </c>
      <c r="BM203" s="581" t="str">
        <f t="shared" si="627"/>
        <v/>
      </c>
      <c r="BN203" s="580" t="str">
        <f>IF('Marks Entry'!AG203="","",'Marks Entry'!AG203)</f>
        <v/>
      </c>
      <c r="BO203" s="580" t="str">
        <f>IF('Marks Entry'!AH203="","",'Marks Entry'!AH203)</f>
        <v/>
      </c>
      <c r="BP203" s="581" t="str">
        <f t="shared" si="628"/>
        <v/>
      </c>
      <c r="BQ203" s="581" t="str">
        <f t="shared" si="629"/>
        <v/>
      </c>
      <c r="BR203" s="580" t="str">
        <f>IF('Marks Entry'!AI203="","",'Marks Entry'!AI203)</f>
        <v/>
      </c>
      <c r="BS203" s="580" t="str">
        <f>IF('Marks Entry'!AJ203="","",'Marks Entry'!AJ203)</f>
        <v/>
      </c>
      <c r="BT203" s="581" t="str">
        <f t="shared" si="630"/>
        <v/>
      </c>
      <c r="BU203" s="157" t="str">
        <f t="shared" si="631"/>
        <v/>
      </c>
      <c r="BV203" s="157" t="str">
        <f t="shared" si="632"/>
        <v/>
      </c>
      <c r="BW203" s="192" t="str">
        <f t="shared" si="633"/>
        <v/>
      </c>
      <c r="BX203" s="153">
        <f t="shared" si="634"/>
        <v>0</v>
      </c>
      <c r="BY203" s="154">
        <f t="shared" si="635"/>
        <v>0</v>
      </c>
      <c r="BZ203" s="154" t="str">
        <f t="shared" si="636"/>
        <v/>
      </c>
      <c r="CA203" s="154" t="str">
        <f t="shared" si="637"/>
        <v/>
      </c>
      <c r="CB203" s="154" t="str">
        <f t="shared" si="638"/>
        <v/>
      </c>
      <c r="CC203" s="153" t="str">
        <f t="shared" si="639"/>
        <v/>
      </c>
      <c r="CD203" s="154" t="str">
        <f t="shared" si="640"/>
        <v/>
      </c>
      <c r="CE203" s="153" t="str">
        <f t="shared" si="641"/>
        <v/>
      </c>
      <c r="CF203" s="580" t="str">
        <f>IF('Marks Entry'!AK203="","",'Marks Entry'!AK203)</f>
        <v/>
      </c>
      <c r="CG203" s="580" t="str">
        <f>IF('Marks Entry'!AL203="","",'Marks Entry'!AL203)</f>
        <v/>
      </c>
      <c r="CH203" s="580" t="str">
        <f>IF('Marks Entry'!AM203="","",'Marks Entry'!AM203)</f>
        <v/>
      </c>
      <c r="CI203" s="580" t="str">
        <f>IF('Marks Entry'!AN203="","",'Marks Entry'!AN203)</f>
        <v/>
      </c>
      <c r="CJ203" s="581" t="str">
        <f t="shared" si="642"/>
        <v/>
      </c>
      <c r="CK203" s="580" t="str">
        <f>IF('Marks Entry'!AO203="","",'Marks Entry'!AO203)</f>
        <v/>
      </c>
      <c r="CL203" s="580" t="str">
        <f>IF('Marks Entry'!AP203="","",'Marks Entry'!AP203)</f>
        <v/>
      </c>
      <c r="CM203" s="581" t="str">
        <f t="shared" si="643"/>
        <v/>
      </c>
      <c r="CN203" s="581" t="str">
        <f t="shared" si="644"/>
        <v/>
      </c>
      <c r="CO203" s="580" t="str">
        <f>IF('Marks Entry'!AQ203="","",'Marks Entry'!AQ203)</f>
        <v/>
      </c>
      <c r="CP203" s="580" t="str">
        <f>IF('Marks Entry'!AR203="","",'Marks Entry'!AR203)</f>
        <v/>
      </c>
      <c r="CQ203" s="581" t="str">
        <f t="shared" si="645"/>
        <v/>
      </c>
      <c r="CR203" s="157" t="str">
        <f t="shared" si="646"/>
        <v/>
      </c>
      <c r="CS203" s="157" t="str">
        <f t="shared" si="647"/>
        <v/>
      </c>
      <c r="CT203" s="192" t="str">
        <f t="shared" si="648"/>
        <v/>
      </c>
      <c r="CU203" s="153">
        <f t="shared" si="649"/>
        <v>0</v>
      </c>
      <c r="CV203" s="154">
        <f t="shared" si="650"/>
        <v>0</v>
      </c>
      <c r="CW203" s="154" t="str">
        <f t="shared" si="651"/>
        <v/>
      </c>
      <c r="CX203" s="154" t="str">
        <f t="shared" si="652"/>
        <v/>
      </c>
      <c r="CY203" s="154" t="str">
        <f t="shared" si="653"/>
        <v/>
      </c>
      <c r="CZ203" s="153" t="str">
        <f t="shared" si="654"/>
        <v/>
      </c>
      <c r="DA203" s="154" t="str">
        <f t="shared" si="655"/>
        <v/>
      </c>
      <c r="DB203" s="153" t="str">
        <f t="shared" si="656"/>
        <v/>
      </c>
      <c r="DC203" s="154">
        <f t="shared" si="657"/>
        <v>0</v>
      </c>
      <c r="DD203" s="826" t="str">
        <f>IF('Marks Entry'!AS203="","",IF(OR('Master Sheet'!$D$19="YES",'Marks Entry'!$BA$1=1),'Marks Entry'!AS203,""))</f>
        <v/>
      </c>
      <c r="DE203" s="826" t="str">
        <f>IF('Marks Entry'!AT203="","",IF(OR('Master Sheet'!$D$19="YES",'Marks Entry'!$BA$1=1),'Marks Entry'!AT203,""))</f>
        <v/>
      </c>
      <c r="DF203" s="826" t="str">
        <f>IF('Marks Entry'!AU203="","",IF(OR('Master Sheet'!$D$19="YES",'Marks Entry'!$BA$1=1),'Marks Entry'!AU203,""))</f>
        <v/>
      </c>
      <c r="DG203" s="826" t="str">
        <f>IF('Marks Entry'!AV203="","",IF(OR('Master Sheet'!$D$19="YES",'Marks Entry'!$BA$1=1),'Marks Entry'!AV203,""))</f>
        <v/>
      </c>
      <c r="DH203" s="827" t="str">
        <f t="shared" si="658"/>
        <v/>
      </c>
      <c r="DI203" s="826" t="str">
        <f>IF('Marks Entry'!AW203="","",IF(OR('Master Sheet'!$D$19="YES",'Marks Entry'!$BA$1=1),'Marks Entry'!AW203,""))</f>
        <v/>
      </c>
      <c r="DJ203" s="826" t="str">
        <f>IF('Marks Entry'!AX203="","",IF(OR('Master Sheet'!$D$19="YES",'Marks Entry'!$BA$1=1),'Marks Entry'!AX203,""))</f>
        <v/>
      </c>
      <c r="DK203" s="827" t="str">
        <f t="shared" si="659"/>
        <v/>
      </c>
      <c r="DL203" s="827" t="str">
        <f t="shared" si="660"/>
        <v/>
      </c>
      <c r="DM203" s="826" t="str">
        <f>IF('Marks Entry'!AY203="","",IF(OR('Master Sheet'!$D$19="YES",'Marks Entry'!$BA$1=1),'Marks Entry'!AY203,""))</f>
        <v/>
      </c>
      <c r="DN203" s="826" t="str">
        <f>IF('Marks Entry'!AZ203="","",IF(OR('Master Sheet'!$D$19="YES",'Marks Entry'!$BA$1=1),'Marks Entry'!AZ203,""))</f>
        <v/>
      </c>
      <c r="DO203" s="826" t="str">
        <f>IF('Marks Entry'!BA203="","",IF(OR('Master Sheet'!$D$19="YES",'Marks Entry'!$BA$1=1),'Marks Entry'!BA203,""))</f>
        <v/>
      </c>
      <c r="DP203" s="827" t="str">
        <f t="shared" si="661"/>
        <v/>
      </c>
      <c r="DQ203" s="157" t="str">
        <f t="shared" si="662"/>
        <v/>
      </c>
      <c r="DR203" s="157" t="str">
        <f t="shared" si="663"/>
        <v/>
      </c>
      <c r="DS203" s="157" t="str">
        <f t="shared" si="664"/>
        <v/>
      </c>
      <c r="DT203" s="192" t="str">
        <f t="shared" si="665"/>
        <v/>
      </c>
      <c r="DU203" s="153">
        <f t="shared" si="666"/>
        <v>0</v>
      </c>
      <c r="DV203" s="154" t="e">
        <f t="shared" si="667"/>
        <v>#VALUE!</v>
      </c>
      <c r="DW203" s="154" t="str">
        <f t="shared" si="668"/>
        <v/>
      </c>
      <c r="DX203" s="154" t="str">
        <f>IF(OR($B203="NSO",$B203=0,DS203=""),"",IF(AND(DJ203="",DO203=""),"",IF('Master Sheet'!$D$19="YES",$DO$6-COUNTIF(DO203,"ML")*DO$6,DS$6-(COUNTIF(DJ203,"ML")*DJ$6)-(COUNTIF(DO203,"ML")*DO$6))))</f>
        <v/>
      </c>
      <c r="DY203" s="154" t="str">
        <f>IF(OR($B203="NSO",$B203=0),"",IF(AND(DH203="",DI203="",DM203=""),"",IF(AND('Master Sheet'!$D$19="YES",'Marks Entry'!$BA$1=1),100,IF(AND(DJ203="",DO203=""),SUM(($DQ$7+$DR$7)-(DU203+DV203)),SUM(($DQ$6+$DR$6)-(DU203+DV203))))))</f>
        <v/>
      </c>
      <c r="DZ203" s="153" t="str">
        <f t="shared" si="669"/>
        <v/>
      </c>
      <c r="EA203" s="154" t="str">
        <f t="shared" si="670"/>
        <v/>
      </c>
      <c r="EB203" s="153" t="str">
        <f t="shared" si="671"/>
        <v/>
      </c>
      <c r="EC203" s="584" t="str">
        <f>IF('Marks Entry'!BB203="","",'Marks Entry'!BB203)</f>
        <v/>
      </c>
      <c r="ED203" s="584" t="str">
        <f>IF('Marks Entry'!BC203="","",'Marks Entry'!BC203)</f>
        <v/>
      </c>
      <c r="EE203" s="584" t="str">
        <f>IF('Marks Entry'!BD203="","",'Marks Entry'!BD203)</f>
        <v/>
      </c>
      <c r="EF203" s="590" t="str">
        <f t="shared" si="672"/>
        <v/>
      </c>
      <c r="EG203" s="595">
        <f t="shared" si="673"/>
        <v>0</v>
      </c>
      <c r="EH203" s="595">
        <f t="shared" si="674"/>
        <v>0</v>
      </c>
      <c r="EI203" s="193" t="str">
        <f t="shared" si="675"/>
        <v/>
      </c>
      <c r="EJ203" s="595" t="str">
        <f t="shared" si="676"/>
        <v/>
      </c>
      <c r="EK203" s="595" t="str">
        <f t="shared" si="677"/>
        <v/>
      </c>
      <c r="EL203" s="194" t="str">
        <f t="shared" si="678"/>
        <v/>
      </c>
      <c r="EM203" s="194" t="str">
        <f t="shared" si="679"/>
        <v/>
      </c>
      <c r="EN203" s="194" t="str">
        <f t="shared" si="680"/>
        <v/>
      </c>
      <c r="EO203" s="194" t="str">
        <f t="shared" si="681"/>
        <v/>
      </c>
      <c r="EP203" s="194" t="str">
        <f t="shared" si="682"/>
        <v/>
      </c>
      <c r="EQ203" s="194" t="str">
        <f t="shared" si="683"/>
        <v/>
      </c>
      <c r="ER203" s="195">
        <f t="shared" si="684"/>
        <v>0</v>
      </c>
      <c r="ES203" s="195">
        <f t="shared" si="685"/>
        <v>0</v>
      </c>
      <c r="ET203" s="195">
        <f t="shared" si="686"/>
        <v>0</v>
      </c>
      <c r="EU203" s="195">
        <f t="shared" si="687"/>
        <v>0</v>
      </c>
      <c r="EV203" s="195">
        <f t="shared" si="688"/>
        <v>0</v>
      </c>
      <c r="EW203" s="195" t="str">
        <f t="shared" si="689"/>
        <v/>
      </c>
      <c r="EX203" s="196" t="str">
        <f t="shared" si="690"/>
        <v/>
      </c>
      <c r="EY203" s="197" t="str">
        <f>IF('Marks Entry'!BE203="","",'Marks Entry'!BE203)</f>
        <v/>
      </c>
      <c r="EZ203" s="197" t="str">
        <f>IF('Marks Entry'!BF203="","",'Marks Entry'!BF203)</f>
        <v/>
      </c>
      <c r="FA203" s="197" t="str">
        <f>IF('Marks Entry'!BG203="","",'Marks Entry'!BG203)</f>
        <v/>
      </c>
      <c r="FB203" s="596" t="str">
        <f t="shared" si="691"/>
        <v/>
      </c>
      <c r="FC203" s="197" t="str">
        <f>IF('Marks Entry'!BH203="","",'Marks Entry'!BH203)</f>
        <v/>
      </c>
      <c r="FD203" s="197" t="str">
        <f>IF('Marks Entry'!BI203="","",'Marks Entry'!BI203)</f>
        <v/>
      </c>
      <c r="FE203" s="198" t="str">
        <f t="shared" si="692"/>
        <v/>
      </c>
      <c r="FF203" s="199" t="str">
        <f t="shared" si="693"/>
        <v/>
      </c>
      <c r="FG203" s="200" t="str">
        <f>IF(AND(E203=""),"",IF('Student DATA Entry'!L199="","",'Student DATA Entry'!L199))</f>
        <v/>
      </c>
      <c r="FH203" s="201" t="str">
        <f>IF(AND(E203=""),"",IF('Student DATA Entry'!M199="","",'Student DATA Entry'!M199))</f>
        <v/>
      </c>
      <c r="FI203" s="202" t="str">
        <f t="shared" si="694"/>
        <v/>
      </c>
      <c r="FJ203" s="189" t="str">
        <f t="shared" si="695"/>
        <v/>
      </c>
      <c r="FK203" s="189" t="str">
        <f t="shared" si="696"/>
        <v/>
      </c>
      <c r="FL203" s="203" t="str">
        <f t="shared" si="565"/>
        <v/>
      </c>
      <c r="FM203" s="189" t="str">
        <f t="shared" si="697"/>
        <v/>
      </c>
      <c r="FN203" s="204" t="str">
        <f t="shared" si="698"/>
        <v/>
      </c>
      <c r="FO203" s="203" t="str">
        <f t="shared" si="566"/>
        <v/>
      </c>
      <c r="FP203" s="205" t="str">
        <f t="shared" si="699"/>
        <v/>
      </c>
      <c r="FQ203" s="189" t="str">
        <f t="shared" si="567"/>
        <v/>
      </c>
      <c r="FR203" s="189" t="str">
        <f t="shared" si="568"/>
        <v/>
      </c>
      <c r="FS203" s="189" t="str">
        <f t="shared" si="569"/>
        <v/>
      </c>
      <c r="FT203" s="189" t="str">
        <f t="shared" si="570"/>
        <v/>
      </c>
      <c r="FU203" s="189" t="str">
        <f t="shared" si="700"/>
        <v/>
      </c>
      <c r="FV203" s="206" t="str">
        <f t="shared" si="571"/>
        <v/>
      </c>
      <c r="FW203" s="205" t="str">
        <f t="shared" si="701"/>
        <v/>
      </c>
      <c r="FX203" s="189" t="str">
        <f t="shared" si="572"/>
        <v/>
      </c>
      <c r="FY203" s="189" t="str">
        <f t="shared" si="573"/>
        <v/>
      </c>
      <c r="FZ203" s="189" t="str">
        <f t="shared" si="574"/>
        <v/>
      </c>
      <c r="GA203" s="189" t="str">
        <f t="shared" si="575"/>
        <v/>
      </c>
      <c r="GB203" s="189" t="str">
        <f t="shared" si="702"/>
        <v/>
      </c>
      <c r="GC203" s="206" t="str">
        <f t="shared" si="576"/>
        <v/>
      </c>
      <c r="GD203" s="205" t="str">
        <f t="shared" si="703"/>
        <v/>
      </c>
      <c r="GE203" s="189" t="str">
        <f t="shared" si="577"/>
        <v/>
      </c>
      <c r="GF203" s="189" t="str">
        <f t="shared" si="578"/>
        <v/>
      </c>
      <c r="GG203" s="189" t="str">
        <f t="shared" si="579"/>
        <v/>
      </c>
      <c r="GH203" s="189" t="str">
        <f t="shared" si="580"/>
        <v/>
      </c>
      <c r="GI203" s="189" t="str">
        <f t="shared" si="704"/>
        <v/>
      </c>
      <c r="GJ203" s="206" t="str">
        <f t="shared" si="581"/>
        <v/>
      </c>
      <c r="GK203" s="205" t="str">
        <f t="shared" si="705"/>
        <v/>
      </c>
      <c r="GL203" s="189" t="str">
        <f t="shared" si="582"/>
        <v/>
      </c>
      <c r="GM203" s="189" t="str">
        <f t="shared" si="583"/>
        <v/>
      </c>
      <c r="GN203" s="189" t="str">
        <f t="shared" si="584"/>
        <v/>
      </c>
      <c r="GO203" s="189" t="str">
        <f t="shared" si="585"/>
        <v/>
      </c>
      <c r="GP203" s="189" t="str">
        <f t="shared" si="706"/>
        <v/>
      </c>
      <c r="GQ203" s="206" t="str">
        <f t="shared" si="586"/>
        <v/>
      </c>
      <c r="GR203" s="189" t="str">
        <f t="shared" si="707"/>
        <v/>
      </c>
      <c r="GS203" s="189" t="str">
        <f t="shared" si="708"/>
        <v/>
      </c>
      <c r="GT203" s="207" t="str">
        <f t="shared" si="709"/>
        <v xml:space="preserve">    </v>
      </c>
      <c r="GU203" s="207" t="str">
        <f t="shared" si="710"/>
        <v xml:space="preserve">    </v>
      </c>
      <c r="GV203" s="207" t="str">
        <f t="shared" si="711"/>
        <v xml:space="preserve">    </v>
      </c>
      <c r="GW203" s="207" t="str">
        <f t="shared" si="712"/>
        <v xml:space="preserve">       </v>
      </c>
      <c r="GX203" s="598" t="str">
        <f t="shared" si="713"/>
        <v xml:space="preserve">     </v>
      </c>
      <c r="GY203" s="208" t="str">
        <f t="shared" si="587"/>
        <v/>
      </c>
      <c r="GZ203" s="606" t="str">
        <f>IF(AND(Q203="",AE203="",AZ203="",BW203="",CT203=""),"",IF(AND('Master Sheet'!$D$19="YES",'Marks Entry'!$BA$1=1),SUM(Q203,AE203,AZ203,BW203,DT203),SUM(Q203,AE203,AZ203,BW203,CT203)))</f>
        <v/>
      </c>
      <c r="HA203" s="209" t="str">
        <f>IF(GZ203="","",IF(AND('Master Sheet'!$D$19="YES",'Marks Entry'!$BA$1=1),GZ203/((900)-DC203)*100,GZ203/((1000)-DC203)*100))</f>
        <v/>
      </c>
      <c r="HB203" s="611" t="str">
        <f t="shared" si="714"/>
        <v/>
      </c>
      <c r="HC203" s="609" t="str">
        <f t="shared" si="715"/>
        <v/>
      </c>
      <c r="HD203" s="610" t="str">
        <f t="shared" si="716"/>
        <v/>
      </c>
      <c r="HE203" s="210" t="str">
        <f>IFERROR(IF(OR(GY203="SUPPLEMENTARY",GY203="RE-EXAM"),'Supp. Result Entry'!AS202,""),"")</f>
        <v/>
      </c>
      <c r="HF203" s="613" t="str">
        <f t="shared" si="717"/>
        <v/>
      </c>
      <c r="HG203" s="598" t="str">
        <f t="shared" si="718"/>
        <v/>
      </c>
      <c r="HH203" s="598" t="str">
        <f>IF(AND(HE203="",HF203="",HG203=""),"",IF(OR(GY203="SUPPLEMENTARY",GY203="RE-EXAM"),'Supp. Result Entry'!AS202,GY203))</f>
        <v/>
      </c>
      <c r="HI203" s="180"/>
      <c r="HY203" s="212" t="str">
        <f>IF('Supp. Result Entry'!U202="","",'Supp. Result Entry'!$U$6)</f>
        <v/>
      </c>
      <c r="HZ203" s="213" t="str">
        <f>IF('Supp. Result Entry'!X202="","",'Supp. Result Entry'!$X$6)</f>
        <v/>
      </c>
      <c r="IA203" s="213" t="str">
        <f>IF('Supp. Result Entry'!AA202="","",'Supp. Result Entry'!$AA$6)</f>
        <v/>
      </c>
      <c r="IB203" s="213" t="str">
        <f>IF('Supp. Result Entry'!AD202="","",'Supp. Result Entry'!$AD$6)</f>
        <v/>
      </c>
      <c r="IC203" s="213" t="str">
        <f>IF('Supp. Result Entry'!AG202="","",'Supp. Result Entry'!$AG$6)</f>
        <v/>
      </c>
      <c r="ID203" s="213" t="str">
        <f>IF('Supp. Result Entry'!AJ202="","",'Supp. Result Entry'!$AJ$6)</f>
        <v/>
      </c>
      <c r="IE203" s="213" t="str">
        <f>IF('Supp. Result Entry'!V202="","",'Supp. Result Entry'!V202)</f>
        <v/>
      </c>
      <c r="IF203" s="213" t="str">
        <f>IF('Supp. Result Entry'!Y202="","",'Supp. Result Entry'!Y202)</f>
        <v/>
      </c>
      <c r="IG203" s="213" t="str">
        <f>IF('Supp. Result Entry'!AB202="","",'Supp. Result Entry'!AB202)</f>
        <v/>
      </c>
      <c r="IH203" s="213" t="str">
        <f>IF('Supp. Result Entry'!AE202="","",'Supp. Result Entry'!AE202)</f>
        <v/>
      </c>
      <c r="II203" s="213" t="str">
        <f>IF('Supp. Result Entry'!AH202="","",'Supp. Result Entry'!AH202)</f>
        <v/>
      </c>
      <c r="IJ203" s="213" t="str">
        <f>IF('Supp. Result Entry'!AK202="","",'Supp. Result Entry'!AK202)</f>
        <v/>
      </c>
      <c r="IK203" s="213" t="str">
        <f>IF('Supp. Result Entry'!W202="","",'Supp. Result Entry'!W202)</f>
        <v/>
      </c>
      <c r="IL203" s="213" t="str">
        <f>IF('Supp. Result Entry'!Z202="","",'Supp. Result Entry'!Z202)</f>
        <v/>
      </c>
      <c r="IM203" s="213" t="str">
        <f>IF('Supp. Result Entry'!AC202="","",'Supp. Result Entry'!AC202)</f>
        <v/>
      </c>
      <c r="IN203" s="213" t="str">
        <f>IF('Supp. Result Entry'!AF202="","",'Supp. Result Entry'!AF202)</f>
        <v/>
      </c>
      <c r="IO203" s="213" t="str">
        <f>IF('Supp. Result Entry'!AI202="","",'Supp. Result Entry'!AI202)</f>
        <v/>
      </c>
      <c r="IP203" s="213" t="str">
        <f>IF('Supp. Result Entry'!AL202="","",'Supp. Result Entry'!AL202)</f>
        <v/>
      </c>
      <c r="IQ203" s="213">
        <f>COUNTIF('Supp. Result Entry'!K202:Q202,"S")</f>
        <v>0</v>
      </c>
      <c r="IR203" s="213">
        <f t="shared" si="719"/>
        <v>0</v>
      </c>
      <c r="IS203" s="213">
        <f t="shared" si="720"/>
        <v>0</v>
      </c>
      <c r="IT203" s="213" t="str">
        <f t="shared" si="588"/>
        <v/>
      </c>
      <c r="IU203" s="213" t="str">
        <f t="shared" si="589"/>
        <v/>
      </c>
      <c r="IV203" s="213" t="str">
        <f t="shared" si="590"/>
        <v/>
      </c>
      <c r="IW203" s="213" t="str">
        <f t="shared" si="591"/>
        <v/>
      </c>
      <c r="IX203" s="213" t="str">
        <f t="shared" si="592"/>
        <v/>
      </c>
      <c r="IY203" s="213" t="str">
        <f t="shared" si="721"/>
        <v/>
      </c>
      <c r="IZ203" s="213" t="str">
        <f t="shared" si="722"/>
        <v/>
      </c>
      <c r="JA203" s="213" t="str">
        <f t="shared" si="593"/>
        <v/>
      </c>
      <c r="JB203" s="211" t="str">
        <f t="shared" si="723"/>
        <v/>
      </c>
    </row>
    <row r="204" spans="1:262" s="211" customFormat="1" ht="21" customHeight="1">
      <c r="A204" s="184">
        <v>197</v>
      </c>
      <c r="B204" s="185" t="str">
        <f>IF('Marks Entry'!B204="","",'Marks Entry'!B204)</f>
        <v/>
      </c>
      <c r="C204" s="186" t="str">
        <f>IF('Marks Entry'!D204="","",'Marks Entry'!D204)</f>
        <v/>
      </c>
      <c r="D204" s="187" t="str">
        <f>IF('Marks Entry'!E204="","",'Marks Entry'!E204)</f>
        <v/>
      </c>
      <c r="E204" s="188" t="str">
        <f>IF('Marks Entry'!F204="","",'Marks Entry'!F204)</f>
        <v/>
      </c>
      <c r="F204" s="188" t="str">
        <f>IF('Marks Entry'!G204="","",'Marks Entry'!G204)</f>
        <v/>
      </c>
      <c r="G204" s="188" t="str">
        <f>IF('Marks Entry'!H204="","",'Marks Entry'!H204)</f>
        <v/>
      </c>
      <c r="H204" s="189" t="str">
        <f>IF('Marks Entry'!I204="","",'Marks Entry'!I204)</f>
        <v/>
      </c>
      <c r="I204" s="190" t="str">
        <f>IF('Marks Entry'!J204="","",'Marks Entry'!J204)</f>
        <v/>
      </c>
      <c r="J204" s="545" t="str">
        <f>IF('Marks Entry'!K204="","",'Marks Entry'!K204)</f>
        <v/>
      </c>
      <c r="K204" s="545" t="str">
        <f>IF('Marks Entry'!L204="","",'Marks Entry'!L204)</f>
        <v/>
      </c>
      <c r="L204" s="545" t="str">
        <f>IF('Marks Entry'!M204="","",'Marks Entry'!M204)</f>
        <v/>
      </c>
      <c r="M204" s="546" t="str">
        <f t="shared" si="594"/>
        <v/>
      </c>
      <c r="N204" s="545" t="str">
        <f>IF('Marks Entry'!N204="","",'Marks Entry'!N204)</f>
        <v/>
      </c>
      <c r="O204" s="546" t="str">
        <f t="shared" si="595"/>
        <v/>
      </c>
      <c r="P204" s="545" t="str">
        <f>IF('Marks Entry'!O204="","",'Marks Entry'!O204)</f>
        <v/>
      </c>
      <c r="Q204" s="547" t="str">
        <f t="shared" si="596"/>
        <v/>
      </c>
      <c r="R204" s="153">
        <f t="shared" si="597"/>
        <v>0</v>
      </c>
      <c r="S204" s="153">
        <f t="shared" si="598"/>
        <v>0</v>
      </c>
      <c r="T204" s="154" t="str">
        <f t="shared" si="599"/>
        <v/>
      </c>
      <c r="U204" s="153" t="str">
        <f t="shared" si="600"/>
        <v/>
      </c>
      <c r="V204" s="153" t="str">
        <f t="shared" si="601"/>
        <v/>
      </c>
      <c r="W204" s="153" t="str">
        <f t="shared" si="602"/>
        <v/>
      </c>
      <c r="X204" s="545" t="str">
        <f>IF('Marks Entry'!P204="","",'Marks Entry'!P204)</f>
        <v/>
      </c>
      <c r="Y204" s="545" t="str">
        <f>IF('Marks Entry'!Q204="","",'Marks Entry'!Q204)</f>
        <v/>
      </c>
      <c r="Z204" s="545" t="str">
        <f>IF('Marks Entry'!R204="","",'Marks Entry'!R204)</f>
        <v/>
      </c>
      <c r="AA204" s="546" t="str">
        <f t="shared" si="603"/>
        <v/>
      </c>
      <c r="AB204" s="545" t="str">
        <f>IF('Marks Entry'!S204="","",'Marks Entry'!S204)</f>
        <v/>
      </c>
      <c r="AC204" s="546" t="str">
        <f t="shared" si="604"/>
        <v/>
      </c>
      <c r="AD204" s="545" t="str">
        <f>IF('Marks Entry'!T204="","",'Marks Entry'!T204)</f>
        <v/>
      </c>
      <c r="AE204" s="547" t="str">
        <f t="shared" si="605"/>
        <v/>
      </c>
      <c r="AF204" s="153">
        <f t="shared" si="606"/>
        <v>0</v>
      </c>
      <c r="AG204" s="153">
        <f t="shared" si="607"/>
        <v>0</v>
      </c>
      <c r="AH204" s="154" t="str">
        <f t="shared" si="608"/>
        <v/>
      </c>
      <c r="AI204" s="153" t="str">
        <f t="shared" si="609"/>
        <v/>
      </c>
      <c r="AJ204" s="153" t="str">
        <f t="shared" si="610"/>
        <v/>
      </c>
      <c r="AK204" s="153" t="str">
        <f t="shared" si="611"/>
        <v/>
      </c>
      <c r="AL204" s="573" t="str">
        <f>IF('Marks Entry'!U204="","",'Marks Entry'!U204)</f>
        <v/>
      </c>
      <c r="AM204" s="573" t="str">
        <f>IF('Marks Entry'!V204="","",'Marks Entry'!V204)</f>
        <v/>
      </c>
      <c r="AN204" s="573" t="str">
        <f>IF('Marks Entry'!W204="","",'Marks Entry'!W204)</f>
        <v/>
      </c>
      <c r="AO204" s="573" t="str">
        <f>IF('Marks Entry'!X204="","",'Marks Entry'!X204)</f>
        <v/>
      </c>
      <c r="AP204" s="572" t="str">
        <f t="shared" si="612"/>
        <v/>
      </c>
      <c r="AQ204" s="573" t="str">
        <f>IF('Marks Entry'!Y204="","",'Marks Entry'!Y204)</f>
        <v/>
      </c>
      <c r="AR204" s="573" t="str">
        <f>IF('Marks Entry'!Z204="","",'Marks Entry'!Z204)</f>
        <v/>
      </c>
      <c r="AS204" s="572" t="str">
        <f t="shared" si="613"/>
        <v/>
      </c>
      <c r="AT204" s="572" t="str">
        <f t="shared" si="614"/>
        <v/>
      </c>
      <c r="AU204" s="573" t="str">
        <f>IF('Marks Entry'!AA204="","",'Marks Entry'!AA204)</f>
        <v/>
      </c>
      <c r="AV204" s="573" t="str">
        <f>IF('Marks Entry'!AB204="","",'Marks Entry'!AB204)</f>
        <v/>
      </c>
      <c r="AW204" s="572" t="str">
        <f t="shared" si="615"/>
        <v/>
      </c>
      <c r="AX204" s="157" t="str">
        <f t="shared" si="616"/>
        <v/>
      </c>
      <c r="AY204" s="157" t="str">
        <f t="shared" si="617"/>
        <v/>
      </c>
      <c r="AZ204" s="192" t="str">
        <f t="shared" si="618"/>
        <v/>
      </c>
      <c r="BA204" s="153">
        <f t="shared" si="619"/>
        <v>0</v>
      </c>
      <c r="BB204" s="154">
        <f t="shared" si="620"/>
        <v>0</v>
      </c>
      <c r="BC204" s="154" t="str">
        <f t="shared" si="621"/>
        <v/>
      </c>
      <c r="BD204" s="154" t="str">
        <f t="shared" si="622"/>
        <v/>
      </c>
      <c r="BE204" s="154" t="str">
        <f t="shared" si="623"/>
        <v/>
      </c>
      <c r="BF204" s="153" t="str">
        <f t="shared" si="624"/>
        <v/>
      </c>
      <c r="BG204" s="154" t="str">
        <f t="shared" si="625"/>
        <v/>
      </c>
      <c r="BH204" s="153" t="str">
        <f t="shared" si="626"/>
        <v/>
      </c>
      <c r="BI204" s="580" t="str">
        <f>IF('Marks Entry'!AC204="","",'Marks Entry'!AC204)</f>
        <v/>
      </c>
      <c r="BJ204" s="580" t="str">
        <f>IF('Marks Entry'!AD204="","",'Marks Entry'!AD204)</f>
        <v/>
      </c>
      <c r="BK204" s="580" t="str">
        <f>IF('Marks Entry'!AE204="","",'Marks Entry'!AE204)</f>
        <v/>
      </c>
      <c r="BL204" s="580" t="str">
        <f>IF('Marks Entry'!AF204="","",'Marks Entry'!AF204)</f>
        <v/>
      </c>
      <c r="BM204" s="581" t="str">
        <f t="shared" si="627"/>
        <v/>
      </c>
      <c r="BN204" s="580" t="str">
        <f>IF('Marks Entry'!AG204="","",'Marks Entry'!AG204)</f>
        <v/>
      </c>
      <c r="BO204" s="580" t="str">
        <f>IF('Marks Entry'!AH204="","",'Marks Entry'!AH204)</f>
        <v/>
      </c>
      <c r="BP204" s="581" t="str">
        <f t="shared" si="628"/>
        <v/>
      </c>
      <c r="BQ204" s="581" t="str">
        <f t="shared" si="629"/>
        <v/>
      </c>
      <c r="BR204" s="580" t="str">
        <f>IF('Marks Entry'!AI204="","",'Marks Entry'!AI204)</f>
        <v/>
      </c>
      <c r="BS204" s="580" t="str">
        <f>IF('Marks Entry'!AJ204="","",'Marks Entry'!AJ204)</f>
        <v/>
      </c>
      <c r="BT204" s="581" t="str">
        <f t="shared" si="630"/>
        <v/>
      </c>
      <c r="BU204" s="157" t="str">
        <f t="shared" si="631"/>
        <v/>
      </c>
      <c r="BV204" s="157" t="str">
        <f t="shared" si="632"/>
        <v/>
      </c>
      <c r="BW204" s="192" t="str">
        <f t="shared" si="633"/>
        <v/>
      </c>
      <c r="BX204" s="153">
        <f t="shared" si="634"/>
        <v>0</v>
      </c>
      <c r="BY204" s="154">
        <f t="shared" si="635"/>
        <v>0</v>
      </c>
      <c r="BZ204" s="154" t="str">
        <f t="shared" si="636"/>
        <v/>
      </c>
      <c r="CA204" s="154" t="str">
        <f t="shared" si="637"/>
        <v/>
      </c>
      <c r="CB204" s="154" t="str">
        <f t="shared" si="638"/>
        <v/>
      </c>
      <c r="CC204" s="153" t="str">
        <f t="shared" si="639"/>
        <v/>
      </c>
      <c r="CD204" s="154" t="str">
        <f t="shared" si="640"/>
        <v/>
      </c>
      <c r="CE204" s="153" t="str">
        <f t="shared" si="641"/>
        <v/>
      </c>
      <c r="CF204" s="580" t="str">
        <f>IF('Marks Entry'!AK204="","",'Marks Entry'!AK204)</f>
        <v/>
      </c>
      <c r="CG204" s="580" t="str">
        <f>IF('Marks Entry'!AL204="","",'Marks Entry'!AL204)</f>
        <v/>
      </c>
      <c r="CH204" s="580" t="str">
        <f>IF('Marks Entry'!AM204="","",'Marks Entry'!AM204)</f>
        <v/>
      </c>
      <c r="CI204" s="580" t="str">
        <f>IF('Marks Entry'!AN204="","",'Marks Entry'!AN204)</f>
        <v/>
      </c>
      <c r="CJ204" s="581" t="str">
        <f t="shared" si="642"/>
        <v/>
      </c>
      <c r="CK204" s="580" t="str">
        <f>IF('Marks Entry'!AO204="","",'Marks Entry'!AO204)</f>
        <v/>
      </c>
      <c r="CL204" s="580" t="str">
        <f>IF('Marks Entry'!AP204="","",'Marks Entry'!AP204)</f>
        <v/>
      </c>
      <c r="CM204" s="581" t="str">
        <f t="shared" si="643"/>
        <v/>
      </c>
      <c r="CN204" s="581" t="str">
        <f t="shared" si="644"/>
        <v/>
      </c>
      <c r="CO204" s="580" t="str">
        <f>IF('Marks Entry'!AQ204="","",'Marks Entry'!AQ204)</f>
        <v/>
      </c>
      <c r="CP204" s="580" t="str">
        <f>IF('Marks Entry'!AR204="","",'Marks Entry'!AR204)</f>
        <v/>
      </c>
      <c r="CQ204" s="581" t="str">
        <f t="shared" si="645"/>
        <v/>
      </c>
      <c r="CR204" s="157" t="str">
        <f t="shared" si="646"/>
        <v/>
      </c>
      <c r="CS204" s="157" t="str">
        <f t="shared" si="647"/>
        <v/>
      </c>
      <c r="CT204" s="192" t="str">
        <f t="shared" si="648"/>
        <v/>
      </c>
      <c r="CU204" s="153">
        <f t="shared" si="649"/>
        <v>0</v>
      </c>
      <c r="CV204" s="154">
        <f t="shared" si="650"/>
        <v>0</v>
      </c>
      <c r="CW204" s="154" t="str">
        <f t="shared" si="651"/>
        <v/>
      </c>
      <c r="CX204" s="154" t="str">
        <f t="shared" si="652"/>
        <v/>
      </c>
      <c r="CY204" s="154" t="str">
        <f t="shared" si="653"/>
        <v/>
      </c>
      <c r="CZ204" s="153" t="str">
        <f t="shared" si="654"/>
        <v/>
      </c>
      <c r="DA204" s="154" t="str">
        <f t="shared" si="655"/>
        <v/>
      </c>
      <c r="DB204" s="153" t="str">
        <f t="shared" si="656"/>
        <v/>
      </c>
      <c r="DC204" s="154">
        <f t="shared" si="657"/>
        <v>0</v>
      </c>
      <c r="DD204" s="826" t="str">
        <f>IF('Marks Entry'!AS204="","",IF(OR('Master Sheet'!$D$19="YES",'Marks Entry'!$BA$1=1),'Marks Entry'!AS204,""))</f>
        <v/>
      </c>
      <c r="DE204" s="826" t="str">
        <f>IF('Marks Entry'!AT204="","",IF(OR('Master Sheet'!$D$19="YES",'Marks Entry'!$BA$1=1),'Marks Entry'!AT204,""))</f>
        <v/>
      </c>
      <c r="DF204" s="826" t="str">
        <f>IF('Marks Entry'!AU204="","",IF(OR('Master Sheet'!$D$19="YES",'Marks Entry'!$BA$1=1),'Marks Entry'!AU204,""))</f>
        <v/>
      </c>
      <c r="DG204" s="826" t="str">
        <f>IF('Marks Entry'!AV204="","",IF(OR('Master Sheet'!$D$19="YES",'Marks Entry'!$BA$1=1),'Marks Entry'!AV204,""))</f>
        <v/>
      </c>
      <c r="DH204" s="827" t="str">
        <f t="shared" si="658"/>
        <v/>
      </c>
      <c r="DI204" s="826" t="str">
        <f>IF('Marks Entry'!AW204="","",IF(OR('Master Sheet'!$D$19="YES",'Marks Entry'!$BA$1=1),'Marks Entry'!AW204,""))</f>
        <v/>
      </c>
      <c r="DJ204" s="826" t="str">
        <f>IF('Marks Entry'!AX204="","",IF(OR('Master Sheet'!$D$19="YES",'Marks Entry'!$BA$1=1),'Marks Entry'!AX204,""))</f>
        <v/>
      </c>
      <c r="DK204" s="827" t="str">
        <f t="shared" si="659"/>
        <v/>
      </c>
      <c r="DL204" s="827" t="str">
        <f t="shared" si="660"/>
        <v/>
      </c>
      <c r="DM204" s="826" t="str">
        <f>IF('Marks Entry'!AY204="","",IF(OR('Master Sheet'!$D$19="YES",'Marks Entry'!$BA$1=1),'Marks Entry'!AY204,""))</f>
        <v/>
      </c>
      <c r="DN204" s="826" t="str">
        <f>IF('Marks Entry'!AZ204="","",IF(OR('Master Sheet'!$D$19="YES",'Marks Entry'!$BA$1=1),'Marks Entry'!AZ204,""))</f>
        <v/>
      </c>
      <c r="DO204" s="826" t="str">
        <f>IF('Marks Entry'!BA204="","",IF(OR('Master Sheet'!$D$19="YES",'Marks Entry'!$BA$1=1),'Marks Entry'!BA204,""))</f>
        <v/>
      </c>
      <c r="DP204" s="827" t="str">
        <f t="shared" si="661"/>
        <v/>
      </c>
      <c r="DQ204" s="157" t="str">
        <f t="shared" si="662"/>
        <v/>
      </c>
      <c r="DR204" s="157" t="str">
        <f t="shared" si="663"/>
        <v/>
      </c>
      <c r="DS204" s="157" t="str">
        <f t="shared" si="664"/>
        <v/>
      </c>
      <c r="DT204" s="192" t="str">
        <f t="shared" si="665"/>
        <v/>
      </c>
      <c r="DU204" s="153">
        <f t="shared" si="666"/>
        <v>0</v>
      </c>
      <c r="DV204" s="154" t="e">
        <f t="shared" si="667"/>
        <v>#VALUE!</v>
      </c>
      <c r="DW204" s="154" t="str">
        <f t="shared" si="668"/>
        <v/>
      </c>
      <c r="DX204" s="154" t="str">
        <f>IF(OR($B204="NSO",$B204=0,DS204=""),"",IF(AND(DJ204="",DO204=""),"",IF('Master Sheet'!$D$19="YES",$DO$6-COUNTIF(DO204,"ML")*DO$6,DS$6-(COUNTIF(DJ204,"ML")*DJ$6)-(COUNTIF(DO204,"ML")*DO$6))))</f>
        <v/>
      </c>
      <c r="DY204" s="154" t="str">
        <f>IF(OR($B204="NSO",$B204=0),"",IF(AND(DH204="",DI204="",DM204=""),"",IF(AND('Master Sheet'!$D$19="YES",'Marks Entry'!$BA$1=1),100,IF(AND(DJ204="",DO204=""),SUM(($DQ$7+$DR$7)-(DU204+DV204)),SUM(($DQ$6+$DR$6)-(DU204+DV204))))))</f>
        <v/>
      </c>
      <c r="DZ204" s="153" t="str">
        <f t="shared" si="669"/>
        <v/>
      </c>
      <c r="EA204" s="154" t="str">
        <f t="shared" si="670"/>
        <v/>
      </c>
      <c r="EB204" s="153" t="str">
        <f t="shared" si="671"/>
        <v/>
      </c>
      <c r="EC204" s="584" t="str">
        <f>IF('Marks Entry'!BB204="","",'Marks Entry'!BB204)</f>
        <v/>
      </c>
      <c r="ED204" s="584" t="str">
        <f>IF('Marks Entry'!BC204="","",'Marks Entry'!BC204)</f>
        <v/>
      </c>
      <c r="EE204" s="584" t="str">
        <f>IF('Marks Entry'!BD204="","",'Marks Entry'!BD204)</f>
        <v/>
      </c>
      <c r="EF204" s="590" t="str">
        <f t="shared" si="672"/>
        <v/>
      </c>
      <c r="EG204" s="595">
        <f t="shared" si="673"/>
        <v>0</v>
      </c>
      <c r="EH204" s="595">
        <f t="shared" si="674"/>
        <v>0</v>
      </c>
      <c r="EI204" s="193" t="str">
        <f t="shared" si="675"/>
        <v/>
      </c>
      <c r="EJ204" s="595" t="str">
        <f t="shared" si="676"/>
        <v/>
      </c>
      <c r="EK204" s="595" t="str">
        <f t="shared" si="677"/>
        <v/>
      </c>
      <c r="EL204" s="194" t="str">
        <f t="shared" si="678"/>
        <v/>
      </c>
      <c r="EM204" s="194" t="str">
        <f t="shared" si="679"/>
        <v/>
      </c>
      <c r="EN204" s="194" t="str">
        <f t="shared" si="680"/>
        <v/>
      </c>
      <c r="EO204" s="194" t="str">
        <f t="shared" si="681"/>
        <v/>
      </c>
      <c r="EP204" s="194" t="str">
        <f t="shared" si="682"/>
        <v/>
      </c>
      <c r="EQ204" s="194" t="str">
        <f t="shared" si="683"/>
        <v/>
      </c>
      <c r="ER204" s="195">
        <f t="shared" si="684"/>
        <v>0</v>
      </c>
      <c r="ES204" s="195">
        <f t="shared" si="685"/>
        <v>0</v>
      </c>
      <c r="ET204" s="195">
        <f t="shared" si="686"/>
        <v>0</v>
      </c>
      <c r="EU204" s="195">
        <f t="shared" si="687"/>
        <v>0</v>
      </c>
      <c r="EV204" s="195">
        <f t="shared" si="688"/>
        <v>0</v>
      </c>
      <c r="EW204" s="195" t="str">
        <f t="shared" si="689"/>
        <v/>
      </c>
      <c r="EX204" s="196" t="str">
        <f t="shared" si="690"/>
        <v/>
      </c>
      <c r="EY204" s="197" t="str">
        <f>IF('Marks Entry'!BE204="","",'Marks Entry'!BE204)</f>
        <v/>
      </c>
      <c r="EZ204" s="197" t="str">
        <f>IF('Marks Entry'!BF204="","",'Marks Entry'!BF204)</f>
        <v/>
      </c>
      <c r="FA204" s="197" t="str">
        <f>IF('Marks Entry'!BG204="","",'Marks Entry'!BG204)</f>
        <v/>
      </c>
      <c r="FB204" s="596" t="str">
        <f t="shared" si="691"/>
        <v/>
      </c>
      <c r="FC204" s="197" t="str">
        <f>IF('Marks Entry'!BH204="","",'Marks Entry'!BH204)</f>
        <v/>
      </c>
      <c r="FD204" s="197" t="str">
        <f>IF('Marks Entry'!BI204="","",'Marks Entry'!BI204)</f>
        <v/>
      </c>
      <c r="FE204" s="198" t="str">
        <f t="shared" si="692"/>
        <v/>
      </c>
      <c r="FF204" s="199" t="str">
        <f t="shared" si="693"/>
        <v/>
      </c>
      <c r="FG204" s="200" t="str">
        <f>IF(AND(E204=""),"",IF('Student DATA Entry'!L200="","",'Student DATA Entry'!L200))</f>
        <v/>
      </c>
      <c r="FH204" s="201" t="str">
        <f>IF(AND(E204=""),"",IF('Student DATA Entry'!M200="","",'Student DATA Entry'!M200))</f>
        <v/>
      </c>
      <c r="FI204" s="202" t="str">
        <f t="shared" si="694"/>
        <v/>
      </c>
      <c r="FJ204" s="189" t="str">
        <f t="shared" si="695"/>
        <v/>
      </c>
      <c r="FK204" s="189" t="str">
        <f t="shared" si="696"/>
        <v/>
      </c>
      <c r="FL204" s="203" t="str">
        <f t="shared" si="565"/>
        <v/>
      </c>
      <c r="FM204" s="189" t="str">
        <f t="shared" si="697"/>
        <v/>
      </c>
      <c r="FN204" s="204" t="str">
        <f t="shared" si="698"/>
        <v/>
      </c>
      <c r="FO204" s="203" t="str">
        <f t="shared" si="566"/>
        <v/>
      </c>
      <c r="FP204" s="205" t="str">
        <f t="shared" si="699"/>
        <v/>
      </c>
      <c r="FQ204" s="189" t="str">
        <f t="shared" si="567"/>
        <v/>
      </c>
      <c r="FR204" s="189" t="str">
        <f t="shared" si="568"/>
        <v/>
      </c>
      <c r="FS204" s="189" t="str">
        <f t="shared" si="569"/>
        <v/>
      </c>
      <c r="FT204" s="189" t="str">
        <f t="shared" si="570"/>
        <v/>
      </c>
      <c r="FU204" s="189" t="str">
        <f t="shared" si="700"/>
        <v/>
      </c>
      <c r="FV204" s="206" t="str">
        <f t="shared" si="571"/>
        <v/>
      </c>
      <c r="FW204" s="205" t="str">
        <f t="shared" si="701"/>
        <v/>
      </c>
      <c r="FX204" s="189" t="str">
        <f t="shared" si="572"/>
        <v/>
      </c>
      <c r="FY204" s="189" t="str">
        <f t="shared" si="573"/>
        <v/>
      </c>
      <c r="FZ204" s="189" t="str">
        <f t="shared" si="574"/>
        <v/>
      </c>
      <c r="GA204" s="189" t="str">
        <f t="shared" si="575"/>
        <v/>
      </c>
      <c r="GB204" s="189" t="str">
        <f t="shared" si="702"/>
        <v/>
      </c>
      <c r="GC204" s="206" t="str">
        <f t="shared" si="576"/>
        <v/>
      </c>
      <c r="GD204" s="205" t="str">
        <f t="shared" si="703"/>
        <v/>
      </c>
      <c r="GE204" s="189" t="str">
        <f t="shared" si="577"/>
        <v/>
      </c>
      <c r="GF204" s="189" t="str">
        <f t="shared" si="578"/>
        <v/>
      </c>
      <c r="GG204" s="189" t="str">
        <f t="shared" si="579"/>
        <v/>
      </c>
      <c r="GH204" s="189" t="str">
        <f t="shared" si="580"/>
        <v/>
      </c>
      <c r="GI204" s="189" t="str">
        <f t="shared" si="704"/>
        <v/>
      </c>
      <c r="GJ204" s="206" t="str">
        <f t="shared" si="581"/>
        <v/>
      </c>
      <c r="GK204" s="205" t="str">
        <f t="shared" si="705"/>
        <v/>
      </c>
      <c r="GL204" s="189" t="str">
        <f t="shared" si="582"/>
        <v/>
      </c>
      <c r="GM204" s="189" t="str">
        <f t="shared" si="583"/>
        <v/>
      </c>
      <c r="GN204" s="189" t="str">
        <f t="shared" si="584"/>
        <v/>
      </c>
      <c r="GO204" s="189" t="str">
        <f t="shared" si="585"/>
        <v/>
      </c>
      <c r="GP204" s="189" t="str">
        <f t="shared" si="706"/>
        <v/>
      </c>
      <c r="GQ204" s="206" t="str">
        <f t="shared" si="586"/>
        <v/>
      </c>
      <c r="GR204" s="189" t="str">
        <f t="shared" si="707"/>
        <v/>
      </c>
      <c r="GS204" s="189" t="str">
        <f t="shared" si="708"/>
        <v/>
      </c>
      <c r="GT204" s="207" t="str">
        <f t="shared" si="709"/>
        <v xml:space="preserve">    </v>
      </c>
      <c r="GU204" s="207" t="str">
        <f t="shared" si="710"/>
        <v xml:space="preserve">    </v>
      </c>
      <c r="GV204" s="207" t="str">
        <f t="shared" si="711"/>
        <v xml:space="preserve">    </v>
      </c>
      <c r="GW204" s="207" t="str">
        <f t="shared" si="712"/>
        <v xml:space="preserve">       </v>
      </c>
      <c r="GX204" s="598" t="str">
        <f t="shared" si="713"/>
        <v xml:space="preserve">     </v>
      </c>
      <c r="GY204" s="208" t="str">
        <f t="shared" si="587"/>
        <v/>
      </c>
      <c r="GZ204" s="606" t="str">
        <f>IF(AND(Q204="",AE204="",AZ204="",BW204="",CT204=""),"",IF(AND('Master Sheet'!$D$19="YES",'Marks Entry'!$BA$1=1),SUM(Q204,AE204,AZ204,BW204,DT204),SUM(Q204,AE204,AZ204,BW204,CT204)))</f>
        <v/>
      </c>
      <c r="HA204" s="209" t="str">
        <f>IF(GZ204="","",IF(AND('Master Sheet'!$D$19="YES",'Marks Entry'!$BA$1=1),GZ204/((900)-DC204)*100,GZ204/((1000)-DC204)*100))</f>
        <v/>
      </c>
      <c r="HB204" s="611" t="str">
        <f t="shared" si="714"/>
        <v/>
      </c>
      <c r="HC204" s="609" t="str">
        <f t="shared" si="715"/>
        <v/>
      </c>
      <c r="HD204" s="610" t="str">
        <f t="shared" si="716"/>
        <v/>
      </c>
      <c r="HE204" s="210" t="str">
        <f>IFERROR(IF(OR(GY204="SUPPLEMENTARY",GY204="RE-EXAM"),'Supp. Result Entry'!AS203,""),"")</f>
        <v/>
      </c>
      <c r="HF204" s="613" t="str">
        <f t="shared" si="717"/>
        <v/>
      </c>
      <c r="HG204" s="598" t="str">
        <f t="shared" si="718"/>
        <v/>
      </c>
      <c r="HH204" s="598" t="str">
        <f>IF(AND(HE204="",HF204="",HG204=""),"",IF(OR(GY204="SUPPLEMENTARY",GY204="RE-EXAM"),'Supp. Result Entry'!AS203,GY204))</f>
        <v/>
      </c>
      <c r="HI204" s="180"/>
      <c r="HY204" s="212" t="str">
        <f>IF('Supp. Result Entry'!U203="","",'Supp. Result Entry'!$U$6)</f>
        <v/>
      </c>
      <c r="HZ204" s="213" t="str">
        <f>IF('Supp. Result Entry'!X203="","",'Supp. Result Entry'!$X$6)</f>
        <v/>
      </c>
      <c r="IA204" s="213" t="str">
        <f>IF('Supp. Result Entry'!AA203="","",'Supp. Result Entry'!$AA$6)</f>
        <v/>
      </c>
      <c r="IB204" s="213" t="str">
        <f>IF('Supp. Result Entry'!AD203="","",'Supp. Result Entry'!$AD$6)</f>
        <v/>
      </c>
      <c r="IC204" s="213" t="str">
        <f>IF('Supp. Result Entry'!AG203="","",'Supp. Result Entry'!$AG$6)</f>
        <v/>
      </c>
      <c r="ID204" s="213" t="str">
        <f>IF('Supp. Result Entry'!AJ203="","",'Supp. Result Entry'!$AJ$6)</f>
        <v/>
      </c>
      <c r="IE204" s="213" t="str">
        <f>IF('Supp. Result Entry'!V203="","",'Supp. Result Entry'!V203)</f>
        <v/>
      </c>
      <c r="IF204" s="213" t="str">
        <f>IF('Supp. Result Entry'!Y203="","",'Supp. Result Entry'!Y203)</f>
        <v/>
      </c>
      <c r="IG204" s="213" t="str">
        <f>IF('Supp. Result Entry'!AB203="","",'Supp. Result Entry'!AB203)</f>
        <v/>
      </c>
      <c r="IH204" s="213" t="str">
        <f>IF('Supp. Result Entry'!AE203="","",'Supp. Result Entry'!AE203)</f>
        <v/>
      </c>
      <c r="II204" s="213" t="str">
        <f>IF('Supp. Result Entry'!AH203="","",'Supp. Result Entry'!AH203)</f>
        <v/>
      </c>
      <c r="IJ204" s="213" t="str">
        <f>IF('Supp. Result Entry'!AK203="","",'Supp. Result Entry'!AK203)</f>
        <v/>
      </c>
      <c r="IK204" s="213" t="str">
        <f>IF('Supp. Result Entry'!W203="","",'Supp. Result Entry'!W203)</f>
        <v/>
      </c>
      <c r="IL204" s="213" t="str">
        <f>IF('Supp. Result Entry'!Z203="","",'Supp. Result Entry'!Z203)</f>
        <v/>
      </c>
      <c r="IM204" s="213" t="str">
        <f>IF('Supp. Result Entry'!AC203="","",'Supp. Result Entry'!AC203)</f>
        <v/>
      </c>
      <c r="IN204" s="213" t="str">
        <f>IF('Supp. Result Entry'!AF203="","",'Supp. Result Entry'!AF203)</f>
        <v/>
      </c>
      <c r="IO204" s="213" t="str">
        <f>IF('Supp. Result Entry'!AI203="","",'Supp. Result Entry'!AI203)</f>
        <v/>
      </c>
      <c r="IP204" s="213" t="str">
        <f>IF('Supp. Result Entry'!AL203="","",'Supp. Result Entry'!AL203)</f>
        <v/>
      </c>
      <c r="IQ204" s="213">
        <f>COUNTIF('Supp. Result Entry'!K203:Q203,"S")</f>
        <v>0</v>
      </c>
      <c r="IR204" s="213">
        <f t="shared" si="719"/>
        <v>0</v>
      </c>
      <c r="IS204" s="213">
        <f t="shared" si="720"/>
        <v>0</v>
      </c>
      <c r="IT204" s="213" t="str">
        <f t="shared" si="588"/>
        <v/>
      </c>
      <c r="IU204" s="213" t="str">
        <f t="shared" si="589"/>
        <v/>
      </c>
      <c r="IV204" s="213" t="str">
        <f t="shared" si="590"/>
        <v/>
      </c>
      <c r="IW204" s="213" t="str">
        <f t="shared" si="591"/>
        <v/>
      </c>
      <c r="IX204" s="213" t="str">
        <f t="shared" si="592"/>
        <v/>
      </c>
      <c r="IY204" s="213" t="str">
        <f t="shared" si="721"/>
        <v/>
      </c>
      <c r="IZ204" s="213" t="str">
        <f t="shared" si="722"/>
        <v/>
      </c>
      <c r="JA204" s="213" t="str">
        <f t="shared" si="593"/>
        <v/>
      </c>
      <c r="JB204" s="211" t="str">
        <f t="shared" si="723"/>
        <v/>
      </c>
    </row>
    <row r="205" spans="1:262" s="211" customFormat="1" ht="21" customHeight="1">
      <c r="A205" s="184">
        <v>198</v>
      </c>
      <c r="B205" s="185" t="str">
        <f>IF('Marks Entry'!B205="","",'Marks Entry'!B205)</f>
        <v/>
      </c>
      <c r="C205" s="186" t="str">
        <f>IF('Marks Entry'!D205="","",'Marks Entry'!D205)</f>
        <v/>
      </c>
      <c r="D205" s="187" t="str">
        <f>IF('Marks Entry'!E205="","",'Marks Entry'!E205)</f>
        <v/>
      </c>
      <c r="E205" s="188" t="str">
        <f>IF('Marks Entry'!F205="","",'Marks Entry'!F205)</f>
        <v/>
      </c>
      <c r="F205" s="188" t="str">
        <f>IF('Marks Entry'!G205="","",'Marks Entry'!G205)</f>
        <v/>
      </c>
      <c r="G205" s="188" t="str">
        <f>IF('Marks Entry'!H205="","",'Marks Entry'!H205)</f>
        <v/>
      </c>
      <c r="H205" s="189" t="str">
        <f>IF('Marks Entry'!I205="","",'Marks Entry'!I205)</f>
        <v/>
      </c>
      <c r="I205" s="190" t="str">
        <f>IF('Marks Entry'!J205="","",'Marks Entry'!J205)</f>
        <v/>
      </c>
      <c r="J205" s="545" t="str">
        <f>IF('Marks Entry'!K205="","",'Marks Entry'!K205)</f>
        <v/>
      </c>
      <c r="K205" s="545" t="str">
        <f>IF('Marks Entry'!L205="","",'Marks Entry'!L205)</f>
        <v/>
      </c>
      <c r="L205" s="545" t="str">
        <f>IF('Marks Entry'!M205="","",'Marks Entry'!M205)</f>
        <v/>
      </c>
      <c r="M205" s="546" t="str">
        <f t="shared" si="594"/>
        <v/>
      </c>
      <c r="N205" s="545" t="str">
        <f>IF('Marks Entry'!N205="","",'Marks Entry'!N205)</f>
        <v/>
      </c>
      <c r="O205" s="546" t="str">
        <f t="shared" si="595"/>
        <v/>
      </c>
      <c r="P205" s="545" t="str">
        <f>IF('Marks Entry'!O205="","",'Marks Entry'!O205)</f>
        <v/>
      </c>
      <c r="Q205" s="547" t="str">
        <f t="shared" si="596"/>
        <v/>
      </c>
      <c r="R205" s="153">
        <f t="shared" si="597"/>
        <v>0</v>
      </c>
      <c r="S205" s="153">
        <f t="shared" si="598"/>
        <v>0</v>
      </c>
      <c r="T205" s="154" t="str">
        <f t="shared" si="599"/>
        <v/>
      </c>
      <c r="U205" s="153" t="str">
        <f t="shared" si="600"/>
        <v/>
      </c>
      <c r="V205" s="153" t="str">
        <f t="shared" si="601"/>
        <v/>
      </c>
      <c r="W205" s="153" t="str">
        <f t="shared" si="602"/>
        <v/>
      </c>
      <c r="X205" s="545" t="str">
        <f>IF('Marks Entry'!P205="","",'Marks Entry'!P205)</f>
        <v/>
      </c>
      <c r="Y205" s="545" t="str">
        <f>IF('Marks Entry'!Q205="","",'Marks Entry'!Q205)</f>
        <v/>
      </c>
      <c r="Z205" s="545" t="str">
        <f>IF('Marks Entry'!R205="","",'Marks Entry'!R205)</f>
        <v/>
      </c>
      <c r="AA205" s="546" t="str">
        <f t="shared" si="603"/>
        <v/>
      </c>
      <c r="AB205" s="545" t="str">
        <f>IF('Marks Entry'!S205="","",'Marks Entry'!S205)</f>
        <v/>
      </c>
      <c r="AC205" s="546" t="str">
        <f t="shared" si="604"/>
        <v/>
      </c>
      <c r="AD205" s="545" t="str">
        <f>IF('Marks Entry'!T205="","",'Marks Entry'!T205)</f>
        <v/>
      </c>
      <c r="AE205" s="547" t="str">
        <f t="shared" si="605"/>
        <v/>
      </c>
      <c r="AF205" s="153">
        <f t="shared" si="606"/>
        <v>0</v>
      </c>
      <c r="AG205" s="153">
        <f t="shared" si="607"/>
        <v>0</v>
      </c>
      <c r="AH205" s="154" t="str">
        <f t="shared" si="608"/>
        <v/>
      </c>
      <c r="AI205" s="153" t="str">
        <f t="shared" si="609"/>
        <v/>
      </c>
      <c r="AJ205" s="153" t="str">
        <f t="shared" si="610"/>
        <v/>
      </c>
      <c r="AK205" s="153" t="str">
        <f t="shared" si="611"/>
        <v/>
      </c>
      <c r="AL205" s="573" t="str">
        <f>IF('Marks Entry'!U205="","",'Marks Entry'!U205)</f>
        <v/>
      </c>
      <c r="AM205" s="573" t="str">
        <f>IF('Marks Entry'!V205="","",'Marks Entry'!V205)</f>
        <v/>
      </c>
      <c r="AN205" s="573" t="str">
        <f>IF('Marks Entry'!W205="","",'Marks Entry'!W205)</f>
        <v/>
      </c>
      <c r="AO205" s="573" t="str">
        <f>IF('Marks Entry'!X205="","",'Marks Entry'!X205)</f>
        <v/>
      </c>
      <c r="AP205" s="572" t="str">
        <f t="shared" si="612"/>
        <v/>
      </c>
      <c r="AQ205" s="573" t="str">
        <f>IF('Marks Entry'!Y205="","",'Marks Entry'!Y205)</f>
        <v/>
      </c>
      <c r="AR205" s="573" t="str">
        <f>IF('Marks Entry'!Z205="","",'Marks Entry'!Z205)</f>
        <v/>
      </c>
      <c r="AS205" s="572" t="str">
        <f t="shared" si="613"/>
        <v/>
      </c>
      <c r="AT205" s="572" t="str">
        <f t="shared" si="614"/>
        <v/>
      </c>
      <c r="AU205" s="573" t="str">
        <f>IF('Marks Entry'!AA205="","",'Marks Entry'!AA205)</f>
        <v/>
      </c>
      <c r="AV205" s="573" t="str">
        <f>IF('Marks Entry'!AB205="","",'Marks Entry'!AB205)</f>
        <v/>
      </c>
      <c r="AW205" s="572" t="str">
        <f t="shared" si="615"/>
        <v/>
      </c>
      <c r="AX205" s="157" t="str">
        <f t="shared" si="616"/>
        <v/>
      </c>
      <c r="AY205" s="157" t="str">
        <f t="shared" si="617"/>
        <v/>
      </c>
      <c r="AZ205" s="192" t="str">
        <f t="shared" si="618"/>
        <v/>
      </c>
      <c r="BA205" s="153">
        <f t="shared" si="619"/>
        <v>0</v>
      </c>
      <c r="BB205" s="154">
        <f t="shared" si="620"/>
        <v>0</v>
      </c>
      <c r="BC205" s="154" t="str">
        <f t="shared" si="621"/>
        <v/>
      </c>
      <c r="BD205" s="154" t="str">
        <f t="shared" si="622"/>
        <v/>
      </c>
      <c r="BE205" s="154" t="str">
        <f t="shared" si="623"/>
        <v/>
      </c>
      <c r="BF205" s="153" t="str">
        <f t="shared" si="624"/>
        <v/>
      </c>
      <c r="BG205" s="154" t="str">
        <f t="shared" si="625"/>
        <v/>
      </c>
      <c r="BH205" s="153" t="str">
        <f t="shared" si="626"/>
        <v/>
      </c>
      <c r="BI205" s="580" t="str">
        <f>IF('Marks Entry'!AC205="","",'Marks Entry'!AC205)</f>
        <v/>
      </c>
      <c r="BJ205" s="580" t="str">
        <f>IF('Marks Entry'!AD205="","",'Marks Entry'!AD205)</f>
        <v/>
      </c>
      <c r="BK205" s="580" t="str">
        <f>IF('Marks Entry'!AE205="","",'Marks Entry'!AE205)</f>
        <v/>
      </c>
      <c r="BL205" s="580" t="str">
        <f>IF('Marks Entry'!AF205="","",'Marks Entry'!AF205)</f>
        <v/>
      </c>
      <c r="BM205" s="581" t="str">
        <f t="shared" si="627"/>
        <v/>
      </c>
      <c r="BN205" s="580" t="str">
        <f>IF('Marks Entry'!AG205="","",'Marks Entry'!AG205)</f>
        <v/>
      </c>
      <c r="BO205" s="580" t="str">
        <f>IF('Marks Entry'!AH205="","",'Marks Entry'!AH205)</f>
        <v/>
      </c>
      <c r="BP205" s="581" t="str">
        <f t="shared" si="628"/>
        <v/>
      </c>
      <c r="BQ205" s="581" t="str">
        <f t="shared" si="629"/>
        <v/>
      </c>
      <c r="BR205" s="580" t="str">
        <f>IF('Marks Entry'!AI205="","",'Marks Entry'!AI205)</f>
        <v/>
      </c>
      <c r="BS205" s="580" t="str">
        <f>IF('Marks Entry'!AJ205="","",'Marks Entry'!AJ205)</f>
        <v/>
      </c>
      <c r="BT205" s="581" t="str">
        <f t="shared" si="630"/>
        <v/>
      </c>
      <c r="BU205" s="157" t="str">
        <f t="shared" si="631"/>
        <v/>
      </c>
      <c r="BV205" s="157" t="str">
        <f t="shared" si="632"/>
        <v/>
      </c>
      <c r="BW205" s="192" t="str">
        <f t="shared" si="633"/>
        <v/>
      </c>
      <c r="BX205" s="153">
        <f t="shared" si="634"/>
        <v>0</v>
      </c>
      <c r="BY205" s="154">
        <f t="shared" si="635"/>
        <v>0</v>
      </c>
      <c r="BZ205" s="154" t="str">
        <f t="shared" si="636"/>
        <v/>
      </c>
      <c r="CA205" s="154" t="str">
        <f t="shared" si="637"/>
        <v/>
      </c>
      <c r="CB205" s="154" t="str">
        <f t="shared" si="638"/>
        <v/>
      </c>
      <c r="CC205" s="153" t="str">
        <f t="shared" si="639"/>
        <v/>
      </c>
      <c r="CD205" s="154" t="str">
        <f t="shared" si="640"/>
        <v/>
      </c>
      <c r="CE205" s="153" t="str">
        <f t="shared" si="641"/>
        <v/>
      </c>
      <c r="CF205" s="580" t="str">
        <f>IF('Marks Entry'!AK205="","",'Marks Entry'!AK205)</f>
        <v/>
      </c>
      <c r="CG205" s="580" t="str">
        <f>IF('Marks Entry'!AL205="","",'Marks Entry'!AL205)</f>
        <v/>
      </c>
      <c r="CH205" s="580" t="str">
        <f>IF('Marks Entry'!AM205="","",'Marks Entry'!AM205)</f>
        <v/>
      </c>
      <c r="CI205" s="580" t="str">
        <f>IF('Marks Entry'!AN205="","",'Marks Entry'!AN205)</f>
        <v/>
      </c>
      <c r="CJ205" s="581" t="str">
        <f t="shared" si="642"/>
        <v/>
      </c>
      <c r="CK205" s="580" t="str">
        <f>IF('Marks Entry'!AO205="","",'Marks Entry'!AO205)</f>
        <v/>
      </c>
      <c r="CL205" s="580" t="str">
        <f>IF('Marks Entry'!AP205="","",'Marks Entry'!AP205)</f>
        <v/>
      </c>
      <c r="CM205" s="581" t="str">
        <f t="shared" si="643"/>
        <v/>
      </c>
      <c r="CN205" s="581" t="str">
        <f t="shared" si="644"/>
        <v/>
      </c>
      <c r="CO205" s="580" t="str">
        <f>IF('Marks Entry'!AQ205="","",'Marks Entry'!AQ205)</f>
        <v/>
      </c>
      <c r="CP205" s="580" t="str">
        <f>IF('Marks Entry'!AR205="","",'Marks Entry'!AR205)</f>
        <v/>
      </c>
      <c r="CQ205" s="581" t="str">
        <f t="shared" si="645"/>
        <v/>
      </c>
      <c r="CR205" s="157" t="str">
        <f t="shared" si="646"/>
        <v/>
      </c>
      <c r="CS205" s="157" t="str">
        <f t="shared" si="647"/>
        <v/>
      </c>
      <c r="CT205" s="192" t="str">
        <f t="shared" si="648"/>
        <v/>
      </c>
      <c r="CU205" s="153">
        <f t="shared" si="649"/>
        <v>0</v>
      </c>
      <c r="CV205" s="154">
        <f t="shared" si="650"/>
        <v>0</v>
      </c>
      <c r="CW205" s="154" t="str">
        <f t="shared" si="651"/>
        <v/>
      </c>
      <c r="CX205" s="154" t="str">
        <f t="shared" si="652"/>
        <v/>
      </c>
      <c r="CY205" s="154" t="str">
        <f t="shared" si="653"/>
        <v/>
      </c>
      <c r="CZ205" s="153" t="str">
        <f t="shared" si="654"/>
        <v/>
      </c>
      <c r="DA205" s="154" t="str">
        <f t="shared" si="655"/>
        <v/>
      </c>
      <c r="DB205" s="153" t="str">
        <f t="shared" si="656"/>
        <v/>
      </c>
      <c r="DC205" s="154">
        <f t="shared" si="657"/>
        <v>0</v>
      </c>
      <c r="DD205" s="826" t="str">
        <f>IF('Marks Entry'!AS205="","",IF(OR('Master Sheet'!$D$19="YES",'Marks Entry'!$BA$1=1),'Marks Entry'!AS205,""))</f>
        <v/>
      </c>
      <c r="DE205" s="826" t="str">
        <f>IF('Marks Entry'!AT205="","",IF(OR('Master Sheet'!$D$19="YES",'Marks Entry'!$BA$1=1),'Marks Entry'!AT205,""))</f>
        <v/>
      </c>
      <c r="DF205" s="826" t="str">
        <f>IF('Marks Entry'!AU205="","",IF(OR('Master Sheet'!$D$19="YES",'Marks Entry'!$BA$1=1),'Marks Entry'!AU205,""))</f>
        <v/>
      </c>
      <c r="DG205" s="826" t="str">
        <f>IF('Marks Entry'!AV205="","",IF(OR('Master Sheet'!$D$19="YES",'Marks Entry'!$BA$1=1),'Marks Entry'!AV205,""))</f>
        <v/>
      </c>
      <c r="DH205" s="827" t="str">
        <f t="shared" si="658"/>
        <v/>
      </c>
      <c r="DI205" s="826" t="str">
        <f>IF('Marks Entry'!AW205="","",IF(OR('Master Sheet'!$D$19="YES",'Marks Entry'!$BA$1=1),'Marks Entry'!AW205,""))</f>
        <v/>
      </c>
      <c r="DJ205" s="826" t="str">
        <f>IF('Marks Entry'!AX205="","",IF(OR('Master Sheet'!$D$19="YES",'Marks Entry'!$BA$1=1),'Marks Entry'!AX205,""))</f>
        <v/>
      </c>
      <c r="DK205" s="827" t="str">
        <f t="shared" si="659"/>
        <v/>
      </c>
      <c r="DL205" s="827" t="str">
        <f t="shared" si="660"/>
        <v/>
      </c>
      <c r="DM205" s="826" t="str">
        <f>IF('Marks Entry'!AY205="","",IF(OR('Master Sheet'!$D$19="YES",'Marks Entry'!$BA$1=1),'Marks Entry'!AY205,""))</f>
        <v/>
      </c>
      <c r="DN205" s="826" t="str">
        <f>IF('Marks Entry'!AZ205="","",IF(OR('Master Sheet'!$D$19="YES",'Marks Entry'!$BA$1=1),'Marks Entry'!AZ205,""))</f>
        <v/>
      </c>
      <c r="DO205" s="826" t="str">
        <f>IF('Marks Entry'!BA205="","",IF(OR('Master Sheet'!$D$19="YES",'Marks Entry'!$BA$1=1),'Marks Entry'!BA205,""))</f>
        <v/>
      </c>
      <c r="DP205" s="827" t="str">
        <f t="shared" si="661"/>
        <v/>
      </c>
      <c r="DQ205" s="157" t="str">
        <f t="shared" si="662"/>
        <v/>
      </c>
      <c r="DR205" s="157" t="str">
        <f t="shared" si="663"/>
        <v/>
      </c>
      <c r="DS205" s="157" t="str">
        <f t="shared" si="664"/>
        <v/>
      </c>
      <c r="DT205" s="192" t="str">
        <f t="shared" si="665"/>
        <v/>
      </c>
      <c r="DU205" s="153">
        <f t="shared" si="666"/>
        <v>0</v>
      </c>
      <c r="DV205" s="154" t="e">
        <f t="shared" si="667"/>
        <v>#VALUE!</v>
      </c>
      <c r="DW205" s="154" t="str">
        <f t="shared" si="668"/>
        <v/>
      </c>
      <c r="DX205" s="154" t="str">
        <f>IF(OR($B205="NSO",$B205=0,DS205=""),"",IF(AND(DJ205="",DO205=""),"",IF('Master Sheet'!$D$19="YES",$DO$6-COUNTIF(DO205,"ML")*DO$6,DS$6-(COUNTIF(DJ205,"ML")*DJ$6)-(COUNTIF(DO205,"ML")*DO$6))))</f>
        <v/>
      </c>
      <c r="DY205" s="154" t="str">
        <f>IF(OR($B205="NSO",$B205=0),"",IF(AND(DH205="",DI205="",DM205=""),"",IF(AND('Master Sheet'!$D$19="YES",'Marks Entry'!$BA$1=1),100,IF(AND(DJ205="",DO205=""),SUM(($DQ$7+$DR$7)-(DU205+DV205)),SUM(($DQ$6+$DR$6)-(DU205+DV205))))))</f>
        <v/>
      </c>
      <c r="DZ205" s="153" t="str">
        <f t="shared" si="669"/>
        <v/>
      </c>
      <c r="EA205" s="154" t="str">
        <f t="shared" si="670"/>
        <v/>
      </c>
      <c r="EB205" s="153" t="str">
        <f t="shared" si="671"/>
        <v/>
      </c>
      <c r="EC205" s="584" t="str">
        <f>IF('Marks Entry'!BB205="","",'Marks Entry'!BB205)</f>
        <v/>
      </c>
      <c r="ED205" s="584" t="str">
        <f>IF('Marks Entry'!BC205="","",'Marks Entry'!BC205)</f>
        <v/>
      </c>
      <c r="EE205" s="584" t="str">
        <f>IF('Marks Entry'!BD205="","",'Marks Entry'!BD205)</f>
        <v/>
      </c>
      <c r="EF205" s="590" t="str">
        <f t="shared" si="672"/>
        <v/>
      </c>
      <c r="EG205" s="595">
        <f t="shared" si="673"/>
        <v>0</v>
      </c>
      <c r="EH205" s="595">
        <f t="shared" si="674"/>
        <v>0</v>
      </c>
      <c r="EI205" s="193" t="str">
        <f t="shared" si="675"/>
        <v/>
      </c>
      <c r="EJ205" s="595" t="str">
        <f t="shared" si="676"/>
        <v/>
      </c>
      <c r="EK205" s="595" t="str">
        <f t="shared" si="677"/>
        <v/>
      </c>
      <c r="EL205" s="194" t="str">
        <f t="shared" si="678"/>
        <v/>
      </c>
      <c r="EM205" s="194" t="str">
        <f t="shared" si="679"/>
        <v/>
      </c>
      <c r="EN205" s="194" t="str">
        <f t="shared" si="680"/>
        <v/>
      </c>
      <c r="EO205" s="194" t="str">
        <f t="shared" si="681"/>
        <v/>
      </c>
      <c r="EP205" s="194" t="str">
        <f t="shared" si="682"/>
        <v/>
      </c>
      <c r="EQ205" s="194" t="str">
        <f t="shared" si="683"/>
        <v/>
      </c>
      <c r="ER205" s="195">
        <f t="shared" si="684"/>
        <v>0</v>
      </c>
      <c r="ES205" s="195">
        <f t="shared" si="685"/>
        <v>0</v>
      </c>
      <c r="ET205" s="195">
        <f t="shared" si="686"/>
        <v>0</v>
      </c>
      <c r="EU205" s="195">
        <f t="shared" si="687"/>
        <v>0</v>
      </c>
      <c r="EV205" s="195">
        <f t="shared" si="688"/>
        <v>0</v>
      </c>
      <c r="EW205" s="195" t="str">
        <f t="shared" si="689"/>
        <v/>
      </c>
      <c r="EX205" s="196" t="str">
        <f t="shared" si="690"/>
        <v/>
      </c>
      <c r="EY205" s="197" t="str">
        <f>IF('Marks Entry'!BE205="","",'Marks Entry'!BE205)</f>
        <v/>
      </c>
      <c r="EZ205" s="197" t="str">
        <f>IF('Marks Entry'!BF205="","",'Marks Entry'!BF205)</f>
        <v/>
      </c>
      <c r="FA205" s="197" t="str">
        <f>IF('Marks Entry'!BG205="","",'Marks Entry'!BG205)</f>
        <v/>
      </c>
      <c r="FB205" s="596" t="str">
        <f t="shared" si="691"/>
        <v/>
      </c>
      <c r="FC205" s="197" t="str">
        <f>IF('Marks Entry'!BH205="","",'Marks Entry'!BH205)</f>
        <v/>
      </c>
      <c r="FD205" s="197" t="str">
        <f>IF('Marks Entry'!BI205="","",'Marks Entry'!BI205)</f>
        <v/>
      </c>
      <c r="FE205" s="198" t="str">
        <f t="shared" si="692"/>
        <v/>
      </c>
      <c r="FF205" s="199" t="str">
        <f t="shared" si="693"/>
        <v/>
      </c>
      <c r="FG205" s="200" t="str">
        <f>IF(AND(E205=""),"",IF('Student DATA Entry'!L201="","",'Student DATA Entry'!L201))</f>
        <v/>
      </c>
      <c r="FH205" s="201" t="str">
        <f>IF(AND(E205=""),"",IF('Student DATA Entry'!M201="","",'Student DATA Entry'!M201))</f>
        <v/>
      </c>
      <c r="FI205" s="202" t="str">
        <f t="shared" si="694"/>
        <v/>
      </c>
      <c r="FJ205" s="189" t="str">
        <f t="shared" si="695"/>
        <v/>
      </c>
      <c r="FK205" s="189" t="str">
        <f t="shared" si="696"/>
        <v/>
      </c>
      <c r="FL205" s="203" t="str">
        <f t="shared" si="565"/>
        <v/>
      </c>
      <c r="FM205" s="189" t="str">
        <f t="shared" si="697"/>
        <v/>
      </c>
      <c r="FN205" s="204" t="str">
        <f t="shared" si="698"/>
        <v/>
      </c>
      <c r="FO205" s="203" t="str">
        <f t="shared" si="566"/>
        <v/>
      </c>
      <c r="FP205" s="205" t="str">
        <f t="shared" si="699"/>
        <v/>
      </c>
      <c r="FQ205" s="189" t="str">
        <f t="shared" si="567"/>
        <v/>
      </c>
      <c r="FR205" s="189" t="str">
        <f t="shared" si="568"/>
        <v/>
      </c>
      <c r="FS205" s="189" t="str">
        <f t="shared" si="569"/>
        <v/>
      </c>
      <c r="FT205" s="189" t="str">
        <f t="shared" si="570"/>
        <v/>
      </c>
      <c r="FU205" s="189" t="str">
        <f t="shared" si="700"/>
        <v/>
      </c>
      <c r="FV205" s="206" t="str">
        <f t="shared" si="571"/>
        <v/>
      </c>
      <c r="FW205" s="205" t="str">
        <f t="shared" si="701"/>
        <v/>
      </c>
      <c r="FX205" s="189" t="str">
        <f t="shared" si="572"/>
        <v/>
      </c>
      <c r="FY205" s="189" t="str">
        <f t="shared" si="573"/>
        <v/>
      </c>
      <c r="FZ205" s="189" t="str">
        <f t="shared" si="574"/>
        <v/>
      </c>
      <c r="GA205" s="189" t="str">
        <f t="shared" si="575"/>
        <v/>
      </c>
      <c r="GB205" s="189" t="str">
        <f t="shared" si="702"/>
        <v/>
      </c>
      <c r="GC205" s="206" t="str">
        <f t="shared" si="576"/>
        <v/>
      </c>
      <c r="GD205" s="205" t="str">
        <f t="shared" si="703"/>
        <v/>
      </c>
      <c r="GE205" s="189" t="str">
        <f t="shared" si="577"/>
        <v/>
      </c>
      <c r="GF205" s="189" t="str">
        <f t="shared" si="578"/>
        <v/>
      </c>
      <c r="GG205" s="189" t="str">
        <f t="shared" si="579"/>
        <v/>
      </c>
      <c r="GH205" s="189" t="str">
        <f t="shared" si="580"/>
        <v/>
      </c>
      <c r="GI205" s="189" t="str">
        <f t="shared" si="704"/>
        <v/>
      </c>
      <c r="GJ205" s="206" t="str">
        <f t="shared" si="581"/>
        <v/>
      </c>
      <c r="GK205" s="205" t="str">
        <f t="shared" si="705"/>
        <v/>
      </c>
      <c r="GL205" s="189" t="str">
        <f t="shared" si="582"/>
        <v/>
      </c>
      <c r="GM205" s="189" t="str">
        <f t="shared" si="583"/>
        <v/>
      </c>
      <c r="GN205" s="189" t="str">
        <f t="shared" si="584"/>
        <v/>
      </c>
      <c r="GO205" s="189" t="str">
        <f t="shared" si="585"/>
        <v/>
      </c>
      <c r="GP205" s="189" t="str">
        <f t="shared" si="706"/>
        <v/>
      </c>
      <c r="GQ205" s="206" t="str">
        <f t="shared" si="586"/>
        <v/>
      </c>
      <c r="GR205" s="189" t="str">
        <f t="shared" si="707"/>
        <v/>
      </c>
      <c r="GS205" s="189" t="str">
        <f t="shared" si="708"/>
        <v/>
      </c>
      <c r="GT205" s="207" t="str">
        <f t="shared" si="709"/>
        <v xml:space="preserve">    </v>
      </c>
      <c r="GU205" s="207" t="str">
        <f t="shared" si="710"/>
        <v xml:space="preserve">    </v>
      </c>
      <c r="GV205" s="207" t="str">
        <f t="shared" si="711"/>
        <v xml:space="preserve">    </v>
      </c>
      <c r="GW205" s="207" t="str">
        <f t="shared" si="712"/>
        <v xml:space="preserve">       </v>
      </c>
      <c r="GX205" s="598" t="str">
        <f t="shared" si="713"/>
        <v xml:space="preserve">     </v>
      </c>
      <c r="GY205" s="208" t="str">
        <f t="shared" si="587"/>
        <v/>
      </c>
      <c r="GZ205" s="606" t="str">
        <f>IF(AND(Q205="",AE205="",AZ205="",BW205="",CT205=""),"",IF(AND('Master Sheet'!$D$19="YES",'Marks Entry'!$BA$1=1),SUM(Q205,AE205,AZ205,BW205,DT205),SUM(Q205,AE205,AZ205,BW205,CT205)))</f>
        <v/>
      </c>
      <c r="HA205" s="209" t="str">
        <f>IF(GZ205="","",IF(AND('Master Sheet'!$D$19="YES",'Marks Entry'!$BA$1=1),GZ205/((900)-DC205)*100,GZ205/((1000)-DC205)*100))</f>
        <v/>
      </c>
      <c r="HB205" s="611" t="str">
        <f t="shared" si="714"/>
        <v/>
      </c>
      <c r="HC205" s="609" t="str">
        <f t="shared" si="715"/>
        <v/>
      </c>
      <c r="HD205" s="610" t="str">
        <f t="shared" si="716"/>
        <v/>
      </c>
      <c r="HE205" s="210" t="str">
        <f>IFERROR(IF(OR(GY205="SUPPLEMENTARY",GY205="RE-EXAM"),'Supp. Result Entry'!AS204,""),"")</f>
        <v/>
      </c>
      <c r="HF205" s="613" t="str">
        <f t="shared" si="717"/>
        <v/>
      </c>
      <c r="HG205" s="598" t="str">
        <f t="shared" si="718"/>
        <v/>
      </c>
      <c r="HH205" s="598" t="str">
        <f>IF(AND(HE205="",HF205="",HG205=""),"",IF(OR(GY205="SUPPLEMENTARY",GY205="RE-EXAM"),'Supp. Result Entry'!AS204,GY205))</f>
        <v/>
      </c>
      <c r="HI205" s="180"/>
      <c r="HY205" s="212" t="str">
        <f>IF('Supp. Result Entry'!U204="","",'Supp. Result Entry'!$U$6)</f>
        <v/>
      </c>
      <c r="HZ205" s="213" t="str">
        <f>IF('Supp. Result Entry'!X204="","",'Supp. Result Entry'!$X$6)</f>
        <v/>
      </c>
      <c r="IA205" s="213" t="str">
        <f>IF('Supp. Result Entry'!AA204="","",'Supp. Result Entry'!$AA$6)</f>
        <v/>
      </c>
      <c r="IB205" s="213" t="str">
        <f>IF('Supp. Result Entry'!AD204="","",'Supp. Result Entry'!$AD$6)</f>
        <v/>
      </c>
      <c r="IC205" s="213" t="str">
        <f>IF('Supp. Result Entry'!AG204="","",'Supp. Result Entry'!$AG$6)</f>
        <v/>
      </c>
      <c r="ID205" s="213" t="str">
        <f>IF('Supp. Result Entry'!AJ204="","",'Supp. Result Entry'!$AJ$6)</f>
        <v/>
      </c>
      <c r="IE205" s="213" t="str">
        <f>IF('Supp. Result Entry'!V204="","",'Supp. Result Entry'!V204)</f>
        <v/>
      </c>
      <c r="IF205" s="213" t="str">
        <f>IF('Supp. Result Entry'!Y204="","",'Supp. Result Entry'!Y204)</f>
        <v/>
      </c>
      <c r="IG205" s="213" t="str">
        <f>IF('Supp. Result Entry'!AB204="","",'Supp. Result Entry'!AB204)</f>
        <v/>
      </c>
      <c r="IH205" s="213" t="str">
        <f>IF('Supp. Result Entry'!AE204="","",'Supp. Result Entry'!AE204)</f>
        <v/>
      </c>
      <c r="II205" s="213" t="str">
        <f>IF('Supp. Result Entry'!AH204="","",'Supp. Result Entry'!AH204)</f>
        <v/>
      </c>
      <c r="IJ205" s="213" t="str">
        <f>IF('Supp. Result Entry'!AK204="","",'Supp. Result Entry'!AK204)</f>
        <v/>
      </c>
      <c r="IK205" s="213" t="str">
        <f>IF('Supp. Result Entry'!W204="","",'Supp. Result Entry'!W204)</f>
        <v/>
      </c>
      <c r="IL205" s="213" t="str">
        <f>IF('Supp. Result Entry'!Z204="","",'Supp. Result Entry'!Z204)</f>
        <v/>
      </c>
      <c r="IM205" s="213" t="str">
        <f>IF('Supp. Result Entry'!AC204="","",'Supp. Result Entry'!AC204)</f>
        <v/>
      </c>
      <c r="IN205" s="213" t="str">
        <f>IF('Supp. Result Entry'!AF204="","",'Supp. Result Entry'!AF204)</f>
        <v/>
      </c>
      <c r="IO205" s="213" t="str">
        <f>IF('Supp. Result Entry'!AI204="","",'Supp. Result Entry'!AI204)</f>
        <v/>
      </c>
      <c r="IP205" s="213" t="str">
        <f>IF('Supp. Result Entry'!AL204="","",'Supp. Result Entry'!AL204)</f>
        <v/>
      </c>
      <c r="IQ205" s="213">
        <f>COUNTIF('Supp. Result Entry'!K204:Q204,"S")</f>
        <v>0</v>
      </c>
      <c r="IR205" s="213">
        <f t="shared" si="719"/>
        <v>0</v>
      </c>
      <c r="IS205" s="213">
        <f t="shared" si="720"/>
        <v>0</v>
      </c>
      <c r="IT205" s="213" t="str">
        <f t="shared" si="588"/>
        <v/>
      </c>
      <c r="IU205" s="213" t="str">
        <f t="shared" si="589"/>
        <v/>
      </c>
      <c r="IV205" s="213" t="str">
        <f t="shared" si="590"/>
        <v/>
      </c>
      <c r="IW205" s="213" t="str">
        <f t="shared" si="591"/>
        <v/>
      </c>
      <c r="IX205" s="213" t="str">
        <f t="shared" si="592"/>
        <v/>
      </c>
      <c r="IY205" s="213" t="str">
        <f t="shared" si="721"/>
        <v/>
      </c>
      <c r="IZ205" s="213" t="str">
        <f t="shared" si="722"/>
        <v/>
      </c>
      <c r="JA205" s="213" t="str">
        <f t="shared" si="593"/>
        <v/>
      </c>
      <c r="JB205" s="211" t="str">
        <f t="shared" si="723"/>
        <v/>
      </c>
    </row>
    <row r="206" spans="1:262" s="211" customFormat="1" ht="21" customHeight="1">
      <c r="A206" s="184">
        <v>199</v>
      </c>
      <c r="B206" s="185" t="str">
        <f>IF('Marks Entry'!B206="","",'Marks Entry'!B206)</f>
        <v/>
      </c>
      <c r="C206" s="186" t="str">
        <f>IF('Marks Entry'!D206="","",'Marks Entry'!D206)</f>
        <v/>
      </c>
      <c r="D206" s="187" t="str">
        <f>IF('Marks Entry'!E206="","",'Marks Entry'!E206)</f>
        <v/>
      </c>
      <c r="E206" s="188" t="str">
        <f>IF('Marks Entry'!F206="","",'Marks Entry'!F206)</f>
        <v/>
      </c>
      <c r="F206" s="188" t="str">
        <f>IF('Marks Entry'!G206="","",'Marks Entry'!G206)</f>
        <v/>
      </c>
      <c r="G206" s="188" t="str">
        <f>IF('Marks Entry'!H206="","",'Marks Entry'!H206)</f>
        <v/>
      </c>
      <c r="H206" s="189" t="str">
        <f>IF('Marks Entry'!I206="","",'Marks Entry'!I206)</f>
        <v/>
      </c>
      <c r="I206" s="190" t="str">
        <f>IF('Marks Entry'!J206="","",'Marks Entry'!J206)</f>
        <v/>
      </c>
      <c r="J206" s="545" t="str">
        <f>IF('Marks Entry'!K206="","",'Marks Entry'!K206)</f>
        <v/>
      </c>
      <c r="K206" s="545" t="str">
        <f>IF('Marks Entry'!L206="","",'Marks Entry'!L206)</f>
        <v/>
      </c>
      <c r="L206" s="545" t="str">
        <f>IF('Marks Entry'!M206="","",'Marks Entry'!M206)</f>
        <v/>
      </c>
      <c r="M206" s="546" t="str">
        <f t="shared" si="594"/>
        <v/>
      </c>
      <c r="N206" s="545" t="str">
        <f>IF('Marks Entry'!N206="","",'Marks Entry'!N206)</f>
        <v/>
      </c>
      <c r="O206" s="546" t="str">
        <f t="shared" si="595"/>
        <v/>
      </c>
      <c r="P206" s="545" t="str">
        <f>IF('Marks Entry'!O206="","",'Marks Entry'!O206)</f>
        <v/>
      </c>
      <c r="Q206" s="547" t="str">
        <f t="shared" si="596"/>
        <v/>
      </c>
      <c r="R206" s="153">
        <f t="shared" si="597"/>
        <v>0</v>
      </c>
      <c r="S206" s="153">
        <f t="shared" si="598"/>
        <v>0</v>
      </c>
      <c r="T206" s="154" t="str">
        <f t="shared" si="599"/>
        <v/>
      </c>
      <c r="U206" s="153" t="str">
        <f t="shared" si="600"/>
        <v/>
      </c>
      <c r="V206" s="153" t="str">
        <f t="shared" si="601"/>
        <v/>
      </c>
      <c r="W206" s="153" t="str">
        <f t="shared" si="602"/>
        <v/>
      </c>
      <c r="X206" s="545" t="str">
        <f>IF('Marks Entry'!P206="","",'Marks Entry'!P206)</f>
        <v/>
      </c>
      <c r="Y206" s="545" t="str">
        <f>IF('Marks Entry'!Q206="","",'Marks Entry'!Q206)</f>
        <v/>
      </c>
      <c r="Z206" s="545" t="str">
        <f>IF('Marks Entry'!R206="","",'Marks Entry'!R206)</f>
        <v/>
      </c>
      <c r="AA206" s="546" t="str">
        <f t="shared" si="603"/>
        <v/>
      </c>
      <c r="AB206" s="545" t="str">
        <f>IF('Marks Entry'!S206="","",'Marks Entry'!S206)</f>
        <v/>
      </c>
      <c r="AC206" s="546" t="str">
        <f t="shared" si="604"/>
        <v/>
      </c>
      <c r="AD206" s="545" t="str">
        <f>IF('Marks Entry'!T206="","",'Marks Entry'!T206)</f>
        <v/>
      </c>
      <c r="AE206" s="547" t="str">
        <f t="shared" si="605"/>
        <v/>
      </c>
      <c r="AF206" s="153">
        <f t="shared" si="606"/>
        <v>0</v>
      </c>
      <c r="AG206" s="153">
        <f t="shared" si="607"/>
        <v>0</v>
      </c>
      <c r="AH206" s="154" t="str">
        <f t="shared" si="608"/>
        <v/>
      </c>
      <c r="AI206" s="153" t="str">
        <f t="shared" si="609"/>
        <v/>
      </c>
      <c r="AJ206" s="153" t="str">
        <f t="shared" si="610"/>
        <v/>
      </c>
      <c r="AK206" s="153" t="str">
        <f t="shared" si="611"/>
        <v/>
      </c>
      <c r="AL206" s="573" t="str">
        <f>IF('Marks Entry'!U206="","",'Marks Entry'!U206)</f>
        <v/>
      </c>
      <c r="AM206" s="573" t="str">
        <f>IF('Marks Entry'!V206="","",'Marks Entry'!V206)</f>
        <v/>
      </c>
      <c r="AN206" s="573" t="str">
        <f>IF('Marks Entry'!W206="","",'Marks Entry'!W206)</f>
        <v/>
      </c>
      <c r="AO206" s="573" t="str">
        <f>IF('Marks Entry'!X206="","",'Marks Entry'!X206)</f>
        <v/>
      </c>
      <c r="AP206" s="572" t="str">
        <f t="shared" si="612"/>
        <v/>
      </c>
      <c r="AQ206" s="573" t="str">
        <f>IF('Marks Entry'!Y206="","",'Marks Entry'!Y206)</f>
        <v/>
      </c>
      <c r="AR206" s="573" t="str">
        <f>IF('Marks Entry'!Z206="","",'Marks Entry'!Z206)</f>
        <v/>
      </c>
      <c r="AS206" s="572" t="str">
        <f t="shared" si="613"/>
        <v/>
      </c>
      <c r="AT206" s="572" t="str">
        <f t="shared" si="614"/>
        <v/>
      </c>
      <c r="AU206" s="573" t="str">
        <f>IF('Marks Entry'!AA206="","",'Marks Entry'!AA206)</f>
        <v/>
      </c>
      <c r="AV206" s="573" t="str">
        <f>IF('Marks Entry'!AB206="","",'Marks Entry'!AB206)</f>
        <v/>
      </c>
      <c r="AW206" s="572" t="str">
        <f t="shared" si="615"/>
        <v/>
      </c>
      <c r="AX206" s="157" t="str">
        <f t="shared" si="616"/>
        <v/>
      </c>
      <c r="AY206" s="157" t="str">
        <f t="shared" si="617"/>
        <v/>
      </c>
      <c r="AZ206" s="192" t="str">
        <f t="shared" si="618"/>
        <v/>
      </c>
      <c r="BA206" s="153">
        <f t="shared" si="619"/>
        <v>0</v>
      </c>
      <c r="BB206" s="154">
        <f t="shared" si="620"/>
        <v>0</v>
      </c>
      <c r="BC206" s="154" t="str">
        <f t="shared" si="621"/>
        <v/>
      </c>
      <c r="BD206" s="154" t="str">
        <f t="shared" si="622"/>
        <v/>
      </c>
      <c r="BE206" s="154" t="str">
        <f t="shared" si="623"/>
        <v/>
      </c>
      <c r="BF206" s="153" t="str">
        <f t="shared" si="624"/>
        <v/>
      </c>
      <c r="BG206" s="154" t="str">
        <f t="shared" si="625"/>
        <v/>
      </c>
      <c r="BH206" s="153" t="str">
        <f t="shared" si="626"/>
        <v/>
      </c>
      <c r="BI206" s="580" t="str">
        <f>IF('Marks Entry'!AC206="","",'Marks Entry'!AC206)</f>
        <v/>
      </c>
      <c r="BJ206" s="580" t="str">
        <f>IF('Marks Entry'!AD206="","",'Marks Entry'!AD206)</f>
        <v/>
      </c>
      <c r="BK206" s="580" t="str">
        <f>IF('Marks Entry'!AE206="","",'Marks Entry'!AE206)</f>
        <v/>
      </c>
      <c r="BL206" s="580" t="str">
        <f>IF('Marks Entry'!AF206="","",'Marks Entry'!AF206)</f>
        <v/>
      </c>
      <c r="BM206" s="581" t="str">
        <f t="shared" si="627"/>
        <v/>
      </c>
      <c r="BN206" s="580" t="str">
        <f>IF('Marks Entry'!AG206="","",'Marks Entry'!AG206)</f>
        <v/>
      </c>
      <c r="BO206" s="580" t="str">
        <f>IF('Marks Entry'!AH206="","",'Marks Entry'!AH206)</f>
        <v/>
      </c>
      <c r="BP206" s="581" t="str">
        <f t="shared" si="628"/>
        <v/>
      </c>
      <c r="BQ206" s="581" t="str">
        <f t="shared" si="629"/>
        <v/>
      </c>
      <c r="BR206" s="580" t="str">
        <f>IF('Marks Entry'!AI206="","",'Marks Entry'!AI206)</f>
        <v/>
      </c>
      <c r="BS206" s="580" t="str">
        <f>IF('Marks Entry'!AJ206="","",'Marks Entry'!AJ206)</f>
        <v/>
      </c>
      <c r="BT206" s="581" t="str">
        <f t="shared" si="630"/>
        <v/>
      </c>
      <c r="BU206" s="157" t="str">
        <f t="shared" si="631"/>
        <v/>
      </c>
      <c r="BV206" s="157" t="str">
        <f t="shared" si="632"/>
        <v/>
      </c>
      <c r="BW206" s="192" t="str">
        <f t="shared" si="633"/>
        <v/>
      </c>
      <c r="BX206" s="153">
        <f t="shared" si="634"/>
        <v>0</v>
      </c>
      <c r="BY206" s="154">
        <f t="shared" si="635"/>
        <v>0</v>
      </c>
      <c r="BZ206" s="154" t="str">
        <f t="shared" si="636"/>
        <v/>
      </c>
      <c r="CA206" s="154" t="str">
        <f t="shared" si="637"/>
        <v/>
      </c>
      <c r="CB206" s="154" t="str">
        <f t="shared" si="638"/>
        <v/>
      </c>
      <c r="CC206" s="153" t="str">
        <f t="shared" si="639"/>
        <v/>
      </c>
      <c r="CD206" s="154" t="str">
        <f t="shared" si="640"/>
        <v/>
      </c>
      <c r="CE206" s="153" t="str">
        <f t="shared" si="641"/>
        <v/>
      </c>
      <c r="CF206" s="580" t="str">
        <f>IF('Marks Entry'!AK206="","",'Marks Entry'!AK206)</f>
        <v/>
      </c>
      <c r="CG206" s="580" t="str">
        <f>IF('Marks Entry'!AL206="","",'Marks Entry'!AL206)</f>
        <v/>
      </c>
      <c r="CH206" s="580" t="str">
        <f>IF('Marks Entry'!AM206="","",'Marks Entry'!AM206)</f>
        <v/>
      </c>
      <c r="CI206" s="580" t="str">
        <f>IF('Marks Entry'!AN206="","",'Marks Entry'!AN206)</f>
        <v/>
      </c>
      <c r="CJ206" s="581" t="str">
        <f t="shared" si="642"/>
        <v/>
      </c>
      <c r="CK206" s="580" t="str">
        <f>IF('Marks Entry'!AO206="","",'Marks Entry'!AO206)</f>
        <v/>
      </c>
      <c r="CL206" s="580" t="str">
        <f>IF('Marks Entry'!AP206="","",'Marks Entry'!AP206)</f>
        <v/>
      </c>
      <c r="CM206" s="581" t="str">
        <f t="shared" si="643"/>
        <v/>
      </c>
      <c r="CN206" s="581" t="str">
        <f t="shared" si="644"/>
        <v/>
      </c>
      <c r="CO206" s="580" t="str">
        <f>IF('Marks Entry'!AQ206="","",'Marks Entry'!AQ206)</f>
        <v/>
      </c>
      <c r="CP206" s="580" t="str">
        <f>IF('Marks Entry'!AR206="","",'Marks Entry'!AR206)</f>
        <v/>
      </c>
      <c r="CQ206" s="581" t="str">
        <f t="shared" si="645"/>
        <v/>
      </c>
      <c r="CR206" s="157" t="str">
        <f t="shared" si="646"/>
        <v/>
      </c>
      <c r="CS206" s="157" t="str">
        <f t="shared" si="647"/>
        <v/>
      </c>
      <c r="CT206" s="192" t="str">
        <f t="shared" si="648"/>
        <v/>
      </c>
      <c r="CU206" s="153">
        <f t="shared" si="649"/>
        <v>0</v>
      </c>
      <c r="CV206" s="154">
        <f t="shared" si="650"/>
        <v>0</v>
      </c>
      <c r="CW206" s="154" t="str">
        <f t="shared" si="651"/>
        <v/>
      </c>
      <c r="CX206" s="154" t="str">
        <f t="shared" si="652"/>
        <v/>
      </c>
      <c r="CY206" s="154" t="str">
        <f t="shared" si="653"/>
        <v/>
      </c>
      <c r="CZ206" s="153" t="str">
        <f t="shared" si="654"/>
        <v/>
      </c>
      <c r="DA206" s="154" t="str">
        <f t="shared" si="655"/>
        <v/>
      </c>
      <c r="DB206" s="153" t="str">
        <f t="shared" si="656"/>
        <v/>
      </c>
      <c r="DC206" s="154">
        <f t="shared" si="657"/>
        <v>0</v>
      </c>
      <c r="DD206" s="826" t="str">
        <f>IF('Marks Entry'!AS206="","",IF(OR('Master Sheet'!$D$19="YES",'Marks Entry'!$BA$1=1),'Marks Entry'!AS206,""))</f>
        <v/>
      </c>
      <c r="DE206" s="826" t="str">
        <f>IF('Marks Entry'!AT206="","",IF(OR('Master Sheet'!$D$19="YES",'Marks Entry'!$BA$1=1),'Marks Entry'!AT206,""))</f>
        <v/>
      </c>
      <c r="DF206" s="826" t="str">
        <f>IF('Marks Entry'!AU206="","",IF(OR('Master Sheet'!$D$19="YES",'Marks Entry'!$BA$1=1),'Marks Entry'!AU206,""))</f>
        <v/>
      </c>
      <c r="DG206" s="826" t="str">
        <f>IF('Marks Entry'!AV206="","",IF(OR('Master Sheet'!$D$19="YES",'Marks Entry'!$BA$1=1),'Marks Entry'!AV206,""))</f>
        <v/>
      </c>
      <c r="DH206" s="827" t="str">
        <f t="shared" si="658"/>
        <v/>
      </c>
      <c r="DI206" s="826" t="str">
        <f>IF('Marks Entry'!AW206="","",IF(OR('Master Sheet'!$D$19="YES",'Marks Entry'!$BA$1=1),'Marks Entry'!AW206,""))</f>
        <v/>
      </c>
      <c r="DJ206" s="826" t="str">
        <f>IF('Marks Entry'!AX206="","",IF(OR('Master Sheet'!$D$19="YES",'Marks Entry'!$BA$1=1),'Marks Entry'!AX206,""))</f>
        <v/>
      </c>
      <c r="DK206" s="827" t="str">
        <f t="shared" si="659"/>
        <v/>
      </c>
      <c r="DL206" s="827" t="str">
        <f t="shared" si="660"/>
        <v/>
      </c>
      <c r="DM206" s="826" t="str">
        <f>IF('Marks Entry'!AY206="","",IF(OR('Master Sheet'!$D$19="YES",'Marks Entry'!$BA$1=1),'Marks Entry'!AY206,""))</f>
        <v/>
      </c>
      <c r="DN206" s="826" t="str">
        <f>IF('Marks Entry'!AZ206="","",IF(OR('Master Sheet'!$D$19="YES",'Marks Entry'!$BA$1=1),'Marks Entry'!AZ206,""))</f>
        <v/>
      </c>
      <c r="DO206" s="826" t="str">
        <f>IF('Marks Entry'!BA206="","",IF(OR('Master Sheet'!$D$19="YES",'Marks Entry'!$BA$1=1),'Marks Entry'!BA206,""))</f>
        <v/>
      </c>
      <c r="DP206" s="827" t="str">
        <f t="shared" si="661"/>
        <v/>
      </c>
      <c r="DQ206" s="157" t="str">
        <f t="shared" si="662"/>
        <v/>
      </c>
      <c r="DR206" s="157" t="str">
        <f t="shared" si="663"/>
        <v/>
      </c>
      <c r="DS206" s="157" t="str">
        <f t="shared" si="664"/>
        <v/>
      </c>
      <c r="DT206" s="192" t="str">
        <f t="shared" si="665"/>
        <v/>
      </c>
      <c r="DU206" s="153">
        <f t="shared" si="666"/>
        <v>0</v>
      </c>
      <c r="DV206" s="154" t="e">
        <f t="shared" si="667"/>
        <v>#VALUE!</v>
      </c>
      <c r="DW206" s="154" t="str">
        <f t="shared" si="668"/>
        <v/>
      </c>
      <c r="DX206" s="154" t="str">
        <f>IF(OR($B206="NSO",$B206=0,DS206=""),"",IF(AND(DJ206="",DO206=""),"",IF('Master Sheet'!$D$19="YES",$DO$6-COUNTIF(DO206,"ML")*DO$6,DS$6-(COUNTIF(DJ206,"ML")*DJ$6)-(COUNTIF(DO206,"ML")*DO$6))))</f>
        <v/>
      </c>
      <c r="DY206" s="154" t="str">
        <f>IF(OR($B206="NSO",$B206=0),"",IF(AND(DH206="",DI206="",DM206=""),"",IF(AND('Master Sheet'!$D$19="YES",'Marks Entry'!$BA$1=1),100,IF(AND(DJ206="",DO206=""),SUM(($DQ$7+$DR$7)-(DU206+DV206)),SUM(($DQ$6+$DR$6)-(DU206+DV206))))))</f>
        <v/>
      </c>
      <c r="DZ206" s="153" t="str">
        <f t="shared" si="669"/>
        <v/>
      </c>
      <c r="EA206" s="154" t="str">
        <f t="shared" si="670"/>
        <v/>
      </c>
      <c r="EB206" s="153" t="str">
        <f t="shared" si="671"/>
        <v/>
      </c>
      <c r="EC206" s="584" t="str">
        <f>IF('Marks Entry'!BB206="","",'Marks Entry'!BB206)</f>
        <v/>
      </c>
      <c r="ED206" s="584" t="str">
        <f>IF('Marks Entry'!BC206="","",'Marks Entry'!BC206)</f>
        <v/>
      </c>
      <c r="EE206" s="584" t="str">
        <f>IF('Marks Entry'!BD206="","",'Marks Entry'!BD206)</f>
        <v/>
      </c>
      <c r="EF206" s="590" t="str">
        <f t="shared" si="672"/>
        <v/>
      </c>
      <c r="EG206" s="595">
        <f t="shared" si="673"/>
        <v>0</v>
      </c>
      <c r="EH206" s="595">
        <f t="shared" si="674"/>
        <v>0</v>
      </c>
      <c r="EI206" s="193" t="str">
        <f t="shared" si="675"/>
        <v/>
      </c>
      <c r="EJ206" s="595" t="str">
        <f t="shared" si="676"/>
        <v/>
      </c>
      <c r="EK206" s="595" t="str">
        <f t="shared" si="677"/>
        <v/>
      </c>
      <c r="EL206" s="194" t="str">
        <f t="shared" si="678"/>
        <v/>
      </c>
      <c r="EM206" s="194" t="str">
        <f t="shared" si="679"/>
        <v/>
      </c>
      <c r="EN206" s="194" t="str">
        <f t="shared" si="680"/>
        <v/>
      </c>
      <c r="EO206" s="194" t="str">
        <f t="shared" si="681"/>
        <v/>
      </c>
      <c r="EP206" s="194" t="str">
        <f t="shared" si="682"/>
        <v/>
      </c>
      <c r="EQ206" s="194" t="str">
        <f t="shared" si="683"/>
        <v/>
      </c>
      <c r="ER206" s="195">
        <f t="shared" si="684"/>
        <v>0</v>
      </c>
      <c r="ES206" s="195">
        <f t="shared" si="685"/>
        <v>0</v>
      </c>
      <c r="ET206" s="195">
        <f t="shared" si="686"/>
        <v>0</v>
      </c>
      <c r="EU206" s="195">
        <f t="shared" si="687"/>
        <v>0</v>
      </c>
      <c r="EV206" s="195">
        <f t="shared" si="688"/>
        <v>0</v>
      </c>
      <c r="EW206" s="195" t="str">
        <f t="shared" si="689"/>
        <v/>
      </c>
      <c r="EX206" s="196" t="str">
        <f t="shared" si="690"/>
        <v/>
      </c>
      <c r="EY206" s="197" t="str">
        <f>IF('Marks Entry'!BE206="","",'Marks Entry'!BE206)</f>
        <v/>
      </c>
      <c r="EZ206" s="197" t="str">
        <f>IF('Marks Entry'!BF206="","",'Marks Entry'!BF206)</f>
        <v/>
      </c>
      <c r="FA206" s="197" t="str">
        <f>IF('Marks Entry'!BG206="","",'Marks Entry'!BG206)</f>
        <v/>
      </c>
      <c r="FB206" s="596" t="str">
        <f t="shared" si="691"/>
        <v/>
      </c>
      <c r="FC206" s="197" t="str">
        <f>IF('Marks Entry'!BH206="","",'Marks Entry'!BH206)</f>
        <v/>
      </c>
      <c r="FD206" s="197" t="str">
        <f>IF('Marks Entry'!BI206="","",'Marks Entry'!BI206)</f>
        <v/>
      </c>
      <c r="FE206" s="198" t="str">
        <f t="shared" si="692"/>
        <v/>
      </c>
      <c r="FF206" s="199" t="str">
        <f t="shared" si="693"/>
        <v/>
      </c>
      <c r="FG206" s="200" t="str">
        <f>IF(AND(E206=""),"",IF('Student DATA Entry'!L202="","",'Student DATA Entry'!L202))</f>
        <v/>
      </c>
      <c r="FH206" s="201" t="str">
        <f>IF(AND(E206=""),"",IF('Student DATA Entry'!M202="","",'Student DATA Entry'!M202))</f>
        <v/>
      </c>
      <c r="FI206" s="202" t="str">
        <f t="shared" si="694"/>
        <v/>
      </c>
      <c r="FJ206" s="189" t="str">
        <f t="shared" si="695"/>
        <v/>
      </c>
      <c r="FK206" s="189" t="str">
        <f t="shared" si="696"/>
        <v/>
      </c>
      <c r="FL206" s="203" t="str">
        <f t="shared" si="565"/>
        <v/>
      </c>
      <c r="FM206" s="189" t="str">
        <f t="shared" si="697"/>
        <v/>
      </c>
      <c r="FN206" s="204" t="str">
        <f t="shared" si="698"/>
        <v/>
      </c>
      <c r="FO206" s="203" t="str">
        <f t="shared" si="566"/>
        <v/>
      </c>
      <c r="FP206" s="205" t="str">
        <f t="shared" si="699"/>
        <v/>
      </c>
      <c r="FQ206" s="189" t="str">
        <f t="shared" si="567"/>
        <v/>
      </c>
      <c r="FR206" s="189" t="str">
        <f t="shared" si="568"/>
        <v/>
      </c>
      <c r="FS206" s="189" t="str">
        <f t="shared" si="569"/>
        <v/>
      </c>
      <c r="FT206" s="189" t="str">
        <f t="shared" si="570"/>
        <v/>
      </c>
      <c r="FU206" s="189" t="str">
        <f t="shared" si="700"/>
        <v/>
      </c>
      <c r="FV206" s="206" t="str">
        <f t="shared" si="571"/>
        <v/>
      </c>
      <c r="FW206" s="205" t="str">
        <f t="shared" si="701"/>
        <v/>
      </c>
      <c r="FX206" s="189" t="str">
        <f t="shared" si="572"/>
        <v/>
      </c>
      <c r="FY206" s="189" t="str">
        <f t="shared" si="573"/>
        <v/>
      </c>
      <c r="FZ206" s="189" t="str">
        <f t="shared" si="574"/>
        <v/>
      </c>
      <c r="GA206" s="189" t="str">
        <f t="shared" si="575"/>
        <v/>
      </c>
      <c r="GB206" s="189" t="str">
        <f t="shared" si="702"/>
        <v/>
      </c>
      <c r="GC206" s="206" t="str">
        <f t="shared" si="576"/>
        <v/>
      </c>
      <c r="GD206" s="205" t="str">
        <f t="shared" si="703"/>
        <v/>
      </c>
      <c r="GE206" s="189" t="str">
        <f t="shared" si="577"/>
        <v/>
      </c>
      <c r="GF206" s="189" t="str">
        <f t="shared" si="578"/>
        <v/>
      </c>
      <c r="GG206" s="189" t="str">
        <f t="shared" si="579"/>
        <v/>
      </c>
      <c r="GH206" s="189" t="str">
        <f t="shared" si="580"/>
        <v/>
      </c>
      <c r="GI206" s="189" t="str">
        <f t="shared" si="704"/>
        <v/>
      </c>
      <c r="GJ206" s="206" t="str">
        <f t="shared" si="581"/>
        <v/>
      </c>
      <c r="GK206" s="205" t="str">
        <f t="shared" si="705"/>
        <v/>
      </c>
      <c r="GL206" s="189" t="str">
        <f t="shared" si="582"/>
        <v/>
      </c>
      <c r="GM206" s="189" t="str">
        <f t="shared" si="583"/>
        <v/>
      </c>
      <c r="GN206" s="189" t="str">
        <f t="shared" si="584"/>
        <v/>
      </c>
      <c r="GO206" s="189" t="str">
        <f t="shared" si="585"/>
        <v/>
      </c>
      <c r="GP206" s="189" t="str">
        <f t="shared" si="706"/>
        <v/>
      </c>
      <c r="GQ206" s="206" t="str">
        <f t="shared" si="586"/>
        <v/>
      </c>
      <c r="GR206" s="189" t="str">
        <f t="shared" si="707"/>
        <v/>
      </c>
      <c r="GS206" s="189" t="str">
        <f t="shared" si="708"/>
        <v/>
      </c>
      <c r="GT206" s="207" t="str">
        <f t="shared" si="709"/>
        <v xml:space="preserve">    </v>
      </c>
      <c r="GU206" s="207" t="str">
        <f t="shared" si="710"/>
        <v xml:space="preserve">    </v>
      </c>
      <c r="GV206" s="207" t="str">
        <f t="shared" si="711"/>
        <v xml:space="preserve">    </v>
      </c>
      <c r="GW206" s="207" t="str">
        <f t="shared" si="712"/>
        <v xml:space="preserve">       </v>
      </c>
      <c r="GX206" s="598" t="str">
        <f t="shared" si="713"/>
        <v xml:space="preserve">     </v>
      </c>
      <c r="GY206" s="208" t="str">
        <f t="shared" si="587"/>
        <v/>
      </c>
      <c r="GZ206" s="606" t="str">
        <f>IF(AND(Q206="",AE206="",AZ206="",BW206="",CT206=""),"",IF(AND('Master Sheet'!$D$19="YES",'Marks Entry'!$BA$1=1),SUM(Q206,AE206,AZ206,BW206,DT206),SUM(Q206,AE206,AZ206,BW206,CT206)))</f>
        <v/>
      </c>
      <c r="HA206" s="209" t="str">
        <f>IF(GZ206="","",IF(AND('Master Sheet'!$D$19="YES",'Marks Entry'!$BA$1=1),GZ206/((900)-DC206)*100,GZ206/((1000)-DC206)*100))</f>
        <v/>
      </c>
      <c r="HB206" s="611" t="str">
        <f t="shared" si="714"/>
        <v/>
      </c>
      <c r="HC206" s="609" t="str">
        <f t="shared" si="715"/>
        <v/>
      </c>
      <c r="HD206" s="610" t="str">
        <f t="shared" si="716"/>
        <v/>
      </c>
      <c r="HE206" s="210" t="str">
        <f>IFERROR(IF(OR(GY206="SUPPLEMENTARY",GY206="RE-EXAM"),'Supp. Result Entry'!AS205,""),"")</f>
        <v/>
      </c>
      <c r="HF206" s="613" t="str">
        <f t="shared" si="717"/>
        <v/>
      </c>
      <c r="HG206" s="598" t="str">
        <f t="shared" si="718"/>
        <v/>
      </c>
      <c r="HH206" s="598" t="str">
        <f>IF(AND(HE206="",HF206="",HG206=""),"",IF(OR(GY206="SUPPLEMENTARY",GY206="RE-EXAM"),'Supp. Result Entry'!AS205,GY206))</f>
        <v/>
      </c>
      <c r="HI206" s="180"/>
      <c r="HY206" s="212" t="str">
        <f>IF('Supp. Result Entry'!U205="","",'Supp. Result Entry'!$U$6)</f>
        <v/>
      </c>
      <c r="HZ206" s="213" t="str">
        <f>IF('Supp. Result Entry'!X205="","",'Supp. Result Entry'!$X$6)</f>
        <v/>
      </c>
      <c r="IA206" s="213" t="str">
        <f>IF('Supp. Result Entry'!AA205="","",'Supp. Result Entry'!$AA$6)</f>
        <v/>
      </c>
      <c r="IB206" s="213" t="str">
        <f>IF('Supp. Result Entry'!AD205="","",'Supp. Result Entry'!$AD$6)</f>
        <v/>
      </c>
      <c r="IC206" s="213" t="str">
        <f>IF('Supp. Result Entry'!AG205="","",'Supp. Result Entry'!$AG$6)</f>
        <v/>
      </c>
      <c r="ID206" s="213" t="str">
        <f>IF('Supp. Result Entry'!AJ205="","",'Supp. Result Entry'!$AJ$6)</f>
        <v/>
      </c>
      <c r="IE206" s="213" t="str">
        <f>IF('Supp. Result Entry'!V205="","",'Supp. Result Entry'!V205)</f>
        <v/>
      </c>
      <c r="IF206" s="213" t="str">
        <f>IF('Supp. Result Entry'!Y205="","",'Supp. Result Entry'!Y205)</f>
        <v/>
      </c>
      <c r="IG206" s="213" t="str">
        <f>IF('Supp. Result Entry'!AB205="","",'Supp. Result Entry'!AB205)</f>
        <v/>
      </c>
      <c r="IH206" s="213" t="str">
        <f>IF('Supp. Result Entry'!AE205="","",'Supp. Result Entry'!AE205)</f>
        <v/>
      </c>
      <c r="II206" s="213" t="str">
        <f>IF('Supp. Result Entry'!AH205="","",'Supp. Result Entry'!AH205)</f>
        <v/>
      </c>
      <c r="IJ206" s="213" t="str">
        <f>IF('Supp. Result Entry'!AK205="","",'Supp. Result Entry'!AK205)</f>
        <v/>
      </c>
      <c r="IK206" s="213" t="str">
        <f>IF('Supp. Result Entry'!W205="","",'Supp. Result Entry'!W205)</f>
        <v/>
      </c>
      <c r="IL206" s="213" t="str">
        <f>IF('Supp. Result Entry'!Z205="","",'Supp. Result Entry'!Z205)</f>
        <v/>
      </c>
      <c r="IM206" s="213" t="str">
        <f>IF('Supp. Result Entry'!AC205="","",'Supp. Result Entry'!AC205)</f>
        <v/>
      </c>
      <c r="IN206" s="213" t="str">
        <f>IF('Supp. Result Entry'!AF205="","",'Supp. Result Entry'!AF205)</f>
        <v/>
      </c>
      <c r="IO206" s="213" t="str">
        <f>IF('Supp. Result Entry'!AI205="","",'Supp. Result Entry'!AI205)</f>
        <v/>
      </c>
      <c r="IP206" s="213" t="str">
        <f>IF('Supp. Result Entry'!AL205="","",'Supp. Result Entry'!AL205)</f>
        <v/>
      </c>
      <c r="IQ206" s="213">
        <f>COUNTIF('Supp. Result Entry'!K205:Q205,"S")</f>
        <v>0</v>
      </c>
      <c r="IR206" s="213">
        <f t="shared" si="719"/>
        <v>0</v>
      </c>
      <c r="IS206" s="213">
        <f t="shared" si="720"/>
        <v>0</v>
      </c>
      <c r="IT206" s="213" t="str">
        <f t="shared" si="588"/>
        <v/>
      </c>
      <c r="IU206" s="213" t="str">
        <f t="shared" si="589"/>
        <v/>
      </c>
      <c r="IV206" s="213" t="str">
        <f t="shared" si="590"/>
        <v/>
      </c>
      <c r="IW206" s="213" t="str">
        <f t="shared" si="591"/>
        <v/>
      </c>
      <c r="IX206" s="213" t="str">
        <f t="shared" si="592"/>
        <v/>
      </c>
      <c r="IY206" s="213" t="str">
        <f t="shared" si="721"/>
        <v/>
      </c>
      <c r="IZ206" s="213" t="str">
        <f t="shared" si="722"/>
        <v/>
      </c>
      <c r="JA206" s="213" t="str">
        <f t="shared" si="593"/>
        <v/>
      </c>
      <c r="JB206" s="211" t="str">
        <f t="shared" si="723"/>
        <v/>
      </c>
    </row>
    <row r="207" spans="1:262" s="211" customFormat="1" ht="21" customHeight="1" thickBot="1">
      <c r="A207" s="184">
        <v>200</v>
      </c>
      <c r="B207" s="185" t="str">
        <f>IF('Marks Entry'!B207="","",'Marks Entry'!B207)</f>
        <v/>
      </c>
      <c r="C207" s="186" t="str">
        <f>IF('Marks Entry'!D207="","",'Marks Entry'!D207)</f>
        <v/>
      </c>
      <c r="D207" s="187" t="str">
        <f>IF('Marks Entry'!E207="","",'Marks Entry'!E207)</f>
        <v/>
      </c>
      <c r="E207" s="188" t="str">
        <f>IF('Marks Entry'!F207="","",'Marks Entry'!F207)</f>
        <v/>
      </c>
      <c r="F207" s="188" t="str">
        <f>IF('Marks Entry'!G207="","",'Marks Entry'!G207)</f>
        <v/>
      </c>
      <c r="G207" s="188" t="str">
        <f>IF('Marks Entry'!H207="","",'Marks Entry'!H207)</f>
        <v/>
      </c>
      <c r="H207" s="189" t="str">
        <f>IF('Marks Entry'!I207="","",'Marks Entry'!I207)</f>
        <v/>
      </c>
      <c r="I207" s="190" t="str">
        <f>IF('Marks Entry'!J207="","",'Marks Entry'!J207)</f>
        <v/>
      </c>
      <c r="J207" s="545" t="str">
        <f>IF('Marks Entry'!K207="","",'Marks Entry'!K207)</f>
        <v/>
      </c>
      <c r="K207" s="545" t="str">
        <f>IF('Marks Entry'!L207="","",'Marks Entry'!L207)</f>
        <v/>
      </c>
      <c r="L207" s="545" t="str">
        <f>IF('Marks Entry'!M207="","",'Marks Entry'!M207)</f>
        <v/>
      </c>
      <c r="M207" s="546" t="str">
        <f t="shared" si="594"/>
        <v/>
      </c>
      <c r="N207" s="545" t="str">
        <f>IF('Marks Entry'!N207="","",'Marks Entry'!N207)</f>
        <v/>
      </c>
      <c r="O207" s="546" t="str">
        <f t="shared" si="595"/>
        <v/>
      </c>
      <c r="P207" s="545" t="str">
        <f>IF('Marks Entry'!O207="","",'Marks Entry'!O207)</f>
        <v/>
      </c>
      <c r="Q207" s="547" t="str">
        <f t="shared" si="596"/>
        <v/>
      </c>
      <c r="R207" s="153">
        <f t="shared" si="597"/>
        <v>0</v>
      </c>
      <c r="S207" s="153">
        <f t="shared" si="598"/>
        <v>0</v>
      </c>
      <c r="T207" s="154" t="str">
        <f t="shared" si="599"/>
        <v/>
      </c>
      <c r="U207" s="153" t="str">
        <f t="shared" si="600"/>
        <v/>
      </c>
      <c r="V207" s="153" t="str">
        <f t="shared" si="601"/>
        <v/>
      </c>
      <c r="W207" s="153" t="str">
        <f t="shared" si="602"/>
        <v/>
      </c>
      <c r="X207" s="545" t="str">
        <f>IF('Marks Entry'!P207="","",'Marks Entry'!P207)</f>
        <v/>
      </c>
      <c r="Y207" s="545" t="str">
        <f>IF('Marks Entry'!Q207="","",'Marks Entry'!Q207)</f>
        <v/>
      </c>
      <c r="Z207" s="545" t="str">
        <f>IF('Marks Entry'!R207="","",'Marks Entry'!R207)</f>
        <v/>
      </c>
      <c r="AA207" s="546" t="str">
        <f t="shared" si="603"/>
        <v/>
      </c>
      <c r="AB207" s="545" t="str">
        <f>IF('Marks Entry'!S207="","",'Marks Entry'!S207)</f>
        <v/>
      </c>
      <c r="AC207" s="546" t="str">
        <f t="shared" si="604"/>
        <v/>
      </c>
      <c r="AD207" s="545" t="str">
        <f>IF('Marks Entry'!T207="","",'Marks Entry'!T207)</f>
        <v/>
      </c>
      <c r="AE207" s="547" t="str">
        <f t="shared" si="605"/>
        <v/>
      </c>
      <c r="AF207" s="153">
        <f t="shared" si="606"/>
        <v>0</v>
      </c>
      <c r="AG207" s="153">
        <f t="shared" si="607"/>
        <v>0</v>
      </c>
      <c r="AH207" s="154" t="str">
        <f t="shared" si="608"/>
        <v/>
      </c>
      <c r="AI207" s="153" t="str">
        <f t="shared" si="609"/>
        <v/>
      </c>
      <c r="AJ207" s="153" t="str">
        <f t="shared" si="610"/>
        <v/>
      </c>
      <c r="AK207" s="153" t="str">
        <f t="shared" si="611"/>
        <v/>
      </c>
      <c r="AL207" s="573" t="str">
        <f>IF('Marks Entry'!U207="","",'Marks Entry'!U207)</f>
        <v/>
      </c>
      <c r="AM207" s="573" t="str">
        <f>IF('Marks Entry'!V207="","",'Marks Entry'!V207)</f>
        <v/>
      </c>
      <c r="AN207" s="573" t="str">
        <f>IF('Marks Entry'!W207="","",'Marks Entry'!W207)</f>
        <v/>
      </c>
      <c r="AO207" s="573" t="str">
        <f>IF('Marks Entry'!X207="","",'Marks Entry'!X207)</f>
        <v/>
      </c>
      <c r="AP207" s="572" t="str">
        <f t="shared" si="612"/>
        <v/>
      </c>
      <c r="AQ207" s="573" t="str">
        <f>IF('Marks Entry'!Y207="","",'Marks Entry'!Y207)</f>
        <v/>
      </c>
      <c r="AR207" s="573" t="str">
        <f>IF('Marks Entry'!Z207="","",'Marks Entry'!Z207)</f>
        <v/>
      </c>
      <c r="AS207" s="572" t="str">
        <f t="shared" si="613"/>
        <v/>
      </c>
      <c r="AT207" s="572" t="str">
        <f t="shared" si="614"/>
        <v/>
      </c>
      <c r="AU207" s="573" t="str">
        <f>IF('Marks Entry'!AA207="","",'Marks Entry'!AA207)</f>
        <v/>
      </c>
      <c r="AV207" s="573" t="str">
        <f>IF('Marks Entry'!AB207="","",'Marks Entry'!AB207)</f>
        <v/>
      </c>
      <c r="AW207" s="572" t="str">
        <f t="shared" si="615"/>
        <v/>
      </c>
      <c r="AX207" s="157" t="str">
        <f t="shared" si="616"/>
        <v/>
      </c>
      <c r="AY207" s="157" t="str">
        <f t="shared" si="617"/>
        <v/>
      </c>
      <c r="AZ207" s="192" t="str">
        <f t="shared" si="618"/>
        <v/>
      </c>
      <c r="BA207" s="153">
        <f t="shared" si="619"/>
        <v>0</v>
      </c>
      <c r="BB207" s="154">
        <f t="shared" si="620"/>
        <v>0</v>
      </c>
      <c r="BC207" s="154" t="str">
        <f t="shared" si="621"/>
        <v/>
      </c>
      <c r="BD207" s="154" t="str">
        <f t="shared" si="622"/>
        <v/>
      </c>
      <c r="BE207" s="154" t="str">
        <f t="shared" si="623"/>
        <v/>
      </c>
      <c r="BF207" s="153" t="str">
        <f t="shared" si="624"/>
        <v/>
      </c>
      <c r="BG207" s="154" t="str">
        <f t="shared" si="625"/>
        <v/>
      </c>
      <c r="BH207" s="153" t="str">
        <f t="shared" si="626"/>
        <v/>
      </c>
      <c r="BI207" s="580" t="str">
        <f>IF('Marks Entry'!AC207="","",'Marks Entry'!AC207)</f>
        <v/>
      </c>
      <c r="BJ207" s="580" t="str">
        <f>IF('Marks Entry'!AD207="","",'Marks Entry'!AD207)</f>
        <v/>
      </c>
      <c r="BK207" s="580" t="str">
        <f>IF('Marks Entry'!AE207="","",'Marks Entry'!AE207)</f>
        <v/>
      </c>
      <c r="BL207" s="580" t="str">
        <f>IF('Marks Entry'!AF207="","",'Marks Entry'!AF207)</f>
        <v/>
      </c>
      <c r="BM207" s="581" t="str">
        <f t="shared" si="627"/>
        <v/>
      </c>
      <c r="BN207" s="580" t="str">
        <f>IF('Marks Entry'!AG207="","",'Marks Entry'!AG207)</f>
        <v/>
      </c>
      <c r="BO207" s="580" t="str">
        <f>IF('Marks Entry'!AH207="","",'Marks Entry'!AH207)</f>
        <v/>
      </c>
      <c r="BP207" s="581" t="str">
        <f t="shared" si="628"/>
        <v/>
      </c>
      <c r="BQ207" s="581" t="str">
        <f t="shared" si="629"/>
        <v/>
      </c>
      <c r="BR207" s="580" t="str">
        <f>IF('Marks Entry'!AI207="","",'Marks Entry'!AI207)</f>
        <v/>
      </c>
      <c r="BS207" s="580" t="str">
        <f>IF('Marks Entry'!AJ207="","",'Marks Entry'!AJ207)</f>
        <v/>
      </c>
      <c r="BT207" s="581" t="str">
        <f t="shared" si="630"/>
        <v/>
      </c>
      <c r="BU207" s="157" t="str">
        <f t="shared" si="631"/>
        <v/>
      </c>
      <c r="BV207" s="157" t="str">
        <f t="shared" si="632"/>
        <v/>
      </c>
      <c r="BW207" s="192" t="str">
        <f t="shared" si="633"/>
        <v/>
      </c>
      <c r="BX207" s="153">
        <f t="shared" si="634"/>
        <v>0</v>
      </c>
      <c r="BY207" s="154">
        <f t="shared" si="635"/>
        <v>0</v>
      </c>
      <c r="BZ207" s="154" t="str">
        <f t="shared" si="636"/>
        <v/>
      </c>
      <c r="CA207" s="154" t="str">
        <f t="shared" si="637"/>
        <v/>
      </c>
      <c r="CB207" s="154" t="str">
        <f t="shared" si="638"/>
        <v/>
      </c>
      <c r="CC207" s="153" t="str">
        <f t="shared" si="639"/>
        <v/>
      </c>
      <c r="CD207" s="154" t="str">
        <f t="shared" si="640"/>
        <v/>
      </c>
      <c r="CE207" s="153" t="str">
        <f t="shared" si="641"/>
        <v/>
      </c>
      <c r="CF207" s="580" t="str">
        <f>IF('Marks Entry'!AK207="","",'Marks Entry'!AK207)</f>
        <v/>
      </c>
      <c r="CG207" s="580" t="str">
        <f>IF('Marks Entry'!AL207="","",'Marks Entry'!AL207)</f>
        <v/>
      </c>
      <c r="CH207" s="580" t="str">
        <f>IF('Marks Entry'!AM207="","",'Marks Entry'!AM207)</f>
        <v/>
      </c>
      <c r="CI207" s="580" t="str">
        <f>IF('Marks Entry'!AN207="","",'Marks Entry'!AN207)</f>
        <v/>
      </c>
      <c r="CJ207" s="581" t="str">
        <f>IF(AND(CG207="",CH207="",CI207=""),"",IF(AND(CG207="AB",CH207="AB",CI207="AB"),"AB",IF(AND(CG207="ML",CH207="ML",CI207="ML"),"ML",SUM(CG207:CI207))))</f>
        <v/>
      </c>
      <c r="CK207" s="580" t="str">
        <f>IF('Marks Entry'!AO207="","",'Marks Entry'!AO207)</f>
        <v/>
      </c>
      <c r="CL207" s="580" t="str">
        <f>IF('Marks Entry'!AP207="","",'Marks Entry'!AP207)</f>
        <v/>
      </c>
      <c r="CM207" s="581" t="str">
        <f>IF(AND(CK207="",CL207=""),"",IF(AND(CK207="AB",CL207="AB"),"AB",IF(AND(CK207="ML",CL207="ML"),"ML",SUM(CK207:CL207))))</f>
        <v/>
      </c>
      <c r="CN207" s="581" t="str">
        <f>IF(AND(CM207="",CJ207=""),"",IF(AND(CM207="AB",CJ207="AB"),"AB",IF(AND(CM207="ML",CJ207="ML"),"ML",SUM(CJ207,CM207))))</f>
        <v/>
      </c>
      <c r="CO207" s="580" t="str">
        <f>IF('Marks Entry'!AQ207="","",'Marks Entry'!AQ207)</f>
        <v/>
      </c>
      <c r="CP207" s="580" t="str">
        <f>IF('Marks Entry'!AR207="","",'Marks Entry'!AR207)</f>
        <v/>
      </c>
      <c r="CQ207" s="581" t="str">
        <f>IF(AND(CO207="",CP207=""),"",IF(AND(CO207="AB",CP207="AB"),"AB",IF(AND(CO207="ML",CP207="ML"),"ML",SUM(CO207:CP207))))</f>
        <v/>
      </c>
      <c r="CR207" s="157" t="str">
        <f>IF(AND(CJ207="",CK207="",CO207=""),"",SUM(CJ207,CK207,CO207))</f>
        <v/>
      </c>
      <c r="CS207" s="157" t="str">
        <f>IF(AND(CL207="",CP207=""),"",SUM(CL207,CP207))</f>
        <v/>
      </c>
      <c r="CT207" s="192" t="str">
        <f>IF(AND(CN207="",CQ207=""),"",SUM(CN207,CQ207))</f>
        <v/>
      </c>
      <c r="CU207" s="153">
        <f t="shared" si="649"/>
        <v>0</v>
      </c>
      <c r="CV207" s="154">
        <f t="shared" si="650"/>
        <v>0</v>
      </c>
      <c r="CW207" s="154" t="str">
        <f t="shared" si="651"/>
        <v/>
      </c>
      <c r="CX207" s="154" t="str">
        <f t="shared" si="652"/>
        <v/>
      </c>
      <c r="CY207" s="154" t="str">
        <f t="shared" si="653"/>
        <v/>
      </c>
      <c r="CZ207" s="153" t="str">
        <f t="shared" si="654"/>
        <v/>
      </c>
      <c r="DA207" s="154" t="str">
        <f t="shared" si="655"/>
        <v/>
      </c>
      <c r="DB207" s="153" t="str">
        <f t="shared" si="656"/>
        <v/>
      </c>
      <c r="DC207" s="154">
        <f t="shared" si="657"/>
        <v>0</v>
      </c>
      <c r="DD207" s="826" t="str">
        <f>IF('Marks Entry'!AS207="","",IF(OR('Master Sheet'!$D$19="YES",'Marks Entry'!$BA$1=1),'Marks Entry'!AS207,""))</f>
        <v/>
      </c>
      <c r="DE207" s="826" t="str">
        <f>IF('Marks Entry'!AT207="","",IF(OR('Master Sheet'!$D$19="YES",'Marks Entry'!$BA$1=1),'Marks Entry'!AT207,""))</f>
        <v/>
      </c>
      <c r="DF207" s="826" t="str">
        <f>IF('Marks Entry'!AU207="","",IF(OR('Master Sheet'!$D$19="YES",'Marks Entry'!$BA$1=1),'Marks Entry'!AU207,""))</f>
        <v/>
      </c>
      <c r="DG207" s="826" t="str">
        <f>IF('Marks Entry'!AV207="","",IF(OR('Master Sheet'!$D$19="YES",'Marks Entry'!$BA$1=1),'Marks Entry'!AV207,""))</f>
        <v/>
      </c>
      <c r="DH207" s="827" t="str">
        <f t="shared" si="658"/>
        <v/>
      </c>
      <c r="DI207" s="826" t="str">
        <f>IF('Marks Entry'!AW207="","",IF(OR('Master Sheet'!$D$19="YES",'Marks Entry'!$BA$1=1),'Marks Entry'!AW207,""))</f>
        <v/>
      </c>
      <c r="DJ207" s="826" t="str">
        <f>IF('Marks Entry'!AX207="","",IF(OR('Master Sheet'!$D$19="YES",'Marks Entry'!$BA$1=1),'Marks Entry'!AX207,""))</f>
        <v/>
      </c>
      <c r="DK207" s="827" t="str">
        <f t="shared" si="659"/>
        <v/>
      </c>
      <c r="DL207" s="827" t="str">
        <f t="shared" si="660"/>
        <v/>
      </c>
      <c r="DM207" s="826" t="str">
        <f>IF('Marks Entry'!AY207="","",IF(OR('Master Sheet'!$D$19="YES",'Marks Entry'!$BA$1=1),'Marks Entry'!AY207,""))</f>
        <v/>
      </c>
      <c r="DN207" s="826" t="str">
        <f>IF('Marks Entry'!AZ207="","",IF(OR('Master Sheet'!$D$19="YES",'Marks Entry'!$BA$1=1),'Marks Entry'!AZ207,""))</f>
        <v/>
      </c>
      <c r="DO207" s="826" t="str">
        <f>IF('Marks Entry'!BA207="","",IF(OR('Master Sheet'!$D$19="YES",'Marks Entry'!$BA$1=1),'Marks Entry'!BA207,""))</f>
        <v/>
      </c>
      <c r="DP207" s="827" t="str">
        <f t="shared" si="661"/>
        <v/>
      </c>
      <c r="DQ207" s="157" t="str">
        <f t="shared" si="662"/>
        <v/>
      </c>
      <c r="DR207" s="157" t="str">
        <f t="shared" si="663"/>
        <v/>
      </c>
      <c r="DS207" s="157" t="str">
        <f t="shared" si="664"/>
        <v/>
      </c>
      <c r="DT207" s="192" t="str">
        <f t="shared" si="665"/>
        <v/>
      </c>
      <c r="DU207" s="153">
        <f t="shared" si="666"/>
        <v>0</v>
      </c>
      <c r="DV207" s="154" t="e">
        <f t="shared" si="667"/>
        <v>#VALUE!</v>
      </c>
      <c r="DW207" s="154" t="str">
        <f t="shared" si="668"/>
        <v/>
      </c>
      <c r="DX207" s="154" t="str">
        <f>IF(OR($B207="NSO",$B207=0,DS207=""),"",IF(AND(DJ207="",DO207=""),"",IF('Master Sheet'!$D$19="YES",$DO$6-COUNTIF(DO207,"ML")*DO$6,DS$6-(COUNTIF(DJ207,"ML")*DJ$6)-(COUNTIF(DO207,"ML")*DO$6))))</f>
        <v/>
      </c>
      <c r="DY207" s="154" t="str">
        <f>IF(OR($B207="NSO",$B207=0),"",IF(AND(DH207="",DI207="",DM207=""),"",IF(AND('Master Sheet'!$D$19="YES",'Marks Entry'!$BA$1=1),100,IF(AND(DJ207="",DO207=""),SUM(($DQ$7+$DR$7)-(DU207+DV207)),SUM(($DQ$6+$DR$6)-(DU207+DV207))))))</f>
        <v/>
      </c>
      <c r="DZ207" s="153" t="str">
        <f t="shared" si="669"/>
        <v/>
      </c>
      <c r="EA207" s="154" t="str">
        <f t="shared" si="670"/>
        <v/>
      </c>
      <c r="EB207" s="153" t="str">
        <f t="shared" si="671"/>
        <v/>
      </c>
      <c r="EC207" s="584" t="str">
        <f>IF('Marks Entry'!BB207="","",'Marks Entry'!BB207)</f>
        <v/>
      </c>
      <c r="ED207" s="584" t="str">
        <f>IF('Marks Entry'!BC207="","",'Marks Entry'!BC207)</f>
        <v/>
      </c>
      <c r="EE207" s="584" t="str">
        <f>IF('Marks Entry'!BD207="","",'Marks Entry'!BD207)</f>
        <v/>
      </c>
      <c r="EF207" s="590" t="str">
        <f t="shared" si="672"/>
        <v/>
      </c>
      <c r="EG207" s="595">
        <f t="shared" si="673"/>
        <v>0</v>
      </c>
      <c r="EH207" s="595">
        <f t="shared" si="674"/>
        <v>0</v>
      </c>
      <c r="EI207" s="193" t="str">
        <f t="shared" si="675"/>
        <v/>
      </c>
      <c r="EJ207" s="595" t="str">
        <f t="shared" si="676"/>
        <v/>
      </c>
      <c r="EK207" s="595" t="str">
        <f t="shared" si="677"/>
        <v/>
      </c>
      <c r="EL207" s="194" t="str">
        <f t="shared" si="678"/>
        <v/>
      </c>
      <c r="EM207" s="194" t="str">
        <f t="shared" si="679"/>
        <v/>
      </c>
      <c r="EN207" s="194" t="str">
        <f t="shared" si="680"/>
        <v/>
      </c>
      <c r="EO207" s="194" t="str">
        <f t="shared" si="681"/>
        <v/>
      </c>
      <c r="EP207" s="194" t="str">
        <f t="shared" si="682"/>
        <v/>
      </c>
      <c r="EQ207" s="194" t="str">
        <f t="shared" si="683"/>
        <v/>
      </c>
      <c r="ER207" s="195">
        <f t="shared" si="684"/>
        <v>0</v>
      </c>
      <c r="ES207" s="195">
        <f t="shared" si="685"/>
        <v>0</v>
      </c>
      <c r="ET207" s="195">
        <f t="shared" si="686"/>
        <v>0</v>
      </c>
      <c r="EU207" s="195">
        <f t="shared" si="687"/>
        <v>0</v>
      </c>
      <c r="EV207" s="195">
        <f t="shared" si="688"/>
        <v>0</v>
      </c>
      <c r="EW207" s="195" t="str">
        <f t="shared" si="689"/>
        <v/>
      </c>
      <c r="EX207" s="196" t="str">
        <f t="shared" si="690"/>
        <v/>
      </c>
      <c r="EY207" s="197" t="str">
        <f>IF('Marks Entry'!BE207="","",'Marks Entry'!BE207)</f>
        <v/>
      </c>
      <c r="EZ207" s="197" t="str">
        <f>IF('Marks Entry'!BF207="","",'Marks Entry'!BF207)</f>
        <v/>
      </c>
      <c r="FA207" s="197" t="str">
        <f>IF('Marks Entry'!BG207="","",'Marks Entry'!BG207)</f>
        <v/>
      </c>
      <c r="FB207" s="596" t="str">
        <f t="shared" si="691"/>
        <v/>
      </c>
      <c r="FC207" s="197" t="str">
        <f>IF('Marks Entry'!BH207="","",'Marks Entry'!BH207)</f>
        <v/>
      </c>
      <c r="FD207" s="197" t="str">
        <f>IF('Marks Entry'!BI207="","",'Marks Entry'!BI207)</f>
        <v/>
      </c>
      <c r="FE207" s="198" t="str">
        <f t="shared" si="692"/>
        <v/>
      </c>
      <c r="FF207" s="199" t="str">
        <f t="shared" si="693"/>
        <v/>
      </c>
      <c r="FG207" s="200" t="str">
        <f>IF(AND(E207=""),"",IF('Student DATA Entry'!L203="","",'Student DATA Entry'!L203))</f>
        <v/>
      </c>
      <c r="FH207" s="201" t="str">
        <f>IF(AND(E207=""),"",IF('Student DATA Entry'!M203="","",'Student DATA Entry'!M203))</f>
        <v/>
      </c>
      <c r="FI207" s="202" t="str">
        <f t="shared" si="694"/>
        <v/>
      </c>
      <c r="FJ207" s="189" t="str">
        <f t="shared" si="695"/>
        <v/>
      </c>
      <c r="FK207" s="189" t="str">
        <f t="shared" si="696"/>
        <v/>
      </c>
      <c r="FL207" s="203" t="str">
        <f t="shared" si="565"/>
        <v/>
      </c>
      <c r="FM207" s="189" t="str">
        <f t="shared" si="697"/>
        <v/>
      </c>
      <c r="FN207" s="204" t="str">
        <f t="shared" si="698"/>
        <v/>
      </c>
      <c r="FO207" s="203" t="str">
        <f t="shared" si="566"/>
        <v/>
      </c>
      <c r="FP207" s="205" t="str">
        <f t="shared" si="699"/>
        <v/>
      </c>
      <c r="FQ207" s="189" t="str">
        <f t="shared" si="567"/>
        <v/>
      </c>
      <c r="FR207" s="189" t="str">
        <f t="shared" si="568"/>
        <v/>
      </c>
      <c r="FS207" s="189" t="str">
        <f t="shared" si="569"/>
        <v/>
      </c>
      <c r="FT207" s="189" t="str">
        <f t="shared" si="570"/>
        <v/>
      </c>
      <c r="FU207" s="189" t="str">
        <f t="shared" si="700"/>
        <v/>
      </c>
      <c r="FV207" s="206" t="str">
        <f t="shared" si="571"/>
        <v/>
      </c>
      <c r="FW207" s="205" t="str">
        <f t="shared" si="701"/>
        <v/>
      </c>
      <c r="FX207" s="189" t="str">
        <f t="shared" si="572"/>
        <v/>
      </c>
      <c r="FY207" s="189" t="str">
        <f t="shared" si="573"/>
        <v/>
      </c>
      <c r="FZ207" s="189" t="str">
        <f t="shared" si="574"/>
        <v/>
      </c>
      <c r="GA207" s="189" t="str">
        <f t="shared" si="575"/>
        <v/>
      </c>
      <c r="GB207" s="189" t="str">
        <f t="shared" si="702"/>
        <v/>
      </c>
      <c r="GC207" s="206" t="str">
        <f t="shared" si="576"/>
        <v/>
      </c>
      <c r="GD207" s="205" t="str">
        <f t="shared" si="703"/>
        <v/>
      </c>
      <c r="GE207" s="189" t="str">
        <f t="shared" si="577"/>
        <v/>
      </c>
      <c r="GF207" s="189" t="str">
        <f t="shared" si="578"/>
        <v/>
      </c>
      <c r="GG207" s="189" t="str">
        <f t="shared" si="579"/>
        <v/>
      </c>
      <c r="GH207" s="189" t="str">
        <f t="shared" si="580"/>
        <v/>
      </c>
      <c r="GI207" s="189" t="str">
        <f t="shared" si="704"/>
        <v/>
      </c>
      <c r="GJ207" s="206" t="str">
        <f t="shared" si="581"/>
        <v/>
      </c>
      <c r="GK207" s="205" t="str">
        <f t="shared" si="705"/>
        <v/>
      </c>
      <c r="GL207" s="189" t="str">
        <f t="shared" si="582"/>
        <v/>
      </c>
      <c r="GM207" s="189" t="str">
        <f t="shared" si="583"/>
        <v/>
      </c>
      <c r="GN207" s="189" t="str">
        <f t="shared" si="584"/>
        <v/>
      </c>
      <c r="GO207" s="189" t="str">
        <f t="shared" si="585"/>
        <v/>
      </c>
      <c r="GP207" s="189" t="str">
        <f t="shared" si="706"/>
        <v/>
      </c>
      <c r="GQ207" s="206" t="str">
        <f t="shared" si="586"/>
        <v/>
      </c>
      <c r="GR207" s="189" t="str">
        <f t="shared" si="707"/>
        <v/>
      </c>
      <c r="GS207" s="189" t="str">
        <f t="shared" si="708"/>
        <v/>
      </c>
      <c r="GT207" s="207" t="str">
        <f t="shared" si="709"/>
        <v xml:space="preserve">    </v>
      </c>
      <c r="GU207" s="207" t="str">
        <f t="shared" si="710"/>
        <v xml:space="preserve">    </v>
      </c>
      <c r="GV207" s="207" t="str">
        <f t="shared" si="711"/>
        <v xml:space="preserve">    </v>
      </c>
      <c r="GW207" s="207" t="str">
        <f>CONCATENATE(IF(FJ207="RE",$FJ$5,"")," ",IF(FM207="RE",$FM$5,"")," ",IF(OR(FQ207="RE",FQ207="REP"),$FQ$5,IF(OR(FR207="RE",FR207="REP"),$FR$5,IF(OR(FS207="RE",FS207="REP"),$FS$5,IF(OR(FT207="RE",FT207="REP"),$FT$5,""))))," ",IF(OR(FX207="RE",FX207="REP"),$FX$5,IF(OR(FY207="RE",FY207="REP"),$FY$5,IF(OR(FZ207="RE",FZ207="REP"),$FZ$5,IF(OR(GA207="RE",GA207="REP"),$GA$5,""))))," ",IF(OR(GE207="RE",GE207="REP"),$GE$5,IF(OR(GF207="RE",GF207="REP"),$GF$5,IF(OR(GG207="RE",GG207="REP"),$GG$5,IF(OR(GH207="RE",GH207="REP"),$GH$5,""))))," ",IF(GR207="RE",$GR$4," "),"",IF(GS207="RE",$GS$4," "),"",)</f>
        <v xml:space="preserve">       </v>
      </c>
      <c r="GX207" s="598" t="str">
        <f t="shared" si="713"/>
        <v xml:space="preserve">     </v>
      </c>
      <c r="GY207" s="208" t="str">
        <f t="shared" si="587"/>
        <v/>
      </c>
      <c r="GZ207" s="606" t="str">
        <f>IF(AND(Q207="",AE207="",AZ207="",BW207="",CT207=""),"",IF(AND('Master Sheet'!$D$19="YES",'Marks Entry'!$BA$1=1),SUM(Q207,AE207,AZ207,BW207,DT207),SUM(Q207,AE207,AZ207,BW207,CT207)))</f>
        <v/>
      </c>
      <c r="HA207" s="209" t="str">
        <f>IF(GZ207="","",IF(AND('Master Sheet'!$D$19="YES",'Marks Entry'!$BA$1=1),GZ207/((900)-DC207)*100,GZ207/((1000)-DC207)*100))</f>
        <v/>
      </c>
      <c r="HB207" s="611" t="str">
        <f t="shared" si="714"/>
        <v/>
      </c>
      <c r="HC207" s="609" t="str">
        <f t="shared" si="715"/>
        <v/>
      </c>
      <c r="HD207" s="610" t="str">
        <f t="shared" si="716"/>
        <v/>
      </c>
      <c r="HE207" s="210" t="str">
        <f>IFERROR(IF(OR(GY207="SUPPLEMENTARY",GY207="RE-EXAM"),'Supp. Result Entry'!AS206,""),"")</f>
        <v/>
      </c>
      <c r="HF207" s="613" t="str">
        <f t="shared" si="717"/>
        <v/>
      </c>
      <c r="HG207" s="598" t="str">
        <f t="shared" si="718"/>
        <v/>
      </c>
      <c r="HH207" s="598" t="str">
        <f>IF(AND(HE207="",HF207="",HG207=""),"",IF(OR(GY207="SUPPLEMENTARY",GY207="RE-EXAM"),'Supp. Result Entry'!AS206,GY207))</f>
        <v/>
      </c>
      <c r="HI207" s="180"/>
      <c r="HY207" s="212" t="str">
        <f>IF('Supp. Result Entry'!U206="","",'Supp. Result Entry'!$U$6)</f>
        <v/>
      </c>
      <c r="HZ207" s="213" t="str">
        <f>IF('Supp. Result Entry'!X206="","",'Supp. Result Entry'!$X$6)</f>
        <v/>
      </c>
      <c r="IA207" s="213" t="str">
        <f>IF('Supp. Result Entry'!AA206="","",'Supp. Result Entry'!$AA$6)</f>
        <v/>
      </c>
      <c r="IB207" s="213" t="str">
        <f>IF('Supp. Result Entry'!AD206="","",'Supp. Result Entry'!$AD$6)</f>
        <v/>
      </c>
      <c r="IC207" s="213" t="str">
        <f>IF('Supp. Result Entry'!AG206="","",'Supp. Result Entry'!$AG$6)</f>
        <v/>
      </c>
      <c r="ID207" s="213" t="str">
        <f>IF('Supp. Result Entry'!AJ206="","",'Supp. Result Entry'!$AJ$6)</f>
        <v/>
      </c>
      <c r="IE207" s="213" t="str">
        <f>IF('Supp. Result Entry'!V206="","",'Supp. Result Entry'!V206)</f>
        <v/>
      </c>
      <c r="IF207" s="213" t="str">
        <f>IF('Supp. Result Entry'!Y206="","",'Supp. Result Entry'!Y206)</f>
        <v/>
      </c>
      <c r="IG207" s="213" t="str">
        <f>IF('Supp. Result Entry'!AB206="","",'Supp. Result Entry'!AB206)</f>
        <v/>
      </c>
      <c r="IH207" s="213" t="str">
        <f>IF('Supp. Result Entry'!AE206="","",'Supp. Result Entry'!AE206)</f>
        <v/>
      </c>
      <c r="II207" s="213" t="str">
        <f>IF('Supp. Result Entry'!AH206="","",'Supp. Result Entry'!AH206)</f>
        <v/>
      </c>
      <c r="IJ207" s="213" t="str">
        <f>IF('Supp. Result Entry'!AK206="","",'Supp. Result Entry'!AK206)</f>
        <v/>
      </c>
      <c r="IK207" s="213" t="str">
        <f>IF('Supp. Result Entry'!W206="","",'Supp. Result Entry'!W206)</f>
        <v/>
      </c>
      <c r="IL207" s="213" t="str">
        <f>IF('Supp. Result Entry'!Z206="","",'Supp. Result Entry'!Z206)</f>
        <v/>
      </c>
      <c r="IM207" s="213" t="str">
        <f>IF('Supp. Result Entry'!AC206="","",'Supp. Result Entry'!AC206)</f>
        <v/>
      </c>
      <c r="IN207" s="213" t="str">
        <f>IF('Supp. Result Entry'!AF206="","",'Supp. Result Entry'!AF206)</f>
        <v/>
      </c>
      <c r="IO207" s="213" t="str">
        <f>IF('Supp. Result Entry'!AI206="","",'Supp. Result Entry'!AI206)</f>
        <v/>
      </c>
      <c r="IP207" s="213" t="str">
        <f>IF('Supp. Result Entry'!AL206="","",'Supp. Result Entry'!AL206)</f>
        <v/>
      </c>
      <c r="IQ207" s="213">
        <f>COUNTIF('Supp. Result Entry'!K206:Q206,"S")</f>
        <v>0</v>
      </c>
      <c r="IR207" s="213">
        <f t="shared" si="719"/>
        <v>0</v>
      </c>
      <c r="IS207" s="213">
        <f t="shared" si="720"/>
        <v>0</v>
      </c>
      <c r="IT207" s="213" t="str">
        <f t="shared" si="588"/>
        <v/>
      </c>
      <c r="IU207" s="213" t="str">
        <f t="shared" si="589"/>
        <v/>
      </c>
      <c r="IV207" s="213" t="str">
        <f t="shared" si="590"/>
        <v/>
      </c>
      <c r="IW207" s="213" t="str">
        <f t="shared" si="591"/>
        <v/>
      </c>
      <c r="IX207" s="213" t="str">
        <f t="shared" si="592"/>
        <v/>
      </c>
      <c r="IY207" s="213" t="str">
        <f t="shared" si="721"/>
        <v/>
      </c>
      <c r="IZ207" s="213" t="str">
        <f t="shared" si="722"/>
        <v/>
      </c>
      <c r="JA207" s="213" t="str">
        <f t="shared" si="593"/>
        <v/>
      </c>
      <c r="JB207" s="211" t="str">
        <f t="shared" si="723"/>
        <v/>
      </c>
    </row>
    <row r="208" spans="1:262" s="211" customFormat="1" ht="20.25" customHeight="1" thickBot="1">
      <c r="A208" s="1175"/>
      <c r="B208" s="1176"/>
      <c r="C208" s="1176"/>
      <c r="D208" s="1176"/>
      <c r="E208" s="1176"/>
      <c r="F208" s="1177"/>
      <c r="G208" s="1177"/>
      <c r="H208" s="1177"/>
      <c r="I208" s="1177"/>
      <c r="J208" s="1177"/>
      <c r="K208" s="1177"/>
      <c r="L208" s="1177"/>
      <c r="M208" s="1177"/>
      <c r="N208" s="1177"/>
      <c r="O208" s="1177"/>
      <c r="P208" s="1177"/>
      <c r="Q208" s="1177"/>
      <c r="R208" s="1177"/>
      <c r="S208" s="1177"/>
      <c r="T208" s="1177"/>
      <c r="U208" s="1177"/>
      <c r="V208" s="1177"/>
      <c r="W208" s="1177"/>
      <c r="X208" s="1177"/>
      <c r="Y208" s="1177"/>
      <c r="Z208" s="1177"/>
      <c r="AA208" s="1177"/>
      <c r="AB208" s="1177"/>
      <c r="AC208" s="1177"/>
      <c r="AD208" s="1177"/>
      <c r="AE208" s="1177"/>
      <c r="AF208" s="1177"/>
      <c r="AG208" s="1177"/>
      <c r="AH208" s="1177"/>
      <c r="AI208" s="1177"/>
      <c r="AJ208" s="1177"/>
      <c r="AK208" s="1177"/>
      <c r="AL208" s="1177"/>
      <c r="AM208" s="1177"/>
      <c r="AN208" s="1177"/>
      <c r="AO208" s="1177"/>
      <c r="AP208" s="1177"/>
      <c r="AQ208" s="1177"/>
      <c r="AR208" s="1177"/>
      <c r="AS208" s="1177"/>
      <c r="AT208" s="1177"/>
      <c r="AU208" s="1177"/>
      <c r="AV208" s="1176"/>
      <c r="AW208" s="1176"/>
      <c r="AX208" s="1176"/>
      <c r="AY208" s="1176"/>
      <c r="AZ208" s="1176"/>
      <c r="BA208" s="1177"/>
      <c r="BB208" s="1177"/>
      <c r="BC208" s="1177"/>
      <c r="BD208" s="1177"/>
      <c r="BE208" s="1177"/>
      <c r="BF208" s="1177"/>
      <c r="BG208" s="1177"/>
      <c r="BH208" s="1177"/>
      <c r="BI208" s="1177"/>
      <c r="BJ208" s="1177"/>
      <c r="BK208" s="1177"/>
      <c r="BL208" s="1177"/>
      <c r="BM208" s="1177"/>
      <c r="BN208" s="1177"/>
      <c r="BO208" s="1177"/>
      <c r="BP208" s="1177"/>
      <c r="BQ208" s="1177"/>
      <c r="BR208" s="1177"/>
      <c r="BS208" s="1177"/>
      <c r="BT208" s="1177"/>
      <c r="BU208" s="1177"/>
      <c r="BV208" s="1177"/>
      <c r="BW208" s="1177"/>
      <c r="BX208" s="1177"/>
      <c r="BY208" s="1177"/>
      <c r="BZ208" s="1177"/>
      <c r="CA208" s="1177"/>
      <c r="CB208" s="1177"/>
      <c r="CC208" s="1177"/>
      <c r="CD208" s="1177"/>
      <c r="CE208" s="1177"/>
      <c r="CF208" s="1177"/>
      <c r="CG208" s="1177"/>
      <c r="CH208" s="1177"/>
      <c r="CI208" s="1177"/>
      <c r="CJ208" s="1177"/>
      <c r="CK208" s="1177"/>
      <c r="CL208" s="1177"/>
      <c r="CM208" s="1177"/>
      <c r="CN208" s="1177"/>
      <c r="CO208" s="1177"/>
      <c r="CP208" s="1177"/>
      <c r="CQ208" s="1177"/>
      <c r="CR208" s="1177"/>
      <c r="CS208" s="1177"/>
      <c r="CT208" s="1177"/>
      <c r="CU208" s="1177"/>
      <c r="CV208" s="1177"/>
      <c r="CW208" s="1177"/>
      <c r="CX208" s="1177"/>
      <c r="CY208" s="1177"/>
      <c r="CZ208" s="1177"/>
      <c r="DA208" s="1177"/>
      <c r="DB208" s="1177"/>
      <c r="DC208" s="1177"/>
      <c r="DD208" s="1177"/>
      <c r="DE208" s="1177"/>
      <c r="DF208" s="1177"/>
      <c r="DG208" s="1177"/>
      <c r="DH208" s="1177"/>
      <c r="DI208" s="1177"/>
      <c r="DJ208" s="1177"/>
      <c r="DK208" s="1177"/>
      <c r="DL208" s="1177"/>
      <c r="DM208" s="1177"/>
      <c r="DN208" s="1177"/>
      <c r="DO208" s="1177"/>
      <c r="DP208" s="1177"/>
      <c r="DQ208" s="1177"/>
      <c r="DR208" s="1177"/>
      <c r="DS208" s="1177"/>
      <c r="DT208" s="1177"/>
      <c r="DU208" s="1177"/>
      <c r="DV208" s="1177"/>
      <c r="DW208" s="1177"/>
      <c r="DX208" s="1177"/>
      <c r="DY208" s="1177"/>
      <c r="DZ208" s="1177"/>
      <c r="EA208" s="1177"/>
      <c r="EB208" s="1177"/>
      <c r="EC208" s="1177"/>
      <c r="ED208" s="1177"/>
      <c r="EE208" s="1177"/>
      <c r="EF208" s="1177"/>
      <c r="EG208" s="1177"/>
      <c r="EH208" s="1177"/>
      <c r="EI208" s="1177"/>
      <c r="EJ208" s="1177"/>
      <c r="EK208" s="1177"/>
      <c r="EL208" s="1177"/>
      <c r="EM208" s="1177"/>
      <c r="EN208" s="1177"/>
      <c r="EO208" s="1177"/>
      <c r="EP208" s="1177"/>
      <c r="EQ208" s="1177"/>
      <c r="ER208" s="1177"/>
      <c r="ES208" s="1177"/>
      <c r="ET208" s="1177"/>
      <c r="EU208" s="1177"/>
      <c r="EV208" s="1177"/>
      <c r="EW208" s="1177"/>
      <c r="EX208" s="1177"/>
      <c r="EY208" s="1177"/>
      <c r="EZ208" s="1177"/>
      <c r="FA208" s="1177"/>
      <c r="FB208" s="1177"/>
      <c r="FC208" s="1177"/>
      <c r="FD208" s="1177"/>
      <c r="FE208" s="1177"/>
      <c r="FF208" s="1177"/>
      <c r="FG208" s="1176"/>
      <c r="FH208" s="1177"/>
      <c r="FI208" s="1177"/>
      <c r="FJ208" s="1177"/>
      <c r="FK208" s="1177"/>
      <c r="FL208" s="1177"/>
      <c r="FM208" s="1177"/>
      <c r="FN208" s="1177"/>
      <c r="FO208" s="1177"/>
      <c r="FP208" s="1177"/>
      <c r="FQ208" s="1177"/>
      <c r="FR208" s="1177"/>
      <c r="FS208" s="1177"/>
      <c r="FT208" s="1177"/>
      <c r="FU208" s="1177"/>
      <c r="FV208" s="1177"/>
      <c r="FW208" s="1177"/>
      <c r="FX208" s="1177"/>
      <c r="FY208" s="1177"/>
      <c r="FZ208" s="1177"/>
      <c r="GA208" s="1177"/>
      <c r="GB208" s="1177"/>
      <c r="GC208" s="1177"/>
      <c r="GD208" s="1177"/>
      <c r="GE208" s="1177"/>
      <c r="GF208" s="1177"/>
      <c r="GG208" s="1177"/>
      <c r="GH208" s="1177"/>
      <c r="GI208" s="1177"/>
      <c r="GJ208" s="1177"/>
      <c r="GK208" s="1177"/>
      <c r="GL208" s="1177"/>
      <c r="GM208" s="1177"/>
      <c r="GN208" s="1177"/>
      <c r="GO208" s="1177"/>
      <c r="GP208" s="1177"/>
      <c r="GQ208" s="1177"/>
      <c r="GR208" s="1177"/>
      <c r="GS208" s="1177"/>
      <c r="GT208" s="1177"/>
      <c r="GU208" s="1177"/>
      <c r="GV208" s="1169" t="str">
        <f>IF('Master Sheet'!D11="Hindi","मुख्य परीक्षा परिणाम - 2023","Main Exam Result - 2023")</f>
        <v>मुख्य परीक्षा परिणाम - 2023</v>
      </c>
      <c r="GW208" s="1170"/>
      <c r="GX208" s="1170"/>
      <c r="GY208" s="1170"/>
      <c r="GZ208" s="1170"/>
      <c r="HA208" s="1170"/>
      <c r="HB208" s="1170"/>
      <c r="HC208" s="1171"/>
      <c r="HD208" s="630"/>
      <c r="HE208" s="1247" t="str">
        <f>IF('Master Sheet'!D11="Hindi","पूरक परीक्षा के पश्चात् अंतिम परिणाम- 2023","Final Result after Supplementary Exam Result 2023")</f>
        <v>पूरक परीक्षा के पश्चात् अंतिम परिणाम- 2023</v>
      </c>
      <c r="HF208" s="1248"/>
      <c r="HG208" s="1248"/>
      <c r="HH208" s="1248"/>
      <c r="HI208" s="1249"/>
      <c r="HY208" s="212" t="str">
        <f>IF('Supp. Result Entry'!U207="","",'Supp. Result Entry'!$U$6)</f>
        <v/>
      </c>
      <c r="HZ208" s="213" t="str">
        <f>IF('Supp. Result Entry'!X207="","",'Supp. Result Entry'!$X$6)</f>
        <v/>
      </c>
      <c r="IA208" s="213" t="str">
        <f>IF('Supp. Result Entry'!AA207="","",'Supp. Result Entry'!$AA$6)</f>
        <v/>
      </c>
      <c r="IB208" s="213" t="str">
        <f>IF('Supp. Result Entry'!AD207="","",'Supp. Result Entry'!$AD$6)</f>
        <v/>
      </c>
      <c r="IC208" s="213" t="str">
        <f>IF('Supp. Result Entry'!AG207="","",'Supp. Result Entry'!$AG$6)</f>
        <v/>
      </c>
      <c r="ID208" s="213" t="str">
        <f>IF('Supp. Result Entry'!AJ207="","",'Supp. Result Entry'!$AJ$6)</f>
        <v/>
      </c>
      <c r="IE208" s="213" t="str">
        <f>IF('Supp. Result Entry'!V207="","",'Supp. Result Entry'!V207)</f>
        <v/>
      </c>
      <c r="IF208" s="213" t="str">
        <f>IF('Supp. Result Entry'!Y207="","",'Supp. Result Entry'!Y207)</f>
        <v/>
      </c>
      <c r="IG208" s="213" t="str">
        <f>IF('Supp. Result Entry'!AB207="","",'Supp. Result Entry'!AB207)</f>
        <v/>
      </c>
      <c r="IH208" s="213" t="str">
        <f>IF('Supp. Result Entry'!AE207="","",'Supp. Result Entry'!AE207)</f>
        <v/>
      </c>
      <c r="II208" s="213" t="str">
        <f>IF('Supp. Result Entry'!AH207="","",'Supp. Result Entry'!AH207)</f>
        <v/>
      </c>
      <c r="IJ208" s="213" t="str">
        <f>IF('Supp. Result Entry'!AK207="","",'Supp. Result Entry'!AK207)</f>
        <v/>
      </c>
      <c r="IK208" s="213" t="str">
        <f>IF('Supp. Result Entry'!W207="","",'Supp. Result Entry'!W207)</f>
        <v/>
      </c>
      <c r="IL208" s="213" t="str">
        <f>IF('Supp. Result Entry'!Z207="","",'Supp. Result Entry'!Z207)</f>
        <v/>
      </c>
      <c r="IM208" s="213" t="str">
        <f>IF('Supp. Result Entry'!AC207="","",'Supp. Result Entry'!AC207)</f>
        <v/>
      </c>
      <c r="IN208" s="213" t="str">
        <f>IF('Supp. Result Entry'!AF207="","",'Supp. Result Entry'!AF207)</f>
        <v/>
      </c>
      <c r="IO208" s="213" t="str">
        <f>IF('Supp. Result Entry'!AI207="","",'Supp. Result Entry'!AI207)</f>
        <v/>
      </c>
      <c r="IP208" s="213" t="str">
        <f>IF('Supp. Result Entry'!AL207="","",'Supp. Result Entry'!AL207)</f>
        <v/>
      </c>
      <c r="IQ208" s="213">
        <f>COUNTIF('Supp. Result Entry'!K207:Q207,"S")</f>
        <v>0</v>
      </c>
      <c r="IR208" s="213">
        <f t="shared" si="719"/>
        <v>0</v>
      </c>
      <c r="IS208" s="213">
        <f t="shared" si="720"/>
        <v>0</v>
      </c>
      <c r="IT208" s="213" t="str">
        <f t="shared" si="588"/>
        <v/>
      </c>
      <c r="IU208" s="213" t="str">
        <f t="shared" si="589"/>
        <v/>
      </c>
      <c r="IV208" s="213" t="str">
        <f t="shared" si="590"/>
        <v/>
      </c>
      <c r="IW208" s="213" t="str">
        <f t="shared" si="591"/>
        <v/>
      </c>
      <c r="IX208" s="213" t="str">
        <f t="shared" si="592"/>
        <v/>
      </c>
      <c r="IY208" s="213" t="str">
        <f t="shared" si="721"/>
        <v/>
      </c>
      <c r="IZ208" s="213" t="str">
        <f t="shared" si="722"/>
        <v/>
      </c>
      <c r="JA208" s="213" t="str">
        <f t="shared" si="593"/>
        <v/>
      </c>
      <c r="JB208" s="211" t="str">
        <f t="shared" si="723"/>
        <v/>
      </c>
    </row>
    <row r="209" spans="1:262" s="223" customFormat="1" ht="30.75" customHeight="1">
      <c r="A209" s="1178" t="str">
        <f>IF('Master Sheet'!D11="Hindi","विषयवार सांख्यिकी सूचना","Subject-Wise Result Statistics")</f>
        <v>विषयवार सांख्यिकी सूचना</v>
      </c>
      <c r="B209" s="1179"/>
      <c r="C209" s="1179"/>
      <c r="D209" s="1179"/>
      <c r="E209" s="1180"/>
      <c r="F209" s="1150" t="str">
        <f>IF('Master Sheet'!D11="Hindi","विषय का नाम :","Subject Name :")</f>
        <v>विषय का नाम :</v>
      </c>
      <c r="G209" s="1150"/>
      <c r="H209" s="1095" t="s">
        <v>78</v>
      </c>
      <c r="I209" s="1095"/>
      <c r="J209" s="1163" t="str">
        <f>J3</f>
        <v>Com. Hindi</v>
      </c>
      <c r="K209" s="1163"/>
      <c r="L209" s="1163"/>
      <c r="M209" s="1163"/>
      <c r="N209" s="1163"/>
      <c r="O209" s="1163"/>
      <c r="P209" s="1163"/>
      <c r="Q209" s="1163"/>
      <c r="R209" s="1163"/>
      <c r="S209" s="1163"/>
      <c r="T209" s="1163"/>
      <c r="U209" s="1163"/>
      <c r="V209" s="1163"/>
      <c r="W209" s="1163"/>
      <c r="X209" s="1163" t="str">
        <f>X3</f>
        <v>Com. English</v>
      </c>
      <c r="Y209" s="1163"/>
      <c r="Z209" s="1163"/>
      <c r="AA209" s="1163"/>
      <c r="AB209" s="1163"/>
      <c r="AC209" s="1163"/>
      <c r="AD209" s="1163"/>
      <c r="AE209" s="1163"/>
      <c r="AF209" s="1163"/>
      <c r="AG209" s="1163"/>
      <c r="AH209" s="1163"/>
      <c r="AI209" s="1163"/>
      <c r="AJ209" s="1163"/>
      <c r="AK209" s="1163"/>
      <c r="AL209" s="1087" t="str">
        <f>AL3</f>
        <v>POLITICAL SCIENCE</v>
      </c>
      <c r="AM209" s="1087"/>
      <c r="AN209" s="1087"/>
      <c r="AO209" s="1087"/>
      <c r="AP209" s="1087"/>
      <c r="AQ209" s="1087" t="str">
        <f>AR3</f>
        <v>BIOLOGY</v>
      </c>
      <c r="AR209" s="1087"/>
      <c r="AS209" s="1087"/>
      <c r="AT209" s="1087"/>
      <c r="AU209" s="1087"/>
      <c r="AV209" s="1087" t="str">
        <f>AW3</f>
        <v/>
      </c>
      <c r="AW209" s="1087"/>
      <c r="AX209" s="1087"/>
      <c r="AY209" s="1087"/>
      <c r="AZ209" s="1087"/>
      <c r="BA209" s="215"/>
      <c r="BB209" s="216"/>
      <c r="BC209" s="216"/>
      <c r="BD209" s="216"/>
      <c r="BE209" s="1166"/>
      <c r="BF209" s="1166"/>
      <c r="BG209" s="1166"/>
      <c r="BH209" s="1166"/>
      <c r="BI209" s="1087" t="str">
        <f>BI3</f>
        <v>HISTORY</v>
      </c>
      <c r="BJ209" s="1087"/>
      <c r="BK209" s="1087"/>
      <c r="BL209" s="1087"/>
      <c r="BM209" s="1087"/>
      <c r="BN209" s="1087" t="str">
        <f>BO3</f>
        <v>ACCOUNTANCY</v>
      </c>
      <c r="BO209" s="1087" t="str">
        <f>BO3</f>
        <v>ACCOUNTANCY</v>
      </c>
      <c r="BP209" s="1087"/>
      <c r="BQ209" s="1087"/>
      <c r="BR209" s="1087"/>
      <c r="BS209" s="1087" t="str">
        <f>BT3</f>
        <v>ECONOMICS</v>
      </c>
      <c r="BT209" s="1087"/>
      <c r="BU209" s="1087"/>
      <c r="BV209" s="1087"/>
      <c r="BW209" s="1087"/>
      <c r="BX209" s="215"/>
      <c r="BY209" s="216"/>
      <c r="BZ209" s="216"/>
      <c r="CA209" s="216"/>
      <c r="CB209" s="1166"/>
      <c r="CC209" s="1166"/>
      <c r="CD209" s="1166"/>
      <c r="CE209" s="1166"/>
      <c r="CF209" s="1087" t="str">
        <f>CF3</f>
        <v>GEOGRAPHY</v>
      </c>
      <c r="CG209" s="1087"/>
      <c r="CH209" s="1087"/>
      <c r="CI209" s="1087"/>
      <c r="CJ209" s="1087"/>
      <c r="CK209" s="1087" t="str">
        <f>CL3</f>
        <v>HOME SCIENCE</v>
      </c>
      <c r="CL209" s="1087" t="str">
        <f>CL3</f>
        <v>HOME SCIENCE</v>
      </c>
      <c r="CM209" s="1087"/>
      <c r="CN209" s="1087"/>
      <c r="CO209" s="1087"/>
      <c r="CP209" s="1087" t="str">
        <f>CQ3</f>
        <v>TYPING</v>
      </c>
      <c r="CQ209" s="1087"/>
      <c r="CR209" s="1087"/>
      <c r="CS209" s="1087"/>
      <c r="CT209" s="1087"/>
      <c r="CU209" s="215"/>
      <c r="CV209" s="216"/>
      <c r="CW209" s="216"/>
      <c r="CX209" s="216"/>
      <c r="CY209" s="1165"/>
      <c r="CZ209" s="1165"/>
      <c r="DA209" s="1165"/>
      <c r="DB209" s="1165"/>
      <c r="DC209" s="217"/>
      <c r="DD209" s="1087" t="str">
        <f>DD3</f>
        <v/>
      </c>
      <c r="DE209" s="1087"/>
      <c r="DF209" s="1087"/>
      <c r="DG209" s="1087"/>
      <c r="DH209" s="1087"/>
      <c r="DI209" s="1087" t="str">
        <f>DK3</f>
        <v/>
      </c>
      <c r="DJ209" s="1087" t="e">
        <f>#REF!</f>
        <v>#REF!</v>
      </c>
      <c r="DK209" s="1087"/>
      <c r="DL209" s="1087"/>
      <c r="DM209" s="1087"/>
      <c r="DN209" s="1087" t="str">
        <f>DP3</f>
        <v/>
      </c>
      <c r="DO209" s="1087"/>
      <c r="DP209" s="1087"/>
      <c r="DQ209" s="1087"/>
      <c r="DR209" s="1087"/>
      <c r="DS209" s="1165" t="str">
        <f>EC4</f>
        <v>जीवन कौशल</v>
      </c>
      <c r="DT209" s="1165"/>
      <c r="DU209" s="1165"/>
      <c r="DV209" s="1165"/>
      <c r="DW209" s="1165"/>
      <c r="DX209" s="1165"/>
      <c r="DY209" s="1165"/>
      <c r="DZ209" s="1165"/>
      <c r="EA209" s="1165"/>
      <c r="EB209" s="1165"/>
      <c r="EC209" s="1165"/>
      <c r="ED209" s="1165"/>
      <c r="EE209" s="1165"/>
      <c r="EF209" s="1165"/>
      <c r="EG209" s="1165"/>
      <c r="EH209" s="1165"/>
      <c r="EI209" s="218"/>
      <c r="EJ209" s="218"/>
      <c r="EK209" s="218"/>
      <c r="EL209" s="219"/>
      <c r="EM209" s="219"/>
      <c r="EN209" s="219"/>
      <c r="EO209" s="219"/>
      <c r="EP209" s="219"/>
      <c r="EQ209" s="219"/>
      <c r="ER209" s="219"/>
      <c r="ES209" s="219"/>
      <c r="ET209" s="219"/>
      <c r="EU209" s="219"/>
      <c r="EV209" s="219"/>
      <c r="EW209" s="219"/>
      <c r="EX209" s="219"/>
      <c r="EY209" s="1112" t="str">
        <f>EY3</f>
        <v xml:space="preserve">आजादी के बाद का स्वर्णिम भारत </v>
      </c>
      <c r="EZ209" s="1113"/>
      <c r="FA209" s="1113"/>
      <c r="FB209" s="1113"/>
      <c r="FC209" s="1113"/>
      <c r="FD209" s="1113"/>
      <c r="FE209" s="1118"/>
      <c r="FF209" s="1119"/>
      <c r="FG209" s="220"/>
      <c r="FH209" s="220"/>
      <c r="FI209" s="220"/>
      <c r="FJ209" s="220"/>
      <c r="FK209" s="220"/>
      <c r="FL209" s="220"/>
      <c r="FM209" s="220"/>
      <c r="FN209" s="220"/>
      <c r="FO209" s="220"/>
      <c r="FP209" s="220"/>
      <c r="FQ209" s="220"/>
      <c r="FR209" s="220"/>
      <c r="FS209" s="220"/>
      <c r="FT209" s="220"/>
      <c r="FU209" s="220"/>
      <c r="FV209" s="220"/>
      <c r="FW209" s="220"/>
      <c r="FX209" s="220"/>
      <c r="FY209" s="220"/>
      <c r="FZ209" s="220"/>
      <c r="GA209" s="220"/>
      <c r="GB209" s="220"/>
      <c r="GC209" s="220"/>
      <c r="GD209" s="220"/>
      <c r="GE209" s="220"/>
      <c r="GF209" s="220"/>
      <c r="GG209" s="220"/>
      <c r="GH209" s="220"/>
      <c r="GI209" s="220"/>
      <c r="GJ209" s="220"/>
      <c r="GK209" s="220"/>
      <c r="GL209" s="220"/>
      <c r="GM209" s="220"/>
      <c r="GN209" s="220"/>
      <c r="GO209" s="220"/>
      <c r="GP209" s="220"/>
      <c r="GQ209" s="220"/>
      <c r="GR209" s="220"/>
      <c r="GS209" s="220"/>
      <c r="GT209" s="220"/>
      <c r="GU209" s="221"/>
      <c r="GV209" s="1167" t="str">
        <f>IF('Master Sheet'!D11="Hindi","परिणाम घोषित दिनांक","Date of result declaration")</f>
        <v>परिणाम घोषित दिनांक</v>
      </c>
      <c r="GW209" s="1168"/>
      <c r="GX209" s="222">
        <f>IF('Master Sheet'!D10="","",'Master Sheet'!D10)</f>
        <v>46106</v>
      </c>
      <c r="GY209" s="1201" t="str">
        <f>IF('Master Sheet'!D11="Hindi","कुल प्रविष्ट","Total appeared")</f>
        <v>कुल प्रविष्ट</v>
      </c>
      <c r="GZ209" s="1201"/>
      <c r="HA209" s="1201"/>
      <c r="HB209" s="1096">
        <f>COUNTA(GY8:GY207)-COUNTIF(GY8:GY207,"0")-COUNTIF(GY8:GY207,"blank")-COUNTIF(GY8:GY207,"")-COUNTIF(GY8:GY207,"NSO")</f>
        <v>11</v>
      </c>
      <c r="HC209" s="1097"/>
      <c r="HD209" s="631"/>
      <c r="HE209" s="1250" t="str">
        <f>IF('Master Sheet'!D11="Hindi","कुल प्रविष्ट","Total appeared")</f>
        <v>कुल प्रविष्ट</v>
      </c>
      <c r="HF209" s="1251"/>
      <c r="HG209" s="1251"/>
      <c r="HH209" s="601">
        <f>COUNTA(HH8:HH207)-COUNTIF(HH8:HH207,"0")-COUNTIF(HH8:HH207,"blank")-COUNTIF(HH8:HH207,"")-COUNTIF(HH8:HH207,"NSO")</f>
        <v>2</v>
      </c>
      <c r="HI209" s="645" t="s">
        <v>228</v>
      </c>
      <c r="HJ209" s="637"/>
      <c r="HY209" s="212" t="str">
        <f>IF('Supp. Result Entry'!U208="","",'Supp. Result Entry'!$U$6)</f>
        <v/>
      </c>
      <c r="HZ209" s="213" t="str">
        <f>IF('Supp. Result Entry'!X208="","",'Supp. Result Entry'!$X$6)</f>
        <v/>
      </c>
      <c r="IA209" s="213" t="str">
        <f>IF('Supp. Result Entry'!AA208="","",'Supp. Result Entry'!$AA$6)</f>
        <v/>
      </c>
      <c r="IB209" s="213" t="str">
        <f>IF('Supp. Result Entry'!AD208="","",'Supp. Result Entry'!$AD$6)</f>
        <v/>
      </c>
      <c r="IC209" s="213" t="str">
        <f>IF('Supp. Result Entry'!AG208="","",'Supp. Result Entry'!$AG$6)</f>
        <v/>
      </c>
      <c r="ID209" s="213" t="str">
        <f>IF('Supp. Result Entry'!AJ208="","",'Supp. Result Entry'!$AJ$6)</f>
        <v/>
      </c>
      <c r="IE209" s="213" t="str">
        <f>IF('Supp. Result Entry'!V208="","",'Supp. Result Entry'!V208)</f>
        <v/>
      </c>
      <c r="IF209" s="213" t="str">
        <f>IF('Supp. Result Entry'!Y208="","",'Supp. Result Entry'!Y208)</f>
        <v/>
      </c>
      <c r="IG209" s="213" t="str">
        <f>IF('Supp. Result Entry'!AB208="","",'Supp. Result Entry'!AB208)</f>
        <v/>
      </c>
      <c r="IH209" s="213" t="str">
        <f>IF('Supp. Result Entry'!AE208="","",'Supp. Result Entry'!AE208)</f>
        <v/>
      </c>
      <c r="II209" s="213" t="str">
        <f>IF('Supp. Result Entry'!AH208="","",'Supp. Result Entry'!AH208)</f>
        <v/>
      </c>
      <c r="IJ209" s="213" t="str">
        <f>IF('Supp. Result Entry'!AK208="","",'Supp. Result Entry'!AK208)</f>
        <v/>
      </c>
      <c r="IK209" s="213" t="str">
        <f>IF('Supp. Result Entry'!W208="","",'Supp. Result Entry'!W208)</f>
        <v/>
      </c>
      <c r="IL209" s="213" t="str">
        <f>IF('Supp. Result Entry'!Z208="","",'Supp. Result Entry'!Z208)</f>
        <v/>
      </c>
      <c r="IM209" s="213" t="str">
        <f>IF('Supp. Result Entry'!AC208="","",'Supp. Result Entry'!AC208)</f>
        <v/>
      </c>
      <c r="IN209" s="213" t="str">
        <f>IF('Supp. Result Entry'!AF208="","",'Supp. Result Entry'!AF208)</f>
        <v/>
      </c>
      <c r="IO209" s="213" t="str">
        <f>IF('Supp. Result Entry'!AI208="","",'Supp. Result Entry'!AI208)</f>
        <v/>
      </c>
      <c r="IP209" s="213" t="str">
        <f>IF('Supp. Result Entry'!AL208="","",'Supp. Result Entry'!AL208)</f>
        <v/>
      </c>
      <c r="IQ209" s="213">
        <f>COUNTIF('Supp. Result Entry'!K208:Q208,"S")</f>
        <v>0</v>
      </c>
      <c r="IR209" s="213">
        <f t="shared" si="719"/>
        <v>0</v>
      </c>
      <c r="IS209" s="213">
        <f t="shared" si="720"/>
        <v>0</v>
      </c>
      <c r="IT209" s="213" t="str">
        <f t="shared" si="588"/>
        <v/>
      </c>
      <c r="IU209" s="213" t="str">
        <f t="shared" si="589"/>
        <v/>
      </c>
      <c r="IV209" s="213" t="str">
        <f t="shared" si="590"/>
        <v/>
      </c>
      <c r="IW209" s="213" t="str">
        <f t="shared" si="591"/>
        <v/>
      </c>
      <c r="IX209" s="213" t="str">
        <f t="shared" si="592"/>
        <v/>
      </c>
      <c r="IY209" s="213" t="str">
        <f t="shared" si="721"/>
        <v/>
      </c>
      <c r="IZ209" s="213" t="str">
        <f t="shared" si="722"/>
        <v/>
      </c>
      <c r="JA209" s="213" t="str">
        <f t="shared" si="593"/>
        <v/>
      </c>
      <c r="JB209" s="211" t="str">
        <f t="shared" si="723"/>
        <v/>
      </c>
    </row>
    <row r="210" spans="1:262" s="230" customFormat="1" ht="24" customHeight="1">
      <c r="A210" s="1181"/>
      <c r="B210" s="1182"/>
      <c r="C210" s="1182"/>
      <c r="D210" s="1182"/>
      <c r="E210" s="1183"/>
      <c r="F210" s="1150" t="str">
        <f>IF('Master Sheet'!D11="Hindi","विषयाध्यापक का नाम :","Name Of Subject Teacher :")</f>
        <v>विषयाध्यापक का नाम :</v>
      </c>
      <c r="G210" s="1150"/>
      <c r="H210" s="1095" t="s">
        <v>78</v>
      </c>
      <c r="I210" s="1095"/>
      <c r="J210" s="1163" t="str">
        <f>IFERROR(IF('Marks Entry'!K3="","",UPPER('Marks Entry'!K3)),"")</f>
        <v>RADHESHYAM</v>
      </c>
      <c r="K210" s="1163"/>
      <c r="L210" s="1163"/>
      <c r="M210" s="1163"/>
      <c r="N210" s="1163"/>
      <c r="O210" s="1163"/>
      <c r="P210" s="1163"/>
      <c r="Q210" s="1163"/>
      <c r="R210" s="1163"/>
      <c r="S210" s="1163"/>
      <c r="T210" s="1163"/>
      <c r="U210" s="1163"/>
      <c r="V210" s="1163"/>
      <c r="W210" s="1163"/>
      <c r="X210" s="1163" t="str">
        <f>IFERROR(IF('Marks Entry'!P3="","",UPPER('Marks Entry'!P3)),"")</f>
        <v>HEERALAL JAT</v>
      </c>
      <c r="Y210" s="1163"/>
      <c r="Z210" s="1163"/>
      <c r="AA210" s="1163"/>
      <c r="AB210" s="1163"/>
      <c r="AC210" s="1163"/>
      <c r="AD210" s="1163"/>
      <c r="AE210" s="1163"/>
      <c r="AF210" s="1163"/>
      <c r="AG210" s="1163"/>
      <c r="AH210" s="1163"/>
      <c r="AI210" s="1163"/>
      <c r="AJ210" s="1163"/>
      <c r="AK210" s="1163"/>
      <c r="AL210" s="1087" t="str">
        <f>IFERROR(IF(AL209="","",VLOOKUP(AL209,'Master Sheet'!$G$6:$H$20,2,0)),"")</f>
        <v>Heeralal Jat</v>
      </c>
      <c r="AM210" s="1087"/>
      <c r="AN210" s="1087"/>
      <c r="AO210" s="1087"/>
      <c r="AP210" s="1087"/>
      <c r="AQ210" s="1087" t="str">
        <f>IFERROR(IF(AQ209="","",VLOOKUP(AQ209,'Master Sheet'!$G$6:$H$20,2,0)),"")</f>
        <v/>
      </c>
      <c r="AR210" s="1087"/>
      <c r="AS210" s="1087"/>
      <c r="AT210" s="1087"/>
      <c r="AU210" s="1087"/>
      <c r="AV210" s="1087" t="str">
        <f>IFERROR(IF(AV209="","",VLOOKUP(AV209,'Master Sheet'!$G$6:$H$20,2,0)),"")</f>
        <v/>
      </c>
      <c r="AW210" s="1087"/>
      <c r="AX210" s="1087"/>
      <c r="AY210" s="1087"/>
      <c r="AZ210" s="1087"/>
      <c r="BA210" s="224"/>
      <c r="BB210" s="225"/>
      <c r="BC210" s="225"/>
      <c r="BD210" s="225"/>
      <c r="BE210" s="226"/>
      <c r="BF210" s="226"/>
      <c r="BG210" s="226"/>
      <c r="BH210" s="227"/>
      <c r="BI210" s="1087" t="str">
        <f>IFERROR(IF(BI209="","",VLOOKUP(BI209,'Master Sheet'!$G$6:$H$20,2,0)),"")</f>
        <v>Rakesh Kumar</v>
      </c>
      <c r="BJ210" s="1087"/>
      <c r="BK210" s="1087"/>
      <c r="BL210" s="1087"/>
      <c r="BM210" s="1087"/>
      <c r="BN210" s="1087" t="str">
        <f>IFERROR(IF(BN209="","",VLOOKUP(BN209,'Master Sheet'!$G$6:$H$20,2,0)),"")</f>
        <v/>
      </c>
      <c r="BO210" s="1087"/>
      <c r="BP210" s="1087"/>
      <c r="BQ210" s="1087"/>
      <c r="BR210" s="1087"/>
      <c r="BS210" s="1087" t="str">
        <f>IFERROR(IF(BS209="","",VLOOKUP(BS209,'Master Sheet'!$G$6:$H$20,2,0)),"")</f>
        <v/>
      </c>
      <c r="BT210" s="1087"/>
      <c r="BU210" s="1087"/>
      <c r="BV210" s="1087"/>
      <c r="BW210" s="1087"/>
      <c r="BX210" s="224"/>
      <c r="BY210" s="225"/>
      <c r="BZ210" s="225"/>
      <c r="CA210" s="225"/>
      <c r="CB210" s="226"/>
      <c r="CC210" s="226"/>
      <c r="CD210" s="226"/>
      <c r="CE210" s="227"/>
      <c r="CF210" s="1087" t="str">
        <f>IFERROR(IF(CF209="","",VLOOKUP(CF209,'Master Sheet'!$G$6:$H$20,2,0)),"")</f>
        <v>Yogendra</v>
      </c>
      <c r="CG210" s="1087"/>
      <c r="CH210" s="1087"/>
      <c r="CI210" s="1087"/>
      <c r="CJ210" s="1087"/>
      <c r="CK210" s="1087" t="str">
        <f>IFERROR(IF(CK209="","",VLOOKUP(CK209,'Master Sheet'!$G$6:$H$20,2,0)),"")</f>
        <v/>
      </c>
      <c r="CL210" s="1087"/>
      <c r="CM210" s="1087"/>
      <c r="CN210" s="1087"/>
      <c r="CO210" s="1087"/>
      <c r="CP210" s="1087" t="str">
        <f>IFERROR(IF(CP209="","",VLOOKUP(CP209,'Master Sheet'!$G$6:$H$20,2,0)),"")</f>
        <v/>
      </c>
      <c r="CQ210" s="1087"/>
      <c r="CR210" s="1087"/>
      <c r="CS210" s="1087"/>
      <c r="CT210" s="1087"/>
      <c r="CU210" s="224"/>
      <c r="CV210" s="225"/>
      <c r="CW210" s="225"/>
      <c r="CX210" s="225"/>
      <c r="CY210" s="226"/>
      <c r="CZ210" s="226"/>
      <c r="DA210" s="226"/>
      <c r="DB210" s="227"/>
      <c r="DC210" s="226"/>
      <c r="DD210" s="1087" t="str">
        <f>IFERROR(IF(DD209="","",VLOOKUP(DD209,'Master Sheet'!$G$6:$H$20,2,0)),"")</f>
        <v/>
      </c>
      <c r="DE210" s="1087"/>
      <c r="DF210" s="1087"/>
      <c r="DG210" s="1087"/>
      <c r="DH210" s="1087"/>
      <c r="DI210" s="1087" t="str">
        <f>IFERROR(IF(DI209="","",VLOOKUP(DI209,'Master Sheet'!$G$6:$H$20,2,0)),"")</f>
        <v/>
      </c>
      <c r="DJ210" s="1087"/>
      <c r="DK210" s="1087"/>
      <c r="DL210" s="1087"/>
      <c r="DM210" s="1087"/>
      <c r="DN210" s="1087" t="str">
        <f>IFERROR(IF(DN209="","",VLOOKUP(DN209,'Master Sheet'!$G$6:$H$20,2,0)),"")</f>
        <v/>
      </c>
      <c r="DO210" s="1087"/>
      <c r="DP210" s="1087"/>
      <c r="DQ210" s="1087"/>
      <c r="DR210" s="1087"/>
      <c r="DS210" s="1164" t="str">
        <f>IFERROR(IF('Marks Entry'!BB3="","",'Marks Entry'!BB3),"")</f>
        <v>Lalit Kumar</v>
      </c>
      <c r="DT210" s="1164"/>
      <c r="DU210" s="1164"/>
      <c r="DV210" s="1164"/>
      <c r="DW210" s="1164"/>
      <c r="DX210" s="1164"/>
      <c r="DY210" s="1164"/>
      <c r="DZ210" s="1164"/>
      <c r="EA210" s="1164"/>
      <c r="EB210" s="1164"/>
      <c r="EC210" s="1164"/>
      <c r="ED210" s="1164"/>
      <c r="EE210" s="1164"/>
      <c r="EF210" s="1164"/>
      <c r="EG210" s="1164"/>
      <c r="EH210" s="1164"/>
      <c r="EI210" s="219"/>
      <c r="EJ210" s="219"/>
      <c r="EK210" s="219"/>
      <c r="EL210" s="219"/>
      <c r="EM210" s="219"/>
      <c r="EN210" s="219"/>
      <c r="EO210" s="219"/>
      <c r="EP210" s="219"/>
      <c r="EQ210" s="219"/>
      <c r="ER210" s="219"/>
      <c r="ES210" s="219"/>
      <c r="ET210" s="219"/>
      <c r="EU210" s="219"/>
      <c r="EV210" s="219"/>
      <c r="EW210" s="219"/>
      <c r="EX210" s="219"/>
      <c r="EY210" s="1114" t="str">
        <f>IFERROR(IF('Marks Entry'!BE2="","",'Marks Entry'!BE2),"")</f>
        <v>Pravin Kumar</v>
      </c>
      <c r="EZ210" s="1115"/>
      <c r="FA210" s="1115"/>
      <c r="FB210" s="1115"/>
      <c r="FC210" s="1115"/>
      <c r="FD210" s="1115"/>
      <c r="FE210" s="1120"/>
      <c r="FF210" s="1121"/>
      <c r="FG210" s="228"/>
      <c r="FH210" s="228"/>
      <c r="FI210" s="228"/>
      <c r="FJ210" s="228"/>
      <c r="FK210" s="228"/>
      <c r="FL210" s="228"/>
      <c r="FM210" s="228"/>
      <c r="FN210" s="228"/>
      <c r="FO210" s="228"/>
      <c r="FP210" s="228"/>
      <c r="FQ210" s="228"/>
      <c r="FR210" s="228"/>
      <c r="FS210" s="228"/>
      <c r="FT210" s="228"/>
      <c r="FU210" s="228"/>
      <c r="FV210" s="228"/>
      <c r="FW210" s="228"/>
      <c r="FX210" s="228"/>
      <c r="FY210" s="228"/>
      <c r="FZ210" s="228"/>
      <c r="GA210" s="228"/>
      <c r="GB210" s="228"/>
      <c r="GC210" s="228"/>
      <c r="GD210" s="228"/>
      <c r="GE210" s="228"/>
      <c r="GF210" s="228"/>
      <c r="GG210" s="228"/>
      <c r="GH210" s="228"/>
      <c r="GI210" s="228"/>
      <c r="GJ210" s="228"/>
      <c r="GK210" s="228"/>
      <c r="GL210" s="228"/>
      <c r="GM210" s="228"/>
      <c r="GN210" s="228"/>
      <c r="GO210" s="228"/>
      <c r="GP210" s="228"/>
      <c r="GQ210" s="228"/>
      <c r="GR210" s="228"/>
      <c r="GS210" s="228"/>
      <c r="GT210" s="228"/>
      <c r="GU210" s="229"/>
      <c r="GV210" s="1092" t="str">
        <f>IF('Master Sheet'!D11="Hindi","परिणाम तैयारकर्ता","Signature of the maker")</f>
        <v>परिणाम तैयारकर्ता</v>
      </c>
      <c r="GW210" s="1093"/>
      <c r="GX210" s="1209" t="str">
        <f>CONCATENATE("( ",UPPER('Master Sheet'!D16)," )")</f>
        <v>( SURESH KUMAR )</v>
      </c>
      <c r="GY210" s="1187" t="str">
        <f>IF('Master Sheet'!D11="Hindi","प्रथम श्रेणी","1st Div.")</f>
        <v>प्रथम श्रेणी</v>
      </c>
      <c r="GZ210" s="1187"/>
      <c r="HA210" s="1187"/>
      <c r="HB210" s="1206">
        <f>COUNTIF(HB8:HB207,"I")</f>
        <v>4</v>
      </c>
      <c r="HC210" s="1207"/>
      <c r="HD210" s="632"/>
      <c r="HE210" s="1208" t="str">
        <f>IF('Master Sheet'!D11="Hindi","प्रथम श्रेणी","1st Div.")</f>
        <v>प्रथम श्रेणी</v>
      </c>
      <c r="HF210" s="1187"/>
      <c r="HG210" s="1187"/>
      <c r="HH210" s="604">
        <f>COUNTIF(HG8:HG207,"I")</f>
        <v>0</v>
      </c>
      <c r="HI210" s="639">
        <f>SUM(HB210,HH210)</f>
        <v>4</v>
      </c>
      <c r="HY210" s="212" t="str">
        <f>IF('Supp. Result Entry'!U209="","",'Supp. Result Entry'!$U$6)</f>
        <v/>
      </c>
      <c r="HZ210" s="213" t="str">
        <f>IF('Supp. Result Entry'!X209="","",'Supp. Result Entry'!$X$6)</f>
        <v/>
      </c>
      <c r="IA210" s="213" t="str">
        <f>IF('Supp. Result Entry'!AA209="","",'Supp. Result Entry'!$AA$6)</f>
        <v/>
      </c>
      <c r="IB210" s="213" t="str">
        <f>IF('Supp. Result Entry'!AD209="","",'Supp. Result Entry'!$AD$6)</f>
        <v/>
      </c>
      <c r="IC210" s="213" t="str">
        <f>IF('Supp. Result Entry'!AG209="","",'Supp. Result Entry'!$AG$6)</f>
        <v/>
      </c>
      <c r="ID210" s="213" t="str">
        <f>IF('Supp. Result Entry'!AJ209="","",'Supp. Result Entry'!$AJ$6)</f>
        <v/>
      </c>
      <c r="IE210" s="213" t="str">
        <f>IF('Supp. Result Entry'!V209="","",'Supp. Result Entry'!V209)</f>
        <v/>
      </c>
      <c r="IF210" s="213" t="str">
        <f>IF('Supp. Result Entry'!Y209="","",'Supp. Result Entry'!Y209)</f>
        <v/>
      </c>
      <c r="IG210" s="213" t="str">
        <f>IF('Supp. Result Entry'!AB209="","",'Supp. Result Entry'!AB209)</f>
        <v/>
      </c>
      <c r="IH210" s="213" t="str">
        <f>IF('Supp. Result Entry'!AE209="","",'Supp. Result Entry'!AE209)</f>
        <v/>
      </c>
      <c r="II210" s="213" t="str">
        <f>IF('Supp. Result Entry'!AH209="","",'Supp. Result Entry'!AH209)</f>
        <v/>
      </c>
      <c r="IJ210" s="213" t="str">
        <f>IF('Supp. Result Entry'!AK209="","",'Supp. Result Entry'!AK209)</f>
        <v/>
      </c>
      <c r="IK210" s="213" t="str">
        <f>IF('Supp. Result Entry'!W209="","",'Supp. Result Entry'!W209)</f>
        <v/>
      </c>
      <c r="IL210" s="213" t="str">
        <f>IF('Supp. Result Entry'!Z209="","",'Supp. Result Entry'!Z209)</f>
        <v/>
      </c>
      <c r="IM210" s="213" t="str">
        <f>IF('Supp. Result Entry'!AC209="","",'Supp. Result Entry'!AC209)</f>
        <v/>
      </c>
      <c r="IN210" s="213" t="str">
        <f>IF('Supp. Result Entry'!AF209="","",'Supp. Result Entry'!AF209)</f>
        <v/>
      </c>
      <c r="IO210" s="213" t="str">
        <f>IF('Supp. Result Entry'!AI209="","",'Supp. Result Entry'!AI209)</f>
        <v/>
      </c>
      <c r="IP210" s="213" t="str">
        <f>IF('Supp. Result Entry'!AL209="","",'Supp. Result Entry'!AL209)</f>
        <v/>
      </c>
      <c r="IQ210" s="213">
        <f>COUNTIF('Supp. Result Entry'!K209:Q209,"S")</f>
        <v>0</v>
      </c>
      <c r="IR210" s="213">
        <f t="shared" si="719"/>
        <v>0</v>
      </c>
      <c r="IS210" s="213">
        <f t="shared" si="720"/>
        <v>0</v>
      </c>
      <c r="IT210" s="213" t="str">
        <f t="shared" si="588"/>
        <v/>
      </c>
      <c r="IU210" s="213" t="str">
        <f t="shared" si="589"/>
        <v/>
      </c>
      <c r="IV210" s="213" t="str">
        <f t="shared" si="590"/>
        <v/>
      </c>
      <c r="IW210" s="213" t="str">
        <f t="shared" si="591"/>
        <v/>
      </c>
      <c r="IX210" s="213" t="str">
        <f t="shared" si="592"/>
        <v/>
      </c>
      <c r="IY210" s="213" t="str">
        <f t="shared" si="721"/>
        <v/>
      </c>
      <c r="IZ210" s="213" t="str">
        <f t="shared" si="722"/>
        <v/>
      </c>
      <c r="JA210" s="213" t="str">
        <f t="shared" si="593"/>
        <v/>
      </c>
      <c r="JB210" s="211" t="str">
        <f t="shared" si="723"/>
        <v/>
      </c>
    </row>
    <row r="211" spans="1:262" s="236" customFormat="1" ht="21" customHeight="1">
      <c r="A211" s="1181"/>
      <c r="B211" s="1182"/>
      <c r="C211" s="1182"/>
      <c r="D211" s="1182"/>
      <c r="E211" s="1183"/>
      <c r="F211" s="1150" t="str">
        <f>IF('Master Sheet'!D11="Hindi","परीक्षा में बैठने वाले विद्यार्थियों की संख्या :","No. of students appeared :")</f>
        <v>परीक्षा में बैठने वाले विद्यार्थियों की संख्या :</v>
      </c>
      <c r="G211" s="1150"/>
      <c r="H211" s="1095" t="s">
        <v>78</v>
      </c>
      <c r="I211" s="1095"/>
      <c r="J211" s="1088">
        <f>IF(AND(J209="",J210=""),"",COUNTA(FJ8:FJ207)-COUNTIF(FJ8:FJ207,"RE")-COUNTIF(FJ8:FJ207,"AB")-COUNTIF(FJ8:FJ207,""))</f>
        <v>11</v>
      </c>
      <c r="K211" s="1088"/>
      <c r="L211" s="1088"/>
      <c r="M211" s="1088"/>
      <c r="N211" s="1088"/>
      <c r="O211" s="1088"/>
      <c r="P211" s="1088"/>
      <c r="Q211" s="1088"/>
      <c r="R211" s="1088"/>
      <c r="S211" s="1088"/>
      <c r="T211" s="1088"/>
      <c r="U211" s="1088"/>
      <c r="V211" s="1088"/>
      <c r="W211" s="1088"/>
      <c r="X211" s="1088">
        <f>IF(AND(X209="",X210=""),"",COUNTA(FM8:FM207)-COUNTIF(FM8:FM207,"RE")-COUNTIF(FM8:FM207,"AB")-COUNTIF(FM8:FM207,""))</f>
        <v>11</v>
      </c>
      <c r="Y211" s="1088"/>
      <c r="Z211" s="1088"/>
      <c r="AA211" s="1088"/>
      <c r="AB211" s="1088"/>
      <c r="AC211" s="1088"/>
      <c r="AD211" s="1088"/>
      <c r="AE211" s="1088"/>
      <c r="AF211" s="1088"/>
      <c r="AG211" s="1088"/>
      <c r="AH211" s="1088"/>
      <c r="AI211" s="1088"/>
      <c r="AJ211" s="1088"/>
      <c r="AK211" s="1088"/>
      <c r="AL211" s="1088">
        <f>IF(AND(AL209="",AL210=""),"",COUNTA(FQ8:FQ207)-COUNTIF(FQ8:FQ207,"RE")-COUNTIF(FQ8:FQ207,"AB")-COUNTIF(FQ8:FQ207,""))</f>
        <v>20</v>
      </c>
      <c r="AM211" s="1088"/>
      <c r="AN211" s="1088"/>
      <c r="AO211" s="1088"/>
      <c r="AP211" s="1088"/>
      <c r="AQ211" s="1088">
        <f>IF(AND(AQ209="",AQ210=""),"",COUNTA(FR8:FR207)-COUNTIF(FR8:FR207,"RE")-COUNTIF(FR8:FR207,"AB")-COUNTIF(FR8:FR207,""))</f>
        <v>10</v>
      </c>
      <c r="AR211" s="1088"/>
      <c r="AS211" s="1088"/>
      <c r="AT211" s="1088"/>
      <c r="AU211" s="1088"/>
      <c r="AV211" s="1088" t="str">
        <f>IF(AND(AV209="",AV210=""),"",COUNTA(FS8:FS207)-COUNTIF(FS8:FS207,"RE")-COUNTIF(FS8:FS207,"AB")-COUNTIF(FS8:FS207,""))</f>
        <v/>
      </c>
      <c r="AW211" s="1088"/>
      <c r="AX211" s="1088"/>
      <c r="AY211" s="1088"/>
      <c r="AZ211" s="1088"/>
      <c r="BA211" s="231"/>
      <c r="BB211" s="232"/>
      <c r="BC211" s="232"/>
      <c r="BD211" s="232"/>
      <c r="BE211" s="233"/>
      <c r="BF211" s="233"/>
      <c r="BG211" s="233"/>
      <c r="BH211" s="234"/>
      <c r="BI211" s="1088">
        <f>IF(AND(BI209="",BI210=""),"",COUNTA(FX8:FX207)-COUNTIF(FX8:FX207,"RE")-COUNTIF(FX8:FX207,"AB")-COUNTIF(FX8:FX207,""))</f>
        <v>15</v>
      </c>
      <c r="BJ211" s="1088"/>
      <c r="BK211" s="1088"/>
      <c r="BL211" s="1088"/>
      <c r="BM211" s="1088"/>
      <c r="BN211" s="1088">
        <f>IF(AND(BN209="",BN210=""),"",COUNTA(FY8:FY207)-COUNTIF(FY8:FY207,"RE")-COUNTIF(FY8:FY207,"AB")-COUNTIF(FY8:FY207,""))</f>
        <v>14</v>
      </c>
      <c r="BO211" s="1088"/>
      <c r="BP211" s="1088"/>
      <c r="BQ211" s="1088"/>
      <c r="BR211" s="1088"/>
      <c r="BS211" s="1088">
        <f>IF(AND(BS209="",BS210=""),"",COUNTA(FZ8:FZ207)-COUNTIF(FZ8:FZ207,"RE")-COUNTIF(FZ8:FZ207,"AB")-COUNTIF(FZ8:FZ207,""))</f>
        <v>1</v>
      </c>
      <c r="BT211" s="1088"/>
      <c r="BU211" s="1088"/>
      <c r="BV211" s="1088"/>
      <c r="BW211" s="1088"/>
      <c r="BX211" s="231"/>
      <c r="BY211" s="232"/>
      <c r="BZ211" s="232"/>
      <c r="CA211" s="232"/>
      <c r="CB211" s="233"/>
      <c r="CC211" s="233"/>
      <c r="CD211" s="233"/>
      <c r="CE211" s="234"/>
      <c r="CF211" s="1088">
        <f>IF(AND(CF209="",CF210=""),"",COUNTA(GE8:GE207)-COUNTIF(GE8:GE207,"RE")-COUNTIF(GE8:GE207,"AB")-COUNTIF(GE8:GE207,""))</f>
        <v>21</v>
      </c>
      <c r="CG211" s="1088"/>
      <c r="CH211" s="1088"/>
      <c r="CI211" s="1088"/>
      <c r="CJ211" s="1088"/>
      <c r="CK211" s="1088">
        <f>IF(AND(CK209="",CK210=""),"",COUNTA(GF8:GF207)-COUNTIF(GF8:GF207,"RE")-COUNTIF(GF8:GF207,"AB")-COUNTIF(GF8:GF207,""))</f>
        <v>8</v>
      </c>
      <c r="CL211" s="1088"/>
      <c r="CM211" s="1088"/>
      <c r="CN211" s="1088"/>
      <c r="CO211" s="1088"/>
      <c r="CP211" s="1088">
        <f>IF(AND(CP209="",CP210=""),"",COUNTA(GG8:GG207)-COUNTIF(GG8:GG207,"RE")-COUNTIF(GG8:GG207,"AB")-COUNTIF(GG8:GG207,""))</f>
        <v>1</v>
      </c>
      <c r="CQ211" s="1088"/>
      <c r="CR211" s="1088"/>
      <c r="CS211" s="1088"/>
      <c r="CT211" s="1088"/>
      <c r="CU211" s="231"/>
      <c r="CV211" s="232"/>
      <c r="CW211" s="232"/>
      <c r="CX211" s="232"/>
      <c r="CY211" s="233"/>
      <c r="CZ211" s="233"/>
      <c r="DA211" s="233"/>
      <c r="DB211" s="234"/>
      <c r="DC211" s="233"/>
      <c r="DD211" s="1088" t="str">
        <f>IF(AND(DD209="",DD210=""),"",COUNTA(GL8:GL207)-COUNTIF(GL8:GL207,"RE")-COUNTIF(GL8:GL207,"AB")-COUNTIF(GL8:GL207,""))</f>
        <v/>
      </c>
      <c r="DE211" s="1088"/>
      <c r="DF211" s="1088"/>
      <c r="DG211" s="1088"/>
      <c r="DH211" s="1088"/>
      <c r="DI211" s="1088" t="str">
        <f>IF(AND(DI209="",DI210=""),"",COUNTA(GM8:GM207)-COUNTIF(GM8:GM207,"RE")-COUNTIF(GM8:GM207,"AB")-COUNTIF(GM8:GM207,""))</f>
        <v/>
      </c>
      <c r="DJ211" s="1088"/>
      <c r="DK211" s="1088"/>
      <c r="DL211" s="1088"/>
      <c r="DM211" s="1088"/>
      <c r="DN211" s="1088" t="str">
        <f>IF(AND(DN209="",DN210=""),"",COUNTA(GN8:GN207)-COUNTIF(GN8:GN207,"RE")-COUNTIF(GN8:GN207,"AB")-COUNTIF(GN8:GN207,""))</f>
        <v/>
      </c>
      <c r="DO211" s="1088"/>
      <c r="DP211" s="1088"/>
      <c r="DQ211" s="1088"/>
      <c r="DR211" s="1088"/>
      <c r="DS211" s="1088">
        <f>IF(AND(DS209="",DS210=""),"",COUNTA(GR8:GR207)-COUNTIF(GR8:GR207,"RE")-COUNTIF(GR8:GR207,"AB")-COUNTIF(GR8:GR207,""))</f>
        <v>30</v>
      </c>
      <c r="DT211" s="1088"/>
      <c r="DU211" s="1088"/>
      <c r="DV211" s="1088"/>
      <c r="DW211" s="1088"/>
      <c r="DX211" s="1088"/>
      <c r="DY211" s="1088"/>
      <c r="DZ211" s="1088"/>
      <c r="EA211" s="1088"/>
      <c r="EB211" s="1088"/>
      <c r="EC211" s="1088"/>
      <c r="ED211" s="1088"/>
      <c r="EE211" s="1088"/>
      <c r="EF211" s="1088"/>
      <c r="EG211" s="1088"/>
      <c r="EH211" s="1088"/>
      <c r="EI211" s="235"/>
      <c r="EJ211" s="235"/>
      <c r="EK211" s="235"/>
      <c r="EL211" s="219"/>
      <c r="EM211" s="219"/>
      <c r="EN211" s="219"/>
      <c r="EO211" s="219"/>
      <c r="EP211" s="219"/>
      <c r="EQ211" s="219"/>
      <c r="ER211" s="219"/>
      <c r="ES211" s="219"/>
      <c r="ET211" s="219"/>
      <c r="EU211" s="219"/>
      <c r="EV211" s="219"/>
      <c r="EW211" s="219"/>
      <c r="EX211" s="219"/>
      <c r="EY211" s="1116">
        <f>IF(AND(EY209="",EY210=""),"",COUNTA(FF8:FF207)-COUNTIF(FF8:FF207,"RE")-COUNTIF(FF8:FF207,"AB")-COUNTIF(FF8:FF207,""))</f>
        <v>31</v>
      </c>
      <c r="EZ211" s="1117"/>
      <c r="FA211" s="1117"/>
      <c r="FB211" s="1117"/>
      <c r="FC211" s="1117"/>
      <c r="FD211" s="1117"/>
      <c r="FE211" s="1120"/>
      <c r="FF211" s="1121"/>
      <c r="FG211" s="228"/>
      <c r="FH211" s="228"/>
      <c r="FI211" s="228"/>
      <c r="FJ211" s="228"/>
      <c r="FK211" s="228"/>
      <c r="FL211" s="228"/>
      <c r="FM211" s="228"/>
      <c r="FN211" s="228"/>
      <c r="FO211" s="228"/>
      <c r="FP211" s="228"/>
      <c r="FQ211" s="228"/>
      <c r="FR211" s="228"/>
      <c r="FS211" s="228"/>
      <c r="FT211" s="228"/>
      <c r="FU211" s="228"/>
      <c r="FV211" s="228"/>
      <c r="FW211" s="228"/>
      <c r="FX211" s="228"/>
      <c r="FY211" s="228"/>
      <c r="FZ211" s="228"/>
      <c r="GA211" s="228"/>
      <c r="GB211" s="228"/>
      <c r="GC211" s="228"/>
      <c r="GD211" s="228"/>
      <c r="GE211" s="228"/>
      <c r="GF211" s="228"/>
      <c r="GG211" s="228"/>
      <c r="GH211" s="228"/>
      <c r="GI211" s="228"/>
      <c r="GJ211" s="228"/>
      <c r="GK211" s="228"/>
      <c r="GL211" s="228"/>
      <c r="GM211" s="228"/>
      <c r="GN211" s="228"/>
      <c r="GO211" s="228"/>
      <c r="GP211" s="228"/>
      <c r="GQ211" s="228"/>
      <c r="GR211" s="228"/>
      <c r="GS211" s="228"/>
      <c r="GT211" s="228"/>
      <c r="GU211" s="229"/>
      <c r="GV211" s="1092"/>
      <c r="GW211" s="1093"/>
      <c r="GX211" s="1210"/>
      <c r="GY211" s="1187" t="str">
        <f>IF('Master Sheet'!D11="Hindi","द्वितीय श्रेणी","2nd Div.")</f>
        <v>द्वितीय श्रेणी</v>
      </c>
      <c r="GZ211" s="1187"/>
      <c r="HA211" s="1187"/>
      <c r="HB211" s="1206">
        <f>COUNTIF(HB8:HB207,"II")</f>
        <v>2</v>
      </c>
      <c r="HC211" s="1207"/>
      <c r="HD211" s="632"/>
      <c r="HE211" s="1208" t="str">
        <f>IF('Master Sheet'!D11="Hindi","द्वितीय श्रेणी","2nd Div.")</f>
        <v>द्वितीय श्रेणी</v>
      </c>
      <c r="HF211" s="1187"/>
      <c r="HG211" s="1187"/>
      <c r="HH211" s="604">
        <f>COUNTIF(HG8:HG207,"II")</f>
        <v>1</v>
      </c>
      <c r="HI211" s="639">
        <f t="shared" ref="HI211:HI213" si="724">SUM(HB211,HH211)</f>
        <v>3</v>
      </c>
      <c r="HY211" s="212" t="str">
        <f>IF('Supp. Result Entry'!U210="","",'Supp. Result Entry'!$U$6)</f>
        <v/>
      </c>
      <c r="HZ211" s="213" t="str">
        <f>IF('Supp. Result Entry'!X210="","",'Supp. Result Entry'!$X$6)</f>
        <v/>
      </c>
      <c r="IA211" s="213" t="str">
        <f>IF('Supp. Result Entry'!AA210="","",'Supp. Result Entry'!$AA$6)</f>
        <v/>
      </c>
      <c r="IB211" s="213" t="str">
        <f>IF('Supp. Result Entry'!AD210="","",'Supp. Result Entry'!$AD$6)</f>
        <v/>
      </c>
      <c r="IC211" s="213" t="str">
        <f>IF('Supp. Result Entry'!AG210="","",'Supp. Result Entry'!$AG$6)</f>
        <v/>
      </c>
      <c r="ID211" s="213" t="str">
        <f>IF('Supp. Result Entry'!AJ210="","",'Supp. Result Entry'!$AJ$6)</f>
        <v/>
      </c>
      <c r="IE211" s="213" t="str">
        <f>IF('Supp. Result Entry'!V210="","",'Supp. Result Entry'!V210)</f>
        <v/>
      </c>
      <c r="IF211" s="213" t="str">
        <f>IF('Supp. Result Entry'!Y210="","",'Supp. Result Entry'!Y210)</f>
        <v/>
      </c>
      <c r="IG211" s="213" t="str">
        <f>IF('Supp. Result Entry'!AB210="","",'Supp. Result Entry'!AB210)</f>
        <v/>
      </c>
      <c r="IH211" s="213" t="str">
        <f>IF('Supp. Result Entry'!AE210="","",'Supp. Result Entry'!AE210)</f>
        <v/>
      </c>
      <c r="II211" s="213" t="str">
        <f>IF('Supp. Result Entry'!AH210="","",'Supp. Result Entry'!AH210)</f>
        <v/>
      </c>
      <c r="IJ211" s="213" t="str">
        <f>IF('Supp. Result Entry'!AK210="","",'Supp. Result Entry'!AK210)</f>
        <v/>
      </c>
      <c r="IK211" s="213" t="str">
        <f>IF('Supp. Result Entry'!W210="","",'Supp. Result Entry'!W210)</f>
        <v/>
      </c>
      <c r="IL211" s="213" t="str">
        <f>IF('Supp. Result Entry'!Z210="","",'Supp. Result Entry'!Z210)</f>
        <v/>
      </c>
      <c r="IM211" s="213" t="str">
        <f>IF('Supp. Result Entry'!AC210="","",'Supp. Result Entry'!AC210)</f>
        <v/>
      </c>
      <c r="IN211" s="213" t="str">
        <f>IF('Supp. Result Entry'!AF210="","",'Supp. Result Entry'!AF210)</f>
        <v/>
      </c>
      <c r="IO211" s="213" t="str">
        <f>IF('Supp. Result Entry'!AI210="","",'Supp. Result Entry'!AI210)</f>
        <v/>
      </c>
      <c r="IP211" s="213" t="str">
        <f>IF('Supp. Result Entry'!AL210="","",'Supp. Result Entry'!AL210)</f>
        <v/>
      </c>
      <c r="IQ211" s="213">
        <f>COUNTIF('Supp. Result Entry'!K210:Q210,"S")</f>
        <v>0</v>
      </c>
      <c r="IR211" s="213">
        <f t="shared" si="719"/>
        <v>0</v>
      </c>
      <c r="IS211" s="213">
        <f t="shared" si="720"/>
        <v>0</v>
      </c>
      <c r="IT211" s="213" t="str">
        <f t="shared" si="588"/>
        <v/>
      </c>
      <c r="IU211" s="213" t="str">
        <f t="shared" si="589"/>
        <v/>
      </c>
      <c r="IV211" s="213" t="str">
        <f t="shared" si="590"/>
        <v/>
      </c>
      <c r="IW211" s="213" t="str">
        <f t="shared" si="591"/>
        <v/>
      </c>
      <c r="IX211" s="213" t="str">
        <f t="shared" si="592"/>
        <v/>
      </c>
      <c r="IY211" s="213" t="str">
        <f t="shared" si="721"/>
        <v/>
      </c>
      <c r="IZ211" s="213" t="str">
        <f t="shared" si="722"/>
        <v/>
      </c>
      <c r="JA211" s="213" t="str">
        <f t="shared" si="593"/>
        <v/>
      </c>
      <c r="JB211" s="211" t="str">
        <f t="shared" si="723"/>
        <v/>
      </c>
    </row>
    <row r="212" spans="1:262" s="230" customFormat="1" ht="18.75" customHeight="1">
      <c r="A212" s="1181"/>
      <c r="B212" s="1182"/>
      <c r="C212" s="1182"/>
      <c r="D212" s="1182"/>
      <c r="E212" s="1183"/>
      <c r="F212" s="1150" t="str">
        <f>IF('Master Sheet'!D11="Hindi","ग्रेड :","Grade :")</f>
        <v>ग्रेड :</v>
      </c>
      <c r="G212" s="1150"/>
      <c r="H212" s="1095" t="s">
        <v>78</v>
      </c>
      <c r="I212" s="1095"/>
      <c r="J212" s="1108" t="s">
        <v>74</v>
      </c>
      <c r="K212" s="1108"/>
      <c r="L212" s="1108" t="s">
        <v>75</v>
      </c>
      <c r="M212" s="1108"/>
      <c r="N212" s="1108" t="s">
        <v>76</v>
      </c>
      <c r="O212" s="1108"/>
      <c r="P212" s="1152" t="s">
        <v>47</v>
      </c>
      <c r="Q212" s="1153"/>
      <c r="R212" s="1109"/>
      <c r="S212" s="1109"/>
      <c r="T212" s="1109"/>
      <c r="U212" s="1109"/>
      <c r="V212" s="237"/>
      <c r="W212" s="238"/>
      <c r="X212" s="1108" t="s">
        <v>74</v>
      </c>
      <c r="Y212" s="1108"/>
      <c r="Z212" s="1108" t="s">
        <v>75</v>
      </c>
      <c r="AA212" s="1108"/>
      <c r="AB212" s="1108" t="s">
        <v>76</v>
      </c>
      <c r="AC212" s="1108"/>
      <c r="AD212" s="1108" t="s">
        <v>47</v>
      </c>
      <c r="AE212" s="1108"/>
      <c r="AF212" s="1157"/>
      <c r="AG212" s="1157"/>
      <c r="AH212" s="1157"/>
      <c r="AI212" s="1157"/>
      <c r="AJ212" s="1157"/>
      <c r="AK212" s="1157"/>
      <c r="AL212" s="619" t="s">
        <v>74</v>
      </c>
      <c r="AM212" s="619" t="s">
        <v>75</v>
      </c>
      <c r="AN212" s="619" t="s">
        <v>76</v>
      </c>
      <c r="AO212" s="619" t="s">
        <v>112</v>
      </c>
      <c r="AP212" s="618" t="s">
        <v>47</v>
      </c>
      <c r="AQ212" s="619" t="s">
        <v>74</v>
      </c>
      <c r="AR212" s="619" t="s">
        <v>75</v>
      </c>
      <c r="AS212" s="619" t="s">
        <v>76</v>
      </c>
      <c r="AT212" s="619" t="s">
        <v>112</v>
      </c>
      <c r="AU212" s="618" t="s">
        <v>47</v>
      </c>
      <c r="AV212" s="619" t="s">
        <v>74</v>
      </c>
      <c r="AW212" s="619" t="s">
        <v>75</v>
      </c>
      <c r="AX212" s="619" t="s">
        <v>76</v>
      </c>
      <c r="AY212" s="619" t="s">
        <v>112</v>
      </c>
      <c r="AZ212" s="618" t="s">
        <v>47</v>
      </c>
      <c r="BA212" s="240" t="s">
        <v>74</v>
      </c>
      <c r="BB212" s="241" t="s">
        <v>75</v>
      </c>
      <c r="BC212" s="241" t="s">
        <v>76</v>
      </c>
      <c r="BD212" s="242" t="s">
        <v>65</v>
      </c>
      <c r="BE212" s="239"/>
      <c r="BF212" s="239"/>
      <c r="BG212" s="239"/>
      <c r="BH212" s="243"/>
      <c r="BI212" s="619" t="s">
        <v>74</v>
      </c>
      <c r="BJ212" s="619" t="s">
        <v>75</v>
      </c>
      <c r="BK212" s="619" t="s">
        <v>76</v>
      </c>
      <c r="BL212" s="619" t="s">
        <v>112</v>
      </c>
      <c r="BM212" s="618" t="s">
        <v>47</v>
      </c>
      <c r="BN212" s="619" t="s">
        <v>74</v>
      </c>
      <c r="BO212" s="619" t="s">
        <v>75</v>
      </c>
      <c r="BP212" s="619" t="s">
        <v>76</v>
      </c>
      <c r="BQ212" s="619" t="s">
        <v>112</v>
      </c>
      <c r="BR212" s="618" t="s">
        <v>47</v>
      </c>
      <c r="BS212" s="619" t="s">
        <v>74</v>
      </c>
      <c r="BT212" s="619" t="s">
        <v>75</v>
      </c>
      <c r="BU212" s="619" t="s">
        <v>76</v>
      </c>
      <c r="BV212" s="619" t="s">
        <v>112</v>
      </c>
      <c r="BW212" s="618" t="s">
        <v>47</v>
      </c>
      <c r="BX212" s="240" t="s">
        <v>74</v>
      </c>
      <c r="BY212" s="241" t="s">
        <v>75</v>
      </c>
      <c r="BZ212" s="241" t="s">
        <v>76</v>
      </c>
      <c r="CA212" s="242" t="s">
        <v>65</v>
      </c>
      <c r="CB212" s="239"/>
      <c r="CC212" s="239"/>
      <c r="CD212" s="239"/>
      <c r="CE212" s="243"/>
      <c r="CF212" s="619" t="s">
        <v>74</v>
      </c>
      <c r="CG212" s="619" t="s">
        <v>75</v>
      </c>
      <c r="CH212" s="619" t="s">
        <v>76</v>
      </c>
      <c r="CI212" s="619" t="s">
        <v>112</v>
      </c>
      <c r="CJ212" s="618" t="s">
        <v>47</v>
      </c>
      <c r="CK212" s="619" t="s">
        <v>47</v>
      </c>
      <c r="CL212" s="619" t="s">
        <v>74</v>
      </c>
      <c r="CM212" s="619" t="s">
        <v>76</v>
      </c>
      <c r="CN212" s="619" t="s">
        <v>112</v>
      </c>
      <c r="CO212" s="618" t="s">
        <v>47</v>
      </c>
      <c r="CP212" s="619" t="s">
        <v>74</v>
      </c>
      <c r="CQ212" s="619" t="s">
        <v>75</v>
      </c>
      <c r="CR212" s="619" t="s">
        <v>76</v>
      </c>
      <c r="CS212" s="619" t="s">
        <v>112</v>
      </c>
      <c r="CT212" s="629" t="s">
        <v>47</v>
      </c>
      <c r="CU212" s="240" t="s">
        <v>74</v>
      </c>
      <c r="CV212" s="241" t="s">
        <v>75</v>
      </c>
      <c r="CW212" s="241" t="s">
        <v>76</v>
      </c>
      <c r="CX212" s="242" t="s">
        <v>65</v>
      </c>
      <c r="CY212" s="239"/>
      <c r="CZ212" s="239"/>
      <c r="DA212" s="239"/>
      <c r="DB212" s="243"/>
      <c r="DC212" s="239"/>
      <c r="DD212" s="619" t="s">
        <v>74</v>
      </c>
      <c r="DE212" s="619" t="s">
        <v>75</v>
      </c>
      <c r="DF212" s="619" t="s">
        <v>76</v>
      </c>
      <c r="DG212" s="619" t="s">
        <v>112</v>
      </c>
      <c r="DH212" s="629" t="s">
        <v>47</v>
      </c>
      <c r="DI212" s="619" t="s">
        <v>74</v>
      </c>
      <c r="DJ212" s="619" t="s">
        <v>75</v>
      </c>
      <c r="DK212" s="619" t="s">
        <v>76</v>
      </c>
      <c r="DL212" s="619" t="s">
        <v>112</v>
      </c>
      <c r="DM212" s="629" t="s">
        <v>47</v>
      </c>
      <c r="DN212" s="619" t="s">
        <v>74</v>
      </c>
      <c r="DO212" s="619" t="s">
        <v>75</v>
      </c>
      <c r="DP212" s="619" t="s">
        <v>76</v>
      </c>
      <c r="DQ212" s="619" t="s">
        <v>112</v>
      </c>
      <c r="DR212" s="629" t="s">
        <v>47</v>
      </c>
      <c r="DS212" s="239" t="s">
        <v>6</v>
      </c>
      <c r="DT212" s="239" t="s">
        <v>45</v>
      </c>
      <c r="DU212" s="239"/>
      <c r="DV212" s="239"/>
      <c r="DW212" s="239"/>
      <c r="DX212" s="239"/>
      <c r="DY212" s="239"/>
      <c r="DZ212" s="239"/>
      <c r="EA212" s="239"/>
      <c r="EB212" s="239"/>
      <c r="EC212" s="239" t="s">
        <v>77</v>
      </c>
      <c r="ED212" s="239" t="s">
        <v>73</v>
      </c>
      <c r="EE212" s="239" t="s">
        <v>217</v>
      </c>
      <c r="EF212" s="239" t="s">
        <v>47</v>
      </c>
      <c r="EG212" s="239"/>
      <c r="EH212" s="244"/>
      <c r="EI212" s="245"/>
      <c r="EJ212" s="245"/>
      <c r="EK212" s="245"/>
      <c r="EL212" s="219"/>
      <c r="EM212" s="219"/>
      <c r="EN212" s="219"/>
      <c r="EO212" s="219"/>
      <c r="EP212" s="219"/>
      <c r="EQ212" s="219"/>
      <c r="ER212" s="219"/>
      <c r="ES212" s="219"/>
      <c r="ET212" s="219"/>
      <c r="EU212" s="219"/>
      <c r="EV212" s="219"/>
      <c r="EW212" s="219"/>
      <c r="EX212" s="219"/>
      <c r="EY212" s="246" t="s">
        <v>6</v>
      </c>
      <c r="EZ212" s="246" t="s">
        <v>45</v>
      </c>
      <c r="FA212" s="246" t="s">
        <v>77</v>
      </c>
      <c r="FB212" s="246" t="s">
        <v>73</v>
      </c>
      <c r="FC212" s="246" t="s">
        <v>77</v>
      </c>
      <c r="FD212" s="594" t="s">
        <v>47</v>
      </c>
      <c r="FE212" s="1120"/>
      <c r="FF212" s="1121"/>
      <c r="FG212" s="228"/>
      <c r="FH212" s="228"/>
      <c r="FI212" s="228"/>
      <c r="FJ212" s="228"/>
      <c r="FK212" s="228"/>
      <c r="FL212" s="228"/>
      <c r="FM212" s="228"/>
      <c r="FN212" s="228"/>
      <c r="FO212" s="228"/>
      <c r="FP212" s="228"/>
      <c r="FQ212" s="228"/>
      <c r="FR212" s="228"/>
      <c r="FS212" s="228"/>
      <c r="FT212" s="228"/>
      <c r="FU212" s="228"/>
      <c r="FV212" s="228"/>
      <c r="FW212" s="228"/>
      <c r="FX212" s="228"/>
      <c r="FY212" s="228"/>
      <c r="FZ212" s="228"/>
      <c r="GA212" s="228"/>
      <c r="GB212" s="228"/>
      <c r="GC212" s="228"/>
      <c r="GD212" s="228"/>
      <c r="GE212" s="228"/>
      <c r="GF212" s="228"/>
      <c r="GG212" s="228"/>
      <c r="GH212" s="228"/>
      <c r="GI212" s="228"/>
      <c r="GJ212" s="228"/>
      <c r="GK212" s="228"/>
      <c r="GL212" s="228"/>
      <c r="GM212" s="228"/>
      <c r="GN212" s="228"/>
      <c r="GO212" s="228"/>
      <c r="GP212" s="228"/>
      <c r="GQ212" s="228"/>
      <c r="GR212" s="228"/>
      <c r="GS212" s="228"/>
      <c r="GT212" s="228"/>
      <c r="GU212" s="229"/>
      <c r="GV212" s="1092" t="str">
        <f>IF('Master Sheet'!D11="Hindi","हस्ताक्षर कक्षाध्यापक","Signature of the class teacher")</f>
        <v>हस्ताक्षर कक्षाध्यापक</v>
      </c>
      <c r="GW212" s="1093"/>
      <c r="GX212" s="1091" t="str">
        <f>CONCATENATE("( ",UPPER('Master Sheet'!D17)," )")</f>
        <v>( YOGESH )</v>
      </c>
      <c r="GY212" s="1187" t="str">
        <f>IF('Master Sheet'!D11="Hindi","तृतीय श्रेणी","3rd Div.")</f>
        <v>तृतीय श्रेणी</v>
      </c>
      <c r="GZ212" s="1187"/>
      <c r="HA212" s="1187"/>
      <c r="HB212" s="1206">
        <f>COUNTIF(HB8:HB207,"III")</f>
        <v>2</v>
      </c>
      <c r="HC212" s="1207"/>
      <c r="HD212" s="633"/>
      <c r="HE212" s="1208" t="str">
        <f>IF('Master Sheet'!D11="Hindi","तृतीय श्रेणी","3rd Div.")</f>
        <v>तृतीय श्रेणी</v>
      </c>
      <c r="HF212" s="1187"/>
      <c r="HG212" s="1187"/>
      <c r="HH212" s="604">
        <f>COUNTIF(HG8:HG207,"III")</f>
        <v>1</v>
      </c>
      <c r="HI212" s="639">
        <f t="shared" si="724"/>
        <v>3</v>
      </c>
      <c r="HY212" s="212" t="str">
        <f>IF('Supp. Result Entry'!U211="","",'Supp. Result Entry'!$U$6)</f>
        <v/>
      </c>
      <c r="HZ212" s="213" t="str">
        <f>IF('Supp. Result Entry'!X211="","",'Supp. Result Entry'!$X$6)</f>
        <v/>
      </c>
      <c r="IA212" s="213" t="str">
        <f>IF('Supp. Result Entry'!AA211="","",'Supp. Result Entry'!$AA$6)</f>
        <v/>
      </c>
      <c r="IB212" s="213" t="str">
        <f>IF('Supp. Result Entry'!AD211="","",'Supp. Result Entry'!$AD$6)</f>
        <v/>
      </c>
      <c r="IC212" s="213" t="str">
        <f>IF('Supp. Result Entry'!AG211="","",'Supp. Result Entry'!$AG$6)</f>
        <v/>
      </c>
      <c r="ID212" s="213" t="str">
        <f>IF('Supp. Result Entry'!AJ211="","",'Supp. Result Entry'!$AJ$6)</f>
        <v/>
      </c>
      <c r="IE212" s="213" t="str">
        <f>IF('Supp. Result Entry'!V211="","",'Supp. Result Entry'!V211)</f>
        <v/>
      </c>
      <c r="IF212" s="213" t="str">
        <f>IF('Supp. Result Entry'!Y211="","",'Supp. Result Entry'!Y211)</f>
        <v/>
      </c>
      <c r="IG212" s="213" t="str">
        <f>IF('Supp. Result Entry'!AB211="","",'Supp. Result Entry'!AB211)</f>
        <v/>
      </c>
      <c r="IH212" s="213" t="str">
        <f>IF('Supp. Result Entry'!AE211="","",'Supp. Result Entry'!AE211)</f>
        <v/>
      </c>
      <c r="II212" s="213" t="str">
        <f>IF('Supp. Result Entry'!AH211="","",'Supp. Result Entry'!AH211)</f>
        <v/>
      </c>
      <c r="IJ212" s="213" t="str">
        <f>IF('Supp. Result Entry'!AK211="","",'Supp. Result Entry'!AK211)</f>
        <v/>
      </c>
      <c r="IK212" s="213" t="str">
        <f>IF('Supp. Result Entry'!W211="","",'Supp. Result Entry'!W211)</f>
        <v/>
      </c>
      <c r="IL212" s="213" t="str">
        <f>IF('Supp. Result Entry'!Z211="","",'Supp. Result Entry'!Z211)</f>
        <v/>
      </c>
      <c r="IM212" s="213" t="str">
        <f>IF('Supp. Result Entry'!AC211="","",'Supp. Result Entry'!AC211)</f>
        <v/>
      </c>
      <c r="IN212" s="213" t="str">
        <f>IF('Supp. Result Entry'!AF211="","",'Supp. Result Entry'!AF211)</f>
        <v/>
      </c>
      <c r="IO212" s="213" t="str">
        <f>IF('Supp. Result Entry'!AI211="","",'Supp. Result Entry'!AI211)</f>
        <v/>
      </c>
      <c r="IP212" s="213" t="str">
        <f>IF('Supp. Result Entry'!AL211="","",'Supp. Result Entry'!AL211)</f>
        <v/>
      </c>
      <c r="IQ212" s="213">
        <f>COUNTIF('Supp. Result Entry'!K211:Q211,"S")</f>
        <v>0</v>
      </c>
      <c r="IR212" s="213">
        <f t="shared" si="719"/>
        <v>0</v>
      </c>
      <c r="IS212" s="213">
        <f t="shared" si="720"/>
        <v>0</v>
      </c>
      <c r="IT212" s="213" t="str">
        <f t="shared" si="588"/>
        <v/>
      </c>
      <c r="IU212" s="213" t="str">
        <f t="shared" si="589"/>
        <v/>
      </c>
      <c r="IV212" s="213" t="str">
        <f t="shared" si="590"/>
        <v/>
      </c>
      <c r="IW212" s="213" t="str">
        <f t="shared" si="591"/>
        <v/>
      </c>
      <c r="IX212" s="213" t="str">
        <f t="shared" si="592"/>
        <v/>
      </c>
      <c r="IY212" s="213" t="str">
        <f t="shared" si="721"/>
        <v/>
      </c>
      <c r="IZ212" s="213" t="str">
        <f t="shared" si="722"/>
        <v/>
      </c>
      <c r="JA212" s="213" t="str">
        <f t="shared" si="593"/>
        <v/>
      </c>
      <c r="JB212" s="211" t="str">
        <f t="shared" si="723"/>
        <v/>
      </c>
    </row>
    <row r="213" spans="1:262" s="230" customFormat="1" ht="18.75" customHeight="1">
      <c r="A213" s="1181"/>
      <c r="B213" s="1182"/>
      <c r="C213" s="1182"/>
      <c r="D213" s="1182"/>
      <c r="E213" s="1183"/>
      <c r="F213" s="1150" t="str">
        <f>IF('Master Sheet'!D11="Hindi","ग्रेडवार उत्तीर्ण विद्यार्थी :","Total Passed Grade wise :")</f>
        <v>ग्रेडवार उत्तीर्ण विद्यार्थी :</v>
      </c>
      <c r="G213" s="1150"/>
      <c r="H213" s="1095" t="s">
        <v>78</v>
      </c>
      <c r="I213" s="1095"/>
      <c r="J213" s="1107">
        <f>IF(AND(J209="",J210=""),"",COUNTIF(FJ8:FJ207,"D")+COUNTIF(FJ8:FJ207,"I"))</f>
        <v>3</v>
      </c>
      <c r="K213" s="1107"/>
      <c r="L213" s="1107">
        <f>IF(AND(J209="",J210=""),"",COUNTIF(FJ8:FJ207,"II"))</f>
        <v>7</v>
      </c>
      <c r="M213" s="1107"/>
      <c r="N213" s="1107">
        <f>IF(AND(J209="",J210=""),"",COUNTIF(FJ8:FJ207,"III"))+IF(AND(J209="",J210=""),"",COUNTIF(FJ8:FJ207,"G"))</f>
        <v>1</v>
      </c>
      <c r="O213" s="1107"/>
      <c r="P213" s="1154">
        <f>IF(AND(J209="",J210=""),"",SUM(J213,L213,N213))</f>
        <v>11</v>
      </c>
      <c r="Q213" s="1155"/>
      <c r="R213" s="1110"/>
      <c r="S213" s="1110"/>
      <c r="T213" s="1110"/>
      <c r="U213" s="1110"/>
      <c r="V213" s="627"/>
      <c r="W213" s="628"/>
      <c r="X213" s="1107">
        <f>IF(AND(X209="",X210=""),"",COUNTIF(FM8:FM207,"D")+COUNTIF(FM8:FM207,"I"))</f>
        <v>8</v>
      </c>
      <c r="Y213" s="1107"/>
      <c r="Z213" s="1107">
        <f>IF(AND(X209="",X210=""),"",COUNTIF(FM8:FM207,"II"))</f>
        <v>3</v>
      </c>
      <c r="AA213" s="1107"/>
      <c r="AB213" s="1107">
        <f>IF(AND(X209="",X210=""),"",COUNTIF(FM8:FM207,"III"))+IF(AND(X209="",X210=""),"",COUNTIF(FM8:FM207,"G"))</f>
        <v>0</v>
      </c>
      <c r="AC213" s="1107"/>
      <c r="AD213" s="1156">
        <f>IF(AND(X209="",X210=""),"",SUM(X213,Z213,AB213))</f>
        <v>11</v>
      </c>
      <c r="AE213" s="1156"/>
      <c r="AF213" s="1087"/>
      <c r="AG213" s="1087"/>
      <c r="AH213" s="1087"/>
      <c r="AI213" s="1087"/>
      <c r="AJ213" s="1087"/>
      <c r="AK213" s="1087"/>
      <c r="AL213" s="620">
        <f>IF(AND(AL209="",AL210=""),"",COUNTIF(FQ8:FQ207,"I")+COUNTIF(FQ8:FQ207,"D"))</f>
        <v>4</v>
      </c>
      <c r="AM213" s="620">
        <f>IF(AND(AL209="",AL210=""),"",COUNTIF(FQ8:FQ207,"II"))</f>
        <v>9</v>
      </c>
      <c r="AN213" s="620">
        <f>IF(AND(AL209="",AL210=""),"",COUNTIF(FQ8:FQ207,"III"))</f>
        <v>3</v>
      </c>
      <c r="AO213" s="620">
        <f>IF(AND(AL209="",AL210=""),"",COUNTIF(FQ8:FQ207,"G"))</f>
        <v>1</v>
      </c>
      <c r="AP213" s="623">
        <f>IF(AND(AL210="",AL211=""),"",SUM(AL213,AM213,AN213,AO213))</f>
        <v>17</v>
      </c>
      <c r="AQ213" s="620">
        <f>IF(AND(AQ209="",AQ210=""),"",COUNTIF(FR8:FR207,"I")+COUNTIF(FR8:FR207,"D"))</f>
        <v>6</v>
      </c>
      <c r="AR213" s="620">
        <f>IF(AND(AQ209="",AQ210=""),"",COUNTIF(FR8:FR207,"II"))</f>
        <v>3</v>
      </c>
      <c r="AS213" s="620">
        <f>IF(AND(AQ209="",AQ210=""),"",COUNTIF(FR8:FR207,"III"))</f>
        <v>0</v>
      </c>
      <c r="AT213" s="620">
        <f>IF(AND(AQ209="",AQ210=""),"",COUNTIF(FR8:FR207,"G"))</f>
        <v>0</v>
      </c>
      <c r="AU213" s="623">
        <f>IF(AND(AQ210="",AQ211=""),"",SUM(AQ213,AR213,AS213,AT213))</f>
        <v>9</v>
      </c>
      <c r="AV213" s="621" t="str">
        <f>IF(AND(AV209="",AV210=""),"",COUNTIF(FS8:FS207,"I")+COUNTIF(FS8:FS207,"D"))</f>
        <v/>
      </c>
      <c r="AW213" s="621" t="str">
        <f>IF(AND(AV209="",AV210=""),"",COUNTIF(FS8:FS207,"II"))</f>
        <v/>
      </c>
      <c r="AX213" s="621" t="str">
        <f>IF(AND(AV209="",AV210=""),"",COUNTIF(FS8:FS207,"III"))</f>
        <v/>
      </c>
      <c r="AY213" s="622" t="str">
        <f>IF(AND(AV209="",AV210=""),"",COUNTIF(FS8:FS207,"G"))</f>
        <v/>
      </c>
      <c r="AZ213" s="623" t="str">
        <f>IF(AND(AV210="",AV211=""),"",SUM(AV213,AW213,AX213,AY213))</f>
        <v/>
      </c>
      <c r="BA213" s="624">
        <f>COUNTIF(FT8:FT207,"I")</f>
        <v>0</v>
      </c>
      <c r="BB213" s="625">
        <f>COUNTIF(FT8:FT207,"II")</f>
        <v>0</v>
      </c>
      <c r="BC213" s="625">
        <f>COUNTIF(FT8:FT207,"III")+COUNTIF(FT8:FT207,"G")</f>
        <v>0</v>
      </c>
      <c r="BD213" s="625">
        <f>SUM(AZ213,BA213,BB213,BC213)</f>
        <v>0</v>
      </c>
      <c r="BE213" s="620"/>
      <c r="BF213" s="620"/>
      <c r="BG213" s="620"/>
      <c r="BH213" s="626"/>
      <c r="BI213" s="620">
        <f>IF(AND(BI209="",BI210=""),"",COUNTIF(FX8:FX207,"I")+COUNTIF(FX8:FX207,"D"))</f>
        <v>4</v>
      </c>
      <c r="BJ213" s="620">
        <f>IF(AND(BI209="",BI210=""),"",COUNTIF(FX8:FX207,"II"))</f>
        <v>8</v>
      </c>
      <c r="BK213" s="620">
        <f>IF(AND(BI209="",BI210=""),"",COUNTIF(FX8:FX207,"III"))</f>
        <v>2</v>
      </c>
      <c r="BL213" s="620">
        <f>IF(AND(BI209="",BI210=""),"",COUNTIF(FX8:FX207,"G"))</f>
        <v>0</v>
      </c>
      <c r="BM213" s="623">
        <f>IF(AND(BI210="",BI211=""),"",SUM(BI213,BJ213,BK213,BL213))</f>
        <v>14</v>
      </c>
      <c r="BN213" s="620">
        <f>IF(AND(BN209="",BN210=""),"",COUNTIF(FY8:FY207,"I")+COUNTIF(FY8:FY207,"D"))</f>
        <v>8</v>
      </c>
      <c r="BO213" s="620">
        <f>IF(AND(BN209="",BN210=""),"",COUNTIF(FY8:FY207,"II"))</f>
        <v>6</v>
      </c>
      <c r="BP213" s="620">
        <f>IF(AND(BN209="",BN210=""),"",COUNTIF(FY8:FY207,"III"))</f>
        <v>0</v>
      </c>
      <c r="BQ213" s="620">
        <f>IF(AND(BN209="",BN210=""),"",COUNTIF(FY8:FY207,"G"))</f>
        <v>0</v>
      </c>
      <c r="BR213" s="623">
        <f>IF(AND(BN210="",BN211=""),"",SUM(BN213,BO213,BP213,BQ213))</f>
        <v>14</v>
      </c>
      <c r="BS213" s="621">
        <f>IF(AND(BS209="",BS210=""),"",COUNTIF(FZ8:FZ207,"I")+COUNTIF(FZ8:FZ207,"D"))</f>
        <v>1</v>
      </c>
      <c r="BT213" s="621">
        <f>IF(AND(BS209="",BS210=""),"",COUNTIF(FZ8:FZ207,"II"))</f>
        <v>0</v>
      </c>
      <c r="BU213" s="621">
        <f>IF(AND(BS209="",BS210=""),"",COUNTIF(FZ8:FZ207,"III"))</f>
        <v>0</v>
      </c>
      <c r="BV213" s="622">
        <f>IF(AND(BS209="",BS210=""),"",COUNTIF(FZ8:FZ207,"G"))</f>
        <v>0</v>
      </c>
      <c r="BW213" s="623">
        <f>IF(AND(BS210="",BS211=""),"",SUM(BS213,BT213,BU213,BV213))</f>
        <v>1</v>
      </c>
      <c r="BX213" s="624">
        <f>COUNTIF(GA8:GA207,"I")</f>
        <v>0</v>
      </c>
      <c r="BY213" s="625">
        <f>COUNTIF(GA8:GA207,"II")</f>
        <v>0</v>
      </c>
      <c r="BZ213" s="625">
        <f>COUNTIF(GA8:GA207,"III")+COUNTIF(GA8:GA207,"G")</f>
        <v>0</v>
      </c>
      <c r="CA213" s="625">
        <f>SUM(BW213,BX213,BY213,BZ213)</f>
        <v>1</v>
      </c>
      <c r="CB213" s="620"/>
      <c r="CC213" s="620"/>
      <c r="CD213" s="620"/>
      <c r="CE213" s="626"/>
      <c r="CF213" s="620">
        <f>IF(AND(CF209="",CF210=""),"",COUNTIF(GE8:GE207,"I")+COUNTIF(GE8:GE207,"D"))</f>
        <v>16</v>
      </c>
      <c r="CG213" s="620">
        <f>IF(AND(CF209="",CF210=""),"",COUNTIF(GE8:GE207,"II"))</f>
        <v>5</v>
      </c>
      <c r="CH213" s="620">
        <f>IF(AND(CF209="",CF210=""),"",COUNTIF(GE8:GE207,"III"))</f>
        <v>0</v>
      </c>
      <c r="CI213" s="620">
        <f>IF(AND(CF209="",CF210=""),"",COUNTIF(GE8:GE207,"G"))</f>
        <v>0</v>
      </c>
      <c r="CJ213" s="623">
        <f>IF(AND(CF210="",CF211=""),"",SUM(CF213,CG213,CH213,CI213))</f>
        <v>21</v>
      </c>
      <c r="CK213" s="620">
        <f>IF(AND(CL209="",CL210=""),"",COUNTIF(GF8:GF207,"I")+COUNTIF(GF8:GF207,"D"))</f>
        <v>2</v>
      </c>
      <c r="CL213" s="620">
        <f>IF(AND(CL209="",CL210=""),"",COUNTIF(GF8:GF207,"II"))</f>
        <v>1</v>
      </c>
      <c r="CM213" s="620">
        <f>IF(AND(CL209="",CL210=""),"",COUNTIF(GF8:GF207,"III"))</f>
        <v>3</v>
      </c>
      <c r="CN213" s="620">
        <f>IF(AND(CL209="",CL210=""),"",COUNTIF(GF8:GF207,"G"))</f>
        <v>1</v>
      </c>
      <c r="CO213" s="623">
        <f>IF(AND(CK210="",CK211=""),"",SUM(CK213,CL213,CM213,CN213))</f>
        <v>7</v>
      </c>
      <c r="CP213" s="621">
        <f>IF(AND(CP209="",CP210=""),"",COUNTIF(GG8:GG207,"I")+COUNTIF(GG8:GG207,"D"))</f>
        <v>0</v>
      </c>
      <c r="CQ213" s="621">
        <f>IF(AND(CP209="",CP210=""),"",COUNTIF(GG8:GG207,"II"))</f>
        <v>1</v>
      </c>
      <c r="CR213" s="621">
        <f>IF(AND(CP209="",CP210=""),"",COUNTIF(GG8:GG207,"III"))</f>
        <v>0</v>
      </c>
      <c r="CS213" s="622">
        <f>IF(AND(CP209="",CP210=""),"",COUNTIF(GG8:GG207,"G"))</f>
        <v>0</v>
      </c>
      <c r="CT213" s="623">
        <f>IF(AND(CP210="",CP211=""),"",SUM(CP213,CQ213,CR213,CS213))</f>
        <v>1</v>
      </c>
      <c r="CU213" s="247">
        <f>COUNTIF(GH8:GH207,"I")</f>
        <v>0</v>
      </c>
      <c r="CV213" s="248">
        <f>COUNTIF(GH8:GH207,"II")</f>
        <v>0</v>
      </c>
      <c r="CW213" s="248">
        <f>COUNTIF(GH8:GH207,"III")+COUNTIF(GH8:GH207,"G")</f>
        <v>0</v>
      </c>
      <c r="CX213" s="248">
        <f>SUM(CT213,CU213,CV213,CW213)</f>
        <v>1</v>
      </c>
      <c r="CY213" s="217"/>
      <c r="CZ213" s="217"/>
      <c r="DA213" s="217"/>
      <c r="DB213" s="249"/>
      <c r="DC213" s="217"/>
      <c r="DD213" s="620" t="str">
        <f>IF(AND(DD209="",DD210=""),"",COUNTIF(GL8:GL207,"I")+COUNTIF(GL8:GL207,"D"))</f>
        <v/>
      </c>
      <c r="DE213" s="620" t="str">
        <f>IF(AND(DD209="",DD210=""),"",COUNTIF(GL8:GL207,"II"))</f>
        <v/>
      </c>
      <c r="DF213" s="620" t="str">
        <f>IF(AND(DD209="",DD210=""),"",COUNTIF(GL8:GL207,"III"))</f>
        <v/>
      </c>
      <c r="DG213" s="620" t="str">
        <f>IF(AND(DD209="",DD210=""),"",COUNTIF(GL8:GL207,"G"))</f>
        <v/>
      </c>
      <c r="DH213" s="623" t="str">
        <f>IF(AND(DD210="",DD211=""),"",SUM(DD213,DE213,DF213,DG213))</f>
        <v/>
      </c>
      <c r="DI213" s="620" t="str">
        <f>IF(AND(DI209="",DI210=""),"",COUNTIF(GM8:GM207,"I")+COUNTIF(GM8:GM207,"D"))</f>
        <v/>
      </c>
      <c r="DJ213" s="620" t="str">
        <f>IF(AND(DI209="",DI210=""),"",COUNTIF(GM8:GM207,"II"))</f>
        <v/>
      </c>
      <c r="DK213" s="620" t="str">
        <f>IF(AND(DI209="",DI210=""),"",COUNTIF(GM8:GM207,"III"))</f>
        <v/>
      </c>
      <c r="DL213" s="620" t="str">
        <f>IF(AND(DI209="",DI210=""),"",COUNTIF(GM8:GM207,"G"))</f>
        <v/>
      </c>
      <c r="DM213" s="623" t="str">
        <f>IF(AND(DI210="",DI211=""),"",SUM(DI213,DJ213,DK213,DL213))</f>
        <v/>
      </c>
      <c r="DN213" s="621" t="str">
        <f>IF(AND(DN209="",DN210=""),"",COUNTIF(GN8:GN207,"I")+COUNTIF(GN8:GN207,"D"))</f>
        <v/>
      </c>
      <c r="DO213" s="621" t="str">
        <f>IF(AND(DN209="",DN210=""),"",COUNTIF(GN8:GN207,"II"))</f>
        <v/>
      </c>
      <c r="DP213" s="621" t="str">
        <f>IF(AND(DN209="",DN210=""),"",COUNTIF(GN8:GN207,"III"))</f>
        <v/>
      </c>
      <c r="DQ213" s="622" t="str">
        <f>IF(AND(DN209="",DN210=""),"",COUNTIF(GN8:GN207,"G"))</f>
        <v/>
      </c>
      <c r="DR213" s="623" t="str">
        <f>IF(AND(DN210="",DN211=""),"",SUM(DN213,DO213,DP213,DQ213))</f>
        <v/>
      </c>
      <c r="DS213" s="217">
        <f>IF(AND(DS209="",DS210=""),"",COUNTIF(GR8:GR207,"A"))</f>
        <v>30</v>
      </c>
      <c r="DT213" s="217">
        <f>IF(AND(DS209="",DS210=""),"",COUNTIF(GR8:GR207,"B"))</f>
        <v>0</v>
      </c>
      <c r="DU213" s="217"/>
      <c r="DV213" s="217"/>
      <c r="DW213" s="217"/>
      <c r="DX213" s="217"/>
      <c r="DY213" s="217"/>
      <c r="DZ213" s="217"/>
      <c r="EA213" s="217"/>
      <c r="EB213" s="217"/>
      <c r="EC213" s="217">
        <f>IF(AND(DS209="",DS210=""),"",COUNTIF(GR8:GR207,"C"))</f>
        <v>0</v>
      </c>
      <c r="ED213" s="217">
        <f>IF(AND(DS209="",DS210=""),"",COUNTIF(GR8:GR207,"D")+COUNTIF(GR8:GR207,"G"))</f>
        <v>0</v>
      </c>
      <c r="EE213" s="589">
        <f>IF(AND(DS209="",DS210=""),"",COUNTIF(GR8:GR207,"E"))</f>
        <v>0</v>
      </c>
      <c r="EF213" s="250">
        <f>IF(AND(DS209="",DS210=""),"",SUM(DS213,DT213,EC213,ED213,EE213))</f>
        <v>30</v>
      </c>
      <c r="EG213" s="217"/>
      <c r="EH213" s="217"/>
      <c r="EI213" s="245"/>
      <c r="EJ213" s="245"/>
      <c r="EK213" s="245"/>
      <c r="EL213" s="219"/>
      <c r="EM213" s="219"/>
      <c r="EN213" s="219"/>
      <c r="EO213" s="219"/>
      <c r="EP213" s="219"/>
      <c r="EQ213" s="219"/>
      <c r="ER213" s="219"/>
      <c r="ES213" s="219"/>
      <c r="ET213" s="219"/>
      <c r="EU213" s="219"/>
      <c r="EV213" s="219"/>
      <c r="EW213" s="219"/>
      <c r="EX213" s="219"/>
      <c r="EY213" s="208">
        <f>IF(AND(EY209="",EY210=""),"",COUNTIF(FF8:FF207,"A"))</f>
        <v>1</v>
      </c>
      <c r="EZ213" s="208">
        <f>IF(AND(EY209="",EY210=""),"",COUNTIF(FF8:FF207,"B"))</f>
        <v>30</v>
      </c>
      <c r="FA213" s="587">
        <f>IF(AND(EY209="",EY210=""),"",COUNTIF(FF8:FF207,"C"))</f>
        <v>0</v>
      </c>
      <c r="FB213" s="587">
        <f>IF(AND(EY209="",EY210=""),"",COUNTIF(FF8:FF207,"D"))</f>
        <v>0</v>
      </c>
      <c r="FC213" s="208">
        <f>IF(AND(EY209="",EY210=""),"",COUNTIF(FF8:FF207,"E"))</f>
        <v>0</v>
      </c>
      <c r="FD213" s="588">
        <f>IF(AND(EY209="",EY210=""),"",SUM(EY213,EZ213,FC213,FA213,FB213))</f>
        <v>31</v>
      </c>
      <c r="FE213" s="1120"/>
      <c r="FF213" s="1121"/>
      <c r="FG213" s="228"/>
      <c r="FH213" s="228"/>
      <c r="FI213" s="228"/>
      <c r="FJ213" s="228"/>
      <c r="FK213" s="228"/>
      <c r="FL213" s="228"/>
      <c r="FM213" s="228"/>
      <c r="FN213" s="228"/>
      <c r="FO213" s="228"/>
      <c r="FP213" s="228"/>
      <c r="FQ213" s="228"/>
      <c r="FR213" s="228"/>
      <c r="FS213" s="228"/>
      <c r="FT213" s="228"/>
      <c r="FU213" s="228"/>
      <c r="FV213" s="228"/>
      <c r="FW213" s="228"/>
      <c r="FX213" s="228"/>
      <c r="FY213" s="228"/>
      <c r="FZ213" s="228"/>
      <c r="GA213" s="228"/>
      <c r="GB213" s="228"/>
      <c r="GC213" s="228"/>
      <c r="GD213" s="228"/>
      <c r="GE213" s="228"/>
      <c r="GF213" s="228"/>
      <c r="GG213" s="228"/>
      <c r="GH213" s="228"/>
      <c r="GI213" s="228"/>
      <c r="GJ213" s="228"/>
      <c r="GK213" s="228"/>
      <c r="GL213" s="228"/>
      <c r="GM213" s="228"/>
      <c r="GN213" s="228"/>
      <c r="GO213" s="228"/>
      <c r="GP213" s="228"/>
      <c r="GQ213" s="228"/>
      <c r="GR213" s="228"/>
      <c r="GS213" s="228"/>
      <c r="GT213" s="228"/>
      <c r="GU213" s="229"/>
      <c r="GV213" s="1092"/>
      <c r="GW213" s="1093"/>
      <c r="GX213" s="1091"/>
      <c r="GY213" s="1187" t="str">
        <f>IF('Master Sheet'!D11="Hindi","उतीर्ण","Pass")</f>
        <v>उतीर्ण</v>
      </c>
      <c r="GZ213" s="1187"/>
      <c r="HA213" s="1187"/>
      <c r="HB213" s="1137">
        <f>SUM(HB210:HC212)</f>
        <v>8</v>
      </c>
      <c r="HC213" s="1234"/>
      <c r="HD213" s="633"/>
      <c r="HE213" s="1208" t="str">
        <f>IF('Master Sheet'!D11="Hindi","उतीर्ण","Pass")</f>
        <v>उतीर्ण</v>
      </c>
      <c r="HF213" s="1187"/>
      <c r="HG213" s="1187"/>
      <c r="HH213" s="251">
        <f>SUM(HH210:HH212)</f>
        <v>2</v>
      </c>
      <c r="HI213" s="639">
        <f t="shared" si="724"/>
        <v>10</v>
      </c>
      <c r="HY213" s="212" t="str">
        <f>IF('Supp. Result Entry'!U212="","",'Supp. Result Entry'!$U$6)</f>
        <v/>
      </c>
      <c r="HZ213" s="213" t="str">
        <f>IF('Supp. Result Entry'!X212="","",'Supp. Result Entry'!$X$6)</f>
        <v/>
      </c>
      <c r="IA213" s="213" t="str">
        <f>IF('Supp. Result Entry'!AA212="","",'Supp. Result Entry'!$AA$6)</f>
        <v/>
      </c>
      <c r="IB213" s="213" t="str">
        <f>IF('Supp. Result Entry'!AD212="","",'Supp. Result Entry'!$AD$6)</f>
        <v/>
      </c>
      <c r="IC213" s="213" t="str">
        <f>IF('Supp. Result Entry'!AG212="","",'Supp. Result Entry'!$AG$6)</f>
        <v/>
      </c>
      <c r="ID213" s="213" t="str">
        <f>IF('Supp. Result Entry'!AJ212="","",'Supp. Result Entry'!$AJ$6)</f>
        <v/>
      </c>
      <c r="IE213" s="213" t="str">
        <f>IF('Supp. Result Entry'!V212="","",'Supp. Result Entry'!V212)</f>
        <v/>
      </c>
      <c r="IF213" s="213" t="str">
        <f>IF('Supp. Result Entry'!Y212="","",'Supp. Result Entry'!Y212)</f>
        <v/>
      </c>
      <c r="IG213" s="213" t="str">
        <f>IF('Supp. Result Entry'!AB212="","",'Supp. Result Entry'!AB212)</f>
        <v/>
      </c>
      <c r="IH213" s="213" t="str">
        <f>IF('Supp. Result Entry'!AE212="","",'Supp. Result Entry'!AE212)</f>
        <v/>
      </c>
      <c r="II213" s="213" t="str">
        <f>IF('Supp. Result Entry'!AH212="","",'Supp. Result Entry'!AH212)</f>
        <v/>
      </c>
      <c r="IJ213" s="213" t="str">
        <f>IF('Supp. Result Entry'!AK212="","",'Supp. Result Entry'!AK212)</f>
        <v/>
      </c>
      <c r="IK213" s="213" t="str">
        <f>IF('Supp. Result Entry'!W212="","",'Supp. Result Entry'!W212)</f>
        <v/>
      </c>
      <c r="IL213" s="213" t="str">
        <f>IF('Supp. Result Entry'!Z212="","",'Supp. Result Entry'!Z212)</f>
        <v/>
      </c>
      <c r="IM213" s="213" t="str">
        <f>IF('Supp. Result Entry'!AC212="","",'Supp. Result Entry'!AC212)</f>
        <v/>
      </c>
      <c r="IN213" s="213" t="str">
        <f>IF('Supp. Result Entry'!AF212="","",'Supp. Result Entry'!AF212)</f>
        <v/>
      </c>
      <c r="IO213" s="213" t="str">
        <f>IF('Supp. Result Entry'!AI212="","",'Supp. Result Entry'!AI212)</f>
        <v/>
      </c>
      <c r="IP213" s="213" t="str">
        <f>IF('Supp. Result Entry'!AL212="","",'Supp. Result Entry'!AL212)</f>
        <v/>
      </c>
      <c r="IQ213" s="213">
        <f>COUNTIF('Supp. Result Entry'!K212:Q212,"S")</f>
        <v>0</v>
      </c>
      <c r="IR213" s="213">
        <f t="shared" si="719"/>
        <v>0</v>
      </c>
      <c r="IS213" s="213">
        <f t="shared" si="720"/>
        <v>0</v>
      </c>
      <c r="IT213" s="213" t="str">
        <f t="shared" si="588"/>
        <v/>
      </c>
      <c r="IU213" s="213" t="str">
        <f t="shared" si="589"/>
        <v/>
      </c>
      <c r="IV213" s="213" t="str">
        <f t="shared" si="590"/>
        <v/>
      </c>
      <c r="IW213" s="213" t="str">
        <f t="shared" si="591"/>
        <v/>
      </c>
      <c r="IX213" s="213" t="str">
        <f t="shared" si="592"/>
        <v/>
      </c>
      <c r="IY213" s="213" t="str">
        <f t="shared" si="721"/>
        <v/>
      </c>
      <c r="IZ213" s="213" t="str">
        <f t="shared" si="722"/>
        <v/>
      </c>
      <c r="JA213" s="213" t="str">
        <f t="shared" si="593"/>
        <v/>
      </c>
      <c r="JB213" s="211" t="str">
        <f t="shared" si="723"/>
        <v/>
      </c>
    </row>
    <row r="214" spans="1:262" s="258" customFormat="1" ht="18.75" customHeight="1">
      <c r="A214" s="1181"/>
      <c r="B214" s="1182"/>
      <c r="C214" s="1182"/>
      <c r="D214" s="1182"/>
      <c r="E214" s="1183"/>
      <c r="F214" s="1150" t="str">
        <f>IF('Master Sheet'!D11="Hindi","कुल उत्तीर्ण प्रतिशत में  :","Total Pass  %  :")</f>
        <v>कुल उत्तीर्ण प्रतिशत में  :</v>
      </c>
      <c r="G214" s="1150"/>
      <c r="H214" s="1095" t="s">
        <v>78</v>
      </c>
      <c r="I214" s="1095"/>
      <c r="J214" s="1089">
        <f>IF(AND(J209="",J210=""),"",IF(J211=0,0,P213/J211*100))</f>
        <v>100</v>
      </c>
      <c r="K214" s="1089"/>
      <c r="L214" s="1089"/>
      <c r="M214" s="1089"/>
      <c r="N214" s="1089"/>
      <c r="O214" s="1089"/>
      <c r="P214" s="1089"/>
      <c r="Q214" s="1089"/>
      <c r="R214" s="1089"/>
      <c r="S214" s="1089"/>
      <c r="T214" s="1089"/>
      <c r="U214" s="1089"/>
      <c r="V214" s="1089"/>
      <c r="W214" s="1089"/>
      <c r="X214" s="1089">
        <f>IF(AND(X209="",X210=""),"",IF(X211=0,0,AD213/X211*100))</f>
        <v>100</v>
      </c>
      <c r="Y214" s="1089"/>
      <c r="Z214" s="1089"/>
      <c r="AA214" s="1089"/>
      <c r="AB214" s="1089"/>
      <c r="AC214" s="1089"/>
      <c r="AD214" s="1089"/>
      <c r="AE214" s="1089"/>
      <c r="AF214" s="1089"/>
      <c r="AG214" s="1089"/>
      <c r="AH214" s="1089"/>
      <c r="AI214" s="1089"/>
      <c r="AJ214" s="1089"/>
      <c r="AK214" s="1089"/>
      <c r="AL214" s="1089">
        <f>IF(AND(AL209="",AL210=""),"",IF(AL211=0,0,AP213/AL211*100))</f>
        <v>85</v>
      </c>
      <c r="AM214" s="1089"/>
      <c r="AN214" s="1089"/>
      <c r="AO214" s="1089"/>
      <c r="AP214" s="1089"/>
      <c r="AQ214" s="1089">
        <f>IF(AND(AQ209="",AQ210=""),"",IF(AQ211=0,0,AU213/AQ211*100))</f>
        <v>90</v>
      </c>
      <c r="AR214" s="1089"/>
      <c r="AS214" s="1089"/>
      <c r="AT214" s="1089"/>
      <c r="AU214" s="1089"/>
      <c r="AV214" s="1089" t="str">
        <f>IF(AND(AV209="",AV210=""),"",IF(AV211=0,0,AZ213/AV211*100))</f>
        <v/>
      </c>
      <c r="AW214" s="1089"/>
      <c r="AX214" s="1089"/>
      <c r="AY214" s="1089"/>
      <c r="AZ214" s="1089"/>
      <c r="BA214" s="252"/>
      <c r="BB214" s="253"/>
      <c r="BC214" s="253"/>
      <c r="BD214" s="253"/>
      <c r="BE214" s="254"/>
      <c r="BF214" s="254"/>
      <c r="BG214" s="254"/>
      <c r="BH214" s="255"/>
      <c r="BI214" s="1089">
        <f>IF(AND(BI209="",BI210=""),"",IF(BI211=0,0,BM213/BI211*100))</f>
        <v>93.333333333333329</v>
      </c>
      <c r="BJ214" s="1089"/>
      <c r="BK214" s="1089"/>
      <c r="BL214" s="1089"/>
      <c r="BM214" s="1089"/>
      <c r="BN214" s="1089">
        <f>IF(AND(BN209="",BN210=""),"",IF(BN211=0,0,BR213/BN211*100))</f>
        <v>100</v>
      </c>
      <c r="BO214" s="1089"/>
      <c r="BP214" s="1089"/>
      <c r="BQ214" s="1089"/>
      <c r="BR214" s="1089"/>
      <c r="BS214" s="1089">
        <f>IF(AND(BS209="",BS210=""),"",IF(BS211=0,0,BW213/BS211*100))</f>
        <v>100</v>
      </c>
      <c r="BT214" s="1089"/>
      <c r="BU214" s="1089"/>
      <c r="BV214" s="1089"/>
      <c r="BW214" s="1089"/>
      <c r="BX214" s="252"/>
      <c r="BY214" s="253"/>
      <c r="BZ214" s="253"/>
      <c r="CA214" s="253"/>
      <c r="CB214" s="254"/>
      <c r="CC214" s="254"/>
      <c r="CD214" s="254"/>
      <c r="CE214" s="255"/>
      <c r="CF214" s="1089">
        <f>IF(AND(CF209="",CF210=""),"",IF(CF211=0,0,CJ213/CF211*100))</f>
        <v>100</v>
      </c>
      <c r="CG214" s="1089"/>
      <c r="CH214" s="1089"/>
      <c r="CI214" s="1089"/>
      <c r="CJ214" s="1089"/>
      <c r="CK214" s="1089">
        <f>IF(AND(CK209="",CK210=""),"",IF(CK211=0,0,CO213/CK211*100))</f>
        <v>87.5</v>
      </c>
      <c r="CL214" s="1089"/>
      <c r="CM214" s="1089"/>
      <c r="CN214" s="1089"/>
      <c r="CO214" s="1089"/>
      <c r="CP214" s="1089">
        <f>IF(AND(CP209="",CP210=""),"",IF(CP211=0,0,CT213/CP211*100))</f>
        <v>100</v>
      </c>
      <c r="CQ214" s="1089"/>
      <c r="CR214" s="1089"/>
      <c r="CS214" s="1089"/>
      <c r="CT214" s="1089"/>
      <c r="CU214" s="252"/>
      <c r="CV214" s="253"/>
      <c r="CW214" s="253"/>
      <c r="CX214" s="253"/>
      <c r="CY214" s="254"/>
      <c r="CZ214" s="254"/>
      <c r="DA214" s="254"/>
      <c r="DB214" s="255"/>
      <c r="DC214" s="256"/>
      <c r="DD214" s="1089" t="str">
        <f>IF(AND(DD209="",DD210=""),"",IF(DD211=0,0,DH213/DD211*100))</f>
        <v/>
      </c>
      <c r="DE214" s="1089"/>
      <c r="DF214" s="1089"/>
      <c r="DG214" s="1089"/>
      <c r="DH214" s="1089"/>
      <c r="DI214" s="1089" t="str">
        <f>IF(AND(DI209="",DI210=""),"",IF(DI211=0,0,DM213/DI211*100))</f>
        <v/>
      </c>
      <c r="DJ214" s="1089"/>
      <c r="DK214" s="1089"/>
      <c r="DL214" s="1089"/>
      <c r="DM214" s="1089"/>
      <c r="DN214" s="1089" t="str">
        <f>IF(AND(DN209="",DN210=""),"",IF(DN211=0,0,DR213/DN211*100))</f>
        <v/>
      </c>
      <c r="DO214" s="1089"/>
      <c r="DP214" s="1089"/>
      <c r="DQ214" s="1089"/>
      <c r="DR214" s="1089"/>
      <c r="DS214" s="1237">
        <f>IF(AND(DS209="",DS210=""),"",IF(DS211=0,0,EF213/DS211*100))</f>
        <v>100</v>
      </c>
      <c r="DT214" s="1238"/>
      <c r="DU214" s="1238"/>
      <c r="DV214" s="1238"/>
      <c r="DW214" s="1238"/>
      <c r="DX214" s="1238"/>
      <c r="DY214" s="1238"/>
      <c r="DZ214" s="1238"/>
      <c r="EA214" s="1238"/>
      <c r="EB214" s="1238"/>
      <c r="EC214" s="1238"/>
      <c r="ED214" s="1238"/>
      <c r="EE214" s="1238"/>
      <c r="EF214" s="1238"/>
      <c r="EG214" s="1238"/>
      <c r="EH214" s="1239"/>
      <c r="EI214" s="257"/>
      <c r="EJ214" s="257"/>
      <c r="EK214" s="257"/>
      <c r="EL214" s="219"/>
      <c r="EM214" s="219"/>
      <c r="EN214" s="219"/>
      <c r="EO214" s="219"/>
      <c r="EP214" s="219"/>
      <c r="EQ214" s="219"/>
      <c r="ER214" s="219"/>
      <c r="ES214" s="219"/>
      <c r="ET214" s="219"/>
      <c r="EU214" s="219"/>
      <c r="EV214" s="219"/>
      <c r="EW214" s="219"/>
      <c r="EX214" s="219"/>
      <c r="EY214" s="1124">
        <f>IF(AND(EY209="",EY210=""),"",IF(EY211=0,0,FD213/EY211*100))</f>
        <v>100</v>
      </c>
      <c r="EZ214" s="1125"/>
      <c r="FA214" s="1125"/>
      <c r="FB214" s="1125"/>
      <c r="FC214" s="1125"/>
      <c r="FD214" s="1125"/>
      <c r="FE214" s="1120"/>
      <c r="FF214" s="1121"/>
      <c r="FG214" s="228"/>
      <c r="FH214" s="228"/>
      <c r="FI214" s="228"/>
      <c r="FJ214" s="228"/>
      <c r="FK214" s="228"/>
      <c r="FL214" s="228"/>
      <c r="FM214" s="228"/>
      <c r="FN214" s="228"/>
      <c r="FO214" s="228"/>
      <c r="FP214" s="228"/>
      <c r="FQ214" s="228"/>
      <c r="FR214" s="228"/>
      <c r="FS214" s="228"/>
      <c r="FT214" s="228"/>
      <c r="FU214" s="228"/>
      <c r="FV214" s="228"/>
      <c r="FW214" s="228"/>
      <c r="FX214" s="228"/>
      <c r="FY214" s="228"/>
      <c r="FZ214" s="228"/>
      <c r="GA214" s="228"/>
      <c r="GB214" s="228"/>
      <c r="GC214" s="228"/>
      <c r="GD214" s="228"/>
      <c r="GE214" s="228"/>
      <c r="GF214" s="228"/>
      <c r="GG214" s="228"/>
      <c r="GH214" s="228"/>
      <c r="GI214" s="228"/>
      <c r="GJ214" s="228"/>
      <c r="GK214" s="228"/>
      <c r="GL214" s="228"/>
      <c r="GM214" s="228"/>
      <c r="GN214" s="228"/>
      <c r="GO214" s="228"/>
      <c r="GP214" s="228"/>
      <c r="GQ214" s="228"/>
      <c r="GR214" s="228"/>
      <c r="GS214" s="228"/>
      <c r="GT214" s="228"/>
      <c r="GU214" s="229"/>
      <c r="GV214" s="1092" t="str">
        <f>IF('Master Sheet'!D11="Hindi","हस्ताक्षर जांचकर्ता","Signature of the checker")</f>
        <v>हस्ताक्षर जांचकर्ता</v>
      </c>
      <c r="GW214" s="1093"/>
      <c r="GX214" s="1091" t="str">
        <f>CONCATENATE("( ",UPPER('Master Sheet'!D15)," )")</f>
        <v>( RAKESH KUMAR )</v>
      </c>
      <c r="GY214" s="1187" t="str">
        <f>IF('Master Sheet'!D11="Hindi","पूरक","Supp.")</f>
        <v>पूरक</v>
      </c>
      <c r="GZ214" s="1187"/>
      <c r="HA214" s="1187"/>
      <c r="HB214" s="1235">
        <f>COUNTIF(GY8:GY207,"Supplementary")</f>
        <v>2</v>
      </c>
      <c r="HC214" s="1236"/>
      <c r="HD214" s="634"/>
      <c r="HE214" s="1208" t="str">
        <f>IF('Master Sheet'!D11="Hindi","पूरक","Supp.")</f>
        <v>पूरक</v>
      </c>
      <c r="HF214" s="1187"/>
      <c r="HG214" s="1187"/>
      <c r="HH214" s="605">
        <f>COUNTIF(HH8:HH207,"Supplementary")</f>
        <v>0</v>
      </c>
      <c r="HI214" s="640">
        <f>HH214</f>
        <v>0</v>
      </c>
      <c r="HY214" s="212" t="str">
        <f>IF('Supp. Result Entry'!U213="","",'Supp. Result Entry'!$U$6)</f>
        <v/>
      </c>
      <c r="HZ214" s="213" t="str">
        <f>IF('Supp. Result Entry'!X213="","",'Supp. Result Entry'!$X$6)</f>
        <v/>
      </c>
      <c r="IA214" s="213" t="str">
        <f>IF('Supp. Result Entry'!AA213="","",'Supp. Result Entry'!$AA$6)</f>
        <v/>
      </c>
      <c r="IB214" s="213" t="str">
        <f>IF('Supp. Result Entry'!AD213="","",'Supp. Result Entry'!$AD$6)</f>
        <v/>
      </c>
      <c r="IC214" s="213" t="str">
        <f>IF('Supp. Result Entry'!AG213="","",'Supp. Result Entry'!$AG$6)</f>
        <v/>
      </c>
      <c r="ID214" s="213" t="str">
        <f>IF('Supp. Result Entry'!AJ213="","",'Supp. Result Entry'!$AJ$6)</f>
        <v/>
      </c>
      <c r="IE214" s="213" t="str">
        <f>IF('Supp. Result Entry'!V213="","",'Supp. Result Entry'!V213)</f>
        <v/>
      </c>
      <c r="IF214" s="213" t="str">
        <f>IF('Supp. Result Entry'!Y213="","",'Supp. Result Entry'!Y213)</f>
        <v/>
      </c>
      <c r="IG214" s="213" t="str">
        <f>IF('Supp. Result Entry'!AB213="","",'Supp. Result Entry'!AB213)</f>
        <v/>
      </c>
      <c r="IH214" s="213" t="str">
        <f>IF('Supp. Result Entry'!AE213="","",'Supp. Result Entry'!AE213)</f>
        <v/>
      </c>
      <c r="II214" s="213" t="str">
        <f>IF('Supp. Result Entry'!AH213="","",'Supp. Result Entry'!AH213)</f>
        <v/>
      </c>
      <c r="IJ214" s="213" t="str">
        <f>IF('Supp. Result Entry'!AK213="","",'Supp. Result Entry'!AK213)</f>
        <v/>
      </c>
      <c r="IK214" s="213" t="str">
        <f>IF('Supp. Result Entry'!W213="","",'Supp. Result Entry'!W213)</f>
        <v/>
      </c>
      <c r="IL214" s="213" t="str">
        <f>IF('Supp. Result Entry'!Z213="","",'Supp. Result Entry'!Z213)</f>
        <v/>
      </c>
      <c r="IM214" s="213" t="str">
        <f>IF('Supp. Result Entry'!AC213="","",'Supp. Result Entry'!AC213)</f>
        <v/>
      </c>
      <c r="IN214" s="213" t="str">
        <f>IF('Supp. Result Entry'!AF213="","",'Supp. Result Entry'!AF213)</f>
        <v/>
      </c>
      <c r="IO214" s="213" t="str">
        <f>IF('Supp. Result Entry'!AI213="","",'Supp. Result Entry'!AI213)</f>
        <v/>
      </c>
      <c r="IP214" s="213" t="str">
        <f>IF('Supp. Result Entry'!AL213="","",'Supp. Result Entry'!AL213)</f>
        <v/>
      </c>
      <c r="IQ214" s="213">
        <f>COUNTIF('Supp. Result Entry'!K213:Q213,"S")</f>
        <v>0</v>
      </c>
      <c r="IR214" s="213">
        <f t="shared" si="719"/>
        <v>0</v>
      </c>
      <c r="IS214" s="213">
        <f t="shared" si="720"/>
        <v>0</v>
      </c>
      <c r="IT214" s="213" t="str">
        <f t="shared" si="588"/>
        <v/>
      </c>
      <c r="IU214" s="213" t="str">
        <f t="shared" si="589"/>
        <v/>
      </c>
      <c r="IV214" s="213" t="str">
        <f t="shared" si="590"/>
        <v/>
      </c>
      <c r="IW214" s="213" t="str">
        <f t="shared" si="591"/>
        <v/>
      </c>
      <c r="IX214" s="213" t="str">
        <f t="shared" si="592"/>
        <v/>
      </c>
      <c r="IY214" s="213" t="str">
        <f t="shared" si="721"/>
        <v/>
      </c>
      <c r="IZ214" s="213" t="str">
        <f t="shared" si="722"/>
        <v/>
      </c>
      <c r="JA214" s="213" t="str">
        <f t="shared" si="593"/>
        <v/>
      </c>
      <c r="JB214" s="211" t="str">
        <f t="shared" si="723"/>
        <v/>
      </c>
    </row>
    <row r="215" spans="1:262" s="263" customFormat="1" ht="20.25" customHeight="1">
      <c r="A215" s="1181"/>
      <c r="B215" s="1182"/>
      <c r="C215" s="1182"/>
      <c r="D215" s="1182"/>
      <c r="E215" s="1183"/>
      <c r="F215" s="1150" t="str">
        <f>IF('Master Sheet'!D11="Hindi","पूरक परीक्षा  :","Supplementary  :")</f>
        <v>पूरक परीक्षा  :</v>
      </c>
      <c r="G215" s="1150"/>
      <c r="H215" s="1095" t="s">
        <v>78</v>
      </c>
      <c r="I215" s="1095"/>
      <c r="J215" s="1094">
        <f>IF(AND(J209="",J210=""),"",COUNTIF(FJ8:FJ207,"S"))</f>
        <v>0</v>
      </c>
      <c r="K215" s="1094"/>
      <c r="L215" s="1094"/>
      <c r="M215" s="1094"/>
      <c r="N215" s="1094"/>
      <c r="O215" s="1094"/>
      <c r="P215" s="1094"/>
      <c r="Q215" s="1094"/>
      <c r="R215" s="1094"/>
      <c r="S215" s="1094"/>
      <c r="T215" s="1094"/>
      <c r="U215" s="1094"/>
      <c r="V215" s="1094"/>
      <c r="W215" s="1094"/>
      <c r="X215" s="1094">
        <f>IF(AND(X209="",X210=""),"",COUNTIF(FM8:FM207,"S"))</f>
        <v>0</v>
      </c>
      <c r="Y215" s="1094"/>
      <c r="Z215" s="1094"/>
      <c r="AA215" s="1094"/>
      <c r="AB215" s="1094"/>
      <c r="AC215" s="1094"/>
      <c r="AD215" s="1094"/>
      <c r="AE215" s="1094"/>
      <c r="AF215" s="1094"/>
      <c r="AG215" s="1094"/>
      <c r="AH215" s="1094"/>
      <c r="AI215" s="1094"/>
      <c r="AJ215" s="1094"/>
      <c r="AK215" s="1094"/>
      <c r="AL215" s="1090">
        <f>IF(AND(AL209="",AL210=""),"",COUNTIF(FQ8:FQ207,"s"))</f>
        <v>2</v>
      </c>
      <c r="AM215" s="1090"/>
      <c r="AN215" s="1090"/>
      <c r="AO215" s="1090"/>
      <c r="AP215" s="1090"/>
      <c r="AQ215" s="1090">
        <f>IF(AND(AQ209="",AQ210=""),"",COUNTIF(FR8:FR207,"s"))</f>
        <v>0</v>
      </c>
      <c r="AR215" s="1090"/>
      <c r="AS215" s="1090"/>
      <c r="AT215" s="1090"/>
      <c r="AU215" s="1090"/>
      <c r="AV215" s="1090" t="str">
        <f>IF(AND(AV209="",AV210=""),"",COUNTIF(FS8:FS207,"s"))</f>
        <v/>
      </c>
      <c r="AW215" s="1090"/>
      <c r="AX215" s="1090"/>
      <c r="AY215" s="1090"/>
      <c r="AZ215" s="1090"/>
      <c r="BA215" s="259"/>
      <c r="BB215" s="260"/>
      <c r="BC215" s="260"/>
      <c r="BD215" s="260"/>
      <c r="BE215" s="254"/>
      <c r="BF215" s="254"/>
      <c r="BG215" s="254"/>
      <c r="BH215" s="261"/>
      <c r="BI215" s="1090">
        <f>IF(AND(BI209="",BI210=""),"",COUNTIF(FX8:FX207,"s"))</f>
        <v>0</v>
      </c>
      <c r="BJ215" s="1090"/>
      <c r="BK215" s="1090"/>
      <c r="BL215" s="1090"/>
      <c r="BM215" s="1090"/>
      <c r="BN215" s="1090">
        <f>IF(AND(BN209="",BN210=""),"",COUNTIF(FY8:FY207,"S"))</f>
        <v>0</v>
      </c>
      <c r="BO215" s="1090">
        <f>IF(AND(BO209="",BO210=""),"",COUNTIF(FY8:FY207,"s"))</f>
        <v>0</v>
      </c>
      <c r="BP215" s="1090"/>
      <c r="BQ215" s="1090"/>
      <c r="BR215" s="1090"/>
      <c r="BS215" s="1090">
        <f>IF(AND(BS209="",BS210=""),"",COUNTIF(FZ8:FZ207,"s"))</f>
        <v>0</v>
      </c>
      <c r="BT215" s="1090"/>
      <c r="BU215" s="1090"/>
      <c r="BV215" s="1090"/>
      <c r="BW215" s="1090"/>
      <c r="BX215" s="259"/>
      <c r="BY215" s="260"/>
      <c r="BZ215" s="260"/>
      <c r="CA215" s="260"/>
      <c r="CB215" s="254"/>
      <c r="CC215" s="254"/>
      <c r="CD215" s="254"/>
      <c r="CE215" s="261"/>
      <c r="CF215" s="1090">
        <f>IF(AND(CF209="",CF210=""),"",COUNTIF(GE8:GE207,"s"))</f>
        <v>0</v>
      </c>
      <c r="CG215" s="1090"/>
      <c r="CH215" s="1090"/>
      <c r="CI215" s="1090"/>
      <c r="CJ215" s="1090"/>
      <c r="CK215" s="1090">
        <f>IF(AND(CK209="",CK210=""),"",COUNTIF(GF8:GF207,"S"))</f>
        <v>1</v>
      </c>
      <c r="CL215" s="1090">
        <f>IF(AND(CL209="",CL210=""),"",COUNTIF(GF8:GF207,"S"))</f>
        <v>1</v>
      </c>
      <c r="CM215" s="1090"/>
      <c r="CN215" s="1090"/>
      <c r="CO215" s="1090"/>
      <c r="CP215" s="1090">
        <f>IF(AND(CP209="",CP210=""),"",COUNTIF(GG8:GG207,"s"))</f>
        <v>0</v>
      </c>
      <c r="CQ215" s="1090"/>
      <c r="CR215" s="1090"/>
      <c r="CS215" s="1090"/>
      <c r="CT215" s="1090"/>
      <c r="CU215" s="259"/>
      <c r="CV215" s="260"/>
      <c r="CW215" s="260"/>
      <c r="CX215" s="260"/>
      <c r="CY215" s="254"/>
      <c r="CZ215" s="254"/>
      <c r="DA215" s="254"/>
      <c r="DB215" s="261"/>
      <c r="DC215" s="254"/>
      <c r="DD215" s="1090" t="str">
        <f>IF(AND(DD209="",DD210=""),"",COUNTIF(GL8:GL207,"s"))</f>
        <v/>
      </c>
      <c r="DE215" s="1090"/>
      <c r="DF215" s="1090"/>
      <c r="DG215" s="1090"/>
      <c r="DH215" s="1090"/>
      <c r="DI215" s="1090" t="str">
        <f>IF(AND(DI209="",DI210=""),"",COUNTIF(GM8:GM207,"S"))</f>
        <v/>
      </c>
      <c r="DJ215" s="1090" t="e">
        <f>IF(AND(DJ209="",DJ210=""),"",COUNTIF(GM8:GM207,"s"))</f>
        <v>#REF!</v>
      </c>
      <c r="DK215" s="1090"/>
      <c r="DL215" s="1090"/>
      <c r="DM215" s="1090"/>
      <c r="DN215" s="1090" t="str">
        <f>IF(AND(DN209="",DN210=""),"",COUNTIF(GN8:GN207,"S"))</f>
        <v/>
      </c>
      <c r="DO215" s="1090"/>
      <c r="DP215" s="1090"/>
      <c r="DQ215" s="1090"/>
      <c r="DR215" s="1090"/>
      <c r="DS215" s="1094">
        <f>IF(AND(DS209="",DS210=""),"",COUNTIF(GR8:GR207,"s"))</f>
        <v>0</v>
      </c>
      <c r="DT215" s="1094"/>
      <c r="DU215" s="1094"/>
      <c r="DV215" s="1094"/>
      <c r="DW215" s="1094"/>
      <c r="DX215" s="1094"/>
      <c r="DY215" s="1094"/>
      <c r="DZ215" s="1094"/>
      <c r="EA215" s="1094"/>
      <c r="EB215" s="1094"/>
      <c r="EC215" s="1094"/>
      <c r="ED215" s="1094"/>
      <c r="EE215" s="1094"/>
      <c r="EF215" s="1094"/>
      <c r="EG215" s="1094"/>
      <c r="EH215" s="1094"/>
      <c r="EI215" s="262"/>
      <c r="EJ215" s="262"/>
      <c r="EK215" s="262"/>
      <c r="EL215" s="219"/>
      <c r="EM215" s="219"/>
      <c r="EN215" s="219"/>
      <c r="EO215" s="219"/>
      <c r="EP215" s="219"/>
      <c r="EQ215" s="219"/>
      <c r="ER215" s="219"/>
      <c r="ES215" s="219"/>
      <c r="ET215" s="219"/>
      <c r="EU215" s="219"/>
      <c r="EV215" s="219"/>
      <c r="EW215" s="219"/>
      <c r="EX215" s="219"/>
      <c r="EY215" s="1126">
        <f>IF(AND(EY209="",EY210=""),"",COUNTIF(FF8:FF207,"S"))</f>
        <v>0</v>
      </c>
      <c r="EZ215" s="1127"/>
      <c r="FA215" s="1127"/>
      <c r="FB215" s="1127"/>
      <c r="FC215" s="1127"/>
      <c r="FD215" s="1127"/>
      <c r="FE215" s="1120"/>
      <c r="FF215" s="1121"/>
      <c r="FG215" s="228"/>
      <c r="FH215" s="228"/>
      <c r="FI215" s="228"/>
      <c r="FJ215" s="228"/>
      <c r="FK215" s="228"/>
      <c r="FL215" s="228"/>
      <c r="FM215" s="228"/>
      <c r="FN215" s="228"/>
      <c r="FO215" s="228"/>
      <c r="FP215" s="228"/>
      <c r="FQ215" s="228"/>
      <c r="FR215" s="228"/>
      <c r="FS215" s="228"/>
      <c r="FT215" s="228"/>
      <c r="FU215" s="228"/>
      <c r="FV215" s="228"/>
      <c r="FW215" s="228"/>
      <c r="FX215" s="228"/>
      <c r="FY215" s="228"/>
      <c r="FZ215" s="228"/>
      <c r="GA215" s="228"/>
      <c r="GB215" s="228"/>
      <c r="GC215" s="228"/>
      <c r="GD215" s="228"/>
      <c r="GE215" s="228"/>
      <c r="GF215" s="228"/>
      <c r="GG215" s="228"/>
      <c r="GH215" s="228"/>
      <c r="GI215" s="228"/>
      <c r="GJ215" s="228"/>
      <c r="GK215" s="228"/>
      <c r="GL215" s="228"/>
      <c r="GM215" s="228"/>
      <c r="GN215" s="228"/>
      <c r="GO215" s="228"/>
      <c r="GP215" s="228"/>
      <c r="GQ215" s="228"/>
      <c r="GR215" s="228"/>
      <c r="GS215" s="228"/>
      <c r="GT215" s="228"/>
      <c r="GU215" s="229"/>
      <c r="GV215" s="1092"/>
      <c r="GW215" s="1093"/>
      <c r="GX215" s="1091"/>
      <c r="GY215" s="1187" t="str">
        <f>IF('Master Sheet'!D11="Hindi","अनुतीर्ण","Failed")</f>
        <v>अनुतीर्ण</v>
      </c>
      <c r="GZ215" s="1187"/>
      <c r="HA215" s="1187"/>
      <c r="HB215" s="1096">
        <f>COUNTIF(GY8:GY207,"Fail")</f>
        <v>1</v>
      </c>
      <c r="HC215" s="1097"/>
      <c r="HD215" s="634"/>
      <c r="HE215" s="1208" t="str">
        <f>IF('Master Sheet'!D11="Hindi","अनुतीर्ण","Failed")</f>
        <v>अनुतीर्ण</v>
      </c>
      <c r="HF215" s="1187"/>
      <c r="HG215" s="1187"/>
      <c r="HH215" s="601">
        <f>COUNTIF(HH8:HH207,"FAIL")</f>
        <v>0</v>
      </c>
      <c r="HI215" s="638">
        <f>HB215</f>
        <v>1</v>
      </c>
      <c r="HY215" s="212" t="str">
        <f>IF('Supp. Result Entry'!U214="","",'Supp. Result Entry'!$U$6)</f>
        <v/>
      </c>
      <c r="HZ215" s="213" t="str">
        <f>IF('Supp. Result Entry'!X214="","",'Supp. Result Entry'!$X$6)</f>
        <v/>
      </c>
      <c r="IA215" s="213" t="str">
        <f>IF('Supp. Result Entry'!AA214="","",'Supp. Result Entry'!$AA$6)</f>
        <v/>
      </c>
      <c r="IB215" s="213" t="str">
        <f>IF('Supp. Result Entry'!AD214="","",'Supp. Result Entry'!$AD$6)</f>
        <v/>
      </c>
      <c r="IC215" s="213" t="str">
        <f>IF('Supp. Result Entry'!AG214="","",'Supp. Result Entry'!$AG$6)</f>
        <v/>
      </c>
      <c r="ID215" s="213" t="str">
        <f>IF('Supp. Result Entry'!AJ214="","",'Supp. Result Entry'!$AJ$6)</f>
        <v/>
      </c>
      <c r="IE215" s="213" t="str">
        <f>IF('Supp. Result Entry'!V214="","",'Supp. Result Entry'!V214)</f>
        <v/>
      </c>
      <c r="IF215" s="213" t="str">
        <f>IF('Supp. Result Entry'!Y214="","",'Supp. Result Entry'!Y214)</f>
        <v/>
      </c>
      <c r="IG215" s="213" t="str">
        <f>IF('Supp. Result Entry'!AB214="","",'Supp. Result Entry'!AB214)</f>
        <v/>
      </c>
      <c r="IH215" s="213" t="str">
        <f>IF('Supp. Result Entry'!AE214="","",'Supp. Result Entry'!AE214)</f>
        <v/>
      </c>
      <c r="II215" s="213" t="str">
        <f>IF('Supp. Result Entry'!AH214="","",'Supp. Result Entry'!AH214)</f>
        <v/>
      </c>
      <c r="IJ215" s="213" t="str">
        <f>IF('Supp. Result Entry'!AK214="","",'Supp. Result Entry'!AK214)</f>
        <v/>
      </c>
      <c r="IK215" s="213" t="str">
        <f>IF('Supp. Result Entry'!W214="","",'Supp. Result Entry'!W214)</f>
        <v/>
      </c>
      <c r="IL215" s="213" t="str">
        <f>IF('Supp. Result Entry'!Z214="","",'Supp. Result Entry'!Z214)</f>
        <v/>
      </c>
      <c r="IM215" s="213" t="str">
        <f>IF('Supp. Result Entry'!AC214="","",'Supp. Result Entry'!AC214)</f>
        <v/>
      </c>
      <c r="IN215" s="213" t="str">
        <f>IF('Supp. Result Entry'!AF214="","",'Supp. Result Entry'!AF214)</f>
        <v/>
      </c>
      <c r="IO215" s="213" t="str">
        <f>IF('Supp. Result Entry'!AI214="","",'Supp. Result Entry'!AI214)</f>
        <v/>
      </c>
      <c r="IP215" s="213" t="str">
        <f>IF('Supp. Result Entry'!AL214="","",'Supp. Result Entry'!AL214)</f>
        <v/>
      </c>
      <c r="IQ215" s="213">
        <f>COUNTIF('Supp. Result Entry'!K214:Q214,"S")</f>
        <v>0</v>
      </c>
      <c r="IR215" s="213">
        <f t="shared" si="719"/>
        <v>0</v>
      </c>
      <c r="IS215" s="213">
        <f t="shared" si="720"/>
        <v>0</v>
      </c>
      <c r="IT215" s="213" t="str">
        <f t="shared" si="588"/>
        <v/>
      </c>
      <c r="IU215" s="213" t="str">
        <f t="shared" si="589"/>
        <v/>
      </c>
      <c r="IV215" s="213" t="str">
        <f t="shared" si="590"/>
        <v/>
      </c>
      <c r="IW215" s="213" t="str">
        <f t="shared" si="591"/>
        <v/>
      </c>
      <c r="IX215" s="213" t="str">
        <f t="shared" si="592"/>
        <v/>
      </c>
      <c r="IY215" s="213" t="str">
        <f t="shared" si="721"/>
        <v/>
      </c>
      <c r="IZ215" s="213" t="str">
        <f t="shared" si="722"/>
        <v/>
      </c>
      <c r="JA215" s="213" t="str">
        <f t="shared" si="593"/>
        <v/>
      </c>
      <c r="JB215" s="211" t="str">
        <f t="shared" si="723"/>
        <v/>
      </c>
    </row>
    <row r="216" spans="1:262" s="266" customFormat="1" ht="20.25" customHeight="1">
      <c r="A216" s="1181"/>
      <c r="B216" s="1182"/>
      <c r="C216" s="1182"/>
      <c r="D216" s="1182"/>
      <c r="E216" s="1183"/>
      <c r="F216" s="1151" t="str">
        <f>IF('Master Sheet'!D11="Hindi","अनुतीर्ण  :","Failed  :")</f>
        <v>अनुतीर्ण  :</v>
      </c>
      <c r="G216" s="1151"/>
      <c r="H216" s="1095" t="s">
        <v>78</v>
      </c>
      <c r="I216" s="1095"/>
      <c r="J216" s="1094">
        <f>IF(AND(J209="",J210=""),"",COUNTIF(FJ8:FJ207,"F")+COUNTIF(FJ8:FJ207,"FP"))</f>
        <v>0</v>
      </c>
      <c r="K216" s="1094"/>
      <c r="L216" s="1094"/>
      <c r="M216" s="1094"/>
      <c r="N216" s="1094"/>
      <c r="O216" s="1094"/>
      <c r="P216" s="1094"/>
      <c r="Q216" s="1094"/>
      <c r="R216" s="1094"/>
      <c r="S216" s="1094"/>
      <c r="T216" s="1094"/>
      <c r="U216" s="1094"/>
      <c r="V216" s="1094"/>
      <c r="W216" s="1094"/>
      <c r="X216" s="1094">
        <f>IF(AND(X209="",X210=""),"",COUNTIF(FM8:FM207,"F")+COUNTIF(FM8:FM207,"FP"))</f>
        <v>0</v>
      </c>
      <c r="Y216" s="1094"/>
      <c r="Z216" s="1094"/>
      <c r="AA216" s="1094"/>
      <c r="AB216" s="1094"/>
      <c r="AC216" s="1094"/>
      <c r="AD216" s="1094"/>
      <c r="AE216" s="1094"/>
      <c r="AF216" s="1094"/>
      <c r="AG216" s="1094"/>
      <c r="AH216" s="1094"/>
      <c r="AI216" s="1094"/>
      <c r="AJ216" s="1094"/>
      <c r="AK216" s="1094"/>
      <c r="AL216" s="1090">
        <f>IF(AND(AL209="",AL210=""),"",COUNTIF(FQ8:FQ207,"F")+COUNTIF(FQ8:FQ207,"FP"))</f>
        <v>1</v>
      </c>
      <c r="AM216" s="1090"/>
      <c r="AN216" s="1090"/>
      <c r="AO216" s="1090"/>
      <c r="AP216" s="1090"/>
      <c r="AQ216" s="1090">
        <f>IF(AND(AQ209="",AQ210=""),"",COUNTIF(FR8:FR207,"F")+COUNTIF(FR8:FR207,"FP"))</f>
        <v>1</v>
      </c>
      <c r="AR216" s="1090"/>
      <c r="AS216" s="1090"/>
      <c r="AT216" s="1090"/>
      <c r="AU216" s="1090"/>
      <c r="AV216" s="1090" t="str">
        <f>IF(AND(AV209="",AV210=""),"",COUNTIF(FS8:FS207,"F")+COUNTIF(FS8:FS207,"FP"))</f>
        <v/>
      </c>
      <c r="AW216" s="1090"/>
      <c r="AX216" s="1090"/>
      <c r="AY216" s="1090"/>
      <c r="AZ216" s="1090"/>
      <c r="BA216" s="259"/>
      <c r="BB216" s="260"/>
      <c r="BC216" s="260"/>
      <c r="BD216" s="260"/>
      <c r="BE216" s="254"/>
      <c r="BF216" s="254"/>
      <c r="BG216" s="254"/>
      <c r="BH216" s="261"/>
      <c r="BI216" s="1090">
        <f>IF(AND(BI209="",BI210=""),"",COUNTIF(FX8:FX207,"F")+COUNTIF(FX8:FX207,"FP"))</f>
        <v>1</v>
      </c>
      <c r="BJ216" s="1090"/>
      <c r="BK216" s="1090"/>
      <c r="BL216" s="1090"/>
      <c r="BM216" s="1090"/>
      <c r="BN216" s="1090">
        <f>IF(AND(BN209="",BN210=""),"",COUNTIF(FY8:FY207,"F")+COUNTIF(FY8:FY207,"FP"))</f>
        <v>0</v>
      </c>
      <c r="BO216" s="1090">
        <f>IF(AND(BO209="",BO210=""),"",COUNTIF(FY8:FY207,"F")+COUNTIF(FY8:FY207,"FP"))</f>
        <v>0</v>
      </c>
      <c r="BP216" s="1090"/>
      <c r="BQ216" s="1090"/>
      <c r="BR216" s="1090"/>
      <c r="BS216" s="1090">
        <f>IF(AND(BS209="",BS210=""),"",COUNTIF(FZ8:FZ207,"F")+COUNTIF(FZ8:FZ207,"FP"))</f>
        <v>0</v>
      </c>
      <c r="BT216" s="1090"/>
      <c r="BU216" s="1090"/>
      <c r="BV216" s="1090"/>
      <c r="BW216" s="1090"/>
      <c r="BX216" s="259"/>
      <c r="BY216" s="260"/>
      <c r="BZ216" s="260"/>
      <c r="CA216" s="260"/>
      <c r="CB216" s="254"/>
      <c r="CC216" s="254"/>
      <c r="CD216" s="254"/>
      <c r="CE216" s="261"/>
      <c r="CF216" s="1090">
        <f>IF(AND(CF209="",CF210=""),"",COUNTIF(GE8:GE207,"F")+COUNTIF(GE8:GE207,"FP"))</f>
        <v>0</v>
      </c>
      <c r="CG216" s="1090"/>
      <c r="CH216" s="1090"/>
      <c r="CI216" s="1090"/>
      <c r="CJ216" s="1090"/>
      <c r="CK216" s="1090">
        <f>IF(AND(CK209="",CK210=""),"",COUNTIF(GF8:GF207,"F")+COUNTIF(GF8:GF207,"FP"))</f>
        <v>0</v>
      </c>
      <c r="CL216" s="1090">
        <f>IF(AND(CL209="",CL210=""),"",COUNTIF(GF8:GF207,"F")+COUNTIF(GF8:GF207,"FP"))</f>
        <v>0</v>
      </c>
      <c r="CM216" s="1090"/>
      <c r="CN216" s="1090"/>
      <c r="CO216" s="1090"/>
      <c r="CP216" s="1090">
        <f>IF(AND(CP209="",CP210=""),"",COUNTIF(GG8:GG207,"F")+COUNTIF(GG8:GG207,"FP"))</f>
        <v>0</v>
      </c>
      <c r="CQ216" s="1090"/>
      <c r="CR216" s="1090"/>
      <c r="CS216" s="1090"/>
      <c r="CT216" s="1090"/>
      <c r="CU216" s="259"/>
      <c r="CV216" s="260"/>
      <c r="CW216" s="260"/>
      <c r="CX216" s="260"/>
      <c r="CY216" s="254"/>
      <c r="CZ216" s="254"/>
      <c r="DA216" s="254"/>
      <c r="DB216" s="261"/>
      <c r="DC216" s="254"/>
      <c r="DD216" s="1090" t="str">
        <f>IF(AND(DD209="",DD210=""),"",COUNTIF(GL8:GL207,"F")+COUNTIF(GL8:GL207,"FP"))</f>
        <v/>
      </c>
      <c r="DE216" s="1090"/>
      <c r="DF216" s="1090"/>
      <c r="DG216" s="1090"/>
      <c r="DH216" s="1090"/>
      <c r="DI216" s="1090" t="str">
        <f>IF(AND(DI209="",DI210=""),"",COUNTIF(GM8:GM207,"F")+COUNTIF(GM8:GM207,"FP"))</f>
        <v/>
      </c>
      <c r="DJ216" s="1090" t="e">
        <f>IF(AND(DJ209="",DJ210=""),"",COUNTIF(GM8:GM207,"F")+COUNTIF(GM8:GM207,"FP"))</f>
        <v>#REF!</v>
      </c>
      <c r="DK216" s="1090"/>
      <c r="DL216" s="1090"/>
      <c r="DM216" s="1090"/>
      <c r="DN216" s="1090" t="str">
        <f>IF(AND(DN209="",DN210=""),"",COUNTIF(GN8:GN207,"F")+COUNTIF(GN8:GN207,"FP"))</f>
        <v/>
      </c>
      <c r="DO216" s="1090" t="str">
        <f>IF(AND(DO209="",DO210=""),"",COUNTIF(GR8:GR207,"F")+COUNTIF(GR8:GR207,"FP"))</f>
        <v/>
      </c>
      <c r="DP216" s="1090"/>
      <c r="DQ216" s="1090"/>
      <c r="DR216" s="1090"/>
      <c r="DS216" s="1094">
        <f>IF(AND(DS209="",DS210=""),"",COUNTIF(GR8:GR207,"F"))</f>
        <v>0</v>
      </c>
      <c r="DT216" s="1094"/>
      <c r="DU216" s="1094"/>
      <c r="DV216" s="1094"/>
      <c r="DW216" s="1094"/>
      <c r="DX216" s="1094"/>
      <c r="DY216" s="1094"/>
      <c r="DZ216" s="1094"/>
      <c r="EA216" s="1094"/>
      <c r="EB216" s="1094"/>
      <c r="EC216" s="1094"/>
      <c r="ED216" s="1094"/>
      <c r="EE216" s="1094"/>
      <c r="EF216" s="1094"/>
      <c r="EG216" s="1094"/>
      <c r="EH216" s="1094"/>
      <c r="EI216" s="264"/>
      <c r="EJ216" s="264"/>
      <c r="EK216" s="264"/>
      <c r="EL216" s="219"/>
      <c r="EM216" s="219"/>
      <c r="EN216" s="219"/>
      <c r="EO216" s="219"/>
      <c r="EP216" s="219"/>
      <c r="EQ216" s="219"/>
      <c r="ER216" s="219"/>
      <c r="ES216" s="219"/>
      <c r="ET216" s="219"/>
      <c r="EU216" s="219"/>
      <c r="EV216" s="219"/>
      <c r="EW216" s="219"/>
      <c r="EX216" s="219"/>
      <c r="EY216" s="1126">
        <f>IF(AND(EY209="",EY210=""),"",COUNTIF(FF8:FF207,"F"))</f>
        <v>0</v>
      </c>
      <c r="EZ216" s="1127"/>
      <c r="FA216" s="1127"/>
      <c r="FB216" s="1127"/>
      <c r="FC216" s="1127"/>
      <c r="FD216" s="1127"/>
      <c r="FE216" s="1120"/>
      <c r="FF216" s="1121"/>
      <c r="FG216" s="228"/>
      <c r="FH216" s="228"/>
      <c r="FI216" s="228"/>
      <c r="FJ216" s="228"/>
      <c r="FK216" s="228"/>
      <c r="FL216" s="228"/>
      <c r="FM216" s="228"/>
      <c r="FN216" s="228"/>
      <c r="FO216" s="228"/>
      <c r="FP216" s="228"/>
      <c r="FQ216" s="228"/>
      <c r="FR216" s="228"/>
      <c r="FS216" s="228"/>
      <c r="FT216" s="228"/>
      <c r="FU216" s="228"/>
      <c r="FV216" s="228"/>
      <c r="FW216" s="228"/>
      <c r="FX216" s="228"/>
      <c r="FY216" s="228"/>
      <c r="FZ216" s="228"/>
      <c r="GA216" s="228"/>
      <c r="GB216" s="228"/>
      <c r="GC216" s="228"/>
      <c r="GD216" s="228"/>
      <c r="GE216" s="228"/>
      <c r="GF216" s="228"/>
      <c r="GG216" s="228"/>
      <c r="GH216" s="228"/>
      <c r="GI216" s="228"/>
      <c r="GJ216" s="228"/>
      <c r="GK216" s="228"/>
      <c r="GL216" s="228"/>
      <c r="GM216" s="228"/>
      <c r="GN216" s="228"/>
      <c r="GO216" s="228"/>
      <c r="GP216" s="228"/>
      <c r="GQ216" s="228"/>
      <c r="GR216" s="228"/>
      <c r="GS216" s="228"/>
      <c r="GT216" s="228"/>
      <c r="GU216" s="229"/>
      <c r="GV216" s="1092" t="str">
        <f>IF('Master Sheet'!D11="Hindi","हस्ताक्षर परीक्षा प्रभारी","Signature of the exam. Incharge")</f>
        <v>हस्ताक्षर परीक्षा प्रभारी</v>
      </c>
      <c r="GW216" s="1093"/>
      <c r="GX216" s="1091" t="str">
        <f>CONCATENATE("( ",UPPER('Master Sheet'!D14)," )")</f>
        <v>( HEERALAL JAT )</v>
      </c>
      <c r="GY216" s="1187" t="str">
        <f>IF('Master Sheet'!D11="Hindi","उतीर्ण प्रतिशत","Pass %")</f>
        <v>उतीर्ण प्रतिशत</v>
      </c>
      <c r="GZ216" s="1187"/>
      <c r="HA216" s="1187"/>
      <c r="HB216" s="1098">
        <f>IF(HB209=0,0,HB213/HB209*100)</f>
        <v>72.727272727272734</v>
      </c>
      <c r="HC216" s="1099"/>
      <c r="HD216" s="635"/>
      <c r="HE216" s="1208" t="str">
        <f>IF('Master Sheet'!D11="Hindi","उतीर्ण प्रतिशत","Pass %")</f>
        <v>उतीर्ण प्रतिशत</v>
      </c>
      <c r="HF216" s="1187"/>
      <c r="HG216" s="1187"/>
      <c r="HH216" s="265">
        <f>IF(HH209=0,0,HH213/HH209*100)</f>
        <v>100</v>
      </c>
      <c r="HI216" s="641">
        <f>IF(HB209=0,0,HI213/HB209*100)</f>
        <v>90.909090909090907</v>
      </c>
      <c r="HY216" s="212" t="str">
        <f>IF('Supp. Result Entry'!U215="","",'Supp. Result Entry'!$U$6)</f>
        <v/>
      </c>
      <c r="HZ216" s="213" t="str">
        <f>IF('Supp. Result Entry'!X215="","",'Supp. Result Entry'!$X$6)</f>
        <v/>
      </c>
      <c r="IA216" s="213" t="str">
        <f>IF('Supp. Result Entry'!AA215="","",'Supp. Result Entry'!$AA$6)</f>
        <v/>
      </c>
      <c r="IB216" s="213" t="str">
        <f>IF('Supp. Result Entry'!AD215="","",'Supp. Result Entry'!$AD$6)</f>
        <v/>
      </c>
      <c r="IC216" s="213" t="str">
        <f>IF('Supp. Result Entry'!AG215="","",'Supp. Result Entry'!$AG$6)</f>
        <v/>
      </c>
      <c r="ID216" s="213" t="str">
        <f>IF('Supp. Result Entry'!AJ215="","",'Supp. Result Entry'!$AJ$6)</f>
        <v/>
      </c>
      <c r="IE216" s="213" t="str">
        <f>IF('Supp. Result Entry'!V215="","",'Supp. Result Entry'!V215)</f>
        <v/>
      </c>
      <c r="IF216" s="213" t="str">
        <f>IF('Supp. Result Entry'!Y215="","",'Supp. Result Entry'!Y215)</f>
        <v/>
      </c>
      <c r="IG216" s="213" t="str">
        <f>IF('Supp. Result Entry'!AB215="","",'Supp. Result Entry'!AB215)</f>
        <v/>
      </c>
      <c r="IH216" s="213" t="str">
        <f>IF('Supp. Result Entry'!AE215="","",'Supp. Result Entry'!AE215)</f>
        <v/>
      </c>
      <c r="II216" s="213" t="str">
        <f>IF('Supp. Result Entry'!AH215="","",'Supp. Result Entry'!AH215)</f>
        <v/>
      </c>
      <c r="IJ216" s="213" t="str">
        <f>IF('Supp. Result Entry'!AK215="","",'Supp. Result Entry'!AK215)</f>
        <v/>
      </c>
      <c r="IK216" s="213" t="str">
        <f>IF('Supp. Result Entry'!W215="","",'Supp. Result Entry'!W215)</f>
        <v/>
      </c>
      <c r="IL216" s="213" t="str">
        <f>IF('Supp. Result Entry'!Z215="","",'Supp. Result Entry'!Z215)</f>
        <v/>
      </c>
      <c r="IM216" s="213" t="str">
        <f>IF('Supp. Result Entry'!AC215="","",'Supp. Result Entry'!AC215)</f>
        <v/>
      </c>
      <c r="IN216" s="213" t="str">
        <f>IF('Supp. Result Entry'!AF215="","",'Supp. Result Entry'!AF215)</f>
        <v/>
      </c>
      <c r="IO216" s="213" t="str">
        <f>IF('Supp. Result Entry'!AI215="","",'Supp. Result Entry'!AI215)</f>
        <v/>
      </c>
      <c r="IP216" s="213" t="str">
        <f>IF('Supp. Result Entry'!AL215="","",'Supp. Result Entry'!AL215)</f>
        <v/>
      </c>
      <c r="IQ216" s="213">
        <f>COUNTIF('Supp. Result Entry'!K215:Q215,"S")</f>
        <v>0</v>
      </c>
      <c r="IR216" s="213">
        <f t="shared" si="719"/>
        <v>0</v>
      </c>
      <c r="IS216" s="213">
        <f t="shared" si="720"/>
        <v>0</v>
      </c>
      <c r="IT216" s="213" t="str">
        <f t="shared" si="588"/>
        <v/>
      </c>
      <c r="IU216" s="213" t="str">
        <f t="shared" si="589"/>
        <v/>
      </c>
      <c r="IV216" s="213" t="str">
        <f t="shared" si="590"/>
        <v/>
      </c>
      <c r="IW216" s="213" t="str">
        <f t="shared" si="591"/>
        <v/>
      </c>
      <c r="IX216" s="213" t="str">
        <f t="shared" si="592"/>
        <v/>
      </c>
      <c r="IY216" s="213" t="str">
        <f t="shared" si="721"/>
        <v/>
      </c>
      <c r="IZ216" s="213" t="str">
        <f t="shared" si="722"/>
        <v/>
      </c>
      <c r="JA216" s="213" t="str">
        <f t="shared" si="593"/>
        <v/>
      </c>
      <c r="JB216" s="211" t="str">
        <f t="shared" si="723"/>
        <v/>
      </c>
    </row>
    <row r="217" spans="1:262" s="268" customFormat="1" ht="20.25" customHeight="1">
      <c r="A217" s="1181"/>
      <c r="B217" s="1182"/>
      <c r="C217" s="1182"/>
      <c r="D217" s="1182"/>
      <c r="E217" s="1183"/>
      <c r="F217" s="1151" t="str">
        <f>IF('Master Sheet'!D11="Hindi","पुनः परीक्षा तक परिणाम रोका गया  :","Result with held until re-exam  :")</f>
        <v>पुनः परीक्षा तक परिणाम रोका गया  :</v>
      </c>
      <c r="G217" s="1151"/>
      <c r="H217" s="1095" t="s">
        <v>78</v>
      </c>
      <c r="I217" s="1095"/>
      <c r="J217" s="1094">
        <f>IF(AND(J209="",J210=""),"",COUNTIF(FJ8:FJ207,"RW"))</f>
        <v>0</v>
      </c>
      <c r="K217" s="1094"/>
      <c r="L217" s="1094"/>
      <c r="M217" s="1094"/>
      <c r="N217" s="1094"/>
      <c r="O217" s="1094"/>
      <c r="P217" s="1094"/>
      <c r="Q217" s="1094"/>
      <c r="R217" s="1094"/>
      <c r="S217" s="1094"/>
      <c r="T217" s="1094"/>
      <c r="U217" s="1094"/>
      <c r="V217" s="1094"/>
      <c r="W217" s="1094"/>
      <c r="X217" s="1094">
        <f>IF(AND(X209="",X210=""),"",COUNTIF(FM8:FM207,"RW"))</f>
        <v>0</v>
      </c>
      <c r="Y217" s="1094"/>
      <c r="Z217" s="1094"/>
      <c r="AA217" s="1094"/>
      <c r="AB217" s="1094"/>
      <c r="AC217" s="1094"/>
      <c r="AD217" s="1094"/>
      <c r="AE217" s="1094"/>
      <c r="AF217" s="1094"/>
      <c r="AG217" s="1094"/>
      <c r="AH217" s="1094"/>
      <c r="AI217" s="1094"/>
      <c r="AJ217" s="1094"/>
      <c r="AK217" s="1094"/>
      <c r="AL217" s="1090">
        <f>IF(AND(AL209="",AL210=""),"",COUNTIF(FQ8:FQ207,"RW"))</f>
        <v>0</v>
      </c>
      <c r="AM217" s="1090"/>
      <c r="AN217" s="1090"/>
      <c r="AO217" s="1090"/>
      <c r="AP217" s="1090"/>
      <c r="AQ217" s="1090">
        <f>IF(AND(AQ209="",AQ210=""),"",COUNTIF(FR8:FR207,"RW"))</f>
        <v>0</v>
      </c>
      <c r="AR217" s="1090"/>
      <c r="AS217" s="1090"/>
      <c r="AT217" s="1090"/>
      <c r="AU217" s="1090"/>
      <c r="AV217" s="1090" t="str">
        <f>IF(AND(AV209="",AV210=""),"",COUNTIF(FS8:FS207,"RW"))</f>
        <v/>
      </c>
      <c r="AW217" s="1090"/>
      <c r="AX217" s="1090"/>
      <c r="AY217" s="1090"/>
      <c r="AZ217" s="1090"/>
      <c r="BA217" s="259"/>
      <c r="BB217" s="260"/>
      <c r="BC217" s="260"/>
      <c r="BD217" s="260"/>
      <c r="BE217" s="254"/>
      <c r="BF217" s="254"/>
      <c r="BG217" s="254"/>
      <c r="BH217" s="261"/>
      <c r="BI217" s="1090">
        <f>IF(AND(BI209="",BI210=""),"",COUNTIF(FX8:FX207,"RW"))</f>
        <v>0</v>
      </c>
      <c r="BJ217" s="1090"/>
      <c r="BK217" s="1090"/>
      <c r="BL217" s="1090"/>
      <c r="BM217" s="1090"/>
      <c r="BN217" s="1090">
        <f>IF(AND(BN209="",BN210=""),"",COUNTIF(FY8:FY207,"RW"))</f>
        <v>0</v>
      </c>
      <c r="BO217" s="1090">
        <f>IF(AND(BO209="",BO210=""),"",COUNTIF(FY8:FY207,"RW"))</f>
        <v>0</v>
      </c>
      <c r="BP217" s="1090"/>
      <c r="BQ217" s="1090"/>
      <c r="BR217" s="1090"/>
      <c r="BS217" s="1090">
        <f>IF(AND(BS209="",BS210=""),"",COUNTIF(FZ8:FZ207,"RW"))</f>
        <v>0</v>
      </c>
      <c r="BT217" s="1090"/>
      <c r="BU217" s="1090"/>
      <c r="BV217" s="1090"/>
      <c r="BW217" s="1090"/>
      <c r="BX217" s="259"/>
      <c r="BY217" s="260"/>
      <c r="BZ217" s="260"/>
      <c r="CA217" s="260"/>
      <c r="CB217" s="254"/>
      <c r="CC217" s="254"/>
      <c r="CD217" s="254"/>
      <c r="CE217" s="261"/>
      <c r="CF217" s="1090">
        <f>IF(AND(CF209="",CF210=""),"",COUNTIF(GE8:GE207,"RW"))</f>
        <v>0</v>
      </c>
      <c r="CG217" s="1090"/>
      <c r="CH217" s="1090"/>
      <c r="CI217" s="1090"/>
      <c r="CJ217" s="1090"/>
      <c r="CK217" s="1090">
        <f>IF(AND(CK209="",CK210=""),"",COUNTIF(GF8:GF207,"RW"))</f>
        <v>0</v>
      </c>
      <c r="CL217" s="1090">
        <f>IF(AND(CL209="",CL210=""),"",COUNTIF(GF8:GF207,"RW"))</f>
        <v>0</v>
      </c>
      <c r="CM217" s="1090"/>
      <c r="CN217" s="1090"/>
      <c r="CO217" s="1090"/>
      <c r="CP217" s="1090">
        <f>IF(AND(CP209="",CP210=""),"",COUNTIF(GG8:GG207,"RW"))</f>
        <v>0</v>
      </c>
      <c r="CQ217" s="1090"/>
      <c r="CR217" s="1090"/>
      <c r="CS217" s="1090"/>
      <c r="CT217" s="1090"/>
      <c r="CU217" s="259"/>
      <c r="CV217" s="260"/>
      <c r="CW217" s="260"/>
      <c r="CX217" s="260"/>
      <c r="CY217" s="254"/>
      <c r="CZ217" s="254"/>
      <c r="DA217" s="254"/>
      <c r="DB217" s="261"/>
      <c r="DC217" s="267"/>
      <c r="DD217" s="1090" t="str">
        <f>IF(AND(DD209="",DD210=""),"",COUNTIF(GL8:GL207,"RW"))</f>
        <v/>
      </c>
      <c r="DE217" s="1090"/>
      <c r="DF217" s="1090"/>
      <c r="DG217" s="1090"/>
      <c r="DH217" s="1090"/>
      <c r="DI217" s="1090" t="str">
        <f>IF(AND(DI209="",DI210=""),"",COUNTIF(GM8:GM207,"RW"))</f>
        <v/>
      </c>
      <c r="DJ217" s="1090" t="e">
        <f>IF(AND(DJ209="",DJ210=""),"",COUNTIF(GM8:GM207,"RW"))</f>
        <v>#REF!</v>
      </c>
      <c r="DK217" s="1090"/>
      <c r="DL217" s="1090"/>
      <c r="DM217" s="1090"/>
      <c r="DN217" s="1090" t="str">
        <f>IF(AND(DN209="",DN210=""),"",COUNTIF(GN8:GN207,"RW"))</f>
        <v/>
      </c>
      <c r="DO217" s="1090"/>
      <c r="DP217" s="1090"/>
      <c r="DQ217" s="1090"/>
      <c r="DR217" s="1090"/>
      <c r="DS217" s="1094">
        <f>IF(AND(DS209="",DS210=""),"",COUNTIF(GR8:GR207,"RW"))</f>
        <v>0</v>
      </c>
      <c r="DT217" s="1094"/>
      <c r="DU217" s="1094"/>
      <c r="DV217" s="1094"/>
      <c r="DW217" s="1094"/>
      <c r="DX217" s="1094"/>
      <c r="DY217" s="1094"/>
      <c r="DZ217" s="1094"/>
      <c r="EA217" s="1094"/>
      <c r="EB217" s="1094"/>
      <c r="EC217" s="1094"/>
      <c r="ED217" s="1094"/>
      <c r="EE217" s="1094"/>
      <c r="EF217" s="1094"/>
      <c r="EG217" s="1094"/>
      <c r="EH217" s="1094"/>
      <c r="EI217" s="264"/>
      <c r="EJ217" s="264"/>
      <c r="EK217" s="264"/>
      <c r="EL217" s="219"/>
      <c r="EM217" s="219"/>
      <c r="EN217" s="219"/>
      <c r="EO217" s="219"/>
      <c r="EP217" s="219"/>
      <c r="EQ217" s="219"/>
      <c r="ER217" s="219"/>
      <c r="ES217" s="219"/>
      <c r="ET217" s="219"/>
      <c r="EU217" s="219"/>
      <c r="EV217" s="219"/>
      <c r="EW217" s="219"/>
      <c r="EX217" s="219"/>
      <c r="EY217" s="1126">
        <f>IF(AND(EY209="",EY210=""),"",COUNTIF(FF8:FF207,"RW"))</f>
        <v>0</v>
      </c>
      <c r="EZ217" s="1127"/>
      <c r="FA217" s="1127"/>
      <c r="FB217" s="1127"/>
      <c r="FC217" s="1127"/>
      <c r="FD217" s="1127"/>
      <c r="FE217" s="1120"/>
      <c r="FF217" s="1121"/>
      <c r="FG217" s="228"/>
      <c r="FH217" s="228"/>
      <c r="FI217" s="228"/>
      <c r="FJ217" s="228"/>
      <c r="FK217" s="228"/>
      <c r="FL217" s="228"/>
      <c r="FM217" s="228"/>
      <c r="FN217" s="228"/>
      <c r="FO217" s="228"/>
      <c r="FP217" s="228"/>
      <c r="FQ217" s="228"/>
      <c r="FR217" s="228"/>
      <c r="FS217" s="228"/>
      <c r="FT217" s="228"/>
      <c r="FU217" s="228"/>
      <c r="FV217" s="228"/>
      <c r="FW217" s="228"/>
      <c r="FX217" s="228"/>
      <c r="FY217" s="228"/>
      <c r="FZ217" s="228"/>
      <c r="GA217" s="228"/>
      <c r="GB217" s="228"/>
      <c r="GC217" s="228"/>
      <c r="GD217" s="228"/>
      <c r="GE217" s="228"/>
      <c r="GF217" s="228"/>
      <c r="GG217" s="228"/>
      <c r="GH217" s="228"/>
      <c r="GI217" s="228"/>
      <c r="GJ217" s="228"/>
      <c r="GK217" s="228"/>
      <c r="GL217" s="228"/>
      <c r="GM217" s="228"/>
      <c r="GN217" s="228"/>
      <c r="GO217" s="228"/>
      <c r="GP217" s="228"/>
      <c r="GQ217" s="228"/>
      <c r="GR217" s="228"/>
      <c r="GS217" s="228"/>
      <c r="GT217" s="228"/>
      <c r="GU217" s="229"/>
      <c r="GV217" s="1092"/>
      <c r="GW217" s="1093"/>
      <c r="GX217" s="1091"/>
      <c r="GY217" s="1187" t="str">
        <f>IF('Master Sheet'!D11="Hindi","पुनः परीक्षा","Re-Exam")</f>
        <v>पुनः परीक्षा</v>
      </c>
      <c r="GZ217" s="1187"/>
      <c r="HA217" s="1187"/>
      <c r="HB217" s="1100">
        <f>COUNTIF(GY8:GY207,"Re-Exam")</f>
        <v>0</v>
      </c>
      <c r="HC217" s="1101"/>
      <c r="HD217" s="635"/>
      <c r="HE217" s="1208" t="str">
        <f>IF('Master Sheet'!D11="Hindi","पुनः परीक्षा","Re-Exam")</f>
        <v>पुनः परीक्षा</v>
      </c>
      <c r="HF217" s="1187"/>
      <c r="HG217" s="1187"/>
      <c r="HH217" s="602">
        <f>COUNTIF(HH8:HH207,"RE-Exam")</f>
        <v>0</v>
      </c>
      <c r="HI217" s="642">
        <f>HH217</f>
        <v>0</v>
      </c>
      <c r="HY217" s="212" t="str">
        <f>IF('Supp. Result Entry'!U216="","",'Supp. Result Entry'!$U$6)</f>
        <v/>
      </c>
      <c r="HZ217" s="213" t="str">
        <f>IF('Supp. Result Entry'!X216="","",'Supp. Result Entry'!$X$6)</f>
        <v/>
      </c>
      <c r="IA217" s="213" t="str">
        <f>IF('Supp. Result Entry'!AA216="","",'Supp. Result Entry'!$AA$6)</f>
        <v/>
      </c>
      <c r="IB217" s="213" t="str">
        <f>IF('Supp. Result Entry'!AD216="","",'Supp. Result Entry'!$AD$6)</f>
        <v/>
      </c>
      <c r="IC217" s="213" t="str">
        <f>IF('Supp. Result Entry'!AG216="","",'Supp. Result Entry'!$AG$6)</f>
        <v/>
      </c>
      <c r="ID217" s="213" t="str">
        <f>IF('Supp. Result Entry'!AJ216="","",'Supp. Result Entry'!$AJ$6)</f>
        <v/>
      </c>
      <c r="IE217" s="213" t="str">
        <f>IF('Supp. Result Entry'!V216="","",'Supp. Result Entry'!V216)</f>
        <v/>
      </c>
      <c r="IF217" s="213" t="str">
        <f>IF('Supp. Result Entry'!Y216="","",'Supp. Result Entry'!Y216)</f>
        <v/>
      </c>
      <c r="IG217" s="213" t="str">
        <f>IF('Supp. Result Entry'!AB216="","",'Supp. Result Entry'!AB216)</f>
        <v/>
      </c>
      <c r="IH217" s="213" t="str">
        <f>IF('Supp. Result Entry'!AE216="","",'Supp. Result Entry'!AE216)</f>
        <v/>
      </c>
      <c r="II217" s="213" t="str">
        <f>IF('Supp. Result Entry'!AH216="","",'Supp. Result Entry'!AH216)</f>
        <v/>
      </c>
      <c r="IJ217" s="213" t="str">
        <f>IF('Supp. Result Entry'!AK216="","",'Supp. Result Entry'!AK216)</f>
        <v/>
      </c>
      <c r="IK217" s="213" t="str">
        <f>IF('Supp. Result Entry'!W216="","",'Supp. Result Entry'!W216)</f>
        <v/>
      </c>
      <c r="IL217" s="213" t="str">
        <f>IF('Supp. Result Entry'!Z216="","",'Supp. Result Entry'!Z216)</f>
        <v/>
      </c>
      <c r="IM217" s="213" t="str">
        <f>IF('Supp. Result Entry'!AC216="","",'Supp. Result Entry'!AC216)</f>
        <v/>
      </c>
      <c r="IN217" s="213" t="str">
        <f>IF('Supp. Result Entry'!AF216="","",'Supp. Result Entry'!AF216)</f>
        <v/>
      </c>
      <c r="IO217" s="213" t="str">
        <f>IF('Supp. Result Entry'!AI216="","",'Supp. Result Entry'!AI216)</f>
        <v/>
      </c>
      <c r="IP217" s="213" t="str">
        <f>IF('Supp. Result Entry'!AL216="","",'Supp. Result Entry'!AL216)</f>
        <v/>
      </c>
      <c r="IQ217" s="213">
        <f>COUNTIF('Supp. Result Entry'!K216:Q216,"S")</f>
        <v>0</v>
      </c>
      <c r="IR217" s="213">
        <f t="shared" si="719"/>
        <v>0</v>
      </c>
      <c r="IS217" s="213">
        <f t="shared" si="720"/>
        <v>0</v>
      </c>
      <c r="IT217" s="213" t="str">
        <f t="shared" si="588"/>
        <v/>
      </c>
      <c r="IU217" s="213" t="str">
        <f t="shared" si="589"/>
        <v/>
      </c>
      <c r="IV217" s="213" t="str">
        <f t="shared" si="590"/>
        <v/>
      </c>
      <c r="IW217" s="213" t="str">
        <f t="shared" si="591"/>
        <v/>
      </c>
      <c r="IX217" s="213" t="str">
        <f t="shared" si="592"/>
        <v/>
      </c>
      <c r="IY217" s="213" t="str">
        <f t="shared" si="721"/>
        <v/>
      </c>
      <c r="IZ217" s="213" t="str">
        <f t="shared" si="722"/>
        <v/>
      </c>
      <c r="JA217" s="213" t="str">
        <f t="shared" si="593"/>
        <v/>
      </c>
      <c r="JB217" s="211" t="str">
        <f t="shared" si="723"/>
        <v/>
      </c>
    </row>
    <row r="218" spans="1:262" s="266" customFormat="1" ht="21" customHeight="1">
      <c r="A218" s="1181"/>
      <c r="B218" s="1182"/>
      <c r="C218" s="1182"/>
      <c r="D218" s="1182"/>
      <c r="E218" s="1183"/>
      <c r="F218" s="1150" t="str">
        <f>IF('Master Sheet'!D11="Hindi","अनुपस्थिति  :","Absence  :")</f>
        <v>अनुपस्थिति  :</v>
      </c>
      <c r="G218" s="1150"/>
      <c r="H218" s="1095" t="s">
        <v>78</v>
      </c>
      <c r="I218" s="1095"/>
      <c r="J218" s="1094">
        <f>IF(AND(J209="",J210=""),"",COUNTIF(FJ8:FJ207,"AB"))</f>
        <v>0</v>
      </c>
      <c r="K218" s="1094"/>
      <c r="L218" s="1094"/>
      <c r="M218" s="1094"/>
      <c r="N218" s="1094"/>
      <c r="O218" s="1094"/>
      <c r="P218" s="1094"/>
      <c r="Q218" s="1094"/>
      <c r="R218" s="1094"/>
      <c r="S218" s="1094"/>
      <c r="T218" s="1094"/>
      <c r="U218" s="1094"/>
      <c r="V218" s="1094"/>
      <c r="W218" s="1094"/>
      <c r="X218" s="1094">
        <f>IF(AND(X209="",X210=""),"",COUNTIF(FM8:FM207,"AB"))</f>
        <v>0</v>
      </c>
      <c r="Y218" s="1094"/>
      <c r="Z218" s="1094"/>
      <c r="AA218" s="1094"/>
      <c r="AB218" s="1094"/>
      <c r="AC218" s="1094"/>
      <c r="AD218" s="1094"/>
      <c r="AE218" s="1094"/>
      <c r="AF218" s="1094"/>
      <c r="AG218" s="1094"/>
      <c r="AH218" s="1094"/>
      <c r="AI218" s="1094"/>
      <c r="AJ218" s="1094"/>
      <c r="AK218" s="1094"/>
      <c r="AL218" s="1090">
        <f>IF(AND(AL209="",AL210=""),"",COUNTIF(FQ8:FQ207,"AB"))</f>
        <v>0</v>
      </c>
      <c r="AM218" s="1090"/>
      <c r="AN218" s="1090"/>
      <c r="AO218" s="1090"/>
      <c r="AP218" s="1090"/>
      <c r="AQ218" s="1090">
        <f>IF(AND(AQ209="",AQ210=""),"",COUNTIF(FR8:FR207,"AB"))</f>
        <v>0</v>
      </c>
      <c r="AR218" s="1090"/>
      <c r="AS218" s="1090"/>
      <c r="AT218" s="1090"/>
      <c r="AU218" s="1090"/>
      <c r="AV218" s="1090" t="str">
        <f>IF(AND(AV209="",AV210=""),"",COUNTIF(FS8:FS207,"AB"))</f>
        <v/>
      </c>
      <c r="AW218" s="1090"/>
      <c r="AX218" s="1090"/>
      <c r="AY218" s="1090"/>
      <c r="AZ218" s="1090"/>
      <c r="BA218" s="259"/>
      <c r="BB218" s="260"/>
      <c r="BC218" s="260"/>
      <c r="BD218" s="260"/>
      <c r="BE218" s="254"/>
      <c r="BF218" s="254"/>
      <c r="BG218" s="254"/>
      <c r="BH218" s="261"/>
      <c r="BI218" s="1090">
        <f>IF(AND(BI209="",BI210=""),"",COUNTIF(FX8:FX207,"AB"))</f>
        <v>0</v>
      </c>
      <c r="BJ218" s="1090"/>
      <c r="BK218" s="1090"/>
      <c r="BL218" s="1090"/>
      <c r="BM218" s="1090"/>
      <c r="BN218" s="1090">
        <f>IF(AND(BN209="",BN210=""),"",COUNTIF(FY8:FY207,"AB"))</f>
        <v>0</v>
      </c>
      <c r="BO218" s="1090">
        <f>IF(AND(BO209="",BO210=""),"",COUNTIF(FY8:FY207,"AB"))</f>
        <v>0</v>
      </c>
      <c r="BP218" s="1090"/>
      <c r="BQ218" s="1090"/>
      <c r="BR218" s="1090"/>
      <c r="BS218" s="1090">
        <f>IF(AND(BS209="",BS210=""),"",COUNTIF(FZ8:FZ207,"AB"))</f>
        <v>0</v>
      </c>
      <c r="BT218" s="1090"/>
      <c r="BU218" s="1090"/>
      <c r="BV218" s="1090"/>
      <c r="BW218" s="1090"/>
      <c r="BX218" s="259"/>
      <c r="BY218" s="260"/>
      <c r="BZ218" s="260"/>
      <c r="CA218" s="260"/>
      <c r="CB218" s="254"/>
      <c r="CC218" s="254"/>
      <c r="CD218" s="254"/>
      <c r="CE218" s="261"/>
      <c r="CF218" s="1090">
        <f>IF(AND(CF209="",CF210=""),"",COUNTIF(GE8:GE207,"AB"))</f>
        <v>0</v>
      </c>
      <c r="CG218" s="1090"/>
      <c r="CH218" s="1090"/>
      <c r="CI218" s="1090"/>
      <c r="CJ218" s="1090"/>
      <c r="CK218" s="1090">
        <f>IF(AND(CK209="",CK210=""),"",COUNTIF(GF8:GF207,"AB"))</f>
        <v>0</v>
      </c>
      <c r="CL218" s="1090">
        <f>IF(AND(CL209="",CL210=""),"",COUNTIF(GF8:GF207,"AB"))</f>
        <v>0</v>
      </c>
      <c r="CM218" s="1090"/>
      <c r="CN218" s="1090"/>
      <c r="CO218" s="1090"/>
      <c r="CP218" s="1090">
        <f>IF(AND(CP209="",CP210=""),"",COUNTIF(GG8:GG207,"AB"))</f>
        <v>0</v>
      </c>
      <c r="CQ218" s="1090"/>
      <c r="CR218" s="1090"/>
      <c r="CS218" s="1090"/>
      <c r="CT218" s="1090"/>
      <c r="CU218" s="259"/>
      <c r="CV218" s="260"/>
      <c r="CW218" s="260"/>
      <c r="CX218" s="260"/>
      <c r="CY218" s="254"/>
      <c r="CZ218" s="254"/>
      <c r="DA218" s="254"/>
      <c r="DB218" s="261"/>
      <c r="DC218" s="267"/>
      <c r="DD218" s="1090" t="str">
        <f>IF(AND(DD209="",DD210=""),"",COUNTIF(GL8:GL207,"AB"))</f>
        <v/>
      </c>
      <c r="DE218" s="1090"/>
      <c r="DF218" s="1090"/>
      <c r="DG218" s="1090"/>
      <c r="DH218" s="1090"/>
      <c r="DI218" s="1090" t="str">
        <f>IF(AND(DI209="",DI210=""),"",COUNTIF(GM8:GM207,"AB"))</f>
        <v/>
      </c>
      <c r="DJ218" s="1090" t="e">
        <f>IF(AND(DJ209="",DJ210=""),"",COUNTIF(GM8:GM207,"AB"))</f>
        <v>#REF!</v>
      </c>
      <c r="DK218" s="1090"/>
      <c r="DL218" s="1090"/>
      <c r="DM218" s="1090"/>
      <c r="DN218" s="1090" t="str">
        <f>IF(AND(DN209="",DN210=""),"",COUNTIF(GN8:GN207,"AB"))</f>
        <v/>
      </c>
      <c r="DO218" s="1090"/>
      <c r="DP218" s="1090"/>
      <c r="DQ218" s="1090"/>
      <c r="DR218" s="1090"/>
      <c r="DS218" s="1094">
        <f>IF(AND(DS209="",DS210=""),"",COUNTIF(GR8:GR207,"AB"))</f>
        <v>0</v>
      </c>
      <c r="DT218" s="1094"/>
      <c r="DU218" s="1094"/>
      <c r="DV218" s="1094"/>
      <c r="DW218" s="1094"/>
      <c r="DX218" s="1094"/>
      <c r="DY218" s="1094"/>
      <c r="DZ218" s="1094"/>
      <c r="EA218" s="1094"/>
      <c r="EB218" s="1094"/>
      <c r="EC218" s="1094"/>
      <c r="ED218" s="1094"/>
      <c r="EE218" s="1094"/>
      <c r="EF218" s="1094"/>
      <c r="EG218" s="1094"/>
      <c r="EH218" s="1094"/>
      <c r="EI218" s="264"/>
      <c r="EJ218" s="264"/>
      <c r="EK218" s="264"/>
      <c r="EL218" s="219"/>
      <c r="EM218" s="219"/>
      <c r="EN218" s="219"/>
      <c r="EO218" s="219"/>
      <c r="EP218" s="219"/>
      <c r="EQ218" s="219"/>
      <c r="ER218" s="219"/>
      <c r="ES218" s="219"/>
      <c r="ET218" s="219"/>
      <c r="EU218" s="219"/>
      <c r="EV218" s="219"/>
      <c r="EW218" s="219"/>
      <c r="EX218" s="219"/>
      <c r="EY218" s="1126">
        <f>IF(AND(EY209="",EY210=""),"",COUNTIF(FF8:FF207,"AB"))</f>
        <v>0</v>
      </c>
      <c r="EZ218" s="1127"/>
      <c r="FA218" s="1127"/>
      <c r="FB218" s="1127"/>
      <c r="FC218" s="1127"/>
      <c r="FD218" s="1127"/>
      <c r="FE218" s="1120"/>
      <c r="FF218" s="1121"/>
      <c r="FG218" s="228"/>
      <c r="FH218" s="228"/>
      <c r="FI218" s="228"/>
      <c r="FJ218" s="228"/>
      <c r="FK218" s="228"/>
      <c r="FL218" s="228"/>
      <c r="FM218" s="228"/>
      <c r="FN218" s="228"/>
      <c r="FO218" s="228"/>
      <c r="FP218" s="228"/>
      <c r="FQ218" s="228"/>
      <c r="FR218" s="228"/>
      <c r="FS218" s="228"/>
      <c r="FT218" s="228"/>
      <c r="FU218" s="228"/>
      <c r="FV218" s="228"/>
      <c r="FW218" s="228"/>
      <c r="FX218" s="228"/>
      <c r="FY218" s="228"/>
      <c r="FZ218" s="228"/>
      <c r="GA218" s="228"/>
      <c r="GB218" s="228"/>
      <c r="GC218" s="228"/>
      <c r="GD218" s="228"/>
      <c r="GE218" s="228"/>
      <c r="GF218" s="228"/>
      <c r="GG218" s="228"/>
      <c r="GH218" s="228"/>
      <c r="GI218" s="228"/>
      <c r="GJ218" s="228"/>
      <c r="GK218" s="228"/>
      <c r="GL218" s="228"/>
      <c r="GM218" s="228"/>
      <c r="GN218" s="228"/>
      <c r="GO218" s="228"/>
      <c r="GP218" s="228"/>
      <c r="GQ218" s="228"/>
      <c r="GR218" s="228"/>
      <c r="GS218" s="228"/>
      <c r="GT218" s="228"/>
      <c r="GU218" s="229"/>
      <c r="GV218" s="1092" t="str">
        <f>IF('Master Sheet'!D11="Hindi","हस्ताक्षर संस्था प्रधान","Head of Institute's Signature")</f>
        <v>हस्ताक्षर संस्था प्रधान</v>
      </c>
      <c r="GW218" s="1093"/>
      <c r="GX218" s="1091" t="str">
        <f>CONCATENATE("( ",UPPER('Master Sheet'!D12)," )")</f>
        <v>( DEWANANAD )</v>
      </c>
      <c r="GY218" s="1187" t="str">
        <f>IF('Master Sheet'!D11="Hindi","नाम पृथक","NSO")</f>
        <v>नाम पृथक</v>
      </c>
      <c r="GZ218" s="1187"/>
      <c r="HA218" s="1187"/>
      <c r="HB218" s="1240">
        <f>COUNTIF(B8:B207,"nso")</f>
        <v>0</v>
      </c>
      <c r="HC218" s="1241"/>
      <c r="HD218" s="636"/>
      <c r="HE218" s="1208" t="str">
        <f>IF('Master Sheet'!D11="Hindi","नाम पृथक","NSO")</f>
        <v>नाम पृथक</v>
      </c>
      <c r="HF218" s="1187"/>
      <c r="HG218" s="1187"/>
      <c r="HH218" s="603">
        <f>COUNTIF(HH8:HH207,"NSO")</f>
        <v>0</v>
      </c>
      <c r="HI218" s="642">
        <f>COUNTIF(B8:B207,"nso")</f>
        <v>0</v>
      </c>
      <c r="HJ218" s="269"/>
      <c r="HY218" s="212" t="str">
        <f>IF('Supp. Result Entry'!U217="","",'Supp. Result Entry'!$U$6)</f>
        <v/>
      </c>
      <c r="HZ218" s="213" t="str">
        <f>IF('Supp. Result Entry'!X217="","",'Supp. Result Entry'!$X$6)</f>
        <v/>
      </c>
      <c r="IA218" s="213" t="str">
        <f>IF('Supp. Result Entry'!AA217="","",'Supp. Result Entry'!$AA$6)</f>
        <v/>
      </c>
      <c r="IB218" s="213" t="str">
        <f>IF('Supp. Result Entry'!AD217="","",'Supp. Result Entry'!$AD$6)</f>
        <v/>
      </c>
      <c r="IC218" s="213" t="str">
        <f>IF('Supp. Result Entry'!AG217="","",'Supp. Result Entry'!$AG$6)</f>
        <v/>
      </c>
      <c r="ID218" s="213" t="str">
        <f>IF('Supp. Result Entry'!AJ217="","",'Supp. Result Entry'!$AJ$6)</f>
        <v/>
      </c>
      <c r="IE218" s="213" t="str">
        <f>IF('Supp. Result Entry'!V217="","",'Supp. Result Entry'!V217)</f>
        <v/>
      </c>
      <c r="IF218" s="213" t="str">
        <f>IF('Supp. Result Entry'!Y217="","",'Supp. Result Entry'!Y217)</f>
        <v/>
      </c>
      <c r="IG218" s="213" t="str">
        <f>IF('Supp. Result Entry'!AB217="","",'Supp. Result Entry'!AB217)</f>
        <v/>
      </c>
      <c r="IH218" s="213" t="str">
        <f>IF('Supp. Result Entry'!AE217="","",'Supp. Result Entry'!AE217)</f>
        <v/>
      </c>
      <c r="II218" s="213" t="str">
        <f>IF('Supp. Result Entry'!AH217="","",'Supp. Result Entry'!AH217)</f>
        <v/>
      </c>
      <c r="IJ218" s="213" t="str">
        <f>IF('Supp. Result Entry'!AK217="","",'Supp. Result Entry'!AK217)</f>
        <v/>
      </c>
      <c r="IK218" s="213" t="str">
        <f>IF('Supp. Result Entry'!W217="","",'Supp. Result Entry'!W217)</f>
        <v/>
      </c>
      <c r="IL218" s="213" t="str">
        <f>IF('Supp. Result Entry'!Z217="","",'Supp. Result Entry'!Z217)</f>
        <v/>
      </c>
      <c r="IM218" s="213" t="str">
        <f>IF('Supp. Result Entry'!AC217="","",'Supp. Result Entry'!AC217)</f>
        <v/>
      </c>
      <c r="IN218" s="213" t="str">
        <f>IF('Supp. Result Entry'!AF217="","",'Supp. Result Entry'!AF217)</f>
        <v/>
      </c>
      <c r="IO218" s="213" t="str">
        <f>IF('Supp. Result Entry'!AI217="","",'Supp. Result Entry'!AI217)</f>
        <v/>
      </c>
      <c r="IP218" s="213" t="str">
        <f>IF('Supp. Result Entry'!AL217="","",'Supp. Result Entry'!AL217)</f>
        <v/>
      </c>
      <c r="IQ218" s="213">
        <f>COUNTIF('Supp. Result Entry'!K217:Q217,"S")</f>
        <v>0</v>
      </c>
      <c r="IR218" s="213">
        <f t="shared" si="719"/>
        <v>0</v>
      </c>
      <c r="IS218" s="213">
        <f t="shared" si="720"/>
        <v>0</v>
      </c>
      <c r="IT218" s="213" t="str">
        <f t="shared" si="588"/>
        <v/>
      </c>
      <c r="IU218" s="213" t="str">
        <f t="shared" si="589"/>
        <v/>
      </c>
      <c r="IV218" s="213" t="str">
        <f t="shared" si="590"/>
        <v/>
      </c>
      <c r="IW218" s="213" t="str">
        <f t="shared" si="591"/>
        <v/>
      </c>
      <c r="IX218" s="213" t="str">
        <f t="shared" si="592"/>
        <v/>
      </c>
      <c r="IY218" s="213" t="str">
        <f t="shared" si="721"/>
        <v/>
      </c>
      <c r="IZ218" s="213" t="str">
        <f t="shared" si="722"/>
        <v/>
      </c>
      <c r="JA218" s="213" t="str">
        <f t="shared" si="593"/>
        <v/>
      </c>
      <c r="JB218" s="211" t="str">
        <f t="shared" si="723"/>
        <v/>
      </c>
    </row>
    <row r="219" spans="1:262" s="266" customFormat="1" ht="20.25" customHeight="1" thickBot="1">
      <c r="A219" s="1184"/>
      <c r="B219" s="1185"/>
      <c r="C219" s="1185"/>
      <c r="D219" s="1185"/>
      <c r="E219" s="1186"/>
      <c r="F219" s="1150" t="str">
        <f>IF('Master Sheet'!D11="Hindi","पुनः परीक्षा वाले विद्यार्थियों की संख्या  :","No. of students for re-exam. :")</f>
        <v>पुनः परीक्षा वाले विद्यार्थियों की संख्या  :</v>
      </c>
      <c r="G219" s="1150"/>
      <c r="H219" s="1095" t="s">
        <v>78</v>
      </c>
      <c r="I219" s="1095"/>
      <c r="J219" s="1094">
        <f>IF(AND(J209="",J210=""),"",COUNTIF(FJ8:FJ207,"RE"))</f>
        <v>0</v>
      </c>
      <c r="K219" s="1094"/>
      <c r="L219" s="1094"/>
      <c r="M219" s="1094"/>
      <c r="N219" s="1094"/>
      <c r="O219" s="1094"/>
      <c r="P219" s="1094"/>
      <c r="Q219" s="1094"/>
      <c r="R219" s="1094"/>
      <c r="S219" s="1094"/>
      <c r="T219" s="1094"/>
      <c r="U219" s="1094"/>
      <c r="V219" s="1094"/>
      <c r="W219" s="1094"/>
      <c r="X219" s="1094">
        <f>IF(AND(X209="",X210=""),"",COUNTIF(FM8:FM207,"RE"))</f>
        <v>0</v>
      </c>
      <c r="Y219" s="1094"/>
      <c r="Z219" s="1094"/>
      <c r="AA219" s="1094"/>
      <c r="AB219" s="1094"/>
      <c r="AC219" s="1094"/>
      <c r="AD219" s="1094"/>
      <c r="AE219" s="1094"/>
      <c r="AF219" s="1094"/>
      <c r="AG219" s="1094"/>
      <c r="AH219" s="1094"/>
      <c r="AI219" s="1094"/>
      <c r="AJ219" s="1094"/>
      <c r="AK219" s="1094"/>
      <c r="AL219" s="1090">
        <f>IF(AND(AL209="",AL210=""),"",COUNTIF(FQ8:FQ207,"RE"))</f>
        <v>0</v>
      </c>
      <c r="AM219" s="1090"/>
      <c r="AN219" s="1090"/>
      <c r="AO219" s="1090"/>
      <c r="AP219" s="1090"/>
      <c r="AQ219" s="1090">
        <f>IF(AND(AQ209="",AQ210=""),"",COUNTIF(FR8:FR207,"RE"))</f>
        <v>0</v>
      </c>
      <c r="AR219" s="1090"/>
      <c r="AS219" s="1090"/>
      <c r="AT219" s="1090"/>
      <c r="AU219" s="1090"/>
      <c r="AV219" s="1090" t="str">
        <f>IF(AND(AV209="",AV210=""),"",COUNTIF(FS8:FS207,"RE"))</f>
        <v/>
      </c>
      <c r="AW219" s="1090"/>
      <c r="AX219" s="1090"/>
      <c r="AY219" s="1090"/>
      <c r="AZ219" s="1090"/>
      <c r="BA219" s="259"/>
      <c r="BB219" s="260"/>
      <c r="BC219" s="260"/>
      <c r="BD219" s="260"/>
      <c r="BE219" s="254"/>
      <c r="BF219" s="254"/>
      <c r="BG219" s="254"/>
      <c r="BH219" s="254"/>
      <c r="BI219" s="1090">
        <f>IF(AND(BI209="",BI210=""),"",COUNTIF(FX8:FX207,"RE"))</f>
        <v>0</v>
      </c>
      <c r="BJ219" s="1090"/>
      <c r="BK219" s="1090"/>
      <c r="BL219" s="1090"/>
      <c r="BM219" s="1090"/>
      <c r="BN219" s="1090">
        <f>IF(AND(BN209="",BN210=""),"",COUNTIF(FY8:FY207,"RE"))</f>
        <v>0</v>
      </c>
      <c r="BO219" s="1090">
        <f>IF(AND(BO209="",BO210=""),"",COUNTIF(FY8:FY207,"RE"))</f>
        <v>0</v>
      </c>
      <c r="BP219" s="1090"/>
      <c r="BQ219" s="1090"/>
      <c r="BR219" s="1090"/>
      <c r="BS219" s="1090">
        <f>IF(AND(BS209="",BS210=""),"",COUNTIF(FZ8:FZ207,"RE"))</f>
        <v>0</v>
      </c>
      <c r="BT219" s="1090"/>
      <c r="BU219" s="1090"/>
      <c r="BV219" s="1090"/>
      <c r="BW219" s="1090"/>
      <c r="BX219" s="259"/>
      <c r="BY219" s="260"/>
      <c r="BZ219" s="260"/>
      <c r="CA219" s="260"/>
      <c r="CB219" s="254"/>
      <c r="CC219" s="254"/>
      <c r="CD219" s="254"/>
      <c r="CE219" s="254"/>
      <c r="CF219" s="1090">
        <f>IF(AND(CF209="",CF210=""),"",COUNTIF(GE8:GE207,"RE"))</f>
        <v>0</v>
      </c>
      <c r="CG219" s="1090"/>
      <c r="CH219" s="1090"/>
      <c r="CI219" s="1090"/>
      <c r="CJ219" s="1090"/>
      <c r="CK219" s="1090">
        <f>IF(AND(CK209="",CK210=""),"",COUNTIF(GF8:GF207,"RE"))</f>
        <v>0</v>
      </c>
      <c r="CL219" s="1090">
        <f>IF(AND(CL209="",CL210=""),"",COUNTIF(GF8:GF207,"RE"))</f>
        <v>0</v>
      </c>
      <c r="CM219" s="1090"/>
      <c r="CN219" s="1090"/>
      <c r="CO219" s="1090"/>
      <c r="CP219" s="1090">
        <f>IF(AND(CP209="",CP210=""),"",COUNTIF(GG8:GG207,"RE"))</f>
        <v>0</v>
      </c>
      <c r="CQ219" s="1090"/>
      <c r="CR219" s="1090"/>
      <c r="CS219" s="1090"/>
      <c r="CT219" s="1090"/>
      <c r="CU219" s="259"/>
      <c r="CV219" s="260"/>
      <c r="CW219" s="260"/>
      <c r="CX219" s="260"/>
      <c r="CY219" s="254"/>
      <c r="CZ219" s="254"/>
      <c r="DA219" s="254"/>
      <c r="DB219" s="254"/>
      <c r="DC219" s="267"/>
      <c r="DD219" s="1090" t="str">
        <f>IF(AND(DD209="",DD210=""),"",COUNTIF(GL8:GL207,"RE"))</f>
        <v/>
      </c>
      <c r="DE219" s="1090"/>
      <c r="DF219" s="1090"/>
      <c r="DG219" s="1090"/>
      <c r="DH219" s="1090"/>
      <c r="DI219" s="1090" t="str">
        <f>IF(AND(DI209="",DI210=""),"",COUNTIF(GM8:GM207,"RE"))</f>
        <v/>
      </c>
      <c r="DJ219" s="1090" t="e">
        <f>IF(AND(DJ209="",DJ210=""),"",COUNTIF(GM8:GM207,"RE"))</f>
        <v>#REF!</v>
      </c>
      <c r="DK219" s="1090"/>
      <c r="DL219" s="1090"/>
      <c r="DM219" s="1090"/>
      <c r="DN219" s="1090" t="str">
        <f>IF(AND(DN209="",DN210=""),"",COUNTIF(GN8:GN207,"RE"))</f>
        <v/>
      </c>
      <c r="DO219" s="1090"/>
      <c r="DP219" s="1090"/>
      <c r="DQ219" s="1090"/>
      <c r="DR219" s="1090"/>
      <c r="DS219" s="1094">
        <f>IF(AND(DS209="",DS210=""),"",COUNTIF(GR8:GR207,"RE"))</f>
        <v>0</v>
      </c>
      <c r="DT219" s="1094"/>
      <c r="DU219" s="1094"/>
      <c r="DV219" s="1094"/>
      <c r="DW219" s="1094"/>
      <c r="DX219" s="1094"/>
      <c r="DY219" s="1094"/>
      <c r="DZ219" s="1094"/>
      <c r="EA219" s="1094"/>
      <c r="EB219" s="1094"/>
      <c r="EC219" s="1094"/>
      <c r="ED219" s="1094"/>
      <c r="EE219" s="1094"/>
      <c r="EF219" s="1094"/>
      <c r="EG219" s="1094"/>
      <c r="EH219" s="1094"/>
      <c r="EI219" s="264"/>
      <c r="EJ219" s="264"/>
      <c r="EK219" s="264"/>
      <c r="EL219" s="219"/>
      <c r="EM219" s="219"/>
      <c r="EN219" s="219"/>
      <c r="EO219" s="219"/>
      <c r="EP219" s="219"/>
      <c r="EQ219" s="219"/>
      <c r="ER219" s="219"/>
      <c r="ES219" s="219"/>
      <c r="ET219" s="219"/>
      <c r="EU219" s="219"/>
      <c r="EV219" s="219"/>
      <c r="EW219" s="219"/>
      <c r="EX219" s="219"/>
      <c r="EY219" s="1126">
        <f>IF(AND(EY209="",EY210=""),"",COUNTIF(FF8:FF207,"RE"))</f>
        <v>0</v>
      </c>
      <c r="EZ219" s="1127"/>
      <c r="FA219" s="1127"/>
      <c r="FB219" s="1127"/>
      <c r="FC219" s="1127"/>
      <c r="FD219" s="1127"/>
      <c r="FE219" s="1122"/>
      <c r="FF219" s="1123"/>
      <c r="FG219" s="228"/>
      <c r="FH219" s="270"/>
      <c r="FI219" s="270"/>
      <c r="FJ219" s="270"/>
      <c r="FK219" s="270"/>
      <c r="FL219" s="270"/>
      <c r="FM219" s="270"/>
      <c r="FN219" s="270"/>
      <c r="FO219" s="270"/>
      <c r="FP219" s="270"/>
      <c r="FQ219" s="270"/>
      <c r="FR219" s="270"/>
      <c r="FS219" s="270"/>
      <c r="FT219" s="270"/>
      <c r="FU219" s="270"/>
      <c r="FV219" s="270"/>
      <c r="FW219" s="270"/>
      <c r="FX219" s="270"/>
      <c r="FY219" s="270"/>
      <c r="FZ219" s="270"/>
      <c r="GA219" s="270"/>
      <c r="GB219" s="270"/>
      <c r="GC219" s="270"/>
      <c r="GD219" s="270"/>
      <c r="GE219" s="270"/>
      <c r="GF219" s="270"/>
      <c r="GG219" s="270"/>
      <c r="GH219" s="270"/>
      <c r="GI219" s="270"/>
      <c r="GJ219" s="270"/>
      <c r="GK219" s="270"/>
      <c r="GL219" s="270"/>
      <c r="GM219" s="270"/>
      <c r="GN219" s="270"/>
      <c r="GO219" s="270"/>
      <c r="GP219" s="270"/>
      <c r="GQ219" s="270"/>
      <c r="GR219" s="270"/>
      <c r="GS219" s="270"/>
      <c r="GT219" s="270"/>
      <c r="GU219" s="271"/>
      <c r="GV219" s="1102"/>
      <c r="GW219" s="1103"/>
      <c r="GX219" s="1200"/>
      <c r="GY219" s="1202" t="str">
        <f>IF('Master Sheet'!D11="Hindi","कुल योग","Total")</f>
        <v>कुल योग</v>
      </c>
      <c r="GZ219" s="1202"/>
      <c r="HA219" s="1202"/>
      <c r="HB219" s="1242">
        <f>HB213+HB214+HB215+HB217+HB218</f>
        <v>11</v>
      </c>
      <c r="HC219" s="1243"/>
      <c r="HD219" s="636"/>
      <c r="HE219" s="1233" t="str">
        <f>IF('Master Sheet'!D11="Hindi","कुल योग","Total")</f>
        <v>कुल योग</v>
      </c>
      <c r="HF219" s="1202"/>
      <c r="HG219" s="1202"/>
      <c r="HH219" s="643">
        <f>SUM(HH213,HH214,HH215,HH217,HH218)</f>
        <v>2</v>
      </c>
      <c r="HI219" s="644">
        <f>HB219</f>
        <v>11</v>
      </c>
      <c r="HY219" s="212" t="str">
        <f>IF('Supp. Result Entry'!U218="","",'Supp. Result Entry'!$U$6)</f>
        <v/>
      </c>
      <c r="HZ219" s="213" t="str">
        <f>IF('Supp. Result Entry'!X218="","",'Supp. Result Entry'!$X$6)</f>
        <v/>
      </c>
      <c r="IA219" s="213" t="str">
        <f>IF('Supp. Result Entry'!AA218="","",'Supp. Result Entry'!$AA$6)</f>
        <v/>
      </c>
      <c r="IB219" s="213" t="str">
        <f>IF('Supp. Result Entry'!AD218="","",'Supp. Result Entry'!$AD$6)</f>
        <v/>
      </c>
      <c r="IC219" s="213" t="str">
        <f>IF('Supp. Result Entry'!AG218="","",'Supp. Result Entry'!$AG$6)</f>
        <v/>
      </c>
      <c r="ID219" s="213" t="str">
        <f>IF('Supp. Result Entry'!AJ218="","",'Supp. Result Entry'!$AJ$6)</f>
        <v/>
      </c>
      <c r="IE219" s="213" t="str">
        <f>IF('Supp. Result Entry'!V218="","",'Supp. Result Entry'!V218)</f>
        <v/>
      </c>
      <c r="IF219" s="213" t="str">
        <f>IF('Supp. Result Entry'!Y218="","",'Supp. Result Entry'!Y218)</f>
        <v/>
      </c>
      <c r="IG219" s="213" t="str">
        <f>IF('Supp. Result Entry'!AB218="","",'Supp. Result Entry'!AB218)</f>
        <v/>
      </c>
      <c r="IH219" s="213" t="str">
        <f>IF('Supp. Result Entry'!AE218="","",'Supp. Result Entry'!AE218)</f>
        <v/>
      </c>
      <c r="II219" s="213" t="str">
        <f>IF('Supp. Result Entry'!AH218="","",'Supp. Result Entry'!AH218)</f>
        <v/>
      </c>
      <c r="IJ219" s="213" t="str">
        <f>IF('Supp. Result Entry'!AK218="","",'Supp. Result Entry'!AK218)</f>
        <v/>
      </c>
      <c r="IK219" s="213" t="str">
        <f>IF('Supp. Result Entry'!W218="","",'Supp. Result Entry'!W218)</f>
        <v/>
      </c>
      <c r="IL219" s="213" t="str">
        <f>IF('Supp. Result Entry'!Z218="","",'Supp. Result Entry'!Z218)</f>
        <v/>
      </c>
      <c r="IM219" s="213" t="str">
        <f>IF('Supp. Result Entry'!AC218="","",'Supp. Result Entry'!AC218)</f>
        <v/>
      </c>
      <c r="IN219" s="213" t="str">
        <f>IF('Supp. Result Entry'!AF218="","",'Supp. Result Entry'!AF218)</f>
        <v/>
      </c>
      <c r="IO219" s="213" t="str">
        <f>IF('Supp. Result Entry'!AI218="","",'Supp. Result Entry'!AI218)</f>
        <v/>
      </c>
      <c r="IP219" s="213" t="str">
        <f>IF('Supp. Result Entry'!AL218="","",'Supp. Result Entry'!AL218)</f>
        <v/>
      </c>
      <c r="IQ219" s="213">
        <f>COUNTIF('Supp. Result Entry'!K218:Q218,"S")</f>
        <v>0</v>
      </c>
      <c r="IR219" s="213">
        <f t="shared" si="719"/>
        <v>0</v>
      </c>
      <c r="IS219" s="213">
        <f t="shared" si="720"/>
        <v>0</v>
      </c>
      <c r="IT219" s="213" t="str">
        <f t="shared" si="588"/>
        <v/>
      </c>
      <c r="IU219" s="213" t="str">
        <f t="shared" si="589"/>
        <v/>
      </c>
      <c r="IV219" s="213" t="str">
        <f t="shared" si="590"/>
        <v/>
      </c>
      <c r="IW219" s="213" t="str">
        <f t="shared" si="591"/>
        <v/>
      </c>
      <c r="IX219" s="213" t="str">
        <f t="shared" si="592"/>
        <v/>
      </c>
      <c r="IY219" s="213" t="str">
        <f t="shared" si="721"/>
        <v/>
      </c>
      <c r="IZ219" s="213" t="str">
        <f t="shared" si="722"/>
        <v/>
      </c>
      <c r="JA219" s="213" t="str">
        <f t="shared" si="593"/>
        <v/>
      </c>
      <c r="JB219" s="211" t="str">
        <f t="shared" si="723"/>
        <v/>
      </c>
    </row>
    <row r="220" spans="1:262" s="266" customFormat="1" ht="26.25" customHeight="1">
      <c r="A220" s="272"/>
      <c r="F220" s="272"/>
      <c r="G220" s="272"/>
      <c r="J220" s="272"/>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3"/>
      <c r="AW220" s="273"/>
      <c r="AX220" s="273"/>
      <c r="AY220" s="273"/>
      <c r="AZ220" s="273"/>
      <c r="BA220" s="273"/>
      <c r="BB220" s="273"/>
      <c r="BC220" s="273"/>
      <c r="BD220" s="273"/>
      <c r="BE220" s="273"/>
      <c r="BF220" s="273"/>
      <c r="BG220" s="273"/>
      <c r="BH220" s="273"/>
      <c r="BI220" s="273"/>
      <c r="BJ220" s="273"/>
      <c r="BK220" s="273"/>
      <c r="BL220" s="273"/>
      <c r="BM220" s="273"/>
      <c r="BN220" s="273"/>
      <c r="BO220" s="273"/>
      <c r="BP220" s="273"/>
      <c r="BQ220" s="273"/>
      <c r="BR220" s="273"/>
      <c r="BS220" s="273"/>
      <c r="BT220" s="273"/>
      <c r="BU220" s="273"/>
      <c r="BV220" s="273"/>
      <c r="BW220" s="273"/>
      <c r="BX220" s="273"/>
      <c r="BY220" s="273"/>
      <c r="BZ220" s="273"/>
      <c r="CA220" s="273"/>
      <c r="CB220" s="273"/>
      <c r="CC220" s="273"/>
      <c r="CD220" s="273"/>
      <c r="CE220" s="273"/>
      <c r="CF220" s="273"/>
      <c r="CG220" s="273"/>
      <c r="CH220" s="273"/>
      <c r="CI220" s="273"/>
      <c r="CJ220" s="273"/>
      <c r="CK220" s="273"/>
      <c r="CL220" s="273"/>
      <c r="CM220" s="273"/>
      <c r="CN220" s="273"/>
      <c r="CO220" s="273"/>
      <c r="CP220" s="273"/>
      <c r="CQ220" s="273"/>
      <c r="CR220" s="273"/>
      <c r="CS220" s="273"/>
      <c r="CT220" s="273"/>
      <c r="CU220" s="273"/>
      <c r="CV220" s="273"/>
      <c r="CW220" s="273"/>
      <c r="CX220" s="273"/>
      <c r="CY220" s="273"/>
      <c r="CZ220" s="273"/>
      <c r="DA220" s="273"/>
      <c r="DB220" s="273"/>
      <c r="DC220" s="273"/>
      <c r="DD220" s="273"/>
      <c r="DE220" s="273"/>
      <c r="DF220" s="273"/>
      <c r="DG220" s="273"/>
      <c r="DH220" s="273"/>
      <c r="DI220" s="273"/>
      <c r="DJ220" s="273"/>
      <c r="DK220" s="273"/>
      <c r="DL220" s="273"/>
      <c r="DM220" s="273"/>
      <c r="DN220" s="273"/>
      <c r="DO220" s="273"/>
      <c r="DP220" s="273"/>
      <c r="DQ220" s="273"/>
      <c r="DR220" s="273"/>
      <c r="DS220" s="273"/>
      <c r="DT220" s="273"/>
      <c r="DU220" s="273"/>
      <c r="DV220" s="273"/>
      <c r="DW220" s="273"/>
      <c r="DX220" s="273"/>
      <c r="DY220" s="273"/>
      <c r="DZ220" s="273"/>
      <c r="EA220" s="273"/>
      <c r="EB220" s="273"/>
      <c r="EC220" s="273"/>
      <c r="ED220" s="273"/>
      <c r="EE220" s="273"/>
      <c r="EF220" s="273"/>
      <c r="EG220" s="273"/>
      <c r="EH220" s="273"/>
      <c r="EI220" s="273"/>
      <c r="EJ220" s="273"/>
      <c r="EK220" s="273"/>
      <c r="EL220" s="274"/>
      <c r="EM220" s="274"/>
      <c r="EN220" s="274"/>
      <c r="EO220" s="274"/>
      <c r="EP220" s="274"/>
      <c r="EQ220" s="274"/>
      <c r="ER220" s="274"/>
      <c r="ES220" s="274"/>
      <c r="ET220" s="274"/>
      <c r="EU220" s="274"/>
      <c r="EV220" s="275"/>
      <c r="EW220" s="275"/>
      <c r="EX220" s="275"/>
      <c r="EY220" s="275"/>
      <c r="EZ220" s="275"/>
      <c r="FA220" s="275"/>
      <c r="FB220" s="275"/>
      <c r="FC220" s="275"/>
      <c r="FD220" s="275"/>
      <c r="FE220" s="275"/>
      <c r="FF220" s="275"/>
      <c r="FG220" s="276"/>
      <c r="FH220" s="275"/>
      <c r="FI220" s="275"/>
      <c r="FJ220" s="275"/>
      <c r="FK220" s="275"/>
      <c r="FL220" s="275"/>
      <c r="FM220" s="277"/>
      <c r="FN220" s="277"/>
      <c r="FO220" s="277"/>
      <c r="FP220" s="277"/>
      <c r="FQ220" s="277"/>
      <c r="FR220" s="277"/>
      <c r="FS220" s="277"/>
      <c r="FT220" s="277"/>
      <c r="FU220" s="277"/>
      <c r="FV220" s="277"/>
      <c r="FW220" s="277"/>
      <c r="FX220" s="277"/>
      <c r="FY220" s="277"/>
      <c r="FZ220" s="277"/>
      <c r="GA220" s="277"/>
      <c r="GB220" s="277"/>
      <c r="GC220" s="277"/>
      <c r="GD220" s="277"/>
      <c r="GE220" s="277"/>
      <c r="GF220" s="277"/>
      <c r="GG220" s="277"/>
      <c r="GH220" s="277"/>
      <c r="GI220" s="277"/>
      <c r="GJ220" s="277"/>
      <c r="GK220" s="277"/>
      <c r="GL220" s="277"/>
      <c r="GM220" s="277"/>
      <c r="GN220" s="277"/>
      <c r="GO220" s="277"/>
      <c r="GP220" s="277"/>
      <c r="GQ220" s="277"/>
      <c r="GR220" s="277"/>
      <c r="GS220" s="277"/>
      <c r="GT220" s="277"/>
      <c r="GU220" s="277"/>
      <c r="GV220" s="277"/>
      <c r="GW220" s="277"/>
      <c r="GX220" s="277"/>
      <c r="GY220" s="277"/>
      <c r="GZ220" s="608"/>
      <c r="HC220" s="277"/>
      <c r="HD220" s="277"/>
      <c r="HE220" s="277"/>
      <c r="HF220" s="614"/>
      <c r="HG220" s="277"/>
      <c r="HH220" s="277"/>
      <c r="HI220" s="277"/>
    </row>
    <row r="221" spans="1:262" s="266" customFormat="1" ht="26.25" customHeight="1">
      <c r="A221" s="272"/>
      <c r="E221" s="278"/>
      <c r="F221" s="278"/>
      <c r="G221" s="278"/>
      <c r="H221" s="278"/>
      <c r="J221" s="272"/>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3"/>
      <c r="AW221" s="273"/>
      <c r="AX221" s="273"/>
      <c r="AY221" s="273"/>
      <c r="AZ221" s="273"/>
      <c r="BA221" s="273"/>
      <c r="BB221" s="273"/>
      <c r="BC221" s="273"/>
      <c r="BD221" s="273"/>
      <c r="BE221" s="273"/>
      <c r="BF221" s="273"/>
      <c r="BG221" s="273"/>
      <c r="BH221" s="273"/>
      <c r="BI221" s="273"/>
      <c r="BJ221" s="273"/>
      <c r="BK221" s="273"/>
      <c r="BL221" s="273"/>
      <c r="BM221" s="273"/>
      <c r="BN221" s="273"/>
      <c r="BO221" s="273"/>
      <c r="BP221" s="273"/>
      <c r="BQ221" s="273"/>
      <c r="BR221" s="273"/>
      <c r="BS221" s="273"/>
      <c r="BT221" s="273"/>
      <c r="BU221" s="273"/>
      <c r="BV221" s="273"/>
      <c r="BW221" s="273"/>
      <c r="BX221" s="273"/>
      <c r="BY221" s="273"/>
      <c r="BZ221" s="273"/>
      <c r="CA221" s="273"/>
      <c r="CB221" s="273"/>
      <c r="CC221" s="273"/>
      <c r="CD221" s="273"/>
      <c r="CE221" s="273"/>
      <c r="CF221" s="273"/>
      <c r="CG221" s="273"/>
      <c r="CH221" s="273"/>
      <c r="CI221" s="273"/>
      <c r="CJ221" s="273"/>
      <c r="CK221" s="273"/>
      <c r="CL221" s="273"/>
      <c r="CM221" s="273"/>
      <c r="CN221" s="273"/>
      <c r="CO221" s="273"/>
      <c r="CP221" s="273"/>
      <c r="CQ221" s="273"/>
      <c r="CR221" s="273"/>
      <c r="CS221" s="273"/>
      <c r="CT221" s="273"/>
      <c r="CU221" s="273"/>
      <c r="CV221" s="273"/>
      <c r="CW221" s="273"/>
      <c r="CX221" s="273"/>
      <c r="CY221" s="273"/>
      <c r="CZ221" s="273"/>
      <c r="DA221" s="273"/>
      <c r="DB221" s="273"/>
      <c r="DC221" s="273"/>
      <c r="DD221" s="273"/>
      <c r="DE221" s="273"/>
      <c r="DF221" s="273"/>
      <c r="DG221" s="273"/>
      <c r="DH221" s="273"/>
      <c r="DI221" s="273"/>
      <c r="DJ221" s="273"/>
      <c r="DK221" s="273"/>
      <c r="DL221" s="273"/>
      <c r="DM221" s="273"/>
      <c r="DN221" s="273"/>
      <c r="DO221" s="273"/>
      <c r="DP221" s="273"/>
      <c r="DQ221" s="273"/>
      <c r="DR221" s="273"/>
      <c r="DS221" s="273"/>
      <c r="DT221" s="273"/>
      <c r="DU221" s="273"/>
      <c r="DV221" s="273"/>
      <c r="DW221" s="273"/>
      <c r="DX221" s="273"/>
      <c r="DY221" s="273"/>
      <c r="DZ221" s="273"/>
      <c r="EA221" s="273"/>
      <c r="EB221" s="273"/>
      <c r="EC221" s="273"/>
      <c r="ED221" s="273"/>
      <c r="EE221" s="273"/>
      <c r="EF221" s="273"/>
      <c r="EG221" s="273"/>
      <c r="EH221" s="273"/>
      <c r="EI221" s="273"/>
      <c r="EJ221" s="273"/>
      <c r="EK221" s="273"/>
      <c r="EL221" s="274"/>
      <c r="EM221" s="274"/>
      <c r="EN221" s="274"/>
      <c r="EO221" s="274"/>
      <c r="EP221" s="274"/>
      <c r="EQ221" s="274"/>
      <c r="ER221" s="274"/>
      <c r="ES221" s="274"/>
      <c r="ET221" s="274"/>
      <c r="EU221" s="274"/>
      <c r="EV221" s="275"/>
      <c r="EW221" s="275"/>
      <c r="EX221" s="275"/>
      <c r="EY221" s="275"/>
      <c r="EZ221" s="275"/>
      <c r="FA221" s="275"/>
      <c r="FB221" s="275"/>
      <c r="FC221" s="275"/>
      <c r="FD221" s="275"/>
      <c r="FE221" s="275"/>
      <c r="FF221" s="275"/>
      <c r="FG221" s="275"/>
      <c r="FH221" s="275"/>
      <c r="FI221" s="275"/>
      <c r="FJ221" s="275"/>
      <c r="FK221" s="275"/>
      <c r="FL221" s="275"/>
      <c r="FM221" s="277"/>
      <c r="FN221" s="277"/>
      <c r="FO221" s="277"/>
      <c r="FP221" s="277"/>
      <c r="FQ221" s="277"/>
      <c r="FR221" s="277"/>
      <c r="FS221" s="277"/>
      <c r="FT221" s="277"/>
      <c r="FU221" s="277"/>
      <c r="FV221" s="277"/>
      <c r="FW221" s="277"/>
      <c r="FX221" s="277"/>
      <c r="FY221" s="277"/>
      <c r="FZ221" s="277"/>
      <c r="GA221" s="277"/>
      <c r="GB221" s="277"/>
      <c r="GC221" s="277"/>
      <c r="GD221" s="277"/>
      <c r="GE221" s="277"/>
      <c r="GF221" s="277"/>
      <c r="GG221" s="277"/>
      <c r="GH221" s="277"/>
      <c r="GI221" s="277"/>
      <c r="GJ221" s="277"/>
      <c r="GK221" s="277"/>
      <c r="GL221" s="277"/>
      <c r="GM221" s="277"/>
      <c r="GN221" s="277"/>
      <c r="GO221" s="277"/>
      <c r="GP221" s="277"/>
      <c r="GQ221" s="277"/>
      <c r="GR221" s="277"/>
      <c r="GS221" s="277"/>
      <c r="GT221" s="277"/>
      <c r="GU221" s="277"/>
      <c r="GV221" s="277"/>
      <c r="GW221" s="277"/>
      <c r="GX221" s="277"/>
      <c r="GY221" s="277"/>
      <c r="GZ221" s="608"/>
      <c r="HC221" s="277"/>
      <c r="HD221" s="277"/>
      <c r="HE221" s="277"/>
      <c r="HF221" s="614"/>
      <c r="HG221" s="277"/>
      <c r="HH221" s="277"/>
      <c r="HI221" s="277"/>
    </row>
    <row r="222" spans="1:262" s="266" customFormat="1" ht="26.25">
      <c r="A222" s="272"/>
      <c r="F222" s="272"/>
      <c r="G222" s="272"/>
      <c r="J222" s="272"/>
      <c r="K222" s="273"/>
      <c r="L222" s="273"/>
      <c r="M222" s="273"/>
      <c r="N222" s="273"/>
      <c r="O222" s="279"/>
      <c r="P222" s="279"/>
      <c r="Q222" s="279"/>
      <c r="R222" s="279"/>
      <c r="S222" s="279"/>
      <c r="T222" s="279"/>
      <c r="U222" s="279"/>
      <c r="V222" s="279"/>
      <c r="W222" s="279"/>
      <c r="X222" s="273"/>
      <c r="Y222" s="273"/>
      <c r="Z222" s="273"/>
      <c r="AA222" s="273"/>
      <c r="AB222" s="273"/>
      <c r="AC222" s="273"/>
      <c r="AD222" s="273"/>
      <c r="AE222" s="273"/>
      <c r="AF222" s="273"/>
      <c r="AG222" s="273"/>
      <c r="AH222" s="273"/>
      <c r="AI222" s="273"/>
      <c r="AJ222" s="273"/>
      <c r="AK222" s="273"/>
      <c r="AL222" s="273"/>
      <c r="AM222" s="273"/>
      <c r="AN222" s="273"/>
      <c r="AO222" s="273"/>
      <c r="AP222" s="273"/>
      <c r="AQ222" s="273"/>
      <c r="AR222" s="273"/>
      <c r="AS222" s="273"/>
      <c r="AT222" s="273"/>
      <c r="AU222" s="273"/>
      <c r="AV222" s="273"/>
      <c r="AW222" s="273"/>
      <c r="AX222" s="273"/>
      <c r="AY222" s="273"/>
      <c r="AZ222" s="273"/>
      <c r="BA222" s="273"/>
      <c r="BB222" s="273"/>
      <c r="BC222" s="273"/>
      <c r="BD222" s="273"/>
      <c r="BE222" s="273"/>
      <c r="BF222" s="273"/>
      <c r="BG222" s="273"/>
      <c r="BH222" s="273"/>
      <c r="BI222" s="273"/>
      <c r="BJ222" s="273"/>
      <c r="BK222" s="273"/>
      <c r="BL222" s="273"/>
      <c r="BM222" s="273"/>
      <c r="BN222" s="273"/>
      <c r="BO222" s="273"/>
      <c r="BP222" s="273"/>
      <c r="BQ222" s="273"/>
      <c r="BR222" s="273"/>
      <c r="BS222" s="273"/>
      <c r="BT222" s="273"/>
      <c r="BU222" s="273"/>
      <c r="BV222" s="273"/>
      <c r="BW222" s="273"/>
      <c r="BX222" s="273"/>
      <c r="BY222" s="273"/>
      <c r="BZ222" s="273"/>
      <c r="CA222" s="273"/>
      <c r="CB222" s="273"/>
      <c r="CC222" s="273"/>
      <c r="CD222" s="273"/>
      <c r="CE222" s="273"/>
      <c r="CF222" s="273"/>
      <c r="CG222" s="273"/>
      <c r="CH222" s="273"/>
      <c r="CI222" s="273"/>
      <c r="CJ222" s="273"/>
      <c r="CK222" s="273"/>
      <c r="CL222" s="273"/>
      <c r="CM222" s="273"/>
      <c r="CN222" s="273"/>
      <c r="CO222" s="273"/>
      <c r="CP222" s="273"/>
      <c r="CQ222" s="273"/>
      <c r="CR222" s="273"/>
      <c r="CS222" s="273"/>
      <c r="CT222" s="273"/>
      <c r="CU222" s="273"/>
      <c r="CV222" s="273"/>
      <c r="CW222" s="273"/>
      <c r="CX222" s="273"/>
      <c r="CY222" s="273"/>
      <c r="CZ222" s="273"/>
      <c r="DA222" s="273"/>
      <c r="DB222" s="273"/>
      <c r="DC222" s="273"/>
      <c r="DD222" s="273"/>
      <c r="DE222" s="273"/>
      <c r="DF222" s="273"/>
      <c r="DG222" s="273"/>
      <c r="DH222" s="273"/>
      <c r="DI222" s="273"/>
      <c r="DJ222" s="273"/>
      <c r="DK222" s="273"/>
      <c r="DL222" s="273"/>
      <c r="DM222" s="273"/>
      <c r="DN222" s="273"/>
      <c r="DO222" s="273"/>
      <c r="DP222" s="273"/>
      <c r="DQ222" s="273"/>
      <c r="DR222" s="273"/>
      <c r="DS222" s="273"/>
      <c r="DT222" s="273"/>
      <c r="DU222" s="273"/>
      <c r="DV222" s="273"/>
      <c r="DW222" s="273"/>
      <c r="DX222" s="273"/>
      <c r="DY222" s="273"/>
      <c r="DZ222" s="273"/>
      <c r="EA222" s="273"/>
      <c r="EB222" s="273"/>
      <c r="EC222" s="273"/>
      <c r="ED222" s="273"/>
      <c r="EE222" s="273"/>
      <c r="EF222" s="273"/>
      <c r="EG222" s="273"/>
      <c r="EH222" s="273"/>
      <c r="EI222" s="273"/>
      <c r="EJ222" s="273"/>
      <c r="EK222" s="273"/>
      <c r="EL222" s="274"/>
      <c r="EM222" s="274"/>
      <c r="EN222" s="274"/>
      <c r="EO222" s="274"/>
      <c r="EP222" s="274"/>
      <c r="EQ222" s="274"/>
      <c r="ER222" s="274"/>
      <c r="ES222" s="274"/>
      <c r="ET222" s="274"/>
      <c r="EU222" s="274"/>
      <c r="EV222" s="275"/>
      <c r="EW222" s="275"/>
      <c r="EX222" s="275"/>
      <c r="EY222" s="275"/>
      <c r="EZ222" s="275"/>
      <c r="FA222" s="275"/>
      <c r="FB222" s="275"/>
      <c r="FC222" s="275"/>
      <c r="FD222" s="275"/>
      <c r="FE222" s="275"/>
      <c r="FF222" s="275"/>
      <c r="FG222" s="275"/>
      <c r="FH222" s="275"/>
      <c r="FI222" s="275"/>
      <c r="FJ222" s="275"/>
      <c r="FK222" s="275"/>
      <c r="FL222" s="275"/>
      <c r="FM222" s="277"/>
      <c r="FN222" s="277"/>
      <c r="FO222" s="277"/>
      <c r="FP222" s="277"/>
      <c r="FQ222" s="277"/>
      <c r="FR222" s="277"/>
      <c r="FS222" s="277"/>
      <c r="FT222" s="277"/>
      <c r="FU222" s="277"/>
      <c r="FV222" s="277"/>
      <c r="FW222" s="277"/>
      <c r="FX222" s="277"/>
      <c r="FY222" s="277"/>
      <c r="FZ222" s="277"/>
      <c r="GA222" s="277"/>
      <c r="GB222" s="277"/>
      <c r="GC222" s="277"/>
      <c r="GD222" s="277"/>
      <c r="GE222" s="277"/>
      <c r="GF222" s="277"/>
      <c r="GG222" s="277"/>
      <c r="GH222" s="277"/>
      <c r="GI222" s="277"/>
      <c r="GJ222" s="277"/>
      <c r="GK222" s="277"/>
      <c r="GL222" s="277"/>
      <c r="GM222" s="277"/>
      <c r="GN222" s="277"/>
      <c r="GO222" s="277"/>
      <c r="GP222" s="277"/>
      <c r="GQ222" s="277"/>
      <c r="GR222" s="277"/>
      <c r="GS222" s="277"/>
      <c r="GT222" s="277"/>
      <c r="GU222" s="277"/>
      <c r="GV222" s="277"/>
      <c r="GW222" s="277"/>
      <c r="GX222" s="277"/>
      <c r="GY222" s="277"/>
      <c r="GZ222" s="608"/>
      <c r="HC222" s="277"/>
      <c r="HD222" s="277"/>
      <c r="HE222" s="277"/>
      <c r="HF222" s="614"/>
      <c r="HG222" s="277"/>
      <c r="HH222" s="277"/>
      <c r="HI222" s="277"/>
    </row>
    <row r="223" spans="1:262" hidden="1">
      <c r="AA223" s="130"/>
      <c r="AB223" s="130"/>
      <c r="AC223" s="130"/>
      <c r="AD223" s="130"/>
      <c r="AE223" s="130"/>
      <c r="AF223" s="130"/>
      <c r="AG223" s="130"/>
      <c r="AH223" s="130"/>
      <c r="AI223" s="130"/>
      <c r="AJ223" s="130"/>
      <c r="AK223" s="130"/>
      <c r="AL223" s="130"/>
      <c r="AM223" s="130"/>
      <c r="BH223" s="280"/>
    </row>
    <row r="224" spans="1:262" hidden="1">
      <c r="Y224" s="281"/>
      <c r="Z224" s="281"/>
      <c r="AA224" s="130"/>
      <c r="AB224" s="130"/>
      <c r="AC224" s="130"/>
      <c r="AD224" s="130"/>
      <c r="AE224" s="130"/>
      <c r="AF224" s="130"/>
      <c r="AG224" s="130"/>
      <c r="AH224" s="130"/>
      <c r="AI224" s="130"/>
      <c r="AJ224" s="130"/>
      <c r="AK224" s="130"/>
      <c r="AL224" s="130"/>
      <c r="AM224" s="130"/>
    </row>
    <row r="225" spans="25:42" hidden="1">
      <c r="Y225" s="281"/>
      <c r="Z225" s="281"/>
      <c r="AA225" s="130"/>
      <c r="AB225" s="130"/>
      <c r="AC225" s="130"/>
      <c r="AD225" s="130"/>
      <c r="AE225" s="130"/>
      <c r="AF225" s="130"/>
      <c r="AG225" s="130"/>
      <c r="AH225" s="130"/>
      <c r="AI225" s="130"/>
      <c r="AJ225" s="130"/>
      <c r="AK225" s="130"/>
      <c r="AL225" s="130"/>
      <c r="AM225" s="130"/>
    </row>
    <row r="226" spans="25:42" hidden="1">
      <c r="Y226" s="281"/>
      <c r="Z226" s="281"/>
      <c r="AA226" s="282"/>
      <c r="AB226" s="282"/>
      <c r="AC226" s="282"/>
      <c r="AD226" s="282"/>
      <c r="AE226" s="282"/>
      <c r="AF226" s="282"/>
      <c r="AG226" s="282"/>
      <c r="AH226" s="282"/>
      <c r="AI226" s="282"/>
      <c r="AJ226" s="282"/>
      <c r="AK226" s="282"/>
      <c r="AL226" s="282"/>
      <c r="AM226" s="282"/>
      <c r="AN226" s="282"/>
      <c r="AO226" s="282"/>
      <c r="AP226" s="283"/>
    </row>
    <row r="227" spans="25:42" hidden="1">
      <c r="Y227" s="281"/>
      <c r="Z227" s="281"/>
      <c r="AA227" s="282"/>
      <c r="AB227" s="282"/>
      <c r="AC227" s="282"/>
      <c r="AD227" s="282"/>
      <c r="AE227" s="282"/>
      <c r="AF227" s="282"/>
      <c r="AG227" s="282"/>
      <c r="AH227" s="282"/>
      <c r="AI227" s="282"/>
      <c r="AJ227" s="282"/>
      <c r="AK227" s="282"/>
      <c r="AL227" s="282"/>
      <c r="AM227" s="282"/>
      <c r="AN227" s="282"/>
      <c r="AO227" s="282"/>
      <c r="AP227" s="283"/>
    </row>
    <row r="228" spans="25:42" hidden="1">
      <c r="Y228" s="281"/>
      <c r="Z228" s="281"/>
      <c r="AA228" s="282"/>
      <c r="AB228" s="282"/>
      <c r="AC228" s="282"/>
      <c r="AD228" s="282"/>
      <c r="AE228" s="282"/>
      <c r="AF228" s="282"/>
      <c r="AG228" s="282"/>
      <c r="AH228" s="282"/>
      <c r="AI228" s="282"/>
      <c r="AJ228" s="282"/>
      <c r="AK228" s="282"/>
      <c r="AL228" s="282"/>
      <c r="AM228" s="282"/>
      <c r="AN228" s="282"/>
      <c r="AO228" s="282"/>
      <c r="AP228" s="283"/>
    </row>
    <row r="229" spans="25:42" hidden="1">
      <c r="Y229" s="281"/>
      <c r="Z229" s="281"/>
      <c r="AA229" s="282"/>
      <c r="AB229" s="282"/>
      <c r="AC229" s="282"/>
      <c r="AD229" s="282"/>
      <c r="AE229" s="282"/>
      <c r="AF229" s="282"/>
      <c r="AG229" s="282"/>
      <c r="AH229" s="282"/>
      <c r="AI229" s="282"/>
      <c r="AJ229" s="282"/>
      <c r="AK229" s="282"/>
      <c r="AL229" s="282"/>
      <c r="AM229" s="282"/>
      <c r="AN229" s="282"/>
      <c r="AO229" s="282"/>
      <c r="AP229" s="283"/>
    </row>
    <row r="230" spans="25:42" hidden="1">
      <c r="Y230" s="281"/>
      <c r="Z230" s="281"/>
      <c r="AA230" s="282"/>
      <c r="AB230" s="282"/>
      <c r="AC230" s="282"/>
      <c r="AD230" s="282"/>
      <c r="AE230" s="282"/>
      <c r="AF230" s="282"/>
      <c r="AG230" s="282"/>
      <c r="AH230" s="282"/>
      <c r="AI230" s="282"/>
      <c r="AJ230" s="282"/>
      <c r="AK230" s="282"/>
      <c r="AL230" s="282"/>
      <c r="AM230" s="282"/>
      <c r="AN230" s="282"/>
      <c r="AO230" s="282"/>
    </row>
    <row r="231" spans="25:42" hidden="1">
      <c r="Y231" s="281"/>
      <c r="Z231" s="281"/>
      <c r="AA231" s="282"/>
      <c r="AB231" s="282"/>
      <c r="AC231" s="282"/>
      <c r="AD231" s="282"/>
      <c r="AE231" s="282"/>
      <c r="AF231" s="282"/>
      <c r="AG231" s="282"/>
      <c r="AH231" s="282"/>
      <c r="AI231" s="282"/>
      <c r="AJ231" s="282"/>
      <c r="AK231" s="282"/>
      <c r="AL231" s="282"/>
      <c r="AM231" s="282"/>
      <c r="AN231" s="282"/>
      <c r="AO231" s="282"/>
    </row>
    <row r="232" spans="25:42" hidden="1"/>
    <row r="233" spans="25:42" hidden="1">
      <c r="Y233" s="281"/>
      <c r="Z233" s="281"/>
      <c r="AA233" s="282"/>
      <c r="AB233" s="282"/>
      <c r="AC233" s="282"/>
      <c r="AD233" s="282"/>
      <c r="AE233" s="282"/>
      <c r="AF233" s="282"/>
      <c r="AG233" s="282"/>
      <c r="AH233" s="282"/>
      <c r="AI233" s="282"/>
      <c r="AJ233" s="282"/>
      <c r="AK233" s="282"/>
      <c r="AL233" s="282"/>
      <c r="AM233" s="282"/>
      <c r="AN233" s="282"/>
      <c r="AO233" s="282"/>
    </row>
    <row r="234" spans="25:42" hidden="1">
      <c r="Y234" s="281"/>
      <c r="Z234" s="281"/>
      <c r="AA234" s="282"/>
      <c r="AB234" s="282"/>
      <c r="AC234" s="282"/>
      <c r="AD234" s="282"/>
      <c r="AE234" s="282"/>
      <c r="AF234" s="282"/>
      <c r="AG234" s="282"/>
      <c r="AH234" s="282"/>
      <c r="AI234" s="282"/>
      <c r="AJ234" s="282"/>
      <c r="AK234" s="282"/>
      <c r="AL234" s="282"/>
      <c r="AM234" s="282"/>
      <c r="AN234" s="282"/>
      <c r="AO234" s="282"/>
    </row>
    <row r="235" spans="25:42" hidden="1">
      <c r="Y235" s="281"/>
      <c r="Z235" s="281"/>
      <c r="AA235" s="282"/>
      <c r="AB235" s="282"/>
      <c r="AC235" s="282"/>
      <c r="AD235" s="282"/>
      <c r="AE235" s="282"/>
      <c r="AF235" s="282"/>
      <c r="AG235" s="282"/>
      <c r="AH235" s="282"/>
      <c r="AI235" s="282"/>
      <c r="AJ235" s="282"/>
      <c r="AK235" s="282"/>
      <c r="AL235" s="282"/>
      <c r="AM235" s="282"/>
      <c r="AN235" s="282"/>
      <c r="AO235" s="282"/>
    </row>
    <row r="236" spans="25:42" hidden="1">
      <c r="Y236" s="281"/>
      <c r="Z236" s="281"/>
      <c r="AA236" s="282"/>
      <c r="AB236" s="282"/>
      <c r="AC236" s="282"/>
      <c r="AD236" s="282"/>
      <c r="AE236" s="282"/>
      <c r="AF236" s="282"/>
      <c r="AG236" s="282"/>
      <c r="AH236" s="282"/>
      <c r="AI236" s="282"/>
      <c r="AJ236" s="282"/>
      <c r="AK236" s="282"/>
      <c r="AL236" s="282"/>
      <c r="AM236" s="282"/>
      <c r="AN236" s="282"/>
      <c r="AO236" s="282"/>
    </row>
    <row r="237" spans="25:42" hidden="1">
      <c r="Y237" s="281"/>
      <c r="Z237" s="281"/>
      <c r="AA237" s="282"/>
      <c r="AB237" s="282"/>
      <c r="AC237" s="282"/>
      <c r="AD237" s="282"/>
      <c r="AE237" s="282"/>
      <c r="AF237" s="282"/>
      <c r="AG237" s="282"/>
      <c r="AH237" s="282"/>
      <c r="AI237" s="282"/>
      <c r="AJ237" s="282"/>
      <c r="AK237" s="282"/>
      <c r="AL237" s="282"/>
      <c r="AM237" s="282"/>
      <c r="AN237" s="282"/>
      <c r="AO237" s="282"/>
    </row>
    <row r="238" spans="25:42" hidden="1"/>
    <row r="239" spans="25:42" hidden="1"/>
    <row r="240" spans="25:42" hidden="1"/>
    <row r="241" hidden="1"/>
    <row r="242" hidden="1"/>
    <row r="243" hidden="1"/>
    <row r="244"/>
    <row r="245"/>
    <row r="246"/>
    <row r="247"/>
    <row r="248"/>
    <row r="249"/>
    <row r="250"/>
    <row r="251"/>
    <row r="252"/>
  </sheetData>
  <sheetProtection password="D1E2" sheet="1" objects="1" scenarios="1" formatCells="0" formatColumns="0" formatRows="0"/>
  <protectedRanges>
    <protectedRange password="DC77" sqref="BT2 J212 CQ2 HF2:HI2 A208:I219 HH213 HI209:HI215 HI217 HH216:HI216 HI219 HI218:HJ218 DU4:EB7 BT209:CE209 FE7:HI7 EI212:EX212 FL212:HG212 A5:L5 N5 E3 A8:L207 Q4:W5 AB5 X5:Z5 AB8:AB207 P8:Z207 L212:L213 A7:AZ7 AE5:AO5 AQ5:AR5 A6:AR6 AZ4:AZ5 AU5:AY5 AD8:AO207 AX8:AZ207 AU8:AV207 BA7:BB207 X4:BO4 Q2:BO3 BA5:BL5 BP2:BS4 BN5:BO5 BC7:BO7 AT6:BO6 BQ6:BR6 BS6:BS7 BQ7:BW7 BC8:BL207 BN8:BO207 BR8:BS207 BU8:BW207 BX7:BY207 BZ7:CG7 BT6:CH6 BT4:CL4 BU2:CL3 BT208:CL208 CF209:CL210 CQ4 BR5:CI5 CK5:CL5 CM2:CP4 CH6:CL7 CN6:CT7 BZ8:CI207 CK8:CL207 CO8:CP207 CR8:CT207 CO5:DG5 DI5:DJ5 DM5 CR2:DM4 DN4:DT5 DL6:DL7 EC6:ED6 EF7:EX7 EE6:EE7 EF6:EY6 DP3:HI3 DN2:HD2 EI209:HG211 EI213:HG219 DN208:HI208 EC4:FC4 EC5:FA5 FC5 EY6:FD7 FC8:FD207 FD4:GQ5 GT4:HI5 GR4:GS4 FC6:HI6 J213:K219 L214:M219 O212:X212 Z212:Z213 N213:Y219 Z214:AA219 AC212:AY212 J208:AP211 AQ8:AR208 AQ209:AQ211 AB213:AP219 AS214:AY219 AQ214:AQ219 AQ213:AY213 AZ209:AZ219 AS208:BS209 AS210:CE211 BA212:CE219 CL212:CL213 CF212:CL212 CF211:CP211 CF213:CK213 CM212:CP219 CQ211:DC219 CF215:CL219 CF214:CO214 CM208:DM209 DD211:DM211 CK210:DM210 DN209:DR211 DD212:DR219 A2:D4 G2:P4 E2:F2 E4:F4 DH6:DJ7 DM6:DT6 DP7:ED7 CU6:DG207 DI8:DJ207 DM7:DO207 DQ8:FA207 FF8:HI207" name="Range1"/>
  </protectedRanges>
  <mergeCells count="516">
    <mergeCell ref="G3:I3"/>
    <mergeCell ref="E3:F3"/>
    <mergeCell ref="EC2:FF2"/>
    <mergeCell ref="FJ2:GS3"/>
    <mergeCell ref="GS4:GS6"/>
    <mergeCell ref="GY2:HD3"/>
    <mergeCell ref="HE2:HI3"/>
    <mergeCell ref="EE6:EE7"/>
    <mergeCell ref="EY4:FB4"/>
    <mergeCell ref="FC4:FC5"/>
    <mergeCell ref="FD4:FD5"/>
    <mergeCell ref="FA6:FA7"/>
    <mergeCell ref="FF4:FF5"/>
    <mergeCell ref="GT2:GX3"/>
    <mergeCell ref="GV4:GV6"/>
    <mergeCell ref="GW4:GW6"/>
    <mergeCell ref="GX4:GX6"/>
    <mergeCell ref="HD4:HD6"/>
    <mergeCell ref="FG4:FG5"/>
    <mergeCell ref="FH4:FH5"/>
    <mergeCell ref="GY4:GY6"/>
    <mergeCell ref="HC4:HC6"/>
    <mergeCell ref="FU5:FU6"/>
    <mergeCell ref="FV5:FV6"/>
    <mergeCell ref="J4:M4"/>
    <mergeCell ref="Q4:Q5"/>
    <mergeCell ref="J6:J7"/>
    <mergeCell ref="K6:K7"/>
    <mergeCell ref="M6:M7"/>
    <mergeCell ref="N6:N7"/>
    <mergeCell ref="P6:P7"/>
    <mergeCell ref="O6:O7"/>
    <mergeCell ref="Q6:Q7"/>
    <mergeCell ref="L6:L7"/>
    <mergeCell ref="N4:N5"/>
    <mergeCell ref="O4:O5"/>
    <mergeCell ref="P4:P5"/>
    <mergeCell ref="HE208:HI208"/>
    <mergeCell ref="HE209:HG209"/>
    <mergeCell ref="GU4:GU6"/>
    <mergeCell ref="AL4:AL5"/>
    <mergeCell ref="BI4:BI5"/>
    <mergeCell ref="BJ4:BM4"/>
    <mergeCell ref="BN4:BP4"/>
    <mergeCell ref="BQ4:BQ5"/>
    <mergeCell ref="BR4:BT4"/>
    <mergeCell ref="BC4:BC5"/>
    <mergeCell ref="BD4:BD5"/>
    <mergeCell ref="BH4:BH5"/>
    <mergeCell ref="BB4:BB5"/>
    <mergeCell ref="CC4:CC5"/>
    <mergeCell ref="CD4:CD5"/>
    <mergeCell ref="CE4:CE5"/>
    <mergeCell ref="AZ6:AZ7"/>
    <mergeCell ref="FZ5:FZ6"/>
    <mergeCell ref="HB4:HB6"/>
    <mergeCell ref="AN6:AN7"/>
    <mergeCell ref="AM6:AM7"/>
    <mergeCell ref="AP6:AP7"/>
    <mergeCell ref="AQ4:AS4"/>
    <mergeCell ref="AM4:AP4"/>
    <mergeCell ref="X6:X7"/>
    <mergeCell ref="Y6:Y7"/>
    <mergeCell ref="AB6:AB7"/>
    <mergeCell ref="AD6:AD7"/>
    <mergeCell ref="AE6:AE7"/>
    <mergeCell ref="R4:R5"/>
    <mergeCell ref="AL6:AL7"/>
    <mergeCell ref="AB4:AB5"/>
    <mergeCell ref="AC4:AC5"/>
    <mergeCell ref="AD4:AD5"/>
    <mergeCell ref="Z6:Z7"/>
    <mergeCell ref="AJ4:AJ5"/>
    <mergeCell ref="V4:V5"/>
    <mergeCell ref="W4:W5"/>
    <mergeCell ref="X4:AA4"/>
    <mergeCell ref="S4:S5"/>
    <mergeCell ref="T4:T5"/>
    <mergeCell ref="U4:U5"/>
    <mergeCell ref="AE4:AE5"/>
    <mergeCell ref="AF4:AF5"/>
    <mergeCell ref="AI4:AI5"/>
    <mergeCell ref="AH4:AH5"/>
    <mergeCell ref="HE219:HG219"/>
    <mergeCell ref="HE213:HG213"/>
    <mergeCell ref="HE214:HG214"/>
    <mergeCell ref="HE215:HG215"/>
    <mergeCell ref="HB213:HC213"/>
    <mergeCell ref="HB214:HC214"/>
    <mergeCell ref="GV214:GW215"/>
    <mergeCell ref="GV212:GW213"/>
    <mergeCell ref="DN219:DR219"/>
    <mergeCell ref="DN214:DR214"/>
    <mergeCell ref="DN215:DR215"/>
    <mergeCell ref="DN217:DR217"/>
    <mergeCell ref="DN218:DR218"/>
    <mergeCell ref="DS215:EH215"/>
    <mergeCell ref="DN216:DR216"/>
    <mergeCell ref="HE212:HG212"/>
    <mergeCell ref="HE216:HG216"/>
    <mergeCell ref="HE217:HG217"/>
    <mergeCell ref="HE218:HG218"/>
    <mergeCell ref="DS214:EH214"/>
    <mergeCell ref="HB212:HC212"/>
    <mergeCell ref="GX214:GX215"/>
    <mergeCell ref="HB218:HC218"/>
    <mergeCell ref="HB219:HC219"/>
    <mergeCell ref="HY4:ID5"/>
    <mergeCell ref="IE4:IJ5"/>
    <mergeCell ref="IY4:IY6"/>
    <mergeCell ref="IK4:IP5"/>
    <mergeCell ref="FI4:FI5"/>
    <mergeCell ref="FG6:FI7"/>
    <mergeCell ref="FT5:FT6"/>
    <mergeCell ref="GE5:GE6"/>
    <mergeCell ref="FY5:FY6"/>
    <mergeCell ref="GE4:GJ4"/>
    <mergeCell ref="FL5:FL6"/>
    <mergeCell ref="FP5:FP6"/>
    <mergeCell ref="FQ5:FQ6"/>
    <mergeCell ref="FQ4:FV4"/>
    <mergeCell ref="FJ4:FL4"/>
    <mergeCell ref="FM4:FO4"/>
    <mergeCell ref="FJ5:FJ6"/>
    <mergeCell ref="GL4:GQ4"/>
    <mergeCell ref="GI5:GI6"/>
    <mergeCell ref="GA5:GA6"/>
    <mergeCell ref="GB5:GB6"/>
    <mergeCell ref="GT4:GT6"/>
    <mergeCell ref="GF5:GF6"/>
    <mergeCell ref="GG5:GG6"/>
    <mergeCell ref="IZ4:IZ6"/>
    <mergeCell ref="IT4:IX5"/>
    <mergeCell ref="GX218:GX219"/>
    <mergeCell ref="GY210:HA210"/>
    <mergeCell ref="GY209:HA209"/>
    <mergeCell ref="GY211:HA211"/>
    <mergeCell ref="GY212:HA212"/>
    <mergeCell ref="GY213:HA213"/>
    <mergeCell ref="GY214:HA214"/>
    <mergeCell ref="GY215:HA215"/>
    <mergeCell ref="GY216:HA216"/>
    <mergeCell ref="GY217:HA217"/>
    <mergeCell ref="GY218:HA218"/>
    <mergeCell ref="GY219:HA219"/>
    <mergeCell ref="GX216:GX217"/>
    <mergeCell ref="HE4:HE6"/>
    <mergeCell ref="HF4:HF6"/>
    <mergeCell ref="HG4:HG6"/>
    <mergeCell ref="HI4:HI6"/>
    <mergeCell ref="HB210:HC210"/>
    <mergeCell ref="HB211:HC211"/>
    <mergeCell ref="HE210:HG210"/>
    <mergeCell ref="HE211:HG211"/>
    <mergeCell ref="GX210:GX211"/>
    <mergeCell ref="A2:W2"/>
    <mergeCell ref="X2:AK2"/>
    <mergeCell ref="AL2:BH2"/>
    <mergeCell ref="BI2:CE2"/>
    <mergeCell ref="AR3:AV3"/>
    <mergeCell ref="AW3:BB3"/>
    <mergeCell ref="BC3:BH3"/>
    <mergeCell ref="BI3:BN3"/>
    <mergeCell ref="FE4:FE5"/>
    <mergeCell ref="A3:C3"/>
    <mergeCell ref="AK4:AK5"/>
    <mergeCell ref="J3:W3"/>
    <mergeCell ref="X3:AK3"/>
    <mergeCell ref="AL3:AQ3"/>
    <mergeCell ref="AG4:AG5"/>
    <mergeCell ref="DP3:DT3"/>
    <mergeCell ref="DU4:DU5"/>
    <mergeCell ref="DV4:DV5"/>
    <mergeCell ref="EC3:EK3"/>
    <mergeCell ref="DK3:DO3"/>
    <mergeCell ref="EC4:EF4"/>
    <mergeCell ref="EX4:EX6"/>
    <mergeCell ref="DV3:EA3"/>
    <mergeCell ref="DD4:DD5"/>
    <mergeCell ref="CF2:DB2"/>
    <mergeCell ref="CL3:CP3"/>
    <mergeCell ref="CW3:DB3"/>
    <mergeCell ref="EV3:EV5"/>
    <mergeCell ref="BZ3:CE3"/>
    <mergeCell ref="BZ4:BZ5"/>
    <mergeCell ref="DX4:DX5"/>
    <mergeCell ref="DY4:DY5"/>
    <mergeCell ref="DZ4:DZ5"/>
    <mergeCell ref="EA4:EA5"/>
    <mergeCell ref="EB4:EB5"/>
    <mergeCell ref="DD2:DT2"/>
    <mergeCell ref="CQ3:CV3"/>
    <mergeCell ref="DR4:DR5"/>
    <mergeCell ref="DS4:DS5"/>
    <mergeCell ref="DT4:DT5"/>
    <mergeCell ref="DD3:DJ3"/>
    <mergeCell ref="CV4:CV5"/>
    <mergeCell ref="CW4:CW5"/>
    <mergeCell ref="CX4:CX5"/>
    <mergeCell ref="EL3:EP5"/>
    <mergeCell ref="CS4:CS5"/>
    <mergeCell ref="AO6:AO7"/>
    <mergeCell ref="DC4:DC5"/>
    <mergeCell ref="BK6:BK7"/>
    <mergeCell ref="AX4:AX5"/>
    <mergeCell ref="BW4:BW5"/>
    <mergeCell ref="AT4:AT5"/>
    <mergeCell ref="CN4:CN5"/>
    <mergeCell ref="CO4:CQ4"/>
    <mergeCell ref="CR4:CR5"/>
    <mergeCell ref="CF4:CF5"/>
    <mergeCell ref="CB4:CB5"/>
    <mergeCell ref="CH6:CH7"/>
    <mergeCell ref="CJ6:CJ7"/>
    <mergeCell ref="BM6:BM7"/>
    <mergeCell ref="BQ6:BQ7"/>
    <mergeCell ref="BW6:BW7"/>
    <mergeCell ref="CZ4:CZ5"/>
    <mergeCell ref="DA4:DA5"/>
    <mergeCell ref="DB4:DB5"/>
    <mergeCell ref="BJ6:BJ7"/>
    <mergeCell ref="BI6:BI7"/>
    <mergeCell ref="CT6:CT7"/>
    <mergeCell ref="AZ4:AZ5"/>
    <mergeCell ref="BT3:BY3"/>
    <mergeCell ref="BE4:BE5"/>
    <mergeCell ref="BF4:BF5"/>
    <mergeCell ref="BG4:BG5"/>
    <mergeCell ref="BX4:BX5"/>
    <mergeCell ref="BY4:BY5"/>
    <mergeCell ref="BO3:BS3"/>
    <mergeCell ref="CF3:CK3"/>
    <mergeCell ref="CA4:CA5"/>
    <mergeCell ref="CG4:CJ4"/>
    <mergeCell ref="CK4:CM4"/>
    <mergeCell ref="BU4:BU5"/>
    <mergeCell ref="BV4:BV5"/>
    <mergeCell ref="GV209:GW209"/>
    <mergeCell ref="AQ209:AU209"/>
    <mergeCell ref="GR4:GR6"/>
    <mergeCell ref="ED6:ED7"/>
    <mergeCell ref="GC5:GC6"/>
    <mergeCell ref="GD5:GD6"/>
    <mergeCell ref="FM5:FM6"/>
    <mergeCell ref="FN5:FN6"/>
    <mergeCell ref="GH5:GH6"/>
    <mergeCell ref="GP5:GP6"/>
    <mergeCell ref="GV208:HC208"/>
    <mergeCell ref="DS209:EH209"/>
    <mergeCell ref="AY4:AY5"/>
    <mergeCell ref="DF6:DF7"/>
    <mergeCell ref="CT4:CT5"/>
    <mergeCell ref="CU4:CU5"/>
    <mergeCell ref="FC6:FC7"/>
    <mergeCell ref="FD6:FD7"/>
    <mergeCell ref="FE6:FE7"/>
    <mergeCell ref="FB6:FB7"/>
    <mergeCell ref="A208:GU208"/>
    <mergeCell ref="A209:E219"/>
    <mergeCell ref="AA6:AA7"/>
    <mergeCell ref="AC6:AC7"/>
    <mergeCell ref="F211:G211"/>
    <mergeCell ref="J211:W211"/>
    <mergeCell ref="X211:AK211"/>
    <mergeCell ref="H209:I209"/>
    <mergeCell ref="H210:I210"/>
    <mergeCell ref="H211:I211"/>
    <mergeCell ref="AL209:AP209"/>
    <mergeCell ref="AL210:AP210"/>
    <mergeCell ref="AL211:AP211"/>
    <mergeCell ref="F210:G210"/>
    <mergeCell ref="J210:W210"/>
    <mergeCell ref="F209:G209"/>
    <mergeCell ref="J209:W209"/>
    <mergeCell ref="X209:AK209"/>
    <mergeCell ref="BN211:BR211"/>
    <mergeCell ref="BS211:BW211"/>
    <mergeCell ref="BE209:BH209"/>
    <mergeCell ref="CF209:CJ209"/>
    <mergeCell ref="CK209:CO209"/>
    <mergeCell ref="CP209:CT209"/>
    <mergeCell ref="CF210:CJ210"/>
    <mergeCell ref="CK210:CO210"/>
    <mergeCell ref="CP210:CT210"/>
    <mergeCell ref="CF211:CJ211"/>
    <mergeCell ref="CK211:CO211"/>
    <mergeCell ref="CP211:CT211"/>
    <mergeCell ref="BI211:BM211"/>
    <mergeCell ref="AQ210:AU210"/>
    <mergeCell ref="AL217:AP217"/>
    <mergeCell ref="AL218:AP218"/>
    <mergeCell ref="AL219:AP219"/>
    <mergeCell ref="AQ214:AU214"/>
    <mergeCell ref="AQ215:AU215"/>
    <mergeCell ref="AQ216:AU216"/>
    <mergeCell ref="AQ217:AU217"/>
    <mergeCell ref="AQ218:AU218"/>
    <mergeCell ref="AQ219:AU219"/>
    <mergeCell ref="AL214:AP214"/>
    <mergeCell ref="AL215:AP215"/>
    <mergeCell ref="AL216:AP216"/>
    <mergeCell ref="AQ211:AU211"/>
    <mergeCell ref="AV210:AZ210"/>
    <mergeCell ref="X210:AK210"/>
    <mergeCell ref="DW4:DW5"/>
    <mergeCell ref="CY4:CY5"/>
    <mergeCell ref="BI209:BM209"/>
    <mergeCell ref="BN209:BR209"/>
    <mergeCell ref="BS209:BW209"/>
    <mergeCell ref="BI210:BM210"/>
    <mergeCell ref="BN210:BR210"/>
    <mergeCell ref="BS210:BW210"/>
    <mergeCell ref="DS210:EH210"/>
    <mergeCell ref="CY209:DB209"/>
    <mergeCell ref="DN209:DR209"/>
    <mergeCell ref="CB209:CE209"/>
    <mergeCell ref="AV209:AZ209"/>
    <mergeCell ref="DN210:DR210"/>
    <mergeCell ref="BA4:BA5"/>
    <mergeCell ref="CF6:CF7"/>
    <mergeCell ref="CG6:CG7"/>
    <mergeCell ref="CN6:CN7"/>
    <mergeCell ref="BL6:BL7"/>
    <mergeCell ref="CI6:CI7"/>
    <mergeCell ref="AT6:AT7"/>
    <mergeCell ref="AU4:AW4"/>
    <mergeCell ref="DE6:DE7"/>
    <mergeCell ref="DH6:DH7"/>
    <mergeCell ref="DL6:DL7"/>
    <mergeCell ref="DI4:DK4"/>
    <mergeCell ref="DL4:DL5"/>
    <mergeCell ref="DM4:DP4"/>
    <mergeCell ref="DQ4:DQ5"/>
    <mergeCell ref="DG6:DG7"/>
    <mergeCell ref="DT6:DT7"/>
    <mergeCell ref="DE4:DH4"/>
    <mergeCell ref="F219:G219"/>
    <mergeCell ref="H217:I217"/>
    <mergeCell ref="F215:G215"/>
    <mergeCell ref="J215:W215"/>
    <mergeCell ref="X215:AK215"/>
    <mergeCell ref="F216:G216"/>
    <mergeCell ref="J216:W216"/>
    <mergeCell ref="X216:AK216"/>
    <mergeCell ref="H218:I218"/>
    <mergeCell ref="J219:W219"/>
    <mergeCell ref="X219:AK219"/>
    <mergeCell ref="F218:G218"/>
    <mergeCell ref="H219:I219"/>
    <mergeCell ref="J218:W218"/>
    <mergeCell ref="X218:AK218"/>
    <mergeCell ref="F214:G214"/>
    <mergeCell ref="J214:W214"/>
    <mergeCell ref="CF217:CJ217"/>
    <mergeCell ref="CK217:CO217"/>
    <mergeCell ref="X214:AK214"/>
    <mergeCell ref="F217:G217"/>
    <mergeCell ref="J217:W217"/>
    <mergeCell ref="P212:Q212"/>
    <mergeCell ref="P213:Q213"/>
    <mergeCell ref="Z212:AA212"/>
    <mergeCell ref="F212:G212"/>
    <mergeCell ref="AB212:AC212"/>
    <mergeCell ref="AD212:AE212"/>
    <mergeCell ref="Z213:AA213"/>
    <mergeCell ref="AB213:AC213"/>
    <mergeCell ref="AD213:AE213"/>
    <mergeCell ref="X213:Y213"/>
    <mergeCell ref="L212:M212"/>
    <mergeCell ref="L213:M213"/>
    <mergeCell ref="N212:O212"/>
    <mergeCell ref="N213:O213"/>
    <mergeCell ref="F213:G213"/>
    <mergeCell ref="AF213:AK213"/>
    <mergeCell ref="AF212:AK212"/>
    <mergeCell ref="A4:A7"/>
    <mergeCell ref="B4:B7"/>
    <mergeCell ref="C4:C7"/>
    <mergeCell ref="D4:D7"/>
    <mergeCell ref="E4:E7"/>
    <mergeCell ref="F4:F7"/>
    <mergeCell ref="G4:G7"/>
    <mergeCell ref="H4:H7"/>
    <mergeCell ref="I4:I7"/>
    <mergeCell ref="JA4:JA6"/>
    <mergeCell ref="HB209:HC209"/>
    <mergeCell ref="ES3:ES5"/>
    <mergeCell ref="ET3:ET5"/>
    <mergeCell ref="EU3:EU5"/>
    <mergeCell ref="EG4:EG5"/>
    <mergeCell ref="EH4:EH5"/>
    <mergeCell ref="EI4:EI5"/>
    <mergeCell ref="EJ4:EJ5"/>
    <mergeCell ref="EK4:EK5"/>
    <mergeCell ref="FK5:FK6"/>
    <mergeCell ref="FG2:FI3"/>
    <mergeCell ref="ER3:ER5"/>
    <mergeCell ref="FW5:FW6"/>
    <mergeCell ref="HH4:HH6"/>
    <mergeCell ref="EY3:FF3"/>
    <mergeCell ref="EW3:EW5"/>
    <mergeCell ref="GZ4:GZ5"/>
    <mergeCell ref="HA4:HA5"/>
    <mergeCell ref="FX4:GC4"/>
    <mergeCell ref="GL5:GL6"/>
    <mergeCell ref="GM5:GM6"/>
    <mergeCell ref="GN5:GN6"/>
    <mergeCell ref="GO5:GO6"/>
    <mergeCell ref="GQ5:GQ6"/>
    <mergeCell ref="FR5:FR6"/>
    <mergeCell ref="FS5:FS6"/>
    <mergeCell ref="EY209:FD209"/>
    <mergeCell ref="EY210:FD210"/>
    <mergeCell ref="EY211:FD211"/>
    <mergeCell ref="FE209:FF219"/>
    <mergeCell ref="EY214:FD214"/>
    <mergeCell ref="EY215:FD215"/>
    <mergeCell ref="EY216:FD216"/>
    <mergeCell ref="EY217:FD217"/>
    <mergeCell ref="EY218:FD218"/>
    <mergeCell ref="EY219:FD219"/>
    <mergeCell ref="EY6:EY7"/>
    <mergeCell ref="EZ6:EZ7"/>
    <mergeCell ref="GK5:GK6"/>
    <mergeCell ref="GJ5:GJ6"/>
    <mergeCell ref="FF6:FF7"/>
    <mergeCell ref="FO5:FO6"/>
    <mergeCell ref="DD6:DD7"/>
    <mergeCell ref="BN216:BR216"/>
    <mergeCell ref="BS216:BW216"/>
    <mergeCell ref="BI217:BM217"/>
    <mergeCell ref="BN217:BR217"/>
    <mergeCell ref="EF6:EF7"/>
    <mergeCell ref="H214:I214"/>
    <mergeCell ref="FX5:FX6"/>
    <mergeCell ref="X217:AK217"/>
    <mergeCell ref="H215:I215"/>
    <mergeCell ref="H216:I216"/>
    <mergeCell ref="CP217:CT217"/>
    <mergeCell ref="H213:I213"/>
    <mergeCell ref="J213:K213"/>
    <mergeCell ref="J212:K212"/>
    <mergeCell ref="R212:S212"/>
    <mergeCell ref="R213:S213"/>
    <mergeCell ref="T212:U212"/>
    <mergeCell ref="T213:U213"/>
    <mergeCell ref="AV214:AZ214"/>
    <mergeCell ref="AV215:AZ215"/>
    <mergeCell ref="AV211:AZ211"/>
    <mergeCell ref="X212:Y212"/>
    <mergeCell ref="EC6:EC7"/>
    <mergeCell ref="H212:I212"/>
    <mergeCell ref="AV216:AZ216"/>
    <mergeCell ref="AV217:AZ217"/>
    <mergeCell ref="AV218:AZ218"/>
    <mergeCell ref="AV219:AZ219"/>
    <mergeCell ref="HB215:HC215"/>
    <mergeCell ref="HB216:HC216"/>
    <mergeCell ref="HB217:HC217"/>
    <mergeCell ref="GV216:GW217"/>
    <mergeCell ref="DS216:EH216"/>
    <mergeCell ref="DS217:EH217"/>
    <mergeCell ref="DS219:EH219"/>
    <mergeCell ref="GV218:GW219"/>
    <mergeCell ref="DI218:DM218"/>
    <mergeCell ref="DD219:DH219"/>
    <mergeCell ref="BI218:BM218"/>
    <mergeCell ref="BN218:BR218"/>
    <mergeCell ref="BS218:BW218"/>
    <mergeCell ref="BI219:BM219"/>
    <mergeCell ref="BN219:BR219"/>
    <mergeCell ref="BS219:BW219"/>
    <mergeCell ref="BI214:BM214"/>
    <mergeCell ref="BN214:BR214"/>
    <mergeCell ref="BS214:BW214"/>
    <mergeCell ref="BI215:BM215"/>
    <mergeCell ref="BN215:BR215"/>
    <mergeCell ref="BS215:BW215"/>
    <mergeCell ref="BI216:BM216"/>
    <mergeCell ref="DI216:DM216"/>
    <mergeCell ref="DD217:DH217"/>
    <mergeCell ref="CF216:CJ216"/>
    <mergeCell ref="BS217:BW217"/>
    <mergeCell ref="CF215:CJ215"/>
    <mergeCell ref="CK215:CO215"/>
    <mergeCell ref="CK216:CO216"/>
    <mergeCell ref="CP216:CT216"/>
    <mergeCell ref="CF214:CJ214"/>
    <mergeCell ref="CK214:CO214"/>
    <mergeCell ref="CP214:CT214"/>
    <mergeCell ref="DI217:DM217"/>
    <mergeCell ref="CP215:CT215"/>
    <mergeCell ref="GX212:GX213"/>
    <mergeCell ref="GV210:GW211"/>
    <mergeCell ref="CP218:CT218"/>
    <mergeCell ref="CF219:CJ219"/>
    <mergeCell ref="CK219:CO219"/>
    <mergeCell ref="CP219:CT219"/>
    <mergeCell ref="DD216:DH216"/>
    <mergeCell ref="DS218:EH218"/>
    <mergeCell ref="DD218:DH218"/>
    <mergeCell ref="DI219:DM219"/>
    <mergeCell ref="CF218:CJ218"/>
    <mergeCell ref="CK218:CO218"/>
    <mergeCell ref="DS211:EH211"/>
    <mergeCell ref="DN211:DR211"/>
    <mergeCell ref="DD209:DH209"/>
    <mergeCell ref="DI209:DM209"/>
    <mergeCell ref="DD210:DH210"/>
    <mergeCell ref="DI210:DM210"/>
    <mergeCell ref="DD211:DH211"/>
    <mergeCell ref="DI211:DM211"/>
    <mergeCell ref="DD214:DH214"/>
    <mergeCell ref="DI214:DM214"/>
    <mergeCell ref="DD215:DH215"/>
    <mergeCell ref="DI215:DM215"/>
  </mergeCells>
  <conditionalFormatting sqref="HJ58:HJ208 HJ25:HJ37 HC223:HJ223 FJ223:GY223 FJ231:HJ65612 GY8:GY207 CJ231:EX65612 CG231:CI231 CG233:CI65612 BN231:CF65612 BJ231:BM231 BJ233:BM65612 AV231:BI65612 AP233:AU65612 AP223:EX223 AP231:AU231 Y223:Z223 Y238:AO65612 J254:X65612 A231:D65612 H231:I65612 EX8:EX207 HH8:HH207">
    <cfRule type="containsText" dxfId="233" priority="119" stopIfTrue="1" operator="containsText" text="G1">
      <formula>NOT(ISERROR(SEARCH("G1",A8)))</formula>
    </cfRule>
    <cfRule type="containsText" dxfId="232" priority="120" stopIfTrue="1" operator="containsText" text="G2">
      <formula>NOT(ISERROR(SEARCH("G2",A8)))</formula>
    </cfRule>
    <cfRule type="containsText" dxfId="231" priority="121" stopIfTrue="1" operator="containsText" text="G1">
      <formula>NOT(ISERROR(SEARCH("G1",A8)))</formula>
    </cfRule>
    <cfRule type="containsText" dxfId="230" priority="122" stopIfTrue="1" operator="containsText" text="S">
      <formula>NOT(ISERROR(SEARCH("S",A8)))</formula>
    </cfRule>
    <cfRule type="containsText" dxfId="229" priority="123" stopIfTrue="1" operator="containsText" text="F">
      <formula>NOT(ISERROR(SEARCH("F",A8)))</formula>
    </cfRule>
  </conditionalFormatting>
  <conditionalFormatting sqref="HJ58:HJ208 HJ25:HJ37 GY8:GY207 ER8:EX207 HH8:HH207">
    <cfRule type="containsText" dxfId="228" priority="115" stopIfTrue="1" operator="containsText" text="RA">
      <formula>NOT(ISERROR(SEARCH("RA",ER8)))</formula>
    </cfRule>
    <cfRule type="containsText" dxfId="227" priority="116" stopIfTrue="1" operator="containsText" text="ML">
      <formula>NOT(ISERROR(SEARCH("ML",ER8)))</formula>
    </cfRule>
    <cfRule type="containsText" dxfId="226" priority="117" stopIfTrue="1" operator="containsText" text="ML">
      <formula>NOT(ISERROR(SEARCH("ML",ER8)))</formula>
    </cfRule>
  </conditionalFormatting>
  <conditionalFormatting sqref="HJ58:HJ208 HJ25:HJ37 GY8:GY207 ER8:EX207 HH8:HH207">
    <cfRule type="containsText" dxfId="225" priority="114" stopIfTrue="1" operator="containsText" text="S">
      <formula>NOT(ISERROR(SEARCH("S",ER8)))</formula>
    </cfRule>
  </conditionalFormatting>
  <conditionalFormatting sqref="GY8:GY207 EX8:EX207 HH8:HH207">
    <cfRule type="containsText" dxfId="224" priority="113" stopIfTrue="1" operator="containsText" text="G1">
      <formula>NOT(ISERROR(SEARCH("G1",EX8)))</formula>
    </cfRule>
  </conditionalFormatting>
  <conditionalFormatting sqref="GY8:GY207 EX8:EX207 EK6:EK207 HH8:HH207">
    <cfRule type="containsText" dxfId="223" priority="112" stopIfTrue="1" operator="containsText" text="NA">
      <formula>NOT(ISERROR(SEARCH("NA",EK6)))</formula>
    </cfRule>
  </conditionalFormatting>
  <conditionalFormatting sqref="GY8:GY207 EX8:EX207 HH8:HH207">
    <cfRule type="containsText" dxfId="222" priority="111" operator="containsText" text="D">
      <formula>NOT(ISERROR(SEARCH("D",EX8)))</formula>
    </cfRule>
  </conditionalFormatting>
  <conditionalFormatting sqref="GY8:GY207 EX8:EX207 HH8:HH207">
    <cfRule type="cellIs" dxfId="221" priority="109" stopIfTrue="1" operator="equal">
      <formula>0</formula>
    </cfRule>
    <cfRule type="cellIs" dxfId="220" priority="110" stopIfTrue="1" operator="equal">
      <formula>0</formula>
    </cfRule>
  </conditionalFormatting>
  <conditionalFormatting sqref="GY8:GY207 ER8:EX207 HH8:HH207">
    <cfRule type="containsText" dxfId="219" priority="105" stopIfTrue="1" operator="containsText" text="G2">
      <formula>NOT(ISERROR(SEARCH("G2",ER8)))</formula>
    </cfRule>
    <cfRule type="containsText" dxfId="218" priority="106" stopIfTrue="1" operator="containsText" text="G1">
      <formula>NOT(ISERROR(SEARCH("G1",ER8)))</formula>
    </cfRule>
    <cfRule type="containsText" dxfId="217" priority="107" stopIfTrue="1" operator="containsText" text="S">
      <formula>NOT(ISERROR(SEARCH("S",ER8)))</formula>
    </cfRule>
    <cfRule type="containsText" dxfId="216" priority="108" stopIfTrue="1" operator="containsText" text="F">
      <formula>NOT(ISERROR(SEARCH("F",ER8)))</formula>
    </cfRule>
  </conditionalFormatting>
  <conditionalFormatting sqref="GY8:GY207 EX8:EX207 HH8:HH207">
    <cfRule type="containsText" dxfId="215" priority="104" stopIfTrue="1" operator="containsText" text="NA">
      <formula>NOT(ISERROR(SEARCH("NA",EX8)))</formula>
    </cfRule>
  </conditionalFormatting>
  <conditionalFormatting sqref="GY8:GY207 EX8:EX207 HH8:HH207">
    <cfRule type="containsText" dxfId="214" priority="102" stopIfTrue="1" operator="containsText" text="NA">
      <formula>NOT(ISERROR(SEARCH("NA",EX8)))</formula>
    </cfRule>
    <cfRule type="containsText" dxfId="213" priority="103" stopIfTrue="1" operator="containsText" text="ML">
      <formula>NOT(ISERROR(SEARCH("ML",EX8)))</formula>
    </cfRule>
  </conditionalFormatting>
  <conditionalFormatting sqref="GY8:GY207 EX8:EX207 HH8:HH207">
    <cfRule type="containsText" dxfId="212" priority="100" stopIfTrue="1" operator="containsText" text="vuqRrh.kZ">
      <formula>NOT(ISERROR(SEARCH("vuqRrh.kZ",EX8)))</formula>
    </cfRule>
    <cfRule type="containsText" dxfId="211" priority="101" stopIfTrue="1" operator="containsText" text="lk- mRrh.kZ">
      <formula>NOT(ISERROR(SEARCH("lk- mRrh.kZ",EX8)))</formula>
    </cfRule>
  </conditionalFormatting>
  <conditionalFormatting sqref="GY8:GY207 EX8:EX207 HH8:HH207">
    <cfRule type="containsText" dxfId="210" priority="99" stopIfTrue="1" operator="containsText" text="iwjd">
      <formula>NOT(ISERROR(SEARCH("iwjd",EX8)))</formula>
    </cfRule>
  </conditionalFormatting>
  <conditionalFormatting sqref="J6:L7 X6:Z7 AM6:AO7 BJ6:BL7 CG6:CI7 EC6:EE7 DE6:DG7">
    <cfRule type="cellIs" dxfId="209" priority="97" stopIfTrue="1" operator="equal">
      <formula>0</formula>
    </cfRule>
  </conditionalFormatting>
  <conditionalFormatting sqref="GY8:GY207">
    <cfRule type="expression" dxfId="208" priority="12" stopIfTrue="1">
      <formula>$GY8="SUPPLEMENTARY"</formula>
    </cfRule>
    <cfRule type="expression" dxfId="207" priority="13" stopIfTrue="1">
      <formula>GY8="NSO"</formula>
    </cfRule>
    <cfRule type="containsText" dxfId="206" priority="90" stopIfTrue="1" operator="containsText" text="iwjd">
      <formula>NOT(ISERROR(SEARCH("iwjd",GY8)))</formula>
    </cfRule>
    <cfRule type="containsText" dxfId="205" priority="91" stopIfTrue="1" operator="containsText" text="vuRrh.kZ">
      <formula>NOT(ISERROR(SEARCH("vuRrh.kZ",GY8)))</formula>
    </cfRule>
    <cfRule type="containsText" dxfId="204" priority="92" stopIfTrue="1" operator="containsText" text="mRrh.kZ">
      <formula>NOT(ISERROR(SEARCH("mRrh.kZ",GY8)))</formula>
    </cfRule>
  </conditionalFormatting>
  <conditionalFormatting sqref="GY8:GY207 HH8:HH207">
    <cfRule type="containsText" dxfId="203" priority="89" stopIfTrue="1" operator="containsText" text="iu% ijh{kk">
      <formula>NOT(ISERROR(SEARCH("iu% ijh{kk",GY8)))</formula>
    </cfRule>
  </conditionalFormatting>
  <conditionalFormatting sqref="GY8:GY207 HH8:HH207">
    <cfRule type="containsText" dxfId="202" priority="88" stopIfTrue="1" operator="containsText" text="iqu% ijh{kk">
      <formula>NOT(ISERROR(SEARCH("iqu% ijh{kk",GY8)))</formula>
    </cfRule>
  </conditionalFormatting>
  <conditionalFormatting sqref="FQ8:FV207 FX8:GC207 GE8:GJ207 FJ8:FO207 GL8:GS207">
    <cfRule type="containsText" dxfId="201" priority="86" stopIfTrue="1" operator="containsText" text="S">
      <formula>NOT(ISERROR(SEARCH("S",FJ8)))</formula>
    </cfRule>
  </conditionalFormatting>
  <conditionalFormatting sqref="DT6:DT7 BW6:BW7 AZ6:AZ7 Q6:Q7 AE6:AE7 CT6:CT7">
    <cfRule type="cellIs" dxfId="200" priority="85" stopIfTrue="1" operator="between">
      <formula>1</formula>
      <formula>71</formula>
    </cfRule>
  </conditionalFormatting>
  <conditionalFormatting sqref="FQ8:FV207 FX8:GC207 GE8:GJ207 FJ8:FO207 GL8:GS207">
    <cfRule type="containsText" dxfId="199" priority="82" stopIfTrue="1" operator="containsText" text="G">
      <formula>NOT(ISERROR(SEARCH("G",FJ8)))</formula>
    </cfRule>
    <cfRule type="containsText" dxfId="198" priority="83" stopIfTrue="1" operator="containsText" text="S">
      <formula>NOT(ISERROR(SEARCH("S",FJ8)))</formula>
    </cfRule>
    <cfRule type="containsText" dxfId="197" priority="84" stopIfTrue="1" operator="containsText" text="D">
      <formula>NOT(ISERROR(SEARCH("D",FJ8)))</formula>
    </cfRule>
  </conditionalFormatting>
  <conditionalFormatting sqref="AY8:AY207 BV8:BV207 CS8:CS207">
    <cfRule type="cellIs" dxfId="196" priority="81" stopIfTrue="1" operator="between">
      <formula>1</formula>
      <formula>17</formula>
    </cfRule>
  </conditionalFormatting>
  <conditionalFormatting sqref="FQ8:FV207 FX8:GC207 GE8:GJ207 GL8:GQ207">
    <cfRule type="containsText" dxfId="195" priority="80" operator="containsText" text="AB">
      <formula>NOT(ISERROR(SEARCH("AB",FQ8)))</formula>
    </cfRule>
  </conditionalFormatting>
  <conditionalFormatting sqref="FQ8:FV207 FX8:GC207 GE8:GJ207 GL8:GQ207">
    <cfRule type="containsText" dxfId="194" priority="79" operator="containsText" text="F">
      <formula>NOT(ISERROR(SEARCH("F",FQ8)))</formula>
    </cfRule>
  </conditionalFormatting>
  <conditionalFormatting sqref="GX210 GX218 GX212 GX214 GX216 HB210 HI211:HI213 HH210:HI210 HD210 EL210:EX210 BE210:BH210 CB210:CE210 CY210:DC210 GV210">
    <cfRule type="containsText" dxfId="193" priority="76" operator="containsText" text="jk">
      <formula>NOT(ISERROR(SEARCH("jk",BE210)))</formula>
    </cfRule>
    <cfRule type="containsText" dxfId="192" priority="77" operator="containsText" text="fo">
      <formula>NOT(ISERROR(SEARCH("fo",BE210)))</formula>
    </cfRule>
    <cfRule type="containsText" dxfId="191" priority="78" operator="containsText" text="f'k">
      <formula>NOT(ISERROR(SEARCH("f'k",BE210)))</formula>
    </cfRule>
  </conditionalFormatting>
  <conditionalFormatting sqref="HD8:HD207">
    <cfRule type="cellIs" dxfId="190" priority="75" stopIfTrue="1" operator="greaterThan">
      <formula>0</formula>
    </cfRule>
  </conditionalFormatting>
  <conditionalFormatting sqref="IK4 IT4 IY4:JA4">
    <cfRule type="expression" dxfId="189" priority="55">
      <formula>ISERROR(IK4)</formula>
    </cfRule>
  </conditionalFormatting>
  <conditionalFormatting sqref="HH8:HH207">
    <cfRule type="containsText" dxfId="188" priority="19" stopIfTrue="1" operator="containsText" text="iwjd">
      <formula>NOT(ISERROR(SEARCH("iwjd",HH8)))</formula>
    </cfRule>
    <cfRule type="containsText" dxfId="187" priority="20" stopIfTrue="1" operator="containsText" text="vuRrh.kZ">
      <formula>NOT(ISERROR(SEARCH("vuRrh.kZ",HH8)))</formula>
    </cfRule>
    <cfRule type="containsText" dxfId="186" priority="21" stopIfTrue="1" operator="containsText" text="mRrh.kZ">
      <formula>NOT(ISERROR(SEARCH("mRrh.kZ",HH8)))</formula>
    </cfRule>
  </conditionalFormatting>
  <conditionalFormatting sqref="AZ8:AZ207 BW9">
    <cfRule type="cellIs" dxfId="185" priority="11" stopIfTrue="1" operator="between">
      <formula>1</formula>
      <formula>71</formula>
    </cfRule>
  </conditionalFormatting>
  <conditionalFormatting sqref="AX8:AX207">
    <cfRule type="expression" dxfId="184" priority="10">
      <formula>$BE8*36%&gt;AX8</formula>
    </cfRule>
  </conditionalFormatting>
  <conditionalFormatting sqref="BU8:BU207">
    <cfRule type="expression" dxfId="183" priority="9">
      <formula>$BE8*36%&gt;BU8</formula>
    </cfRule>
  </conditionalFormatting>
  <conditionalFormatting sqref="CR8:CR207">
    <cfRule type="expression" dxfId="182" priority="6">
      <formula>$BE8*36%&gt;CR8</formula>
    </cfRule>
  </conditionalFormatting>
  <conditionalFormatting sqref="HD8:HD207">
    <cfRule type="top10" dxfId="181" priority="4"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BP221"/>
  <sheetViews>
    <sheetView showGridLines="0" view="pageBreakPreview" topLeftCell="A2" zoomScaleSheetLayoutView="100" workbookViewId="0">
      <selection activeCell="H25" sqref="H25"/>
    </sheetView>
  </sheetViews>
  <sheetFormatPr defaultRowHeight="15"/>
  <cols>
    <col min="1" max="1" width="4.125" style="17" customWidth="1"/>
    <col min="2" max="2" width="7.25" style="17" customWidth="1"/>
    <col min="3" max="3" width="3.875" style="17" customWidth="1"/>
    <col min="4" max="4" width="7.875" style="17" customWidth="1"/>
    <col min="5" max="5" width="10.875" style="17" customWidth="1"/>
    <col min="6" max="6" width="18.25" style="17" customWidth="1"/>
    <col min="7" max="7" width="18.75" style="17" customWidth="1"/>
    <col min="8" max="8" width="16.75" style="17" customWidth="1"/>
    <col min="9" max="9" width="6.625" style="17" customWidth="1"/>
    <col min="10" max="10" width="5.375" style="17" customWidth="1"/>
    <col min="11" max="11" width="15.875" style="17" customWidth="1"/>
    <col min="12" max="13" width="5.375" style="17" customWidth="1"/>
    <col min="14" max="23" width="4.625" style="17" customWidth="1"/>
    <col min="24" max="29" width="4.625" style="17" hidden="1" customWidth="1"/>
    <col min="30" max="32" width="4.625" style="17" customWidth="1"/>
    <col min="33" max="33" width="12.75" style="17" bestFit="1" customWidth="1"/>
    <col min="34" max="45" width="9" style="17"/>
    <col min="46" max="47" width="9" style="17" hidden="1" customWidth="1"/>
    <col min="48" max="50" width="0" style="17" hidden="1" customWidth="1"/>
    <col min="51" max="64" width="9" style="17"/>
    <col min="65" max="68" width="0" style="17" hidden="1" customWidth="1"/>
    <col min="69" max="16384" width="9" style="17"/>
  </cols>
  <sheetData>
    <row r="1" spans="1:68" ht="28.5" customHeight="1">
      <c r="A1" s="1290" t="str">
        <f>IF('Master Sheet'!D11="Hindi",CONCATENATE("विद्यालय का नाम :-","  ",'Master Sheet'!D8),CONCATENATE("School Name :-","  ",'Master Sheet'!D7))</f>
        <v xml:space="preserve">विद्यालय का नाम :-  महात्मा गाँधी राजकीय विद्यालय (अंग्रेजी माध्यम) बर, पाली </v>
      </c>
      <c r="B1" s="1290"/>
      <c r="C1" s="1290"/>
      <c r="D1" s="1290"/>
      <c r="E1" s="1290"/>
      <c r="F1" s="1290"/>
      <c r="G1" s="1290"/>
      <c r="H1" s="1290"/>
      <c r="I1" s="1290"/>
      <c r="J1" s="1290"/>
      <c r="K1" s="1290"/>
      <c r="L1" s="1290"/>
      <c r="M1" s="1290"/>
      <c r="N1" s="1290"/>
      <c r="O1" s="1290"/>
      <c r="P1" s="1290"/>
      <c r="Q1" s="1290"/>
      <c r="R1" s="1290"/>
      <c r="S1" s="1290"/>
      <c r="T1" s="1290"/>
      <c r="U1" s="1290"/>
      <c r="V1" s="1290"/>
      <c r="W1" s="1290"/>
      <c r="X1" s="1290"/>
      <c r="Y1" s="1290"/>
      <c r="Z1" s="1290"/>
      <c r="AA1" s="1290"/>
      <c r="AB1" s="1290"/>
      <c r="AC1" s="1290"/>
      <c r="AD1" s="1290"/>
      <c r="AE1" s="1290"/>
      <c r="AF1" s="1290"/>
      <c r="AG1" s="1290"/>
    </row>
    <row r="2" spans="1:68" ht="26.25" customHeight="1">
      <c r="A2" s="1291" t="s">
        <v>299</v>
      </c>
      <c r="B2" s="1291"/>
      <c r="C2" s="1291"/>
      <c r="D2" s="1291"/>
      <c r="E2" s="1291"/>
      <c r="F2" s="1291"/>
      <c r="G2" s="1291"/>
      <c r="H2" s="1291"/>
      <c r="I2" s="1291"/>
      <c r="J2" s="1291"/>
      <c r="K2" s="1291"/>
      <c r="L2" s="1291"/>
      <c r="M2" s="1291"/>
      <c r="N2" s="1291"/>
      <c r="O2" s="1291"/>
      <c r="P2" s="1291"/>
      <c r="Q2" s="1291"/>
      <c r="R2" s="1291"/>
      <c r="S2" s="1291"/>
      <c r="T2" s="1291"/>
      <c r="U2" s="1291"/>
      <c r="V2" s="1291"/>
      <c r="W2" s="1291"/>
      <c r="X2" s="1291"/>
      <c r="Y2" s="1291"/>
      <c r="Z2" s="1291"/>
      <c r="AA2" s="1291"/>
      <c r="AB2" s="1291"/>
      <c r="AC2" s="1291"/>
      <c r="AD2" s="1291"/>
      <c r="AE2" s="1291"/>
      <c r="AF2" s="1291"/>
      <c r="AG2" s="1291"/>
    </row>
    <row r="3" spans="1:68" ht="24" customHeight="1">
      <c r="A3" s="824"/>
      <c r="B3" s="1292" t="str">
        <f>IF('Master Sheet'!D11="Hindi","कक्षा  :-","CLASS :- ")</f>
        <v>कक्षा  :-</v>
      </c>
      <c r="C3" s="1292"/>
      <c r="D3" s="1292"/>
      <c r="E3" s="789">
        <f>IF('Statement of Marks'!D3="","",'Statement of Marks'!D3)</f>
        <v>11</v>
      </c>
      <c r="F3" s="821" t="str">
        <f>IF('Marks Entry'!G3="","",'Marks Entry'!G3)</f>
        <v>संकाय :-</v>
      </c>
      <c r="G3" s="822" t="str">
        <f>IF('Marks Entry'!H3="","",'Marks Entry'!H3)</f>
        <v>Arts</v>
      </c>
      <c r="H3" s="821" t="str">
        <f>IF('Master Sheet'!D11="Hindi","सत्र :- ","Session :- ")</f>
        <v xml:space="preserve">सत्र :- </v>
      </c>
      <c r="I3" s="1296" t="str">
        <f>IF('Marks Entry'!H1="","",'Marks Entry'!H1)</f>
        <v>2025-2026</v>
      </c>
      <c r="J3" s="1296"/>
      <c r="K3" s="1296"/>
      <c r="L3" s="1296"/>
      <c r="M3" s="1292" t="str">
        <f>IF('Master Sheet'!$D$11="Hindi","विषय :-","Subject :-")</f>
        <v>विषय :-</v>
      </c>
      <c r="N3" s="1292"/>
      <c r="O3" s="1292"/>
      <c r="P3" s="1297" t="s">
        <v>215</v>
      </c>
      <c r="Q3" s="1297"/>
      <c r="R3" s="1297"/>
      <c r="S3" s="1297"/>
      <c r="T3" s="1297"/>
      <c r="U3" s="1297"/>
      <c r="V3" s="1297"/>
      <c r="W3" s="1297"/>
      <c r="X3" s="1297"/>
      <c r="Y3" s="1297"/>
      <c r="Z3" s="1297"/>
      <c r="AA3" s="1297"/>
      <c r="AB3" s="1297"/>
      <c r="AC3" s="1297"/>
      <c r="AD3" s="1297"/>
      <c r="AE3" s="1297"/>
      <c r="AF3" s="1297"/>
      <c r="AG3" s="1297"/>
    </row>
    <row r="4" spans="1:68" ht="11.25" customHeight="1">
      <c r="A4" s="824"/>
      <c r="B4" s="790"/>
      <c r="C4" s="790"/>
      <c r="D4" s="790"/>
      <c r="E4" s="824"/>
      <c r="F4" s="824"/>
      <c r="G4" s="791"/>
      <c r="H4" s="822"/>
      <c r="I4" s="824"/>
      <c r="J4" s="821"/>
      <c r="K4" s="821"/>
      <c r="L4" s="821"/>
      <c r="M4" s="821"/>
      <c r="N4" s="821"/>
      <c r="O4" s="821"/>
      <c r="P4" s="821"/>
      <c r="Q4" s="821"/>
      <c r="R4" s="821"/>
      <c r="S4" s="792"/>
      <c r="T4" s="792"/>
      <c r="U4" s="792"/>
      <c r="V4" s="792"/>
      <c r="W4" s="792"/>
      <c r="X4" s="792"/>
      <c r="Y4" s="792"/>
      <c r="Z4" s="792"/>
      <c r="AA4" s="792"/>
      <c r="AB4" s="792"/>
      <c r="AC4" s="792"/>
      <c r="AD4" s="792"/>
      <c r="AE4" s="792"/>
      <c r="AF4" s="792"/>
      <c r="AG4" s="792"/>
    </row>
    <row r="5" spans="1:68" ht="20.25" customHeight="1">
      <c r="A5" s="1293" t="str">
        <f>IF('Master Sheet'!D11="Hindi","क्र. स.","Sr. No. ")</f>
        <v>क्र. स.</v>
      </c>
      <c r="B5" s="1293" t="str">
        <f>IF('Master Sheet'!D11="Hindi","नामांक","Roll No.")</f>
        <v>नामांक</v>
      </c>
      <c r="C5" s="1293" t="str">
        <f>IF('Master Sheet'!D11="Hindi","वर्ग","Section")</f>
        <v>वर्ग</v>
      </c>
      <c r="D5" s="1293" t="str">
        <f>IF('Master Sheet'!D11="Hindi","प्रवेशांक","SR. NO.")</f>
        <v>प्रवेशांक</v>
      </c>
      <c r="E5" s="1298" t="str">
        <f>IF('Master Sheet'!D11="Hindi","जन्म दिनांक","Date of Birth")</f>
        <v>जन्म दिनांक</v>
      </c>
      <c r="F5" s="1298" t="str">
        <f>IF('Master Sheet'!D11="Hindi","विद्यार्थी का नाम","Student's Name")</f>
        <v>विद्यार्थी का नाम</v>
      </c>
      <c r="G5" s="1298" t="str">
        <f>IF('Master Sheet'!D11="Hindi","पिता का नाम","Father's Name")</f>
        <v>पिता का नाम</v>
      </c>
      <c r="H5" s="1298" t="str">
        <f>IF('Master Sheet'!D11="Hindi","माता का नाम ","Mother's Name")</f>
        <v xml:space="preserve">माता का नाम </v>
      </c>
      <c r="I5" s="1314" t="str">
        <f>IF('Master Sheet'!D11="Hindi","वर्ग  ","Category")</f>
        <v xml:space="preserve">वर्ग  </v>
      </c>
      <c r="J5" s="1314" t="str">
        <f>IF('Master Sheet'!D11="Hindi","लिंग ","Gender")</f>
        <v xml:space="preserve">लिंग </v>
      </c>
      <c r="K5" s="1298" t="str">
        <f>IF('Master Sheet'!D11="Hindi","वैकल्पिक विषय","Optional Subject")</f>
        <v>वैकल्पिक विषय</v>
      </c>
      <c r="L5" s="1312" t="str">
        <f>IF(OR($P$3=$AT$14,$P$3=$AT$14),"",IF('Master Sheet'!D11="Hindi","सामयिक परख","Seasonal Exam"))</f>
        <v>सामयिक परख</v>
      </c>
      <c r="M5" s="1312"/>
      <c r="N5" s="1312"/>
      <c r="O5" s="1313"/>
      <c r="P5" s="1289" t="str">
        <f>IF(OR($P$3=$AT$14,$P$3=$AT$14),IF('Master Sheet'!D11="Hindi","अनिवार्य प्रवृति","Compulsory Tendency"),IF('Master Sheet'!D11="Hindi","अर्द्धवार्षिक","Half Yearly"))</f>
        <v>अर्द्धवार्षिक</v>
      </c>
      <c r="Q5" s="1289"/>
      <c r="R5" s="1289"/>
      <c r="S5" s="1303" t="str">
        <f>IF(OR($P$3=$AT$14,$P$3=$AT$14),IF('Master Sheet'!D11="Hindi","वैकल्पिक प्रवृति","Alternative Tendency"),IF('Master Sheet'!D11="Hindi","अर्द्ध वा. तक योग","Total Till H.Y."))</f>
        <v>अर्द्ध वा. तक योग</v>
      </c>
      <c r="T5" s="1289" t="str">
        <f>IF('Master Sheet'!D11="Hindi","वार्षिक","Yearly")</f>
        <v>वार्षिक</v>
      </c>
      <c r="U5" s="1289"/>
      <c r="V5" s="1289"/>
      <c r="W5" s="1305" t="str">
        <f>IF('Master Sheet'!D11="Hindi","विषय कुल योग ","Subject Total")</f>
        <v xml:space="preserve">विषय कुल योग </v>
      </c>
      <c r="X5" s="1307" t="s">
        <v>55</v>
      </c>
      <c r="Y5" s="823"/>
      <c r="Z5" s="823"/>
      <c r="AA5" s="823"/>
      <c r="AB5" s="823"/>
      <c r="AC5" s="1307" t="s">
        <v>304</v>
      </c>
      <c r="AD5" s="1307" t="s">
        <v>57</v>
      </c>
      <c r="AE5" s="1307" t="str">
        <f>IF('Master Sheet'!$D$11="Hindi","विषय परिणाम","SUBJECT RESULT")</f>
        <v>विषय परिणाम</v>
      </c>
      <c r="AF5" s="1307" t="str">
        <f>IF('Master Sheet'!$D$11="Hindi","विषय श्रेणी","SUBJECT DIVISION")</f>
        <v>विषय श्रेणी</v>
      </c>
      <c r="AG5" s="1308" t="str">
        <f>IF('Master Sheet'!D11="Hindi","विशेष विवरण","Specifications")</f>
        <v>विशेष विवरण</v>
      </c>
      <c r="AJ5" s="1310"/>
      <c r="AK5" s="1310"/>
      <c r="AL5" s="1310"/>
      <c r="AM5" s="1310"/>
      <c r="AN5" s="1310"/>
    </row>
    <row r="6" spans="1:68" ht="69.75" customHeight="1">
      <c r="A6" s="1294"/>
      <c r="B6" s="1294"/>
      <c r="C6" s="1294"/>
      <c r="D6" s="1294"/>
      <c r="E6" s="1299"/>
      <c r="F6" s="1299"/>
      <c r="G6" s="1299"/>
      <c r="H6" s="1299"/>
      <c r="I6" s="1315"/>
      <c r="J6" s="1315"/>
      <c r="K6" s="1299"/>
      <c r="L6" s="793" t="str">
        <f>IF(OR($P$3=$AT$14,$P$3=$AT$14),"",IF('Master Sheet'!D11="Hindi","प्रथम परख ","First Test"))</f>
        <v xml:space="preserve">प्रथम परख </v>
      </c>
      <c r="M6" s="793" t="str">
        <f>IF(OR($P$3=$AT$14,$P$3=$AT$14),"",IF('Master Sheet'!D11="Hindi","द्वितीय परख","Second Test"))</f>
        <v>द्वितीय परख</v>
      </c>
      <c r="N6" s="793" t="str">
        <f>IF(OR($P$3=$AT$14,$P$3=$AT$14),"",IF('Master Sheet'!D11="Hindi","तृतीय परख","Third Test"))</f>
        <v>तृतीय परख</v>
      </c>
      <c r="O6" s="794" t="str">
        <f>IF(OR($P$3=$AT$14,$P$3=$AT$14),"",IF('Master Sheet'!D11="Hindi","सा. परख योग","Test Total"))</f>
        <v>सा. परख योग</v>
      </c>
      <c r="P6" s="813" t="str">
        <f>IF('Master Sheet'!$D$11="Hindi","सैद्धांतिक","Theoretical")</f>
        <v>सैद्धांतिक</v>
      </c>
      <c r="Q6" s="814" t="str">
        <f>IF('Master Sheet'!$D$11="Hindi","प्रायोगिक","Practical")</f>
        <v>प्रायोगिक</v>
      </c>
      <c r="R6" s="816" t="str">
        <f>IF(OR($P$3=$AT$14,$P$3=$AT$14),IF('Master Sheet'!D11="Hindi","कुल अंक","Total Marks"),IF('Master Sheet'!$D$11="Hindi","अर्द्ध वा. योग","Total H.Y."))</f>
        <v>अर्द्ध वा. योग</v>
      </c>
      <c r="S6" s="1304"/>
      <c r="T6" s="814" t="str">
        <f>IF('Master Sheet'!$D$11="Hindi","सैद्धांतिक","Theoretical")</f>
        <v>सैद्धांतिक</v>
      </c>
      <c r="U6" s="814" t="str">
        <f>IF('Master Sheet'!$D$11="Hindi","प्रायोगिक","Practical")</f>
        <v>प्रायोगिक</v>
      </c>
      <c r="V6" s="816" t="str">
        <f>IF('Master Sheet'!$D$11="Hindi","वार्षिक योग","Total Yearly")</f>
        <v>वार्षिक योग</v>
      </c>
      <c r="W6" s="1306"/>
      <c r="X6" s="1307"/>
      <c r="Y6" s="823" t="s">
        <v>305</v>
      </c>
      <c r="Z6" s="823" t="s">
        <v>306</v>
      </c>
      <c r="AA6" s="823" t="s">
        <v>302</v>
      </c>
      <c r="AB6" s="823" t="s">
        <v>303</v>
      </c>
      <c r="AC6" s="1307"/>
      <c r="AD6" s="1307"/>
      <c r="AE6" s="1307"/>
      <c r="AF6" s="1307"/>
      <c r="AG6" s="1309">
        <v>0</v>
      </c>
      <c r="AJ6" s="1310"/>
      <c r="AK6" s="1310"/>
      <c r="AL6" s="1310"/>
      <c r="AM6" s="1310"/>
      <c r="AN6" s="1310"/>
    </row>
    <row r="7" spans="1:68" ht="15.75">
      <c r="A7" s="1294"/>
      <c r="B7" s="1294"/>
      <c r="C7" s="1294"/>
      <c r="D7" s="1294"/>
      <c r="E7" s="1299"/>
      <c r="F7" s="1299"/>
      <c r="G7" s="1299"/>
      <c r="H7" s="1299"/>
      <c r="I7" s="1315"/>
      <c r="J7" s="1315"/>
      <c r="K7" s="1299"/>
      <c r="L7" s="795">
        <f>IFERROR(IF($P$3=$AT$8,'Statement of Marks'!J6,IF($P$3=$AT$9,'Statement of Marks'!X6,IF($P$3=$AT$10,'Statement of Marks'!AM6,IF($P$3=$AT$11,'Statement of Marks'!BJ6,IF($P$3=$AT$12,'Statement of Marks'!CG6,IF($P$3=$AT$13,'Statement of Marks'!DE6,IF($P$3=$AT$14,"",IF($P$3=$AT$15,'Statement of Marks'!EY6,"")))))))),"")</f>
        <v>10</v>
      </c>
      <c r="M7" s="795">
        <f>IFERROR(IF($P$3=$AT$8,'Statement of Marks'!K6,IF($P$3=$AT$9,'Statement of Marks'!Y6,IF($P$3=$AT$10,'Statement of Marks'!AN6,IF($P$3=$AT$11,'Statement of Marks'!BK6,IF($P$3=$AT$12,'Statement of Marks'!CH6,IF($P$3=$AT$13,'Statement of Marks'!DF6,IF($P$3=$AT$14,"",IF($P$3=$AT$15,'Statement of Marks'!EZ6,"")))))))),"")</f>
        <v>10</v>
      </c>
      <c r="N7" s="795">
        <f>IFERROR(IF($P$3=$AT$8,'Statement of Marks'!L6,IF($P$3=$AT$9,'Statement of Marks'!Z6,IF($P$3=$AT$10,'Statement of Marks'!AO6,IF($P$3=$AT$11,'Statement of Marks'!BL6,IF($P$3=$AT$12,'Statement of Marks'!CI6,IF($P$3=$AT$13,'Statement of Marks'!DG6,IF($P$3=$AT$14,"",IF($P$3=$AT$15,'Statement of Marks'!FA6,"")))))))),"")</f>
        <v>10</v>
      </c>
      <c r="O7" s="796">
        <f>IF(AND(L7="",M7="",N7="",$P$3=""),"",IF(OR($P$3=$AT$14,$P$3=$AT$14),"",SUM(L7:N7)))</f>
        <v>30</v>
      </c>
      <c r="P7" s="795">
        <f>IFERROR(IF($P$3=$AT$8,'Statement of Marks'!N6,IF($P$3=$AT$9,'Statement of Marks'!AB6,IF($P$3=$AT$10,'Statement of Marks'!AQ6,IF($P$3=$AT$11,'Statement of Marks'!BN6,IF($P$3=$AT$12,'Statement of Marks'!CK6,IF($P$3=$AT$13,'Statement of Marks'!DI6,IF($P$3=$AT$14,"",IF($P$3=$AT$15,'Statement of Marks'!FC6,"")))))))),"")</f>
        <v>50</v>
      </c>
      <c r="Q7" s="795">
        <f>IFERROR(IF($P$3=$AT$8,0,IF($P$3=$AT$9,0,IF($P$3=$AT$10,'Statement of Marks'!AR6,IF($P$3=$AT$11,'Statement of Marks'!BO6,IF($P$3=$AT$12,'Statement of Marks'!CL6,IF($P$3=$AT$13,'Statement of Marks'!DJ6,IF($P$3=$AT$14,"",IF($P$3=$AT$15,0,"")))))))),"")</f>
        <v>20</v>
      </c>
      <c r="R7" s="815">
        <f>IF(AND(P7="",Q7="",$P$3=""),"",IF($P$3=$AT$14,'Statement of Marks'!EC6,SUM(P7,Q7)))</f>
        <v>70</v>
      </c>
      <c r="S7" s="797">
        <f>IF($P$3=$AT$14,'Statement of Marks'!ED6,IF(AND(O7="NA",P7="NA",Q7="NA"),"NA",IF(AND(O7="",P7="",Q7=""),"",SUM(O7,P7,Q7))))</f>
        <v>100</v>
      </c>
      <c r="T7" s="795">
        <f>IFERROR(IF($P$3=$AT$8,'Statement of Marks'!P6,IF($P$3=$AT$9,'Statement of Marks'!AD6,IF($P$3=$AT$10,'Statement of Marks'!AU6,IF($P$3=$AT$11,'Statement of Marks'!BR6,IF($P$3=$AT$12,'Statement of Marks'!CO6,IF($P$3=$AT$13,'Statement of Marks'!DM6,IF($P$3=$AT$14,"",IF($P$3=$AT$15,'Statement of Marks'!FD6,"")))))))),"")</f>
        <v>70</v>
      </c>
      <c r="U7" s="795">
        <f>IFERROR(IF($P$3=$AT$8,0,IF($P$3=$AT$9,0,IF($P$3=$AT$10,'Statement of Marks'!AV6,IF($P$3=$AT$11,'Statement of Marks'!BS6,IF($P$3=$AT$12,'Statement of Marks'!CP6,IF($P$3=$AT$13,'Statement of Marks'!DN6,IF($P$3=$AT$14,"",IF($P$3=$AT$15,0,"")))))))),"")</f>
        <v>30</v>
      </c>
      <c r="V7" s="815">
        <f>IF(AND(T7="",U7="",$P$3=""),"",IF($P$3=$AT$14,'Statement of Marks'!EE6,SUM(T7,U7)))</f>
        <v>100</v>
      </c>
      <c r="W7" s="798">
        <f>IF($P$3="","",IF(OR($P$3=$AT$14),SUM(R7,S7,V7),SUM(S7,V7)))</f>
        <v>200</v>
      </c>
      <c r="X7" s="798"/>
      <c r="Y7" s="798">
        <f>SUM(Q7,U7)</f>
        <v>50</v>
      </c>
      <c r="Z7" s="798">
        <f>SUM(O7,P7,T7)</f>
        <v>150</v>
      </c>
      <c r="AA7" s="798"/>
      <c r="AB7" s="798"/>
      <c r="AC7" s="798"/>
      <c r="AD7" s="798"/>
      <c r="AE7" s="798"/>
      <c r="AF7" s="798"/>
      <c r="AG7" s="799"/>
    </row>
    <row r="8" spans="1:68" ht="15.75">
      <c r="A8" s="1295"/>
      <c r="B8" s="1295"/>
      <c r="C8" s="1295"/>
      <c r="D8" s="1295"/>
      <c r="E8" s="1300"/>
      <c r="F8" s="1300"/>
      <c r="G8" s="1300"/>
      <c r="H8" s="1300"/>
      <c r="I8" s="1316"/>
      <c r="J8" s="1316"/>
      <c r="K8" s="1300"/>
      <c r="L8" s="795">
        <f>IFERROR(IF($P$3=$AT$8,'Statement of Marks'!J6,IF($P$3=$AT$9,'Statement of Marks'!X6,IF($P$3=$AT$10,'Statement of Marks'!AM6,IF($P$3=$AT$11,'Statement of Marks'!BJ6,IF($P$3=$AT$12,'Statement of Marks'!CG6,IF($P$3=$AT$13,'Statement of Marks'!DE6,IF($P$3=$AT$14,"",IF($P$3=$AT$15,'Statement of Marks'!EY6,"")))))))),"")</f>
        <v>10</v>
      </c>
      <c r="M8" s="795">
        <f>IFERROR(IF($P$3=$AT$8,'Statement of Marks'!K6,IF($P$3=$AT$9,'Statement of Marks'!Y6,IF($P$3=$AT$10,'Statement of Marks'!AN6,IF($P$3=$AT$11,'Statement of Marks'!BK6,IF($P$3=$AT$12,'Statement of Marks'!CH6,IF($P$3=$AT$13,'Statement of Marks'!DF6,IF($P$3=$AT$14,"",IF($P$3=$AT$15,'Statement of Marks'!EZ6,"")))))))),"")</f>
        <v>10</v>
      </c>
      <c r="N8" s="795">
        <f>IFERROR(IF($P$3=$AT$8,'Statement of Marks'!L6,IF($P$3=$AT$9,'Statement of Marks'!Z6,IF($P$3=$AT$10,'Statement of Marks'!AO6,IF($P$3=$AT$11,'Statement of Marks'!BL6,IF($P$3=$AT$12,'Statement of Marks'!CI6,IF($P$3=$AT$13,'Statement of Marks'!DG6,IF($P$3=$AT$14,"",IF($P$3=$AT$15,'Statement of Marks'!FA6,"")))))))),"")</f>
        <v>10</v>
      </c>
      <c r="O8" s="796">
        <f>IF(AND(L8="",M8="",N8="",$P$3=""),"",IF(OR($P$3=$AT$14,$P$3=$AT$14),"",SUM(L8:N8)))</f>
        <v>30</v>
      </c>
      <c r="P8" s="795">
        <f>IFERROR(IF($P$3=$AT$8,'Statement of Marks'!N7,IF($P$3=$AT$9,'Statement of Marks'!AB7,IF($P$3=$AT$10,'Statement of Marks'!AQ7,IF($P$3=$AT$11,'Statement of Marks'!BN7,IF($P$3=$AT$12,'Statement of Marks'!CK7,IF($P$3=$AT$13,'Statement of Marks'!DI7,IF($P$3=$AT$14,"",IF($P$3=$AT$15,'Statement of Marks'!FC7,"")))))))),"")</f>
        <v>70</v>
      </c>
      <c r="Q8" s="795" t="str">
        <f>IFERROR(IF($P$3=$AT$8,0,IF($P$3=$AT$9,0,IF($P$3=$AT$10,'Statement of Marks'!AR7,IF($P$3=$AT$11,'Statement of Marks'!BO7,IF($P$3=$AT$12,'Statement of Marks'!CL7,IF($P$3=$AT$13,'Statement of Marks'!DJ7,IF($P$3=$AT$14,"",IF($P$3=$AT$15,0,"")))))))),"")</f>
        <v/>
      </c>
      <c r="R8" s="815">
        <f>IF(AND(P8="",Q8="",$P$3=""),"",SUM(P8,Q8))</f>
        <v>70</v>
      </c>
      <c r="S8" s="797">
        <f>IF($P$3=$AT$14,'Statement of Marks'!ED7,IF(AND(O8="NA",P8="NA",Q8="NA"),"NA",IF(AND(O8="",P8="",Q8=""),"",SUM(O8,P8,Q8))))</f>
        <v>100</v>
      </c>
      <c r="T8" s="795">
        <f>IFERROR(IF($P$3=$AT$8,'Statement of Marks'!P7,IF($P$3=$AT$9,'Statement of Marks'!AD7,IF($P$3=$AT$10,'Statement of Marks'!AU7,IF($P$3=$AT$11,'Statement of Marks'!BR7,IF($P$3=$AT$12,'Statement of Marks'!CO7,IF($P$3=$AT$13,'Statement of Marks'!DM7,IF($P$3=$AT$14,"",IF($P$3=$AT$15,'Statement of Marks'!FD7,"")))))))),"")</f>
        <v>100</v>
      </c>
      <c r="U8" s="795" t="str">
        <f>IFERROR(IF($P$3=$AT$8,0,IF($P$3=$AT$9,0,IF($P$3=$AT$10,'Statement of Marks'!AV7,IF($P$3=$AT$11,'Statement of Marks'!BS7,IF($P$3=$AT$12,'Statement of Marks'!CP7,IF($P$3=$AT$13,'Statement of Marks'!DN7,IF($P$3=$AT$14,"",IF($P$3=$AT$15,0,"")))))))),"")</f>
        <v/>
      </c>
      <c r="V8" s="815">
        <f>IF(AND(T8="",U8="",$P$3=""),"",IF($P$3=$AT$14,'Statement of Marks'!EE7,SUM(T8,U8)))</f>
        <v>100</v>
      </c>
      <c r="W8" s="798">
        <f>IF($P$3="","",IF(OR($P$3=$AT$14),SUM(R8,S8,V8),SUM(S8,V8)))</f>
        <v>200</v>
      </c>
      <c r="X8" s="798">
        <f t="shared" ref="X8" si="0">IFERROR(IF($P$3="","",IF(OR($P$3=$AT$18,$P$3=$AT$19),COUNTIF(L8:N8,"NA")*$L$7+(COUNTIF(L8:N8,"ML")*$L$7)+(COUNTIF(S8,"ML")*$S$7)+(COUNTIF(P8,"ML")*$P$8)+(COUNTIF(T8,"ML")*$T$7),COUNTIF(P8,"NA")*$P$7+(COUNTIF(L8:N8,"ML")*$L$7)+(COUNTIF(P8,"ML")*$P$7)+(COUNTIF(T8,"ML")*$T$7))),0)</f>
        <v>0</v>
      </c>
      <c r="Y8" s="798">
        <f>SUM(Q8,U8)</f>
        <v>0</v>
      </c>
      <c r="Z8" s="798">
        <f>SUM(O8,P8,T8)</f>
        <v>200</v>
      </c>
      <c r="AA8" s="798"/>
      <c r="AB8" s="798"/>
      <c r="AC8" s="798" t="str">
        <f>IF(OR(B8="NSO",B8=0,B8=""),"",IF(OR(B8="NSO",B8=0,B8="",W8=""),"",IF(OR($P$3=$AT$8,$P$3=$AT$9,$P$3=$AT$10,$P$3=$AT$11,$P$3=$AT$12,$P$3=$AT$13,$P$3=$AT$14,$P$3=$AT$15,$P$3=$AT$16,$P$3=$AT$17),IF(AND(L8="NA",N8="NA",M8="NA"),$O$7-X8,IF(AND(P8="ML"),$P$7-X8,IF(AND(T8="ML"),$T$7-X8,$W$7-X8))),IF(AND(P8="NA"),$P$7-X8,IF(AND(S8="ML"),$S$7-X8,IF(AND(T8="ML"),$T$7-X8,$W$7-X8))))))</f>
        <v/>
      </c>
      <c r="AD8" s="798" t="str">
        <f>IF(AND(OR(L8="ab",L8="ml"),OR(M8="ab",M8="ml"),OR(P8="ab",P8="ml"),OR(O8="ab",O8="ml"),OR(S8="ab",S8="ml")),"AB",IF(AND(OR(M8="ab",M8="ml"),OR(N8="ab",N8="ml"),OR(O8="ab",O8="ml"),OR(P8="ab",P8="ml")),"AB",IF(AND(OR(N8="ab",N8="ml"),OR(L8="ab",L8="ml"),OR(P8="ab",P8="ml"),OR(O8="ab",P8="ml")),"AB",IF(AND(OR(P8="ab",P8="ml"),OR(N8="ab",N8="ml"),OR(T8="ab",T8="ml"),OR(S8="ab",S8="ml"),OR(T8="ab",T8="ml")),"AB",IF(AND(OR(P8="ab",P8="ml"),OR(M8="ab",M8="ml"),OR(T8="ab",T8="ml"),OR(S8="ab",S8="ml"),OR(T8="ab",T8="ml")),"AB","")))))</f>
        <v/>
      </c>
      <c r="AE8" s="798" t="str">
        <f t="shared" ref="AE8" si="1">IF(OR(B8="",$P$3=""),"",IF(W8=0,"",IF(W8="","",IF(B8="NSO","NSO",IF(OR(AD8="AB",T8="ab"),"AB",IF(T8="ML","RE",IF(W8="ML","RE",IF(AND(W8&gt;=36%*AC8,T8&gt;=$T$7*20%),"P",IF(AND(W8&gt;=34%*AC8,T8&gt;=$T$7*20%),"G",IF(AND(W8&gt;=31%*AC8,T8&gt;=$T$7*20%),"G",IF(AND(W8&gt;=25%*AC8,T8&gt;=$T$7*20%),"S","F")))))))))))</f>
        <v/>
      </c>
      <c r="AF8" s="798" t="str">
        <f t="shared" ref="AF8" si="2">IF(OR(AE8="",AE8=0,AE8="S",AE8="RE",AE8="F",AE8="AB",B8="NSO"),"",IF(AE8="G","G",IF(W8&gt;=75%*AC8,"I",IF(W8&gt;=60%*AC8,"I",IF(W8&gt;=48%*AC8,"II",IF(W8&gt;=36%*AC8,"III",""))))))</f>
        <v/>
      </c>
      <c r="AG8" s="799" t="str">
        <f t="shared" ref="AG8" si="3">IF(W8="","",IF(OR(AE8="",AE8=0,AE8="RE",AE8="AB",B8="NSO"),"",IF(W8&gt;85%*AC8,"A",IF(W8&gt;70%*AC8,"B",IF(W8&gt;=50%*AC8,"C",IF(W8&gt;=30%*AC8,"D","E"))))))</f>
        <v/>
      </c>
      <c r="AJ8" s="1311" t="s">
        <v>307</v>
      </c>
      <c r="AK8" s="1311"/>
      <c r="AL8" s="1311"/>
      <c r="AM8" s="1311"/>
      <c r="AN8" s="1311"/>
      <c r="AO8" s="1311"/>
      <c r="AT8" s="17" t="str">
        <f>'Statement of Marks'!J3</f>
        <v>Com. Hindi</v>
      </c>
    </row>
    <row r="9" spans="1:68">
      <c r="A9" s="800">
        <f>IF('Statement of Marks'!A8="","",'Statement of Marks'!A8)</f>
        <v>1</v>
      </c>
      <c r="B9" s="801">
        <f>IF(OR($E$3="",$P$3=""),"",IF('Statement of Marks'!B8="","",'Statement of Marks'!B8))</f>
        <v>1101</v>
      </c>
      <c r="C9" s="810" t="str">
        <f>IF(OR($E$3="",$P$3=""),"",IF('Marks Entry'!C8="","",'Marks Entry'!C8))</f>
        <v>A</v>
      </c>
      <c r="D9" s="802">
        <f>IF(OR($E$3="",$P$3=""),"",IF('Statement of Marks'!C8="","",'Statement of Marks'!C8))</f>
        <v>230</v>
      </c>
      <c r="E9" s="803">
        <f>IF(OR($E$3="",$P$3=""),"",IF('Statement of Marks'!D8="","",'Statement of Marks'!D8))</f>
        <v>37622</v>
      </c>
      <c r="F9" s="804" t="str">
        <f>IF(OR($E$3="",$P$3=""),"",IF('Statement of Marks'!E8="","",'Statement of Marks'!E8))</f>
        <v>A</v>
      </c>
      <c r="G9" s="804" t="str">
        <f>IF(OR($E$3="",$P$3=""),"",IF('Statement of Marks'!F8="","",'Statement of Marks'!F8))</f>
        <v>X</v>
      </c>
      <c r="H9" s="804" t="str">
        <f>IF(OR($E$3="",$P$3=""),"",IF('Statement of Marks'!G8="","",'Statement of Marks'!G8))</f>
        <v>M</v>
      </c>
      <c r="I9" s="805" t="str">
        <f>IF(OR($E$3="",$P$3=""),"",IF('Statement of Marks'!H8="","",'Statement of Marks'!H8))</f>
        <v>GEN</v>
      </c>
      <c r="J9" s="805" t="str">
        <f>IF(OR($E$3="",$P$3=""),"",IF('Statement of Marks'!I8="","",'Statement of Marks'!I8))</f>
        <v>M</v>
      </c>
      <c r="K9" s="805" t="str">
        <f>IFERROR(IF(B9="","",IF($P$3=$AT$10,IF(AND(BM9="A"),'Marks Entry'!$U$2,IF(AND(BM9="B"),'Marks Entry'!$Y$2,IF(AND(BM9="C"),'Marks Entry'!$AA$2,""))),IF($P$3=$AT$11,IF(AND(BN9="A"),'Marks Entry'!$AC$2,IF(AND(BN9="B"),'Marks Entry'!$AG$2,IF(AND(BN9="C"),'Marks Entry'!$AI$2,""))),IF($P$3=$AT$12,IF(AND(BO9="A"),'Marks Entry'!$AK$2,IF(AND(BO9="B"),'Marks Entry'!$AO$2,IF(AND(BO9="C"),'Marks Entry'!$AQ$2,""))),IF($P$3=$AT$13,IF(AND(BP9="A"),'Marks Entry'!$AS$2,IF(AND(BP9="B"),'Marks Entry'!$AW$2,IF(AND(BP9="C"),'Marks Entry'!$AY$2,""))),"-"))))),"")</f>
        <v>GEOGRAPHY</v>
      </c>
      <c r="L9" s="806" t="str">
        <f>IFERROR(IF(B9="","",IF($P$3=$AT$8,'Statement of Marks'!J8,IF($P$3=$AT$9,'Statement of Marks'!X8,IF($P$3=$AT$10,'Statement of Marks'!AM8,IF($P$3=$AT$11,'Statement of Marks'!BJ8,IF($P$3=$AT$12,'Statement of Marks'!CG8,IF($P$3=$AT$13,'Statement of Marks'!DE8,IF($P$3=$AT$14,"",IF($P$3=$AT$15,'Statement of Marks'!EY8,""))))))))),"")</f>
        <v>ml</v>
      </c>
      <c r="M9" s="806">
        <f>IFERROR(IF(B9="","",IF($P$3=$AT$8,'Statement of Marks'!K8,IF($P$3=$AT$9,'Statement of Marks'!Y8,IF($P$3=$AT$10,'Statement of Marks'!AN8,IF($P$3=$AT$11,'Statement of Marks'!BK8,IF($P$3=$AT$12,'Statement of Marks'!CH8,IF($P$3=$AT$13,'Statement of Marks'!DF8,IF($P$3=$AT$14,"",IF($P$3=$AT$15,'Statement of Marks'!EZ8,""))))))))),"")</f>
        <v>6</v>
      </c>
      <c r="N9" s="806">
        <f>IFERROR(IF(B9="","",IF($P$3=$AT$8,'Statement of Marks'!L8,IF($P$3=$AT$9,'Statement of Marks'!Z8,IF($P$3=$AT$10,'Statement of Marks'!AO8,IF($P$3=$AT$11,'Statement of Marks'!BL8,IF($P$3=$AT$12,'Statement of Marks'!CI8,IF($P$3=$AT$13,'Statement of Marks'!DG8,IF($P$3=$AT$14,"",IF($P$3=$AT$15,'Statement of Marks'!FA8,""))))))))),"")</f>
        <v>8</v>
      </c>
      <c r="O9" s="807">
        <f>IF(AND(L9="",M9="",N9="",$P$3=""),"",IF(OR($P$3=$AT$14,$P$3=$AT$14),"",IF(B9="","",SUM(L9:N9))))</f>
        <v>14</v>
      </c>
      <c r="P9" s="806">
        <f>IFERROR(IF(B9="","",IF($P$3=$AT$8,'Statement of Marks'!N8,IF($P$3=$AT$9,'Statement of Marks'!AB8,IF($P$3=$AT$10,'Statement of Marks'!AQ8,IF($P$3=$AT$11,'Statement of Marks'!BN8,IF($P$3=$AT$12,'Statement of Marks'!CK8,IF($P$3=$AT$13,'Statement of Marks'!DI8,IF($P$3=$AT$14,"",IF($P$3=$AT$15,'Statement of Marks'!FC8,""))))))))),"")</f>
        <v>40</v>
      </c>
      <c r="Q9" s="806">
        <f>IFERROR(IF(B9="","",IF($P$3=$AT$8,"",IF($P$3=$AT$9,"",IF($P$3=$AT$10,'Statement of Marks'!AR8,IF($P$3=$AT$11,'Statement of Marks'!BO8,IF($P$3=$AT$12,'Statement of Marks'!CL8,IF($P$3=$AT$13,'Statement of Marks'!DJ8,IF($P$3=$AT$14,"",IF($P$3=$AT$15,"",""))))))))),"")</f>
        <v>10</v>
      </c>
      <c r="R9" s="818">
        <f>IFERROR(IF(B9="","",IF(AND(P9="",Q9="",$P$3=""),"",IF($P$3=$AT$14,'Statement of Marks'!EC8,SUM(P9,Q9)))),"")</f>
        <v>50</v>
      </c>
      <c r="S9" s="817">
        <f>IFERROR(IF(B9="","",IF($P$3=$AT$14,'Statement of Marks'!ED8,IF(AND(O9="NA",P9="NA",Q9="NA"),"NA",IF(AND(O9="",P9="",Q9=""),"",SUM(O9,P9,Q9))))),"")</f>
        <v>64</v>
      </c>
      <c r="T9" s="806">
        <f>IFERROR(IF(B9="","",IF($P$3=$AT$8,'Statement of Marks'!P8,IF($P$3=$AT$9,'Statement of Marks'!AD8,IF($P$3=$AT$10,'Statement of Marks'!AU8,IF($P$3=$AT$11,'Statement of Marks'!BR8,IF($P$3=$AT$12,'Statement of Marks'!CO8,IF($P$3=$AT$13,'Statement of Marks'!DM8,IF($P$3=$AT$14,"",IF($P$3=$AT$15,'Statement of Marks'!FD8,""))))))))),"")</f>
        <v>56</v>
      </c>
      <c r="U9" s="806">
        <f>IFERROR(IF(B9="","",IF($P$3=$AT$8,"",IF($P$3=$AT$9,"",IF($P$3=$AT$10,'Statement of Marks'!AV8,IF($P$3=$AT$11,'Statement of Marks'!BS8,IF($P$3=$AT$12,'Statement of Marks'!CP8,IF($P$3=$AT$13,'Statement of Marks'!DN8,IF($P$3=$AT$14,"",IF($P$3=$AT$15,"",""))))))))),"")</f>
        <v>11</v>
      </c>
      <c r="V9" s="818">
        <f>IFERROR(IF(B9="","",IF(AND(T9="",U9="",$P$3=""),"",IF($P$3=$AT$14,'Statement of Marks'!EE8,SUM(T9,U9)))),"")</f>
        <v>67</v>
      </c>
      <c r="W9" s="808">
        <f>IFERROR(IF(B9="","",IF($P$3="","",IF(OR($P$3=$AT$14),SUM(R9,S9,V9),SUM(S9,V9)))),"")</f>
        <v>131</v>
      </c>
      <c r="X9" s="809">
        <f>IFERROR(IF($P$3="","",IF(OR($P$3=$AT$8,$P$3=$AT$9,$P$3=$AT$10,$P$3=$AT$11,$P$3=$AT$12,$P$3=$AT$13,$P$3=$AT$15),COUNTIF(L9:N9,"NA")*$L$7+(COUNTIF(L9:N9,"ML")*$L$7)+(COUNTIF(P9,"ML")*$P$7)+(COUNTIF(T9,"ML")*$T$8)+(COUNTIF(T9,"ML")*$T$7),COUNTIF(R9,"NA")*$R$7+(COUNTIF(R9,"ML")*$R$7)+(COUNTIF(S9,"ML")*$S$7)+(COUNTIF(V9,"ML")*$V$7))),0)</f>
        <v>10</v>
      </c>
      <c r="Y9" s="809">
        <f>SUM(Q9,U9)</f>
        <v>21</v>
      </c>
      <c r="Z9" s="809">
        <f>SUM(O9,P9,T9)</f>
        <v>110</v>
      </c>
      <c r="AA9" s="809">
        <f>IF(OR($B9="NSO",$B9=0,T9=""),"",IF(AND(Q9="",U9=""),SUM($T$8),SUM($T$7)))</f>
        <v>70</v>
      </c>
      <c r="AB9" s="809">
        <f>IF(OR($B9="NSO",$B9=0,U9=""),"",IF(AND(Q9="",U9=""),0,SUM($Q$7+$U$7)-(COUNTIF(Q9,"ML")*$Q$7)-(COUNTIF(U9,"ML")*$U$7)))</f>
        <v>50</v>
      </c>
      <c r="AC9" s="809">
        <f>IF(OR($B9="NSO",$B9=0,B9=""),"",IF(AND(Q9="",U9=""),IF(OR($P$3=$AT$8,$P$3=$AT$9,$P$3=$AT$10,$P$3=$AT$11,$P$3=$AT$12,$P$3=$AT$13,$P$3=$AT$15,$P$3=$AT$16,$P$3=$AT$17),IF(AND(L9="NA",N9="NA",M9="NA"),$O$7-X9,IF(AND(P9="ML"),$P$7-X9,IF(AND(T9="ML"),$T$7-X9,$W$7-X9))),IF(AND(R9="NA"),$R$7-X9,IF(AND(S9="ML"),$S$7-X9,IF(AND(V9="ML"),$V$7-X9,$W$7-X9)))),IF(AND(L9="NA",N9="NA",M9="NA"),$O$7-X9,IF(AND(P9="ML"),$P$7-X9,IF(AND(T9="ML"),$T$7-X9,$Z$7-X9)))))</f>
        <v>140</v>
      </c>
      <c r="AD9" s="809" t="str">
        <f>IF(AND(OR(L9="ab",L9="ml"),OR(M9="ab",M9="ml"),OR(P9="ab",P9="ml"),OR(P9="ab",P9="ml"),OR(S9="ab",S9="ml")),"AB",IF(AND(OR(M9="ab",M9="ml"),OR(N9="ab",N9="ml"),OR(P9="ab",P9="ml"),OR(S9="ab",S9="ml")),"AB",IF(AND(OR(N9="ab",N9="ml"),OR(L9="ab",L9="ml"),OR(P9="ab",P9="ml"),OR(T9="ab",T9="ml")),"AB",IF(AND(OR(P9="ab",P9="ml"),OR(T9="ab",T9="ml"),OR(Q9="ab",Q9="ml"),OR(P9="ab",P9="ml"),OR(T9="ab",T9="ml")),"AB",IF(AND(OR(P9="ab",P9="ml"),OR(M9="ab",M9="ml"),OR(T9="ab",T9="ml"),OR(P9="ab",P9="ml"),OR(U9="ab",U9="ml")),"AB","")))))</f>
        <v/>
      </c>
      <c r="AE9" s="810" t="str">
        <f>IFERROR(IF(B9="","",IF(OR($P$3=$AT$14),AX9,AW9)),"")</f>
        <v>P</v>
      </c>
      <c r="AF9" s="811" t="str">
        <f>IF(OR(AE9="",AE9=0,AE9="S",AE9="RE",AE9="F",AE9="AB",B9="NSO"),"",IF(AE9="G","G",IF(W9&gt;=75%*SUM(AB9,AC9),"I",IF(W9&gt;=60%*SUM(AB9,AC9),"I",IF(W9&gt;=48%*SUM(AB9,AC9),"II",IF(W9&gt;=36%*SUM(AB9,AC9),"III",""))))))</f>
        <v>I</v>
      </c>
      <c r="AG9" s="812" t="str">
        <f>IF(W9="","",IF(OR(AE9="",AE9=0,AE9="RE",AE9="AB"),"",IF(B9="NSO","NSO",IF(AE9="G","By Grace",IF(AE9="S","Supplementary",IF(AE9="F","Fail",IF(W9&gt;=75%*AC9,"D",IF(AE9="FP","Fail in Practical",""))))))))</f>
        <v>D</v>
      </c>
      <c r="AJ9" s="1311"/>
      <c r="AK9" s="1311"/>
      <c r="AL9" s="1311"/>
      <c r="AM9" s="1311"/>
      <c r="AN9" s="1311"/>
      <c r="AO9" s="1311"/>
      <c r="AT9" s="17" t="str">
        <f>'Statement of Marks'!X3</f>
        <v>Com. English</v>
      </c>
      <c r="AW9" s="17" t="str">
        <f>IF(B9="","",IF(OR(T9="AB",U9="AB",AD9="AB"),"AB",IF(OR(T9="ML",V9="ML"),"RE",IF(U9="MLP","REP",IF(U9&lt;33%*$U$7,"FP",IF(Q9&lt;33%*$Q$7,"FP",IF(AND(Z9&gt;=36%*AC9,SUM(T9)&gt;=20%*AA9,Y9&gt;=SUM(AB9)*36%),"P",IF(AND(Z9&gt;=34%*AC9,SUM(T9)&gt;=20%*AA9,Y9&gt;=SUM(AB9)*36%),"G",IF(AND(Z9&gt;=31%*AC9,SUM(T9)&gt;=20%*AA9,Y9&gt;=SUM(AB9)*36%),"G",IF(AND(Z9&gt;=25%*AC9,SUM(T9)&gt;=20%*AA9),"S","F"))))))))))</f>
        <v>P</v>
      </c>
      <c r="AX9" s="17" t="str">
        <f>IF(B9="","",IF(AND(W9&gt;=36%*AC9,SUM(V9)&gt;=20%*$V$7),"P",""))</f>
        <v>P</v>
      </c>
      <c r="BM9" s="17" t="str">
        <f>IFERROR(VLOOKUP(B9,'Statement of Marks'!$B$8:'Statement of Marks'!$HI$207,37,0),"")</f>
        <v>A</v>
      </c>
      <c r="BN9" s="17" t="str">
        <f>IFERROR(VLOOKUP(B9,'Statement of Marks'!$B$8:'Statement of Marks'!$HI$207,60,0),"")</f>
        <v>A</v>
      </c>
      <c r="BO9" s="17" t="str">
        <f>IFERROR(VLOOKUP(B9,'Statement of Marks'!$B$8:'Statement of Marks'!$HI$207,83,0),"")</f>
        <v>A</v>
      </c>
      <c r="BP9" s="17" t="str">
        <f>IFERROR(VLOOKUP(B9,'Statement of Marks'!$B$8:'Statement of Marks'!$HI$207,107,0),"")</f>
        <v/>
      </c>
    </row>
    <row r="10" spans="1:68" ht="15.75">
      <c r="A10" s="800">
        <f>IF('Statement of Marks'!A9="","",'Statement of Marks'!A9)</f>
        <v>2</v>
      </c>
      <c r="B10" s="801">
        <f>IF(OR($E$3="",$P$3=""),"",IF('Statement of Marks'!B9="","",'Statement of Marks'!B9))</f>
        <v>1102</v>
      </c>
      <c r="C10" s="810" t="str">
        <f>IF(OR($E$3="",$P$3=""),"",IF('Marks Entry'!C9="","",'Marks Entry'!C9))</f>
        <v>A</v>
      </c>
      <c r="D10" s="802">
        <f>IF(OR($E$3="",$P$3=""),"",IF('Statement of Marks'!C9="","",'Statement of Marks'!C9))</f>
        <v>231</v>
      </c>
      <c r="E10" s="803">
        <f>IF(OR($E$3="",$P$3=""),"",IF('Statement of Marks'!D9="","",'Statement of Marks'!D9))</f>
        <v>38090</v>
      </c>
      <c r="F10" s="804" t="str">
        <f>IF(OR($E$3="",$P$3=""),"",IF('Statement of Marks'!E9="","",'Statement of Marks'!E9))</f>
        <v>B</v>
      </c>
      <c r="G10" s="804" t="str">
        <f>IF(OR($E$3="",$P$3=""),"",IF('Statement of Marks'!F9="","",'Statement of Marks'!F9))</f>
        <v>Y</v>
      </c>
      <c r="H10" s="804" t="str">
        <f>IF(OR($E$3="",$P$3=""),"",IF('Statement of Marks'!G9="","",'Statement of Marks'!G9))</f>
        <v>N</v>
      </c>
      <c r="I10" s="805" t="str">
        <f>IF(OR($E$3="",$P$3=""),"",IF('Statement of Marks'!H9="","",'Statement of Marks'!H9))</f>
        <v>OBC</v>
      </c>
      <c r="J10" s="805" t="str">
        <f>IF(OR($E$3="",$P$3=""),"",IF('Statement of Marks'!I9="","",'Statement of Marks'!I9))</f>
        <v>M</v>
      </c>
      <c r="K10" s="805" t="str">
        <f>IFERROR(IF(B10="","",IF($P$3=$AT$10,IF(AND(BM10="A"),'Marks Entry'!$U$2,IF(AND(BM10="B"),'Marks Entry'!$Y$2,IF(AND(BM10="C"),'Marks Entry'!$AA$2,""))),IF($P$3=$AT$11,IF(AND(BN10="A"),'Marks Entry'!$AC$2,IF(AND(BN10="B"),'Marks Entry'!$AG$2,IF(AND(BN10="C"),'Marks Entry'!$AI$2,""))),IF($P$3=$AT$12,IF(AND(BO10="A"),'Marks Entry'!$AK$2,IF(AND(BO10="B"),'Marks Entry'!$AO$2,IF(AND(BO10="C"),'Marks Entry'!$AQ$2,""))),IF($P$3=$AT$13,IF(AND(BP10="A"),'Marks Entry'!$AS$2,IF(AND(BP10="B"),'Marks Entry'!$AW$2,IF(AND(BP10="C"),'Marks Entry'!$AY$2,""))),"-"))))),"")</f>
        <v>HOME SCIENCE</v>
      </c>
      <c r="L10" s="806">
        <f>IFERROR(IF(B10="","",IF($P$3=$AT$8,'Statement of Marks'!J9,IF($P$3=$AT$9,'Statement of Marks'!X9,IF($P$3=$AT$10,'Statement of Marks'!AM9,IF($P$3=$AT$11,'Statement of Marks'!BJ9,IF($P$3=$AT$12,'Statement of Marks'!CG9,IF($P$3=$AT$13,'Statement of Marks'!DE9,IF($P$3=$AT$14,"",IF($P$3=$AT$15,'Statement of Marks'!EY9,""))))))))),"")</f>
        <v>4</v>
      </c>
      <c r="M10" s="806">
        <f>IFERROR(IF(B10="","",IF($P$3=$AT$8,'Statement of Marks'!K9,IF($P$3=$AT$9,'Statement of Marks'!Y9,IF($P$3=$AT$10,'Statement of Marks'!AN9,IF($P$3=$AT$11,'Statement of Marks'!BK9,IF($P$3=$AT$12,'Statement of Marks'!CH9,IF($P$3=$AT$13,'Statement of Marks'!DF9,IF($P$3=$AT$14,"",IF($P$3=$AT$15,'Statement of Marks'!EZ9,""))))))))),"")</f>
        <v>4</v>
      </c>
      <c r="N10" s="806">
        <f>IFERROR(IF(B10="","",IF($P$3=$AT$8,'Statement of Marks'!L9,IF($P$3=$AT$9,'Statement of Marks'!Z9,IF($P$3=$AT$10,'Statement of Marks'!AO9,IF($P$3=$AT$11,'Statement of Marks'!BL9,IF($P$3=$AT$12,'Statement of Marks'!CI9,IF($P$3=$AT$13,'Statement of Marks'!DG9,IF($P$3=$AT$14,"",IF($P$3=$AT$15,'Statement of Marks'!FA9,""))))))))),"")</f>
        <v>9</v>
      </c>
      <c r="O10" s="807">
        <f t="shared" ref="O10:O73" si="4">IF(AND(L10="",M10="",N10="",$P$3=""),"",IF(OR($P$3=$AT$14,$P$3=$AT$14),"",IF(B10="","",SUM(L10:N10))))</f>
        <v>17</v>
      </c>
      <c r="P10" s="806">
        <f>IFERROR(IF(B10="","",IF($P$3=$AT$8,'Statement of Marks'!N9,IF($P$3=$AT$9,'Statement of Marks'!AB9,IF($P$3=$AT$10,'Statement of Marks'!AQ9,IF($P$3=$AT$11,'Statement of Marks'!BN9,IF($P$3=$AT$12,'Statement of Marks'!CK9,IF($P$3=$AT$13,'Statement of Marks'!DI9,IF($P$3=$AT$14,"",IF($P$3=$AT$15,'Statement of Marks'!FC9,""))))))))),"")</f>
        <v>10</v>
      </c>
      <c r="Q10" s="806" t="str">
        <f>IFERROR(IF(B10="","",IF($P$3=$AT$8,"",IF($P$3=$AT$9,"",IF($P$3=$AT$10,'Statement of Marks'!AR9,IF($P$3=$AT$11,'Statement of Marks'!BO9,IF($P$3=$AT$12,'Statement of Marks'!CL9,IF($P$3=$AT$13,'Statement of Marks'!DJ9,IF($P$3=$AT$14,"",IF($P$3=$AT$15,"",""))))))))),"")</f>
        <v/>
      </c>
      <c r="R10" s="818">
        <f>IFERROR(IF(B10="","",IF(AND(P10="",Q10="",$P$3=""),"",IF($P$3=$AT$14,'Statement of Marks'!EC9,SUM(P10,Q10)))),"")</f>
        <v>10</v>
      </c>
      <c r="S10" s="817">
        <f>IFERROR(IF(B10="","",IF($P$3=$AT$14,'Statement of Marks'!ED9,IF(AND(O10="NA",P10="NA",Q10="NA"),"NA",IF(AND(O10="",P10="",Q10=""),"",SUM(O10,P10,Q10))))),"")</f>
        <v>27</v>
      </c>
      <c r="T10" s="806">
        <f>IFERROR(IF(B10="","",IF($P$3=$AT$8,'Statement of Marks'!P9,IF($P$3=$AT$9,'Statement of Marks'!AD9,IF($P$3=$AT$10,'Statement of Marks'!AU9,IF($P$3=$AT$11,'Statement of Marks'!BR9,IF($P$3=$AT$12,'Statement of Marks'!CO9,IF($P$3=$AT$13,'Statement of Marks'!DM9,IF($P$3=$AT$14,"",IF($P$3=$AT$15,'Statement of Marks'!FD9,""))))))))),"")</f>
        <v>35</v>
      </c>
      <c r="U10" s="806" t="str">
        <f>IFERROR(IF(B10="","",IF($P$3=$AT$8,"",IF($P$3=$AT$9,"",IF($P$3=$AT$10,'Statement of Marks'!AV9,IF($P$3=$AT$11,'Statement of Marks'!BS9,IF($P$3=$AT$12,'Statement of Marks'!CP9,IF($P$3=$AT$13,'Statement of Marks'!DN9,IF($P$3=$AT$14,"",IF($P$3=$AT$15,"",""))))))))),"")</f>
        <v/>
      </c>
      <c r="V10" s="818">
        <f>IFERROR(IF(B10="","",IF(AND(T10="",U10="",$P$3=""),"",IF($P$3=$AT$14,'Statement of Marks'!EE9,SUM(T10,U10)))),"")</f>
        <v>35</v>
      </c>
      <c r="W10" s="808">
        <f t="shared" ref="W10:W73" si="5">IFERROR(IF(B10="","",IF($P$3="","",IF(OR($P$3=$AT$14),SUM(R10,S10,V10),SUM(S10,V10)))),"")</f>
        <v>62</v>
      </c>
      <c r="X10" s="809">
        <f t="shared" ref="X10:X73" si="6">IFERROR(IF($P$3="","",IF(OR($P$3=$AT$8,$P$3=$AT$9,$P$3=$AT$10,$P$3=$AT$11,$P$3=$AT$12,$P$3=$AT$13,$P$3=$AT$15),COUNTIF(L10:N10,"NA")*$L$7+(COUNTIF(L10:N10,"ML")*$L$7)+(COUNTIF(P10,"ML")*$P$7)+(COUNTIF(T10,"ML")*$T$8)+(COUNTIF(T10,"ML")*$T$7),COUNTIF(R10,"NA")*$R$7+(COUNTIF(R10,"ML")*$R$7)+(COUNTIF(S10,"ML")*$S$7)+(COUNTIF(V10,"ML")*$V$7))),0)</f>
        <v>0</v>
      </c>
      <c r="Y10" s="809">
        <f t="shared" ref="Y10:Y73" si="7">SUM(Q10,U10)</f>
        <v>0</v>
      </c>
      <c r="Z10" s="809">
        <f t="shared" ref="Z10:Z73" si="8">SUM(O10,P10,T10)</f>
        <v>62</v>
      </c>
      <c r="AA10" s="809">
        <f t="shared" ref="AA10:AA73" si="9">IF(OR($B10="NSO",$B10=0,T10=""),"",IF(AND(Q10="",U10=""),SUM($T$8),SUM($T$7)))</f>
        <v>100</v>
      </c>
      <c r="AB10" s="809" t="str">
        <f t="shared" ref="AB10:AB73" si="10">IF(OR($B10="NSO",$B10=0,U10=""),"",IF(AND(Q10="",U10=""),"",SUM($Q$7+$U$7)-(COUNTIF(Q10,"ML")*$Q$7)-(COUNTIF(U10,"ML")*$U$7)))</f>
        <v/>
      </c>
      <c r="AC10" s="809">
        <f t="shared" ref="AC10:AC73" si="11">IF(OR($B10="NSO",$B10=0,B10=""),"",IF(AND(Q10="",U10=""),IF(OR($P$3=$AT$8,$P$3=$AT$9,$P$3=$AT$10,$P$3=$AT$11,$P$3=$AT$12,$P$3=$AT$13,$P$3=$AT$15,$P$3=$AT$16,$P$3=$AT$17),IF(AND(L10="NA",N10="NA",M10="NA"),$O$7-X10,IF(AND(P10="ML"),$P$7-X10,IF(AND(T10="ML"),$T$7-X10,$W$7-X10))),IF(AND(R10="NA"),$R$7-X10,IF(AND(S10="ML"),$S$7-X10,IF(AND(V10="ML"),$V$7-X10,$W$7-X10)))),IF(AND(L10="NA",N10="NA",M10="NA"),$O$7-X10,IF(AND(P10="ML"),$P$7-X10,IF(AND(T10="ML"),$T$7-X10,$Z$7-X10)))))</f>
        <v>200</v>
      </c>
      <c r="AD10" s="809" t="str">
        <f t="shared" ref="AD10:AD73" si="12">IF(AND(OR(L10="ab",L10="ml"),OR(M10="ab",M10="ml"),OR(P10="ab",P10="ml"),OR(P10="ab",P10="ml"),OR(S10="ab",S10="ml")),"AB",IF(AND(OR(M10="ab",M10="ml"),OR(N10="ab",N10="ml"),OR(P10="ab",P10="ml"),OR(S10="ab",S10="ml")),"AB",IF(AND(OR(N10="ab",N10="ml"),OR(L10="ab",L10="ml"),OR(P10="ab",P10="ml"),OR(T10="ab",T10="ml")),"AB",IF(AND(OR(P10="ab",P10="ml"),OR(T10="ab",T10="ml"),OR(Q10="ab",Q10="ml"),OR(P10="ab",P10="ml"),OR(T10="ab",T10="ml")),"AB",IF(AND(OR(P10="ab",P10="ml"),OR(M10="ab",M10="ml"),OR(T10="ab",T10="ml"),OR(P10="ab",P10="ml"),OR(U10="ab",U10="ml")),"AB","")))))</f>
        <v/>
      </c>
      <c r="AE10" s="810" t="str">
        <f t="shared" ref="AE10:AE73" si="13">IFERROR(IF(B10="","",IF(OR($P$3=$AT$14),AX10,AW10)),"")</f>
        <v>G</v>
      </c>
      <c r="AF10" s="811" t="str">
        <f t="shared" ref="AF10:AF73" si="14">IF(OR(AE10="",AE10=0,AE10="S",AE10="RE",AE10="F",AE10="AB",B10="NSO"),"",IF(AE10="G","G",IF(W10&gt;=75%*SUM(AB10,AC10),"I",IF(W10&gt;=60%*SUM(AB10,AC10),"I",IF(W10&gt;=48%*SUM(AB10,AC10),"II",IF(W10&gt;=36%*SUM(AB10,AC10),"III",""))))))</f>
        <v>G</v>
      </c>
      <c r="AG10" s="812" t="str">
        <f t="shared" ref="AG10:AG73" si="15">IF(W10="","",IF(OR(AE10="",AE10=0,AE10="RE",AE10="AB"),"",IF(B10="NSO","NSO",IF(AE10="G","By Grace",IF(AE10="S","Supplementary",IF(AE10="F","Fail",IF(W10&gt;=75%*AC10,"D",IF(AE10="FP","Fail in Practical",""))))))))</f>
        <v>By Grace</v>
      </c>
      <c r="AJ10" s="1302" t="s">
        <v>300</v>
      </c>
      <c r="AK10" s="1302"/>
      <c r="AL10" s="1302"/>
      <c r="AM10" s="1302"/>
      <c r="AN10" s="1302"/>
      <c r="AO10" s="1302"/>
      <c r="AT10" s="17" t="str">
        <f>'Statement of Marks'!AL2</f>
        <v>Optional Subject - 01</v>
      </c>
      <c r="AW10" s="17" t="str">
        <f t="shared" ref="AW10:AW73" si="16">IF(B10="","",IF(OR(T10="AB",U10="AB",AD10="AB"),"AB",IF(OR(T10="ML",V10="ML"),"RE",IF(U10="MLP","REP",IF(U10&lt;33%*$U$7,"FP",IF(Q10&lt;33%*$Q$7,"FP",IF(AND(Z10&gt;=36%*AC10,SUM(T10)&gt;=20%*AA10,Y10&gt;=SUM(AB10)*36%),"P",IF(AND(Z10&gt;=34%*AC10,SUM(T10)&gt;=20%*AA10,Y10&gt;=SUM(AB10)*36%),"G",IF(AND(Z10&gt;=31%*AC10,SUM(T10)&gt;=20%*AA10,Y10&gt;=SUM(AB10)*36%),"G",IF(AND(Z10&gt;=25%*AC10,SUM(T10)&gt;=20%*AA10),"S","F"))))))))))</f>
        <v>G</v>
      </c>
      <c r="AX10" s="17" t="str">
        <f t="shared" ref="AX10:AX73" si="17">IF(B10="","",IF(AND(W10&gt;=36%*AC10,SUM(V10)&gt;=20%*$V$7),"P",""))</f>
        <v/>
      </c>
      <c r="BM10" s="17" t="str">
        <f>IFERROR(VLOOKUP(B10,'Statement of Marks'!$B$8:'Statement of Marks'!$HI$207,37,0),"")</f>
        <v>B</v>
      </c>
      <c r="BN10" s="17" t="str">
        <f>IFERROR(VLOOKUP(B10,'Statement of Marks'!$B$8:'Statement of Marks'!$HI$207,60,0),"")</f>
        <v>B</v>
      </c>
      <c r="BO10" s="17" t="str">
        <f>IFERROR(VLOOKUP(B10,'Statement of Marks'!$B$8:'Statement of Marks'!$HI$207,83,0),"")</f>
        <v>B</v>
      </c>
      <c r="BP10" s="17" t="str">
        <f>IFERROR(VLOOKUP(B10,'Statement of Marks'!$B$8:'Statement of Marks'!$HI$207,107,0),"")</f>
        <v/>
      </c>
    </row>
    <row r="11" spans="1:68">
      <c r="A11" s="800">
        <f>IF('Statement of Marks'!A10="","",'Statement of Marks'!A10)</f>
        <v>3</v>
      </c>
      <c r="B11" s="801">
        <f>IF(OR($E$3="",$P$3=""),"",IF('Statement of Marks'!B10="","",'Statement of Marks'!B10))</f>
        <v>1103</v>
      </c>
      <c r="C11" s="810" t="str">
        <f>IF(OR($E$3="",$P$3=""),"",IF('Marks Entry'!C10="","",'Marks Entry'!C10))</f>
        <v>A</v>
      </c>
      <c r="D11" s="802">
        <f>IF(OR($E$3="",$P$3=""),"",IF('Statement of Marks'!C10="","",'Statement of Marks'!C10))</f>
        <v>555</v>
      </c>
      <c r="E11" s="803">
        <f>IF(OR($E$3="",$P$3=""),"",IF('Statement of Marks'!D10="","",'Statement of Marks'!D10))</f>
        <v>38414</v>
      </c>
      <c r="F11" s="804" t="str">
        <f>IF(OR($E$3="",$P$3=""),"",IF('Statement of Marks'!E10="","",'Statement of Marks'!E10))</f>
        <v>C</v>
      </c>
      <c r="G11" s="804" t="str">
        <f>IF(OR($E$3="",$P$3=""),"",IF('Statement of Marks'!F10="","",'Statement of Marks'!F10))</f>
        <v>Z</v>
      </c>
      <c r="H11" s="804" t="str">
        <f>IF(OR($E$3="",$P$3=""),"",IF('Statement of Marks'!G10="","",'Statement of Marks'!G10))</f>
        <v>O</v>
      </c>
      <c r="I11" s="805" t="str">
        <f>IF(OR($E$3="",$P$3=""),"",IF('Statement of Marks'!H10="","",'Statement of Marks'!H10))</f>
        <v>SC</v>
      </c>
      <c r="J11" s="805" t="str">
        <f>IF(OR($E$3="",$P$3=""),"",IF('Statement of Marks'!I10="","",'Statement of Marks'!I10))</f>
        <v>F</v>
      </c>
      <c r="K11" s="805" t="str">
        <f>IFERROR(IF(B11="","",IF($P$3=$AT$10,IF(AND(BM11="A"),'Marks Entry'!$U$2,IF(AND(BM11="B"),'Marks Entry'!$Y$2,IF(AND(BM11="C"),'Marks Entry'!$AA$2,""))),IF($P$3=$AT$11,IF(AND(BN11="A"),'Marks Entry'!$AC$2,IF(AND(BN11="B"),'Marks Entry'!$AG$2,IF(AND(BN11="C"),'Marks Entry'!$AI$2,""))),IF($P$3=$AT$12,IF(AND(BO11="A"),'Marks Entry'!$AK$2,IF(AND(BO11="B"),'Marks Entry'!$AO$2,IF(AND(BO11="C"),'Marks Entry'!$AQ$2,""))),IF($P$3=$AT$13,IF(AND(BP11="A"),'Marks Entry'!$AS$2,IF(AND(BP11="B"),'Marks Entry'!$AW$2,IF(AND(BP11="C"),'Marks Entry'!$AY$2,""))),"-"))))),"")</f>
        <v>GEOGRAPHY</v>
      </c>
      <c r="L11" s="806">
        <f>IFERROR(IF(B11="","",IF($P$3=$AT$8,'Statement of Marks'!J10,IF($P$3=$AT$9,'Statement of Marks'!X10,IF($P$3=$AT$10,'Statement of Marks'!AM10,IF($P$3=$AT$11,'Statement of Marks'!BJ10,IF($P$3=$AT$12,'Statement of Marks'!CG10,IF($P$3=$AT$13,'Statement of Marks'!DE10,IF($P$3=$AT$14,"",IF($P$3=$AT$15,'Statement of Marks'!EY10,""))))))))),"")</f>
        <v>6</v>
      </c>
      <c r="M11" s="806">
        <f>IFERROR(IF(B11="","",IF($P$3=$AT$8,'Statement of Marks'!K10,IF($P$3=$AT$9,'Statement of Marks'!Y10,IF($P$3=$AT$10,'Statement of Marks'!AN10,IF($P$3=$AT$11,'Statement of Marks'!BK10,IF($P$3=$AT$12,'Statement of Marks'!CH10,IF($P$3=$AT$13,'Statement of Marks'!DF10,IF($P$3=$AT$14,"",IF($P$3=$AT$15,'Statement of Marks'!EZ10,""))))))))),"")</f>
        <v>7</v>
      </c>
      <c r="N11" s="806">
        <f>IFERROR(IF(B11="","",IF($P$3=$AT$8,'Statement of Marks'!L10,IF($P$3=$AT$9,'Statement of Marks'!Z10,IF($P$3=$AT$10,'Statement of Marks'!AO10,IF($P$3=$AT$11,'Statement of Marks'!BL10,IF($P$3=$AT$12,'Statement of Marks'!CI10,IF($P$3=$AT$13,'Statement of Marks'!DG10,IF($P$3=$AT$14,"",IF($P$3=$AT$15,'Statement of Marks'!FA10,""))))))))),"")</f>
        <v>8</v>
      </c>
      <c r="O11" s="807">
        <f t="shared" si="4"/>
        <v>21</v>
      </c>
      <c r="P11" s="806">
        <f>IFERROR(IF(B11="","",IF($P$3=$AT$8,'Statement of Marks'!N10,IF($P$3=$AT$9,'Statement of Marks'!AB10,IF($P$3=$AT$10,'Statement of Marks'!AQ10,IF($P$3=$AT$11,'Statement of Marks'!BN10,IF($P$3=$AT$12,'Statement of Marks'!CK10,IF($P$3=$AT$13,'Statement of Marks'!DI10,IF($P$3=$AT$14,"",IF($P$3=$AT$15,'Statement of Marks'!FC10,""))))))))),"")</f>
        <v>31</v>
      </c>
      <c r="Q11" s="806">
        <f>IFERROR(IF(B11="","",IF($P$3=$AT$8,"",IF($P$3=$AT$9,"",IF($P$3=$AT$10,'Statement of Marks'!AR10,IF($P$3=$AT$11,'Statement of Marks'!BO10,IF($P$3=$AT$12,'Statement of Marks'!CL10,IF($P$3=$AT$13,'Statement of Marks'!DJ10,IF($P$3=$AT$14,"",IF($P$3=$AT$15,"",""))))))))),"")</f>
        <v>11</v>
      </c>
      <c r="R11" s="818">
        <f>IFERROR(IF(B11="","",IF(AND(P11="",Q11="",$P$3=""),"",IF($P$3=$AT$14,'Statement of Marks'!EC10,SUM(P11,Q11)))),"")</f>
        <v>42</v>
      </c>
      <c r="S11" s="817">
        <f>IFERROR(IF(B11="","",IF($P$3=$AT$14,'Statement of Marks'!ED10,IF(AND(O11="NA",P11="NA",Q11="NA"),"NA",IF(AND(O11="",P11="",Q11=""),"",SUM(O11,P11,Q11))))),"")</f>
        <v>63</v>
      </c>
      <c r="T11" s="806">
        <f>IFERROR(IF(B11="","",IF($P$3=$AT$8,'Statement of Marks'!P10,IF($P$3=$AT$9,'Statement of Marks'!AD10,IF($P$3=$AT$10,'Statement of Marks'!AU10,IF($P$3=$AT$11,'Statement of Marks'!BR10,IF($P$3=$AT$12,'Statement of Marks'!CO10,IF($P$3=$AT$13,'Statement of Marks'!DM10,IF($P$3=$AT$14,"",IF($P$3=$AT$15,'Statement of Marks'!FD10,""))))))))),"")</f>
        <v>40</v>
      </c>
      <c r="U11" s="806">
        <f>IFERROR(IF(B11="","",IF($P$3=$AT$8,"",IF($P$3=$AT$9,"",IF($P$3=$AT$10,'Statement of Marks'!AV10,IF($P$3=$AT$11,'Statement of Marks'!BS10,IF($P$3=$AT$12,'Statement of Marks'!CP10,IF($P$3=$AT$13,'Statement of Marks'!DN10,IF($P$3=$AT$14,"",IF($P$3=$AT$15,"",""))))))))),"")</f>
        <v>12</v>
      </c>
      <c r="V11" s="818">
        <f>IFERROR(IF(B11="","",IF(AND(T11="",U11="",$P$3=""),"",IF($P$3=$AT$14,'Statement of Marks'!EE10,SUM(T11,U11)))),"")</f>
        <v>52</v>
      </c>
      <c r="W11" s="808">
        <f t="shared" si="5"/>
        <v>115</v>
      </c>
      <c r="X11" s="809">
        <f t="shared" si="6"/>
        <v>0</v>
      </c>
      <c r="Y11" s="809">
        <f t="shared" si="7"/>
        <v>23</v>
      </c>
      <c r="Z11" s="809">
        <f t="shared" si="8"/>
        <v>92</v>
      </c>
      <c r="AA11" s="809">
        <f t="shared" si="9"/>
        <v>70</v>
      </c>
      <c r="AB11" s="809">
        <f t="shared" si="10"/>
        <v>50</v>
      </c>
      <c r="AC11" s="809">
        <f t="shared" si="11"/>
        <v>150</v>
      </c>
      <c r="AD11" s="809" t="str">
        <f t="shared" si="12"/>
        <v/>
      </c>
      <c r="AE11" s="810" t="str">
        <f t="shared" si="13"/>
        <v>P</v>
      </c>
      <c r="AF11" s="811" t="str">
        <f t="shared" si="14"/>
        <v>II</v>
      </c>
      <c r="AG11" s="812" t="str">
        <f t="shared" si="15"/>
        <v>D</v>
      </c>
      <c r="AT11" s="17" t="str">
        <f>'Statement of Marks'!BI2</f>
        <v>Optional Subject - 02</v>
      </c>
      <c r="AW11" s="17" t="str">
        <f t="shared" si="16"/>
        <v>P</v>
      </c>
      <c r="AX11" s="17" t="str">
        <f t="shared" si="17"/>
        <v>P</v>
      </c>
      <c r="BM11" s="17" t="str">
        <f>IFERROR(VLOOKUP(B11,'Statement of Marks'!$B$8:'Statement of Marks'!$HI$207,37,0),"")</f>
        <v>A</v>
      </c>
      <c r="BN11" s="17" t="str">
        <f>IFERROR(VLOOKUP(B11,'Statement of Marks'!$B$8:'Statement of Marks'!$HI$207,60,0),"")</f>
        <v>B</v>
      </c>
      <c r="BO11" s="17" t="str">
        <f>IFERROR(VLOOKUP(B11,'Statement of Marks'!$B$8:'Statement of Marks'!$HI$207,83,0),"")</f>
        <v>A</v>
      </c>
      <c r="BP11" s="17" t="str">
        <f>IFERROR(VLOOKUP(B11,'Statement of Marks'!$B$8:'Statement of Marks'!$HI$207,107,0),"")</f>
        <v/>
      </c>
    </row>
    <row r="12" spans="1:68">
      <c r="A12" s="800">
        <f>IF('Statement of Marks'!A11="","",'Statement of Marks'!A11)</f>
        <v>4</v>
      </c>
      <c r="B12" s="801">
        <f>IF(OR($E$3="",$P$3=""),"",IF('Statement of Marks'!B11="","",'Statement of Marks'!B11))</f>
        <v>1104</v>
      </c>
      <c r="C12" s="810" t="str">
        <f>IF(OR($E$3="",$P$3=""),"",IF('Marks Entry'!C11="","",'Marks Entry'!C11))</f>
        <v>A</v>
      </c>
      <c r="D12" s="802">
        <f>IF(OR($E$3="",$P$3=""),"",IF('Statement of Marks'!C11="","",'Statement of Marks'!C11))</f>
        <v>444</v>
      </c>
      <c r="E12" s="803">
        <f>IF(OR($E$3="",$P$3=""),"",IF('Statement of Marks'!D11="","",'Statement of Marks'!D11))</f>
        <v>38874</v>
      </c>
      <c r="F12" s="804" t="str">
        <f>IF(OR($E$3="",$P$3=""),"",IF('Statement of Marks'!E11="","",'Statement of Marks'!E11))</f>
        <v>D</v>
      </c>
      <c r="G12" s="804" t="str">
        <f>IF(OR($E$3="",$P$3=""),"",IF('Statement of Marks'!F11="","",'Statement of Marks'!F11))</f>
        <v>W</v>
      </c>
      <c r="H12" s="804" t="str">
        <f>IF(OR($E$3="",$P$3=""),"",IF('Statement of Marks'!G11="","",'Statement of Marks'!G11))</f>
        <v>P</v>
      </c>
      <c r="I12" s="805" t="str">
        <f>IF(OR($E$3="",$P$3=""),"",IF('Statement of Marks'!H11="","",'Statement of Marks'!H11))</f>
        <v>ST</v>
      </c>
      <c r="J12" s="805" t="str">
        <f>IF(OR($E$3="",$P$3=""),"",IF('Statement of Marks'!I11="","",'Statement of Marks'!I11))</f>
        <v>M</v>
      </c>
      <c r="K12" s="805" t="str">
        <f>IFERROR(IF(B12="","",IF($P$3=$AT$10,IF(AND(BM12="A"),'Marks Entry'!$U$2,IF(AND(BM12="B"),'Marks Entry'!$Y$2,IF(AND(BM12="C"),'Marks Entry'!$AA$2,""))),IF($P$3=$AT$11,IF(AND(BN12="A"),'Marks Entry'!$AC$2,IF(AND(BN12="B"),'Marks Entry'!$AG$2,IF(AND(BN12="C"),'Marks Entry'!$AI$2,""))),IF($P$3=$AT$12,IF(AND(BO12="A"),'Marks Entry'!$AK$2,IF(AND(BO12="B"),'Marks Entry'!$AO$2,IF(AND(BO12="C"),'Marks Entry'!$AQ$2,""))),IF($P$3=$AT$13,IF(AND(BP12="A"),'Marks Entry'!$AS$2,IF(AND(BP12="B"),'Marks Entry'!$AW$2,IF(AND(BP12="C"),'Marks Entry'!$AY$2,""))),"-"))))),"")</f>
        <v>GEOGRAPHY</v>
      </c>
      <c r="L12" s="806">
        <f>IFERROR(IF(B12="","",IF($P$3=$AT$8,'Statement of Marks'!J11,IF($P$3=$AT$9,'Statement of Marks'!X11,IF($P$3=$AT$10,'Statement of Marks'!AM11,IF($P$3=$AT$11,'Statement of Marks'!BJ11,IF($P$3=$AT$12,'Statement of Marks'!CG11,IF($P$3=$AT$13,'Statement of Marks'!DE11,IF($P$3=$AT$14,"",IF($P$3=$AT$15,'Statement of Marks'!EY11,""))))))))),"")</f>
        <v>3</v>
      </c>
      <c r="M12" s="806">
        <f>IFERROR(IF(B12="","",IF($P$3=$AT$8,'Statement of Marks'!K11,IF($P$3=$AT$9,'Statement of Marks'!Y11,IF($P$3=$AT$10,'Statement of Marks'!AN11,IF($P$3=$AT$11,'Statement of Marks'!BK11,IF($P$3=$AT$12,'Statement of Marks'!CH11,IF($P$3=$AT$13,'Statement of Marks'!DF11,IF($P$3=$AT$14,"",IF($P$3=$AT$15,'Statement of Marks'!EZ11,""))))))))),"")</f>
        <v>7</v>
      </c>
      <c r="N12" s="806">
        <f>IFERROR(IF(B12="","",IF($P$3=$AT$8,'Statement of Marks'!L11,IF($P$3=$AT$9,'Statement of Marks'!Z11,IF($P$3=$AT$10,'Statement of Marks'!AO11,IF($P$3=$AT$11,'Statement of Marks'!BL11,IF($P$3=$AT$12,'Statement of Marks'!CI11,IF($P$3=$AT$13,'Statement of Marks'!DG11,IF($P$3=$AT$14,"",IF($P$3=$AT$15,'Statement of Marks'!FA11,""))))))))),"")</f>
        <v>9</v>
      </c>
      <c r="O12" s="807">
        <f t="shared" si="4"/>
        <v>19</v>
      </c>
      <c r="P12" s="806">
        <f>IFERROR(IF(B12="","",IF($P$3=$AT$8,'Statement of Marks'!N11,IF($P$3=$AT$9,'Statement of Marks'!AB11,IF($P$3=$AT$10,'Statement of Marks'!AQ11,IF($P$3=$AT$11,'Statement of Marks'!BN11,IF($P$3=$AT$12,'Statement of Marks'!CK11,IF($P$3=$AT$13,'Statement of Marks'!DI11,IF($P$3=$AT$14,"",IF($P$3=$AT$15,'Statement of Marks'!FC11,""))))))))),"")</f>
        <v>45</v>
      </c>
      <c r="Q12" s="806">
        <f>IFERROR(IF(B12="","",IF($P$3=$AT$8,"",IF($P$3=$AT$9,"",IF($P$3=$AT$10,'Statement of Marks'!AR11,IF($P$3=$AT$11,'Statement of Marks'!BO11,IF($P$3=$AT$12,'Statement of Marks'!CL11,IF($P$3=$AT$13,'Statement of Marks'!DJ11,IF($P$3=$AT$14,"",IF($P$3=$AT$15,"",""))))))))),"")</f>
        <v>15</v>
      </c>
      <c r="R12" s="818">
        <f>IFERROR(IF(B12="","",IF(AND(P12="",Q12="",$P$3=""),"",IF($P$3=$AT$14,'Statement of Marks'!EC11,SUM(P12,Q12)))),"")</f>
        <v>60</v>
      </c>
      <c r="S12" s="817">
        <f>IFERROR(IF(B12="","",IF($P$3=$AT$14,'Statement of Marks'!ED11,IF(AND(O12="NA",P12="NA",Q12="NA"),"NA",IF(AND(O12="",P12="",Q12=""),"",SUM(O12,P12,Q12))))),"")</f>
        <v>79</v>
      </c>
      <c r="T12" s="806">
        <f>IFERROR(IF(B12="","",IF($P$3=$AT$8,'Statement of Marks'!P11,IF($P$3=$AT$9,'Statement of Marks'!AD11,IF($P$3=$AT$10,'Statement of Marks'!AU11,IF($P$3=$AT$11,'Statement of Marks'!BR11,IF($P$3=$AT$12,'Statement of Marks'!CO11,IF($P$3=$AT$13,'Statement of Marks'!DM11,IF($P$3=$AT$14,"",IF($P$3=$AT$15,'Statement of Marks'!FD11,""))))))))),"")</f>
        <v>65</v>
      </c>
      <c r="U12" s="806">
        <f>IFERROR(IF(B12="","",IF($P$3=$AT$8,"",IF($P$3=$AT$9,"",IF($P$3=$AT$10,'Statement of Marks'!AV11,IF($P$3=$AT$11,'Statement of Marks'!BS11,IF($P$3=$AT$12,'Statement of Marks'!CP11,IF($P$3=$AT$13,'Statement of Marks'!DN11,IF($P$3=$AT$14,"",IF($P$3=$AT$15,"",""))))))))),"")</f>
        <v>28</v>
      </c>
      <c r="V12" s="818">
        <f>IFERROR(IF(B12="","",IF(AND(T12="",U12="",$P$3=""),"",IF($P$3=$AT$14,'Statement of Marks'!EE11,SUM(T12,U12)))),"")</f>
        <v>93</v>
      </c>
      <c r="W12" s="808">
        <f t="shared" si="5"/>
        <v>172</v>
      </c>
      <c r="X12" s="809">
        <f t="shared" si="6"/>
        <v>0</v>
      </c>
      <c r="Y12" s="809">
        <f t="shared" si="7"/>
        <v>43</v>
      </c>
      <c r="Z12" s="809">
        <f t="shared" si="8"/>
        <v>129</v>
      </c>
      <c r="AA12" s="809">
        <f t="shared" si="9"/>
        <v>70</v>
      </c>
      <c r="AB12" s="809">
        <f t="shared" si="10"/>
        <v>50</v>
      </c>
      <c r="AC12" s="809">
        <f t="shared" si="11"/>
        <v>150</v>
      </c>
      <c r="AD12" s="809" t="str">
        <f t="shared" si="12"/>
        <v/>
      </c>
      <c r="AE12" s="810" t="str">
        <f t="shared" si="13"/>
        <v>P</v>
      </c>
      <c r="AF12" s="811" t="str">
        <f t="shared" si="14"/>
        <v>I</v>
      </c>
      <c r="AG12" s="812" t="str">
        <f t="shared" si="15"/>
        <v>D</v>
      </c>
      <c r="AT12" s="17" t="str">
        <f>'Statement of Marks'!CF2</f>
        <v>Optional Subject - 03</v>
      </c>
      <c r="AW12" s="17" t="str">
        <f t="shared" si="16"/>
        <v>P</v>
      </c>
      <c r="AX12" s="17" t="str">
        <f t="shared" si="17"/>
        <v>P</v>
      </c>
      <c r="BM12" s="17" t="str">
        <f>IFERROR(VLOOKUP(B12,'Statement of Marks'!$B$8:'Statement of Marks'!$HI$207,37,0),"")</f>
        <v>B</v>
      </c>
      <c r="BN12" s="17" t="str">
        <f>IFERROR(VLOOKUP(B12,'Statement of Marks'!$B$8:'Statement of Marks'!$HI$207,60,0),"")</f>
        <v>A</v>
      </c>
      <c r="BO12" s="17" t="str">
        <f>IFERROR(VLOOKUP(B12,'Statement of Marks'!$B$8:'Statement of Marks'!$HI$207,83,0),"")</f>
        <v>A</v>
      </c>
      <c r="BP12" s="17" t="str">
        <f>IFERROR(VLOOKUP(B12,'Statement of Marks'!$B$8:'Statement of Marks'!$HI$207,107,0),"")</f>
        <v/>
      </c>
    </row>
    <row r="13" spans="1:68">
      <c r="A13" s="800">
        <f>IF('Statement of Marks'!A12="","",'Statement of Marks'!A12)</f>
        <v>5</v>
      </c>
      <c r="B13" s="801">
        <f>IF(OR($E$3="",$P$3=""),"",IF('Statement of Marks'!B12="","",'Statement of Marks'!B12))</f>
        <v>1105</v>
      </c>
      <c r="C13" s="810" t="str">
        <f>IF(OR($E$3="",$P$3=""),"",IF('Marks Entry'!C12="","",'Marks Entry'!C12))</f>
        <v>A</v>
      </c>
      <c r="D13" s="802">
        <f>IF(OR($E$3="",$P$3=""),"",IF('Statement of Marks'!C12="","",'Statement of Marks'!C12))</f>
        <v>333</v>
      </c>
      <c r="E13" s="803">
        <f>IF(OR($E$3="",$P$3=""),"",IF('Statement of Marks'!D12="","",'Statement of Marks'!D12))</f>
        <v>39270</v>
      </c>
      <c r="F13" s="804" t="str">
        <f>IF(OR($E$3="",$P$3=""),"",IF('Statement of Marks'!E12="","",'Statement of Marks'!E12))</f>
        <v>E</v>
      </c>
      <c r="G13" s="804" t="str">
        <f>IF(OR($E$3="",$P$3=""),"",IF('Statement of Marks'!F12="","",'Statement of Marks'!F12))</f>
        <v>V</v>
      </c>
      <c r="H13" s="804" t="str">
        <f>IF(OR($E$3="",$P$3=""),"",IF('Statement of Marks'!G12="","",'Statement of Marks'!G12))</f>
        <v>Q</v>
      </c>
      <c r="I13" s="805" t="str">
        <f>IF(OR($E$3="",$P$3=""),"",IF('Statement of Marks'!H12="","",'Statement of Marks'!H12))</f>
        <v>SBC</v>
      </c>
      <c r="J13" s="805" t="str">
        <f>IF(OR($E$3="",$P$3=""),"",IF('Statement of Marks'!I12="","",'Statement of Marks'!I12))</f>
        <v>F</v>
      </c>
      <c r="K13" s="805" t="str">
        <f>IFERROR(IF(B13="","",IF($P$3=$AT$10,IF(AND(BM13="A"),'Marks Entry'!$U$2,IF(AND(BM13="B"),'Marks Entry'!$Y$2,IF(AND(BM13="C"),'Marks Entry'!$AA$2,""))),IF($P$3=$AT$11,IF(AND(BN13="A"),'Marks Entry'!$AC$2,IF(AND(BN13="B"),'Marks Entry'!$AG$2,IF(AND(BN13="C"),'Marks Entry'!$AI$2,""))),IF($P$3=$AT$12,IF(AND(BO13="A"),'Marks Entry'!$AK$2,IF(AND(BO13="B"),'Marks Entry'!$AO$2,IF(AND(BO13="C"),'Marks Entry'!$AQ$2,""))),IF($P$3=$AT$13,IF(AND(BP13="A"),'Marks Entry'!$AS$2,IF(AND(BP13="B"),'Marks Entry'!$AW$2,IF(AND(BP13="C"),'Marks Entry'!$AY$2,""))),"-"))))),"")</f>
        <v>GEOGRAPHY</v>
      </c>
      <c r="L13" s="806">
        <f>IFERROR(IF(B13="","",IF($P$3=$AT$8,'Statement of Marks'!J12,IF($P$3=$AT$9,'Statement of Marks'!X12,IF($P$3=$AT$10,'Statement of Marks'!AM12,IF($P$3=$AT$11,'Statement of Marks'!BJ12,IF($P$3=$AT$12,'Statement of Marks'!CG12,IF($P$3=$AT$13,'Statement of Marks'!DE12,IF($P$3=$AT$14,"",IF($P$3=$AT$15,'Statement of Marks'!EY12,""))))))))),"")</f>
        <v>8</v>
      </c>
      <c r="M13" s="806">
        <f>IFERROR(IF(B13="","",IF($P$3=$AT$8,'Statement of Marks'!K12,IF($P$3=$AT$9,'Statement of Marks'!Y12,IF($P$3=$AT$10,'Statement of Marks'!AN12,IF($P$3=$AT$11,'Statement of Marks'!BK12,IF($P$3=$AT$12,'Statement of Marks'!CH12,IF($P$3=$AT$13,'Statement of Marks'!DF12,IF($P$3=$AT$14,"",IF($P$3=$AT$15,'Statement of Marks'!EZ12,""))))))))),"")</f>
        <v>8</v>
      </c>
      <c r="N13" s="806">
        <f>IFERROR(IF(B13="","",IF($P$3=$AT$8,'Statement of Marks'!L12,IF($P$3=$AT$9,'Statement of Marks'!Z12,IF($P$3=$AT$10,'Statement of Marks'!AO12,IF($P$3=$AT$11,'Statement of Marks'!BL12,IF($P$3=$AT$12,'Statement of Marks'!CI12,IF($P$3=$AT$13,'Statement of Marks'!DG12,IF($P$3=$AT$14,"",IF($P$3=$AT$15,'Statement of Marks'!FA12,""))))))))),"")</f>
        <v>8</v>
      </c>
      <c r="O13" s="807">
        <f t="shared" si="4"/>
        <v>24</v>
      </c>
      <c r="P13" s="806">
        <f>IFERROR(IF(B13="","",IF($P$3=$AT$8,'Statement of Marks'!N12,IF($P$3=$AT$9,'Statement of Marks'!AB12,IF($P$3=$AT$10,'Statement of Marks'!AQ12,IF($P$3=$AT$11,'Statement of Marks'!BN12,IF($P$3=$AT$12,'Statement of Marks'!CK12,IF($P$3=$AT$13,'Statement of Marks'!DI12,IF($P$3=$AT$14,"",IF($P$3=$AT$15,'Statement of Marks'!FC12,""))))))))),"")</f>
        <v>44</v>
      </c>
      <c r="Q13" s="806">
        <f>IFERROR(IF(B13="","",IF($P$3=$AT$8,"",IF($P$3=$AT$9,"",IF($P$3=$AT$10,'Statement of Marks'!AR12,IF($P$3=$AT$11,'Statement of Marks'!BO12,IF($P$3=$AT$12,'Statement of Marks'!CL12,IF($P$3=$AT$13,'Statement of Marks'!DJ12,IF($P$3=$AT$14,"",IF($P$3=$AT$15,"",""))))))))),"")</f>
        <v>16</v>
      </c>
      <c r="R13" s="818">
        <f>IFERROR(IF(B13="","",IF(AND(P13="",Q13="",$P$3=""),"",IF($P$3=$AT$14,'Statement of Marks'!EC12,SUM(P13,Q13)))),"")</f>
        <v>60</v>
      </c>
      <c r="S13" s="817">
        <f>IFERROR(IF(B13="","",IF($P$3=$AT$14,'Statement of Marks'!ED12,IF(AND(O13="NA",P13="NA",Q13="NA"),"NA",IF(AND(O13="",P13="",Q13=""),"",SUM(O13,P13,Q13))))),"")</f>
        <v>84</v>
      </c>
      <c r="T13" s="806">
        <f>IFERROR(IF(B13="","",IF($P$3=$AT$8,'Statement of Marks'!P12,IF($P$3=$AT$9,'Statement of Marks'!AD12,IF($P$3=$AT$10,'Statement of Marks'!AU12,IF($P$3=$AT$11,'Statement of Marks'!BR12,IF($P$3=$AT$12,'Statement of Marks'!CO12,IF($P$3=$AT$13,'Statement of Marks'!DM12,IF($P$3=$AT$14,"",IF($P$3=$AT$15,'Statement of Marks'!FD12,""))))))))),"")</f>
        <v>60</v>
      </c>
      <c r="U13" s="806">
        <f>IFERROR(IF(B13="","",IF($P$3=$AT$8,"",IF($P$3=$AT$9,"",IF($P$3=$AT$10,'Statement of Marks'!AV12,IF($P$3=$AT$11,'Statement of Marks'!BS12,IF($P$3=$AT$12,'Statement of Marks'!CP12,IF($P$3=$AT$13,'Statement of Marks'!DN12,IF($P$3=$AT$14,"",IF($P$3=$AT$15,"",""))))))))),"")</f>
        <v>22</v>
      </c>
      <c r="V13" s="818">
        <f>IFERROR(IF(B13="","",IF(AND(T13="",U13="",$P$3=""),"",IF($P$3=$AT$14,'Statement of Marks'!EE12,SUM(T13,U13)))),"")</f>
        <v>82</v>
      </c>
      <c r="W13" s="808">
        <f t="shared" si="5"/>
        <v>166</v>
      </c>
      <c r="X13" s="809">
        <f t="shared" si="6"/>
        <v>0</v>
      </c>
      <c r="Y13" s="809">
        <f t="shared" si="7"/>
        <v>38</v>
      </c>
      <c r="Z13" s="809">
        <f t="shared" si="8"/>
        <v>128</v>
      </c>
      <c r="AA13" s="809">
        <f t="shared" si="9"/>
        <v>70</v>
      </c>
      <c r="AB13" s="809">
        <f t="shared" si="10"/>
        <v>50</v>
      </c>
      <c r="AC13" s="809">
        <f t="shared" si="11"/>
        <v>150</v>
      </c>
      <c r="AD13" s="809" t="str">
        <f t="shared" si="12"/>
        <v/>
      </c>
      <c r="AE13" s="810" t="str">
        <f t="shared" si="13"/>
        <v>P</v>
      </c>
      <c r="AF13" s="811" t="str">
        <f t="shared" si="14"/>
        <v>I</v>
      </c>
      <c r="AG13" s="812" t="str">
        <f t="shared" si="15"/>
        <v>D</v>
      </c>
      <c r="AT13" s="17" t="str">
        <f>'Statement of Marks'!DD2</f>
        <v>Additional Sub. / Vocational  Subject</v>
      </c>
      <c r="AW13" s="17" t="str">
        <f t="shared" si="16"/>
        <v>P</v>
      </c>
      <c r="AX13" s="17" t="str">
        <f t="shared" si="17"/>
        <v>P</v>
      </c>
      <c r="BM13" s="17" t="str">
        <f>IFERROR(VLOOKUP(B13,'Statement of Marks'!$B$8:'Statement of Marks'!$HI$207,37,0),"")</f>
        <v>B</v>
      </c>
      <c r="BN13" s="17" t="str">
        <f>IFERROR(VLOOKUP(B13,'Statement of Marks'!$B$8:'Statement of Marks'!$HI$207,60,0),"")</f>
        <v>B</v>
      </c>
      <c r="BO13" s="17" t="str">
        <f>IFERROR(VLOOKUP(B13,'Statement of Marks'!$B$8:'Statement of Marks'!$HI$207,83,0),"")</f>
        <v>A</v>
      </c>
      <c r="BP13" s="17" t="str">
        <f>IFERROR(VLOOKUP(B13,'Statement of Marks'!$B$8:'Statement of Marks'!$HI$207,107,0),"")</f>
        <v/>
      </c>
    </row>
    <row r="14" spans="1:68">
      <c r="A14" s="800">
        <f>IF('Statement of Marks'!A13="","",'Statement of Marks'!A13)</f>
        <v>6</v>
      </c>
      <c r="B14" s="801">
        <f>IF(OR($E$3="",$P$3=""),"",IF('Statement of Marks'!B13="","",'Statement of Marks'!B13))</f>
        <v>1106</v>
      </c>
      <c r="C14" s="810" t="str">
        <f>IF(OR($E$3="",$P$3=""),"",IF('Marks Entry'!C13="","",'Marks Entry'!C13))</f>
        <v>A</v>
      </c>
      <c r="D14" s="802">
        <f>IF(OR($E$3="",$P$3=""),"",IF('Statement of Marks'!C13="","",'Statement of Marks'!C13))</f>
        <v>666</v>
      </c>
      <c r="E14" s="803">
        <f>IF(OR($E$3="",$P$3=""),"",IF('Statement of Marks'!D13="","",'Statement of Marks'!D13))</f>
        <v>39668</v>
      </c>
      <c r="F14" s="804" t="str">
        <f>IF(OR($E$3="",$P$3=""),"",IF('Statement of Marks'!E13="","",'Statement of Marks'!E13))</f>
        <v>F</v>
      </c>
      <c r="G14" s="804" t="str">
        <f>IF(OR($E$3="",$P$3=""),"",IF('Statement of Marks'!F13="","",'Statement of Marks'!F13))</f>
        <v>U</v>
      </c>
      <c r="H14" s="804" t="str">
        <f>IF(OR($E$3="",$P$3=""),"",IF('Statement of Marks'!G13="","",'Statement of Marks'!G13))</f>
        <v>R</v>
      </c>
      <c r="I14" s="805" t="str">
        <f>IF(OR($E$3="",$P$3=""),"",IF('Statement of Marks'!H13="","",'Statement of Marks'!H13))</f>
        <v>OBC</v>
      </c>
      <c r="J14" s="805" t="str">
        <f>IF(OR($E$3="",$P$3=""),"",IF('Statement of Marks'!I13="","",'Statement of Marks'!I13))</f>
        <v>M</v>
      </c>
      <c r="K14" s="805" t="str">
        <f>IFERROR(IF(B14="","",IF($P$3=$AT$10,IF(AND(BM14="A"),'Marks Entry'!$U$2,IF(AND(BM14="B"),'Marks Entry'!$Y$2,IF(AND(BM14="C"),'Marks Entry'!$AA$2,""))),IF($P$3=$AT$11,IF(AND(BN14="A"),'Marks Entry'!$AC$2,IF(AND(BN14="B"),'Marks Entry'!$AG$2,IF(AND(BN14="C"),'Marks Entry'!$AI$2,""))),IF($P$3=$AT$12,IF(AND(BO14="A"),'Marks Entry'!$AK$2,IF(AND(BO14="B"),'Marks Entry'!$AO$2,IF(AND(BO14="C"),'Marks Entry'!$AQ$2,""))),IF($P$3=$AT$13,IF(AND(BP14="A"),'Marks Entry'!$AS$2,IF(AND(BP14="B"),'Marks Entry'!$AW$2,IF(AND(BP14="C"),'Marks Entry'!$AY$2,""))),"-"))))),"")</f>
        <v>GEOGRAPHY</v>
      </c>
      <c r="L14" s="806">
        <f>IFERROR(IF(B14="","",IF($P$3=$AT$8,'Statement of Marks'!J13,IF($P$3=$AT$9,'Statement of Marks'!X13,IF($P$3=$AT$10,'Statement of Marks'!AM13,IF($P$3=$AT$11,'Statement of Marks'!BJ13,IF($P$3=$AT$12,'Statement of Marks'!CG13,IF($P$3=$AT$13,'Statement of Marks'!DE13,IF($P$3=$AT$14,"",IF($P$3=$AT$15,'Statement of Marks'!EY13,""))))))))),"")</f>
        <v>5</v>
      </c>
      <c r="M14" s="806">
        <f>IFERROR(IF(B14="","",IF($P$3=$AT$8,'Statement of Marks'!K13,IF($P$3=$AT$9,'Statement of Marks'!Y13,IF($P$3=$AT$10,'Statement of Marks'!AN13,IF($P$3=$AT$11,'Statement of Marks'!BK13,IF($P$3=$AT$12,'Statement of Marks'!CH13,IF($P$3=$AT$13,'Statement of Marks'!DF13,IF($P$3=$AT$14,"",IF($P$3=$AT$15,'Statement of Marks'!EZ13,""))))))))),"")</f>
        <v>5</v>
      </c>
      <c r="N14" s="806">
        <f>IFERROR(IF(B14="","",IF($P$3=$AT$8,'Statement of Marks'!L13,IF($P$3=$AT$9,'Statement of Marks'!Z13,IF($P$3=$AT$10,'Statement of Marks'!AO13,IF($P$3=$AT$11,'Statement of Marks'!BL13,IF($P$3=$AT$12,'Statement of Marks'!CI13,IF($P$3=$AT$13,'Statement of Marks'!DG13,IF($P$3=$AT$14,"",IF($P$3=$AT$15,'Statement of Marks'!FA13,""))))))))),"")</f>
        <v>5</v>
      </c>
      <c r="O14" s="807">
        <f t="shared" si="4"/>
        <v>15</v>
      </c>
      <c r="P14" s="806">
        <f>IFERROR(IF(B14="","",IF($P$3=$AT$8,'Statement of Marks'!N13,IF($P$3=$AT$9,'Statement of Marks'!AB13,IF($P$3=$AT$10,'Statement of Marks'!AQ13,IF($P$3=$AT$11,'Statement of Marks'!BN13,IF($P$3=$AT$12,'Statement of Marks'!CK13,IF($P$3=$AT$13,'Statement of Marks'!DI13,IF($P$3=$AT$14,"",IF($P$3=$AT$15,'Statement of Marks'!FC13,""))))))))),"")</f>
        <v>25</v>
      </c>
      <c r="Q14" s="806">
        <f>IFERROR(IF(B14="","",IF($P$3=$AT$8,"",IF($P$3=$AT$9,"",IF($P$3=$AT$10,'Statement of Marks'!AR13,IF($P$3=$AT$11,'Statement of Marks'!BO13,IF($P$3=$AT$12,'Statement of Marks'!CL13,IF($P$3=$AT$13,'Statement of Marks'!DJ13,IF($P$3=$AT$14,"",IF($P$3=$AT$15,"",""))))))))),"")</f>
        <v>15</v>
      </c>
      <c r="R14" s="818">
        <f>IFERROR(IF(B14="","",IF(AND(P14="",Q14="",$P$3=""),"",IF($P$3=$AT$14,'Statement of Marks'!EC13,SUM(P14,Q14)))),"")</f>
        <v>40</v>
      </c>
      <c r="S14" s="817">
        <f>IFERROR(IF(B14="","",IF($P$3=$AT$14,'Statement of Marks'!ED13,IF(AND(O14="NA",P14="NA",Q14="NA"),"NA",IF(AND(O14="",P14="",Q14=""),"",SUM(O14,P14,Q14))))),"")</f>
        <v>55</v>
      </c>
      <c r="T14" s="806">
        <f>IFERROR(IF(B14="","",IF($P$3=$AT$8,'Statement of Marks'!P13,IF($P$3=$AT$9,'Statement of Marks'!AD13,IF($P$3=$AT$10,'Statement of Marks'!AU13,IF($P$3=$AT$11,'Statement of Marks'!BR13,IF($P$3=$AT$12,'Statement of Marks'!CO13,IF($P$3=$AT$13,'Statement of Marks'!DM13,IF($P$3=$AT$14,"",IF($P$3=$AT$15,'Statement of Marks'!FD13,""))))))))),"")</f>
        <v>35</v>
      </c>
      <c r="U14" s="806">
        <f>IFERROR(IF(B14="","",IF($P$3=$AT$8,"",IF($P$3=$AT$9,"",IF($P$3=$AT$10,'Statement of Marks'!AV13,IF($P$3=$AT$11,'Statement of Marks'!BS13,IF($P$3=$AT$12,'Statement of Marks'!CP13,IF($P$3=$AT$13,'Statement of Marks'!DN13,IF($P$3=$AT$14,"",IF($P$3=$AT$15,"",""))))))))),"")</f>
        <v>20</v>
      </c>
      <c r="V14" s="818">
        <f>IFERROR(IF(B14="","",IF(AND(T14="",U14="",$P$3=""),"",IF($P$3=$AT$14,'Statement of Marks'!EE13,SUM(T14,U14)))),"")</f>
        <v>55</v>
      </c>
      <c r="W14" s="808">
        <f t="shared" si="5"/>
        <v>110</v>
      </c>
      <c r="X14" s="809">
        <f t="shared" si="6"/>
        <v>0</v>
      </c>
      <c r="Y14" s="809">
        <f t="shared" si="7"/>
        <v>35</v>
      </c>
      <c r="Z14" s="809">
        <f t="shared" si="8"/>
        <v>75</v>
      </c>
      <c r="AA14" s="809">
        <f t="shared" si="9"/>
        <v>70</v>
      </c>
      <c r="AB14" s="809">
        <f t="shared" si="10"/>
        <v>50</v>
      </c>
      <c r="AC14" s="809">
        <f t="shared" si="11"/>
        <v>150</v>
      </c>
      <c r="AD14" s="809" t="str">
        <f t="shared" si="12"/>
        <v/>
      </c>
      <c r="AE14" s="810" t="str">
        <f t="shared" si="13"/>
        <v>P</v>
      </c>
      <c r="AF14" s="811" t="str">
        <f t="shared" si="14"/>
        <v>II</v>
      </c>
      <c r="AG14" s="812" t="str">
        <f t="shared" si="15"/>
        <v/>
      </c>
      <c r="AT14" s="17" t="str">
        <f>'Statement of Marks'!EC4</f>
        <v>जीवन कौशल</v>
      </c>
      <c r="AW14" s="17" t="str">
        <f t="shared" si="16"/>
        <v>P</v>
      </c>
      <c r="AX14" s="17" t="str">
        <f t="shared" si="17"/>
        <v>P</v>
      </c>
      <c r="BM14" s="17" t="str">
        <f>IFERROR(VLOOKUP(B14,'Statement of Marks'!$B$8:'Statement of Marks'!$HI$207,37,0),"")</f>
        <v>A</v>
      </c>
      <c r="BN14" s="17" t="str">
        <f>IFERROR(VLOOKUP(B14,'Statement of Marks'!$B$8:'Statement of Marks'!$HI$207,60,0),"")</f>
        <v>C</v>
      </c>
      <c r="BO14" s="17" t="str">
        <f>IFERROR(VLOOKUP(B14,'Statement of Marks'!$B$8:'Statement of Marks'!$HI$207,83,0),"")</f>
        <v>A</v>
      </c>
      <c r="BP14" s="17" t="str">
        <f>IFERROR(VLOOKUP(B14,'Statement of Marks'!$B$8:'Statement of Marks'!$HI$207,107,0),"")</f>
        <v/>
      </c>
    </row>
    <row r="15" spans="1:68">
      <c r="A15" s="800">
        <f>IF('Statement of Marks'!A14="","",'Statement of Marks'!A14)</f>
        <v>7</v>
      </c>
      <c r="B15" s="801">
        <f>IF(OR($E$3="",$P$3=""),"",IF('Statement of Marks'!B14="","",'Statement of Marks'!B14))</f>
        <v>1107</v>
      </c>
      <c r="C15" s="810" t="str">
        <f>IF(OR($E$3="",$P$3=""),"",IF('Marks Entry'!C14="","",'Marks Entry'!C14))</f>
        <v>A</v>
      </c>
      <c r="D15" s="802">
        <f>IF(OR($E$3="",$P$3=""),"",IF('Statement of Marks'!C14="","",'Statement of Marks'!C14))</f>
        <v>222</v>
      </c>
      <c r="E15" s="803">
        <f>IF(OR($E$3="",$P$3=""),"",IF('Statement of Marks'!D14="","",'Statement of Marks'!D14))</f>
        <v>40065</v>
      </c>
      <c r="F15" s="804" t="str">
        <f>IF(OR($E$3="",$P$3=""),"",IF('Statement of Marks'!E14="","",'Statement of Marks'!E14))</f>
        <v>G</v>
      </c>
      <c r="G15" s="804" t="str">
        <f>IF(OR($E$3="",$P$3=""),"",IF('Statement of Marks'!F14="","",'Statement of Marks'!F14))</f>
        <v>T</v>
      </c>
      <c r="H15" s="804" t="str">
        <f>IF(OR($E$3="",$P$3=""),"",IF('Statement of Marks'!G14="","",'Statement of Marks'!G14))</f>
        <v>S</v>
      </c>
      <c r="I15" s="805" t="str">
        <f>IF(OR($E$3="",$P$3=""),"",IF('Statement of Marks'!H14="","",'Statement of Marks'!H14))</f>
        <v>GEN</v>
      </c>
      <c r="J15" s="805" t="str">
        <f>IF(OR($E$3="",$P$3=""),"",IF('Statement of Marks'!I14="","",'Statement of Marks'!I14))</f>
        <v>M</v>
      </c>
      <c r="K15" s="805" t="str">
        <f>IFERROR(IF(B15="","",IF($P$3=$AT$10,IF(AND(BM15="A"),'Marks Entry'!$U$2,IF(AND(BM15="B"),'Marks Entry'!$Y$2,IF(AND(BM15="C"),'Marks Entry'!$AA$2,""))),IF($P$3=$AT$11,IF(AND(BN15="A"),'Marks Entry'!$AC$2,IF(AND(BN15="B"),'Marks Entry'!$AG$2,IF(AND(BN15="C"),'Marks Entry'!$AI$2,""))),IF($P$3=$AT$12,IF(AND(BO15="A"),'Marks Entry'!$AK$2,IF(AND(BO15="B"),'Marks Entry'!$AO$2,IF(AND(BO15="C"),'Marks Entry'!$AQ$2,""))),IF($P$3=$AT$13,IF(AND(BP15="A"),'Marks Entry'!$AS$2,IF(AND(BP15="B"),'Marks Entry'!$AW$2,IF(AND(BP15="C"),'Marks Entry'!$AY$2,""))),"-"))))),"")</f>
        <v>HOME SCIENCE</v>
      </c>
      <c r="L15" s="806">
        <f>IFERROR(IF(B15="","",IF($P$3=$AT$8,'Statement of Marks'!J14,IF($P$3=$AT$9,'Statement of Marks'!X14,IF($P$3=$AT$10,'Statement of Marks'!AM14,IF($P$3=$AT$11,'Statement of Marks'!BJ14,IF($P$3=$AT$12,'Statement of Marks'!CG14,IF($P$3=$AT$13,'Statement of Marks'!DE14,IF($P$3=$AT$14,"",IF($P$3=$AT$15,'Statement of Marks'!EY14,""))))))))),"")</f>
        <v>4</v>
      </c>
      <c r="M15" s="806">
        <f>IFERROR(IF(B15="","",IF($P$3=$AT$8,'Statement of Marks'!K14,IF($P$3=$AT$9,'Statement of Marks'!Y14,IF($P$3=$AT$10,'Statement of Marks'!AN14,IF($P$3=$AT$11,'Statement of Marks'!BK14,IF($P$3=$AT$12,'Statement of Marks'!CH14,IF($P$3=$AT$13,'Statement of Marks'!DF14,IF($P$3=$AT$14,"",IF($P$3=$AT$15,'Statement of Marks'!EZ14,""))))))))),"")</f>
        <v>4</v>
      </c>
      <c r="N15" s="806">
        <f>IFERROR(IF(B15="","",IF($P$3=$AT$8,'Statement of Marks'!L14,IF($P$3=$AT$9,'Statement of Marks'!Z14,IF($P$3=$AT$10,'Statement of Marks'!AO14,IF($P$3=$AT$11,'Statement of Marks'!BL14,IF($P$3=$AT$12,'Statement of Marks'!CI14,IF($P$3=$AT$13,'Statement of Marks'!DG14,IF($P$3=$AT$14,"",IF($P$3=$AT$15,'Statement of Marks'!FA14,""))))))))),"")</f>
        <v>9</v>
      </c>
      <c r="O15" s="807">
        <f t="shared" si="4"/>
        <v>17</v>
      </c>
      <c r="P15" s="806">
        <f>IFERROR(IF(B15="","",IF($P$3=$AT$8,'Statement of Marks'!N14,IF($P$3=$AT$9,'Statement of Marks'!AB14,IF($P$3=$AT$10,'Statement of Marks'!AQ14,IF($P$3=$AT$11,'Statement of Marks'!BN14,IF($P$3=$AT$12,'Statement of Marks'!CK14,IF($P$3=$AT$13,'Statement of Marks'!DI14,IF($P$3=$AT$14,"",IF($P$3=$AT$15,'Statement of Marks'!FC14,""))))))))),"")</f>
        <v>32</v>
      </c>
      <c r="Q15" s="806" t="str">
        <f>IFERROR(IF(B15="","",IF($P$3=$AT$8,"",IF($P$3=$AT$9,"",IF($P$3=$AT$10,'Statement of Marks'!AR14,IF($P$3=$AT$11,'Statement of Marks'!BO14,IF($P$3=$AT$12,'Statement of Marks'!CL14,IF($P$3=$AT$13,'Statement of Marks'!DJ14,IF($P$3=$AT$14,"",IF($P$3=$AT$15,"",""))))))))),"")</f>
        <v/>
      </c>
      <c r="R15" s="818">
        <f>IFERROR(IF(B15="","",IF(AND(P15="",Q15="",$P$3=""),"",IF($P$3=$AT$14,'Statement of Marks'!EC14,SUM(P15,Q15)))),"")</f>
        <v>32</v>
      </c>
      <c r="S15" s="817">
        <f>IFERROR(IF(B15="","",IF($P$3=$AT$14,'Statement of Marks'!ED14,IF(AND(O15="NA",P15="NA",Q15="NA"),"NA",IF(AND(O15="",P15="",Q15=""),"",SUM(O15,P15,Q15))))),"")</f>
        <v>49</v>
      </c>
      <c r="T15" s="806">
        <f>IFERROR(IF(B15="","",IF($P$3=$AT$8,'Statement of Marks'!P14,IF($P$3=$AT$9,'Statement of Marks'!AD14,IF($P$3=$AT$10,'Statement of Marks'!AU14,IF($P$3=$AT$11,'Statement of Marks'!BR14,IF($P$3=$AT$12,'Statement of Marks'!CO14,IF($P$3=$AT$13,'Statement of Marks'!DM14,IF($P$3=$AT$14,"",IF($P$3=$AT$15,'Statement of Marks'!FD14,""))))))))),"")</f>
        <v>39</v>
      </c>
      <c r="U15" s="806" t="str">
        <f>IFERROR(IF(B15="","",IF($P$3=$AT$8,"",IF($P$3=$AT$9,"",IF($P$3=$AT$10,'Statement of Marks'!AV14,IF($P$3=$AT$11,'Statement of Marks'!BS14,IF($P$3=$AT$12,'Statement of Marks'!CP14,IF($P$3=$AT$13,'Statement of Marks'!DN14,IF($P$3=$AT$14,"",IF($P$3=$AT$15,"",""))))))))),"")</f>
        <v/>
      </c>
      <c r="V15" s="818">
        <f>IFERROR(IF(B15="","",IF(AND(T15="",U15="",$P$3=""),"",IF($P$3=$AT$14,'Statement of Marks'!EE14,SUM(T15,U15)))),"")</f>
        <v>39</v>
      </c>
      <c r="W15" s="808">
        <f t="shared" si="5"/>
        <v>88</v>
      </c>
      <c r="X15" s="809">
        <f t="shared" si="6"/>
        <v>0</v>
      </c>
      <c r="Y15" s="809">
        <f t="shared" si="7"/>
        <v>0</v>
      </c>
      <c r="Z15" s="809">
        <f t="shared" si="8"/>
        <v>88</v>
      </c>
      <c r="AA15" s="809">
        <f t="shared" si="9"/>
        <v>100</v>
      </c>
      <c r="AB15" s="809" t="str">
        <f t="shared" si="10"/>
        <v/>
      </c>
      <c r="AC15" s="809">
        <f t="shared" si="11"/>
        <v>200</v>
      </c>
      <c r="AD15" s="809" t="str">
        <f t="shared" si="12"/>
        <v/>
      </c>
      <c r="AE15" s="810" t="str">
        <f t="shared" si="13"/>
        <v>P</v>
      </c>
      <c r="AF15" s="811" t="str">
        <f t="shared" si="14"/>
        <v>III</v>
      </c>
      <c r="AG15" s="812" t="str">
        <f t="shared" si="15"/>
        <v/>
      </c>
      <c r="AT15" s="17" t="str">
        <f>'Statement of Marks'!EY3</f>
        <v xml:space="preserve">आजादी के बाद का स्वर्णिम भारत </v>
      </c>
      <c r="AW15" s="17" t="str">
        <f t="shared" si="16"/>
        <v>P</v>
      </c>
      <c r="AX15" s="17" t="str">
        <f t="shared" si="17"/>
        <v>P</v>
      </c>
      <c r="BM15" s="17" t="str">
        <f>IFERROR(VLOOKUP(B15,'Statement of Marks'!$B$8:'Statement of Marks'!$HI$207,37,0),"")</f>
        <v>A</v>
      </c>
      <c r="BN15" s="17" t="str">
        <f>IFERROR(VLOOKUP(B15,'Statement of Marks'!$B$8:'Statement of Marks'!$HI$207,60,0),"")</f>
        <v>A</v>
      </c>
      <c r="BO15" s="17" t="str">
        <f>IFERROR(VLOOKUP(B15,'Statement of Marks'!$B$8:'Statement of Marks'!$HI$207,83,0),"")</f>
        <v>B</v>
      </c>
      <c r="BP15" s="17" t="str">
        <f>IFERROR(VLOOKUP(B15,'Statement of Marks'!$B$8:'Statement of Marks'!$HI$207,107,0),"")</f>
        <v/>
      </c>
    </row>
    <row r="16" spans="1:68">
      <c r="A16" s="800">
        <f>IF('Statement of Marks'!A15="","",'Statement of Marks'!A15)</f>
        <v>8</v>
      </c>
      <c r="B16" s="801">
        <f>IF(OR($E$3="",$P$3=""),"",IF('Statement of Marks'!B15="","",'Statement of Marks'!B15))</f>
        <v>1108</v>
      </c>
      <c r="C16" s="810" t="str">
        <f>IF(OR($E$3="",$P$3=""),"",IF('Marks Entry'!C15="","",'Marks Entry'!C15))</f>
        <v>A</v>
      </c>
      <c r="D16" s="802">
        <f>IF(OR($E$3="",$P$3=""),"",IF('Statement of Marks'!C15="","",'Statement of Marks'!C15))</f>
        <v>123</v>
      </c>
      <c r="E16" s="803">
        <f>IF(OR($E$3="",$P$3=""),"",IF('Statement of Marks'!D15="","",'Statement of Marks'!D15))</f>
        <v>39763</v>
      </c>
      <c r="F16" s="804" t="str">
        <f>IF(OR($E$3="",$P$3=""),"",IF('Statement of Marks'!E15="","",'Statement of Marks'!E15))</f>
        <v>O</v>
      </c>
      <c r="G16" s="804" t="str">
        <f>IF(OR($E$3="",$P$3=""),"",IF('Statement of Marks'!F15="","",'Statement of Marks'!F15))</f>
        <v>R</v>
      </c>
      <c r="H16" s="804" t="str">
        <f>IF(OR($E$3="",$P$3=""),"",IF('Statement of Marks'!G15="","",'Statement of Marks'!G15))</f>
        <v>I</v>
      </c>
      <c r="I16" s="805" t="str">
        <f>IF(OR($E$3="",$P$3=""),"",IF('Statement of Marks'!H15="","",'Statement of Marks'!H15))</f>
        <v>OBC</v>
      </c>
      <c r="J16" s="805" t="str">
        <f>IF(OR($E$3="",$P$3=""),"",IF('Statement of Marks'!I15="","",'Statement of Marks'!I15))</f>
        <v>M</v>
      </c>
      <c r="K16" s="805" t="str">
        <f>IFERROR(IF(B16="","",IF($P$3=$AT$10,IF(AND(BM16="A"),'Marks Entry'!$U$2,IF(AND(BM16="B"),'Marks Entry'!$Y$2,IF(AND(BM16="C"),'Marks Entry'!$AA$2,""))),IF($P$3=$AT$11,IF(AND(BN16="A"),'Marks Entry'!$AC$2,IF(AND(BN16="B"),'Marks Entry'!$AG$2,IF(AND(BN16="C"),'Marks Entry'!$AI$2,""))),IF($P$3=$AT$12,IF(AND(BO16="A"),'Marks Entry'!$AK$2,IF(AND(BO16="B"),'Marks Entry'!$AO$2,IF(AND(BO16="C"),'Marks Entry'!$AQ$2,""))),IF($P$3=$AT$13,IF(AND(BP16="A"),'Marks Entry'!$AS$2,IF(AND(BP16="B"),'Marks Entry'!$AW$2,IF(AND(BP16="C"),'Marks Entry'!$AY$2,""))),"-"))))),"")</f>
        <v>HOME SCIENCE</v>
      </c>
      <c r="L16" s="806">
        <f>IFERROR(IF(B16="","",IF($P$3=$AT$8,'Statement of Marks'!J15,IF($P$3=$AT$9,'Statement of Marks'!X15,IF($P$3=$AT$10,'Statement of Marks'!AM15,IF($P$3=$AT$11,'Statement of Marks'!BJ15,IF($P$3=$AT$12,'Statement of Marks'!CG15,IF($P$3=$AT$13,'Statement of Marks'!DE15,IF($P$3=$AT$14,"",IF($P$3=$AT$15,'Statement of Marks'!EY15,""))))))))),"")</f>
        <v>3</v>
      </c>
      <c r="M16" s="806">
        <f>IFERROR(IF(B16="","",IF($P$3=$AT$8,'Statement of Marks'!K15,IF($P$3=$AT$9,'Statement of Marks'!Y15,IF($P$3=$AT$10,'Statement of Marks'!AN15,IF($P$3=$AT$11,'Statement of Marks'!BK15,IF($P$3=$AT$12,'Statement of Marks'!CH15,IF($P$3=$AT$13,'Statement of Marks'!DF15,IF($P$3=$AT$14,"",IF($P$3=$AT$15,'Statement of Marks'!EZ15,""))))))))),"")</f>
        <v>3</v>
      </c>
      <c r="N16" s="806">
        <f>IFERROR(IF(B16="","",IF($P$3=$AT$8,'Statement of Marks'!L15,IF($P$3=$AT$9,'Statement of Marks'!Z15,IF($P$3=$AT$10,'Statement of Marks'!AO15,IF($P$3=$AT$11,'Statement of Marks'!BL15,IF($P$3=$AT$12,'Statement of Marks'!CI15,IF($P$3=$AT$13,'Statement of Marks'!DG15,IF($P$3=$AT$14,"",IF($P$3=$AT$15,'Statement of Marks'!FA15,""))))))))),"")</f>
        <v>7</v>
      </c>
      <c r="O16" s="807">
        <f t="shared" si="4"/>
        <v>13</v>
      </c>
      <c r="P16" s="806">
        <f>IFERROR(IF(B16="","",IF($P$3=$AT$8,'Statement of Marks'!N15,IF($P$3=$AT$9,'Statement of Marks'!AB15,IF($P$3=$AT$10,'Statement of Marks'!AQ15,IF($P$3=$AT$11,'Statement of Marks'!BN15,IF($P$3=$AT$12,'Statement of Marks'!CK15,IF($P$3=$AT$13,'Statement of Marks'!DI15,IF($P$3=$AT$14,"",IF($P$3=$AT$15,'Statement of Marks'!FC15,""))))))))),"")</f>
        <v>10</v>
      </c>
      <c r="Q16" s="806" t="str">
        <f>IFERROR(IF(B16="","",IF($P$3=$AT$8,"",IF($P$3=$AT$9,"",IF($P$3=$AT$10,'Statement of Marks'!AR15,IF($P$3=$AT$11,'Statement of Marks'!BO15,IF($P$3=$AT$12,'Statement of Marks'!CL15,IF($P$3=$AT$13,'Statement of Marks'!DJ15,IF($P$3=$AT$14,"",IF($P$3=$AT$15,"",""))))))))),"")</f>
        <v/>
      </c>
      <c r="R16" s="818">
        <f>IFERROR(IF(B16="","",IF(AND(P16="",Q16="",$P$3=""),"",IF($P$3=$AT$14,'Statement of Marks'!EC15,SUM(P16,Q16)))),"")</f>
        <v>10</v>
      </c>
      <c r="S16" s="817">
        <f>IFERROR(IF(B16="","",IF($P$3=$AT$14,'Statement of Marks'!ED15,IF(AND(O16="NA",P16="NA",Q16="NA"),"NA",IF(AND(O16="",P16="",Q16=""),"",SUM(O16,P16,Q16))))),"")</f>
        <v>23</v>
      </c>
      <c r="T16" s="806">
        <f>IFERROR(IF(B16="","",IF($P$3=$AT$8,'Statement of Marks'!P15,IF($P$3=$AT$9,'Statement of Marks'!AD15,IF($P$3=$AT$10,'Statement of Marks'!AU15,IF($P$3=$AT$11,'Statement of Marks'!BR15,IF($P$3=$AT$12,'Statement of Marks'!CO15,IF($P$3=$AT$13,'Statement of Marks'!DM15,IF($P$3=$AT$14,"",IF($P$3=$AT$15,'Statement of Marks'!FD15,""))))))))),"")</f>
        <v>45</v>
      </c>
      <c r="U16" s="806" t="str">
        <f>IFERROR(IF(B16="","",IF($P$3=$AT$8,"",IF($P$3=$AT$9,"",IF($P$3=$AT$10,'Statement of Marks'!AV15,IF($P$3=$AT$11,'Statement of Marks'!BS15,IF($P$3=$AT$12,'Statement of Marks'!CP15,IF($P$3=$AT$13,'Statement of Marks'!DN15,IF($P$3=$AT$14,"",IF($P$3=$AT$15,"",""))))))))),"")</f>
        <v/>
      </c>
      <c r="V16" s="818">
        <f>IFERROR(IF(B16="","",IF(AND(T16="",U16="",$P$3=""),"",IF($P$3=$AT$14,'Statement of Marks'!EE15,SUM(T16,U16)))),"")</f>
        <v>45</v>
      </c>
      <c r="W16" s="808">
        <f>IFERROR(IF(B16="","",IF($P$3="","",IF(OR($P$3=$AT$14),SUM(R16,S16,V16),SUM(S16,V16)))),"")</f>
        <v>68</v>
      </c>
      <c r="X16" s="809">
        <f t="shared" si="6"/>
        <v>0</v>
      </c>
      <c r="Y16" s="809">
        <f t="shared" si="7"/>
        <v>0</v>
      </c>
      <c r="Z16" s="809">
        <f t="shared" si="8"/>
        <v>68</v>
      </c>
      <c r="AA16" s="809">
        <f t="shared" si="9"/>
        <v>100</v>
      </c>
      <c r="AB16" s="809" t="str">
        <f t="shared" si="10"/>
        <v/>
      </c>
      <c r="AC16" s="809">
        <f t="shared" si="11"/>
        <v>200</v>
      </c>
      <c r="AD16" s="809" t="str">
        <f t="shared" si="12"/>
        <v/>
      </c>
      <c r="AE16" s="810" t="str">
        <f t="shared" si="13"/>
        <v>G</v>
      </c>
      <c r="AF16" s="811" t="str">
        <f t="shared" si="14"/>
        <v>G</v>
      </c>
      <c r="AG16" s="812" t="str">
        <f t="shared" si="15"/>
        <v>By Grace</v>
      </c>
      <c r="AW16" s="17" t="str">
        <f t="shared" si="16"/>
        <v>G</v>
      </c>
      <c r="AX16" s="17" t="str">
        <f t="shared" si="17"/>
        <v/>
      </c>
      <c r="BM16" s="17" t="str">
        <f>IFERROR(VLOOKUP(B16,'Statement of Marks'!$B$8:'Statement of Marks'!$HI$207,37,0),"")</f>
        <v>A</v>
      </c>
      <c r="BN16" s="17" t="str">
        <f>IFERROR(VLOOKUP(B16,'Statement of Marks'!$B$8:'Statement of Marks'!$HI$207,60,0),"")</f>
        <v>A</v>
      </c>
      <c r="BO16" s="17" t="str">
        <f>IFERROR(VLOOKUP(B16,'Statement of Marks'!$B$8:'Statement of Marks'!$HI$207,83,0),"")</f>
        <v>B</v>
      </c>
      <c r="BP16" s="17" t="str">
        <f>IFERROR(VLOOKUP(B16,'Statement of Marks'!$B$8:'Statement of Marks'!$HI$207,107,0),"")</f>
        <v/>
      </c>
    </row>
    <row r="17" spans="1:68">
      <c r="A17" s="800">
        <f>IF('Statement of Marks'!A16="","",'Statement of Marks'!A16)</f>
        <v>9</v>
      </c>
      <c r="B17" s="801">
        <f>IF(OR($E$3="",$P$3=""),"",IF('Statement of Marks'!B16="","",'Statement of Marks'!B16))</f>
        <v>1109</v>
      </c>
      <c r="C17" s="810" t="str">
        <f>IF(OR($E$3="",$P$3=""),"",IF('Marks Entry'!C16="","",'Marks Entry'!C16))</f>
        <v>A</v>
      </c>
      <c r="D17" s="802">
        <f>IF(OR($E$3="",$P$3=""),"",IF('Statement of Marks'!C16="","",'Statement of Marks'!C16))</f>
        <v>345</v>
      </c>
      <c r="E17" s="803">
        <f>IF(OR($E$3="",$P$3=""),"",IF('Statement of Marks'!D16="","",'Statement of Marks'!D16))</f>
        <v>40795</v>
      </c>
      <c r="F17" s="804" t="str">
        <f>IF(OR($E$3="",$P$3=""),"",IF('Statement of Marks'!E16="","",'Statement of Marks'!E16))</f>
        <v>P</v>
      </c>
      <c r="G17" s="804" t="str">
        <f>IF(OR($E$3="",$P$3=""),"",IF('Statement of Marks'!F16="","",'Statement of Marks'!F16))</f>
        <v>P</v>
      </c>
      <c r="H17" s="804" t="str">
        <f>IF(OR($E$3="",$P$3=""),"",IF('Statement of Marks'!G16="","",'Statement of Marks'!G16))</f>
        <v>N</v>
      </c>
      <c r="I17" s="805" t="str">
        <f>IF(OR($E$3="",$P$3=""),"",IF('Statement of Marks'!H16="","",'Statement of Marks'!H16))</f>
        <v>SC</v>
      </c>
      <c r="J17" s="805" t="str">
        <f>IF(OR($E$3="",$P$3=""),"",IF('Statement of Marks'!I16="","",'Statement of Marks'!I16))</f>
        <v>F</v>
      </c>
      <c r="K17" s="805" t="str">
        <f>IFERROR(IF(B17="","",IF($P$3=$AT$10,IF(AND(BM17="A"),'Marks Entry'!$U$2,IF(AND(BM17="B"),'Marks Entry'!$Y$2,IF(AND(BM17="C"),'Marks Entry'!$AA$2,""))),IF($P$3=$AT$11,IF(AND(BN17="A"),'Marks Entry'!$AC$2,IF(AND(BN17="B"),'Marks Entry'!$AG$2,IF(AND(BN17="C"),'Marks Entry'!$AI$2,""))),IF($P$3=$AT$12,IF(AND(BO17="A"),'Marks Entry'!$AK$2,IF(AND(BO17="B"),'Marks Entry'!$AO$2,IF(AND(BO17="C"),'Marks Entry'!$AQ$2,""))),IF($P$3=$AT$13,IF(AND(BP17="A"),'Marks Entry'!$AS$2,IF(AND(BP17="B"),'Marks Entry'!$AW$2,IF(AND(BP17="C"),'Marks Entry'!$AY$2,""))),"-"))))),"")</f>
        <v>HOME SCIENCE</v>
      </c>
      <c r="L17" s="806">
        <f>IFERROR(IF(B17="","",IF($P$3=$AT$8,'Statement of Marks'!J16,IF($P$3=$AT$9,'Statement of Marks'!X16,IF($P$3=$AT$10,'Statement of Marks'!AM16,IF($P$3=$AT$11,'Statement of Marks'!BJ16,IF($P$3=$AT$12,'Statement of Marks'!CG16,IF($P$3=$AT$13,'Statement of Marks'!DE16,IF($P$3=$AT$14,"",IF($P$3=$AT$15,'Statement of Marks'!EY16,""))))))))),"")</f>
        <v>3</v>
      </c>
      <c r="M17" s="806">
        <f>IFERROR(IF(B17="","",IF($P$3=$AT$8,'Statement of Marks'!K16,IF($P$3=$AT$9,'Statement of Marks'!Y16,IF($P$3=$AT$10,'Statement of Marks'!AN16,IF($P$3=$AT$11,'Statement of Marks'!BK16,IF($P$3=$AT$12,'Statement of Marks'!CH16,IF($P$3=$AT$13,'Statement of Marks'!DF16,IF($P$3=$AT$14,"",IF($P$3=$AT$15,'Statement of Marks'!EZ16,""))))))))),"")</f>
        <v>3</v>
      </c>
      <c r="N17" s="806">
        <f>IFERROR(IF(B17="","",IF($P$3=$AT$8,'Statement of Marks'!L16,IF($P$3=$AT$9,'Statement of Marks'!Z16,IF($P$3=$AT$10,'Statement of Marks'!AO16,IF($P$3=$AT$11,'Statement of Marks'!BL16,IF($P$3=$AT$12,'Statement of Marks'!CI16,IF($P$3=$AT$13,'Statement of Marks'!DG16,IF($P$3=$AT$14,"",IF($P$3=$AT$15,'Statement of Marks'!FA16,""))))))))),"")</f>
        <v>7</v>
      </c>
      <c r="O17" s="807">
        <f t="shared" si="4"/>
        <v>13</v>
      </c>
      <c r="P17" s="806">
        <f>IFERROR(IF(B17="","",IF($P$3=$AT$8,'Statement of Marks'!N16,IF($P$3=$AT$9,'Statement of Marks'!AB16,IF($P$3=$AT$10,'Statement of Marks'!AQ16,IF($P$3=$AT$11,'Statement of Marks'!BN16,IF($P$3=$AT$12,'Statement of Marks'!CK16,IF($P$3=$AT$13,'Statement of Marks'!DI16,IF($P$3=$AT$14,"",IF($P$3=$AT$15,'Statement of Marks'!FC16,""))))))))),"")</f>
        <v>47</v>
      </c>
      <c r="Q17" s="806" t="str">
        <f>IFERROR(IF(B17="","",IF($P$3=$AT$8,"",IF($P$3=$AT$9,"",IF($P$3=$AT$10,'Statement of Marks'!AR16,IF($P$3=$AT$11,'Statement of Marks'!BO16,IF($P$3=$AT$12,'Statement of Marks'!CL16,IF($P$3=$AT$13,'Statement of Marks'!DJ16,IF($P$3=$AT$14,"",IF($P$3=$AT$15,"",""))))))))),"")</f>
        <v/>
      </c>
      <c r="R17" s="818">
        <f>IFERROR(IF(B17="","",IF(AND(P17="",Q17="",$P$3=""),"",IF($P$3=$AT$14,'Statement of Marks'!EC16,SUM(P17,Q17)))),"")</f>
        <v>47</v>
      </c>
      <c r="S17" s="817">
        <f>IFERROR(IF(B17="","",IF($P$3=$AT$14,'Statement of Marks'!ED16,IF(AND(O17="NA",P17="NA",Q17="NA"),"NA",IF(AND(O17="",P17="",Q17=""),"",SUM(O17,P17,Q17))))),"")</f>
        <v>60</v>
      </c>
      <c r="T17" s="806">
        <f>IFERROR(IF(B17="","",IF($P$3=$AT$8,'Statement of Marks'!P16,IF($P$3=$AT$9,'Statement of Marks'!AD16,IF($P$3=$AT$10,'Statement of Marks'!AU16,IF($P$3=$AT$11,'Statement of Marks'!BR16,IF($P$3=$AT$12,'Statement of Marks'!CO16,IF($P$3=$AT$13,'Statement of Marks'!DM16,IF($P$3=$AT$14,"",IF($P$3=$AT$15,'Statement of Marks'!FD16,""))))))))),"")</f>
        <v>56</v>
      </c>
      <c r="U17" s="806" t="str">
        <f>IFERROR(IF(B17="","",IF($P$3=$AT$8,"",IF($P$3=$AT$9,"",IF($P$3=$AT$10,'Statement of Marks'!AV16,IF($P$3=$AT$11,'Statement of Marks'!BS16,IF($P$3=$AT$12,'Statement of Marks'!CP16,IF($P$3=$AT$13,'Statement of Marks'!DN16,IF($P$3=$AT$14,"",IF($P$3=$AT$15,"",""))))))))),"")</f>
        <v/>
      </c>
      <c r="V17" s="818">
        <f>IFERROR(IF(B17="","",IF(AND(T17="",U17="",$P$3=""),"",IF($P$3=$AT$14,'Statement of Marks'!EE16,SUM(T17,U17)))),"")</f>
        <v>56</v>
      </c>
      <c r="W17" s="808">
        <f t="shared" si="5"/>
        <v>116</v>
      </c>
      <c r="X17" s="809">
        <f t="shared" si="6"/>
        <v>0</v>
      </c>
      <c r="Y17" s="809">
        <f t="shared" si="7"/>
        <v>0</v>
      </c>
      <c r="Z17" s="809">
        <f t="shared" si="8"/>
        <v>116</v>
      </c>
      <c r="AA17" s="809">
        <f t="shared" si="9"/>
        <v>100</v>
      </c>
      <c r="AB17" s="809" t="str">
        <f t="shared" si="10"/>
        <v/>
      </c>
      <c r="AC17" s="809">
        <f t="shared" si="11"/>
        <v>200</v>
      </c>
      <c r="AD17" s="809" t="str">
        <f t="shared" si="12"/>
        <v/>
      </c>
      <c r="AE17" s="810" t="str">
        <f t="shared" si="13"/>
        <v>P</v>
      </c>
      <c r="AF17" s="811" t="str">
        <f t="shared" si="14"/>
        <v>II</v>
      </c>
      <c r="AG17" s="812" t="str">
        <f t="shared" si="15"/>
        <v/>
      </c>
      <c r="AW17" s="17" t="str">
        <f t="shared" si="16"/>
        <v>P</v>
      </c>
      <c r="AX17" s="17" t="str">
        <f t="shared" si="17"/>
        <v>P</v>
      </c>
      <c r="BM17" s="17" t="str">
        <f>IFERROR(VLOOKUP(B17,'Statement of Marks'!$B$8:'Statement of Marks'!$HI$207,37,0),"")</f>
        <v>A</v>
      </c>
      <c r="BN17" s="17" t="str">
        <f>IFERROR(VLOOKUP(B17,'Statement of Marks'!$B$8:'Statement of Marks'!$HI$207,60,0),"")</f>
        <v>A</v>
      </c>
      <c r="BO17" s="17" t="str">
        <f>IFERROR(VLOOKUP(B17,'Statement of Marks'!$B$8:'Statement of Marks'!$HI$207,83,0),"")</f>
        <v>B</v>
      </c>
      <c r="BP17" s="17" t="str">
        <f>IFERROR(VLOOKUP(B17,'Statement of Marks'!$B$8:'Statement of Marks'!$HI$207,107,0),"")</f>
        <v/>
      </c>
    </row>
    <row r="18" spans="1:68">
      <c r="A18" s="800">
        <f>IF('Statement of Marks'!A17="","",'Statement of Marks'!A17)</f>
        <v>10</v>
      </c>
      <c r="B18" s="801">
        <f>IF(OR($E$3="",$P$3=""),"",IF('Statement of Marks'!B17="","",'Statement of Marks'!B17))</f>
        <v>1110</v>
      </c>
      <c r="C18" s="810" t="str">
        <f>IF(OR($E$3="",$P$3=""),"",IF('Marks Entry'!C17="","",'Marks Entry'!C17))</f>
        <v>A</v>
      </c>
      <c r="D18" s="802">
        <f>IF(OR($E$3="",$P$3=""),"",IF('Statement of Marks'!C17="","",'Statement of Marks'!C17))</f>
        <v>678</v>
      </c>
      <c r="E18" s="803">
        <f>IF(OR($E$3="",$P$3=""),"",IF('Statement of Marks'!D17="","",'Statement of Marks'!D17))</f>
        <v>38841</v>
      </c>
      <c r="F18" s="804" t="str">
        <f>IF(OR($E$3="",$P$3=""),"",IF('Statement of Marks'!E17="","",'Statement of Marks'!E17))</f>
        <v>S</v>
      </c>
      <c r="G18" s="804" t="str">
        <f>IF(OR($E$3="",$P$3=""),"",IF('Statement of Marks'!F17="","",'Statement of Marks'!F17))</f>
        <v>M</v>
      </c>
      <c r="H18" s="804" t="str">
        <f>IF(OR($E$3="",$P$3=""),"",IF('Statement of Marks'!G17="","",'Statement of Marks'!G17))</f>
        <v>B</v>
      </c>
      <c r="I18" s="805" t="str">
        <f>IF(OR($E$3="",$P$3=""),"",IF('Statement of Marks'!H17="","",'Statement of Marks'!H17))</f>
        <v>MIN</v>
      </c>
      <c r="J18" s="805" t="str">
        <f>IF(OR($E$3="",$P$3=""),"",IF('Statement of Marks'!I17="","",'Statement of Marks'!I17))</f>
        <v>M</v>
      </c>
      <c r="K18" s="805" t="str">
        <f>IFERROR(IF(B18="","",IF($P$3=$AT$10,IF(AND(BM18="A"),'Marks Entry'!$U$2,IF(AND(BM18="B"),'Marks Entry'!$Y$2,IF(AND(BM18="C"),'Marks Entry'!$AA$2,""))),IF($P$3=$AT$11,IF(AND(BN18="A"),'Marks Entry'!$AC$2,IF(AND(BN18="B"),'Marks Entry'!$AG$2,IF(AND(BN18="C"),'Marks Entry'!$AI$2,""))),IF($P$3=$AT$12,IF(AND(BO18="A"),'Marks Entry'!$AK$2,IF(AND(BO18="B"),'Marks Entry'!$AO$2,IF(AND(BO18="C"),'Marks Entry'!$AQ$2,""))),IF($P$3=$AT$13,IF(AND(BP18="A"),'Marks Entry'!$AS$2,IF(AND(BP18="B"),'Marks Entry'!$AW$2,IF(AND(BP18="C"),'Marks Entry'!$AY$2,""))),"-"))))),"")</f>
        <v>TYPING</v>
      </c>
      <c r="L18" s="806">
        <f>IFERROR(IF(B18="","",IF($P$3=$AT$8,'Statement of Marks'!J17,IF($P$3=$AT$9,'Statement of Marks'!X17,IF($P$3=$AT$10,'Statement of Marks'!AM17,IF($P$3=$AT$11,'Statement of Marks'!BJ17,IF($P$3=$AT$12,'Statement of Marks'!CG17,IF($P$3=$AT$13,'Statement of Marks'!DE17,IF($P$3=$AT$14,"",IF($P$3=$AT$15,'Statement of Marks'!EY17,""))))))))),"")</f>
        <v>3</v>
      </c>
      <c r="M18" s="806">
        <f>IFERROR(IF(B18="","",IF($P$3=$AT$8,'Statement of Marks'!K17,IF($P$3=$AT$9,'Statement of Marks'!Y17,IF($P$3=$AT$10,'Statement of Marks'!AN17,IF($P$3=$AT$11,'Statement of Marks'!BK17,IF($P$3=$AT$12,'Statement of Marks'!CH17,IF($P$3=$AT$13,'Statement of Marks'!DF17,IF($P$3=$AT$14,"",IF($P$3=$AT$15,'Statement of Marks'!EZ17,""))))))))),"")</f>
        <v>5</v>
      </c>
      <c r="N18" s="806">
        <f>IFERROR(IF(B18="","",IF($P$3=$AT$8,'Statement of Marks'!L17,IF($P$3=$AT$9,'Statement of Marks'!Z17,IF($P$3=$AT$10,'Statement of Marks'!AO17,IF($P$3=$AT$11,'Statement of Marks'!BL17,IF($P$3=$AT$12,'Statement of Marks'!CI17,IF($P$3=$AT$13,'Statement of Marks'!DG17,IF($P$3=$AT$14,"",IF($P$3=$AT$15,'Statement of Marks'!FA17,""))))))))),"")</f>
        <v>7</v>
      </c>
      <c r="O18" s="807">
        <f t="shared" si="4"/>
        <v>15</v>
      </c>
      <c r="P18" s="806">
        <f>IFERROR(IF(B18="","",IF($P$3=$AT$8,'Statement of Marks'!N17,IF($P$3=$AT$9,'Statement of Marks'!AB17,IF($P$3=$AT$10,'Statement of Marks'!AQ17,IF($P$3=$AT$11,'Statement of Marks'!BN17,IF($P$3=$AT$12,'Statement of Marks'!CK17,IF($P$3=$AT$13,'Statement of Marks'!DI17,IF($P$3=$AT$14,"",IF($P$3=$AT$15,'Statement of Marks'!FC17,""))))))))),"")</f>
        <v>45</v>
      </c>
      <c r="Q18" s="806" t="str">
        <f>IFERROR(IF(B18="","",IF($P$3=$AT$8,"",IF($P$3=$AT$9,"",IF($P$3=$AT$10,'Statement of Marks'!AR17,IF($P$3=$AT$11,'Statement of Marks'!BO17,IF($P$3=$AT$12,'Statement of Marks'!CL17,IF($P$3=$AT$13,'Statement of Marks'!DJ17,IF($P$3=$AT$14,"",IF($P$3=$AT$15,"",""))))))))),"")</f>
        <v/>
      </c>
      <c r="R18" s="818">
        <f>IFERROR(IF(B18="","",IF(AND(P18="",Q18="",$P$3=""),"",IF($P$3=$AT$14,'Statement of Marks'!EC17,SUM(P18,Q18)))),"")</f>
        <v>45</v>
      </c>
      <c r="S18" s="817">
        <f>IFERROR(IF(B18="","",IF($P$3=$AT$14,'Statement of Marks'!ED17,IF(AND(O18="NA",P18="NA",Q18="NA"),"NA",IF(AND(O18="",P18="",Q18=""),"",SUM(O18,P18,Q18))))),"")</f>
        <v>60</v>
      </c>
      <c r="T18" s="806">
        <f>IFERROR(IF(B18="","",IF($P$3=$AT$8,'Statement of Marks'!P17,IF($P$3=$AT$9,'Statement of Marks'!AD17,IF($P$3=$AT$10,'Statement of Marks'!AU17,IF($P$3=$AT$11,'Statement of Marks'!BR17,IF($P$3=$AT$12,'Statement of Marks'!CO17,IF($P$3=$AT$13,'Statement of Marks'!DM17,IF($P$3=$AT$14,"",IF($P$3=$AT$15,'Statement of Marks'!FD17,""))))))))),"")</f>
        <v>45</v>
      </c>
      <c r="U18" s="806" t="str">
        <f>IFERROR(IF(B18="","",IF($P$3=$AT$8,"",IF($P$3=$AT$9,"",IF($P$3=$AT$10,'Statement of Marks'!AV17,IF($P$3=$AT$11,'Statement of Marks'!BS17,IF($P$3=$AT$12,'Statement of Marks'!CP17,IF($P$3=$AT$13,'Statement of Marks'!DN17,IF($P$3=$AT$14,"",IF($P$3=$AT$15,"",""))))))))),"")</f>
        <v/>
      </c>
      <c r="V18" s="818">
        <f>IFERROR(IF(B18="","",IF(AND(T18="",U18="",$P$3=""),"",IF($P$3=$AT$14,'Statement of Marks'!EE17,SUM(T18,U18)))),"")</f>
        <v>45</v>
      </c>
      <c r="W18" s="808">
        <f t="shared" si="5"/>
        <v>105</v>
      </c>
      <c r="X18" s="809">
        <f t="shared" si="6"/>
        <v>0</v>
      </c>
      <c r="Y18" s="809">
        <f t="shared" si="7"/>
        <v>0</v>
      </c>
      <c r="Z18" s="809">
        <f t="shared" si="8"/>
        <v>105</v>
      </c>
      <c r="AA18" s="809">
        <f t="shared" si="9"/>
        <v>100</v>
      </c>
      <c r="AB18" s="809" t="str">
        <f t="shared" si="10"/>
        <v/>
      </c>
      <c r="AC18" s="809">
        <f t="shared" si="11"/>
        <v>200</v>
      </c>
      <c r="AD18" s="809" t="str">
        <f t="shared" si="12"/>
        <v/>
      </c>
      <c r="AE18" s="810" t="str">
        <f t="shared" si="13"/>
        <v>P</v>
      </c>
      <c r="AF18" s="811" t="str">
        <f t="shared" si="14"/>
        <v>II</v>
      </c>
      <c r="AG18" s="812" t="str">
        <f t="shared" si="15"/>
        <v/>
      </c>
      <c r="AW18" s="17" t="str">
        <f t="shared" si="16"/>
        <v>P</v>
      </c>
      <c r="AX18" s="17" t="str">
        <f t="shared" si="17"/>
        <v>P</v>
      </c>
      <c r="BM18" s="17" t="str">
        <f>IFERROR(VLOOKUP(B18,'Statement of Marks'!$B$8:'Statement of Marks'!$HI$207,37,0),"")</f>
        <v>A</v>
      </c>
      <c r="BN18" s="17" t="str">
        <f>IFERROR(VLOOKUP(B18,'Statement of Marks'!$B$8:'Statement of Marks'!$HI$207,60,0),"")</f>
        <v>A</v>
      </c>
      <c r="BO18" s="17" t="str">
        <f>IFERROR(VLOOKUP(B18,'Statement of Marks'!$B$8:'Statement of Marks'!$HI$207,83,0),"")</f>
        <v>C</v>
      </c>
      <c r="BP18" s="17" t="str">
        <f>IFERROR(VLOOKUP(B18,'Statement of Marks'!$B$8:'Statement of Marks'!$HI$207,107,0),"")</f>
        <v/>
      </c>
    </row>
    <row r="19" spans="1:68">
      <c r="A19" s="800">
        <f>IF('Statement of Marks'!A18="","",'Statement of Marks'!A18)</f>
        <v>11</v>
      </c>
      <c r="B19" s="801">
        <f>IF(OR($E$3="",$P$3=""),"",IF('Statement of Marks'!B18="","",'Statement of Marks'!B18))</f>
        <v>1111</v>
      </c>
      <c r="C19" s="810" t="str">
        <f>IF(OR($E$3="",$P$3=""),"",IF('Marks Entry'!C18="","",'Marks Entry'!C18))</f>
        <v>A</v>
      </c>
      <c r="D19" s="802">
        <f>IF(OR($E$3="",$P$3=""),"",IF('Statement of Marks'!C18="","",'Statement of Marks'!C18))</f>
        <v>654</v>
      </c>
      <c r="E19" s="803">
        <f>IF(OR($E$3="",$P$3=""),"",IF('Statement of Marks'!D18="","",'Statement of Marks'!D18))</f>
        <v>39635</v>
      </c>
      <c r="F19" s="804" t="str">
        <f>IF(OR($E$3="",$P$3=""),"",IF('Statement of Marks'!E18="","",'Statement of Marks'!E18))</f>
        <v>M</v>
      </c>
      <c r="G19" s="804" t="str">
        <f>IF(OR($E$3="",$P$3=""),"",IF('Statement of Marks'!F18="","",'Statement of Marks'!F18))</f>
        <v>N</v>
      </c>
      <c r="H19" s="804" t="str">
        <f>IF(OR($E$3="",$P$3=""),"",IF('Statement of Marks'!G18="","",'Statement of Marks'!G18))</f>
        <v>A</v>
      </c>
      <c r="I19" s="805" t="str">
        <f>IF(OR($E$3="",$P$3=""),"",IF('Statement of Marks'!H18="","",'Statement of Marks'!H18))</f>
        <v>SBC</v>
      </c>
      <c r="J19" s="805" t="str">
        <f>IF(OR($E$3="",$P$3=""),"",IF('Statement of Marks'!I18="","",'Statement of Marks'!I18))</f>
        <v>M</v>
      </c>
      <c r="K19" s="805" t="str">
        <f>IFERROR(IF(B19="","",IF($P$3=$AT$10,IF(AND(BM19="A"),'Marks Entry'!$U$2,IF(AND(BM19="B"),'Marks Entry'!$Y$2,IF(AND(BM19="C"),'Marks Entry'!$AA$2,""))),IF($P$3=$AT$11,IF(AND(BN19="A"),'Marks Entry'!$AC$2,IF(AND(BN19="B"),'Marks Entry'!$AG$2,IF(AND(BN19="C"),'Marks Entry'!$AI$2,""))),IF($P$3=$AT$12,IF(AND(BO19="A"),'Marks Entry'!$AK$2,IF(AND(BO19="B"),'Marks Entry'!$AO$2,IF(AND(BO19="C"),'Marks Entry'!$AQ$2,""))),IF($P$3=$AT$13,IF(AND(BP19="A"),'Marks Entry'!$AS$2,IF(AND(BP19="B"),'Marks Entry'!$AW$2,IF(AND(BP19="C"),'Marks Entry'!$AY$2,""))),"-"))))),"")</f>
        <v>GEOGRAPHY</v>
      </c>
      <c r="L19" s="806">
        <f>IFERROR(IF(B19="","",IF($P$3=$AT$8,'Statement of Marks'!J18,IF($P$3=$AT$9,'Statement of Marks'!X18,IF($P$3=$AT$10,'Statement of Marks'!AM18,IF($P$3=$AT$11,'Statement of Marks'!BJ18,IF($P$3=$AT$12,'Statement of Marks'!CG18,IF($P$3=$AT$13,'Statement of Marks'!DE18,IF($P$3=$AT$14,"",IF($P$3=$AT$15,'Statement of Marks'!EY18,""))))))))),"")</f>
        <v>3</v>
      </c>
      <c r="M19" s="806">
        <f>IFERROR(IF(B19="","",IF($P$3=$AT$8,'Statement of Marks'!K18,IF($P$3=$AT$9,'Statement of Marks'!Y18,IF($P$3=$AT$10,'Statement of Marks'!AN18,IF($P$3=$AT$11,'Statement of Marks'!BK18,IF($P$3=$AT$12,'Statement of Marks'!CH18,IF($P$3=$AT$13,'Statement of Marks'!DF18,IF($P$3=$AT$14,"",IF($P$3=$AT$15,'Statement of Marks'!EZ18,""))))))))),"")</f>
        <v>6</v>
      </c>
      <c r="N19" s="806">
        <f>IFERROR(IF(B19="","",IF($P$3=$AT$8,'Statement of Marks'!L18,IF($P$3=$AT$9,'Statement of Marks'!Z18,IF($P$3=$AT$10,'Statement of Marks'!AO18,IF($P$3=$AT$11,'Statement of Marks'!BL18,IF($P$3=$AT$12,'Statement of Marks'!CI18,IF($P$3=$AT$13,'Statement of Marks'!DG18,IF($P$3=$AT$14,"",IF($P$3=$AT$15,'Statement of Marks'!FA18,""))))))))),"")</f>
        <v>7</v>
      </c>
      <c r="O19" s="807">
        <f t="shared" si="4"/>
        <v>16</v>
      </c>
      <c r="P19" s="806">
        <f>IFERROR(IF(B19="","",IF($P$3=$AT$8,'Statement of Marks'!N18,IF($P$3=$AT$9,'Statement of Marks'!AB18,IF($P$3=$AT$10,'Statement of Marks'!AQ18,IF($P$3=$AT$11,'Statement of Marks'!BN18,IF($P$3=$AT$12,'Statement of Marks'!CK18,IF($P$3=$AT$13,'Statement of Marks'!DI18,IF($P$3=$AT$14,"",IF($P$3=$AT$15,'Statement of Marks'!FC18,""))))))))),"")</f>
        <v>19</v>
      </c>
      <c r="Q19" s="806">
        <f>IFERROR(IF(B19="","",IF($P$3=$AT$8,"",IF($P$3=$AT$9,"",IF($P$3=$AT$10,'Statement of Marks'!AR18,IF($P$3=$AT$11,'Statement of Marks'!BO18,IF($P$3=$AT$12,'Statement of Marks'!CL18,IF($P$3=$AT$13,'Statement of Marks'!DJ18,IF($P$3=$AT$14,"",IF($P$3=$AT$15,"",""))))))))),"")</f>
        <v>10</v>
      </c>
      <c r="R19" s="818">
        <f>IFERROR(IF(B19="","",IF(AND(P19="",Q19="",$P$3=""),"",IF($P$3=$AT$14,'Statement of Marks'!EC18,SUM(P19,Q19)))),"")</f>
        <v>29</v>
      </c>
      <c r="S19" s="817">
        <f>IFERROR(IF(B19="","",IF($P$3=$AT$14,'Statement of Marks'!ED18,IF(AND(O19="NA",P19="NA",Q19="NA"),"NA",IF(AND(O19="",P19="",Q19=""),"",SUM(O19,P19,Q19))))),"")</f>
        <v>45</v>
      </c>
      <c r="T19" s="806">
        <f>IFERROR(IF(B19="","",IF($P$3=$AT$8,'Statement of Marks'!P18,IF($P$3=$AT$9,'Statement of Marks'!AD18,IF($P$3=$AT$10,'Statement of Marks'!AU18,IF($P$3=$AT$11,'Statement of Marks'!BR18,IF($P$3=$AT$12,'Statement of Marks'!CO18,IF($P$3=$AT$13,'Statement of Marks'!DM18,IF($P$3=$AT$14,"",IF($P$3=$AT$15,'Statement of Marks'!FD18,""))))))))),"")</f>
        <v>47</v>
      </c>
      <c r="U19" s="806">
        <f>IFERROR(IF(B19="","",IF($P$3=$AT$8,"",IF($P$3=$AT$9,"",IF($P$3=$AT$10,'Statement of Marks'!AV18,IF($P$3=$AT$11,'Statement of Marks'!BS18,IF($P$3=$AT$12,'Statement of Marks'!CP18,IF($P$3=$AT$13,'Statement of Marks'!DN18,IF($P$3=$AT$14,"",IF($P$3=$AT$15,"",""))))))))),"")</f>
        <v>15</v>
      </c>
      <c r="V19" s="818">
        <f>IFERROR(IF(B19="","",IF(AND(T19="",U19="",$P$3=""),"",IF($P$3=$AT$14,'Statement of Marks'!EE18,SUM(T19,U19)))),"")</f>
        <v>62</v>
      </c>
      <c r="W19" s="808">
        <f t="shared" si="5"/>
        <v>107</v>
      </c>
      <c r="X19" s="809">
        <f t="shared" si="6"/>
        <v>0</v>
      </c>
      <c r="Y19" s="809">
        <f t="shared" si="7"/>
        <v>25</v>
      </c>
      <c r="Z19" s="809">
        <f t="shared" si="8"/>
        <v>82</v>
      </c>
      <c r="AA19" s="809">
        <f t="shared" si="9"/>
        <v>70</v>
      </c>
      <c r="AB19" s="809">
        <f t="shared" si="10"/>
        <v>50</v>
      </c>
      <c r="AC19" s="809">
        <f t="shared" si="11"/>
        <v>150</v>
      </c>
      <c r="AD19" s="809" t="str">
        <f t="shared" si="12"/>
        <v/>
      </c>
      <c r="AE19" s="810" t="str">
        <f t="shared" si="13"/>
        <v>P</v>
      </c>
      <c r="AF19" s="811" t="str">
        <f t="shared" si="14"/>
        <v>II</v>
      </c>
      <c r="AG19" s="812" t="str">
        <f t="shared" si="15"/>
        <v/>
      </c>
      <c r="AT19" s="17" t="str">
        <f>IF(OR(T9="AB",U9="AB",AD9="AB"),"AB",IF(OR(T9="ML",V9="ML"),"RE",IF(U9="MLP","REP",IF(U9&lt;33%*$U$7,"FP",IF(Q9&lt;33%*$Q$7,"FP",IF(AND(Z9&gt;=36%*AC9,SUM(T9)&gt;=20%*AA9,Y9&gt;=SUM(AB9)*36%),"P",IF(AND(Z9&gt;=34%*AC9,SUM(T9)&gt;=20%*AA9,Y9&gt;=SUM(AB9)*36%),"G",IF(AND(Z9&gt;=31%*AC9,SUM(T9)&gt;=20%*AA9,Y9&gt;=SUM(AB9)*36%),"G",IF(AND(Z9&gt;=25%*AC9,SUM(T9)&gt;=20%*AA9),"S","F")))))))))</f>
        <v>P</v>
      </c>
      <c r="AW19" s="17" t="str">
        <f t="shared" si="16"/>
        <v>P</v>
      </c>
      <c r="AX19" s="17" t="str">
        <f t="shared" si="17"/>
        <v>P</v>
      </c>
      <c r="BM19" s="17" t="str">
        <f>IFERROR(VLOOKUP(B19,'Statement of Marks'!$B$8:'Statement of Marks'!$HI$207,37,0),"")</f>
        <v>A</v>
      </c>
      <c r="BN19" s="17" t="str">
        <f>IFERROR(VLOOKUP(B19,'Statement of Marks'!$B$8:'Statement of Marks'!$HI$207,60,0),"")</f>
        <v>A</v>
      </c>
      <c r="BO19" s="17" t="str">
        <f>IFERROR(VLOOKUP(B19,'Statement of Marks'!$B$8:'Statement of Marks'!$HI$207,83,0),"")</f>
        <v>A</v>
      </c>
      <c r="BP19" s="17" t="str">
        <f>IFERROR(VLOOKUP(B19,'Statement of Marks'!$B$8:'Statement of Marks'!$HI$207,107,0),"")</f>
        <v/>
      </c>
    </row>
    <row r="20" spans="1:68">
      <c r="A20" s="800">
        <f>IF('Statement of Marks'!A19="","",'Statement of Marks'!A19)</f>
        <v>12</v>
      </c>
      <c r="B20" s="801" t="str">
        <f>IF(OR($E$3="",$P$3=""),"",IF('Statement of Marks'!B19="","",'Statement of Marks'!B19))</f>
        <v/>
      </c>
      <c r="C20" s="810" t="str">
        <f>IF(OR($E$3="",$P$3=""),"",IF('Marks Entry'!C19="","",'Marks Entry'!C19))</f>
        <v/>
      </c>
      <c r="D20" s="802" t="str">
        <f>IF(OR($E$3="",$P$3=""),"",IF('Statement of Marks'!C19="","",'Statement of Marks'!C19))</f>
        <v/>
      </c>
      <c r="E20" s="803" t="str">
        <f>IF(OR($E$3="",$P$3=""),"",IF('Statement of Marks'!D19="","",'Statement of Marks'!D19))</f>
        <v/>
      </c>
      <c r="F20" s="804" t="str">
        <f>IF(OR($E$3="",$P$3=""),"",IF('Statement of Marks'!E19="","",'Statement of Marks'!E19))</f>
        <v/>
      </c>
      <c r="G20" s="804" t="str">
        <f>IF(OR($E$3="",$P$3=""),"",IF('Statement of Marks'!F19="","",'Statement of Marks'!F19))</f>
        <v/>
      </c>
      <c r="H20" s="804" t="str">
        <f>IF(OR($E$3="",$P$3=""),"",IF('Statement of Marks'!G19="","",'Statement of Marks'!G19))</f>
        <v/>
      </c>
      <c r="I20" s="805" t="str">
        <f>IF(OR($E$3="",$P$3=""),"",IF('Statement of Marks'!H19="","",'Statement of Marks'!H19))</f>
        <v/>
      </c>
      <c r="J20" s="805" t="str">
        <f>IF(OR($E$3="",$P$3=""),"",IF('Statement of Marks'!I19="","",'Statement of Marks'!I19))</f>
        <v/>
      </c>
      <c r="K20" s="805" t="str">
        <f>IFERROR(IF(B20="","",IF($P$3=$AT$10,IF(AND(BM20="A"),'Marks Entry'!$U$2,IF(AND(BM20="B"),'Marks Entry'!$Y$2,IF(AND(BM20="C"),'Marks Entry'!$AA$2,""))),IF($P$3=$AT$11,IF(AND(BN20="A"),'Marks Entry'!$AC$2,IF(AND(BN20="B"),'Marks Entry'!$AG$2,IF(AND(BN20="C"),'Marks Entry'!$AI$2,""))),IF($P$3=$AT$12,IF(AND(BO20="A"),'Marks Entry'!$AK$2,IF(AND(BO20="B"),'Marks Entry'!$AO$2,IF(AND(BO20="C"),'Marks Entry'!$AQ$2,""))),IF($P$3=$AT$13,IF(AND(BP20="A"),'Marks Entry'!$AS$2,IF(AND(BP20="B"),'Marks Entry'!$AW$2,IF(AND(BP20="C"),'Marks Entry'!$AY$2,""))),"-"))))),"")</f>
        <v/>
      </c>
      <c r="L20" s="806" t="str">
        <f>IFERROR(IF(B20="","",IF($P$3=$AT$8,'Statement of Marks'!J19,IF($P$3=$AT$9,'Statement of Marks'!X19,IF($P$3=$AT$10,'Statement of Marks'!AM19,IF($P$3=$AT$11,'Statement of Marks'!BJ19,IF($P$3=$AT$12,'Statement of Marks'!CG19,IF($P$3=$AT$13,'Statement of Marks'!DE19,IF($P$3=$AT$14,"",IF($P$3=$AT$15,'Statement of Marks'!EY19,""))))))))),"")</f>
        <v/>
      </c>
      <c r="M20" s="806" t="str">
        <f>IFERROR(IF(B20="","",IF($P$3=$AT$8,'Statement of Marks'!K19,IF($P$3=$AT$9,'Statement of Marks'!Y19,IF($P$3=$AT$10,'Statement of Marks'!AN19,IF($P$3=$AT$11,'Statement of Marks'!BK19,IF($P$3=$AT$12,'Statement of Marks'!CH19,IF($P$3=$AT$13,'Statement of Marks'!DF19,IF($P$3=$AT$14,"",IF($P$3=$AT$15,'Statement of Marks'!EZ19,""))))))))),"")</f>
        <v/>
      </c>
      <c r="N20" s="806" t="str">
        <f>IFERROR(IF(B20="","",IF($P$3=$AT$8,'Statement of Marks'!L19,IF($P$3=$AT$9,'Statement of Marks'!Z19,IF($P$3=$AT$10,'Statement of Marks'!AO19,IF($P$3=$AT$11,'Statement of Marks'!BL19,IF($P$3=$AT$12,'Statement of Marks'!CI19,IF($P$3=$AT$13,'Statement of Marks'!DG19,IF($P$3=$AT$14,"",IF($P$3=$AT$15,'Statement of Marks'!FA19,""))))))))),"")</f>
        <v/>
      </c>
      <c r="O20" s="807" t="str">
        <f t="shared" si="4"/>
        <v/>
      </c>
      <c r="P20" s="806" t="str">
        <f>IFERROR(IF(B20="","",IF($P$3=$AT$8,'Statement of Marks'!N19,IF($P$3=$AT$9,'Statement of Marks'!AB19,IF($P$3=$AT$10,'Statement of Marks'!AQ19,IF($P$3=$AT$11,'Statement of Marks'!BN19,IF($P$3=$AT$12,'Statement of Marks'!CK19,IF($P$3=$AT$13,'Statement of Marks'!DI19,IF($P$3=$AT$14,"",IF($P$3=$AT$15,'Statement of Marks'!FC19,""))))))))),"")</f>
        <v/>
      </c>
      <c r="Q20" s="806" t="str">
        <f>IFERROR(IF(B20="","",IF($P$3=$AT$8,"",IF($P$3=$AT$9,"",IF($P$3=$AT$10,'Statement of Marks'!AR19,IF($P$3=$AT$11,'Statement of Marks'!BO19,IF($P$3=$AT$12,'Statement of Marks'!CL19,IF($P$3=$AT$13,'Statement of Marks'!DJ19,IF($P$3=$AT$14,"",IF($P$3=$AT$15,"",""))))))))),"")</f>
        <v/>
      </c>
      <c r="R20" s="818" t="str">
        <f>IFERROR(IF(B20="","",IF(AND(P20="",Q20="",$P$3=""),"",IF($P$3=$AT$14,'Statement of Marks'!EC19,SUM(P20,Q20)))),"")</f>
        <v/>
      </c>
      <c r="S20" s="817" t="str">
        <f>IFERROR(IF(B20="","",IF($P$3=$AT$14,'Statement of Marks'!ED19,IF(AND(O20="NA",P20="NA",Q20="NA"),"NA",IF(AND(O20="",P20="",Q20=""),"",SUM(O20,P20,Q20))))),"")</f>
        <v/>
      </c>
      <c r="T20" s="806" t="str">
        <f>IFERROR(IF(B20="","",IF($P$3=$AT$8,'Statement of Marks'!P19,IF($P$3=$AT$9,'Statement of Marks'!AD19,IF($P$3=$AT$10,'Statement of Marks'!AU19,IF($P$3=$AT$11,'Statement of Marks'!BR19,IF($P$3=$AT$12,'Statement of Marks'!CO19,IF($P$3=$AT$13,'Statement of Marks'!DM19,IF($P$3=$AT$14,"",IF($P$3=$AT$15,'Statement of Marks'!FD19,""))))))))),"")</f>
        <v/>
      </c>
      <c r="U20" s="806" t="str">
        <f>IFERROR(IF(B20="","",IF($P$3=$AT$8,"",IF($P$3=$AT$9,"",IF($P$3=$AT$10,'Statement of Marks'!AV19,IF($P$3=$AT$11,'Statement of Marks'!BS19,IF($P$3=$AT$12,'Statement of Marks'!CP19,IF($P$3=$AT$13,'Statement of Marks'!DN19,IF($P$3=$AT$14,"",IF($P$3=$AT$15,"",""))))))))),"")</f>
        <v/>
      </c>
      <c r="V20" s="818" t="str">
        <f>IFERROR(IF(B20="","",IF(AND(T20="",U20="",$P$3=""),"",IF($P$3=$AT$14,'Statement of Marks'!EE19,SUM(T20,U20)))),"")</f>
        <v/>
      </c>
      <c r="W20" s="808" t="str">
        <f t="shared" si="5"/>
        <v/>
      </c>
      <c r="X20" s="809">
        <f t="shared" si="6"/>
        <v>0</v>
      </c>
      <c r="Y20" s="809">
        <f t="shared" si="7"/>
        <v>0</v>
      </c>
      <c r="Z20" s="809">
        <f t="shared" si="8"/>
        <v>0</v>
      </c>
      <c r="AA20" s="809" t="str">
        <f t="shared" si="9"/>
        <v/>
      </c>
      <c r="AB20" s="809" t="str">
        <f t="shared" si="10"/>
        <v/>
      </c>
      <c r="AC20" s="809" t="str">
        <f t="shared" si="11"/>
        <v/>
      </c>
      <c r="AD20" s="809" t="str">
        <f t="shared" si="12"/>
        <v/>
      </c>
      <c r="AE20" s="810" t="str">
        <f t="shared" si="13"/>
        <v/>
      </c>
      <c r="AF20" s="811" t="str">
        <f t="shared" si="14"/>
        <v/>
      </c>
      <c r="AG20" s="812" t="str">
        <f t="shared" si="15"/>
        <v/>
      </c>
      <c r="AT20" s="17" t="str">
        <f>IF(AND(W9&gt;=36%*AC9,SUM(V9)&gt;=20%*$V$7),"P",1)</f>
        <v>P</v>
      </c>
      <c r="AW20" s="17" t="str">
        <f t="shared" si="16"/>
        <v/>
      </c>
      <c r="AX20" s="17" t="str">
        <f t="shared" si="17"/>
        <v/>
      </c>
      <c r="BM20" s="17" t="str">
        <f>IFERROR(VLOOKUP(B20,'Statement of Marks'!$B$8:'Statement of Marks'!$HI$207,37,0),"")</f>
        <v>A</v>
      </c>
      <c r="BN20" s="17" t="str">
        <f>IFERROR(VLOOKUP(B20,'Statement of Marks'!$B$8:'Statement of Marks'!$HI$207,60,0),"")</f>
        <v>A</v>
      </c>
      <c r="BO20" s="17" t="str">
        <f>IFERROR(VLOOKUP(B20,'Statement of Marks'!$B$8:'Statement of Marks'!$HI$207,83,0),"")</f>
        <v>A</v>
      </c>
      <c r="BP20" s="17" t="str">
        <f>IFERROR(VLOOKUP(B20,'Statement of Marks'!$B$8:'Statement of Marks'!$HI$207,107,0),"")</f>
        <v/>
      </c>
    </row>
    <row r="21" spans="1:68">
      <c r="A21" s="800">
        <f>IF('Statement of Marks'!A20="","",'Statement of Marks'!A20)</f>
        <v>13</v>
      </c>
      <c r="B21" s="801" t="str">
        <f>IF(OR($E$3="",$P$3=""),"",IF('Statement of Marks'!B20="","",'Statement of Marks'!B20))</f>
        <v/>
      </c>
      <c r="C21" s="810" t="str">
        <f>IF(OR($E$3="",$P$3=""),"",IF('Marks Entry'!C20="","",'Marks Entry'!C20))</f>
        <v/>
      </c>
      <c r="D21" s="802" t="str">
        <f>IF(OR($E$3="",$P$3=""),"",IF('Statement of Marks'!C20="","",'Statement of Marks'!C20))</f>
        <v/>
      </c>
      <c r="E21" s="803" t="str">
        <f>IF(OR($E$3="",$P$3=""),"",IF('Statement of Marks'!D20="","",'Statement of Marks'!D20))</f>
        <v/>
      </c>
      <c r="F21" s="804" t="str">
        <f>IF(OR($E$3="",$P$3=""),"",IF('Statement of Marks'!E20="","",'Statement of Marks'!E20))</f>
        <v/>
      </c>
      <c r="G21" s="804" t="str">
        <f>IF(OR($E$3="",$P$3=""),"",IF('Statement of Marks'!F20="","",'Statement of Marks'!F20))</f>
        <v/>
      </c>
      <c r="H21" s="804" t="str">
        <f>IF(OR($E$3="",$P$3=""),"",IF('Statement of Marks'!G20="","",'Statement of Marks'!G20))</f>
        <v/>
      </c>
      <c r="I21" s="805" t="str">
        <f>IF(OR($E$3="",$P$3=""),"",IF('Statement of Marks'!H20="","",'Statement of Marks'!H20))</f>
        <v/>
      </c>
      <c r="J21" s="805" t="str">
        <f>IF(OR($E$3="",$P$3=""),"",IF('Statement of Marks'!I20="","",'Statement of Marks'!I20))</f>
        <v/>
      </c>
      <c r="K21" s="805" t="str">
        <f>IFERROR(IF(B21="","",IF($P$3=$AT$10,IF(AND(BM21="A"),'Marks Entry'!$U$2,IF(AND(BM21="B"),'Marks Entry'!$Y$2,IF(AND(BM21="C"),'Marks Entry'!$AA$2,""))),IF($P$3=$AT$11,IF(AND(BN21="A"),'Marks Entry'!$AC$2,IF(AND(BN21="B"),'Marks Entry'!$AG$2,IF(AND(BN21="C"),'Marks Entry'!$AI$2,""))),IF($P$3=$AT$12,IF(AND(BO21="A"),'Marks Entry'!$AK$2,IF(AND(BO21="B"),'Marks Entry'!$AO$2,IF(AND(BO21="C"),'Marks Entry'!$AQ$2,""))),IF($P$3=$AT$13,IF(AND(BP21="A"),'Marks Entry'!$AS$2,IF(AND(BP21="B"),'Marks Entry'!$AW$2,IF(AND(BP21="C"),'Marks Entry'!$AY$2,""))),"-"))))),"")</f>
        <v/>
      </c>
      <c r="L21" s="806" t="str">
        <f>IFERROR(IF(B21="","",IF($P$3=$AT$8,'Statement of Marks'!J20,IF($P$3=$AT$9,'Statement of Marks'!X20,IF($P$3=$AT$10,'Statement of Marks'!AM20,IF($P$3=$AT$11,'Statement of Marks'!BJ20,IF($P$3=$AT$12,'Statement of Marks'!CG20,IF($P$3=$AT$13,'Statement of Marks'!DE20,IF($P$3=$AT$14,"",IF($P$3=$AT$15,'Statement of Marks'!EY20,""))))))))),"")</f>
        <v/>
      </c>
      <c r="M21" s="806" t="str">
        <f>IFERROR(IF(B21="","",IF($P$3=$AT$8,'Statement of Marks'!K20,IF($P$3=$AT$9,'Statement of Marks'!Y20,IF($P$3=$AT$10,'Statement of Marks'!AN20,IF($P$3=$AT$11,'Statement of Marks'!BK20,IF($P$3=$AT$12,'Statement of Marks'!CH20,IF($P$3=$AT$13,'Statement of Marks'!DF20,IF($P$3=$AT$14,"",IF($P$3=$AT$15,'Statement of Marks'!EZ20,""))))))))),"")</f>
        <v/>
      </c>
      <c r="N21" s="806" t="str">
        <f>IFERROR(IF(B21="","",IF($P$3=$AT$8,'Statement of Marks'!L20,IF($P$3=$AT$9,'Statement of Marks'!Z20,IF($P$3=$AT$10,'Statement of Marks'!AO20,IF($P$3=$AT$11,'Statement of Marks'!BL20,IF($P$3=$AT$12,'Statement of Marks'!CI20,IF($P$3=$AT$13,'Statement of Marks'!DG20,IF($P$3=$AT$14,"",IF($P$3=$AT$15,'Statement of Marks'!FA20,""))))))))),"")</f>
        <v/>
      </c>
      <c r="O21" s="807" t="str">
        <f t="shared" si="4"/>
        <v/>
      </c>
      <c r="P21" s="806" t="str">
        <f>IFERROR(IF(B21="","",IF($P$3=$AT$8,'Statement of Marks'!N20,IF($P$3=$AT$9,'Statement of Marks'!AB20,IF($P$3=$AT$10,'Statement of Marks'!AQ20,IF($P$3=$AT$11,'Statement of Marks'!BN20,IF($P$3=$AT$12,'Statement of Marks'!CK20,IF($P$3=$AT$13,'Statement of Marks'!DI20,IF($P$3=$AT$14,"",IF($P$3=$AT$15,'Statement of Marks'!FC20,""))))))))),"")</f>
        <v/>
      </c>
      <c r="Q21" s="806" t="str">
        <f>IFERROR(IF(B21="","",IF($P$3=$AT$8,"",IF($P$3=$AT$9,"",IF($P$3=$AT$10,'Statement of Marks'!AR20,IF($P$3=$AT$11,'Statement of Marks'!BO20,IF($P$3=$AT$12,'Statement of Marks'!CL20,IF($P$3=$AT$13,'Statement of Marks'!DJ20,IF($P$3=$AT$14,"",IF($P$3=$AT$15,"",""))))))))),"")</f>
        <v/>
      </c>
      <c r="R21" s="818" t="str">
        <f>IFERROR(IF(B21="","",IF(AND(P21="",Q21="",$P$3=""),"",IF($P$3=$AT$14,'Statement of Marks'!EC20,SUM(P21,Q21)))),"")</f>
        <v/>
      </c>
      <c r="S21" s="817" t="str">
        <f>IFERROR(IF(B21="","",IF($P$3=$AT$14,'Statement of Marks'!ED20,IF(AND(O21="NA",P21="NA",Q21="NA"),"NA",IF(AND(O21="",P21="",Q21=""),"",SUM(O21,P21,Q21))))),"")</f>
        <v/>
      </c>
      <c r="T21" s="806" t="str">
        <f>IFERROR(IF(B21="","",IF($P$3=$AT$8,'Statement of Marks'!P20,IF($P$3=$AT$9,'Statement of Marks'!AD20,IF($P$3=$AT$10,'Statement of Marks'!AU20,IF($P$3=$AT$11,'Statement of Marks'!BR20,IF($P$3=$AT$12,'Statement of Marks'!CO20,IF($P$3=$AT$13,'Statement of Marks'!DM20,IF($P$3=$AT$14,"",IF($P$3=$AT$15,'Statement of Marks'!FD20,""))))))))),"")</f>
        <v/>
      </c>
      <c r="U21" s="806" t="str">
        <f>IFERROR(IF(B21="","",IF($P$3=$AT$8,"",IF($P$3=$AT$9,"",IF($P$3=$AT$10,'Statement of Marks'!AV20,IF($P$3=$AT$11,'Statement of Marks'!BS20,IF($P$3=$AT$12,'Statement of Marks'!CP20,IF($P$3=$AT$13,'Statement of Marks'!DN20,IF($P$3=$AT$14,"",IF($P$3=$AT$15,"",""))))))))),"")</f>
        <v/>
      </c>
      <c r="V21" s="818" t="str">
        <f>IFERROR(IF(B21="","",IF(AND(T21="",U21="",$P$3=""),"",IF($P$3=$AT$14,'Statement of Marks'!EE20,SUM(T21,U21)))),"")</f>
        <v/>
      </c>
      <c r="W21" s="808" t="str">
        <f t="shared" si="5"/>
        <v/>
      </c>
      <c r="X21" s="809">
        <f t="shared" si="6"/>
        <v>0</v>
      </c>
      <c r="Y21" s="809">
        <f t="shared" si="7"/>
        <v>0</v>
      </c>
      <c r="Z21" s="809">
        <f t="shared" si="8"/>
        <v>0</v>
      </c>
      <c r="AA21" s="809" t="str">
        <f t="shared" si="9"/>
        <v/>
      </c>
      <c r="AB21" s="809" t="str">
        <f t="shared" si="10"/>
        <v/>
      </c>
      <c r="AC21" s="809" t="str">
        <f t="shared" si="11"/>
        <v/>
      </c>
      <c r="AD21" s="809" t="str">
        <f t="shared" si="12"/>
        <v/>
      </c>
      <c r="AE21" s="810" t="str">
        <f t="shared" si="13"/>
        <v/>
      </c>
      <c r="AF21" s="811" t="str">
        <f t="shared" si="14"/>
        <v/>
      </c>
      <c r="AG21" s="812" t="str">
        <f t="shared" si="15"/>
        <v/>
      </c>
      <c r="AW21" s="17" t="str">
        <f t="shared" si="16"/>
        <v/>
      </c>
      <c r="AX21" s="17" t="str">
        <f t="shared" si="17"/>
        <v/>
      </c>
      <c r="BM21" s="17" t="str">
        <f>IFERROR(VLOOKUP(B21,'Statement of Marks'!$B$8:'Statement of Marks'!$HI$207,37,0),"")</f>
        <v>A</v>
      </c>
      <c r="BN21" s="17" t="str">
        <f>IFERROR(VLOOKUP(B21,'Statement of Marks'!$B$8:'Statement of Marks'!$HI$207,60,0),"")</f>
        <v>A</v>
      </c>
      <c r="BO21" s="17" t="str">
        <f>IFERROR(VLOOKUP(B21,'Statement of Marks'!$B$8:'Statement of Marks'!$HI$207,83,0),"")</f>
        <v>A</v>
      </c>
      <c r="BP21" s="17" t="str">
        <f>IFERROR(VLOOKUP(B21,'Statement of Marks'!$B$8:'Statement of Marks'!$HI$207,107,0),"")</f>
        <v/>
      </c>
    </row>
    <row r="22" spans="1:68">
      <c r="A22" s="800">
        <f>IF('Statement of Marks'!A21="","",'Statement of Marks'!A21)</f>
        <v>14</v>
      </c>
      <c r="B22" s="801" t="str">
        <f>IF(OR($E$3="",$P$3=""),"",IF('Statement of Marks'!B21="","",'Statement of Marks'!B21))</f>
        <v/>
      </c>
      <c r="C22" s="810" t="str">
        <f>IF(OR($E$3="",$P$3=""),"",IF('Marks Entry'!C21="","",'Marks Entry'!C21))</f>
        <v/>
      </c>
      <c r="D22" s="802" t="str">
        <f>IF(OR($E$3="",$P$3=""),"",IF('Statement of Marks'!C21="","",'Statement of Marks'!C21))</f>
        <v/>
      </c>
      <c r="E22" s="803" t="str">
        <f>IF(OR($E$3="",$P$3=""),"",IF('Statement of Marks'!D21="","",'Statement of Marks'!D21))</f>
        <v/>
      </c>
      <c r="F22" s="804" t="str">
        <f>IF(OR($E$3="",$P$3=""),"",IF('Statement of Marks'!E21="","",'Statement of Marks'!E21))</f>
        <v/>
      </c>
      <c r="G22" s="804" t="str">
        <f>IF(OR($E$3="",$P$3=""),"",IF('Statement of Marks'!F21="","",'Statement of Marks'!F21))</f>
        <v/>
      </c>
      <c r="H22" s="804" t="str">
        <f>IF(OR($E$3="",$P$3=""),"",IF('Statement of Marks'!G21="","",'Statement of Marks'!G21))</f>
        <v/>
      </c>
      <c r="I22" s="805" t="str">
        <f>IF(OR($E$3="",$P$3=""),"",IF('Statement of Marks'!H21="","",'Statement of Marks'!H21))</f>
        <v/>
      </c>
      <c r="J22" s="805" t="str">
        <f>IF(OR($E$3="",$P$3=""),"",IF('Statement of Marks'!I21="","",'Statement of Marks'!I21))</f>
        <v/>
      </c>
      <c r="K22" s="805" t="str">
        <f>IFERROR(IF(B22="","",IF($P$3=$AT$10,IF(AND(BM22="A"),'Marks Entry'!$U$2,IF(AND(BM22="B"),'Marks Entry'!$Y$2,IF(AND(BM22="C"),'Marks Entry'!$AA$2,""))),IF($P$3=$AT$11,IF(AND(BN22="A"),'Marks Entry'!$AC$2,IF(AND(BN22="B"),'Marks Entry'!$AG$2,IF(AND(BN22="C"),'Marks Entry'!$AI$2,""))),IF($P$3=$AT$12,IF(AND(BO22="A"),'Marks Entry'!$AK$2,IF(AND(BO22="B"),'Marks Entry'!$AO$2,IF(AND(BO22="C"),'Marks Entry'!$AQ$2,""))),IF($P$3=$AT$13,IF(AND(BP22="A"),'Marks Entry'!$AS$2,IF(AND(BP22="B"),'Marks Entry'!$AW$2,IF(AND(BP22="C"),'Marks Entry'!$AY$2,""))),"-"))))),"")</f>
        <v/>
      </c>
      <c r="L22" s="806" t="str">
        <f>IFERROR(IF(B22="","",IF($P$3=$AT$8,'Statement of Marks'!J21,IF($P$3=$AT$9,'Statement of Marks'!X21,IF($P$3=$AT$10,'Statement of Marks'!AM21,IF($P$3=$AT$11,'Statement of Marks'!BJ21,IF($P$3=$AT$12,'Statement of Marks'!CG21,IF($P$3=$AT$13,'Statement of Marks'!DE21,IF($P$3=$AT$14,"",IF($P$3=$AT$15,'Statement of Marks'!EY21,""))))))))),"")</f>
        <v/>
      </c>
      <c r="M22" s="806" t="str">
        <f>IFERROR(IF(B22="","",IF($P$3=$AT$8,'Statement of Marks'!K21,IF($P$3=$AT$9,'Statement of Marks'!Y21,IF($P$3=$AT$10,'Statement of Marks'!AN21,IF($P$3=$AT$11,'Statement of Marks'!BK21,IF($P$3=$AT$12,'Statement of Marks'!CH21,IF($P$3=$AT$13,'Statement of Marks'!DF21,IF($P$3=$AT$14,"",IF($P$3=$AT$15,'Statement of Marks'!EZ21,""))))))))),"")</f>
        <v/>
      </c>
      <c r="N22" s="806" t="str">
        <f>IFERROR(IF(B22="","",IF($P$3=$AT$8,'Statement of Marks'!L21,IF($P$3=$AT$9,'Statement of Marks'!Z21,IF($P$3=$AT$10,'Statement of Marks'!AO21,IF($P$3=$AT$11,'Statement of Marks'!BL21,IF($P$3=$AT$12,'Statement of Marks'!CI21,IF($P$3=$AT$13,'Statement of Marks'!DG21,IF($P$3=$AT$14,"",IF($P$3=$AT$15,'Statement of Marks'!FA21,""))))))))),"")</f>
        <v/>
      </c>
      <c r="O22" s="807" t="str">
        <f t="shared" si="4"/>
        <v/>
      </c>
      <c r="P22" s="806" t="str">
        <f>IFERROR(IF(B22="","",IF($P$3=$AT$8,'Statement of Marks'!N21,IF($P$3=$AT$9,'Statement of Marks'!AB21,IF($P$3=$AT$10,'Statement of Marks'!AQ21,IF($P$3=$AT$11,'Statement of Marks'!BN21,IF($P$3=$AT$12,'Statement of Marks'!CK21,IF($P$3=$AT$13,'Statement of Marks'!DI21,IF($P$3=$AT$14,"",IF($P$3=$AT$15,'Statement of Marks'!FC21,""))))))))),"")</f>
        <v/>
      </c>
      <c r="Q22" s="806" t="str">
        <f>IFERROR(IF(B22="","",IF($P$3=$AT$8,"",IF($P$3=$AT$9,"",IF($P$3=$AT$10,'Statement of Marks'!AR21,IF($P$3=$AT$11,'Statement of Marks'!BO21,IF($P$3=$AT$12,'Statement of Marks'!CL21,IF($P$3=$AT$13,'Statement of Marks'!DJ21,IF($P$3=$AT$14,"",IF($P$3=$AT$15,"",""))))))))),"")</f>
        <v/>
      </c>
      <c r="R22" s="818" t="str">
        <f>IFERROR(IF(B22="","",IF(AND(P22="",Q22="",$P$3=""),"",IF($P$3=$AT$14,'Statement of Marks'!EC21,SUM(P22,Q22)))),"")</f>
        <v/>
      </c>
      <c r="S22" s="817" t="str">
        <f>IFERROR(IF(B22="","",IF($P$3=$AT$14,'Statement of Marks'!ED21,IF(AND(O22="NA",P22="NA",Q22="NA"),"NA",IF(AND(O22="",P22="",Q22=""),"",SUM(O22,P22,Q22))))),"")</f>
        <v/>
      </c>
      <c r="T22" s="806" t="str">
        <f>IFERROR(IF(B22="","",IF($P$3=$AT$8,'Statement of Marks'!P21,IF($P$3=$AT$9,'Statement of Marks'!AD21,IF($P$3=$AT$10,'Statement of Marks'!AU21,IF($P$3=$AT$11,'Statement of Marks'!BR21,IF($P$3=$AT$12,'Statement of Marks'!CO21,IF($P$3=$AT$13,'Statement of Marks'!DM21,IF($P$3=$AT$14,"",IF($P$3=$AT$15,'Statement of Marks'!FD21,""))))))))),"")</f>
        <v/>
      </c>
      <c r="U22" s="806" t="str">
        <f>IFERROR(IF(B22="","",IF($P$3=$AT$8,"",IF($P$3=$AT$9,"",IF($P$3=$AT$10,'Statement of Marks'!AV21,IF($P$3=$AT$11,'Statement of Marks'!BS21,IF($P$3=$AT$12,'Statement of Marks'!CP21,IF($P$3=$AT$13,'Statement of Marks'!DN21,IF($P$3=$AT$14,"",IF($P$3=$AT$15,"",""))))))))),"")</f>
        <v/>
      </c>
      <c r="V22" s="818" t="str">
        <f>IFERROR(IF(B22="","",IF(AND(T22="",U22="",$P$3=""),"",IF($P$3=$AT$14,'Statement of Marks'!EE21,SUM(T22,U22)))),"")</f>
        <v/>
      </c>
      <c r="W22" s="808" t="str">
        <f t="shared" si="5"/>
        <v/>
      </c>
      <c r="X22" s="809">
        <f t="shared" si="6"/>
        <v>0</v>
      </c>
      <c r="Y22" s="809">
        <f t="shared" si="7"/>
        <v>0</v>
      </c>
      <c r="Z22" s="809">
        <f t="shared" si="8"/>
        <v>0</v>
      </c>
      <c r="AA22" s="809" t="str">
        <f t="shared" si="9"/>
        <v/>
      </c>
      <c r="AB22" s="809" t="str">
        <f t="shared" si="10"/>
        <v/>
      </c>
      <c r="AC22" s="809" t="str">
        <f t="shared" si="11"/>
        <v/>
      </c>
      <c r="AD22" s="809" t="str">
        <f t="shared" si="12"/>
        <v/>
      </c>
      <c r="AE22" s="810" t="str">
        <f t="shared" si="13"/>
        <v/>
      </c>
      <c r="AF22" s="811" t="str">
        <f t="shared" si="14"/>
        <v/>
      </c>
      <c r="AG22" s="812" t="str">
        <f t="shared" si="15"/>
        <v/>
      </c>
      <c r="AW22" s="17" t="str">
        <f t="shared" si="16"/>
        <v/>
      </c>
      <c r="AX22" s="17" t="str">
        <f t="shared" si="17"/>
        <v/>
      </c>
      <c r="BM22" s="17" t="str">
        <f>IFERROR(VLOOKUP(B22,'Statement of Marks'!$B$8:'Statement of Marks'!$HI$207,37,0),"")</f>
        <v>A</v>
      </c>
      <c r="BN22" s="17" t="str">
        <f>IFERROR(VLOOKUP(B22,'Statement of Marks'!$B$8:'Statement of Marks'!$HI$207,60,0),"")</f>
        <v>A</v>
      </c>
      <c r="BO22" s="17" t="str">
        <f>IFERROR(VLOOKUP(B22,'Statement of Marks'!$B$8:'Statement of Marks'!$HI$207,83,0),"")</f>
        <v>A</v>
      </c>
      <c r="BP22" s="17" t="str">
        <f>IFERROR(VLOOKUP(B22,'Statement of Marks'!$B$8:'Statement of Marks'!$HI$207,107,0),"")</f>
        <v/>
      </c>
    </row>
    <row r="23" spans="1:68">
      <c r="A23" s="800">
        <f>IF('Statement of Marks'!A22="","",'Statement of Marks'!A22)</f>
        <v>15</v>
      </c>
      <c r="B23" s="801" t="str">
        <f>IF(OR($E$3="",$P$3=""),"",IF('Statement of Marks'!B22="","",'Statement of Marks'!B22))</f>
        <v/>
      </c>
      <c r="C23" s="810" t="str">
        <f>IF(OR($E$3="",$P$3=""),"",IF('Marks Entry'!C22="","",'Marks Entry'!C22))</f>
        <v/>
      </c>
      <c r="D23" s="802" t="str">
        <f>IF(OR($E$3="",$P$3=""),"",IF('Statement of Marks'!C22="","",'Statement of Marks'!C22))</f>
        <v/>
      </c>
      <c r="E23" s="803" t="str">
        <f>IF(OR($E$3="",$P$3=""),"",IF('Statement of Marks'!D22="","",'Statement of Marks'!D22))</f>
        <v/>
      </c>
      <c r="F23" s="804" t="str">
        <f>IF(OR($E$3="",$P$3=""),"",IF('Statement of Marks'!E22="","",'Statement of Marks'!E22))</f>
        <v/>
      </c>
      <c r="G23" s="804" t="str">
        <f>IF(OR($E$3="",$P$3=""),"",IF('Statement of Marks'!F22="","",'Statement of Marks'!F22))</f>
        <v/>
      </c>
      <c r="H23" s="804" t="str">
        <f>IF(OR($E$3="",$P$3=""),"",IF('Statement of Marks'!G22="","",'Statement of Marks'!G22))</f>
        <v/>
      </c>
      <c r="I23" s="805" t="str">
        <f>IF(OR($E$3="",$P$3=""),"",IF('Statement of Marks'!H22="","",'Statement of Marks'!H22))</f>
        <v/>
      </c>
      <c r="J23" s="805" t="str">
        <f>IF(OR($E$3="",$P$3=""),"",IF('Statement of Marks'!I22="","",'Statement of Marks'!I22))</f>
        <v/>
      </c>
      <c r="K23" s="805" t="str">
        <f>IFERROR(IF(B23="","",IF($P$3=$AT$10,IF(AND(BM23="A"),'Marks Entry'!$U$2,IF(AND(BM23="B"),'Marks Entry'!$Y$2,IF(AND(BM23="C"),'Marks Entry'!$AA$2,""))),IF($P$3=$AT$11,IF(AND(BN23="A"),'Marks Entry'!$AC$2,IF(AND(BN23="B"),'Marks Entry'!$AG$2,IF(AND(BN23="C"),'Marks Entry'!$AI$2,""))),IF($P$3=$AT$12,IF(AND(BO23="A"),'Marks Entry'!$AK$2,IF(AND(BO23="B"),'Marks Entry'!$AO$2,IF(AND(BO23="C"),'Marks Entry'!$AQ$2,""))),IF($P$3=$AT$13,IF(AND(BP23="A"),'Marks Entry'!$AS$2,IF(AND(BP23="B"),'Marks Entry'!$AW$2,IF(AND(BP23="C"),'Marks Entry'!$AY$2,""))),"-"))))),"")</f>
        <v/>
      </c>
      <c r="L23" s="806" t="str">
        <f>IFERROR(IF(B23="","",IF($P$3=$AT$8,'Statement of Marks'!J22,IF($P$3=$AT$9,'Statement of Marks'!X22,IF($P$3=$AT$10,'Statement of Marks'!AM22,IF($P$3=$AT$11,'Statement of Marks'!BJ22,IF($P$3=$AT$12,'Statement of Marks'!CG22,IF($P$3=$AT$13,'Statement of Marks'!DE22,IF($P$3=$AT$14,"",IF($P$3=$AT$15,'Statement of Marks'!EY22,""))))))))),"")</f>
        <v/>
      </c>
      <c r="M23" s="806" t="str">
        <f>IFERROR(IF(B23="","",IF($P$3=$AT$8,'Statement of Marks'!K22,IF($P$3=$AT$9,'Statement of Marks'!Y22,IF($P$3=$AT$10,'Statement of Marks'!AN22,IF($P$3=$AT$11,'Statement of Marks'!BK22,IF($P$3=$AT$12,'Statement of Marks'!CH22,IF($P$3=$AT$13,'Statement of Marks'!DF22,IF($P$3=$AT$14,"",IF($P$3=$AT$15,'Statement of Marks'!EZ22,""))))))))),"")</f>
        <v/>
      </c>
      <c r="N23" s="806" t="str">
        <f>IFERROR(IF(B23="","",IF($P$3=$AT$8,'Statement of Marks'!L22,IF($P$3=$AT$9,'Statement of Marks'!Z22,IF($P$3=$AT$10,'Statement of Marks'!AO22,IF($P$3=$AT$11,'Statement of Marks'!BL22,IF($P$3=$AT$12,'Statement of Marks'!CI22,IF($P$3=$AT$13,'Statement of Marks'!DG22,IF($P$3=$AT$14,"",IF($P$3=$AT$15,'Statement of Marks'!FA22,""))))))))),"")</f>
        <v/>
      </c>
      <c r="O23" s="807" t="str">
        <f t="shared" si="4"/>
        <v/>
      </c>
      <c r="P23" s="806" t="str">
        <f>IFERROR(IF(B23="","",IF($P$3=$AT$8,'Statement of Marks'!N22,IF($P$3=$AT$9,'Statement of Marks'!AB22,IF($P$3=$AT$10,'Statement of Marks'!AQ22,IF($P$3=$AT$11,'Statement of Marks'!BN22,IF($P$3=$AT$12,'Statement of Marks'!CK22,IF($P$3=$AT$13,'Statement of Marks'!DI22,IF($P$3=$AT$14,"",IF($P$3=$AT$15,'Statement of Marks'!FC22,""))))))))),"")</f>
        <v/>
      </c>
      <c r="Q23" s="806" t="str">
        <f>IFERROR(IF(B23="","",IF($P$3=$AT$8,"",IF($P$3=$AT$9,"",IF($P$3=$AT$10,'Statement of Marks'!AR22,IF($P$3=$AT$11,'Statement of Marks'!BO22,IF($P$3=$AT$12,'Statement of Marks'!CL22,IF($P$3=$AT$13,'Statement of Marks'!DJ22,IF($P$3=$AT$14,"",IF($P$3=$AT$15,"",""))))))))),"")</f>
        <v/>
      </c>
      <c r="R23" s="818" t="str">
        <f>IFERROR(IF(B23="","",IF(AND(P23="",Q23="",$P$3=""),"",IF($P$3=$AT$14,'Statement of Marks'!EC22,SUM(P23,Q23)))),"")</f>
        <v/>
      </c>
      <c r="S23" s="817" t="str">
        <f>IFERROR(IF(B23="","",IF($P$3=$AT$14,'Statement of Marks'!ED22,IF(AND(O23="NA",P23="NA",Q23="NA"),"NA",IF(AND(O23="",P23="",Q23=""),"",SUM(O23,P23,Q23))))),"")</f>
        <v/>
      </c>
      <c r="T23" s="806" t="str">
        <f>IFERROR(IF(B23="","",IF($P$3=$AT$8,'Statement of Marks'!P22,IF($P$3=$AT$9,'Statement of Marks'!AD22,IF($P$3=$AT$10,'Statement of Marks'!AU22,IF($P$3=$AT$11,'Statement of Marks'!BR22,IF($P$3=$AT$12,'Statement of Marks'!CO22,IF($P$3=$AT$13,'Statement of Marks'!DM22,IF($P$3=$AT$14,"",IF($P$3=$AT$15,'Statement of Marks'!FD22,""))))))))),"")</f>
        <v/>
      </c>
      <c r="U23" s="806" t="str">
        <f>IFERROR(IF(B23="","",IF($P$3=$AT$8,"",IF($P$3=$AT$9,"",IF($P$3=$AT$10,'Statement of Marks'!AV22,IF($P$3=$AT$11,'Statement of Marks'!BS22,IF($P$3=$AT$12,'Statement of Marks'!CP22,IF($P$3=$AT$13,'Statement of Marks'!DN22,IF($P$3=$AT$14,"",IF($P$3=$AT$15,"",""))))))))),"")</f>
        <v/>
      </c>
      <c r="V23" s="818" t="str">
        <f>IFERROR(IF(B23="","",IF(AND(T23="",U23="",$P$3=""),"",IF($P$3=$AT$14,'Statement of Marks'!EE22,SUM(T23,U23)))),"")</f>
        <v/>
      </c>
      <c r="W23" s="808" t="str">
        <f t="shared" si="5"/>
        <v/>
      </c>
      <c r="X23" s="809">
        <f t="shared" si="6"/>
        <v>0</v>
      </c>
      <c r="Y23" s="809">
        <f t="shared" si="7"/>
        <v>0</v>
      </c>
      <c r="Z23" s="809">
        <f t="shared" si="8"/>
        <v>0</v>
      </c>
      <c r="AA23" s="809" t="str">
        <f t="shared" si="9"/>
        <v/>
      </c>
      <c r="AB23" s="809" t="str">
        <f t="shared" si="10"/>
        <v/>
      </c>
      <c r="AC23" s="809" t="str">
        <f t="shared" si="11"/>
        <v/>
      </c>
      <c r="AD23" s="809" t="str">
        <f t="shared" si="12"/>
        <v/>
      </c>
      <c r="AE23" s="810" t="str">
        <f t="shared" si="13"/>
        <v/>
      </c>
      <c r="AF23" s="811" t="str">
        <f t="shared" si="14"/>
        <v/>
      </c>
      <c r="AG23" s="812" t="str">
        <f t="shared" si="15"/>
        <v/>
      </c>
      <c r="AW23" s="17" t="str">
        <f t="shared" si="16"/>
        <v/>
      </c>
      <c r="AX23" s="17" t="str">
        <f t="shared" si="17"/>
        <v/>
      </c>
      <c r="BM23" s="17" t="str">
        <f>IFERROR(VLOOKUP(B23,'Statement of Marks'!$B$8:'Statement of Marks'!$HI$207,37,0),"")</f>
        <v>A</v>
      </c>
      <c r="BN23" s="17" t="str">
        <f>IFERROR(VLOOKUP(B23,'Statement of Marks'!$B$8:'Statement of Marks'!$HI$207,60,0),"")</f>
        <v>A</v>
      </c>
      <c r="BO23" s="17" t="str">
        <f>IFERROR(VLOOKUP(B23,'Statement of Marks'!$B$8:'Statement of Marks'!$HI$207,83,0),"")</f>
        <v>A</v>
      </c>
      <c r="BP23" s="17" t="str">
        <f>IFERROR(VLOOKUP(B23,'Statement of Marks'!$B$8:'Statement of Marks'!$HI$207,107,0),"")</f>
        <v/>
      </c>
    </row>
    <row r="24" spans="1:68">
      <c r="A24" s="800">
        <f>IF('Statement of Marks'!A23="","",'Statement of Marks'!A23)</f>
        <v>16</v>
      </c>
      <c r="B24" s="801" t="str">
        <f>IF(OR($E$3="",$P$3=""),"",IF('Statement of Marks'!B23="","",'Statement of Marks'!B23))</f>
        <v/>
      </c>
      <c r="C24" s="810" t="str">
        <f>IF(OR($E$3="",$P$3=""),"",IF('Marks Entry'!C23="","",'Marks Entry'!C23))</f>
        <v/>
      </c>
      <c r="D24" s="802" t="str">
        <f>IF(OR($E$3="",$P$3=""),"",IF('Statement of Marks'!C23="","",'Statement of Marks'!C23))</f>
        <v/>
      </c>
      <c r="E24" s="803" t="str">
        <f>IF(OR($E$3="",$P$3=""),"",IF('Statement of Marks'!D23="","",'Statement of Marks'!D23))</f>
        <v/>
      </c>
      <c r="F24" s="804" t="str">
        <f>IF(OR($E$3="",$P$3=""),"",IF('Statement of Marks'!E23="","",'Statement of Marks'!E23))</f>
        <v/>
      </c>
      <c r="G24" s="804" t="str">
        <f>IF(OR($E$3="",$P$3=""),"",IF('Statement of Marks'!F23="","",'Statement of Marks'!F23))</f>
        <v/>
      </c>
      <c r="H24" s="804" t="str">
        <f>IF(OR($E$3="",$P$3=""),"",IF('Statement of Marks'!G23="","",'Statement of Marks'!G23))</f>
        <v/>
      </c>
      <c r="I24" s="805" t="str">
        <f>IF(OR($E$3="",$P$3=""),"",IF('Statement of Marks'!H23="","",'Statement of Marks'!H23))</f>
        <v/>
      </c>
      <c r="J24" s="805" t="str">
        <f>IF(OR($E$3="",$P$3=""),"",IF('Statement of Marks'!I23="","",'Statement of Marks'!I23))</f>
        <v/>
      </c>
      <c r="K24" s="805" t="str">
        <f>IFERROR(IF(B24="","",IF($P$3=$AT$10,IF(AND(BM24="A"),'Marks Entry'!$U$2,IF(AND(BM24="B"),'Marks Entry'!$Y$2,IF(AND(BM24="C"),'Marks Entry'!$AA$2,""))),IF($P$3=$AT$11,IF(AND(BN24="A"),'Marks Entry'!$AC$2,IF(AND(BN24="B"),'Marks Entry'!$AG$2,IF(AND(BN24="C"),'Marks Entry'!$AI$2,""))),IF($P$3=$AT$12,IF(AND(BO24="A"),'Marks Entry'!$AK$2,IF(AND(BO24="B"),'Marks Entry'!$AO$2,IF(AND(BO24="C"),'Marks Entry'!$AQ$2,""))),IF($P$3=$AT$13,IF(AND(BP24="A"),'Marks Entry'!$AS$2,IF(AND(BP24="B"),'Marks Entry'!$AW$2,IF(AND(BP24="C"),'Marks Entry'!$AY$2,""))),"-"))))),"")</f>
        <v/>
      </c>
      <c r="L24" s="806" t="str">
        <f>IFERROR(IF(B24="","",IF($P$3=$AT$8,'Statement of Marks'!J23,IF($P$3=$AT$9,'Statement of Marks'!X23,IF($P$3=$AT$10,'Statement of Marks'!AM23,IF($P$3=$AT$11,'Statement of Marks'!BJ23,IF($P$3=$AT$12,'Statement of Marks'!CG23,IF($P$3=$AT$13,'Statement of Marks'!DE23,IF($P$3=$AT$14,"",IF($P$3=$AT$15,'Statement of Marks'!EY23,""))))))))),"")</f>
        <v/>
      </c>
      <c r="M24" s="806" t="str">
        <f>IFERROR(IF(B24="","",IF($P$3=$AT$8,'Statement of Marks'!K23,IF($P$3=$AT$9,'Statement of Marks'!Y23,IF($P$3=$AT$10,'Statement of Marks'!AN23,IF($P$3=$AT$11,'Statement of Marks'!BK23,IF($P$3=$AT$12,'Statement of Marks'!CH23,IF($P$3=$AT$13,'Statement of Marks'!DF23,IF($P$3=$AT$14,"",IF($P$3=$AT$15,'Statement of Marks'!EZ23,""))))))))),"")</f>
        <v/>
      </c>
      <c r="N24" s="806" t="str">
        <f>IFERROR(IF(B24="","",IF($P$3=$AT$8,'Statement of Marks'!L23,IF($P$3=$AT$9,'Statement of Marks'!Z23,IF($P$3=$AT$10,'Statement of Marks'!AO23,IF($P$3=$AT$11,'Statement of Marks'!BL23,IF($P$3=$AT$12,'Statement of Marks'!CI23,IF($P$3=$AT$13,'Statement of Marks'!DG23,IF($P$3=$AT$14,"",IF($P$3=$AT$15,'Statement of Marks'!FA23,""))))))))),"")</f>
        <v/>
      </c>
      <c r="O24" s="807" t="str">
        <f t="shared" si="4"/>
        <v/>
      </c>
      <c r="P24" s="806" t="str">
        <f>IFERROR(IF(B24="","",IF($P$3=$AT$8,'Statement of Marks'!N23,IF($P$3=$AT$9,'Statement of Marks'!AB23,IF($P$3=$AT$10,'Statement of Marks'!AQ23,IF($P$3=$AT$11,'Statement of Marks'!BN23,IF($P$3=$AT$12,'Statement of Marks'!CK23,IF($P$3=$AT$13,'Statement of Marks'!DI23,IF($P$3=$AT$14,"",IF($P$3=$AT$15,'Statement of Marks'!FC23,""))))))))),"")</f>
        <v/>
      </c>
      <c r="Q24" s="806" t="str">
        <f>IFERROR(IF(B24="","",IF($P$3=$AT$8,"",IF($P$3=$AT$9,"",IF($P$3=$AT$10,'Statement of Marks'!AR23,IF($P$3=$AT$11,'Statement of Marks'!BO23,IF($P$3=$AT$12,'Statement of Marks'!CL23,IF($P$3=$AT$13,'Statement of Marks'!DJ23,IF($P$3=$AT$14,"",IF($P$3=$AT$15,"",""))))))))),"")</f>
        <v/>
      </c>
      <c r="R24" s="818" t="str">
        <f>IFERROR(IF(B24="","",IF(AND(P24="",Q24="",$P$3=""),"",IF($P$3=$AT$14,'Statement of Marks'!EC23,SUM(P24,Q24)))),"")</f>
        <v/>
      </c>
      <c r="S24" s="817" t="str">
        <f>IFERROR(IF(B24="","",IF($P$3=$AT$14,'Statement of Marks'!ED23,IF(AND(O24="NA",P24="NA",Q24="NA"),"NA",IF(AND(O24="",P24="",Q24=""),"",SUM(O24,P24,Q24))))),"")</f>
        <v/>
      </c>
      <c r="T24" s="806" t="str">
        <f>IFERROR(IF(B24="","",IF($P$3=$AT$8,'Statement of Marks'!P23,IF($P$3=$AT$9,'Statement of Marks'!AD23,IF($P$3=$AT$10,'Statement of Marks'!AU23,IF($P$3=$AT$11,'Statement of Marks'!BR23,IF($P$3=$AT$12,'Statement of Marks'!CO23,IF($P$3=$AT$13,'Statement of Marks'!DM23,IF($P$3=$AT$14,"",IF($P$3=$AT$15,'Statement of Marks'!FD23,""))))))))),"")</f>
        <v/>
      </c>
      <c r="U24" s="806" t="str">
        <f>IFERROR(IF(B24="","",IF($P$3=$AT$8,"",IF($P$3=$AT$9,"",IF($P$3=$AT$10,'Statement of Marks'!AV23,IF($P$3=$AT$11,'Statement of Marks'!BS23,IF($P$3=$AT$12,'Statement of Marks'!CP23,IF($P$3=$AT$13,'Statement of Marks'!DN23,IF($P$3=$AT$14,"",IF($P$3=$AT$15,"",""))))))))),"")</f>
        <v/>
      </c>
      <c r="V24" s="818" t="str">
        <f>IFERROR(IF(B24="","",IF(AND(T24="",U24="",$P$3=""),"",IF($P$3=$AT$14,'Statement of Marks'!EE23,SUM(T24,U24)))),"")</f>
        <v/>
      </c>
      <c r="W24" s="808" t="str">
        <f t="shared" si="5"/>
        <v/>
      </c>
      <c r="X24" s="809">
        <f t="shared" si="6"/>
        <v>0</v>
      </c>
      <c r="Y24" s="809">
        <f t="shared" si="7"/>
        <v>0</v>
      </c>
      <c r="Z24" s="809">
        <f t="shared" si="8"/>
        <v>0</v>
      </c>
      <c r="AA24" s="809" t="str">
        <f t="shared" si="9"/>
        <v/>
      </c>
      <c r="AB24" s="809" t="str">
        <f t="shared" si="10"/>
        <v/>
      </c>
      <c r="AC24" s="809" t="str">
        <f t="shared" si="11"/>
        <v/>
      </c>
      <c r="AD24" s="809" t="str">
        <f t="shared" si="12"/>
        <v/>
      </c>
      <c r="AE24" s="810" t="str">
        <f t="shared" si="13"/>
        <v/>
      </c>
      <c r="AF24" s="811" t="str">
        <f t="shared" si="14"/>
        <v/>
      </c>
      <c r="AG24" s="812" t="str">
        <f t="shared" si="15"/>
        <v/>
      </c>
      <c r="AW24" s="17" t="str">
        <f t="shared" si="16"/>
        <v/>
      </c>
      <c r="AX24" s="17" t="str">
        <f t="shared" si="17"/>
        <v/>
      </c>
      <c r="BM24" s="17" t="str">
        <f>IFERROR(VLOOKUP(B24,'Statement of Marks'!$B$8:'Statement of Marks'!$HI$207,37,0),"")</f>
        <v>A</v>
      </c>
      <c r="BN24" s="17" t="str">
        <f>IFERROR(VLOOKUP(B24,'Statement of Marks'!$B$8:'Statement of Marks'!$HI$207,60,0),"")</f>
        <v>A</v>
      </c>
      <c r="BO24" s="17" t="str">
        <f>IFERROR(VLOOKUP(B24,'Statement of Marks'!$B$8:'Statement of Marks'!$HI$207,83,0),"")</f>
        <v>A</v>
      </c>
      <c r="BP24" s="17" t="str">
        <f>IFERROR(VLOOKUP(B24,'Statement of Marks'!$B$8:'Statement of Marks'!$HI$207,107,0),"")</f>
        <v/>
      </c>
    </row>
    <row r="25" spans="1:68">
      <c r="A25" s="800">
        <f>IF('Statement of Marks'!A24="","",'Statement of Marks'!A24)</f>
        <v>17</v>
      </c>
      <c r="B25" s="801" t="str">
        <f>IF(OR($E$3="",$P$3=""),"",IF('Statement of Marks'!B24="","",'Statement of Marks'!B24))</f>
        <v/>
      </c>
      <c r="C25" s="810" t="str">
        <f>IF(OR($E$3="",$P$3=""),"",IF('Marks Entry'!C24="","",'Marks Entry'!C24))</f>
        <v/>
      </c>
      <c r="D25" s="802" t="str">
        <f>IF(OR($E$3="",$P$3=""),"",IF('Statement of Marks'!C24="","",'Statement of Marks'!C24))</f>
        <v/>
      </c>
      <c r="E25" s="803" t="str">
        <f>IF(OR($E$3="",$P$3=""),"",IF('Statement of Marks'!D24="","",'Statement of Marks'!D24))</f>
        <v/>
      </c>
      <c r="F25" s="804" t="str">
        <f>IF(OR($E$3="",$P$3=""),"",IF('Statement of Marks'!E24="","",'Statement of Marks'!E24))</f>
        <v/>
      </c>
      <c r="G25" s="804" t="str">
        <f>IF(OR($E$3="",$P$3=""),"",IF('Statement of Marks'!F24="","",'Statement of Marks'!F24))</f>
        <v/>
      </c>
      <c r="H25" s="804" t="str">
        <f>IF(OR($E$3="",$P$3=""),"",IF('Statement of Marks'!G24="","",'Statement of Marks'!G24))</f>
        <v/>
      </c>
      <c r="I25" s="805" t="str">
        <f>IF(OR($E$3="",$P$3=""),"",IF('Statement of Marks'!H24="","",'Statement of Marks'!H24))</f>
        <v/>
      </c>
      <c r="J25" s="805" t="str">
        <f>IF(OR($E$3="",$P$3=""),"",IF('Statement of Marks'!I24="","",'Statement of Marks'!I24))</f>
        <v/>
      </c>
      <c r="K25" s="805" t="str">
        <f>IFERROR(IF(B25="","",IF($P$3=$AT$10,IF(AND(BM25="A"),'Marks Entry'!$U$2,IF(AND(BM25="B"),'Marks Entry'!$Y$2,IF(AND(BM25="C"),'Marks Entry'!$AA$2,""))),IF($P$3=$AT$11,IF(AND(BN25="A"),'Marks Entry'!$AC$2,IF(AND(BN25="B"),'Marks Entry'!$AG$2,IF(AND(BN25="C"),'Marks Entry'!$AI$2,""))),IF($P$3=$AT$12,IF(AND(BO25="A"),'Marks Entry'!$AK$2,IF(AND(BO25="B"),'Marks Entry'!$AO$2,IF(AND(BO25="C"),'Marks Entry'!$AQ$2,""))),IF($P$3=$AT$13,IF(AND(BP25="A"),'Marks Entry'!$AS$2,IF(AND(BP25="B"),'Marks Entry'!$AW$2,IF(AND(BP25="C"),'Marks Entry'!$AY$2,""))),"-"))))),"")</f>
        <v/>
      </c>
      <c r="L25" s="806" t="str">
        <f>IFERROR(IF(B25="","",IF($P$3=$AT$8,'Statement of Marks'!J24,IF($P$3=$AT$9,'Statement of Marks'!X24,IF($P$3=$AT$10,'Statement of Marks'!AM24,IF($P$3=$AT$11,'Statement of Marks'!BJ24,IF($P$3=$AT$12,'Statement of Marks'!CG24,IF($P$3=$AT$13,'Statement of Marks'!DE24,IF($P$3=$AT$14,"",IF($P$3=$AT$15,'Statement of Marks'!EY24,""))))))))),"")</f>
        <v/>
      </c>
      <c r="M25" s="806" t="str">
        <f>IFERROR(IF(B25="","",IF($P$3=$AT$8,'Statement of Marks'!K24,IF($P$3=$AT$9,'Statement of Marks'!Y24,IF($P$3=$AT$10,'Statement of Marks'!AN24,IF($P$3=$AT$11,'Statement of Marks'!BK24,IF($P$3=$AT$12,'Statement of Marks'!CH24,IF($P$3=$AT$13,'Statement of Marks'!DF24,IF($P$3=$AT$14,"",IF($P$3=$AT$15,'Statement of Marks'!EZ24,""))))))))),"")</f>
        <v/>
      </c>
      <c r="N25" s="806" t="str">
        <f>IFERROR(IF(B25="","",IF($P$3=$AT$8,'Statement of Marks'!L24,IF($P$3=$AT$9,'Statement of Marks'!Z24,IF($P$3=$AT$10,'Statement of Marks'!AO24,IF($P$3=$AT$11,'Statement of Marks'!BL24,IF($P$3=$AT$12,'Statement of Marks'!CI24,IF($P$3=$AT$13,'Statement of Marks'!DG24,IF($P$3=$AT$14,"",IF($P$3=$AT$15,'Statement of Marks'!FA24,""))))))))),"")</f>
        <v/>
      </c>
      <c r="O25" s="807" t="str">
        <f t="shared" si="4"/>
        <v/>
      </c>
      <c r="P25" s="806" t="str">
        <f>IFERROR(IF(B25="","",IF($P$3=$AT$8,'Statement of Marks'!N24,IF($P$3=$AT$9,'Statement of Marks'!AB24,IF($P$3=$AT$10,'Statement of Marks'!AQ24,IF($P$3=$AT$11,'Statement of Marks'!BN24,IF($P$3=$AT$12,'Statement of Marks'!CK24,IF($P$3=$AT$13,'Statement of Marks'!DI24,IF($P$3=$AT$14,"",IF($P$3=$AT$15,'Statement of Marks'!FC24,""))))))))),"")</f>
        <v/>
      </c>
      <c r="Q25" s="806" t="str">
        <f>IFERROR(IF(B25="","",IF($P$3=$AT$8,"",IF($P$3=$AT$9,"",IF($P$3=$AT$10,'Statement of Marks'!AR24,IF($P$3=$AT$11,'Statement of Marks'!BO24,IF($P$3=$AT$12,'Statement of Marks'!CL24,IF($P$3=$AT$13,'Statement of Marks'!DJ24,IF($P$3=$AT$14,"",IF($P$3=$AT$15,"",""))))))))),"")</f>
        <v/>
      </c>
      <c r="R25" s="818" t="str">
        <f>IFERROR(IF(B25="","",IF(AND(P25="",Q25="",$P$3=""),"",IF($P$3=$AT$14,'Statement of Marks'!EC24,SUM(P25,Q25)))),"")</f>
        <v/>
      </c>
      <c r="S25" s="817" t="str">
        <f>IFERROR(IF(B25="","",IF($P$3=$AT$14,'Statement of Marks'!ED24,IF(AND(O25="NA",P25="NA",Q25="NA"),"NA",IF(AND(O25="",P25="",Q25=""),"",SUM(O25,P25,Q25))))),"")</f>
        <v/>
      </c>
      <c r="T25" s="806" t="str">
        <f>IFERROR(IF(B25="","",IF($P$3=$AT$8,'Statement of Marks'!P24,IF($P$3=$AT$9,'Statement of Marks'!AD24,IF($P$3=$AT$10,'Statement of Marks'!AU24,IF($P$3=$AT$11,'Statement of Marks'!BR24,IF($P$3=$AT$12,'Statement of Marks'!CO24,IF($P$3=$AT$13,'Statement of Marks'!DM24,IF($P$3=$AT$14,"",IF($P$3=$AT$15,'Statement of Marks'!FD24,""))))))))),"")</f>
        <v/>
      </c>
      <c r="U25" s="806" t="str">
        <f>IFERROR(IF(B25="","",IF($P$3=$AT$8,"",IF($P$3=$AT$9,"",IF($P$3=$AT$10,'Statement of Marks'!AV24,IF($P$3=$AT$11,'Statement of Marks'!BS24,IF($P$3=$AT$12,'Statement of Marks'!CP24,IF($P$3=$AT$13,'Statement of Marks'!DN24,IF($P$3=$AT$14,"",IF($P$3=$AT$15,"",""))))))))),"")</f>
        <v/>
      </c>
      <c r="V25" s="818" t="str">
        <f>IFERROR(IF(B25="","",IF(AND(T25="",U25="",$P$3=""),"",IF($P$3=$AT$14,'Statement of Marks'!EE24,SUM(T25,U25)))),"")</f>
        <v/>
      </c>
      <c r="W25" s="808" t="str">
        <f t="shared" si="5"/>
        <v/>
      </c>
      <c r="X25" s="809">
        <f t="shared" si="6"/>
        <v>0</v>
      </c>
      <c r="Y25" s="809">
        <f t="shared" si="7"/>
        <v>0</v>
      </c>
      <c r="Z25" s="809">
        <f t="shared" si="8"/>
        <v>0</v>
      </c>
      <c r="AA25" s="809" t="str">
        <f t="shared" si="9"/>
        <v/>
      </c>
      <c r="AB25" s="809" t="str">
        <f t="shared" si="10"/>
        <v/>
      </c>
      <c r="AC25" s="809" t="str">
        <f t="shared" si="11"/>
        <v/>
      </c>
      <c r="AD25" s="809" t="str">
        <f t="shared" si="12"/>
        <v/>
      </c>
      <c r="AE25" s="810" t="str">
        <f t="shared" si="13"/>
        <v/>
      </c>
      <c r="AF25" s="811" t="str">
        <f t="shared" si="14"/>
        <v/>
      </c>
      <c r="AG25" s="812" t="str">
        <f t="shared" si="15"/>
        <v/>
      </c>
      <c r="AW25" s="17" t="str">
        <f t="shared" si="16"/>
        <v/>
      </c>
      <c r="AX25" s="17" t="str">
        <f t="shared" si="17"/>
        <v/>
      </c>
      <c r="BM25" s="17" t="str">
        <f>IFERROR(VLOOKUP(B25,'Statement of Marks'!$B$8:'Statement of Marks'!$HI$207,37,0),"")</f>
        <v>A</v>
      </c>
      <c r="BN25" s="17" t="str">
        <f>IFERROR(VLOOKUP(B25,'Statement of Marks'!$B$8:'Statement of Marks'!$HI$207,60,0),"")</f>
        <v>A</v>
      </c>
      <c r="BO25" s="17" t="str">
        <f>IFERROR(VLOOKUP(B25,'Statement of Marks'!$B$8:'Statement of Marks'!$HI$207,83,0),"")</f>
        <v>A</v>
      </c>
      <c r="BP25" s="17" t="str">
        <f>IFERROR(VLOOKUP(B25,'Statement of Marks'!$B$8:'Statement of Marks'!$HI$207,107,0),"")</f>
        <v/>
      </c>
    </row>
    <row r="26" spans="1:68">
      <c r="A26" s="800">
        <f>IF('Statement of Marks'!A25="","",'Statement of Marks'!A25)</f>
        <v>18</v>
      </c>
      <c r="B26" s="801" t="str">
        <f>IF(OR($E$3="",$P$3=""),"",IF('Statement of Marks'!B25="","",'Statement of Marks'!B25))</f>
        <v/>
      </c>
      <c r="C26" s="810" t="str">
        <f>IF(OR($E$3="",$P$3=""),"",IF('Marks Entry'!C25="","",'Marks Entry'!C25))</f>
        <v/>
      </c>
      <c r="D26" s="802" t="str">
        <f>IF(OR($E$3="",$P$3=""),"",IF('Statement of Marks'!C25="","",'Statement of Marks'!C25))</f>
        <v/>
      </c>
      <c r="E26" s="803" t="str">
        <f>IF(OR($E$3="",$P$3=""),"",IF('Statement of Marks'!D25="","",'Statement of Marks'!D25))</f>
        <v/>
      </c>
      <c r="F26" s="804" t="str">
        <f>IF(OR($E$3="",$P$3=""),"",IF('Statement of Marks'!E25="","",'Statement of Marks'!E25))</f>
        <v/>
      </c>
      <c r="G26" s="804" t="str">
        <f>IF(OR($E$3="",$P$3=""),"",IF('Statement of Marks'!F25="","",'Statement of Marks'!F25))</f>
        <v/>
      </c>
      <c r="H26" s="804" t="str">
        <f>IF(OR($E$3="",$P$3=""),"",IF('Statement of Marks'!G25="","",'Statement of Marks'!G25))</f>
        <v/>
      </c>
      <c r="I26" s="805" t="str">
        <f>IF(OR($E$3="",$P$3=""),"",IF('Statement of Marks'!H25="","",'Statement of Marks'!H25))</f>
        <v/>
      </c>
      <c r="J26" s="805" t="str">
        <f>IF(OR($E$3="",$P$3=""),"",IF('Statement of Marks'!I25="","",'Statement of Marks'!I25))</f>
        <v/>
      </c>
      <c r="K26" s="805" t="str">
        <f>IFERROR(IF(B26="","",IF($P$3=$AT$10,IF(AND(BM26="A"),'Marks Entry'!$U$2,IF(AND(BM26="B"),'Marks Entry'!$Y$2,IF(AND(BM26="C"),'Marks Entry'!$AA$2,""))),IF($P$3=$AT$11,IF(AND(BN26="A"),'Marks Entry'!$AC$2,IF(AND(BN26="B"),'Marks Entry'!$AG$2,IF(AND(BN26="C"),'Marks Entry'!$AI$2,""))),IF($P$3=$AT$12,IF(AND(BO26="A"),'Marks Entry'!$AK$2,IF(AND(BO26="B"),'Marks Entry'!$AO$2,IF(AND(BO26="C"),'Marks Entry'!$AQ$2,""))),IF($P$3=$AT$13,IF(AND(BP26="A"),'Marks Entry'!$AS$2,IF(AND(BP26="B"),'Marks Entry'!$AW$2,IF(AND(BP26="C"),'Marks Entry'!$AY$2,""))),"-"))))),"")</f>
        <v/>
      </c>
      <c r="L26" s="806" t="str">
        <f>IFERROR(IF(B26="","",IF($P$3=$AT$8,'Statement of Marks'!J25,IF($P$3=$AT$9,'Statement of Marks'!X25,IF($P$3=$AT$10,'Statement of Marks'!AM25,IF($P$3=$AT$11,'Statement of Marks'!BJ25,IF($P$3=$AT$12,'Statement of Marks'!CG25,IF($P$3=$AT$13,'Statement of Marks'!DE25,IF($P$3=$AT$14,"",IF($P$3=$AT$15,'Statement of Marks'!EY25,""))))))))),"")</f>
        <v/>
      </c>
      <c r="M26" s="806" t="str">
        <f>IFERROR(IF(B26="","",IF($P$3=$AT$8,'Statement of Marks'!K25,IF($P$3=$AT$9,'Statement of Marks'!Y25,IF($P$3=$AT$10,'Statement of Marks'!AN25,IF($P$3=$AT$11,'Statement of Marks'!BK25,IF($P$3=$AT$12,'Statement of Marks'!CH25,IF($P$3=$AT$13,'Statement of Marks'!DF25,IF($P$3=$AT$14,"",IF($P$3=$AT$15,'Statement of Marks'!EZ25,""))))))))),"")</f>
        <v/>
      </c>
      <c r="N26" s="806" t="str">
        <f>IFERROR(IF(B26="","",IF($P$3=$AT$8,'Statement of Marks'!L25,IF($P$3=$AT$9,'Statement of Marks'!Z25,IF($P$3=$AT$10,'Statement of Marks'!AO25,IF($P$3=$AT$11,'Statement of Marks'!BL25,IF($P$3=$AT$12,'Statement of Marks'!CI25,IF($P$3=$AT$13,'Statement of Marks'!DG25,IF($P$3=$AT$14,"",IF($P$3=$AT$15,'Statement of Marks'!FA25,""))))))))),"")</f>
        <v/>
      </c>
      <c r="O26" s="807" t="str">
        <f t="shared" si="4"/>
        <v/>
      </c>
      <c r="P26" s="806" t="str">
        <f>IFERROR(IF(B26="","",IF($P$3=$AT$8,'Statement of Marks'!N25,IF($P$3=$AT$9,'Statement of Marks'!AB25,IF($P$3=$AT$10,'Statement of Marks'!AQ25,IF($P$3=$AT$11,'Statement of Marks'!BN25,IF($P$3=$AT$12,'Statement of Marks'!CK25,IF($P$3=$AT$13,'Statement of Marks'!DI25,IF($P$3=$AT$14,"",IF($P$3=$AT$15,'Statement of Marks'!FC25,""))))))))),"")</f>
        <v/>
      </c>
      <c r="Q26" s="806" t="str">
        <f>IFERROR(IF(B26="","",IF($P$3=$AT$8,"",IF($P$3=$AT$9,"",IF($P$3=$AT$10,'Statement of Marks'!AR25,IF($P$3=$AT$11,'Statement of Marks'!BO25,IF($P$3=$AT$12,'Statement of Marks'!CL25,IF($P$3=$AT$13,'Statement of Marks'!DJ25,IF($P$3=$AT$14,"",IF($P$3=$AT$15,"",""))))))))),"")</f>
        <v/>
      </c>
      <c r="R26" s="818" t="str">
        <f>IFERROR(IF(B26="","",IF(AND(P26="",Q26="",$P$3=""),"",IF($P$3=$AT$14,'Statement of Marks'!EC25,SUM(P26,Q26)))),"")</f>
        <v/>
      </c>
      <c r="S26" s="817" t="str">
        <f>IFERROR(IF(B26="","",IF($P$3=$AT$14,'Statement of Marks'!ED25,IF(AND(O26="NA",P26="NA",Q26="NA"),"NA",IF(AND(O26="",P26="",Q26=""),"",SUM(O26,P26,Q26))))),"")</f>
        <v/>
      </c>
      <c r="T26" s="806" t="str">
        <f>IFERROR(IF(B26="","",IF($P$3=$AT$8,'Statement of Marks'!P25,IF($P$3=$AT$9,'Statement of Marks'!AD25,IF($P$3=$AT$10,'Statement of Marks'!AU25,IF($P$3=$AT$11,'Statement of Marks'!BR25,IF($P$3=$AT$12,'Statement of Marks'!CO25,IF($P$3=$AT$13,'Statement of Marks'!DM25,IF($P$3=$AT$14,"",IF($P$3=$AT$15,'Statement of Marks'!FD25,""))))))))),"")</f>
        <v/>
      </c>
      <c r="U26" s="806" t="str">
        <f>IFERROR(IF(B26="","",IF($P$3=$AT$8,"",IF($P$3=$AT$9,"",IF($P$3=$AT$10,'Statement of Marks'!AV25,IF($P$3=$AT$11,'Statement of Marks'!BS25,IF($P$3=$AT$12,'Statement of Marks'!CP25,IF($P$3=$AT$13,'Statement of Marks'!DN25,IF($P$3=$AT$14,"",IF($P$3=$AT$15,"",""))))))))),"")</f>
        <v/>
      </c>
      <c r="V26" s="818" t="str">
        <f>IFERROR(IF(B26="","",IF(AND(T26="",U26="",$P$3=""),"",IF($P$3=$AT$14,'Statement of Marks'!EE25,SUM(T26,U26)))),"")</f>
        <v/>
      </c>
      <c r="W26" s="808" t="str">
        <f t="shared" si="5"/>
        <v/>
      </c>
      <c r="X26" s="809">
        <f t="shared" si="6"/>
        <v>0</v>
      </c>
      <c r="Y26" s="809">
        <f t="shared" si="7"/>
        <v>0</v>
      </c>
      <c r="Z26" s="809">
        <f t="shared" si="8"/>
        <v>0</v>
      </c>
      <c r="AA26" s="809" t="str">
        <f t="shared" si="9"/>
        <v/>
      </c>
      <c r="AB26" s="809" t="str">
        <f t="shared" si="10"/>
        <v/>
      </c>
      <c r="AC26" s="809" t="str">
        <f t="shared" si="11"/>
        <v/>
      </c>
      <c r="AD26" s="809" t="str">
        <f t="shared" si="12"/>
        <v/>
      </c>
      <c r="AE26" s="810" t="str">
        <f t="shared" si="13"/>
        <v/>
      </c>
      <c r="AF26" s="811" t="str">
        <f t="shared" si="14"/>
        <v/>
      </c>
      <c r="AG26" s="812" t="str">
        <f t="shared" si="15"/>
        <v/>
      </c>
      <c r="AW26" s="17" t="str">
        <f t="shared" si="16"/>
        <v/>
      </c>
      <c r="AX26" s="17" t="str">
        <f t="shared" si="17"/>
        <v/>
      </c>
      <c r="BM26" s="17" t="str">
        <f>IFERROR(VLOOKUP(B26,'Statement of Marks'!$B$8:'Statement of Marks'!$HI$207,37,0),"")</f>
        <v>A</v>
      </c>
      <c r="BN26" s="17" t="str">
        <f>IFERROR(VLOOKUP(B26,'Statement of Marks'!$B$8:'Statement of Marks'!$HI$207,60,0),"")</f>
        <v>A</v>
      </c>
      <c r="BO26" s="17" t="str">
        <f>IFERROR(VLOOKUP(B26,'Statement of Marks'!$B$8:'Statement of Marks'!$HI$207,83,0),"")</f>
        <v>A</v>
      </c>
      <c r="BP26" s="17" t="str">
        <f>IFERROR(VLOOKUP(B26,'Statement of Marks'!$B$8:'Statement of Marks'!$HI$207,107,0),"")</f>
        <v/>
      </c>
    </row>
    <row r="27" spans="1:68">
      <c r="A27" s="800">
        <f>IF('Statement of Marks'!A26="","",'Statement of Marks'!A26)</f>
        <v>19</v>
      </c>
      <c r="B27" s="801" t="str">
        <f>IF(OR($E$3="",$P$3=""),"",IF('Statement of Marks'!B26="","",'Statement of Marks'!B26))</f>
        <v/>
      </c>
      <c r="C27" s="810" t="str">
        <f>IF(OR($E$3="",$P$3=""),"",IF('Marks Entry'!C26="","",'Marks Entry'!C26))</f>
        <v/>
      </c>
      <c r="D27" s="802" t="str">
        <f>IF(OR($E$3="",$P$3=""),"",IF('Statement of Marks'!C26="","",'Statement of Marks'!C26))</f>
        <v/>
      </c>
      <c r="E27" s="803" t="str">
        <f>IF(OR($E$3="",$P$3=""),"",IF('Statement of Marks'!D26="","",'Statement of Marks'!D26))</f>
        <v/>
      </c>
      <c r="F27" s="804" t="str">
        <f>IF(OR($E$3="",$P$3=""),"",IF('Statement of Marks'!E26="","",'Statement of Marks'!E26))</f>
        <v/>
      </c>
      <c r="G27" s="804" t="str">
        <f>IF(OR($E$3="",$P$3=""),"",IF('Statement of Marks'!F26="","",'Statement of Marks'!F26))</f>
        <v/>
      </c>
      <c r="H27" s="804" t="str">
        <f>IF(OR($E$3="",$P$3=""),"",IF('Statement of Marks'!G26="","",'Statement of Marks'!G26))</f>
        <v/>
      </c>
      <c r="I27" s="805" t="str">
        <f>IF(OR($E$3="",$P$3=""),"",IF('Statement of Marks'!H26="","",'Statement of Marks'!H26))</f>
        <v/>
      </c>
      <c r="J27" s="805" t="str">
        <f>IF(OR($E$3="",$P$3=""),"",IF('Statement of Marks'!I26="","",'Statement of Marks'!I26))</f>
        <v/>
      </c>
      <c r="K27" s="805" t="str">
        <f>IFERROR(IF(B27="","",IF($P$3=$AT$10,IF(AND(BM27="A"),'Marks Entry'!$U$2,IF(AND(BM27="B"),'Marks Entry'!$Y$2,IF(AND(BM27="C"),'Marks Entry'!$AA$2,""))),IF($P$3=$AT$11,IF(AND(BN27="A"),'Marks Entry'!$AC$2,IF(AND(BN27="B"),'Marks Entry'!$AG$2,IF(AND(BN27="C"),'Marks Entry'!$AI$2,""))),IF($P$3=$AT$12,IF(AND(BO27="A"),'Marks Entry'!$AK$2,IF(AND(BO27="B"),'Marks Entry'!$AO$2,IF(AND(BO27="C"),'Marks Entry'!$AQ$2,""))),IF($P$3=$AT$13,IF(AND(BP27="A"),'Marks Entry'!$AS$2,IF(AND(BP27="B"),'Marks Entry'!$AW$2,IF(AND(BP27="C"),'Marks Entry'!$AY$2,""))),"-"))))),"")</f>
        <v/>
      </c>
      <c r="L27" s="806" t="str">
        <f>IFERROR(IF(B27="","",IF($P$3=$AT$8,'Statement of Marks'!J26,IF($P$3=$AT$9,'Statement of Marks'!X26,IF($P$3=$AT$10,'Statement of Marks'!AM26,IF($P$3=$AT$11,'Statement of Marks'!BJ26,IF($P$3=$AT$12,'Statement of Marks'!CG26,IF($P$3=$AT$13,'Statement of Marks'!DE26,IF($P$3=$AT$14,"",IF($P$3=$AT$15,'Statement of Marks'!EY26,""))))))))),"")</f>
        <v/>
      </c>
      <c r="M27" s="806" t="str">
        <f>IFERROR(IF(B27="","",IF($P$3=$AT$8,'Statement of Marks'!K26,IF($P$3=$AT$9,'Statement of Marks'!Y26,IF($P$3=$AT$10,'Statement of Marks'!AN26,IF($P$3=$AT$11,'Statement of Marks'!BK26,IF($P$3=$AT$12,'Statement of Marks'!CH26,IF($P$3=$AT$13,'Statement of Marks'!DF26,IF($P$3=$AT$14,"",IF($P$3=$AT$15,'Statement of Marks'!EZ26,""))))))))),"")</f>
        <v/>
      </c>
      <c r="N27" s="806" t="str">
        <f>IFERROR(IF(B27="","",IF($P$3=$AT$8,'Statement of Marks'!L26,IF($P$3=$AT$9,'Statement of Marks'!Z26,IF($P$3=$AT$10,'Statement of Marks'!AO26,IF($P$3=$AT$11,'Statement of Marks'!BL26,IF($P$3=$AT$12,'Statement of Marks'!CI26,IF($P$3=$AT$13,'Statement of Marks'!DG26,IF($P$3=$AT$14,"",IF($P$3=$AT$15,'Statement of Marks'!FA26,""))))))))),"")</f>
        <v/>
      </c>
      <c r="O27" s="807" t="str">
        <f t="shared" si="4"/>
        <v/>
      </c>
      <c r="P27" s="806" t="str">
        <f>IFERROR(IF(B27="","",IF($P$3=$AT$8,'Statement of Marks'!N26,IF($P$3=$AT$9,'Statement of Marks'!AB26,IF($P$3=$AT$10,'Statement of Marks'!AQ26,IF($P$3=$AT$11,'Statement of Marks'!BN26,IF($P$3=$AT$12,'Statement of Marks'!CK26,IF($P$3=$AT$13,'Statement of Marks'!DI26,IF($P$3=$AT$14,"",IF($P$3=$AT$15,'Statement of Marks'!FC26,""))))))))),"")</f>
        <v/>
      </c>
      <c r="Q27" s="806" t="str">
        <f>IFERROR(IF(B27="","",IF($P$3=$AT$8,"",IF($P$3=$AT$9,"",IF($P$3=$AT$10,'Statement of Marks'!AR26,IF($P$3=$AT$11,'Statement of Marks'!BO26,IF($P$3=$AT$12,'Statement of Marks'!CL26,IF($P$3=$AT$13,'Statement of Marks'!DJ26,IF($P$3=$AT$14,"",IF($P$3=$AT$15,"",""))))))))),"")</f>
        <v/>
      </c>
      <c r="R27" s="818" t="str">
        <f>IFERROR(IF(B27="","",IF(AND(P27="",Q27="",$P$3=""),"",IF($P$3=$AT$14,'Statement of Marks'!EC26,SUM(P27,Q27)))),"")</f>
        <v/>
      </c>
      <c r="S27" s="817" t="str">
        <f>IFERROR(IF(B27="","",IF($P$3=$AT$14,'Statement of Marks'!ED26,IF(AND(O27="NA",P27="NA",Q27="NA"),"NA",IF(AND(O27="",P27="",Q27=""),"",SUM(O27,P27,Q27))))),"")</f>
        <v/>
      </c>
      <c r="T27" s="806" t="str">
        <f>IFERROR(IF(B27="","",IF($P$3=$AT$8,'Statement of Marks'!P26,IF($P$3=$AT$9,'Statement of Marks'!AD26,IF($P$3=$AT$10,'Statement of Marks'!AU26,IF($P$3=$AT$11,'Statement of Marks'!BR26,IF($P$3=$AT$12,'Statement of Marks'!CO26,IF($P$3=$AT$13,'Statement of Marks'!DM26,IF($P$3=$AT$14,"",IF($P$3=$AT$15,'Statement of Marks'!FD26,""))))))))),"")</f>
        <v/>
      </c>
      <c r="U27" s="806" t="str">
        <f>IFERROR(IF(B27="","",IF($P$3=$AT$8,"",IF($P$3=$AT$9,"",IF($P$3=$AT$10,'Statement of Marks'!AV26,IF($P$3=$AT$11,'Statement of Marks'!BS26,IF($P$3=$AT$12,'Statement of Marks'!CP26,IF($P$3=$AT$13,'Statement of Marks'!DN26,IF($P$3=$AT$14,"",IF($P$3=$AT$15,"",""))))))))),"")</f>
        <v/>
      </c>
      <c r="V27" s="818" t="str">
        <f>IFERROR(IF(B27="","",IF(AND(T27="",U27="",$P$3=""),"",IF($P$3=$AT$14,'Statement of Marks'!EE26,SUM(T27,U27)))),"")</f>
        <v/>
      </c>
      <c r="W27" s="808" t="str">
        <f t="shared" si="5"/>
        <v/>
      </c>
      <c r="X27" s="809">
        <f t="shared" si="6"/>
        <v>0</v>
      </c>
      <c r="Y27" s="809">
        <f t="shared" si="7"/>
        <v>0</v>
      </c>
      <c r="Z27" s="809">
        <f t="shared" si="8"/>
        <v>0</v>
      </c>
      <c r="AA27" s="809" t="str">
        <f t="shared" si="9"/>
        <v/>
      </c>
      <c r="AB27" s="809" t="str">
        <f t="shared" si="10"/>
        <v/>
      </c>
      <c r="AC27" s="809" t="str">
        <f t="shared" si="11"/>
        <v/>
      </c>
      <c r="AD27" s="809" t="str">
        <f t="shared" si="12"/>
        <v/>
      </c>
      <c r="AE27" s="810" t="str">
        <f t="shared" si="13"/>
        <v/>
      </c>
      <c r="AF27" s="811" t="str">
        <f t="shared" si="14"/>
        <v/>
      </c>
      <c r="AG27" s="812" t="str">
        <f t="shared" si="15"/>
        <v/>
      </c>
      <c r="AW27" s="17" t="str">
        <f t="shared" si="16"/>
        <v/>
      </c>
      <c r="AX27" s="17" t="str">
        <f t="shared" si="17"/>
        <v/>
      </c>
      <c r="BM27" s="17" t="str">
        <f>IFERROR(VLOOKUP(B27,'Statement of Marks'!$B$8:'Statement of Marks'!$HI$207,37,0),"")</f>
        <v>A</v>
      </c>
      <c r="BN27" s="17" t="str">
        <f>IFERROR(VLOOKUP(B27,'Statement of Marks'!$B$8:'Statement of Marks'!$HI$207,60,0),"")</f>
        <v>A</v>
      </c>
      <c r="BO27" s="17" t="str">
        <f>IFERROR(VLOOKUP(B27,'Statement of Marks'!$B$8:'Statement of Marks'!$HI$207,83,0),"")</f>
        <v>A</v>
      </c>
      <c r="BP27" s="17" t="str">
        <f>IFERROR(VLOOKUP(B27,'Statement of Marks'!$B$8:'Statement of Marks'!$HI$207,107,0),"")</f>
        <v/>
      </c>
    </row>
    <row r="28" spans="1:68">
      <c r="A28" s="800">
        <f>IF('Statement of Marks'!A27="","",'Statement of Marks'!A27)</f>
        <v>20</v>
      </c>
      <c r="B28" s="801" t="str">
        <f>IF(OR($E$3="",$P$3=""),"",IF('Statement of Marks'!B27="","",'Statement of Marks'!B27))</f>
        <v/>
      </c>
      <c r="C28" s="810" t="str">
        <f>IF(OR($E$3="",$P$3=""),"",IF('Marks Entry'!C27="","",'Marks Entry'!C27))</f>
        <v/>
      </c>
      <c r="D28" s="802" t="str">
        <f>IF(OR($E$3="",$P$3=""),"",IF('Statement of Marks'!C27="","",'Statement of Marks'!C27))</f>
        <v/>
      </c>
      <c r="E28" s="803" t="str">
        <f>IF(OR($E$3="",$P$3=""),"",IF('Statement of Marks'!D27="","",'Statement of Marks'!D27))</f>
        <v/>
      </c>
      <c r="F28" s="804" t="str">
        <f>IF(OR($E$3="",$P$3=""),"",IF('Statement of Marks'!E27="","",'Statement of Marks'!E27))</f>
        <v/>
      </c>
      <c r="G28" s="804" t="str">
        <f>IF(OR($E$3="",$P$3=""),"",IF('Statement of Marks'!F27="","",'Statement of Marks'!F27))</f>
        <v/>
      </c>
      <c r="H28" s="804" t="str">
        <f>IF(OR($E$3="",$P$3=""),"",IF('Statement of Marks'!G27="","",'Statement of Marks'!G27))</f>
        <v/>
      </c>
      <c r="I28" s="805" t="str">
        <f>IF(OR($E$3="",$P$3=""),"",IF('Statement of Marks'!H27="","",'Statement of Marks'!H27))</f>
        <v/>
      </c>
      <c r="J28" s="805" t="str">
        <f>IF(OR($E$3="",$P$3=""),"",IF('Statement of Marks'!I27="","",'Statement of Marks'!I27))</f>
        <v/>
      </c>
      <c r="K28" s="805" t="str">
        <f>IFERROR(IF(B28="","",IF($P$3=$AT$10,IF(AND(BM28="A"),'Marks Entry'!$U$2,IF(AND(BM28="B"),'Marks Entry'!$Y$2,IF(AND(BM28="C"),'Marks Entry'!$AA$2,""))),IF($P$3=$AT$11,IF(AND(BN28="A"),'Marks Entry'!$AC$2,IF(AND(BN28="B"),'Marks Entry'!$AG$2,IF(AND(BN28="C"),'Marks Entry'!$AI$2,""))),IF($P$3=$AT$12,IF(AND(BO28="A"),'Marks Entry'!$AK$2,IF(AND(BO28="B"),'Marks Entry'!$AO$2,IF(AND(BO28="C"),'Marks Entry'!$AQ$2,""))),IF($P$3=$AT$13,IF(AND(BP28="A"),'Marks Entry'!$AS$2,IF(AND(BP28="B"),'Marks Entry'!$AW$2,IF(AND(BP28="C"),'Marks Entry'!$AY$2,""))),"-"))))),"")</f>
        <v/>
      </c>
      <c r="L28" s="806" t="str">
        <f>IFERROR(IF(B28="","",IF($P$3=$AT$8,'Statement of Marks'!J27,IF($P$3=$AT$9,'Statement of Marks'!X27,IF($P$3=$AT$10,'Statement of Marks'!AM27,IF($P$3=$AT$11,'Statement of Marks'!BJ27,IF($P$3=$AT$12,'Statement of Marks'!CG27,IF($P$3=$AT$13,'Statement of Marks'!DE27,IF($P$3=$AT$14,"",IF($P$3=$AT$15,'Statement of Marks'!EY27,""))))))))),"")</f>
        <v/>
      </c>
      <c r="M28" s="806" t="str">
        <f>IFERROR(IF(B28="","",IF($P$3=$AT$8,'Statement of Marks'!K27,IF($P$3=$AT$9,'Statement of Marks'!Y27,IF($P$3=$AT$10,'Statement of Marks'!AN27,IF($P$3=$AT$11,'Statement of Marks'!BK27,IF($P$3=$AT$12,'Statement of Marks'!CH27,IF($P$3=$AT$13,'Statement of Marks'!DF27,IF($P$3=$AT$14,"",IF($P$3=$AT$15,'Statement of Marks'!EZ27,""))))))))),"")</f>
        <v/>
      </c>
      <c r="N28" s="806" t="str">
        <f>IFERROR(IF(B28="","",IF($P$3=$AT$8,'Statement of Marks'!L27,IF($P$3=$AT$9,'Statement of Marks'!Z27,IF($P$3=$AT$10,'Statement of Marks'!AO27,IF($P$3=$AT$11,'Statement of Marks'!BL27,IF($P$3=$AT$12,'Statement of Marks'!CI27,IF($P$3=$AT$13,'Statement of Marks'!DG27,IF($P$3=$AT$14,"",IF($P$3=$AT$15,'Statement of Marks'!FA27,""))))))))),"")</f>
        <v/>
      </c>
      <c r="O28" s="807" t="str">
        <f t="shared" si="4"/>
        <v/>
      </c>
      <c r="P28" s="806" t="str">
        <f>IFERROR(IF(B28="","",IF($P$3=$AT$8,'Statement of Marks'!N27,IF($P$3=$AT$9,'Statement of Marks'!AB27,IF($P$3=$AT$10,'Statement of Marks'!AQ27,IF($P$3=$AT$11,'Statement of Marks'!BN27,IF($P$3=$AT$12,'Statement of Marks'!CK27,IF($P$3=$AT$13,'Statement of Marks'!DI27,IF($P$3=$AT$14,"",IF($P$3=$AT$15,'Statement of Marks'!FC27,""))))))))),"")</f>
        <v/>
      </c>
      <c r="Q28" s="806" t="str">
        <f>IFERROR(IF(B28="","",IF($P$3=$AT$8,"",IF($P$3=$AT$9,"",IF($P$3=$AT$10,'Statement of Marks'!AR27,IF($P$3=$AT$11,'Statement of Marks'!BO27,IF($P$3=$AT$12,'Statement of Marks'!CL27,IF($P$3=$AT$13,'Statement of Marks'!DJ27,IF($P$3=$AT$14,"",IF($P$3=$AT$15,"",""))))))))),"")</f>
        <v/>
      </c>
      <c r="R28" s="818" t="str">
        <f>IFERROR(IF(B28="","",IF(AND(P28="",Q28="",$P$3=""),"",IF($P$3=$AT$14,'Statement of Marks'!EC27,SUM(P28,Q28)))),"")</f>
        <v/>
      </c>
      <c r="S28" s="817" t="str">
        <f>IFERROR(IF(B28="","",IF($P$3=$AT$14,'Statement of Marks'!ED27,IF(AND(O28="NA",P28="NA",Q28="NA"),"NA",IF(AND(O28="",P28="",Q28=""),"",SUM(O28,P28,Q28))))),"")</f>
        <v/>
      </c>
      <c r="T28" s="806" t="str">
        <f>IFERROR(IF(B28="","",IF($P$3=$AT$8,'Statement of Marks'!P27,IF($P$3=$AT$9,'Statement of Marks'!AD27,IF($P$3=$AT$10,'Statement of Marks'!AU27,IF($P$3=$AT$11,'Statement of Marks'!BR27,IF($P$3=$AT$12,'Statement of Marks'!CO27,IF($P$3=$AT$13,'Statement of Marks'!DM27,IF($P$3=$AT$14,"",IF($P$3=$AT$15,'Statement of Marks'!FD27,""))))))))),"")</f>
        <v/>
      </c>
      <c r="U28" s="806" t="str">
        <f>IFERROR(IF(B28="","",IF($P$3=$AT$8,"",IF($P$3=$AT$9,"",IF($P$3=$AT$10,'Statement of Marks'!AV27,IF($P$3=$AT$11,'Statement of Marks'!BS27,IF($P$3=$AT$12,'Statement of Marks'!CP27,IF($P$3=$AT$13,'Statement of Marks'!DN27,IF($P$3=$AT$14,"",IF($P$3=$AT$15,"",""))))))))),"")</f>
        <v/>
      </c>
      <c r="V28" s="818" t="str">
        <f>IFERROR(IF(B28="","",IF(AND(T28="",U28="",$P$3=""),"",IF($P$3=$AT$14,'Statement of Marks'!EE27,SUM(T28,U28)))),"")</f>
        <v/>
      </c>
      <c r="W28" s="808" t="str">
        <f t="shared" si="5"/>
        <v/>
      </c>
      <c r="X28" s="809">
        <f t="shared" si="6"/>
        <v>0</v>
      </c>
      <c r="Y28" s="809">
        <f t="shared" si="7"/>
        <v>0</v>
      </c>
      <c r="Z28" s="809">
        <f t="shared" si="8"/>
        <v>0</v>
      </c>
      <c r="AA28" s="809" t="str">
        <f t="shared" si="9"/>
        <v/>
      </c>
      <c r="AB28" s="809" t="str">
        <f t="shared" si="10"/>
        <v/>
      </c>
      <c r="AC28" s="809" t="str">
        <f t="shared" si="11"/>
        <v/>
      </c>
      <c r="AD28" s="809" t="str">
        <f t="shared" si="12"/>
        <v/>
      </c>
      <c r="AE28" s="810" t="str">
        <f t="shared" si="13"/>
        <v/>
      </c>
      <c r="AF28" s="811" t="str">
        <f t="shared" si="14"/>
        <v/>
      </c>
      <c r="AG28" s="812" t="str">
        <f t="shared" si="15"/>
        <v/>
      </c>
      <c r="AW28" s="17" t="str">
        <f t="shared" si="16"/>
        <v/>
      </c>
      <c r="AX28" s="17" t="str">
        <f t="shared" si="17"/>
        <v/>
      </c>
      <c r="BM28" s="17" t="str">
        <f>IFERROR(VLOOKUP(B28,'Statement of Marks'!$B$8:'Statement of Marks'!$HI$207,37,0),"")</f>
        <v>A</v>
      </c>
      <c r="BN28" s="17" t="str">
        <f>IFERROR(VLOOKUP(B28,'Statement of Marks'!$B$8:'Statement of Marks'!$HI$207,60,0),"")</f>
        <v>A</v>
      </c>
      <c r="BO28" s="17" t="str">
        <f>IFERROR(VLOOKUP(B28,'Statement of Marks'!$B$8:'Statement of Marks'!$HI$207,83,0),"")</f>
        <v>A</v>
      </c>
      <c r="BP28" s="17" t="str">
        <f>IFERROR(VLOOKUP(B28,'Statement of Marks'!$B$8:'Statement of Marks'!$HI$207,107,0),"")</f>
        <v/>
      </c>
    </row>
    <row r="29" spans="1:68">
      <c r="A29" s="800">
        <f>IF('Statement of Marks'!A28="","",'Statement of Marks'!A28)</f>
        <v>21</v>
      </c>
      <c r="B29" s="801" t="str">
        <f>IF(OR($E$3="",$P$3=""),"",IF('Statement of Marks'!B28="","",'Statement of Marks'!B28))</f>
        <v/>
      </c>
      <c r="C29" s="810" t="str">
        <f>IF(OR($E$3="",$P$3=""),"",IF('Marks Entry'!C28="","",'Marks Entry'!C28))</f>
        <v/>
      </c>
      <c r="D29" s="802" t="str">
        <f>IF(OR($E$3="",$P$3=""),"",IF('Statement of Marks'!C28="","",'Statement of Marks'!C28))</f>
        <v/>
      </c>
      <c r="E29" s="803" t="str">
        <f>IF(OR($E$3="",$P$3=""),"",IF('Statement of Marks'!D28="","",'Statement of Marks'!D28))</f>
        <v/>
      </c>
      <c r="F29" s="804" t="str">
        <f>IF(OR($E$3="",$P$3=""),"",IF('Statement of Marks'!E28="","",'Statement of Marks'!E28))</f>
        <v/>
      </c>
      <c r="G29" s="804" t="str">
        <f>IF(OR($E$3="",$P$3=""),"",IF('Statement of Marks'!F28="","",'Statement of Marks'!F28))</f>
        <v/>
      </c>
      <c r="H29" s="804" t="str">
        <f>IF(OR($E$3="",$P$3=""),"",IF('Statement of Marks'!G28="","",'Statement of Marks'!G28))</f>
        <v/>
      </c>
      <c r="I29" s="805" t="str">
        <f>IF(OR($E$3="",$P$3=""),"",IF('Statement of Marks'!H28="","",'Statement of Marks'!H28))</f>
        <v/>
      </c>
      <c r="J29" s="805" t="str">
        <f>IF(OR($E$3="",$P$3=""),"",IF('Statement of Marks'!I28="","",'Statement of Marks'!I28))</f>
        <v/>
      </c>
      <c r="K29" s="805" t="str">
        <f>IFERROR(IF(B29="","",IF($P$3=$AT$10,IF(AND(BM29="A"),'Marks Entry'!$U$2,IF(AND(BM29="B"),'Marks Entry'!$Y$2,IF(AND(BM29="C"),'Marks Entry'!$AA$2,""))),IF($P$3=$AT$11,IF(AND(BN29="A"),'Marks Entry'!$AC$2,IF(AND(BN29="B"),'Marks Entry'!$AG$2,IF(AND(BN29="C"),'Marks Entry'!$AI$2,""))),IF($P$3=$AT$12,IF(AND(BO29="A"),'Marks Entry'!$AK$2,IF(AND(BO29="B"),'Marks Entry'!$AO$2,IF(AND(BO29="C"),'Marks Entry'!$AQ$2,""))),IF($P$3=$AT$13,IF(AND(BP29="A"),'Marks Entry'!$AS$2,IF(AND(BP29="B"),'Marks Entry'!$AW$2,IF(AND(BP29="C"),'Marks Entry'!$AY$2,""))),"-"))))),"")</f>
        <v/>
      </c>
      <c r="L29" s="806" t="str">
        <f>IFERROR(IF(B29="","",IF($P$3=$AT$8,'Statement of Marks'!J28,IF($P$3=$AT$9,'Statement of Marks'!X28,IF($P$3=$AT$10,'Statement of Marks'!AM28,IF($P$3=$AT$11,'Statement of Marks'!BJ28,IF($P$3=$AT$12,'Statement of Marks'!CG28,IF($P$3=$AT$13,'Statement of Marks'!DE28,IF($P$3=$AT$14,"",IF($P$3=$AT$15,'Statement of Marks'!EY28,""))))))))),"")</f>
        <v/>
      </c>
      <c r="M29" s="806" t="str">
        <f>IFERROR(IF(B29="","",IF($P$3=$AT$8,'Statement of Marks'!K28,IF($P$3=$AT$9,'Statement of Marks'!Y28,IF($P$3=$AT$10,'Statement of Marks'!AN28,IF($P$3=$AT$11,'Statement of Marks'!BK28,IF($P$3=$AT$12,'Statement of Marks'!CH28,IF($P$3=$AT$13,'Statement of Marks'!DF28,IF($P$3=$AT$14,"",IF($P$3=$AT$15,'Statement of Marks'!EZ28,""))))))))),"")</f>
        <v/>
      </c>
      <c r="N29" s="806" t="str">
        <f>IFERROR(IF(B29="","",IF($P$3=$AT$8,'Statement of Marks'!L28,IF($P$3=$AT$9,'Statement of Marks'!Z28,IF($P$3=$AT$10,'Statement of Marks'!AO28,IF($P$3=$AT$11,'Statement of Marks'!BL28,IF($P$3=$AT$12,'Statement of Marks'!CI28,IF($P$3=$AT$13,'Statement of Marks'!DG28,IF($P$3=$AT$14,"",IF($P$3=$AT$15,'Statement of Marks'!FA28,""))))))))),"")</f>
        <v/>
      </c>
      <c r="O29" s="807" t="str">
        <f t="shared" si="4"/>
        <v/>
      </c>
      <c r="P29" s="806" t="str">
        <f>IFERROR(IF(B29="","",IF($P$3=$AT$8,'Statement of Marks'!N28,IF($P$3=$AT$9,'Statement of Marks'!AB28,IF($P$3=$AT$10,'Statement of Marks'!AQ28,IF($P$3=$AT$11,'Statement of Marks'!BN28,IF($P$3=$AT$12,'Statement of Marks'!CK28,IF($P$3=$AT$13,'Statement of Marks'!DI28,IF($P$3=$AT$14,"",IF($P$3=$AT$15,'Statement of Marks'!FC28,""))))))))),"")</f>
        <v/>
      </c>
      <c r="Q29" s="806" t="str">
        <f>IFERROR(IF(B29="","",IF($P$3=$AT$8,"",IF($P$3=$AT$9,"",IF($P$3=$AT$10,'Statement of Marks'!AR28,IF($P$3=$AT$11,'Statement of Marks'!BO28,IF($P$3=$AT$12,'Statement of Marks'!CL28,IF($P$3=$AT$13,'Statement of Marks'!DJ28,IF($P$3=$AT$14,"",IF($P$3=$AT$15,"",""))))))))),"")</f>
        <v/>
      </c>
      <c r="R29" s="818" t="str">
        <f>IFERROR(IF(B29="","",IF(AND(P29="",Q29="",$P$3=""),"",IF($P$3=$AT$14,'Statement of Marks'!EC28,SUM(P29,Q29)))),"")</f>
        <v/>
      </c>
      <c r="S29" s="817" t="str">
        <f>IFERROR(IF(B29="","",IF($P$3=$AT$14,'Statement of Marks'!ED28,IF(AND(O29="NA",P29="NA",Q29="NA"),"NA",IF(AND(O29="",P29="",Q29=""),"",SUM(O29,P29,Q29))))),"")</f>
        <v/>
      </c>
      <c r="T29" s="806" t="str">
        <f>IFERROR(IF(B29="","",IF($P$3=$AT$8,'Statement of Marks'!P28,IF($P$3=$AT$9,'Statement of Marks'!AD28,IF($P$3=$AT$10,'Statement of Marks'!AU28,IF($P$3=$AT$11,'Statement of Marks'!BR28,IF($P$3=$AT$12,'Statement of Marks'!CO28,IF($P$3=$AT$13,'Statement of Marks'!DM28,IF($P$3=$AT$14,"",IF($P$3=$AT$15,'Statement of Marks'!FD28,""))))))))),"")</f>
        <v/>
      </c>
      <c r="U29" s="806" t="str">
        <f>IFERROR(IF(B29="","",IF($P$3=$AT$8,"",IF($P$3=$AT$9,"",IF($P$3=$AT$10,'Statement of Marks'!AV28,IF($P$3=$AT$11,'Statement of Marks'!BS28,IF($P$3=$AT$12,'Statement of Marks'!CP28,IF($P$3=$AT$13,'Statement of Marks'!DN28,IF($P$3=$AT$14,"",IF($P$3=$AT$15,"",""))))))))),"")</f>
        <v/>
      </c>
      <c r="V29" s="818" t="str">
        <f>IFERROR(IF(B29="","",IF(AND(T29="",U29="",$P$3=""),"",IF($P$3=$AT$14,'Statement of Marks'!EE28,SUM(T29,U29)))),"")</f>
        <v/>
      </c>
      <c r="W29" s="808" t="str">
        <f t="shared" si="5"/>
        <v/>
      </c>
      <c r="X29" s="809">
        <f t="shared" si="6"/>
        <v>0</v>
      </c>
      <c r="Y29" s="809">
        <f t="shared" si="7"/>
        <v>0</v>
      </c>
      <c r="Z29" s="809">
        <f t="shared" si="8"/>
        <v>0</v>
      </c>
      <c r="AA29" s="809" t="str">
        <f t="shared" si="9"/>
        <v/>
      </c>
      <c r="AB29" s="809" t="str">
        <f t="shared" si="10"/>
        <v/>
      </c>
      <c r="AC29" s="809" t="str">
        <f t="shared" si="11"/>
        <v/>
      </c>
      <c r="AD29" s="809" t="str">
        <f t="shared" si="12"/>
        <v/>
      </c>
      <c r="AE29" s="810" t="str">
        <f t="shared" si="13"/>
        <v/>
      </c>
      <c r="AF29" s="811" t="str">
        <f t="shared" si="14"/>
        <v/>
      </c>
      <c r="AG29" s="812" t="str">
        <f t="shared" si="15"/>
        <v/>
      </c>
      <c r="AW29" s="17" t="str">
        <f t="shared" si="16"/>
        <v/>
      </c>
      <c r="AX29" s="17" t="str">
        <f t="shared" si="17"/>
        <v/>
      </c>
      <c r="BM29" s="17" t="str">
        <f>IFERROR(VLOOKUP(B29,'Statement of Marks'!$B$8:'Statement of Marks'!$HI$207,37,0),"")</f>
        <v>A</v>
      </c>
      <c r="BN29" s="17" t="str">
        <f>IFERROR(VLOOKUP(B29,'Statement of Marks'!$B$8:'Statement of Marks'!$HI$207,60,0),"")</f>
        <v>A</v>
      </c>
      <c r="BO29" s="17" t="str">
        <f>IFERROR(VLOOKUP(B29,'Statement of Marks'!$B$8:'Statement of Marks'!$HI$207,83,0),"")</f>
        <v>A</v>
      </c>
      <c r="BP29" s="17" t="str">
        <f>IFERROR(VLOOKUP(B29,'Statement of Marks'!$B$8:'Statement of Marks'!$HI$207,107,0),"")</f>
        <v/>
      </c>
    </row>
    <row r="30" spans="1:68">
      <c r="A30" s="800">
        <f>IF('Statement of Marks'!A29="","",'Statement of Marks'!A29)</f>
        <v>22</v>
      </c>
      <c r="B30" s="801" t="str">
        <f>IF(OR($E$3="",$P$3=""),"",IF('Statement of Marks'!B29="","",'Statement of Marks'!B29))</f>
        <v/>
      </c>
      <c r="C30" s="810" t="str">
        <f>IF(OR($E$3="",$P$3=""),"",IF('Marks Entry'!C29="","",'Marks Entry'!C29))</f>
        <v/>
      </c>
      <c r="D30" s="802" t="str">
        <f>IF(OR($E$3="",$P$3=""),"",IF('Statement of Marks'!C29="","",'Statement of Marks'!C29))</f>
        <v/>
      </c>
      <c r="E30" s="803" t="str">
        <f>IF(OR($E$3="",$P$3=""),"",IF('Statement of Marks'!D29="","",'Statement of Marks'!D29))</f>
        <v/>
      </c>
      <c r="F30" s="804" t="str">
        <f>IF(OR($E$3="",$P$3=""),"",IF('Statement of Marks'!E29="","",'Statement of Marks'!E29))</f>
        <v/>
      </c>
      <c r="G30" s="804" t="str">
        <f>IF(OR($E$3="",$P$3=""),"",IF('Statement of Marks'!F29="","",'Statement of Marks'!F29))</f>
        <v/>
      </c>
      <c r="H30" s="804" t="str">
        <f>IF(OR($E$3="",$P$3=""),"",IF('Statement of Marks'!G29="","",'Statement of Marks'!G29))</f>
        <v/>
      </c>
      <c r="I30" s="805" t="str">
        <f>IF(OR($E$3="",$P$3=""),"",IF('Statement of Marks'!H29="","",'Statement of Marks'!H29))</f>
        <v/>
      </c>
      <c r="J30" s="805" t="str">
        <f>IF(OR($E$3="",$P$3=""),"",IF('Statement of Marks'!I29="","",'Statement of Marks'!I29))</f>
        <v/>
      </c>
      <c r="K30" s="805" t="str">
        <f>IFERROR(IF(B30="","",IF($P$3=$AT$10,IF(AND(BM30="A"),'Marks Entry'!$U$2,IF(AND(BM30="B"),'Marks Entry'!$Y$2,IF(AND(BM30="C"),'Marks Entry'!$AA$2,""))),IF($P$3=$AT$11,IF(AND(BN30="A"),'Marks Entry'!$AC$2,IF(AND(BN30="B"),'Marks Entry'!$AG$2,IF(AND(BN30="C"),'Marks Entry'!$AI$2,""))),IF($P$3=$AT$12,IF(AND(BO30="A"),'Marks Entry'!$AK$2,IF(AND(BO30="B"),'Marks Entry'!$AO$2,IF(AND(BO30="C"),'Marks Entry'!$AQ$2,""))),IF($P$3=$AT$13,IF(AND(BP30="A"),'Marks Entry'!$AS$2,IF(AND(BP30="B"),'Marks Entry'!$AW$2,IF(AND(BP30="C"),'Marks Entry'!$AY$2,""))),"-"))))),"")</f>
        <v/>
      </c>
      <c r="L30" s="806" t="str">
        <f>IFERROR(IF(B30="","",IF($P$3=$AT$8,'Statement of Marks'!J29,IF($P$3=$AT$9,'Statement of Marks'!X29,IF($P$3=$AT$10,'Statement of Marks'!AM29,IF($P$3=$AT$11,'Statement of Marks'!BJ29,IF($P$3=$AT$12,'Statement of Marks'!CG29,IF($P$3=$AT$13,'Statement of Marks'!DE29,IF($P$3=$AT$14,"",IF($P$3=$AT$15,'Statement of Marks'!EY29,""))))))))),"")</f>
        <v/>
      </c>
      <c r="M30" s="806" t="str">
        <f>IFERROR(IF(B30="","",IF($P$3=$AT$8,'Statement of Marks'!K29,IF($P$3=$AT$9,'Statement of Marks'!Y29,IF($P$3=$AT$10,'Statement of Marks'!AN29,IF($P$3=$AT$11,'Statement of Marks'!BK29,IF($P$3=$AT$12,'Statement of Marks'!CH29,IF($P$3=$AT$13,'Statement of Marks'!DF29,IF($P$3=$AT$14,"",IF($P$3=$AT$15,'Statement of Marks'!EZ29,""))))))))),"")</f>
        <v/>
      </c>
      <c r="N30" s="806" t="str">
        <f>IFERROR(IF(B30="","",IF($P$3=$AT$8,'Statement of Marks'!L29,IF($P$3=$AT$9,'Statement of Marks'!Z29,IF($P$3=$AT$10,'Statement of Marks'!AO29,IF($P$3=$AT$11,'Statement of Marks'!BL29,IF($P$3=$AT$12,'Statement of Marks'!CI29,IF($P$3=$AT$13,'Statement of Marks'!DG29,IF($P$3=$AT$14,"",IF($P$3=$AT$15,'Statement of Marks'!FA29,""))))))))),"")</f>
        <v/>
      </c>
      <c r="O30" s="807" t="str">
        <f t="shared" si="4"/>
        <v/>
      </c>
      <c r="P30" s="806" t="str">
        <f>IFERROR(IF(B30="","",IF($P$3=$AT$8,'Statement of Marks'!N29,IF($P$3=$AT$9,'Statement of Marks'!AB29,IF($P$3=$AT$10,'Statement of Marks'!AQ29,IF($P$3=$AT$11,'Statement of Marks'!BN29,IF($P$3=$AT$12,'Statement of Marks'!CK29,IF($P$3=$AT$13,'Statement of Marks'!DI29,IF($P$3=$AT$14,"",IF($P$3=$AT$15,'Statement of Marks'!FC29,""))))))))),"")</f>
        <v/>
      </c>
      <c r="Q30" s="806" t="str">
        <f>IFERROR(IF(B30="","",IF($P$3=$AT$8,"",IF($P$3=$AT$9,"",IF($P$3=$AT$10,'Statement of Marks'!AR29,IF($P$3=$AT$11,'Statement of Marks'!BO29,IF($P$3=$AT$12,'Statement of Marks'!CL29,IF($P$3=$AT$13,'Statement of Marks'!DJ29,IF($P$3=$AT$14,"",IF($P$3=$AT$15,"",""))))))))),"")</f>
        <v/>
      </c>
      <c r="R30" s="818" t="str">
        <f>IFERROR(IF(B30="","",IF(AND(P30="",Q30="",$P$3=""),"",IF($P$3=$AT$14,'Statement of Marks'!EC29,SUM(P30,Q30)))),"")</f>
        <v/>
      </c>
      <c r="S30" s="817" t="str">
        <f>IFERROR(IF(B30="","",IF($P$3=$AT$14,'Statement of Marks'!ED29,IF(AND(O30="NA",P30="NA",Q30="NA"),"NA",IF(AND(O30="",P30="",Q30=""),"",SUM(O30,P30,Q30))))),"")</f>
        <v/>
      </c>
      <c r="T30" s="806" t="str">
        <f>IFERROR(IF(B30="","",IF($P$3=$AT$8,'Statement of Marks'!P29,IF($P$3=$AT$9,'Statement of Marks'!AD29,IF($P$3=$AT$10,'Statement of Marks'!AU29,IF($P$3=$AT$11,'Statement of Marks'!BR29,IF($P$3=$AT$12,'Statement of Marks'!CO29,IF($P$3=$AT$13,'Statement of Marks'!DM29,IF($P$3=$AT$14,"",IF($P$3=$AT$15,'Statement of Marks'!FD29,""))))))))),"")</f>
        <v/>
      </c>
      <c r="U30" s="806" t="str">
        <f>IFERROR(IF(B30="","",IF($P$3=$AT$8,"",IF($P$3=$AT$9,"",IF($P$3=$AT$10,'Statement of Marks'!AV29,IF($P$3=$AT$11,'Statement of Marks'!BS29,IF($P$3=$AT$12,'Statement of Marks'!CP29,IF($P$3=$AT$13,'Statement of Marks'!DN29,IF($P$3=$AT$14,"",IF($P$3=$AT$15,"",""))))))))),"")</f>
        <v/>
      </c>
      <c r="V30" s="818" t="str">
        <f>IFERROR(IF(B30="","",IF(AND(T30="",U30="",$P$3=""),"",IF($P$3=$AT$14,'Statement of Marks'!EE29,SUM(T30,U30)))),"")</f>
        <v/>
      </c>
      <c r="W30" s="808" t="str">
        <f t="shared" si="5"/>
        <v/>
      </c>
      <c r="X30" s="809">
        <f t="shared" si="6"/>
        <v>0</v>
      </c>
      <c r="Y30" s="809">
        <f t="shared" si="7"/>
        <v>0</v>
      </c>
      <c r="Z30" s="809">
        <f t="shared" si="8"/>
        <v>0</v>
      </c>
      <c r="AA30" s="809" t="str">
        <f t="shared" si="9"/>
        <v/>
      </c>
      <c r="AB30" s="809" t="str">
        <f t="shared" si="10"/>
        <v/>
      </c>
      <c r="AC30" s="809" t="str">
        <f t="shared" si="11"/>
        <v/>
      </c>
      <c r="AD30" s="809" t="str">
        <f t="shared" si="12"/>
        <v/>
      </c>
      <c r="AE30" s="810" t="str">
        <f t="shared" si="13"/>
        <v/>
      </c>
      <c r="AF30" s="811" t="str">
        <f t="shared" si="14"/>
        <v/>
      </c>
      <c r="AG30" s="812" t="str">
        <f t="shared" si="15"/>
        <v/>
      </c>
      <c r="AW30" s="17" t="str">
        <f t="shared" si="16"/>
        <v/>
      </c>
      <c r="AX30" s="17" t="str">
        <f t="shared" si="17"/>
        <v/>
      </c>
      <c r="BM30" s="17" t="str">
        <f>IFERROR(VLOOKUP(B30,'Statement of Marks'!$B$8:'Statement of Marks'!$HI$207,37,0),"")</f>
        <v>A</v>
      </c>
      <c r="BN30" s="17" t="str">
        <f>IFERROR(VLOOKUP(B30,'Statement of Marks'!$B$8:'Statement of Marks'!$HI$207,60,0),"")</f>
        <v>A</v>
      </c>
      <c r="BO30" s="17" t="str">
        <f>IFERROR(VLOOKUP(B30,'Statement of Marks'!$B$8:'Statement of Marks'!$HI$207,83,0),"")</f>
        <v>A</v>
      </c>
      <c r="BP30" s="17" t="str">
        <f>IFERROR(VLOOKUP(B30,'Statement of Marks'!$B$8:'Statement of Marks'!$HI$207,107,0),"")</f>
        <v/>
      </c>
    </row>
    <row r="31" spans="1:68">
      <c r="A31" s="800">
        <f>IF('Statement of Marks'!A30="","",'Statement of Marks'!A30)</f>
        <v>23</v>
      </c>
      <c r="B31" s="801" t="str">
        <f>IF(OR($E$3="",$P$3=""),"",IF('Statement of Marks'!B30="","",'Statement of Marks'!B30))</f>
        <v/>
      </c>
      <c r="C31" s="810" t="str">
        <f>IF(OR($E$3="",$P$3=""),"",IF('Marks Entry'!C30="","",'Marks Entry'!C30))</f>
        <v/>
      </c>
      <c r="D31" s="802" t="str">
        <f>IF(OR($E$3="",$P$3=""),"",IF('Statement of Marks'!C30="","",'Statement of Marks'!C30))</f>
        <v/>
      </c>
      <c r="E31" s="803" t="str">
        <f>IF(OR($E$3="",$P$3=""),"",IF('Statement of Marks'!D30="","",'Statement of Marks'!D30))</f>
        <v/>
      </c>
      <c r="F31" s="804" t="str">
        <f>IF(OR($E$3="",$P$3=""),"",IF('Statement of Marks'!E30="","",'Statement of Marks'!E30))</f>
        <v/>
      </c>
      <c r="G31" s="804" t="str">
        <f>IF(OR($E$3="",$P$3=""),"",IF('Statement of Marks'!F30="","",'Statement of Marks'!F30))</f>
        <v/>
      </c>
      <c r="H31" s="804" t="str">
        <f>IF(OR($E$3="",$P$3=""),"",IF('Statement of Marks'!G30="","",'Statement of Marks'!G30))</f>
        <v/>
      </c>
      <c r="I31" s="805" t="str">
        <f>IF(OR($E$3="",$P$3=""),"",IF('Statement of Marks'!H30="","",'Statement of Marks'!H30))</f>
        <v/>
      </c>
      <c r="J31" s="805" t="str">
        <f>IF(OR($E$3="",$P$3=""),"",IF('Statement of Marks'!I30="","",'Statement of Marks'!I30))</f>
        <v/>
      </c>
      <c r="K31" s="805" t="str">
        <f>IFERROR(IF(B31="","",IF($P$3=$AT$10,IF(AND(BM31="A"),'Marks Entry'!$U$2,IF(AND(BM31="B"),'Marks Entry'!$Y$2,IF(AND(BM31="C"),'Marks Entry'!$AA$2,""))),IF($P$3=$AT$11,IF(AND(BN31="A"),'Marks Entry'!$AC$2,IF(AND(BN31="B"),'Marks Entry'!$AG$2,IF(AND(BN31="C"),'Marks Entry'!$AI$2,""))),IF($P$3=$AT$12,IF(AND(BO31="A"),'Marks Entry'!$AK$2,IF(AND(BO31="B"),'Marks Entry'!$AO$2,IF(AND(BO31="C"),'Marks Entry'!$AQ$2,""))),IF($P$3=$AT$13,IF(AND(BP31="A"),'Marks Entry'!$AS$2,IF(AND(BP31="B"),'Marks Entry'!$AW$2,IF(AND(BP31="C"),'Marks Entry'!$AY$2,""))),"-"))))),"")</f>
        <v/>
      </c>
      <c r="L31" s="806" t="str">
        <f>IFERROR(IF(B31="","",IF($P$3=$AT$8,'Statement of Marks'!J30,IF($P$3=$AT$9,'Statement of Marks'!X30,IF($P$3=$AT$10,'Statement of Marks'!AM30,IF($P$3=$AT$11,'Statement of Marks'!BJ30,IF($P$3=$AT$12,'Statement of Marks'!CG30,IF($P$3=$AT$13,'Statement of Marks'!DE30,IF($P$3=$AT$14,"",IF($P$3=$AT$15,'Statement of Marks'!EY30,""))))))))),"")</f>
        <v/>
      </c>
      <c r="M31" s="806" t="str">
        <f>IFERROR(IF(B31="","",IF($P$3=$AT$8,'Statement of Marks'!K30,IF($P$3=$AT$9,'Statement of Marks'!Y30,IF($P$3=$AT$10,'Statement of Marks'!AN30,IF($P$3=$AT$11,'Statement of Marks'!BK30,IF($P$3=$AT$12,'Statement of Marks'!CH30,IF($P$3=$AT$13,'Statement of Marks'!DF30,IF($P$3=$AT$14,"",IF($P$3=$AT$15,'Statement of Marks'!EZ30,""))))))))),"")</f>
        <v/>
      </c>
      <c r="N31" s="806" t="str">
        <f>IFERROR(IF(B31="","",IF($P$3=$AT$8,'Statement of Marks'!L30,IF($P$3=$AT$9,'Statement of Marks'!Z30,IF($P$3=$AT$10,'Statement of Marks'!AO30,IF($P$3=$AT$11,'Statement of Marks'!BL30,IF($P$3=$AT$12,'Statement of Marks'!CI30,IF($P$3=$AT$13,'Statement of Marks'!DG30,IF($P$3=$AT$14,"",IF($P$3=$AT$15,'Statement of Marks'!FA30,""))))))))),"")</f>
        <v/>
      </c>
      <c r="O31" s="807" t="str">
        <f t="shared" si="4"/>
        <v/>
      </c>
      <c r="P31" s="806" t="str">
        <f>IFERROR(IF(B31="","",IF($P$3=$AT$8,'Statement of Marks'!N30,IF($P$3=$AT$9,'Statement of Marks'!AB30,IF($P$3=$AT$10,'Statement of Marks'!AQ30,IF($P$3=$AT$11,'Statement of Marks'!BN30,IF($P$3=$AT$12,'Statement of Marks'!CK30,IF($P$3=$AT$13,'Statement of Marks'!DI30,IF($P$3=$AT$14,"",IF($P$3=$AT$15,'Statement of Marks'!FC30,""))))))))),"")</f>
        <v/>
      </c>
      <c r="Q31" s="806" t="str">
        <f>IFERROR(IF(B31="","",IF($P$3=$AT$8,"",IF($P$3=$AT$9,"",IF($P$3=$AT$10,'Statement of Marks'!AR30,IF($P$3=$AT$11,'Statement of Marks'!BO30,IF($P$3=$AT$12,'Statement of Marks'!CL30,IF($P$3=$AT$13,'Statement of Marks'!DJ30,IF($P$3=$AT$14,"",IF($P$3=$AT$15,"",""))))))))),"")</f>
        <v/>
      </c>
      <c r="R31" s="818" t="str">
        <f>IFERROR(IF(B31="","",IF(AND(P31="",Q31="",$P$3=""),"",IF($P$3=$AT$14,'Statement of Marks'!EC30,SUM(P31,Q31)))),"")</f>
        <v/>
      </c>
      <c r="S31" s="817" t="str">
        <f>IFERROR(IF(B31="","",IF($P$3=$AT$14,'Statement of Marks'!ED30,IF(AND(O31="NA",P31="NA",Q31="NA"),"NA",IF(AND(O31="",P31="",Q31=""),"",SUM(O31,P31,Q31))))),"")</f>
        <v/>
      </c>
      <c r="T31" s="806" t="str">
        <f>IFERROR(IF(B31="","",IF($P$3=$AT$8,'Statement of Marks'!P30,IF($P$3=$AT$9,'Statement of Marks'!AD30,IF($P$3=$AT$10,'Statement of Marks'!AU30,IF($P$3=$AT$11,'Statement of Marks'!BR30,IF($P$3=$AT$12,'Statement of Marks'!CO30,IF($P$3=$AT$13,'Statement of Marks'!DM30,IF($P$3=$AT$14,"",IF($P$3=$AT$15,'Statement of Marks'!FD30,""))))))))),"")</f>
        <v/>
      </c>
      <c r="U31" s="806" t="str">
        <f>IFERROR(IF(B31="","",IF($P$3=$AT$8,"",IF($P$3=$AT$9,"",IF($P$3=$AT$10,'Statement of Marks'!AV30,IF($P$3=$AT$11,'Statement of Marks'!BS30,IF($P$3=$AT$12,'Statement of Marks'!CP30,IF($P$3=$AT$13,'Statement of Marks'!DN30,IF($P$3=$AT$14,"",IF($P$3=$AT$15,"",""))))))))),"")</f>
        <v/>
      </c>
      <c r="V31" s="818" t="str">
        <f>IFERROR(IF(B31="","",IF(AND(T31="",U31="",$P$3=""),"",IF($P$3=$AT$14,'Statement of Marks'!EE30,SUM(T31,U31)))),"")</f>
        <v/>
      </c>
      <c r="W31" s="808" t="str">
        <f t="shared" si="5"/>
        <v/>
      </c>
      <c r="X31" s="809">
        <f t="shared" si="6"/>
        <v>0</v>
      </c>
      <c r="Y31" s="809">
        <f t="shared" si="7"/>
        <v>0</v>
      </c>
      <c r="Z31" s="809">
        <f t="shared" si="8"/>
        <v>0</v>
      </c>
      <c r="AA31" s="809" t="str">
        <f t="shared" si="9"/>
        <v/>
      </c>
      <c r="AB31" s="809" t="str">
        <f t="shared" si="10"/>
        <v/>
      </c>
      <c r="AC31" s="809" t="str">
        <f t="shared" si="11"/>
        <v/>
      </c>
      <c r="AD31" s="809" t="str">
        <f t="shared" si="12"/>
        <v/>
      </c>
      <c r="AE31" s="810" t="str">
        <f t="shared" si="13"/>
        <v/>
      </c>
      <c r="AF31" s="811" t="str">
        <f t="shared" si="14"/>
        <v/>
      </c>
      <c r="AG31" s="812" t="str">
        <f t="shared" si="15"/>
        <v/>
      </c>
      <c r="AW31" s="17" t="str">
        <f t="shared" si="16"/>
        <v/>
      </c>
      <c r="AX31" s="17" t="str">
        <f t="shared" si="17"/>
        <v/>
      </c>
      <c r="BM31" s="17" t="str">
        <f>IFERROR(VLOOKUP(B31,'Statement of Marks'!$B$8:'Statement of Marks'!$HI$207,37,0),"")</f>
        <v>A</v>
      </c>
      <c r="BN31" s="17" t="str">
        <f>IFERROR(VLOOKUP(B31,'Statement of Marks'!$B$8:'Statement of Marks'!$HI$207,60,0),"")</f>
        <v>A</v>
      </c>
      <c r="BO31" s="17" t="str">
        <f>IFERROR(VLOOKUP(B31,'Statement of Marks'!$B$8:'Statement of Marks'!$HI$207,83,0),"")</f>
        <v>A</v>
      </c>
      <c r="BP31" s="17" t="str">
        <f>IFERROR(VLOOKUP(B31,'Statement of Marks'!$B$8:'Statement of Marks'!$HI$207,107,0),"")</f>
        <v/>
      </c>
    </row>
    <row r="32" spans="1:68">
      <c r="A32" s="800">
        <f>IF('Statement of Marks'!A31="","",'Statement of Marks'!A31)</f>
        <v>24</v>
      </c>
      <c r="B32" s="801" t="str">
        <f>IF(OR($E$3="",$P$3=""),"",IF('Statement of Marks'!B31="","",'Statement of Marks'!B31))</f>
        <v/>
      </c>
      <c r="C32" s="810" t="str">
        <f>IF(OR($E$3="",$P$3=""),"",IF('Marks Entry'!C31="","",'Marks Entry'!C31))</f>
        <v/>
      </c>
      <c r="D32" s="802" t="str">
        <f>IF(OR($E$3="",$P$3=""),"",IF('Statement of Marks'!C31="","",'Statement of Marks'!C31))</f>
        <v/>
      </c>
      <c r="E32" s="803" t="str">
        <f>IF(OR($E$3="",$P$3=""),"",IF('Statement of Marks'!D31="","",'Statement of Marks'!D31))</f>
        <v/>
      </c>
      <c r="F32" s="804" t="str">
        <f>IF(OR($E$3="",$P$3=""),"",IF('Statement of Marks'!E31="","",'Statement of Marks'!E31))</f>
        <v/>
      </c>
      <c r="G32" s="804" t="str">
        <f>IF(OR($E$3="",$P$3=""),"",IF('Statement of Marks'!F31="","",'Statement of Marks'!F31))</f>
        <v/>
      </c>
      <c r="H32" s="804" t="str">
        <f>IF(OR($E$3="",$P$3=""),"",IF('Statement of Marks'!G31="","",'Statement of Marks'!G31))</f>
        <v/>
      </c>
      <c r="I32" s="805" t="str">
        <f>IF(OR($E$3="",$P$3=""),"",IF('Statement of Marks'!H31="","",'Statement of Marks'!H31))</f>
        <v/>
      </c>
      <c r="J32" s="805" t="str">
        <f>IF(OR($E$3="",$P$3=""),"",IF('Statement of Marks'!I31="","",'Statement of Marks'!I31))</f>
        <v/>
      </c>
      <c r="K32" s="805" t="str">
        <f>IFERROR(IF(B32="","",IF($P$3=$AT$10,IF(AND(BM32="A"),'Marks Entry'!$U$2,IF(AND(BM32="B"),'Marks Entry'!$Y$2,IF(AND(BM32="C"),'Marks Entry'!$AA$2,""))),IF($P$3=$AT$11,IF(AND(BN32="A"),'Marks Entry'!$AC$2,IF(AND(BN32="B"),'Marks Entry'!$AG$2,IF(AND(BN32="C"),'Marks Entry'!$AI$2,""))),IF($P$3=$AT$12,IF(AND(BO32="A"),'Marks Entry'!$AK$2,IF(AND(BO32="B"),'Marks Entry'!$AO$2,IF(AND(BO32="C"),'Marks Entry'!$AQ$2,""))),IF($P$3=$AT$13,IF(AND(BP32="A"),'Marks Entry'!$AS$2,IF(AND(BP32="B"),'Marks Entry'!$AW$2,IF(AND(BP32="C"),'Marks Entry'!$AY$2,""))),"-"))))),"")</f>
        <v/>
      </c>
      <c r="L32" s="806" t="str">
        <f>IFERROR(IF(B32="","",IF($P$3=$AT$8,'Statement of Marks'!J31,IF($P$3=$AT$9,'Statement of Marks'!X31,IF($P$3=$AT$10,'Statement of Marks'!AM31,IF($P$3=$AT$11,'Statement of Marks'!BJ31,IF($P$3=$AT$12,'Statement of Marks'!CG31,IF($P$3=$AT$13,'Statement of Marks'!DE31,IF($P$3=$AT$14,"",IF($P$3=$AT$15,'Statement of Marks'!EY31,""))))))))),"")</f>
        <v/>
      </c>
      <c r="M32" s="806" t="str">
        <f>IFERROR(IF(B32="","",IF($P$3=$AT$8,'Statement of Marks'!K31,IF($P$3=$AT$9,'Statement of Marks'!Y31,IF($P$3=$AT$10,'Statement of Marks'!AN31,IF($P$3=$AT$11,'Statement of Marks'!BK31,IF($P$3=$AT$12,'Statement of Marks'!CH31,IF($P$3=$AT$13,'Statement of Marks'!DF31,IF($P$3=$AT$14,"",IF($P$3=$AT$15,'Statement of Marks'!EZ31,""))))))))),"")</f>
        <v/>
      </c>
      <c r="N32" s="806" t="str">
        <f>IFERROR(IF(B32="","",IF($P$3=$AT$8,'Statement of Marks'!L31,IF($P$3=$AT$9,'Statement of Marks'!Z31,IF($P$3=$AT$10,'Statement of Marks'!AO31,IF($P$3=$AT$11,'Statement of Marks'!BL31,IF($P$3=$AT$12,'Statement of Marks'!CI31,IF($P$3=$AT$13,'Statement of Marks'!DG31,IF($P$3=$AT$14,"",IF($P$3=$AT$15,'Statement of Marks'!FA31,""))))))))),"")</f>
        <v/>
      </c>
      <c r="O32" s="807" t="str">
        <f t="shared" si="4"/>
        <v/>
      </c>
      <c r="P32" s="806" t="str">
        <f>IFERROR(IF(B32="","",IF($P$3=$AT$8,'Statement of Marks'!N31,IF($P$3=$AT$9,'Statement of Marks'!AB31,IF($P$3=$AT$10,'Statement of Marks'!AQ31,IF($P$3=$AT$11,'Statement of Marks'!BN31,IF($P$3=$AT$12,'Statement of Marks'!CK31,IF($P$3=$AT$13,'Statement of Marks'!DI31,IF($P$3=$AT$14,"",IF($P$3=$AT$15,'Statement of Marks'!FC31,""))))))))),"")</f>
        <v/>
      </c>
      <c r="Q32" s="806" t="str">
        <f>IFERROR(IF(B32="","",IF($P$3=$AT$8,"",IF($P$3=$AT$9,"",IF($P$3=$AT$10,'Statement of Marks'!AR31,IF($P$3=$AT$11,'Statement of Marks'!BO31,IF($P$3=$AT$12,'Statement of Marks'!CL31,IF($P$3=$AT$13,'Statement of Marks'!DJ31,IF($P$3=$AT$14,"",IF($P$3=$AT$15,"",""))))))))),"")</f>
        <v/>
      </c>
      <c r="R32" s="818" t="str">
        <f>IFERROR(IF(B32="","",IF(AND(P32="",Q32="",$P$3=""),"",IF($P$3=$AT$14,'Statement of Marks'!EC31,SUM(P32,Q32)))),"")</f>
        <v/>
      </c>
      <c r="S32" s="817" t="str">
        <f>IFERROR(IF(B32="","",IF($P$3=$AT$14,'Statement of Marks'!ED31,IF(AND(O32="NA",P32="NA",Q32="NA"),"NA",IF(AND(O32="",P32="",Q32=""),"",SUM(O32,P32,Q32))))),"")</f>
        <v/>
      </c>
      <c r="T32" s="806" t="str">
        <f>IFERROR(IF(B32="","",IF($P$3=$AT$8,'Statement of Marks'!P31,IF($P$3=$AT$9,'Statement of Marks'!AD31,IF($P$3=$AT$10,'Statement of Marks'!AU31,IF($P$3=$AT$11,'Statement of Marks'!BR31,IF($P$3=$AT$12,'Statement of Marks'!CO31,IF($P$3=$AT$13,'Statement of Marks'!DM31,IF($P$3=$AT$14,"",IF($P$3=$AT$15,'Statement of Marks'!FD31,""))))))))),"")</f>
        <v/>
      </c>
      <c r="U32" s="806" t="str">
        <f>IFERROR(IF(B32="","",IF($P$3=$AT$8,"",IF($P$3=$AT$9,"",IF($P$3=$AT$10,'Statement of Marks'!AV31,IF($P$3=$AT$11,'Statement of Marks'!BS31,IF($P$3=$AT$12,'Statement of Marks'!CP31,IF($P$3=$AT$13,'Statement of Marks'!DN31,IF($P$3=$AT$14,"",IF($P$3=$AT$15,"",""))))))))),"")</f>
        <v/>
      </c>
      <c r="V32" s="818" t="str">
        <f>IFERROR(IF(B32="","",IF(AND(T32="",U32="",$P$3=""),"",IF($P$3=$AT$14,'Statement of Marks'!EE31,SUM(T32,U32)))),"")</f>
        <v/>
      </c>
      <c r="W32" s="808" t="str">
        <f t="shared" si="5"/>
        <v/>
      </c>
      <c r="X32" s="809">
        <f t="shared" si="6"/>
        <v>0</v>
      </c>
      <c r="Y32" s="809">
        <f t="shared" si="7"/>
        <v>0</v>
      </c>
      <c r="Z32" s="809">
        <f t="shared" si="8"/>
        <v>0</v>
      </c>
      <c r="AA32" s="809" t="str">
        <f t="shared" si="9"/>
        <v/>
      </c>
      <c r="AB32" s="809" t="str">
        <f t="shared" si="10"/>
        <v/>
      </c>
      <c r="AC32" s="809" t="str">
        <f t="shared" si="11"/>
        <v/>
      </c>
      <c r="AD32" s="809" t="str">
        <f t="shared" si="12"/>
        <v/>
      </c>
      <c r="AE32" s="810" t="str">
        <f t="shared" si="13"/>
        <v/>
      </c>
      <c r="AF32" s="811" t="str">
        <f t="shared" si="14"/>
        <v/>
      </c>
      <c r="AG32" s="812" t="str">
        <f t="shared" si="15"/>
        <v/>
      </c>
      <c r="AW32" s="17" t="str">
        <f t="shared" si="16"/>
        <v/>
      </c>
      <c r="AX32" s="17" t="str">
        <f t="shared" si="17"/>
        <v/>
      </c>
      <c r="BM32" s="17" t="str">
        <f>IFERROR(VLOOKUP(B32,'Statement of Marks'!$B$8:'Statement of Marks'!$HI$207,37,0),"")</f>
        <v>A</v>
      </c>
      <c r="BN32" s="17" t="str">
        <f>IFERROR(VLOOKUP(B32,'Statement of Marks'!$B$8:'Statement of Marks'!$HI$207,60,0),"")</f>
        <v>A</v>
      </c>
      <c r="BO32" s="17" t="str">
        <f>IFERROR(VLOOKUP(B32,'Statement of Marks'!$B$8:'Statement of Marks'!$HI$207,83,0),"")</f>
        <v>A</v>
      </c>
      <c r="BP32" s="17" t="str">
        <f>IFERROR(VLOOKUP(B32,'Statement of Marks'!$B$8:'Statement of Marks'!$HI$207,107,0),"")</f>
        <v/>
      </c>
    </row>
    <row r="33" spans="1:68">
      <c r="A33" s="800">
        <f>IF('Statement of Marks'!A32="","",'Statement of Marks'!A32)</f>
        <v>25</v>
      </c>
      <c r="B33" s="801" t="str">
        <f>IF(OR($E$3="",$P$3=""),"",IF('Statement of Marks'!B32="","",'Statement of Marks'!B32))</f>
        <v/>
      </c>
      <c r="C33" s="810" t="str">
        <f>IF(OR($E$3="",$P$3=""),"",IF('Marks Entry'!C32="","",'Marks Entry'!C32))</f>
        <v/>
      </c>
      <c r="D33" s="802" t="str">
        <f>IF(OR($E$3="",$P$3=""),"",IF('Statement of Marks'!C32="","",'Statement of Marks'!C32))</f>
        <v/>
      </c>
      <c r="E33" s="803" t="str">
        <f>IF(OR($E$3="",$P$3=""),"",IF('Statement of Marks'!D32="","",'Statement of Marks'!D32))</f>
        <v/>
      </c>
      <c r="F33" s="804" t="str">
        <f>IF(OR($E$3="",$P$3=""),"",IF('Statement of Marks'!E32="","",'Statement of Marks'!E32))</f>
        <v/>
      </c>
      <c r="G33" s="804" t="str">
        <f>IF(OR($E$3="",$P$3=""),"",IF('Statement of Marks'!F32="","",'Statement of Marks'!F32))</f>
        <v/>
      </c>
      <c r="H33" s="804" t="str">
        <f>IF(OR($E$3="",$P$3=""),"",IF('Statement of Marks'!G32="","",'Statement of Marks'!G32))</f>
        <v/>
      </c>
      <c r="I33" s="805" t="str">
        <f>IF(OR($E$3="",$P$3=""),"",IF('Statement of Marks'!H32="","",'Statement of Marks'!H32))</f>
        <v/>
      </c>
      <c r="J33" s="805" t="str">
        <f>IF(OR($E$3="",$P$3=""),"",IF('Statement of Marks'!I32="","",'Statement of Marks'!I32))</f>
        <v/>
      </c>
      <c r="K33" s="805" t="str">
        <f>IFERROR(IF(B33="","",IF($P$3=$AT$10,IF(AND(BM33="A"),'Marks Entry'!$U$2,IF(AND(BM33="B"),'Marks Entry'!$Y$2,IF(AND(BM33="C"),'Marks Entry'!$AA$2,""))),IF($P$3=$AT$11,IF(AND(BN33="A"),'Marks Entry'!$AC$2,IF(AND(BN33="B"),'Marks Entry'!$AG$2,IF(AND(BN33="C"),'Marks Entry'!$AI$2,""))),IF($P$3=$AT$12,IF(AND(BO33="A"),'Marks Entry'!$AK$2,IF(AND(BO33="B"),'Marks Entry'!$AO$2,IF(AND(BO33="C"),'Marks Entry'!$AQ$2,""))),IF($P$3=$AT$13,IF(AND(BP33="A"),'Marks Entry'!$AS$2,IF(AND(BP33="B"),'Marks Entry'!$AW$2,IF(AND(BP33="C"),'Marks Entry'!$AY$2,""))),"-"))))),"")</f>
        <v/>
      </c>
      <c r="L33" s="806" t="str">
        <f>IFERROR(IF(B33="","",IF($P$3=$AT$8,'Statement of Marks'!J32,IF($P$3=$AT$9,'Statement of Marks'!X32,IF($P$3=$AT$10,'Statement of Marks'!AM32,IF($P$3=$AT$11,'Statement of Marks'!BJ32,IF($P$3=$AT$12,'Statement of Marks'!CG32,IF($P$3=$AT$13,'Statement of Marks'!DE32,IF($P$3=$AT$14,"",IF($P$3=$AT$15,'Statement of Marks'!EY32,""))))))))),"")</f>
        <v/>
      </c>
      <c r="M33" s="806" t="str">
        <f>IFERROR(IF(B33="","",IF($P$3=$AT$8,'Statement of Marks'!K32,IF($P$3=$AT$9,'Statement of Marks'!Y32,IF($P$3=$AT$10,'Statement of Marks'!AN32,IF($P$3=$AT$11,'Statement of Marks'!BK32,IF($P$3=$AT$12,'Statement of Marks'!CH32,IF($P$3=$AT$13,'Statement of Marks'!DF32,IF($P$3=$AT$14,"",IF($P$3=$AT$15,'Statement of Marks'!EZ32,""))))))))),"")</f>
        <v/>
      </c>
      <c r="N33" s="806" t="str">
        <f>IFERROR(IF(B33="","",IF($P$3=$AT$8,'Statement of Marks'!L32,IF($P$3=$AT$9,'Statement of Marks'!Z32,IF($P$3=$AT$10,'Statement of Marks'!AO32,IF($P$3=$AT$11,'Statement of Marks'!BL32,IF($P$3=$AT$12,'Statement of Marks'!CI32,IF($P$3=$AT$13,'Statement of Marks'!DG32,IF($P$3=$AT$14,"",IF($P$3=$AT$15,'Statement of Marks'!FA32,""))))))))),"")</f>
        <v/>
      </c>
      <c r="O33" s="807" t="str">
        <f t="shared" si="4"/>
        <v/>
      </c>
      <c r="P33" s="806" t="str">
        <f>IFERROR(IF(B33="","",IF($P$3=$AT$8,'Statement of Marks'!N32,IF($P$3=$AT$9,'Statement of Marks'!AB32,IF($P$3=$AT$10,'Statement of Marks'!AQ32,IF($P$3=$AT$11,'Statement of Marks'!BN32,IF($P$3=$AT$12,'Statement of Marks'!CK32,IF($P$3=$AT$13,'Statement of Marks'!DI32,IF($P$3=$AT$14,"",IF($P$3=$AT$15,'Statement of Marks'!FC32,""))))))))),"")</f>
        <v/>
      </c>
      <c r="Q33" s="806" t="str">
        <f>IFERROR(IF(B33="","",IF($P$3=$AT$8,"",IF($P$3=$AT$9,"",IF($P$3=$AT$10,'Statement of Marks'!AR32,IF($P$3=$AT$11,'Statement of Marks'!BO32,IF($P$3=$AT$12,'Statement of Marks'!CL32,IF($P$3=$AT$13,'Statement of Marks'!DJ32,IF($P$3=$AT$14,"",IF($P$3=$AT$15,"",""))))))))),"")</f>
        <v/>
      </c>
      <c r="R33" s="818" t="str">
        <f>IFERROR(IF(B33="","",IF(AND(P33="",Q33="",$P$3=""),"",IF($P$3=$AT$14,'Statement of Marks'!EC32,SUM(P33,Q33)))),"")</f>
        <v/>
      </c>
      <c r="S33" s="817" t="str">
        <f>IFERROR(IF(B33="","",IF($P$3=$AT$14,'Statement of Marks'!ED32,IF(AND(O33="NA",P33="NA",Q33="NA"),"NA",IF(AND(O33="",P33="",Q33=""),"",SUM(O33,P33,Q33))))),"")</f>
        <v/>
      </c>
      <c r="T33" s="806" t="str">
        <f>IFERROR(IF(B33="","",IF($P$3=$AT$8,'Statement of Marks'!P32,IF($P$3=$AT$9,'Statement of Marks'!AD32,IF($P$3=$AT$10,'Statement of Marks'!AU32,IF($P$3=$AT$11,'Statement of Marks'!BR32,IF($P$3=$AT$12,'Statement of Marks'!CO32,IF($P$3=$AT$13,'Statement of Marks'!DM32,IF($P$3=$AT$14,"",IF($P$3=$AT$15,'Statement of Marks'!FD32,""))))))))),"")</f>
        <v/>
      </c>
      <c r="U33" s="806" t="str">
        <f>IFERROR(IF(B33="","",IF($P$3=$AT$8,"",IF($P$3=$AT$9,"",IF($P$3=$AT$10,'Statement of Marks'!AV32,IF($P$3=$AT$11,'Statement of Marks'!BS32,IF($P$3=$AT$12,'Statement of Marks'!CP32,IF($P$3=$AT$13,'Statement of Marks'!DN32,IF($P$3=$AT$14,"",IF($P$3=$AT$15,"",""))))))))),"")</f>
        <v/>
      </c>
      <c r="V33" s="818" t="str">
        <f>IFERROR(IF(B33="","",IF(AND(T33="",U33="",$P$3=""),"",IF($P$3=$AT$14,'Statement of Marks'!EE32,SUM(T33,U33)))),"")</f>
        <v/>
      </c>
      <c r="W33" s="808" t="str">
        <f t="shared" si="5"/>
        <v/>
      </c>
      <c r="X33" s="809">
        <f t="shared" si="6"/>
        <v>0</v>
      </c>
      <c r="Y33" s="809">
        <f t="shared" si="7"/>
        <v>0</v>
      </c>
      <c r="Z33" s="809">
        <f t="shared" si="8"/>
        <v>0</v>
      </c>
      <c r="AA33" s="809" t="str">
        <f t="shared" si="9"/>
        <v/>
      </c>
      <c r="AB33" s="809" t="str">
        <f t="shared" si="10"/>
        <v/>
      </c>
      <c r="AC33" s="809" t="str">
        <f t="shared" si="11"/>
        <v/>
      </c>
      <c r="AD33" s="809" t="str">
        <f t="shared" si="12"/>
        <v/>
      </c>
      <c r="AE33" s="810" t="str">
        <f t="shared" si="13"/>
        <v/>
      </c>
      <c r="AF33" s="811" t="str">
        <f t="shared" si="14"/>
        <v/>
      </c>
      <c r="AG33" s="812" t="str">
        <f t="shared" si="15"/>
        <v/>
      </c>
      <c r="AW33" s="17" t="str">
        <f t="shared" si="16"/>
        <v/>
      </c>
      <c r="AX33" s="17" t="str">
        <f t="shared" si="17"/>
        <v/>
      </c>
      <c r="BM33" s="17" t="str">
        <f>IFERROR(VLOOKUP(B33,'Statement of Marks'!$B$8:'Statement of Marks'!$HI$207,37,0),"")</f>
        <v>A</v>
      </c>
      <c r="BN33" s="17" t="str">
        <f>IFERROR(VLOOKUP(B33,'Statement of Marks'!$B$8:'Statement of Marks'!$HI$207,60,0),"")</f>
        <v>A</v>
      </c>
      <c r="BO33" s="17" t="str">
        <f>IFERROR(VLOOKUP(B33,'Statement of Marks'!$B$8:'Statement of Marks'!$HI$207,83,0),"")</f>
        <v>A</v>
      </c>
      <c r="BP33" s="17" t="str">
        <f>IFERROR(VLOOKUP(B33,'Statement of Marks'!$B$8:'Statement of Marks'!$HI$207,107,0),"")</f>
        <v/>
      </c>
    </row>
    <row r="34" spans="1:68">
      <c r="A34" s="800">
        <f>IF('Statement of Marks'!A33="","",'Statement of Marks'!A33)</f>
        <v>26</v>
      </c>
      <c r="B34" s="801" t="str">
        <f>IF(OR($E$3="",$P$3=""),"",IF('Statement of Marks'!B33="","",'Statement of Marks'!B33))</f>
        <v/>
      </c>
      <c r="C34" s="810" t="str">
        <f>IF(OR($E$3="",$P$3=""),"",IF('Marks Entry'!C33="","",'Marks Entry'!C33))</f>
        <v/>
      </c>
      <c r="D34" s="802" t="str">
        <f>IF(OR($E$3="",$P$3=""),"",IF('Statement of Marks'!C33="","",'Statement of Marks'!C33))</f>
        <v/>
      </c>
      <c r="E34" s="803" t="str">
        <f>IF(OR($E$3="",$P$3=""),"",IF('Statement of Marks'!D33="","",'Statement of Marks'!D33))</f>
        <v/>
      </c>
      <c r="F34" s="804" t="str">
        <f>IF(OR($E$3="",$P$3=""),"",IF('Statement of Marks'!E33="","",'Statement of Marks'!E33))</f>
        <v/>
      </c>
      <c r="G34" s="804" t="str">
        <f>IF(OR($E$3="",$P$3=""),"",IF('Statement of Marks'!F33="","",'Statement of Marks'!F33))</f>
        <v/>
      </c>
      <c r="H34" s="804" t="str">
        <f>IF(OR($E$3="",$P$3=""),"",IF('Statement of Marks'!G33="","",'Statement of Marks'!G33))</f>
        <v/>
      </c>
      <c r="I34" s="805" t="str">
        <f>IF(OR($E$3="",$P$3=""),"",IF('Statement of Marks'!H33="","",'Statement of Marks'!H33))</f>
        <v/>
      </c>
      <c r="J34" s="805" t="str">
        <f>IF(OR($E$3="",$P$3=""),"",IF('Statement of Marks'!I33="","",'Statement of Marks'!I33))</f>
        <v/>
      </c>
      <c r="K34" s="805" t="str">
        <f>IFERROR(IF(B34="","",IF($P$3=$AT$10,IF(AND(BM34="A"),'Marks Entry'!$U$2,IF(AND(BM34="B"),'Marks Entry'!$Y$2,IF(AND(BM34="C"),'Marks Entry'!$AA$2,""))),IF($P$3=$AT$11,IF(AND(BN34="A"),'Marks Entry'!$AC$2,IF(AND(BN34="B"),'Marks Entry'!$AG$2,IF(AND(BN34="C"),'Marks Entry'!$AI$2,""))),IF($P$3=$AT$12,IF(AND(BO34="A"),'Marks Entry'!$AK$2,IF(AND(BO34="B"),'Marks Entry'!$AO$2,IF(AND(BO34="C"),'Marks Entry'!$AQ$2,""))),IF($P$3=$AT$13,IF(AND(BP34="A"),'Marks Entry'!$AS$2,IF(AND(BP34="B"),'Marks Entry'!$AW$2,IF(AND(BP34="C"),'Marks Entry'!$AY$2,""))),"-"))))),"")</f>
        <v/>
      </c>
      <c r="L34" s="806" t="str">
        <f>IFERROR(IF(B34="","",IF($P$3=$AT$8,'Statement of Marks'!J33,IF($P$3=$AT$9,'Statement of Marks'!X33,IF($P$3=$AT$10,'Statement of Marks'!AM33,IF($P$3=$AT$11,'Statement of Marks'!BJ33,IF($P$3=$AT$12,'Statement of Marks'!CG33,IF($P$3=$AT$13,'Statement of Marks'!DE33,IF($P$3=$AT$14,"",IF($P$3=$AT$15,'Statement of Marks'!EY33,""))))))))),"")</f>
        <v/>
      </c>
      <c r="M34" s="806" t="str">
        <f>IFERROR(IF(B34="","",IF($P$3=$AT$8,'Statement of Marks'!K33,IF($P$3=$AT$9,'Statement of Marks'!Y33,IF($P$3=$AT$10,'Statement of Marks'!AN33,IF($P$3=$AT$11,'Statement of Marks'!BK33,IF($P$3=$AT$12,'Statement of Marks'!CH33,IF($P$3=$AT$13,'Statement of Marks'!DF33,IF($P$3=$AT$14,"",IF($P$3=$AT$15,'Statement of Marks'!EZ33,""))))))))),"")</f>
        <v/>
      </c>
      <c r="N34" s="806" t="str">
        <f>IFERROR(IF(B34="","",IF($P$3=$AT$8,'Statement of Marks'!L33,IF($P$3=$AT$9,'Statement of Marks'!Z33,IF($P$3=$AT$10,'Statement of Marks'!AO33,IF($P$3=$AT$11,'Statement of Marks'!BL33,IF($P$3=$AT$12,'Statement of Marks'!CI33,IF($P$3=$AT$13,'Statement of Marks'!DG33,IF($P$3=$AT$14,"",IF($P$3=$AT$15,'Statement of Marks'!FA33,""))))))))),"")</f>
        <v/>
      </c>
      <c r="O34" s="807" t="str">
        <f t="shared" si="4"/>
        <v/>
      </c>
      <c r="P34" s="806" t="str">
        <f>IFERROR(IF(B34="","",IF($P$3=$AT$8,'Statement of Marks'!N33,IF($P$3=$AT$9,'Statement of Marks'!AB33,IF($P$3=$AT$10,'Statement of Marks'!AQ33,IF($P$3=$AT$11,'Statement of Marks'!BN33,IF($P$3=$AT$12,'Statement of Marks'!CK33,IF($P$3=$AT$13,'Statement of Marks'!DI33,IF($P$3=$AT$14,"",IF($P$3=$AT$15,'Statement of Marks'!FC33,""))))))))),"")</f>
        <v/>
      </c>
      <c r="Q34" s="806" t="str">
        <f>IFERROR(IF(B34="","",IF($P$3=$AT$8,"",IF($P$3=$AT$9,"",IF($P$3=$AT$10,'Statement of Marks'!AR33,IF($P$3=$AT$11,'Statement of Marks'!BO33,IF($P$3=$AT$12,'Statement of Marks'!CL33,IF($P$3=$AT$13,'Statement of Marks'!DJ33,IF($P$3=$AT$14,"",IF($P$3=$AT$15,"",""))))))))),"")</f>
        <v/>
      </c>
      <c r="R34" s="818" t="str">
        <f>IFERROR(IF(B34="","",IF(AND(P34="",Q34="",$P$3=""),"",IF($P$3=$AT$14,'Statement of Marks'!EC33,SUM(P34,Q34)))),"")</f>
        <v/>
      </c>
      <c r="S34" s="817" t="str">
        <f>IFERROR(IF(B34="","",IF($P$3=$AT$14,'Statement of Marks'!ED33,IF(AND(O34="NA",P34="NA",Q34="NA"),"NA",IF(AND(O34="",P34="",Q34=""),"",SUM(O34,P34,Q34))))),"")</f>
        <v/>
      </c>
      <c r="T34" s="806" t="str">
        <f>IFERROR(IF(B34="","",IF($P$3=$AT$8,'Statement of Marks'!P33,IF($P$3=$AT$9,'Statement of Marks'!AD33,IF($P$3=$AT$10,'Statement of Marks'!AU33,IF($P$3=$AT$11,'Statement of Marks'!BR33,IF($P$3=$AT$12,'Statement of Marks'!CO33,IF($P$3=$AT$13,'Statement of Marks'!DM33,IF($P$3=$AT$14,"",IF($P$3=$AT$15,'Statement of Marks'!FD33,""))))))))),"")</f>
        <v/>
      </c>
      <c r="U34" s="806" t="str">
        <f>IFERROR(IF(B34="","",IF($P$3=$AT$8,"",IF($P$3=$AT$9,"",IF($P$3=$AT$10,'Statement of Marks'!AV33,IF($P$3=$AT$11,'Statement of Marks'!BS33,IF($P$3=$AT$12,'Statement of Marks'!CP33,IF($P$3=$AT$13,'Statement of Marks'!DN33,IF($P$3=$AT$14,"",IF($P$3=$AT$15,"",""))))))))),"")</f>
        <v/>
      </c>
      <c r="V34" s="818" t="str">
        <f>IFERROR(IF(B34="","",IF(AND(T34="",U34="",$P$3=""),"",IF($P$3=$AT$14,'Statement of Marks'!EE33,SUM(T34,U34)))),"")</f>
        <v/>
      </c>
      <c r="W34" s="808" t="str">
        <f t="shared" si="5"/>
        <v/>
      </c>
      <c r="X34" s="809">
        <f t="shared" si="6"/>
        <v>0</v>
      </c>
      <c r="Y34" s="809">
        <f t="shared" si="7"/>
        <v>0</v>
      </c>
      <c r="Z34" s="809">
        <f t="shared" si="8"/>
        <v>0</v>
      </c>
      <c r="AA34" s="809" t="str">
        <f t="shared" si="9"/>
        <v/>
      </c>
      <c r="AB34" s="809" t="str">
        <f t="shared" si="10"/>
        <v/>
      </c>
      <c r="AC34" s="809" t="str">
        <f t="shared" si="11"/>
        <v/>
      </c>
      <c r="AD34" s="809" t="str">
        <f t="shared" si="12"/>
        <v/>
      </c>
      <c r="AE34" s="810" t="str">
        <f t="shared" si="13"/>
        <v/>
      </c>
      <c r="AF34" s="811" t="str">
        <f t="shared" si="14"/>
        <v/>
      </c>
      <c r="AG34" s="812" t="str">
        <f t="shared" si="15"/>
        <v/>
      </c>
      <c r="AW34" s="17" t="str">
        <f t="shared" si="16"/>
        <v/>
      </c>
      <c r="AX34" s="17" t="str">
        <f t="shared" si="17"/>
        <v/>
      </c>
      <c r="BM34" s="17" t="str">
        <f>IFERROR(VLOOKUP(B34,'Statement of Marks'!$B$8:'Statement of Marks'!$HI$207,37,0),"")</f>
        <v>A</v>
      </c>
      <c r="BN34" s="17" t="str">
        <f>IFERROR(VLOOKUP(B34,'Statement of Marks'!$B$8:'Statement of Marks'!$HI$207,60,0),"")</f>
        <v>A</v>
      </c>
      <c r="BO34" s="17" t="str">
        <f>IFERROR(VLOOKUP(B34,'Statement of Marks'!$B$8:'Statement of Marks'!$HI$207,83,0),"")</f>
        <v>A</v>
      </c>
      <c r="BP34" s="17" t="str">
        <f>IFERROR(VLOOKUP(B34,'Statement of Marks'!$B$8:'Statement of Marks'!$HI$207,107,0),"")</f>
        <v/>
      </c>
    </row>
    <row r="35" spans="1:68">
      <c r="A35" s="800">
        <f>IF('Statement of Marks'!A34="","",'Statement of Marks'!A34)</f>
        <v>27</v>
      </c>
      <c r="B35" s="801" t="str">
        <f>IF(OR($E$3="",$P$3=""),"",IF('Statement of Marks'!B34="","",'Statement of Marks'!B34))</f>
        <v/>
      </c>
      <c r="C35" s="810" t="str">
        <f>IF(OR($E$3="",$P$3=""),"",IF('Marks Entry'!C34="","",'Marks Entry'!C34))</f>
        <v/>
      </c>
      <c r="D35" s="802" t="str">
        <f>IF(OR($E$3="",$P$3=""),"",IF('Statement of Marks'!C34="","",'Statement of Marks'!C34))</f>
        <v/>
      </c>
      <c r="E35" s="803" t="str">
        <f>IF(OR($E$3="",$P$3=""),"",IF('Statement of Marks'!D34="","",'Statement of Marks'!D34))</f>
        <v/>
      </c>
      <c r="F35" s="804" t="str">
        <f>IF(OR($E$3="",$P$3=""),"",IF('Statement of Marks'!E34="","",'Statement of Marks'!E34))</f>
        <v/>
      </c>
      <c r="G35" s="804" t="str">
        <f>IF(OR($E$3="",$P$3=""),"",IF('Statement of Marks'!F34="","",'Statement of Marks'!F34))</f>
        <v/>
      </c>
      <c r="H35" s="804" t="str">
        <f>IF(OR($E$3="",$P$3=""),"",IF('Statement of Marks'!G34="","",'Statement of Marks'!G34))</f>
        <v/>
      </c>
      <c r="I35" s="805" t="str">
        <f>IF(OR($E$3="",$P$3=""),"",IF('Statement of Marks'!H34="","",'Statement of Marks'!H34))</f>
        <v/>
      </c>
      <c r="J35" s="805" t="str">
        <f>IF(OR($E$3="",$P$3=""),"",IF('Statement of Marks'!I34="","",'Statement of Marks'!I34))</f>
        <v/>
      </c>
      <c r="K35" s="805" t="str">
        <f>IFERROR(IF(B35="","",IF($P$3=$AT$10,IF(AND(BM35="A"),'Marks Entry'!$U$2,IF(AND(BM35="B"),'Marks Entry'!$Y$2,IF(AND(BM35="C"),'Marks Entry'!$AA$2,""))),IF($P$3=$AT$11,IF(AND(BN35="A"),'Marks Entry'!$AC$2,IF(AND(BN35="B"),'Marks Entry'!$AG$2,IF(AND(BN35="C"),'Marks Entry'!$AI$2,""))),IF($P$3=$AT$12,IF(AND(BO35="A"),'Marks Entry'!$AK$2,IF(AND(BO35="B"),'Marks Entry'!$AO$2,IF(AND(BO35="C"),'Marks Entry'!$AQ$2,""))),IF($P$3=$AT$13,IF(AND(BP35="A"),'Marks Entry'!$AS$2,IF(AND(BP35="B"),'Marks Entry'!$AW$2,IF(AND(BP35="C"),'Marks Entry'!$AY$2,""))),"-"))))),"")</f>
        <v/>
      </c>
      <c r="L35" s="806" t="str">
        <f>IFERROR(IF(B35="","",IF($P$3=$AT$8,'Statement of Marks'!J34,IF($P$3=$AT$9,'Statement of Marks'!X34,IF($P$3=$AT$10,'Statement of Marks'!AM34,IF($P$3=$AT$11,'Statement of Marks'!BJ34,IF($P$3=$AT$12,'Statement of Marks'!CG34,IF($P$3=$AT$13,'Statement of Marks'!DE34,IF($P$3=$AT$14,"",IF($P$3=$AT$15,'Statement of Marks'!EY34,""))))))))),"")</f>
        <v/>
      </c>
      <c r="M35" s="806" t="str">
        <f>IFERROR(IF(B35="","",IF($P$3=$AT$8,'Statement of Marks'!K34,IF($P$3=$AT$9,'Statement of Marks'!Y34,IF($P$3=$AT$10,'Statement of Marks'!AN34,IF($P$3=$AT$11,'Statement of Marks'!BK34,IF($P$3=$AT$12,'Statement of Marks'!CH34,IF($P$3=$AT$13,'Statement of Marks'!DF34,IF($P$3=$AT$14,"",IF($P$3=$AT$15,'Statement of Marks'!EZ34,""))))))))),"")</f>
        <v/>
      </c>
      <c r="N35" s="806" t="str">
        <f>IFERROR(IF(B35="","",IF($P$3=$AT$8,'Statement of Marks'!L34,IF($P$3=$AT$9,'Statement of Marks'!Z34,IF($P$3=$AT$10,'Statement of Marks'!AO34,IF($P$3=$AT$11,'Statement of Marks'!BL34,IF($P$3=$AT$12,'Statement of Marks'!CI34,IF($P$3=$AT$13,'Statement of Marks'!DG34,IF($P$3=$AT$14,"",IF($P$3=$AT$15,'Statement of Marks'!FA34,""))))))))),"")</f>
        <v/>
      </c>
      <c r="O35" s="807" t="str">
        <f t="shared" si="4"/>
        <v/>
      </c>
      <c r="P35" s="806" t="str">
        <f>IFERROR(IF(B35="","",IF($P$3=$AT$8,'Statement of Marks'!N34,IF($P$3=$AT$9,'Statement of Marks'!AB34,IF($P$3=$AT$10,'Statement of Marks'!AQ34,IF($P$3=$AT$11,'Statement of Marks'!BN34,IF($P$3=$AT$12,'Statement of Marks'!CK34,IF($P$3=$AT$13,'Statement of Marks'!DI34,IF($P$3=$AT$14,"",IF($P$3=$AT$15,'Statement of Marks'!FC34,""))))))))),"")</f>
        <v/>
      </c>
      <c r="Q35" s="806" t="str">
        <f>IFERROR(IF(B35="","",IF($P$3=$AT$8,"",IF($P$3=$AT$9,"",IF($P$3=$AT$10,'Statement of Marks'!AR34,IF($P$3=$AT$11,'Statement of Marks'!BO34,IF($P$3=$AT$12,'Statement of Marks'!CL34,IF($P$3=$AT$13,'Statement of Marks'!DJ34,IF($P$3=$AT$14,"",IF($P$3=$AT$15,"",""))))))))),"")</f>
        <v/>
      </c>
      <c r="R35" s="818" t="str">
        <f>IFERROR(IF(B35="","",IF(AND(P35="",Q35="",$P$3=""),"",IF($P$3=$AT$14,'Statement of Marks'!EC34,SUM(P35,Q35)))),"")</f>
        <v/>
      </c>
      <c r="S35" s="817" t="str">
        <f>IFERROR(IF(B35="","",IF($P$3=$AT$14,'Statement of Marks'!ED34,IF(AND(O35="NA",P35="NA",Q35="NA"),"NA",IF(AND(O35="",P35="",Q35=""),"",SUM(O35,P35,Q35))))),"")</f>
        <v/>
      </c>
      <c r="T35" s="806" t="str">
        <f>IFERROR(IF(B35="","",IF($P$3=$AT$8,'Statement of Marks'!P34,IF($P$3=$AT$9,'Statement of Marks'!AD34,IF($P$3=$AT$10,'Statement of Marks'!AU34,IF($P$3=$AT$11,'Statement of Marks'!BR34,IF($P$3=$AT$12,'Statement of Marks'!CO34,IF($P$3=$AT$13,'Statement of Marks'!DM34,IF($P$3=$AT$14,"",IF($P$3=$AT$15,'Statement of Marks'!FD34,""))))))))),"")</f>
        <v/>
      </c>
      <c r="U35" s="806" t="str">
        <f>IFERROR(IF(B35="","",IF($P$3=$AT$8,"",IF($P$3=$AT$9,"",IF($P$3=$AT$10,'Statement of Marks'!AV34,IF($P$3=$AT$11,'Statement of Marks'!BS34,IF($P$3=$AT$12,'Statement of Marks'!CP34,IF($P$3=$AT$13,'Statement of Marks'!DN34,IF($P$3=$AT$14,"",IF($P$3=$AT$15,"",""))))))))),"")</f>
        <v/>
      </c>
      <c r="V35" s="818" t="str">
        <f>IFERROR(IF(B35="","",IF(AND(T35="",U35="",$P$3=""),"",IF($P$3=$AT$14,'Statement of Marks'!EE34,SUM(T35,U35)))),"")</f>
        <v/>
      </c>
      <c r="W35" s="808" t="str">
        <f t="shared" si="5"/>
        <v/>
      </c>
      <c r="X35" s="809">
        <f t="shared" si="6"/>
        <v>0</v>
      </c>
      <c r="Y35" s="809">
        <f t="shared" si="7"/>
        <v>0</v>
      </c>
      <c r="Z35" s="809">
        <f t="shared" si="8"/>
        <v>0</v>
      </c>
      <c r="AA35" s="809" t="str">
        <f t="shared" si="9"/>
        <v/>
      </c>
      <c r="AB35" s="809" t="str">
        <f t="shared" si="10"/>
        <v/>
      </c>
      <c r="AC35" s="809" t="str">
        <f t="shared" si="11"/>
        <v/>
      </c>
      <c r="AD35" s="809" t="str">
        <f t="shared" si="12"/>
        <v/>
      </c>
      <c r="AE35" s="810" t="str">
        <f t="shared" si="13"/>
        <v/>
      </c>
      <c r="AF35" s="811" t="str">
        <f t="shared" si="14"/>
        <v/>
      </c>
      <c r="AG35" s="812" t="str">
        <f t="shared" si="15"/>
        <v/>
      </c>
      <c r="AW35" s="17" t="str">
        <f t="shared" si="16"/>
        <v/>
      </c>
      <c r="AX35" s="17" t="str">
        <f t="shared" si="17"/>
        <v/>
      </c>
      <c r="BM35" s="17" t="str">
        <f>IFERROR(VLOOKUP(B35,'Statement of Marks'!$B$8:'Statement of Marks'!$HI$207,37,0),"")</f>
        <v>A</v>
      </c>
      <c r="BN35" s="17" t="str">
        <f>IFERROR(VLOOKUP(B35,'Statement of Marks'!$B$8:'Statement of Marks'!$HI$207,60,0),"")</f>
        <v>A</v>
      </c>
      <c r="BO35" s="17" t="str">
        <f>IFERROR(VLOOKUP(B35,'Statement of Marks'!$B$8:'Statement of Marks'!$HI$207,83,0),"")</f>
        <v>A</v>
      </c>
      <c r="BP35" s="17" t="str">
        <f>IFERROR(VLOOKUP(B35,'Statement of Marks'!$B$8:'Statement of Marks'!$HI$207,107,0),"")</f>
        <v/>
      </c>
    </row>
    <row r="36" spans="1:68">
      <c r="A36" s="800">
        <f>IF('Statement of Marks'!A35="","",'Statement of Marks'!A35)</f>
        <v>28</v>
      </c>
      <c r="B36" s="801" t="str">
        <f>IF(OR($E$3="",$P$3=""),"",IF('Statement of Marks'!B35="","",'Statement of Marks'!B35))</f>
        <v/>
      </c>
      <c r="C36" s="810" t="str">
        <f>IF(OR($E$3="",$P$3=""),"",IF('Marks Entry'!C35="","",'Marks Entry'!C35))</f>
        <v/>
      </c>
      <c r="D36" s="802" t="str">
        <f>IF(OR($E$3="",$P$3=""),"",IF('Statement of Marks'!C35="","",'Statement of Marks'!C35))</f>
        <v/>
      </c>
      <c r="E36" s="803" t="str">
        <f>IF(OR($E$3="",$P$3=""),"",IF('Statement of Marks'!D35="","",'Statement of Marks'!D35))</f>
        <v/>
      </c>
      <c r="F36" s="804" t="str">
        <f>IF(OR($E$3="",$P$3=""),"",IF('Statement of Marks'!E35="","",'Statement of Marks'!E35))</f>
        <v/>
      </c>
      <c r="G36" s="804" t="str">
        <f>IF(OR($E$3="",$P$3=""),"",IF('Statement of Marks'!F35="","",'Statement of Marks'!F35))</f>
        <v/>
      </c>
      <c r="H36" s="804" t="str">
        <f>IF(OR($E$3="",$P$3=""),"",IF('Statement of Marks'!G35="","",'Statement of Marks'!G35))</f>
        <v/>
      </c>
      <c r="I36" s="805" t="str">
        <f>IF(OR($E$3="",$P$3=""),"",IF('Statement of Marks'!H35="","",'Statement of Marks'!H35))</f>
        <v/>
      </c>
      <c r="J36" s="805" t="str">
        <f>IF(OR($E$3="",$P$3=""),"",IF('Statement of Marks'!I35="","",'Statement of Marks'!I35))</f>
        <v/>
      </c>
      <c r="K36" s="805" t="str">
        <f>IFERROR(IF(B36="","",IF($P$3=$AT$10,IF(AND(BM36="A"),'Marks Entry'!$U$2,IF(AND(BM36="B"),'Marks Entry'!$Y$2,IF(AND(BM36="C"),'Marks Entry'!$AA$2,""))),IF($P$3=$AT$11,IF(AND(BN36="A"),'Marks Entry'!$AC$2,IF(AND(BN36="B"),'Marks Entry'!$AG$2,IF(AND(BN36="C"),'Marks Entry'!$AI$2,""))),IF($P$3=$AT$12,IF(AND(BO36="A"),'Marks Entry'!$AK$2,IF(AND(BO36="B"),'Marks Entry'!$AO$2,IF(AND(BO36="C"),'Marks Entry'!$AQ$2,""))),IF($P$3=$AT$13,IF(AND(BP36="A"),'Marks Entry'!$AS$2,IF(AND(BP36="B"),'Marks Entry'!$AW$2,IF(AND(BP36="C"),'Marks Entry'!$AY$2,""))),"-"))))),"")</f>
        <v/>
      </c>
      <c r="L36" s="806" t="str">
        <f>IFERROR(IF(B36="","",IF($P$3=$AT$8,'Statement of Marks'!J35,IF($P$3=$AT$9,'Statement of Marks'!X35,IF($P$3=$AT$10,'Statement of Marks'!AM35,IF($P$3=$AT$11,'Statement of Marks'!BJ35,IF($P$3=$AT$12,'Statement of Marks'!CG35,IF($P$3=$AT$13,'Statement of Marks'!DE35,IF($P$3=$AT$14,"",IF($P$3=$AT$15,'Statement of Marks'!EY35,""))))))))),"")</f>
        <v/>
      </c>
      <c r="M36" s="806" t="str">
        <f>IFERROR(IF(B36="","",IF($P$3=$AT$8,'Statement of Marks'!K35,IF($P$3=$AT$9,'Statement of Marks'!Y35,IF($P$3=$AT$10,'Statement of Marks'!AN35,IF($P$3=$AT$11,'Statement of Marks'!BK35,IF($P$3=$AT$12,'Statement of Marks'!CH35,IF($P$3=$AT$13,'Statement of Marks'!DF35,IF($P$3=$AT$14,"",IF($P$3=$AT$15,'Statement of Marks'!EZ35,""))))))))),"")</f>
        <v/>
      </c>
      <c r="N36" s="806" t="str">
        <f>IFERROR(IF(B36="","",IF($P$3=$AT$8,'Statement of Marks'!L35,IF($P$3=$AT$9,'Statement of Marks'!Z35,IF($P$3=$AT$10,'Statement of Marks'!AO35,IF($P$3=$AT$11,'Statement of Marks'!BL35,IF($P$3=$AT$12,'Statement of Marks'!CI35,IF($P$3=$AT$13,'Statement of Marks'!DG35,IF($P$3=$AT$14,"",IF($P$3=$AT$15,'Statement of Marks'!FA35,""))))))))),"")</f>
        <v/>
      </c>
      <c r="O36" s="807" t="str">
        <f t="shared" si="4"/>
        <v/>
      </c>
      <c r="P36" s="806" t="str">
        <f>IFERROR(IF(B36="","",IF($P$3=$AT$8,'Statement of Marks'!N35,IF($P$3=$AT$9,'Statement of Marks'!AB35,IF($P$3=$AT$10,'Statement of Marks'!AQ35,IF($P$3=$AT$11,'Statement of Marks'!BN35,IF($P$3=$AT$12,'Statement of Marks'!CK35,IF($P$3=$AT$13,'Statement of Marks'!DI35,IF($P$3=$AT$14,"",IF($P$3=$AT$15,'Statement of Marks'!FC35,""))))))))),"")</f>
        <v/>
      </c>
      <c r="Q36" s="806" t="str">
        <f>IFERROR(IF(B36="","",IF($P$3=$AT$8,"",IF($P$3=$AT$9,"",IF($P$3=$AT$10,'Statement of Marks'!AR35,IF($P$3=$AT$11,'Statement of Marks'!BO35,IF($P$3=$AT$12,'Statement of Marks'!CL35,IF($P$3=$AT$13,'Statement of Marks'!DJ35,IF($P$3=$AT$14,"",IF($P$3=$AT$15,"",""))))))))),"")</f>
        <v/>
      </c>
      <c r="R36" s="818" t="str">
        <f>IFERROR(IF(B36="","",IF(AND(P36="",Q36="",$P$3=""),"",IF($P$3=$AT$14,'Statement of Marks'!EC35,SUM(P36,Q36)))),"")</f>
        <v/>
      </c>
      <c r="S36" s="817" t="str">
        <f>IFERROR(IF(B36="","",IF($P$3=$AT$14,'Statement of Marks'!ED35,IF(AND(O36="NA",P36="NA",Q36="NA"),"NA",IF(AND(O36="",P36="",Q36=""),"",SUM(O36,P36,Q36))))),"")</f>
        <v/>
      </c>
      <c r="T36" s="806" t="str">
        <f>IFERROR(IF(B36="","",IF($P$3=$AT$8,'Statement of Marks'!P35,IF($P$3=$AT$9,'Statement of Marks'!AD35,IF($P$3=$AT$10,'Statement of Marks'!AU35,IF($P$3=$AT$11,'Statement of Marks'!BR35,IF($P$3=$AT$12,'Statement of Marks'!CO35,IF($P$3=$AT$13,'Statement of Marks'!DM35,IF($P$3=$AT$14,"",IF($P$3=$AT$15,'Statement of Marks'!FD35,""))))))))),"")</f>
        <v/>
      </c>
      <c r="U36" s="806" t="str">
        <f>IFERROR(IF(B36="","",IF($P$3=$AT$8,"",IF($P$3=$AT$9,"",IF($P$3=$AT$10,'Statement of Marks'!AV35,IF($P$3=$AT$11,'Statement of Marks'!BS35,IF($P$3=$AT$12,'Statement of Marks'!CP35,IF($P$3=$AT$13,'Statement of Marks'!DN35,IF($P$3=$AT$14,"",IF($P$3=$AT$15,"",""))))))))),"")</f>
        <v/>
      </c>
      <c r="V36" s="818" t="str">
        <f>IFERROR(IF(B36="","",IF(AND(T36="",U36="",$P$3=""),"",IF($P$3=$AT$14,'Statement of Marks'!EE35,SUM(T36,U36)))),"")</f>
        <v/>
      </c>
      <c r="W36" s="808" t="str">
        <f t="shared" si="5"/>
        <v/>
      </c>
      <c r="X36" s="809">
        <f t="shared" si="6"/>
        <v>0</v>
      </c>
      <c r="Y36" s="809">
        <f t="shared" si="7"/>
        <v>0</v>
      </c>
      <c r="Z36" s="809">
        <f t="shared" si="8"/>
        <v>0</v>
      </c>
      <c r="AA36" s="809" t="str">
        <f t="shared" si="9"/>
        <v/>
      </c>
      <c r="AB36" s="809" t="str">
        <f t="shared" si="10"/>
        <v/>
      </c>
      <c r="AC36" s="809" t="str">
        <f t="shared" si="11"/>
        <v/>
      </c>
      <c r="AD36" s="809" t="str">
        <f t="shared" si="12"/>
        <v/>
      </c>
      <c r="AE36" s="810" t="str">
        <f t="shared" si="13"/>
        <v/>
      </c>
      <c r="AF36" s="811" t="str">
        <f t="shared" si="14"/>
        <v/>
      </c>
      <c r="AG36" s="812" t="str">
        <f t="shared" si="15"/>
        <v/>
      </c>
      <c r="AW36" s="17" t="str">
        <f t="shared" si="16"/>
        <v/>
      </c>
      <c r="AX36" s="17" t="str">
        <f t="shared" si="17"/>
        <v/>
      </c>
      <c r="BM36" s="17" t="str">
        <f>IFERROR(VLOOKUP(B36,'Statement of Marks'!$B$8:'Statement of Marks'!$HI$207,37,0),"")</f>
        <v>A</v>
      </c>
      <c r="BN36" s="17" t="str">
        <f>IFERROR(VLOOKUP(B36,'Statement of Marks'!$B$8:'Statement of Marks'!$HI$207,60,0),"")</f>
        <v>A</v>
      </c>
      <c r="BO36" s="17" t="str">
        <f>IFERROR(VLOOKUP(B36,'Statement of Marks'!$B$8:'Statement of Marks'!$HI$207,83,0),"")</f>
        <v>A</v>
      </c>
      <c r="BP36" s="17" t="str">
        <f>IFERROR(VLOOKUP(B36,'Statement of Marks'!$B$8:'Statement of Marks'!$HI$207,107,0),"")</f>
        <v/>
      </c>
    </row>
    <row r="37" spans="1:68">
      <c r="A37" s="800">
        <f>IF('Statement of Marks'!A36="","",'Statement of Marks'!A36)</f>
        <v>29</v>
      </c>
      <c r="B37" s="801" t="str">
        <f>IF(OR($E$3="",$P$3=""),"",IF('Statement of Marks'!B36="","",'Statement of Marks'!B36))</f>
        <v/>
      </c>
      <c r="C37" s="810" t="str">
        <f>IF(OR($E$3="",$P$3=""),"",IF('Marks Entry'!C36="","",'Marks Entry'!C36))</f>
        <v/>
      </c>
      <c r="D37" s="802" t="str">
        <f>IF(OR($E$3="",$P$3=""),"",IF('Statement of Marks'!C36="","",'Statement of Marks'!C36))</f>
        <v/>
      </c>
      <c r="E37" s="803" t="str">
        <f>IF(OR($E$3="",$P$3=""),"",IF('Statement of Marks'!D36="","",'Statement of Marks'!D36))</f>
        <v/>
      </c>
      <c r="F37" s="804" t="str">
        <f>IF(OR($E$3="",$P$3=""),"",IF('Statement of Marks'!E36="","",'Statement of Marks'!E36))</f>
        <v/>
      </c>
      <c r="G37" s="804" t="str">
        <f>IF(OR($E$3="",$P$3=""),"",IF('Statement of Marks'!F36="","",'Statement of Marks'!F36))</f>
        <v/>
      </c>
      <c r="H37" s="804" t="str">
        <f>IF(OR($E$3="",$P$3=""),"",IF('Statement of Marks'!G36="","",'Statement of Marks'!G36))</f>
        <v/>
      </c>
      <c r="I37" s="805" t="str">
        <f>IF(OR($E$3="",$P$3=""),"",IF('Statement of Marks'!H36="","",'Statement of Marks'!H36))</f>
        <v/>
      </c>
      <c r="J37" s="805" t="str">
        <f>IF(OR($E$3="",$P$3=""),"",IF('Statement of Marks'!I36="","",'Statement of Marks'!I36))</f>
        <v/>
      </c>
      <c r="K37" s="805" t="str">
        <f>IFERROR(IF(B37="","",IF($P$3=$AT$10,IF(AND(BM37="A"),'Marks Entry'!$U$2,IF(AND(BM37="B"),'Marks Entry'!$Y$2,IF(AND(BM37="C"),'Marks Entry'!$AA$2,""))),IF($P$3=$AT$11,IF(AND(BN37="A"),'Marks Entry'!$AC$2,IF(AND(BN37="B"),'Marks Entry'!$AG$2,IF(AND(BN37="C"),'Marks Entry'!$AI$2,""))),IF($P$3=$AT$12,IF(AND(BO37="A"),'Marks Entry'!$AK$2,IF(AND(BO37="B"),'Marks Entry'!$AO$2,IF(AND(BO37="C"),'Marks Entry'!$AQ$2,""))),IF($P$3=$AT$13,IF(AND(BP37="A"),'Marks Entry'!$AS$2,IF(AND(BP37="B"),'Marks Entry'!$AW$2,IF(AND(BP37="C"),'Marks Entry'!$AY$2,""))),"-"))))),"")</f>
        <v/>
      </c>
      <c r="L37" s="806" t="str">
        <f>IFERROR(IF(B37="","",IF($P$3=$AT$8,'Statement of Marks'!J36,IF($P$3=$AT$9,'Statement of Marks'!X36,IF($P$3=$AT$10,'Statement of Marks'!AM36,IF($P$3=$AT$11,'Statement of Marks'!BJ36,IF($P$3=$AT$12,'Statement of Marks'!CG36,IF($P$3=$AT$13,'Statement of Marks'!DE36,IF($P$3=$AT$14,"",IF($P$3=$AT$15,'Statement of Marks'!EY36,""))))))))),"")</f>
        <v/>
      </c>
      <c r="M37" s="806" t="str">
        <f>IFERROR(IF(B37="","",IF($P$3=$AT$8,'Statement of Marks'!K36,IF($P$3=$AT$9,'Statement of Marks'!Y36,IF($P$3=$AT$10,'Statement of Marks'!AN36,IF($P$3=$AT$11,'Statement of Marks'!BK36,IF($P$3=$AT$12,'Statement of Marks'!CH36,IF($P$3=$AT$13,'Statement of Marks'!DF36,IF($P$3=$AT$14,"",IF($P$3=$AT$15,'Statement of Marks'!EZ36,""))))))))),"")</f>
        <v/>
      </c>
      <c r="N37" s="806" t="str">
        <f>IFERROR(IF(B37="","",IF($P$3=$AT$8,'Statement of Marks'!L36,IF($P$3=$AT$9,'Statement of Marks'!Z36,IF($P$3=$AT$10,'Statement of Marks'!AO36,IF($P$3=$AT$11,'Statement of Marks'!BL36,IF($P$3=$AT$12,'Statement of Marks'!CI36,IF($P$3=$AT$13,'Statement of Marks'!DG36,IF($P$3=$AT$14,"",IF($P$3=$AT$15,'Statement of Marks'!FA36,""))))))))),"")</f>
        <v/>
      </c>
      <c r="O37" s="807" t="str">
        <f t="shared" si="4"/>
        <v/>
      </c>
      <c r="P37" s="806" t="str">
        <f>IFERROR(IF(B37="","",IF($P$3=$AT$8,'Statement of Marks'!N36,IF($P$3=$AT$9,'Statement of Marks'!AB36,IF($P$3=$AT$10,'Statement of Marks'!AQ36,IF($P$3=$AT$11,'Statement of Marks'!BN36,IF($P$3=$AT$12,'Statement of Marks'!CK36,IF($P$3=$AT$13,'Statement of Marks'!DI36,IF($P$3=$AT$14,"",IF($P$3=$AT$15,'Statement of Marks'!FC36,""))))))))),"")</f>
        <v/>
      </c>
      <c r="Q37" s="806" t="str">
        <f>IFERROR(IF(B37="","",IF($P$3=$AT$8,"",IF($P$3=$AT$9,"",IF($P$3=$AT$10,'Statement of Marks'!AR36,IF($P$3=$AT$11,'Statement of Marks'!BO36,IF($P$3=$AT$12,'Statement of Marks'!CL36,IF($P$3=$AT$13,'Statement of Marks'!DJ36,IF($P$3=$AT$14,"",IF($P$3=$AT$15,"",""))))))))),"")</f>
        <v/>
      </c>
      <c r="R37" s="818" t="str">
        <f>IFERROR(IF(B37="","",IF(AND(P37="",Q37="",$P$3=""),"",IF($P$3=$AT$14,'Statement of Marks'!EC36,SUM(P37,Q37)))),"")</f>
        <v/>
      </c>
      <c r="S37" s="817" t="str">
        <f>IFERROR(IF(B37="","",IF($P$3=$AT$14,'Statement of Marks'!ED36,IF(AND(O37="NA",P37="NA",Q37="NA"),"NA",IF(AND(O37="",P37="",Q37=""),"",SUM(O37,P37,Q37))))),"")</f>
        <v/>
      </c>
      <c r="T37" s="806" t="str">
        <f>IFERROR(IF(B37="","",IF($P$3=$AT$8,'Statement of Marks'!P36,IF($P$3=$AT$9,'Statement of Marks'!AD36,IF($P$3=$AT$10,'Statement of Marks'!AU36,IF($P$3=$AT$11,'Statement of Marks'!BR36,IF($P$3=$AT$12,'Statement of Marks'!CO36,IF($P$3=$AT$13,'Statement of Marks'!DM36,IF($P$3=$AT$14,"",IF($P$3=$AT$15,'Statement of Marks'!FD36,""))))))))),"")</f>
        <v/>
      </c>
      <c r="U37" s="806" t="str">
        <f>IFERROR(IF(B37="","",IF($P$3=$AT$8,"",IF($P$3=$AT$9,"",IF($P$3=$AT$10,'Statement of Marks'!AV36,IF($P$3=$AT$11,'Statement of Marks'!BS36,IF($P$3=$AT$12,'Statement of Marks'!CP36,IF($P$3=$AT$13,'Statement of Marks'!DN36,IF($P$3=$AT$14,"",IF($P$3=$AT$15,"",""))))))))),"")</f>
        <v/>
      </c>
      <c r="V37" s="818" t="str">
        <f>IFERROR(IF(B37="","",IF(AND(T37="",U37="",$P$3=""),"",IF($P$3=$AT$14,'Statement of Marks'!EE36,SUM(T37,U37)))),"")</f>
        <v/>
      </c>
      <c r="W37" s="808" t="str">
        <f t="shared" si="5"/>
        <v/>
      </c>
      <c r="X37" s="809">
        <f t="shared" si="6"/>
        <v>0</v>
      </c>
      <c r="Y37" s="809">
        <f t="shared" si="7"/>
        <v>0</v>
      </c>
      <c r="Z37" s="809">
        <f t="shared" si="8"/>
        <v>0</v>
      </c>
      <c r="AA37" s="809" t="str">
        <f t="shared" si="9"/>
        <v/>
      </c>
      <c r="AB37" s="809" t="str">
        <f t="shared" si="10"/>
        <v/>
      </c>
      <c r="AC37" s="809" t="str">
        <f t="shared" si="11"/>
        <v/>
      </c>
      <c r="AD37" s="809" t="str">
        <f t="shared" si="12"/>
        <v/>
      </c>
      <c r="AE37" s="810" t="str">
        <f t="shared" si="13"/>
        <v/>
      </c>
      <c r="AF37" s="811" t="str">
        <f t="shared" si="14"/>
        <v/>
      </c>
      <c r="AG37" s="812" t="str">
        <f t="shared" si="15"/>
        <v/>
      </c>
      <c r="AW37" s="17" t="str">
        <f t="shared" si="16"/>
        <v/>
      </c>
      <c r="AX37" s="17" t="str">
        <f t="shared" si="17"/>
        <v/>
      </c>
      <c r="BM37" s="17" t="str">
        <f>IFERROR(VLOOKUP(B37,'Statement of Marks'!$B$8:'Statement of Marks'!$HI$207,37,0),"")</f>
        <v>A</v>
      </c>
      <c r="BN37" s="17" t="str">
        <f>IFERROR(VLOOKUP(B37,'Statement of Marks'!$B$8:'Statement of Marks'!$HI$207,60,0),"")</f>
        <v>A</v>
      </c>
      <c r="BO37" s="17" t="str">
        <f>IFERROR(VLOOKUP(B37,'Statement of Marks'!$B$8:'Statement of Marks'!$HI$207,83,0),"")</f>
        <v>A</v>
      </c>
      <c r="BP37" s="17" t="str">
        <f>IFERROR(VLOOKUP(B37,'Statement of Marks'!$B$8:'Statement of Marks'!$HI$207,107,0),"")</f>
        <v/>
      </c>
    </row>
    <row r="38" spans="1:68">
      <c r="A38" s="800">
        <f>IF('Statement of Marks'!A37="","",'Statement of Marks'!A37)</f>
        <v>30</v>
      </c>
      <c r="B38" s="801" t="str">
        <f>IF(OR($E$3="",$P$3=""),"",IF('Statement of Marks'!B37="","",'Statement of Marks'!B37))</f>
        <v/>
      </c>
      <c r="C38" s="810" t="str">
        <f>IF(OR($E$3="",$P$3=""),"",IF('Marks Entry'!C37="","",'Marks Entry'!C37))</f>
        <v/>
      </c>
      <c r="D38" s="802" t="str">
        <f>IF(OR($E$3="",$P$3=""),"",IF('Statement of Marks'!C37="","",'Statement of Marks'!C37))</f>
        <v/>
      </c>
      <c r="E38" s="803" t="str">
        <f>IF(OR($E$3="",$P$3=""),"",IF('Statement of Marks'!D37="","",'Statement of Marks'!D37))</f>
        <v/>
      </c>
      <c r="F38" s="804" t="str">
        <f>IF(OR($E$3="",$P$3=""),"",IF('Statement of Marks'!E37="","",'Statement of Marks'!E37))</f>
        <v/>
      </c>
      <c r="G38" s="804" t="str">
        <f>IF(OR($E$3="",$P$3=""),"",IF('Statement of Marks'!F37="","",'Statement of Marks'!F37))</f>
        <v/>
      </c>
      <c r="H38" s="804" t="str">
        <f>IF(OR($E$3="",$P$3=""),"",IF('Statement of Marks'!G37="","",'Statement of Marks'!G37))</f>
        <v/>
      </c>
      <c r="I38" s="805" t="str">
        <f>IF(OR($E$3="",$P$3=""),"",IF('Statement of Marks'!H37="","",'Statement of Marks'!H37))</f>
        <v/>
      </c>
      <c r="J38" s="805" t="str">
        <f>IF(OR($E$3="",$P$3=""),"",IF('Statement of Marks'!I37="","",'Statement of Marks'!I37))</f>
        <v/>
      </c>
      <c r="K38" s="805" t="str">
        <f>IFERROR(IF(B38="","",IF($P$3=$AT$10,IF(AND(BM38="A"),'Marks Entry'!$U$2,IF(AND(BM38="B"),'Marks Entry'!$Y$2,IF(AND(BM38="C"),'Marks Entry'!$AA$2,""))),IF($P$3=$AT$11,IF(AND(BN38="A"),'Marks Entry'!$AC$2,IF(AND(BN38="B"),'Marks Entry'!$AG$2,IF(AND(BN38="C"),'Marks Entry'!$AI$2,""))),IF($P$3=$AT$12,IF(AND(BO38="A"),'Marks Entry'!$AK$2,IF(AND(BO38="B"),'Marks Entry'!$AO$2,IF(AND(BO38="C"),'Marks Entry'!$AQ$2,""))),IF($P$3=$AT$13,IF(AND(BP38="A"),'Marks Entry'!$AS$2,IF(AND(BP38="B"),'Marks Entry'!$AW$2,IF(AND(BP38="C"),'Marks Entry'!$AY$2,""))),"-"))))),"")</f>
        <v/>
      </c>
      <c r="L38" s="806" t="str">
        <f>IFERROR(IF(B38="","",IF($P$3=$AT$8,'Statement of Marks'!J37,IF($P$3=$AT$9,'Statement of Marks'!X37,IF($P$3=$AT$10,'Statement of Marks'!AM37,IF($P$3=$AT$11,'Statement of Marks'!BJ37,IF($P$3=$AT$12,'Statement of Marks'!CG37,IF($P$3=$AT$13,'Statement of Marks'!DE37,IF($P$3=$AT$14,"",IF($P$3=$AT$15,'Statement of Marks'!EY37,""))))))))),"")</f>
        <v/>
      </c>
      <c r="M38" s="806" t="str">
        <f>IFERROR(IF(B38="","",IF($P$3=$AT$8,'Statement of Marks'!K37,IF($P$3=$AT$9,'Statement of Marks'!Y37,IF($P$3=$AT$10,'Statement of Marks'!AN37,IF($P$3=$AT$11,'Statement of Marks'!BK37,IF($P$3=$AT$12,'Statement of Marks'!CH37,IF($P$3=$AT$13,'Statement of Marks'!DF37,IF($P$3=$AT$14,"",IF($P$3=$AT$15,'Statement of Marks'!EZ37,""))))))))),"")</f>
        <v/>
      </c>
      <c r="N38" s="806" t="str">
        <f>IFERROR(IF(B38="","",IF($P$3=$AT$8,'Statement of Marks'!L37,IF($P$3=$AT$9,'Statement of Marks'!Z37,IF($P$3=$AT$10,'Statement of Marks'!AO37,IF($P$3=$AT$11,'Statement of Marks'!BL37,IF($P$3=$AT$12,'Statement of Marks'!CI37,IF($P$3=$AT$13,'Statement of Marks'!DG37,IF($P$3=$AT$14,"",IF($P$3=$AT$15,'Statement of Marks'!FA37,""))))))))),"")</f>
        <v/>
      </c>
      <c r="O38" s="807" t="str">
        <f t="shared" si="4"/>
        <v/>
      </c>
      <c r="P38" s="806" t="str">
        <f>IFERROR(IF(B38="","",IF($P$3=$AT$8,'Statement of Marks'!N37,IF($P$3=$AT$9,'Statement of Marks'!AB37,IF($P$3=$AT$10,'Statement of Marks'!AQ37,IF($P$3=$AT$11,'Statement of Marks'!BN37,IF($P$3=$AT$12,'Statement of Marks'!CK37,IF($P$3=$AT$13,'Statement of Marks'!DI37,IF($P$3=$AT$14,"",IF($P$3=$AT$15,'Statement of Marks'!FC37,""))))))))),"")</f>
        <v/>
      </c>
      <c r="Q38" s="806" t="str">
        <f>IFERROR(IF(B38="","",IF($P$3=$AT$8,"",IF($P$3=$AT$9,"",IF($P$3=$AT$10,'Statement of Marks'!AR37,IF($P$3=$AT$11,'Statement of Marks'!BO37,IF($P$3=$AT$12,'Statement of Marks'!CL37,IF($P$3=$AT$13,'Statement of Marks'!DJ37,IF($P$3=$AT$14,"",IF($P$3=$AT$15,"",""))))))))),"")</f>
        <v/>
      </c>
      <c r="R38" s="818" t="str">
        <f>IFERROR(IF(B38="","",IF(AND(P38="",Q38="",$P$3=""),"",IF($P$3=$AT$14,'Statement of Marks'!EC37,SUM(P38,Q38)))),"")</f>
        <v/>
      </c>
      <c r="S38" s="817" t="str">
        <f>IFERROR(IF(B38="","",IF($P$3=$AT$14,'Statement of Marks'!ED37,IF(AND(O38="NA",P38="NA",Q38="NA"),"NA",IF(AND(O38="",P38="",Q38=""),"",SUM(O38,P38,Q38))))),"")</f>
        <v/>
      </c>
      <c r="T38" s="806" t="str">
        <f>IFERROR(IF(B38="","",IF($P$3=$AT$8,'Statement of Marks'!P37,IF($P$3=$AT$9,'Statement of Marks'!AD37,IF($P$3=$AT$10,'Statement of Marks'!AU37,IF($P$3=$AT$11,'Statement of Marks'!BR37,IF($P$3=$AT$12,'Statement of Marks'!CO37,IF($P$3=$AT$13,'Statement of Marks'!DM37,IF($P$3=$AT$14,"",IF($P$3=$AT$15,'Statement of Marks'!FD37,""))))))))),"")</f>
        <v/>
      </c>
      <c r="U38" s="806" t="str">
        <f>IFERROR(IF(B38="","",IF($P$3=$AT$8,"",IF($P$3=$AT$9,"",IF($P$3=$AT$10,'Statement of Marks'!AV37,IF($P$3=$AT$11,'Statement of Marks'!BS37,IF($P$3=$AT$12,'Statement of Marks'!CP37,IF($P$3=$AT$13,'Statement of Marks'!DN37,IF($P$3=$AT$14,"",IF($P$3=$AT$15,"",""))))))))),"")</f>
        <v/>
      </c>
      <c r="V38" s="818" t="str">
        <f>IFERROR(IF(B38="","",IF(AND(T38="",U38="",$P$3=""),"",IF($P$3=$AT$14,'Statement of Marks'!EE37,SUM(T38,U38)))),"")</f>
        <v/>
      </c>
      <c r="W38" s="808" t="str">
        <f t="shared" si="5"/>
        <v/>
      </c>
      <c r="X38" s="809">
        <f t="shared" si="6"/>
        <v>0</v>
      </c>
      <c r="Y38" s="809">
        <f t="shared" si="7"/>
        <v>0</v>
      </c>
      <c r="Z38" s="809">
        <f t="shared" si="8"/>
        <v>0</v>
      </c>
      <c r="AA38" s="809" t="str">
        <f t="shared" si="9"/>
        <v/>
      </c>
      <c r="AB38" s="809" t="str">
        <f t="shared" si="10"/>
        <v/>
      </c>
      <c r="AC38" s="809" t="str">
        <f t="shared" si="11"/>
        <v/>
      </c>
      <c r="AD38" s="809" t="str">
        <f t="shared" si="12"/>
        <v/>
      </c>
      <c r="AE38" s="810" t="str">
        <f t="shared" si="13"/>
        <v/>
      </c>
      <c r="AF38" s="811" t="str">
        <f t="shared" si="14"/>
        <v/>
      </c>
      <c r="AG38" s="812" t="str">
        <f t="shared" si="15"/>
        <v/>
      </c>
      <c r="AW38" s="17" t="str">
        <f t="shared" si="16"/>
        <v/>
      </c>
      <c r="AX38" s="17" t="str">
        <f t="shared" si="17"/>
        <v/>
      </c>
      <c r="BM38" s="17" t="str">
        <f>IFERROR(VLOOKUP(B38,'Statement of Marks'!$B$8:'Statement of Marks'!$HI$207,37,0),"")</f>
        <v>A</v>
      </c>
      <c r="BN38" s="17" t="str">
        <f>IFERROR(VLOOKUP(B38,'Statement of Marks'!$B$8:'Statement of Marks'!$HI$207,60,0),"")</f>
        <v>A</v>
      </c>
      <c r="BO38" s="17" t="str">
        <f>IFERROR(VLOOKUP(B38,'Statement of Marks'!$B$8:'Statement of Marks'!$HI$207,83,0),"")</f>
        <v>A</v>
      </c>
      <c r="BP38" s="17" t="str">
        <f>IFERROR(VLOOKUP(B38,'Statement of Marks'!$B$8:'Statement of Marks'!$HI$207,107,0),"")</f>
        <v/>
      </c>
    </row>
    <row r="39" spans="1:68">
      <c r="A39" s="800">
        <f>IF('Statement of Marks'!A38="","",'Statement of Marks'!A38)</f>
        <v>31</v>
      </c>
      <c r="B39" s="801" t="str">
        <f>IF(OR($E$3="",$P$3=""),"",IF('Statement of Marks'!B38="","",'Statement of Marks'!B38))</f>
        <v/>
      </c>
      <c r="C39" s="810" t="str">
        <f>IF(OR($E$3="",$P$3=""),"",IF('Marks Entry'!C38="","",'Marks Entry'!C38))</f>
        <v/>
      </c>
      <c r="D39" s="802" t="str">
        <f>IF(OR($E$3="",$P$3=""),"",IF('Statement of Marks'!C38="","",'Statement of Marks'!C38))</f>
        <v/>
      </c>
      <c r="E39" s="803" t="str">
        <f>IF(OR($E$3="",$P$3=""),"",IF('Statement of Marks'!D38="","",'Statement of Marks'!D38))</f>
        <v/>
      </c>
      <c r="F39" s="804" t="str">
        <f>IF(OR($E$3="",$P$3=""),"",IF('Statement of Marks'!E38="","",'Statement of Marks'!E38))</f>
        <v/>
      </c>
      <c r="G39" s="804" t="str">
        <f>IF(OR($E$3="",$P$3=""),"",IF('Statement of Marks'!F38="","",'Statement of Marks'!F38))</f>
        <v/>
      </c>
      <c r="H39" s="804" t="str">
        <f>IF(OR($E$3="",$P$3=""),"",IF('Statement of Marks'!G38="","",'Statement of Marks'!G38))</f>
        <v/>
      </c>
      <c r="I39" s="805" t="str">
        <f>IF(OR($E$3="",$P$3=""),"",IF('Statement of Marks'!H38="","",'Statement of Marks'!H38))</f>
        <v/>
      </c>
      <c r="J39" s="805" t="str">
        <f>IF(OR($E$3="",$P$3=""),"",IF('Statement of Marks'!I38="","",'Statement of Marks'!I38))</f>
        <v/>
      </c>
      <c r="K39" s="805" t="str">
        <f>IFERROR(IF(B39="","",IF($P$3=$AT$10,IF(AND(BM39="A"),'Marks Entry'!$U$2,IF(AND(BM39="B"),'Marks Entry'!$Y$2,IF(AND(BM39="C"),'Marks Entry'!$AA$2,""))),IF($P$3=$AT$11,IF(AND(BN39="A"),'Marks Entry'!$AC$2,IF(AND(BN39="B"),'Marks Entry'!$AG$2,IF(AND(BN39="C"),'Marks Entry'!$AI$2,""))),IF($P$3=$AT$12,IF(AND(BO39="A"),'Marks Entry'!$AK$2,IF(AND(BO39="B"),'Marks Entry'!$AO$2,IF(AND(BO39="C"),'Marks Entry'!$AQ$2,""))),IF($P$3=$AT$13,IF(AND(BP39="A"),'Marks Entry'!$AS$2,IF(AND(BP39="B"),'Marks Entry'!$AW$2,IF(AND(BP39="C"),'Marks Entry'!$AY$2,""))),"-"))))),"")</f>
        <v/>
      </c>
      <c r="L39" s="806" t="str">
        <f>IFERROR(IF(B39="","",IF($P$3=$AT$8,'Statement of Marks'!J38,IF($P$3=$AT$9,'Statement of Marks'!X38,IF($P$3=$AT$10,'Statement of Marks'!AM38,IF($P$3=$AT$11,'Statement of Marks'!BJ38,IF($P$3=$AT$12,'Statement of Marks'!CG38,IF($P$3=$AT$13,'Statement of Marks'!DE38,IF($P$3=$AT$14,"",IF($P$3=$AT$15,'Statement of Marks'!EY38,""))))))))),"")</f>
        <v/>
      </c>
      <c r="M39" s="806" t="str">
        <f>IFERROR(IF(B39="","",IF($P$3=$AT$8,'Statement of Marks'!K38,IF($P$3=$AT$9,'Statement of Marks'!Y38,IF($P$3=$AT$10,'Statement of Marks'!AN38,IF($P$3=$AT$11,'Statement of Marks'!BK38,IF($P$3=$AT$12,'Statement of Marks'!CH38,IF($P$3=$AT$13,'Statement of Marks'!DF38,IF($P$3=$AT$14,"",IF($P$3=$AT$15,'Statement of Marks'!EZ38,""))))))))),"")</f>
        <v/>
      </c>
      <c r="N39" s="806" t="str">
        <f>IFERROR(IF(B39="","",IF($P$3=$AT$8,'Statement of Marks'!L38,IF($P$3=$AT$9,'Statement of Marks'!Z38,IF($P$3=$AT$10,'Statement of Marks'!AO38,IF($P$3=$AT$11,'Statement of Marks'!BL38,IF($P$3=$AT$12,'Statement of Marks'!CI38,IF($P$3=$AT$13,'Statement of Marks'!DG38,IF($P$3=$AT$14,"",IF($P$3=$AT$15,'Statement of Marks'!FA38,""))))))))),"")</f>
        <v/>
      </c>
      <c r="O39" s="807" t="str">
        <f t="shared" si="4"/>
        <v/>
      </c>
      <c r="P39" s="806" t="str">
        <f>IFERROR(IF(B39="","",IF($P$3=$AT$8,'Statement of Marks'!N38,IF($P$3=$AT$9,'Statement of Marks'!AB38,IF($P$3=$AT$10,'Statement of Marks'!AQ38,IF($P$3=$AT$11,'Statement of Marks'!BN38,IF($P$3=$AT$12,'Statement of Marks'!CK38,IF($P$3=$AT$13,'Statement of Marks'!DI38,IF($P$3=$AT$14,"",IF($P$3=$AT$15,'Statement of Marks'!FC38,""))))))))),"")</f>
        <v/>
      </c>
      <c r="Q39" s="806" t="str">
        <f>IFERROR(IF(B39="","",IF($P$3=$AT$8,"",IF($P$3=$AT$9,"",IF($P$3=$AT$10,'Statement of Marks'!AR38,IF($P$3=$AT$11,'Statement of Marks'!BO38,IF($P$3=$AT$12,'Statement of Marks'!CL38,IF($P$3=$AT$13,'Statement of Marks'!DJ38,IF($P$3=$AT$14,"",IF($P$3=$AT$15,"",""))))))))),"")</f>
        <v/>
      </c>
      <c r="R39" s="818" t="str">
        <f>IFERROR(IF(B39="","",IF(AND(P39="",Q39="",$P$3=""),"",IF($P$3=$AT$14,'Statement of Marks'!EC38,SUM(P39,Q39)))),"")</f>
        <v/>
      </c>
      <c r="S39" s="817" t="str">
        <f>IFERROR(IF(B39="","",IF($P$3=$AT$14,'Statement of Marks'!ED38,IF(AND(O39="NA",P39="NA",Q39="NA"),"NA",IF(AND(O39="",P39="",Q39=""),"",SUM(O39,P39,Q39))))),"")</f>
        <v/>
      </c>
      <c r="T39" s="806" t="str">
        <f>IFERROR(IF(B39="","",IF($P$3=$AT$8,'Statement of Marks'!P38,IF($P$3=$AT$9,'Statement of Marks'!AD38,IF($P$3=$AT$10,'Statement of Marks'!AU38,IF($P$3=$AT$11,'Statement of Marks'!BR38,IF($P$3=$AT$12,'Statement of Marks'!CO38,IF($P$3=$AT$13,'Statement of Marks'!DM38,IF($P$3=$AT$14,"",IF($P$3=$AT$15,'Statement of Marks'!FD38,""))))))))),"")</f>
        <v/>
      </c>
      <c r="U39" s="806" t="str">
        <f>IFERROR(IF(B39="","",IF($P$3=$AT$8,"",IF($P$3=$AT$9,"",IF($P$3=$AT$10,'Statement of Marks'!AV38,IF($P$3=$AT$11,'Statement of Marks'!BS38,IF($P$3=$AT$12,'Statement of Marks'!CP38,IF($P$3=$AT$13,'Statement of Marks'!DN38,IF($P$3=$AT$14,"",IF($P$3=$AT$15,"",""))))))))),"")</f>
        <v/>
      </c>
      <c r="V39" s="818" t="str">
        <f>IFERROR(IF(B39="","",IF(AND(T39="",U39="",$P$3=""),"",IF($P$3=$AT$14,'Statement of Marks'!EE38,SUM(T39,U39)))),"")</f>
        <v/>
      </c>
      <c r="W39" s="808" t="str">
        <f t="shared" si="5"/>
        <v/>
      </c>
      <c r="X39" s="809">
        <f t="shared" si="6"/>
        <v>0</v>
      </c>
      <c r="Y39" s="809">
        <f t="shared" si="7"/>
        <v>0</v>
      </c>
      <c r="Z39" s="809">
        <f t="shared" si="8"/>
        <v>0</v>
      </c>
      <c r="AA39" s="809" t="str">
        <f t="shared" si="9"/>
        <v/>
      </c>
      <c r="AB39" s="809" t="str">
        <f t="shared" si="10"/>
        <v/>
      </c>
      <c r="AC39" s="809" t="str">
        <f t="shared" si="11"/>
        <v/>
      </c>
      <c r="AD39" s="809" t="str">
        <f t="shared" si="12"/>
        <v/>
      </c>
      <c r="AE39" s="810" t="str">
        <f t="shared" si="13"/>
        <v/>
      </c>
      <c r="AF39" s="811" t="str">
        <f t="shared" si="14"/>
        <v/>
      </c>
      <c r="AG39" s="812" t="str">
        <f t="shared" si="15"/>
        <v/>
      </c>
      <c r="AW39" s="17" t="str">
        <f t="shared" si="16"/>
        <v/>
      </c>
      <c r="AX39" s="17" t="str">
        <f t="shared" si="17"/>
        <v/>
      </c>
      <c r="BM39" s="17" t="str">
        <f>IFERROR(VLOOKUP(B39,'Statement of Marks'!$B$8:'Statement of Marks'!$HI$207,37,0),"")</f>
        <v>A</v>
      </c>
      <c r="BN39" s="17" t="str">
        <f>IFERROR(VLOOKUP(B39,'Statement of Marks'!$B$8:'Statement of Marks'!$HI$207,60,0),"")</f>
        <v>A</v>
      </c>
      <c r="BO39" s="17" t="str">
        <f>IFERROR(VLOOKUP(B39,'Statement of Marks'!$B$8:'Statement of Marks'!$HI$207,83,0),"")</f>
        <v>A</v>
      </c>
      <c r="BP39" s="17" t="str">
        <f>IFERROR(VLOOKUP(B39,'Statement of Marks'!$B$8:'Statement of Marks'!$HI$207,107,0),"")</f>
        <v/>
      </c>
    </row>
    <row r="40" spans="1:68">
      <c r="A40" s="800">
        <f>IF('Statement of Marks'!A39="","",'Statement of Marks'!A39)</f>
        <v>32</v>
      </c>
      <c r="B40" s="801" t="str">
        <f>IF(OR($E$3="",$P$3=""),"",IF('Statement of Marks'!B39="","",'Statement of Marks'!B39))</f>
        <v/>
      </c>
      <c r="C40" s="810" t="str">
        <f>IF(OR($E$3="",$P$3=""),"",IF('Marks Entry'!C39="","",'Marks Entry'!C39))</f>
        <v/>
      </c>
      <c r="D40" s="802" t="str">
        <f>IF(OR($E$3="",$P$3=""),"",IF('Statement of Marks'!C39="","",'Statement of Marks'!C39))</f>
        <v/>
      </c>
      <c r="E40" s="803" t="str">
        <f>IF(OR($E$3="",$P$3=""),"",IF('Statement of Marks'!D39="","",'Statement of Marks'!D39))</f>
        <v/>
      </c>
      <c r="F40" s="804" t="str">
        <f>IF(OR($E$3="",$P$3=""),"",IF('Statement of Marks'!E39="","",'Statement of Marks'!E39))</f>
        <v/>
      </c>
      <c r="G40" s="804" t="str">
        <f>IF(OR($E$3="",$P$3=""),"",IF('Statement of Marks'!F39="","",'Statement of Marks'!F39))</f>
        <v/>
      </c>
      <c r="H40" s="804" t="str">
        <f>IF(OR($E$3="",$P$3=""),"",IF('Statement of Marks'!G39="","",'Statement of Marks'!G39))</f>
        <v/>
      </c>
      <c r="I40" s="805" t="str">
        <f>IF(OR($E$3="",$P$3=""),"",IF('Statement of Marks'!H39="","",'Statement of Marks'!H39))</f>
        <v/>
      </c>
      <c r="J40" s="805" t="str">
        <f>IF(OR($E$3="",$P$3=""),"",IF('Statement of Marks'!I39="","",'Statement of Marks'!I39))</f>
        <v/>
      </c>
      <c r="K40" s="805" t="str">
        <f>IFERROR(IF(B40="","",IF($P$3=$AT$10,IF(AND(BM40="A"),'Marks Entry'!$U$2,IF(AND(BM40="B"),'Marks Entry'!$Y$2,IF(AND(BM40="C"),'Marks Entry'!$AA$2,""))),IF($P$3=$AT$11,IF(AND(BN40="A"),'Marks Entry'!$AC$2,IF(AND(BN40="B"),'Marks Entry'!$AG$2,IF(AND(BN40="C"),'Marks Entry'!$AI$2,""))),IF($P$3=$AT$12,IF(AND(BO40="A"),'Marks Entry'!$AK$2,IF(AND(BO40="B"),'Marks Entry'!$AO$2,IF(AND(BO40="C"),'Marks Entry'!$AQ$2,""))),IF($P$3=$AT$13,IF(AND(BP40="A"),'Marks Entry'!$AS$2,IF(AND(BP40="B"),'Marks Entry'!$AW$2,IF(AND(BP40="C"),'Marks Entry'!$AY$2,""))),"-"))))),"")</f>
        <v/>
      </c>
      <c r="L40" s="806" t="str">
        <f>IFERROR(IF(B40="","",IF($P$3=$AT$8,'Statement of Marks'!J39,IF($P$3=$AT$9,'Statement of Marks'!X39,IF($P$3=$AT$10,'Statement of Marks'!AM39,IF($P$3=$AT$11,'Statement of Marks'!BJ39,IF($P$3=$AT$12,'Statement of Marks'!CG39,IF($P$3=$AT$13,'Statement of Marks'!DE39,IF($P$3=$AT$14,"",IF($P$3=$AT$15,'Statement of Marks'!EY39,""))))))))),"")</f>
        <v/>
      </c>
      <c r="M40" s="806" t="str">
        <f>IFERROR(IF(B40="","",IF($P$3=$AT$8,'Statement of Marks'!K39,IF($P$3=$AT$9,'Statement of Marks'!Y39,IF($P$3=$AT$10,'Statement of Marks'!AN39,IF($P$3=$AT$11,'Statement of Marks'!BK39,IF($P$3=$AT$12,'Statement of Marks'!CH39,IF($P$3=$AT$13,'Statement of Marks'!DF39,IF($P$3=$AT$14,"",IF($P$3=$AT$15,'Statement of Marks'!EZ39,""))))))))),"")</f>
        <v/>
      </c>
      <c r="N40" s="806" t="str">
        <f>IFERROR(IF(B40="","",IF($P$3=$AT$8,'Statement of Marks'!L39,IF($P$3=$AT$9,'Statement of Marks'!Z39,IF($P$3=$AT$10,'Statement of Marks'!AO39,IF($P$3=$AT$11,'Statement of Marks'!BL39,IF($P$3=$AT$12,'Statement of Marks'!CI39,IF($P$3=$AT$13,'Statement of Marks'!DG39,IF($P$3=$AT$14,"",IF($P$3=$AT$15,'Statement of Marks'!FA39,""))))))))),"")</f>
        <v/>
      </c>
      <c r="O40" s="807" t="str">
        <f t="shared" si="4"/>
        <v/>
      </c>
      <c r="P40" s="806" t="str">
        <f>IFERROR(IF(B40="","",IF($P$3=$AT$8,'Statement of Marks'!N39,IF($P$3=$AT$9,'Statement of Marks'!AB39,IF($P$3=$AT$10,'Statement of Marks'!AQ39,IF($P$3=$AT$11,'Statement of Marks'!BN39,IF($P$3=$AT$12,'Statement of Marks'!CK39,IF($P$3=$AT$13,'Statement of Marks'!DI39,IF($P$3=$AT$14,"",IF($P$3=$AT$15,'Statement of Marks'!FC39,""))))))))),"")</f>
        <v/>
      </c>
      <c r="Q40" s="806" t="str">
        <f>IFERROR(IF(B40="","",IF($P$3=$AT$8,"",IF($P$3=$AT$9,"",IF($P$3=$AT$10,'Statement of Marks'!AR39,IF($P$3=$AT$11,'Statement of Marks'!BO39,IF($P$3=$AT$12,'Statement of Marks'!CL39,IF($P$3=$AT$13,'Statement of Marks'!DJ39,IF($P$3=$AT$14,"",IF($P$3=$AT$15,"",""))))))))),"")</f>
        <v/>
      </c>
      <c r="R40" s="818" t="str">
        <f>IFERROR(IF(B40="","",IF(AND(P40="",Q40="",$P$3=""),"",IF($P$3=$AT$14,'Statement of Marks'!EC39,SUM(P40,Q40)))),"")</f>
        <v/>
      </c>
      <c r="S40" s="817" t="str">
        <f>IFERROR(IF(B40="","",IF($P$3=$AT$14,'Statement of Marks'!ED39,IF(AND(O40="NA",P40="NA",Q40="NA"),"NA",IF(AND(O40="",P40="",Q40=""),"",SUM(O40,P40,Q40))))),"")</f>
        <v/>
      </c>
      <c r="T40" s="806" t="str">
        <f>IFERROR(IF(B40="","",IF($P$3=$AT$8,'Statement of Marks'!P39,IF($P$3=$AT$9,'Statement of Marks'!AD39,IF($P$3=$AT$10,'Statement of Marks'!AU39,IF($P$3=$AT$11,'Statement of Marks'!BR39,IF($P$3=$AT$12,'Statement of Marks'!CO39,IF($P$3=$AT$13,'Statement of Marks'!DM39,IF($P$3=$AT$14,"",IF($P$3=$AT$15,'Statement of Marks'!FD39,""))))))))),"")</f>
        <v/>
      </c>
      <c r="U40" s="806" t="str">
        <f>IFERROR(IF(B40="","",IF($P$3=$AT$8,"",IF($P$3=$AT$9,"",IF($P$3=$AT$10,'Statement of Marks'!AV39,IF($P$3=$AT$11,'Statement of Marks'!BS39,IF($P$3=$AT$12,'Statement of Marks'!CP39,IF($P$3=$AT$13,'Statement of Marks'!DN39,IF($P$3=$AT$14,"",IF($P$3=$AT$15,"",""))))))))),"")</f>
        <v/>
      </c>
      <c r="V40" s="818" t="str">
        <f>IFERROR(IF(B40="","",IF(AND(T40="",U40="",$P$3=""),"",IF($P$3=$AT$14,'Statement of Marks'!EE39,SUM(T40,U40)))),"")</f>
        <v/>
      </c>
      <c r="W40" s="808" t="str">
        <f t="shared" si="5"/>
        <v/>
      </c>
      <c r="X40" s="809">
        <f t="shared" si="6"/>
        <v>0</v>
      </c>
      <c r="Y40" s="809">
        <f t="shared" si="7"/>
        <v>0</v>
      </c>
      <c r="Z40" s="809">
        <f t="shared" si="8"/>
        <v>0</v>
      </c>
      <c r="AA40" s="809" t="str">
        <f t="shared" si="9"/>
        <v/>
      </c>
      <c r="AB40" s="809" t="str">
        <f t="shared" si="10"/>
        <v/>
      </c>
      <c r="AC40" s="809" t="str">
        <f t="shared" si="11"/>
        <v/>
      </c>
      <c r="AD40" s="809" t="str">
        <f t="shared" si="12"/>
        <v/>
      </c>
      <c r="AE40" s="810" t="str">
        <f t="shared" si="13"/>
        <v/>
      </c>
      <c r="AF40" s="811" t="str">
        <f t="shared" si="14"/>
        <v/>
      </c>
      <c r="AG40" s="812" t="str">
        <f t="shared" si="15"/>
        <v/>
      </c>
      <c r="AW40" s="17" t="str">
        <f t="shared" si="16"/>
        <v/>
      </c>
      <c r="AX40" s="17" t="str">
        <f t="shared" si="17"/>
        <v/>
      </c>
      <c r="BM40" s="17" t="str">
        <f>IFERROR(VLOOKUP(B40,'Statement of Marks'!$B$8:'Statement of Marks'!$HI$207,37,0),"")</f>
        <v>A</v>
      </c>
      <c r="BN40" s="17" t="str">
        <f>IFERROR(VLOOKUP(B40,'Statement of Marks'!$B$8:'Statement of Marks'!$HI$207,60,0),"")</f>
        <v>A</v>
      </c>
      <c r="BO40" s="17" t="str">
        <f>IFERROR(VLOOKUP(B40,'Statement of Marks'!$B$8:'Statement of Marks'!$HI$207,83,0),"")</f>
        <v>A</v>
      </c>
      <c r="BP40" s="17" t="str">
        <f>IFERROR(VLOOKUP(B40,'Statement of Marks'!$B$8:'Statement of Marks'!$HI$207,107,0),"")</f>
        <v/>
      </c>
    </row>
    <row r="41" spans="1:68">
      <c r="A41" s="800">
        <f>IF('Statement of Marks'!A40="","",'Statement of Marks'!A40)</f>
        <v>33</v>
      </c>
      <c r="B41" s="801" t="str">
        <f>IF(OR($E$3="",$P$3=""),"",IF('Statement of Marks'!B40="","",'Statement of Marks'!B40))</f>
        <v/>
      </c>
      <c r="C41" s="810" t="str">
        <f>IF(OR($E$3="",$P$3=""),"",IF('Marks Entry'!C40="","",'Marks Entry'!C40))</f>
        <v/>
      </c>
      <c r="D41" s="802" t="str">
        <f>IF(OR($E$3="",$P$3=""),"",IF('Statement of Marks'!C40="","",'Statement of Marks'!C40))</f>
        <v/>
      </c>
      <c r="E41" s="803" t="str">
        <f>IF(OR($E$3="",$P$3=""),"",IF('Statement of Marks'!D40="","",'Statement of Marks'!D40))</f>
        <v/>
      </c>
      <c r="F41" s="804" t="str">
        <f>IF(OR($E$3="",$P$3=""),"",IF('Statement of Marks'!E40="","",'Statement of Marks'!E40))</f>
        <v/>
      </c>
      <c r="G41" s="804" t="str">
        <f>IF(OR($E$3="",$P$3=""),"",IF('Statement of Marks'!F40="","",'Statement of Marks'!F40))</f>
        <v/>
      </c>
      <c r="H41" s="804" t="str">
        <f>IF(OR($E$3="",$P$3=""),"",IF('Statement of Marks'!G40="","",'Statement of Marks'!G40))</f>
        <v/>
      </c>
      <c r="I41" s="805" t="str">
        <f>IF(OR($E$3="",$P$3=""),"",IF('Statement of Marks'!H40="","",'Statement of Marks'!H40))</f>
        <v/>
      </c>
      <c r="J41" s="805" t="str">
        <f>IF(OR($E$3="",$P$3=""),"",IF('Statement of Marks'!I40="","",'Statement of Marks'!I40))</f>
        <v/>
      </c>
      <c r="K41" s="805" t="str">
        <f>IFERROR(IF(B41="","",IF($P$3=$AT$10,IF(AND(BM41="A"),'Marks Entry'!$U$2,IF(AND(BM41="B"),'Marks Entry'!$Y$2,IF(AND(BM41="C"),'Marks Entry'!$AA$2,""))),IF($P$3=$AT$11,IF(AND(BN41="A"),'Marks Entry'!$AC$2,IF(AND(BN41="B"),'Marks Entry'!$AG$2,IF(AND(BN41="C"),'Marks Entry'!$AI$2,""))),IF($P$3=$AT$12,IF(AND(BO41="A"),'Marks Entry'!$AK$2,IF(AND(BO41="B"),'Marks Entry'!$AO$2,IF(AND(BO41="C"),'Marks Entry'!$AQ$2,""))),IF($P$3=$AT$13,IF(AND(BP41="A"),'Marks Entry'!$AS$2,IF(AND(BP41="B"),'Marks Entry'!$AW$2,IF(AND(BP41="C"),'Marks Entry'!$AY$2,""))),"-"))))),"")</f>
        <v/>
      </c>
      <c r="L41" s="806" t="str">
        <f>IFERROR(IF(B41="","",IF($P$3=$AT$8,'Statement of Marks'!J40,IF($P$3=$AT$9,'Statement of Marks'!X40,IF($P$3=$AT$10,'Statement of Marks'!AM40,IF($P$3=$AT$11,'Statement of Marks'!BJ40,IF($P$3=$AT$12,'Statement of Marks'!CG40,IF($P$3=$AT$13,'Statement of Marks'!DE40,IF($P$3=$AT$14,"",IF($P$3=$AT$15,'Statement of Marks'!EY40,""))))))))),"")</f>
        <v/>
      </c>
      <c r="M41" s="806" t="str">
        <f>IFERROR(IF(B41="","",IF($P$3=$AT$8,'Statement of Marks'!K40,IF($P$3=$AT$9,'Statement of Marks'!Y40,IF($P$3=$AT$10,'Statement of Marks'!AN40,IF($P$3=$AT$11,'Statement of Marks'!BK40,IF($P$3=$AT$12,'Statement of Marks'!CH40,IF($P$3=$AT$13,'Statement of Marks'!DF40,IF($P$3=$AT$14,"",IF($P$3=$AT$15,'Statement of Marks'!EZ40,""))))))))),"")</f>
        <v/>
      </c>
      <c r="N41" s="806" t="str">
        <f>IFERROR(IF(B41="","",IF($P$3=$AT$8,'Statement of Marks'!L40,IF($P$3=$AT$9,'Statement of Marks'!Z40,IF($P$3=$AT$10,'Statement of Marks'!AO40,IF($P$3=$AT$11,'Statement of Marks'!BL40,IF($P$3=$AT$12,'Statement of Marks'!CI40,IF($P$3=$AT$13,'Statement of Marks'!DG40,IF($P$3=$AT$14,"",IF($P$3=$AT$15,'Statement of Marks'!FA40,""))))))))),"")</f>
        <v/>
      </c>
      <c r="O41" s="807" t="str">
        <f t="shared" si="4"/>
        <v/>
      </c>
      <c r="P41" s="806" t="str">
        <f>IFERROR(IF(B41="","",IF($P$3=$AT$8,'Statement of Marks'!N40,IF($P$3=$AT$9,'Statement of Marks'!AB40,IF($P$3=$AT$10,'Statement of Marks'!AQ40,IF($P$3=$AT$11,'Statement of Marks'!BN40,IF($P$3=$AT$12,'Statement of Marks'!CK40,IF($P$3=$AT$13,'Statement of Marks'!DI40,IF($P$3=$AT$14,"",IF($P$3=$AT$15,'Statement of Marks'!FC40,""))))))))),"")</f>
        <v/>
      </c>
      <c r="Q41" s="806" t="str">
        <f>IFERROR(IF(B41="","",IF($P$3=$AT$8,"",IF($P$3=$AT$9,"",IF($P$3=$AT$10,'Statement of Marks'!AR40,IF($P$3=$AT$11,'Statement of Marks'!BO40,IF($P$3=$AT$12,'Statement of Marks'!CL40,IF($P$3=$AT$13,'Statement of Marks'!DJ40,IF($P$3=$AT$14,"",IF($P$3=$AT$15,"",""))))))))),"")</f>
        <v/>
      </c>
      <c r="R41" s="818" t="str">
        <f>IFERROR(IF(B41="","",IF(AND(P41="",Q41="",$P$3=""),"",IF($P$3=$AT$14,'Statement of Marks'!EC40,SUM(P41,Q41)))),"")</f>
        <v/>
      </c>
      <c r="S41" s="817" t="str">
        <f>IFERROR(IF(B41="","",IF($P$3=$AT$14,'Statement of Marks'!ED40,IF(AND(O41="NA",P41="NA",Q41="NA"),"NA",IF(AND(O41="",P41="",Q41=""),"",SUM(O41,P41,Q41))))),"")</f>
        <v/>
      </c>
      <c r="T41" s="806" t="str">
        <f>IFERROR(IF(B41="","",IF($P$3=$AT$8,'Statement of Marks'!P40,IF($P$3=$AT$9,'Statement of Marks'!AD40,IF($P$3=$AT$10,'Statement of Marks'!AU40,IF($P$3=$AT$11,'Statement of Marks'!BR40,IF($P$3=$AT$12,'Statement of Marks'!CO40,IF($P$3=$AT$13,'Statement of Marks'!DM40,IF($P$3=$AT$14,"",IF($P$3=$AT$15,'Statement of Marks'!FD40,""))))))))),"")</f>
        <v/>
      </c>
      <c r="U41" s="806" t="str">
        <f>IFERROR(IF(B41="","",IF($P$3=$AT$8,"",IF($P$3=$AT$9,"",IF($P$3=$AT$10,'Statement of Marks'!AV40,IF($P$3=$AT$11,'Statement of Marks'!BS40,IF($P$3=$AT$12,'Statement of Marks'!CP40,IF($P$3=$AT$13,'Statement of Marks'!DN40,IF($P$3=$AT$14,"",IF($P$3=$AT$15,"",""))))))))),"")</f>
        <v/>
      </c>
      <c r="V41" s="818" t="str">
        <f>IFERROR(IF(B41="","",IF(AND(T41="",U41="",$P$3=""),"",IF($P$3=$AT$14,'Statement of Marks'!EE40,SUM(T41,U41)))),"")</f>
        <v/>
      </c>
      <c r="W41" s="808" t="str">
        <f t="shared" si="5"/>
        <v/>
      </c>
      <c r="X41" s="809">
        <f t="shared" si="6"/>
        <v>0</v>
      </c>
      <c r="Y41" s="809">
        <f t="shared" si="7"/>
        <v>0</v>
      </c>
      <c r="Z41" s="809">
        <f t="shared" si="8"/>
        <v>0</v>
      </c>
      <c r="AA41" s="809" t="str">
        <f t="shared" si="9"/>
        <v/>
      </c>
      <c r="AB41" s="809" t="str">
        <f t="shared" si="10"/>
        <v/>
      </c>
      <c r="AC41" s="809" t="str">
        <f t="shared" si="11"/>
        <v/>
      </c>
      <c r="AD41" s="809" t="str">
        <f t="shared" si="12"/>
        <v/>
      </c>
      <c r="AE41" s="810" t="str">
        <f t="shared" si="13"/>
        <v/>
      </c>
      <c r="AF41" s="811" t="str">
        <f t="shared" si="14"/>
        <v/>
      </c>
      <c r="AG41" s="812" t="str">
        <f t="shared" si="15"/>
        <v/>
      </c>
      <c r="AW41" s="17" t="str">
        <f t="shared" si="16"/>
        <v/>
      </c>
      <c r="AX41" s="17" t="str">
        <f t="shared" si="17"/>
        <v/>
      </c>
      <c r="BM41" s="17" t="str">
        <f>IFERROR(VLOOKUP(B41,'Statement of Marks'!$B$8:'Statement of Marks'!$HI$207,37,0),"")</f>
        <v>A</v>
      </c>
      <c r="BN41" s="17" t="str">
        <f>IFERROR(VLOOKUP(B41,'Statement of Marks'!$B$8:'Statement of Marks'!$HI$207,60,0),"")</f>
        <v>A</v>
      </c>
      <c r="BO41" s="17" t="str">
        <f>IFERROR(VLOOKUP(B41,'Statement of Marks'!$B$8:'Statement of Marks'!$HI$207,83,0),"")</f>
        <v>A</v>
      </c>
      <c r="BP41" s="17" t="str">
        <f>IFERROR(VLOOKUP(B41,'Statement of Marks'!$B$8:'Statement of Marks'!$HI$207,107,0),"")</f>
        <v/>
      </c>
    </row>
    <row r="42" spans="1:68">
      <c r="A42" s="800">
        <f>IF('Statement of Marks'!A41="","",'Statement of Marks'!A41)</f>
        <v>34</v>
      </c>
      <c r="B42" s="801" t="str">
        <f>IF(OR($E$3="",$P$3=""),"",IF('Statement of Marks'!B41="","",'Statement of Marks'!B41))</f>
        <v/>
      </c>
      <c r="C42" s="810" t="str">
        <f>IF(OR($E$3="",$P$3=""),"",IF('Marks Entry'!C41="","",'Marks Entry'!C41))</f>
        <v/>
      </c>
      <c r="D42" s="802" t="str">
        <f>IF(OR($E$3="",$P$3=""),"",IF('Statement of Marks'!C41="","",'Statement of Marks'!C41))</f>
        <v/>
      </c>
      <c r="E42" s="803" t="str">
        <f>IF(OR($E$3="",$P$3=""),"",IF('Statement of Marks'!D41="","",'Statement of Marks'!D41))</f>
        <v/>
      </c>
      <c r="F42" s="804" t="str">
        <f>IF(OR($E$3="",$P$3=""),"",IF('Statement of Marks'!E41="","",'Statement of Marks'!E41))</f>
        <v/>
      </c>
      <c r="G42" s="804" t="str">
        <f>IF(OR($E$3="",$P$3=""),"",IF('Statement of Marks'!F41="","",'Statement of Marks'!F41))</f>
        <v/>
      </c>
      <c r="H42" s="804" t="str">
        <f>IF(OR($E$3="",$P$3=""),"",IF('Statement of Marks'!G41="","",'Statement of Marks'!G41))</f>
        <v/>
      </c>
      <c r="I42" s="805" t="str">
        <f>IF(OR($E$3="",$P$3=""),"",IF('Statement of Marks'!H41="","",'Statement of Marks'!H41))</f>
        <v/>
      </c>
      <c r="J42" s="805" t="str">
        <f>IF(OR($E$3="",$P$3=""),"",IF('Statement of Marks'!I41="","",'Statement of Marks'!I41))</f>
        <v/>
      </c>
      <c r="K42" s="805" t="str">
        <f>IFERROR(IF(B42="","",IF($P$3=$AT$10,IF(AND(BM42="A"),'Marks Entry'!$U$2,IF(AND(BM42="B"),'Marks Entry'!$Y$2,IF(AND(BM42="C"),'Marks Entry'!$AA$2,""))),IF($P$3=$AT$11,IF(AND(BN42="A"),'Marks Entry'!$AC$2,IF(AND(BN42="B"),'Marks Entry'!$AG$2,IF(AND(BN42="C"),'Marks Entry'!$AI$2,""))),IF($P$3=$AT$12,IF(AND(BO42="A"),'Marks Entry'!$AK$2,IF(AND(BO42="B"),'Marks Entry'!$AO$2,IF(AND(BO42="C"),'Marks Entry'!$AQ$2,""))),IF($P$3=$AT$13,IF(AND(BP42="A"),'Marks Entry'!$AS$2,IF(AND(BP42="B"),'Marks Entry'!$AW$2,IF(AND(BP42="C"),'Marks Entry'!$AY$2,""))),"-"))))),"")</f>
        <v/>
      </c>
      <c r="L42" s="806" t="str">
        <f>IFERROR(IF(B42="","",IF($P$3=$AT$8,'Statement of Marks'!J41,IF($P$3=$AT$9,'Statement of Marks'!X41,IF($P$3=$AT$10,'Statement of Marks'!AM41,IF($P$3=$AT$11,'Statement of Marks'!BJ41,IF($P$3=$AT$12,'Statement of Marks'!CG41,IF($P$3=$AT$13,'Statement of Marks'!DE41,IF($P$3=$AT$14,"",IF($P$3=$AT$15,'Statement of Marks'!EY41,""))))))))),"")</f>
        <v/>
      </c>
      <c r="M42" s="806" t="str">
        <f>IFERROR(IF(B42="","",IF($P$3=$AT$8,'Statement of Marks'!K41,IF($P$3=$AT$9,'Statement of Marks'!Y41,IF($P$3=$AT$10,'Statement of Marks'!AN41,IF($P$3=$AT$11,'Statement of Marks'!BK41,IF($P$3=$AT$12,'Statement of Marks'!CH41,IF($P$3=$AT$13,'Statement of Marks'!DF41,IF($P$3=$AT$14,"",IF($P$3=$AT$15,'Statement of Marks'!EZ41,""))))))))),"")</f>
        <v/>
      </c>
      <c r="N42" s="806" t="str">
        <f>IFERROR(IF(B42="","",IF($P$3=$AT$8,'Statement of Marks'!L41,IF($P$3=$AT$9,'Statement of Marks'!Z41,IF($P$3=$AT$10,'Statement of Marks'!AO41,IF($P$3=$AT$11,'Statement of Marks'!BL41,IF($P$3=$AT$12,'Statement of Marks'!CI41,IF($P$3=$AT$13,'Statement of Marks'!DG41,IF($P$3=$AT$14,"",IF($P$3=$AT$15,'Statement of Marks'!FA41,""))))))))),"")</f>
        <v/>
      </c>
      <c r="O42" s="807" t="str">
        <f t="shared" si="4"/>
        <v/>
      </c>
      <c r="P42" s="806" t="str">
        <f>IFERROR(IF(B42="","",IF($P$3=$AT$8,'Statement of Marks'!N41,IF($P$3=$AT$9,'Statement of Marks'!AB41,IF($P$3=$AT$10,'Statement of Marks'!AQ41,IF($P$3=$AT$11,'Statement of Marks'!BN41,IF($P$3=$AT$12,'Statement of Marks'!CK41,IF($P$3=$AT$13,'Statement of Marks'!DI41,IF($P$3=$AT$14,"",IF($P$3=$AT$15,'Statement of Marks'!FC41,""))))))))),"")</f>
        <v/>
      </c>
      <c r="Q42" s="806" t="str">
        <f>IFERROR(IF(B42="","",IF($P$3=$AT$8,"",IF($P$3=$AT$9,"",IF($P$3=$AT$10,'Statement of Marks'!AR41,IF($P$3=$AT$11,'Statement of Marks'!BO41,IF($P$3=$AT$12,'Statement of Marks'!CL41,IF($P$3=$AT$13,'Statement of Marks'!DJ41,IF($P$3=$AT$14,"",IF($P$3=$AT$15,"",""))))))))),"")</f>
        <v/>
      </c>
      <c r="R42" s="818" t="str">
        <f>IFERROR(IF(B42="","",IF(AND(P42="",Q42="",$P$3=""),"",IF($P$3=$AT$14,'Statement of Marks'!EC41,SUM(P42,Q42)))),"")</f>
        <v/>
      </c>
      <c r="S42" s="817" t="str">
        <f>IFERROR(IF(B42="","",IF($P$3=$AT$14,'Statement of Marks'!ED41,IF(AND(O42="NA",P42="NA",Q42="NA"),"NA",IF(AND(O42="",P42="",Q42=""),"",SUM(O42,P42,Q42))))),"")</f>
        <v/>
      </c>
      <c r="T42" s="806" t="str">
        <f>IFERROR(IF(B42="","",IF($P$3=$AT$8,'Statement of Marks'!P41,IF($P$3=$AT$9,'Statement of Marks'!AD41,IF($P$3=$AT$10,'Statement of Marks'!AU41,IF($P$3=$AT$11,'Statement of Marks'!BR41,IF($P$3=$AT$12,'Statement of Marks'!CO41,IF($P$3=$AT$13,'Statement of Marks'!DM41,IF($P$3=$AT$14,"",IF($P$3=$AT$15,'Statement of Marks'!FD41,""))))))))),"")</f>
        <v/>
      </c>
      <c r="U42" s="806" t="str">
        <f>IFERROR(IF(B42="","",IF($P$3=$AT$8,"",IF($P$3=$AT$9,"",IF($P$3=$AT$10,'Statement of Marks'!AV41,IF($P$3=$AT$11,'Statement of Marks'!BS41,IF($P$3=$AT$12,'Statement of Marks'!CP41,IF($P$3=$AT$13,'Statement of Marks'!DN41,IF($P$3=$AT$14,"",IF($P$3=$AT$15,"",""))))))))),"")</f>
        <v/>
      </c>
      <c r="V42" s="818" t="str">
        <f>IFERROR(IF(B42="","",IF(AND(T42="",U42="",$P$3=""),"",IF($P$3=$AT$14,'Statement of Marks'!EE41,SUM(T42,U42)))),"")</f>
        <v/>
      </c>
      <c r="W42" s="808" t="str">
        <f t="shared" si="5"/>
        <v/>
      </c>
      <c r="X42" s="809">
        <f t="shared" si="6"/>
        <v>0</v>
      </c>
      <c r="Y42" s="809">
        <f t="shared" si="7"/>
        <v>0</v>
      </c>
      <c r="Z42" s="809">
        <f t="shared" si="8"/>
        <v>0</v>
      </c>
      <c r="AA42" s="809" t="str">
        <f t="shared" si="9"/>
        <v/>
      </c>
      <c r="AB42" s="809" t="str">
        <f t="shared" si="10"/>
        <v/>
      </c>
      <c r="AC42" s="809" t="str">
        <f t="shared" si="11"/>
        <v/>
      </c>
      <c r="AD42" s="809" t="str">
        <f t="shared" si="12"/>
        <v/>
      </c>
      <c r="AE42" s="810" t="str">
        <f t="shared" si="13"/>
        <v/>
      </c>
      <c r="AF42" s="811" t="str">
        <f t="shared" si="14"/>
        <v/>
      </c>
      <c r="AG42" s="812" t="str">
        <f t="shared" si="15"/>
        <v/>
      </c>
      <c r="AW42" s="17" t="str">
        <f t="shared" si="16"/>
        <v/>
      </c>
      <c r="AX42" s="17" t="str">
        <f t="shared" si="17"/>
        <v/>
      </c>
      <c r="BM42" s="17" t="str">
        <f>IFERROR(VLOOKUP(B42,'Statement of Marks'!$B$8:'Statement of Marks'!$HI$207,37,0),"")</f>
        <v>A</v>
      </c>
      <c r="BN42" s="17" t="str">
        <f>IFERROR(VLOOKUP(B42,'Statement of Marks'!$B$8:'Statement of Marks'!$HI$207,60,0),"")</f>
        <v>A</v>
      </c>
      <c r="BO42" s="17" t="str">
        <f>IFERROR(VLOOKUP(B42,'Statement of Marks'!$B$8:'Statement of Marks'!$HI$207,83,0),"")</f>
        <v>A</v>
      </c>
      <c r="BP42" s="17" t="str">
        <f>IFERROR(VLOOKUP(B42,'Statement of Marks'!$B$8:'Statement of Marks'!$HI$207,107,0),"")</f>
        <v/>
      </c>
    </row>
    <row r="43" spans="1:68">
      <c r="A43" s="800">
        <f>IF('Statement of Marks'!A42="","",'Statement of Marks'!A42)</f>
        <v>35</v>
      </c>
      <c r="B43" s="801" t="str">
        <f>IF(OR($E$3="",$P$3=""),"",IF('Statement of Marks'!B42="","",'Statement of Marks'!B42))</f>
        <v/>
      </c>
      <c r="C43" s="810" t="str">
        <f>IF(OR($E$3="",$P$3=""),"",IF('Marks Entry'!C42="","",'Marks Entry'!C42))</f>
        <v/>
      </c>
      <c r="D43" s="802" t="str">
        <f>IF(OR($E$3="",$P$3=""),"",IF('Statement of Marks'!C42="","",'Statement of Marks'!C42))</f>
        <v/>
      </c>
      <c r="E43" s="803" t="str">
        <f>IF(OR($E$3="",$P$3=""),"",IF('Statement of Marks'!D42="","",'Statement of Marks'!D42))</f>
        <v/>
      </c>
      <c r="F43" s="804" t="str">
        <f>IF(OR($E$3="",$P$3=""),"",IF('Statement of Marks'!E42="","",'Statement of Marks'!E42))</f>
        <v/>
      </c>
      <c r="G43" s="804" t="str">
        <f>IF(OR($E$3="",$P$3=""),"",IF('Statement of Marks'!F42="","",'Statement of Marks'!F42))</f>
        <v/>
      </c>
      <c r="H43" s="804" t="str">
        <f>IF(OR($E$3="",$P$3=""),"",IF('Statement of Marks'!G42="","",'Statement of Marks'!G42))</f>
        <v/>
      </c>
      <c r="I43" s="805" t="str">
        <f>IF(OR($E$3="",$P$3=""),"",IF('Statement of Marks'!H42="","",'Statement of Marks'!H42))</f>
        <v/>
      </c>
      <c r="J43" s="805" t="str">
        <f>IF(OR($E$3="",$P$3=""),"",IF('Statement of Marks'!I42="","",'Statement of Marks'!I42))</f>
        <v/>
      </c>
      <c r="K43" s="805" t="str">
        <f>IFERROR(IF(B43="","",IF($P$3=$AT$10,IF(AND(BM43="A"),'Marks Entry'!$U$2,IF(AND(BM43="B"),'Marks Entry'!$Y$2,IF(AND(BM43="C"),'Marks Entry'!$AA$2,""))),IF($P$3=$AT$11,IF(AND(BN43="A"),'Marks Entry'!$AC$2,IF(AND(BN43="B"),'Marks Entry'!$AG$2,IF(AND(BN43="C"),'Marks Entry'!$AI$2,""))),IF($P$3=$AT$12,IF(AND(BO43="A"),'Marks Entry'!$AK$2,IF(AND(BO43="B"),'Marks Entry'!$AO$2,IF(AND(BO43="C"),'Marks Entry'!$AQ$2,""))),IF($P$3=$AT$13,IF(AND(BP43="A"),'Marks Entry'!$AS$2,IF(AND(BP43="B"),'Marks Entry'!$AW$2,IF(AND(BP43="C"),'Marks Entry'!$AY$2,""))),"-"))))),"")</f>
        <v/>
      </c>
      <c r="L43" s="806" t="str">
        <f>IFERROR(IF(B43="","",IF($P$3=$AT$8,'Statement of Marks'!J42,IF($P$3=$AT$9,'Statement of Marks'!X42,IF($P$3=$AT$10,'Statement of Marks'!AM42,IF($P$3=$AT$11,'Statement of Marks'!BJ42,IF($P$3=$AT$12,'Statement of Marks'!CG42,IF($P$3=$AT$13,'Statement of Marks'!DE42,IF($P$3=$AT$14,"",IF($P$3=$AT$15,'Statement of Marks'!EY42,""))))))))),"")</f>
        <v/>
      </c>
      <c r="M43" s="806" t="str">
        <f>IFERROR(IF(B43="","",IF($P$3=$AT$8,'Statement of Marks'!K42,IF($P$3=$AT$9,'Statement of Marks'!Y42,IF($P$3=$AT$10,'Statement of Marks'!AN42,IF($P$3=$AT$11,'Statement of Marks'!BK42,IF($P$3=$AT$12,'Statement of Marks'!CH42,IF($P$3=$AT$13,'Statement of Marks'!DF42,IF($P$3=$AT$14,"",IF($P$3=$AT$15,'Statement of Marks'!EZ42,""))))))))),"")</f>
        <v/>
      </c>
      <c r="N43" s="806" t="str">
        <f>IFERROR(IF(B43="","",IF($P$3=$AT$8,'Statement of Marks'!L42,IF($P$3=$AT$9,'Statement of Marks'!Z42,IF($P$3=$AT$10,'Statement of Marks'!AO42,IF($P$3=$AT$11,'Statement of Marks'!BL42,IF($P$3=$AT$12,'Statement of Marks'!CI42,IF($P$3=$AT$13,'Statement of Marks'!DG42,IF($P$3=$AT$14,"",IF($P$3=$AT$15,'Statement of Marks'!FA42,""))))))))),"")</f>
        <v/>
      </c>
      <c r="O43" s="807" t="str">
        <f t="shared" si="4"/>
        <v/>
      </c>
      <c r="P43" s="806" t="str">
        <f>IFERROR(IF(B43="","",IF($P$3=$AT$8,'Statement of Marks'!N42,IF($P$3=$AT$9,'Statement of Marks'!AB42,IF($P$3=$AT$10,'Statement of Marks'!AQ42,IF($P$3=$AT$11,'Statement of Marks'!BN42,IF($P$3=$AT$12,'Statement of Marks'!CK42,IF($P$3=$AT$13,'Statement of Marks'!DI42,IF($P$3=$AT$14,"",IF($P$3=$AT$15,'Statement of Marks'!FC42,""))))))))),"")</f>
        <v/>
      </c>
      <c r="Q43" s="806" t="str">
        <f>IFERROR(IF(B43="","",IF($P$3=$AT$8,"",IF($P$3=$AT$9,"",IF($P$3=$AT$10,'Statement of Marks'!AR42,IF($P$3=$AT$11,'Statement of Marks'!BO42,IF($P$3=$AT$12,'Statement of Marks'!CL42,IF($P$3=$AT$13,'Statement of Marks'!DJ42,IF($P$3=$AT$14,"",IF($P$3=$AT$15,"",""))))))))),"")</f>
        <v/>
      </c>
      <c r="R43" s="818" t="str">
        <f>IFERROR(IF(B43="","",IF(AND(P43="",Q43="",$P$3=""),"",IF($P$3=$AT$14,'Statement of Marks'!EC42,SUM(P43,Q43)))),"")</f>
        <v/>
      </c>
      <c r="S43" s="817" t="str">
        <f>IFERROR(IF(B43="","",IF($P$3=$AT$14,'Statement of Marks'!ED42,IF(AND(O43="NA",P43="NA",Q43="NA"),"NA",IF(AND(O43="",P43="",Q43=""),"",SUM(O43,P43,Q43))))),"")</f>
        <v/>
      </c>
      <c r="T43" s="806" t="str">
        <f>IFERROR(IF(B43="","",IF($P$3=$AT$8,'Statement of Marks'!P42,IF($P$3=$AT$9,'Statement of Marks'!AD42,IF($P$3=$AT$10,'Statement of Marks'!AU42,IF($P$3=$AT$11,'Statement of Marks'!BR42,IF($P$3=$AT$12,'Statement of Marks'!CO42,IF($P$3=$AT$13,'Statement of Marks'!DM42,IF($P$3=$AT$14,"",IF($P$3=$AT$15,'Statement of Marks'!FD42,""))))))))),"")</f>
        <v/>
      </c>
      <c r="U43" s="806" t="str">
        <f>IFERROR(IF(B43="","",IF($P$3=$AT$8,"",IF($P$3=$AT$9,"",IF($P$3=$AT$10,'Statement of Marks'!AV42,IF($P$3=$AT$11,'Statement of Marks'!BS42,IF($P$3=$AT$12,'Statement of Marks'!CP42,IF($P$3=$AT$13,'Statement of Marks'!DN42,IF($P$3=$AT$14,"",IF($P$3=$AT$15,"",""))))))))),"")</f>
        <v/>
      </c>
      <c r="V43" s="818" t="str">
        <f>IFERROR(IF(B43="","",IF(AND(T43="",U43="",$P$3=""),"",IF($P$3=$AT$14,'Statement of Marks'!EE42,SUM(T43,U43)))),"")</f>
        <v/>
      </c>
      <c r="W43" s="808" t="str">
        <f t="shared" si="5"/>
        <v/>
      </c>
      <c r="X43" s="809">
        <f t="shared" si="6"/>
        <v>0</v>
      </c>
      <c r="Y43" s="809">
        <f t="shared" si="7"/>
        <v>0</v>
      </c>
      <c r="Z43" s="809">
        <f t="shared" si="8"/>
        <v>0</v>
      </c>
      <c r="AA43" s="809" t="str">
        <f t="shared" si="9"/>
        <v/>
      </c>
      <c r="AB43" s="809" t="str">
        <f t="shared" si="10"/>
        <v/>
      </c>
      <c r="AC43" s="809" t="str">
        <f t="shared" si="11"/>
        <v/>
      </c>
      <c r="AD43" s="809" t="str">
        <f t="shared" si="12"/>
        <v/>
      </c>
      <c r="AE43" s="810" t="str">
        <f t="shared" si="13"/>
        <v/>
      </c>
      <c r="AF43" s="811" t="str">
        <f t="shared" si="14"/>
        <v/>
      </c>
      <c r="AG43" s="812" t="str">
        <f t="shared" si="15"/>
        <v/>
      </c>
      <c r="AW43" s="17" t="str">
        <f t="shared" si="16"/>
        <v/>
      </c>
      <c r="AX43" s="17" t="str">
        <f t="shared" si="17"/>
        <v/>
      </c>
      <c r="BM43" s="17" t="str">
        <f>IFERROR(VLOOKUP(B43,'Statement of Marks'!$B$8:'Statement of Marks'!$HI$207,37,0),"")</f>
        <v>A</v>
      </c>
      <c r="BN43" s="17" t="str">
        <f>IFERROR(VLOOKUP(B43,'Statement of Marks'!$B$8:'Statement of Marks'!$HI$207,60,0),"")</f>
        <v>A</v>
      </c>
      <c r="BO43" s="17" t="str">
        <f>IFERROR(VLOOKUP(B43,'Statement of Marks'!$B$8:'Statement of Marks'!$HI$207,83,0),"")</f>
        <v>A</v>
      </c>
      <c r="BP43" s="17" t="str">
        <f>IFERROR(VLOOKUP(B43,'Statement of Marks'!$B$8:'Statement of Marks'!$HI$207,107,0),"")</f>
        <v/>
      </c>
    </row>
    <row r="44" spans="1:68">
      <c r="A44" s="800">
        <f>IF('Statement of Marks'!A43="","",'Statement of Marks'!A43)</f>
        <v>36</v>
      </c>
      <c r="B44" s="801" t="str">
        <f>IF(OR($E$3="",$P$3=""),"",IF('Statement of Marks'!B43="","",'Statement of Marks'!B43))</f>
        <v/>
      </c>
      <c r="C44" s="810" t="str">
        <f>IF(OR($E$3="",$P$3=""),"",IF('Marks Entry'!C43="","",'Marks Entry'!C43))</f>
        <v/>
      </c>
      <c r="D44" s="802" t="str">
        <f>IF(OR($E$3="",$P$3=""),"",IF('Statement of Marks'!C43="","",'Statement of Marks'!C43))</f>
        <v/>
      </c>
      <c r="E44" s="803" t="str">
        <f>IF(OR($E$3="",$P$3=""),"",IF('Statement of Marks'!D43="","",'Statement of Marks'!D43))</f>
        <v/>
      </c>
      <c r="F44" s="804" t="str">
        <f>IF(OR($E$3="",$P$3=""),"",IF('Statement of Marks'!E43="","",'Statement of Marks'!E43))</f>
        <v/>
      </c>
      <c r="G44" s="804" t="str">
        <f>IF(OR($E$3="",$P$3=""),"",IF('Statement of Marks'!F43="","",'Statement of Marks'!F43))</f>
        <v/>
      </c>
      <c r="H44" s="804" t="str">
        <f>IF(OR($E$3="",$P$3=""),"",IF('Statement of Marks'!G43="","",'Statement of Marks'!G43))</f>
        <v/>
      </c>
      <c r="I44" s="805" t="str">
        <f>IF(OR($E$3="",$P$3=""),"",IF('Statement of Marks'!H43="","",'Statement of Marks'!H43))</f>
        <v/>
      </c>
      <c r="J44" s="805" t="str">
        <f>IF(OR($E$3="",$P$3=""),"",IF('Statement of Marks'!I43="","",'Statement of Marks'!I43))</f>
        <v/>
      </c>
      <c r="K44" s="805" t="str">
        <f>IFERROR(IF(B44="","",IF($P$3=$AT$10,IF(AND(BM44="A"),'Marks Entry'!$U$2,IF(AND(BM44="B"),'Marks Entry'!$Y$2,IF(AND(BM44="C"),'Marks Entry'!$AA$2,""))),IF($P$3=$AT$11,IF(AND(BN44="A"),'Marks Entry'!$AC$2,IF(AND(BN44="B"),'Marks Entry'!$AG$2,IF(AND(BN44="C"),'Marks Entry'!$AI$2,""))),IF($P$3=$AT$12,IF(AND(BO44="A"),'Marks Entry'!$AK$2,IF(AND(BO44="B"),'Marks Entry'!$AO$2,IF(AND(BO44="C"),'Marks Entry'!$AQ$2,""))),IF($P$3=$AT$13,IF(AND(BP44="A"),'Marks Entry'!$AS$2,IF(AND(BP44="B"),'Marks Entry'!$AW$2,IF(AND(BP44="C"),'Marks Entry'!$AY$2,""))),"-"))))),"")</f>
        <v/>
      </c>
      <c r="L44" s="806" t="str">
        <f>IFERROR(IF(B44="","",IF($P$3=$AT$8,'Statement of Marks'!J43,IF($P$3=$AT$9,'Statement of Marks'!X43,IF($P$3=$AT$10,'Statement of Marks'!AM43,IF($P$3=$AT$11,'Statement of Marks'!BJ43,IF($P$3=$AT$12,'Statement of Marks'!CG43,IF($P$3=$AT$13,'Statement of Marks'!DE43,IF($P$3=$AT$14,"",IF($P$3=$AT$15,'Statement of Marks'!EY43,""))))))))),"")</f>
        <v/>
      </c>
      <c r="M44" s="806" t="str">
        <f>IFERROR(IF(B44="","",IF($P$3=$AT$8,'Statement of Marks'!K43,IF($P$3=$AT$9,'Statement of Marks'!Y43,IF($P$3=$AT$10,'Statement of Marks'!AN43,IF($P$3=$AT$11,'Statement of Marks'!BK43,IF($P$3=$AT$12,'Statement of Marks'!CH43,IF($P$3=$AT$13,'Statement of Marks'!DF43,IF($P$3=$AT$14,"",IF($P$3=$AT$15,'Statement of Marks'!EZ43,""))))))))),"")</f>
        <v/>
      </c>
      <c r="N44" s="806" t="str">
        <f>IFERROR(IF(B44="","",IF($P$3=$AT$8,'Statement of Marks'!L43,IF($P$3=$AT$9,'Statement of Marks'!Z43,IF($P$3=$AT$10,'Statement of Marks'!AO43,IF($P$3=$AT$11,'Statement of Marks'!BL43,IF($P$3=$AT$12,'Statement of Marks'!CI43,IF($P$3=$AT$13,'Statement of Marks'!DG43,IF($P$3=$AT$14,"",IF($P$3=$AT$15,'Statement of Marks'!FA43,""))))))))),"")</f>
        <v/>
      </c>
      <c r="O44" s="807" t="str">
        <f t="shared" si="4"/>
        <v/>
      </c>
      <c r="P44" s="806" t="str">
        <f>IFERROR(IF(B44="","",IF($P$3=$AT$8,'Statement of Marks'!N43,IF($P$3=$AT$9,'Statement of Marks'!AB43,IF($P$3=$AT$10,'Statement of Marks'!AQ43,IF($P$3=$AT$11,'Statement of Marks'!BN43,IF($P$3=$AT$12,'Statement of Marks'!CK43,IF($P$3=$AT$13,'Statement of Marks'!DI43,IF($P$3=$AT$14,"",IF($P$3=$AT$15,'Statement of Marks'!FC43,""))))))))),"")</f>
        <v/>
      </c>
      <c r="Q44" s="806" t="str">
        <f>IFERROR(IF(B44="","",IF($P$3=$AT$8,"",IF($P$3=$AT$9,"",IF($P$3=$AT$10,'Statement of Marks'!AR43,IF($P$3=$AT$11,'Statement of Marks'!BO43,IF($P$3=$AT$12,'Statement of Marks'!CL43,IF($P$3=$AT$13,'Statement of Marks'!DJ43,IF($P$3=$AT$14,"",IF($P$3=$AT$15,"",""))))))))),"")</f>
        <v/>
      </c>
      <c r="R44" s="818" t="str">
        <f>IFERROR(IF(B44="","",IF(AND(P44="",Q44="",$P$3=""),"",IF($P$3=$AT$14,'Statement of Marks'!EC43,SUM(P44,Q44)))),"")</f>
        <v/>
      </c>
      <c r="S44" s="817" t="str">
        <f>IFERROR(IF(B44="","",IF($P$3=$AT$14,'Statement of Marks'!ED43,IF(AND(O44="NA",P44="NA",Q44="NA"),"NA",IF(AND(O44="",P44="",Q44=""),"",SUM(O44,P44,Q44))))),"")</f>
        <v/>
      </c>
      <c r="T44" s="806" t="str">
        <f>IFERROR(IF(B44="","",IF($P$3=$AT$8,'Statement of Marks'!P43,IF($P$3=$AT$9,'Statement of Marks'!AD43,IF($P$3=$AT$10,'Statement of Marks'!AU43,IF($P$3=$AT$11,'Statement of Marks'!BR43,IF($P$3=$AT$12,'Statement of Marks'!CO43,IF($P$3=$AT$13,'Statement of Marks'!DM43,IF($P$3=$AT$14,"",IF($P$3=$AT$15,'Statement of Marks'!FD43,""))))))))),"")</f>
        <v/>
      </c>
      <c r="U44" s="806" t="str">
        <f>IFERROR(IF(B44="","",IF($P$3=$AT$8,"",IF($P$3=$AT$9,"",IF($P$3=$AT$10,'Statement of Marks'!AV43,IF($P$3=$AT$11,'Statement of Marks'!BS43,IF($P$3=$AT$12,'Statement of Marks'!CP43,IF($P$3=$AT$13,'Statement of Marks'!DN43,IF($P$3=$AT$14,"",IF($P$3=$AT$15,"",""))))))))),"")</f>
        <v/>
      </c>
      <c r="V44" s="818" t="str">
        <f>IFERROR(IF(B44="","",IF(AND(T44="",U44="",$P$3=""),"",IF($P$3=$AT$14,'Statement of Marks'!EE43,SUM(T44,U44)))),"")</f>
        <v/>
      </c>
      <c r="W44" s="808" t="str">
        <f t="shared" si="5"/>
        <v/>
      </c>
      <c r="X44" s="809">
        <f t="shared" si="6"/>
        <v>0</v>
      </c>
      <c r="Y44" s="809">
        <f t="shared" si="7"/>
        <v>0</v>
      </c>
      <c r="Z44" s="809">
        <f t="shared" si="8"/>
        <v>0</v>
      </c>
      <c r="AA44" s="809" t="str">
        <f t="shared" si="9"/>
        <v/>
      </c>
      <c r="AB44" s="809" t="str">
        <f t="shared" si="10"/>
        <v/>
      </c>
      <c r="AC44" s="809" t="str">
        <f t="shared" si="11"/>
        <v/>
      </c>
      <c r="AD44" s="809" t="str">
        <f t="shared" si="12"/>
        <v/>
      </c>
      <c r="AE44" s="810" t="str">
        <f t="shared" si="13"/>
        <v/>
      </c>
      <c r="AF44" s="811" t="str">
        <f t="shared" si="14"/>
        <v/>
      </c>
      <c r="AG44" s="812" t="str">
        <f t="shared" si="15"/>
        <v/>
      </c>
      <c r="AW44" s="17" t="str">
        <f t="shared" si="16"/>
        <v/>
      </c>
      <c r="AX44" s="17" t="str">
        <f t="shared" si="17"/>
        <v/>
      </c>
      <c r="BM44" s="17" t="str">
        <f>IFERROR(VLOOKUP(B44,'Statement of Marks'!$B$8:'Statement of Marks'!$HI$207,37,0),"")</f>
        <v>A</v>
      </c>
      <c r="BN44" s="17" t="str">
        <f>IFERROR(VLOOKUP(B44,'Statement of Marks'!$B$8:'Statement of Marks'!$HI$207,60,0),"")</f>
        <v>A</v>
      </c>
      <c r="BO44" s="17" t="str">
        <f>IFERROR(VLOOKUP(B44,'Statement of Marks'!$B$8:'Statement of Marks'!$HI$207,83,0),"")</f>
        <v>A</v>
      </c>
      <c r="BP44" s="17" t="str">
        <f>IFERROR(VLOOKUP(B44,'Statement of Marks'!$B$8:'Statement of Marks'!$HI$207,107,0),"")</f>
        <v/>
      </c>
    </row>
    <row r="45" spans="1:68">
      <c r="A45" s="800">
        <f>IF('Statement of Marks'!A44="","",'Statement of Marks'!A44)</f>
        <v>37</v>
      </c>
      <c r="B45" s="801" t="str">
        <f>IF(OR($E$3="",$P$3=""),"",IF('Statement of Marks'!B44="","",'Statement of Marks'!B44))</f>
        <v/>
      </c>
      <c r="C45" s="810" t="str">
        <f>IF(OR($E$3="",$P$3=""),"",IF('Marks Entry'!C44="","",'Marks Entry'!C44))</f>
        <v/>
      </c>
      <c r="D45" s="802" t="str">
        <f>IF(OR($E$3="",$P$3=""),"",IF('Statement of Marks'!C44="","",'Statement of Marks'!C44))</f>
        <v/>
      </c>
      <c r="E45" s="803" t="str">
        <f>IF(OR($E$3="",$P$3=""),"",IF('Statement of Marks'!D44="","",'Statement of Marks'!D44))</f>
        <v/>
      </c>
      <c r="F45" s="804" t="str">
        <f>IF(OR($E$3="",$P$3=""),"",IF('Statement of Marks'!E44="","",'Statement of Marks'!E44))</f>
        <v/>
      </c>
      <c r="G45" s="804" t="str">
        <f>IF(OR($E$3="",$P$3=""),"",IF('Statement of Marks'!F44="","",'Statement of Marks'!F44))</f>
        <v/>
      </c>
      <c r="H45" s="804" t="str">
        <f>IF(OR($E$3="",$P$3=""),"",IF('Statement of Marks'!G44="","",'Statement of Marks'!G44))</f>
        <v/>
      </c>
      <c r="I45" s="805" t="str">
        <f>IF(OR($E$3="",$P$3=""),"",IF('Statement of Marks'!H44="","",'Statement of Marks'!H44))</f>
        <v/>
      </c>
      <c r="J45" s="805" t="str">
        <f>IF(OR($E$3="",$P$3=""),"",IF('Statement of Marks'!I44="","",'Statement of Marks'!I44))</f>
        <v/>
      </c>
      <c r="K45" s="805" t="str">
        <f>IFERROR(IF(B45="","",IF($P$3=$AT$10,IF(AND(BM45="A"),'Marks Entry'!$U$2,IF(AND(BM45="B"),'Marks Entry'!$Y$2,IF(AND(BM45="C"),'Marks Entry'!$AA$2,""))),IF($P$3=$AT$11,IF(AND(BN45="A"),'Marks Entry'!$AC$2,IF(AND(BN45="B"),'Marks Entry'!$AG$2,IF(AND(BN45="C"),'Marks Entry'!$AI$2,""))),IF($P$3=$AT$12,IF(AND(BO45="A"),'Marks Entry'!$AK$2,IF(AND(BO45="B"),'Marks Entry'!$AO$2,IF(AND(BO45="C"),'Marks Entry'!$AQ$2,""))),IF($P$3=$AT$13,IF(AND(BP45="A"),'Marks Entry'!$AS$2,IF(AND(BP45="B"),'Marks Entry'!$AW$2,IF(AND(BP45="C"),'Marks Entry'!$AY$2,""))),"-"))))),"")</f>
        <v/>
      </c>
      <c r="L45" s="806" t="str">
        <f>IFERROR(IF(B45="","",IF($P$3=$AT$8,'Statement of Marks'!J44,IF($P$3=$AT$9,'Statement of Marks'!X44,IF($P$3=$AT$10,'Statement of Marks'!AM44,IF($P$3=$AT$11,'Statement of Marks'!BJ44,IF($P$3=$AT$12,'Statement of Marks'!CG44,IF($P$3=$AT$13,'Statement of Marks'!DE44,IF($P$3=$AT$14,"",IF($P$3=$AT$15,'Statement of Marks'!EY44,""))))))))),"")</f>
        <v/>
      </c>
      <c r="M45" s="806" t="str">
        <f>IFERROR(IF(B45="","",IF($P$3=$AT$8,'Statement of Marks'!K44,IF($P$3=$AT$9,'Statement of Marks'!Y44,IF($P$3=$AT$10,'Statement of Marks'!AN44,IF($P$3=$AT$11,'Statement of Marks'!BK44,IF($P$3=$AT$12,'Statement of Marks'!CH44,IF($P$3=$AT$13,'Statement of Marks'!DF44,IF($P$3=$AT$14,"",IF($P$3=$AT$15,'Statement of Marks'!EZ44,""))))))))),"")</f>
        <v/>
      </c>
      <c r="N45" s="806" t="str">
        <f>IFERROR(IF(B45="","",IF($P$3=$AT$8,'Statement of Marks'!L44,IF($P$3=$AT$9,'Statement of Marks'!Z44,IF($P$3=$AT$10,'Statement of Marks'!AO44,IF($P$3=$AT$11,'Statement of Marks'!BL44,IF($P$3=$AT$12,'Statement of Marks'!CI44,IF($P$3=$AT$13,'Statement of Marks'!DG44,IF($P$3=$AT$14,"",IF($P$3=$AT$15,'Statement of Marks'!FA44,""))))))))),"")</f>
        <v/>
      </c>
      <c r="O45" s="807" t="str">
        <f t="shared" si="4"/>
        <v/>
      </c>
      <c r="P45" s="806" t="str">
        <f>IFERROR(IF(B45="","",IF($P$3=$AT$8,'Statement of Marks'!N44,IF($P$3=$AT$9,'Statement of Marks'!AB44,IF($P$3=$AT$10,'Statement of Marks'!AQ44,IF($P$3=$AT$11,'Statement of Marks'!BN44,IF($P$3=$AT$12,'Statement of Marks'!CK44,IF($P$3=$AT$13,'Statement of Marks'!DI44,IF($P$3=$AT$14,"",IF($P$3=$AT$15,'Statement of Marks'!FC44,""))))))))),"")</f>
        <v/>
      </c>
      <c r="Q45" s="806" t="str">
        <f>IFERROR(IF(B45="","",IF($P$3=$AT$8,"",IF($P$3=$AT$9,"",IF($P$3=$AT$10,'Statement of Marks'!AR44,IF($P$3=$AT$11,'Statement of Marks'!BO44,IF($P$3=$AT$12,'Statement of Marks'!CL44,IF($P$3=$AT$13,'Statement of Marks'!DJ44,IF($P$3=$AT$14,"",IF($P$3=$AT$15,"",""))))))))),"")</f>
        <v/>
      </c>
      <c r="R45" s="818" t="str">
        <f>IFERROR(IF(B45="","",IF(AND(P45="",Q45="",$P$3=""),"",IF($P$3=$AT$14,'Statement of Marks'!EC44,SUM(P45,Q45)))),"")</f>
        <v/>
      </c>
      <c r="S45" s="817" t="str">
        <f>IFERROR(IF(B45="","",IF($P$3=$AT$14,'Statement of Marks'!ED44,IF(AND(O45="NA",P45="NA",Q45="NA"),"NA",IF(AND(O45="",P45="",Q45=""),"",SUM(O45,P45,Q45))))),"")</f>
        <v/>
      </c>
      <c r="T45" s="806" t="str">
        <f>IFERROR(IF(B45="","",IF($P$3=$AT$8,'Statement of Marks'!P44,IF($P$3=$AT$9,'Statement of Marks'!AD44,IF($P$3=$AT$10,'Statement of Marks'!AU44,IF($P$3=$AT$11,'Statement of Marks'!BR44,IF($P$3=$AT$12,'Statement of Marks'!CO44,IF($P$3=$AT$13,'Statement of Marks'!DM44,IF($P$3=$AT$14,"",IF($P$3=$AT$15,'Statement of Marks'!FD44,""))))))))),"")</f>
        <v/>
      </c>
      <c r="U45" s="806" t="str">
        <f>IFERROR(IF(B45="","",IF($P$3=$AT$8,"",IF($P$3=$AT$9,"",IF($P$3=$AT$10,'Statement of Marks'!AV44,IF($P$3=$AT$11,'Statement of Marks'!BS44,IF($P$3=$AT$12,'Statement of Marks'!CP44,IF($P$3=$AT$13,'Statement of Marks'!DN44,IF($P$3=$AT$14,"",IF($P$3=$AT$15,"",""))))))))),"")</f>
        <v/>
      </c>
      <c r="V45" s="818" t="str">
        <f>IFERROR(IF(B45="","",IF(AND(T45="",U45="",$P$3=""),"",IF($P$3=$AT$14,'Statement of Marks'!EE44,SUM(T45,U45)))),"")</f>
        <v/>
      </c>
      <c r="W45" s="808" t="str">
        <f t="shared" si="5"/>
        <v/>
      </c>
      <c r="X45" s="809">
        <f t="shared" si="6"/>
        <v>0</v>
      </c>
      <c r="Y45" s="809">
        <f t="shared" si="7"/>
        <v>0</v>
      </c>
      <c r="Z45" s="809">
        <f t="shared" si="8"/>
        <v>0</v>
      </c>
      <c r="AA45" s="809" t="str">
        <f t="shared" si="9"/>
        <v/>
      </c>
      <c r="AB45" s="809" t="str">
        <f t="shared" si="10"/>
        <v/>
      </c>
      <c r="AC45" s="809" t="str">
        <f t="shared" si="11"/>
        <v/>
      </c>
      <c r="AD45" s="809" t="str">
        <f t="shared" si="12"/>
        <v/>
      </c>
      <c r="AE45" s="810" t="str">
        <f t="shared" si="13"/>
        <v/>
      </c>
      <c r="AF45" s="811" t="str">
        <f t="shared" si="14"/>
        <v/>
      </c>
      <c r="AG45" s="812" t="str">
        <f t="shared" si="15"/>
        <v/>
      </c>
      <c r="AW45" s="17" t="str">
        <f t="shared" si="16"/>
        <v/>
      </c>
      <c r="AX45" s="17" t="str">
        <f t="shared" si="17"/>
        <v/>
      </c>
      <c r="BM45" s="17" t="str">
        <f>IFERROR(VLOOKUP(B45,'Statement of Marks'!$B$8:'Statement of Marks'!$HI$207,37,0),"")</f>
        <v>A</v>
      </c>
      <c r="BN45" s="17" t="str">
        <f>IFERROR(VLOOKUP(B45,'Statement of Marks'!$B$8:'Statement of Marks'!$HI$207,60,0),"")</f>
        <v>A</v>
      </c>
      <c r="BO45" s="17" t="str">
        <f>IFERROR(VLOOKUP(B45,'Statement of Marks'!$B$8:'Statement of Marks'!$HI$207,83,0),"")</f>
        <v>A</v>
      </c>
      <c r="BP45" s="17" t="str">
        <f>IFERROR(VLOOKUP(B45,'Statement of Marks'!$B$8:'Statement of Marks'!$HI$207,107,0),"")</f>
        <v/>
      </c>
    </row>
    <row r="46" spans="1:68">
      <c r="A46" s="800">
        <f>IF('Statement of Marks'!A45="","",'Statement of Marks'!A45)</f>
        <v>38</v>
      </c>
      <c r="B46" s="801" t="str">
        <f>IF(OR($E$3="",$P$3=""),"",IF('Statement of Marks'!B45="","",'Statement of Marks'!B45))</f>
        <v/>
      </c>
      <c r="C46" s="810" t="str">
        <f>IF(OR($E$3="",$P$3=""),"",IF('Marks Entry'!C45="","",'Marks Entry'!C45))</f>
        <v/>
      </c>
      <c r="D46" s="802" t="str">
        <f>IF(OR($E$3="",$P$3=""),"",IF('Statement of Marks'!C45="","",'Statement of Marks'!C45))</f>
        <v/>
      </c>
      <c r="E46" s="803" t="str">
        <f>IF(OR($E$3="",$P$3=""),"",IF('Statement of Marks'!D45="","",'Statement of Marks'!D45))</f>
        <v/>
      </c>
      <c r="F46" s="804" t="str">
        <f>IF(OR($E$3="",$P$3=""),"",IF('Statement of Marks'!E45="","",'Statement of Marks'!E45))</f>
        <v/>
      </c>
      <c r="G46" s="804" t="str">
        <f>IF(OR($E$3="",$P$3=""),"",IF('Statement of Marks'!F45="","",'Statement of Marks'!F45))</f>
        <v/>
      </c>
      <c r="H46" s="804" t="str">
        <f>IF(OR($E$3="",$P$3=""),"",IF('Statement of Marks'!G45="","",'Statement of Marks'!G45))</f>
        <v/>
      </c>
      <c r="I46" s="805" t="str">
        <f>IF(OR($E$3="",$P$3=""),"",IF('Statement of Marks'!H45="","",'Statement of Marks'!H45))</f>
        <v/>
      </c>
      <c r="J46" s="805" t="str">
        <f>IF(OR($E$3="",$P$3=""),"",IF('Statement of Marks'!I45="","",'Statement of Marks'!I45))</f>
        <v/>
      </c>
      <c r="K46" s="805" t="str">
        <f>IFERROR(IF(B46="","",IF($P$3=$AT$10,IF(AND(BM46="A"),'Marks Entry'!$U$2,IF(AND(BM46="B"),'Marks Entry'!$Y$2,IF(AND(BM46="C"),'Marks Entry'!$AA$2,""))),IF($P$3=$AT$11,IF(AND(BN46="A"),'Marks Entry'!$AC$2,IF(AND(BN46="B"),'Marks Entry'!$AG$2,IF(AND(BN46="C"),'Marks Entry'!$AI$2,""))),IF($P$3=$AT$12,IF(AND(BO46="A"),'Marks Entry'!$AK$2,IF(AND(BO46="B"),'Marks Entry'!$AO$2,IF(AND(BO46="C"),'Marks Entry'!$AQ$2,""))),IF($P$3=$AT$13,IF(AND(BP46="A"),'Marks Entry'!$AS$2,IF(AND(BP46="B"),'Marks Entry'!$AW$2,IF(AND(BP46="C"),'Marks Entry'!$AY$2,""))),"-"))))),"")</f>
        <v/>
      </c>
      <c r="L46" s="806" t="str">
        <f>IFERROR(IF(B46="","",IF($P$3=$AT$8,'Statement of Marks'!J45,IF($P$3=$AT$9,'Statement of Marks'!X45,IF($P$3=$AT$10,'Statement of Marks'!AM45,IF($P$3=$AT$11,'Statement of Marks'!BJ45,IF($P$3=$AT$12,'Statement of Marks'!CG45,IF($P$3=$AT$13,'Statement of Marks'!DE45,IF($P$3=$AT$14,"",IF($P$3=$AT$15,'Statement of Marks'!EY45,""))))))))),"")</f>
        <v/>
      </c>
      <c r="M46" s="806" t="str">
        <f>IFERROR(IF(B46="","",IF($P$3=$AT$8,'Statement of Marks'!K45,IF($P$3=$AT$9,'Statement of Marks'!Y45,IF($P$3=$AT$10,'Statement of Marks'!AN45,IF($P$3=$AT$11,'Statement of Marks'!BK45,IF($P$3=$AT$12,'Statement of Marks'!CH45,IF($P$3=$AT$13,'Statement of Marks'!DF45,IF($P$3=$AT$14,"",IF($P$3=$AT$15,'Statement of Marks'!EZ45,""))))))))),"")</f>
        <v/>
      </c>
      <c r="N46" s="806" t="str">
        <f>IFERROR(IF(B46="","",IF($P$3=$AT$8,'Statement of Marks'!L45,IF($P$3=$AT$9,'Statement of Marks'!Z45,IF($P$3=$AT$10,'Statement of Marks'!AO45,IF($P$3=$AT$11,'Statement of Marks'!BL45,IF($P$3=$AT$12,'Statement of Marks'!CI45,IF($P$3=$AT$13,'Statement of Marks'!DG45,IF($P$3=$AT$14,"",IF($P$3=$AT$15,'Statement of Marks'!FA45,""))))))))),"")</f>
        <v/>
      </c>
      <c r="O46" s="807" t="str">
        <f t="shared" si="4"/>
        <v/>
      </c>
      <c r="P46" s="806" t="str">
        <f>IFERROR(IF(B46="","",IF($P$3=$AT$8,'Statement of Marks'!N45,IF($P$3=$AT$9,'Statement of Marks'!AB45,IF($P$3=$AT$10,'Statement of Marks'!AQ45,IF($P$3=$AT$11,'Statement of Marks'!BN45,IF($P$3=$AT$12,'Statement of Marks'!CK45,IF($P$3=$AT$13,'Statement of Marks'!DI45,IF($P$3=$AT$14,"",IF($P$3=$AT$15,'Statement of Marks'!FC45,""))))))))),"")</f>
        <v/>
      </c>
      <c r="Q46" s="806" t="str">
        <f>IFERROR(IF(B46="","",IF($P$3=$AT$8,"",IF($P$3=$AT$9,"",IF($P$3=$AT$10,'Statement of Marks'!AR45,IF($P$3=$AT$11,'Statement of Marks'!BO45,IF($P$3=$AT$12,'Statement of Marks'!CL45,IF($P$3=$AT$13,'Statement of Marks'!DJ45,IF($P$3=$AT$14,"",IF($P$3=$AT$15,"",""))))))))),"")</f>
        <v/>
      </c>
      <c r="R46" s="818" t="str">
        <f>IFERROR(IF(B46="","",IF(AND(P46="",Q46="",$P$3=""),"",IF($P$3=$AT$14,'Statement of Marks'!EC45,SUM(P46,Q46)))),"")</f>
        <v/>
      </c>
      <c r="S46" s="817" t="str">
        <f>IFERROR(IF(B46="","",IF($P$3=$AT$14,'Statement of Marks'!ED45,IF(AND(O46="NA",P46="NA",Q46="NA"),"NA",IF(AND(O46="",P46="",Q46=""),"",SUM(O46,P46,Q46))))),"")</f>
        <v/>
      </c>
      <c r="T46" s="806" t="str">
        <f>IFERROR(IF(B46="","",IF($P$3=$AT$8,'Statement of Marks'!P45,IF($P$3=$AT$9,'Statement of Marks'!AD45,IF($P$3=$AT$10,'Statement of Marks'!AU45,IF($P$3=$AT$11,'Statement of Marks'!BR45,IF($P$3=$AT$12,'Statement of Marks'!CO45,IF($P$3=$AT$13,'Statement of Marks'!DM45,IF($P$3=$AT$14,"",IF($P$3=$AT$15,'Statement of Marks'!FD45,""))))))))),"")</f>
        <v/>
      </c>
      <c r="U46" s="806" t="str">
        <f>IFERROR(IF(B46="","",IF($P$3=$AT$8,"",IF($P$3=$AT$9,"",IF($P$3=$AT$10,'Statement of Marks'!AV45,IF($P$3=$AT$11,'Statement of Marks'!BS45,IF($P$3=$AT$12,'Statement of Marks'!CP45,IF($P$3=$AT$13,'Statement of Marks'!DN45,IF($P$3=$AT$14,"",IF($P$3=$AT$15,"",""))))))))),"")</f>
        <v/>
      </c>
      <c r="V46" s="818" t="str">
        <f>IFERROR(IF(B46="","",IF(AND(T46="",U46="",$P$3=""),"",IF($P$3=$AT$14,'Statement of Marks'!EE45,SUM(T46,U46)))),"")</f>
        <v/>
      </c>
      <c r="W46" s="808" t="str">
        <f t="shared" si="5"/>
        <v/>
      </c>
      <c r="X46" s="809">
        <f t="shared" si="6"/>
        <v>0</v>
      </c>
      <c r="Y46" s="809">
        <f t="shared" si="7"/>
        <v>0</v>
      </c>
      <c r="Z46" s="809">
        <f t="shared" si="8"/>
        <v>0</v>
      </c>
      <c r="AA46" s="809" t="str">
        <f t="shared" si="9"/>
        <v/>
      </c>
      <c r="AB46" s="809" t="str">
        <f t="shared" si="10"/>
        <v/>
      </c>
      <c r="AC46" s="809" t="str">
        <f t="shared" si="11"/>
        <v/>
      </c>
      <c r="AD46" s="809" t="str">
        <f t="shared" si="12"/>
        <v/>
      </c>
      <c r="AE46" s="810" t="str">
        <f t="shared" si="13"/>
        <v/>
      </c>
      <c r="AF46" s="811" t="str">
        <f t="shared" si="14"/>
        <v/>
      </c>
      <c r="AG46" s="812" t="str">
        <f t="shared" si="15"/>
        <v/>
      </c>
      <c r="AW46" s="17" t="str">
        <f t="shared" si="16"/>
        <v/>
      </c>
      <c r="AX46" s="17" t="str">
        <f t="shared" si="17"/>
        <v/>
      </c>
      <c r="BM46" s="17" t="str">
        <f>IFERROR(VLOOKUP(B46,'Statement of Marks'!$B$8:'Statement of Marks'!$HI$207,37,0),"")</f>
        <v>A</v>
      </c>
      <c r="BN46" s="17" t="str">
        <f>IFERROR(VLOOKUP(B46,'Statement of Marks'!$B$8:'Statement of Marks'!$HI$207,60,0),"")</f>
        <v>A</v>
      </c>
      <c r="BO46" s="17" t="str">
        <f>IFERROR(VLOOKUP(B46,'Statement of Marks'!$B$8:'Statement of Marks'!$HI$207,83,0),"")</f>
        <v>A</v>
      </c>
      <c r="BP46" s="17" t="str">
        <f>IFERROR(VLOOKUP(B46,'Statement of Marks'!$B$8:'Statement of Marks'!$HI$207,107,0),"")</f>
        <v/>
      </c>
    </row>
    <row r="47" spans="1:68">
      <c r="A47" s="800">
        <f>IF('Statement of Marks'!A46="","",'Statement of Marks'!A46)</f>
        <v>39</v>
      </c>
      <c r="B47" s="801" t="str">
        <f>IF(OR($E$3="",$P$3=""),"",IF('Statement of Marks'!B46="","",'Statement of Marks'!B46))</f>
        <v/>
      </c>
      <c r="C47" s="810" t="str">
        <f>IF(OR($E$3="",$P$3=""),"",IF('Marks Entry'!C46="","",'Marks Entry'!C46))</f>
        <v/>
      </c>
      <c r="D47" s="802" t="str">
        <f>IF(OR($E$3="",$P$3=""),"",IF('Statement of Marks'!C46="","",'Statement of Marks'!C46))</f>
        <v/>
      </c>
      <c r="E47" s="803" t="str">
        <f>IF(OR($E$3="",$P$3=""),"",IF('Statement of Marks'!D46="","",'Statement of Marks'!D46))</f>
        <v/>
      </c>
      <c r="F47" s="804" t="str">
        <f>IF(OR($E$3="",$P$3=""),"",IF('Statement of Marks'!E46="","",'Statement of Marks'!E46))</f>
        <v/>
      </c>
      <c r="G47" s="804" t="str">
        <f>IF(OR($E$3="",$P$3=""),"",IF('Statement of Marks'!F46="","",'Statement of Marks'!F46))</f>
        <v/>
      </c>
      <c r="H47" s="804" t="str">
        <f>IF(OR($E$3="",$P$3=""),"",IF('Statement of Marks'!G46="","",'Statement of Marks'!G46))</f>
        <v/>
      </c>
      <c r="I47" s="805" t="str">
        <f>IF(OR($E$3="",$P$3=""),"",IF('Statement of Marks'!H46="","",'Statement of Marks'!H46))</f>
        <v/>
      </c>
      <c r="J47" s="805" t="str">
        <f>IF(OR($E$3="",$P$3=""),"",IF('Statement of Marks'!I46="","",'Statement of Marks'!I46))</f>
        <v/>
      </c>
      <c r="K47" s="805" t="str">
        <f>IFERROR(IF(B47="","",IF($P$3=$AT$10,IF(AND(BM47="A"),'Marks Entry'!$U$2,IF(AND(BM47="B"),'Marks Entry'!$Y$2,IF(AND(BM47="C"),'Marks Entry'!$AA$2,""))),IF($P$3=$AT$11,IF(AND(BN47="A"),'Marks Entry'!$AC$2,IF(AND(BN47="B"),'Marks Entry'!$AG$2,IF(AND(BN47="C"),'Marks Entry'!$AI$2,""))),IF($P$3=$AT$12,IF(AND(BO47="A"),'Marks Entry'!$AK$2,IF(AND(BO47="B"),'Marks Entry'!$AO$2,IF(AND(BO47="C"),'Marks Entry'!$AQ$2,""))),IF($P$3=$AT$13,IF(AND(BP47="A"),'Marks Entry'!$AS$2,IF(AND(BP47="B"),'Marks Entry'!$AW$2,IF(AND(BP47="C"),'Marks Entry'!$AY$2,""))),"-"))))),"")</f>
        <v/>
      </c>
      <c r="L47" s="806" t="str">
        <f>IFERROR(IF(B47="","",IF($P$3=$AT$8,'Statement of Marks'!J46,IF($P$3=$AT$9,'Statement of Marks'!X46,IF($P$3=$AT$10,'Statement of Marks'!AM46,IF($P$3=$AT$11,'Statement of Marks'!BJ46,IF($P$3=$AT$12,'Statement of Marks'!CG46,IF($P$3=$AT$13,'Statement of Marks'!DE46,IF($P$3=$AT$14,"",IF($P$3=$AT$15,'Statement of Marks'!EY46,""))))))))),"")</f>
        <v/>
      </c>
      <c r="M47" s="806" t="str">
        <f>IFERROR(IF(B47="","",IF($P$3=$AT$8,'Statement of Marks'!K46,IF($P$3=$AT$9,'Statement of Marks'!Y46,IF($P$3=$AT$10,'Statement of Marks'!AN46,IF($P$3=$AT$11,'Statement of Marks'!BK46,IF($P$3=$AT$12,'Statement of Marks'!CH46,IF($P$3=$AT$13,'Statement of Marks'!DF46,IF($P$3=$AT$14,"",IF($P$3=$AT$15,'Statement of Marks'!EZ46,""))))))))),"")</f>
        <v/>
      </c>
      <c r="N47" s="806" t="str">
        <f>IFERROR(IF(B47="","",IF($P$3=$AT$8,'Statement of Marks'!L46,IF($P$3=$AT$9,'Statement of Marks'!Z46,IF($P$3=$AT$10,'Statement of Marks'!AO46,IF($P$3=$AT$11,'Statement of Marks'!BL46,IF($P$3=$AT$12,'Statement of Marks'!CI46,IF($P$3=$AT$13,'Statement of Marks'!DG46,IF($P$3=$AT$14,"",IF($P$3=$AT$15,'Statement of Marks'!FA46,""))))))))),"")</f>
        <v/>
      </c>
      <c r="O47" s="807" t="str">
        <f t="shared" si="4"/>
        <v/>
      </c>
      <c r="P47" s="806" t="str">
        <f>IFERROR(IF(B47="","",IF($P$3=$AT$8,'Statement of Marks'!N46,IF($P$3=$AT$9,'Statement of Marks'!AB46,IF($P$3=$AT$10,'Statement of Marks'!AQ46,IF($P$3=$AT$11,'Statement of Marks'!BN46,IF($P$3=$AT$12,'Statement of Marks'!CK46,IF($P$3=$AT$13,'Statement of Marks'!DI46,IF($P$3=$AT$14,"",IF($P$3=$AT$15,'Statement of Marks'!FC46,""))))))))),"")</f>
        <v/>
      </c>
      <c r="Q47" s="806" t="str">
        <f>IFERROR(IF(B47="","",IF($P$3=$AT$8,"",IF($P$3=$AT$9,"",IF($P$3=$AT$10,'Statement of Marks'!AR46,IF($P$3=$AT$11,'Statement of Marks'!BO46,IF($P$3=$AT$12,'Statement of Marks'!CL46,IF($P$3=$AT$13,'Statement of Marks'!DJ46,IF($P$3=$AT$14,"",IF($P$3=$AT$15,"",""))))))))),"")</f>
        <v/>
      </c>
      <c r="R47" s="818" t="str">
        <f>IFERROR(IF(B47="","",IF(AND(P47="",Q47="",$P$3=""),"",IF($P$3=$AT$14,'Statement of Marks'!EC46,SUM(P47,Q47)))),"")</f>
        <v/>
      </c>
      <c r="S47" s="817" t="str">
        <f>IFERROR(IF(B47="","",IF($P$3=$AT$14,'Statement of Marks'!ED46,IF(AND(O47="NA",P47="NA",Q47="NA"),"NA",IF(AND(O47="",P47="",Q47=""),"",SUM(O47,P47,Q47))))),"")</f>
        <v/>
      </c>
      <c r="T47" s="806" t="str">
        <f>IFERROR(IF(B47="","",IF($P$3=$AT$8,'Statement of Marks'!P46,IF($P$3=$AT$9,'Statement of Marks'!AD46,IF($P$3=$AT$10,'Statement of Marks'!AU46,IF($P$3=$AT$11,'Statement of Marks'!BR46,IF($P$3=$AT$12,'Statement of Marks'!CO46,IF($P$3=$AT$13,'Statement of Marks'!DM46,IF($P$3=$AT$14,"",IF($P$3=$AT$15,'Statement of Marks'!FD46,""))))))))),"")</f>
        <v/>
      </c>
      <c r="U47" s="806" t="str">
        <f>IFERROR(IF(B47="","",IF($P$3=$AT$8,"",IF($P$3=$AT$9,"",IF($P$3=$AT$10,'Statement of Marks'!AV46,IF($P$3=$AT$11,'Statement of Marks'!BS46,IF($P$3=$AT$12,'Statement of Marks'!CP46,IF($P$3=$AT$13,'Statement of Marks'!DN46,IF($P$3=$AT$14,"",IF($P$3=$AT$15,"",""))))))))),"")</f>
        <v/>
      </c>
      <c r="V47" s="818" t="str">
        <f>IFERROR(IF(B47="","",IF(AND(T47="",U47="",$P$3=""),"",IF($P$3=$AT$14,'Statement of Marks'!EE46,SUM(T47,U47)))),"")</f>
        <v/>
      </c>
      <c r="W47" s="808" t="str">
        <f t="shared" si="5"/>
        <v/>
      </c>
      <c r="X47" s="809">
        <f t="shared" si="6"/>
        <v>0</v>
      </c>
      <c r="Y47" s="809">
        <f t="shared" si="7"/>
        <v>0</v>
      </c>
      <c r="Z47" s="809">
        <f t="shared" si="8"/>
        <v>0</v>
      </c>
      <c r="AA47" s="809" t="str">
        <f t="shared" si="9"/>
        <v/>
      </c>
      <c r="AB47" s="809" t="str">
        <f t="shared" si="10"/>
        <v/>
      </c>
      <c r="AC47" s="809" t="str">
        <f t="shared" si="11"/>
        <v/>
      </c>
      <c r="AD47" s="809" t="str">
        <f t="shared" si="12"/>
        <v/>
      </c>
      <c r="AE47" s="810" t="str">
        <f t="shared" si="13"/>
        <v/>
      </c>
      <c r="AF47" s="811" t="str">
        <f t="shared" si="14"/>
        <v/>
      </c>
      <c r="AG47" s="812" t="str">
        <f t="shared" si="15"/>
        <v/>
      </c>
      <c r="AW47" s="17" t="str">
        <f t="shared" si="16"/>
        <v/>
      </c>
      <c r="AX47" s="17" t="str">
        <f t="shared" si="17"/>
        <v/>
      </c>
      <c r="BM47" s="17" t="str">
        <f>IFERROR(VLOOKUP(B47,'Statement of Marks'!$B$8:'Statement of Marks'!$HI$207,37,0),"")</f>
        <v>A</v>
      </c>
      <c r="BN47" s="17" t="str">
        <f>IFERROR(VLOOKUP(B47,'Statement of Marks'!$B$8:'Statement of Marks'!$HI$207,60,0),"")</f>
        <v>A</v>
      </c>
      <c r="BO47" s="17" t="str">
        <f>IFERROR(VLOOKUP(B47,'Statement of Marks'!$B$8:'Statement of Marks'!$HI$207,83,0),"")</f>
        <v>A</v>
      </c>
      <c r="BP47" s="17" t="str">
        <f>IFERROR(VLOOKUP(B47,'Statement of Marks'!$B$8:'Statement of Marks'!$HI$207,107,0),"")</f>
        <v/>
      </c>
    </row>
    <row r="48" spans="1:68">
      <c r="A48" s="800">
        <f>IF('Statement of Marks'!A47="","",'Statement of Marks'!A47)</f>
        <v>40</v>
      </c>
      <c r="B48" s="801" t="str">
        <f>IF(OR($E$3="",$P$3=""),"",IF('Statement of Marks'!B47="","",'Statement of Marks'!B47))</f>
        <v/>
      </c>
      <c r="C48" s="810" t="str">
        <f>IF(OR($E$3="",$P$3=""),"",IF('Marks Entry'!C47="","",'Marks Entry'!C47))</f>
        <v/>
      </c>
      <c r="D48" s="802" t="str">
        <f>IF(OR($E$3="",$P$3=""),"",IF('Statement of Marks'!C47="","",'Statement of Marks'!C47))</f>
        <v/>
      </c>
      <c r="E48" s="803" t="str">
        <f>IF(OR($E$3="",$P$3=""),"",IF('Statement of Marks'!D47="","",'Statement of Marks'!D47))</f>
        <v/>
      </c>
      <c r="F48" s="804" t="str">
        <f>IF(OR($E$3="",$P$3=""),"",IF('Statement of Marks'!E47="","",'Statement of Marks'!E47))</f>
        <v/>
      </c>
      <c r="G48" s="804" t="str">
        <f>IF(OR($E$3="",$P$3=""),"",IF('Statement of Marks'!F47="","",'Statement of Marks'!F47))</f>
        <v/>
      </c>
      <c r="H48" s="804" t="str">
        <f>IF(OR($E$3="",$P$3=""),"",IF('Statement of Marks'!G47="","",'Statement of Marks'!G47))</f>
        <v/>
      </c>
      <c r="I48" s="805" t="str">
        <f>IF(OR($E$3="",$P$3=""),"",IF('Statement of Marks'!H47="","",'Statement of Marks'!H47))</f>
        <v/>
      </c>
      <c r="J48" s="805" t="str">
        <f>IF(OR($E$3="",$P$3=""),"",IF('Statement of Marks'!I47="","",'Statement of Marks'!I47))</f>
        <v/>
      </c>
      <c r="K48" s="805" t="str">
        <f>IFERROR(IF(B48="","",IF($P$3=$AT$10,IF(AND(BM48="A"),'Marks Entry'!$U$2,IF(AND(BM48="B"),'Marks Entry'!$Y$2,IF(AND(BM48="C"),'Marks Entry'!$AA$2,""))),IF($P$3=$AT$11,IF(AND(BN48="A"),'Marks Entry'!$AC$2,IF(AND(BN48="B"),'Marks Entry'!$AG$2,IF(AND(BN48="C"),'Marks Entry'!$AI$2,""))),IF($P$3=$AT$12,IF(AND(BO48="A"),'Marks Entry'!$AK$2,IF(AND(BO48="B"),'Marks Entry'!$AO$2,IF(AND(BO48="C"),'Marks Entry'!$AQ$2,""))),IF($P$3=$AT$13,IF(AND(BP48="A"),'Marks Entry'!$AS$2,IF(AND(BP48="B"),'Marks Entry'!$AW$2,IF(AND(BP48="C"),'Marks Entry'!$AY$2,""))),"-"))))),"")</f>
        <v/>
      </c>
      <c r="L48" s="806" t="str">
        <f>IFERROR(IF(B48="","",IF($P$3=$AT$8,'Statement of Marks'!J47,IF($P$3=$AT$9,'Statement of Marks'!X47,IF($P$3=$AT$10,'Statement of Marks'!AM47,IF($P$3=$AT$11,'Statement of Marks'!BJ47,IF($P$3=$AT$12,'Statement of Marks'!CG47,IF($P$3=$AT$13,'Statement of Marks'!DE47,IF($P$3=$AT$14,"",IF($P$3=$AT$15,'Statement of Marks'!EY47,""))))))))),"")</f>
        <v/>
      </c>
      <c r="M48" s="806" t="str">
        <f>IFERROR(IF(B48="","",IF($P$3=$AT$8,'Statement of Marks'!K47,IF($P$3=$AT$9,'Statement of Marks'!Y47,IF($P$3=$AT$10,'Statement of Marks'!AN47,IF($P$3=$AT$11,'Statement of Marks'!BK47,IF($P$3=$AT$12,'Statement of Marks'!CH47,IF($P$3=$AT$13,'Statement of Marks'!DF47,IF($P$3=$AT$14,"",IF($P$3=$AT$15,'Statement of Marks'!EZ47,""))))))))),"")</f>
        <v/>
      </c>
      <c r="N48" s="806" t="str">
        <f>IFERROR(IF(B48="","",IF($P$3=$AT$8,'Statement of Marks'!L47,IF($P$3=$AT$9,'Statement of Marks'!Z47,IF($P$3=$AT$10,'Statement of Marks'!AO47,IF($P$3=$AT$11,'Statement of Marks'!BL47,IF($P$3=$AT$12,'Statement of Marks'!CI47,IF($P$3=$AT$13,'Statement of Marks'!DG47,IF($P$3=$AT$14,"",IF($P$3=$AT$15,'Statement of Marks'!FA47,""))))))))),"")</f>
        <v/>
      </c>
      <c r="O48" s="807" t="str">
        <f t="shared" si="4"/>
        <v/>
      </c>
      <c r="P48" s="806" t="str">
        <f>IFERROR(IF(B48="","",IF($P$3=$AT$8,'Statement of Marks'!N47,IF($P$3=$AT$9,'Statement of Marks'!AB47,IF($P$3=$AT$10,'Statement of Marks'!AQ47,IF($P$3=$AT$11,'Statement of Marks'!BN47,IF($P$3=$AT$12,'Statement of Marks'!CK47,IF($P$3=$AT$13,'Statement of Marks'!DI47,IF($P$3=$AT$14,"",IF($P$3=$AT$15,'Statement of Marks'!FC47,""))))))))),"")</f>
        <v/>
      </c>
      <c r="Q48" s="806" t="str">
        <f>IFERROR(IF(B48="","",IF($P$3=$AT$8,"",IF($P$3=$AT$9,"",IF($P$3=$AT$10,'Statement of Marks'!AR47,IF($P$3=$AT$11,'Statement of Marks'!BO47,IF($P$3=$AT$12,'Statement of Marks'!CL47,IF($P$3=$AT$13,'Statement of Marks'!DJ47,IF($P$3=$AT$14,"",IF($P$3=$AT$15,"",""))))))))),"")</f>
        <v/>
      </c>
      <c r="R48" s="818" t="str">
        <f>IFERROR(IF(B48="","",IF(AND(P48="",Q48="",$P$3=""),"",IF($P$3=$AT$14,'Statement of Marks'!EC47,SUM(P48,Q48)))),"")</f>
        <v/>
      </c>
      <c r="S48" s="817" t="str">
        <f>IFERROR(IF(B48="","",IF($P$3=$AT$14,'Statement of Marks'!ED47,IF(AND(O48="NA",P48="NA",Q48="NA"),"NA",IF(AND(O48="",P48="",Q48=""),"",SUM(O48,P48,Q48))))),"")</f>
        <v/>
      </c>
      <c r="T48" s="806" t="str">
        <f>IFERROR(IF(B48="","",IF($P$3=$AT$8,'Statement of Marks'!P47,IF($P$3=$AT$9,'Statement of Marks'!AD47,IF($P$3=$AT$10,'Statement of Marks'!AU47,IF($P$3=$AT$11,'Statement of Marks'!BR47,IF($P$3=$AT$12,'Statement of Marks'!CO47,IF($P$3=$AT$13,'Statement of Marks'!DM47,IF($P$3=$AT$14,"",IF($P$3=$AT$15,'Statement of Marks'!FD47,""))))))))),"")</f>
        <v/>
      </c>
      <c r="U48" s="806" t="str">
        <f>IFERROR(IF(B48="","",IF($P$3=$AT$8,"",IF($P$3=$AT$9,"",IF($P$3=$AT$10,'Statement of Marks'!AV47,IF($P$3=$AT$11,'Statement of Marks'!BS47,IF($P$3=$AT$12,'Statement of Marks'!CP47,IF($P$3=$AT$13,'Statement of Marks'!DN47,IF($P$3=$AT$14,"",IF($P$3=$AT$15,"",""))))))))),"")</f>
        <v/>
      </c>
      <c r="V48" s="818" t="str">
        <f>IFERROR(IF(B48="","",IF(AND(T48="",U48="",$P$3=""),"",IF($P$3=$AT$14,'Statement of Marks'!EE47,SUM(T48,U48)))),"")</f>
        <v/>
      </c>
      <c r="W48" s="808" t="str">
        <f t="shared" si="5"/>
        <v/>
      </c>
      <c r="X48" s="809">
        <f t="shared" si="6"/>
        <v>0</v>
      </c>
      <c r="Y48" s="809">
        <f t="shared" si="7"/>
        <v>0</v>
      </c>
      <c r="Z48" s="809">
        <f t="shared" si="8"/>
        <v>0</v>
      </c>
      <c r="AA48" s="809" t="str">
        <f t="shared" si="9"/>
        <v/>
      </c>
      <c r="AB48" s="809" t="str">
        <f t="shared" si="10"/>
        <v/>
      </c>
      <c r="AC48" s="809" t="str">
        <f t="shared" si="11"/>
        <v/>
      </c>
      <c r="AD48" s="809" t="str">
        <f t="shared" si="12"/>
        <v/>
      </c>
      <c r="AE48" s="810" t="str">
        <f t="shared" si="13"/>
        <v/>
      </c>
      <c r="AF48" s="811" t="str">
        <f t="shared" si="14"/>
        <v/>
      </c>
      <c r="AG48" s="812" t="str">
        <f t="shared" si="15"/>
        <v/>
      </c>
      <c r="AW48" s="17" t="str">
        <f t="shared" si="16"/>
        <v/>
      </c>
      <c r="AX48" s="17" t="str">
        <f t="shared" si="17"/>
        <v/>
      </c>
      <c r="BM48" s="17" t="str">
        <f>IFERROR(VLOOKUP(B48,'Statement of Marks'!$B$8:'Statement of Marks'!$HI$207,37,0),"")</f>
        <v>A</v>
      </c>
      <c r="BN48" s="17" t="str">
        <f>IFERROR(VLOOKUP(B48,'Statement of Marks'!$B$8:'Statement of Marks'!$HI$207,60,0),"")</f>
        <v>A</v>
      </c>
      <c r="BO48" s="17" t="str">
        <f>IFERROR(VLOOKUP(B48,'Statement of Marks'!$B$8:'Statement of Marks'!$HI$207,83,0),"")</f>
        <v>A</v>
      </c>
      <c r="BP48" s="17" t="str">
        <f>IFERROR(VLOOKUP(B48,'Statement of Marks'!$B$8:'Statement of Marks'!$HI$207,107,0),"")</f>
        <v/>
      </c>
    </row>
    <row r="49" spans="1:68">
      <c r="A49" s="800">
        <f>IF('Statement of Marks'!A48="","",'Statement of Marks'!A48)</f>
        <v>41</v>
      </c>
      <c r="B49" s="801" t="str">
        <f>IF(OR($E$3="",$P$3=""),"",IF('Statement of Marks'!B48="","",'Statement of Marks'!B48))</f>
        <v/>
      </c>
      <c r="C49" s="810" t="str">
        <f>IF(OR($E$3="",$P$3=""),"",IF('Marks Entry'!C48="","",'Marks Entry'!C48))</f>
        <v/>
      </c>
      <c r="D49" s="802" t="str">
        <f>IF(OR($E$3="",$P$3=""),"",IF('Statement of Marks'!C48="","",'Statement of Marks'!C48))</f>
        <v/>
      </c>
      <c r="E49" s="803" t="str">
        <f>IF(OR($E$3="",$P$3=""),"",IF('Statement of Marks'!D48="","",'Statement of Marks'!D48))</f>
        <v/>
      </c>
      <c r="F49" s="804" t="str">
        <f>IF(OR($E$3="",$P$3=""),"",IF('Statement of Marks'!E48="","",'Statement of Marks'!E48))</f>
        <v/>
      </c>
      <c r="G49" s="804" t="str">
        <f>IF(OR($E$3="",$P$3=""),"",IF('Statement of Marks'!F48="","",'Statement of Marks'!F48))</f>
        <v/>
      </c>
      <c r="H49" s="804" t="str">
        <f>IF(OR($E$3="",$P$3=""),"",IF('Statement of Marks'!G48="","",'Statement of Marks'!G48))</f>
        <v/>
      </c>
      <c r="I49" s="805" t="str">
        <f>IF(OR($E$3="",$P$3=""),"",IF('Statement of Marks'!H48="","",'Statement of Marks'!H48))</f>
        <v/>
      </c>
      <c r="J49" s="805" t="str">
        <f>IF(OR($E$3="",$P$3=""),"",IF('Statement of Marks'!I48="","",'Statement of Marks'!I48))</f>
        <v/>
      </c>
      <c r="K49" s="805" t="str">
        <f>IFERROR(IF(B49="","",IF($P$3=$AT$10,IF(AND(BM49="A"),'Marks Entry'!$U$2,IF(AND(BM49="B"),'Marks Entry'!$Y$2,IF(AND(BM49="C"),'Marks Entry'!$AA$2,""))),IF($P$3=$AT$11,IF(AND(BN49="A"),'Marks Entry'!$AC$2,IF(AND(BN49="B"),'Marks Entry'!$AG$2,IF(AND(BN49="C"),'Marks Entry'!$AI$2,""))),IF($P$3=$AT$12,IF(AND(BO49="A"),'Marks Entry'!$AK$2,IF(AND(BO49="B"),'Marks Entry'!$AO$2,IF(AND(BO49="C"),'Marks Entry'!$AQ$2,""))),IF($P$3=$AT$13,IF(AND(BP49="A"),'Marks Entry'!$AS$2,IF(AND(BP49="B"),'Marks Entry'!$AW$2,IF(AND(BP49="C"),'Marks Entry'!$AY$2,""))),"-"))))),"")</f>
        <v/>
      </c>
      <c r="L49" s="806" t="str">
        <f>IFERROR(IF(B49="","",IF($P$3=$AT$8,'Statement of Marks'!J48,IF($P$3=$AT$9,'Statement of Marks'!X48,IF($P$3=$AT$10,'Statement of Marks'!AM48,IF($P$3=$AT$11,'Statement of Marks'!BJ48,IF($P$3=$AT$12,'Statement of Marks'!CG48,IF($P$3=$AT$13,'Statement of Marks'!DE48,IF($P$3=$AT$14,"",IF($P$3=$AT$15,'Statement of Marks'!EY48,""))))))))),"")</f>
        <v/>
      </c>
      <c r="M49" s="806" t="str">
        <f>IFERROR(IF(B49="","",IF($P$3=$AT$8,'Statement of Marks'!K48,IF($P$3=$AT$9,'Statement of Marks'!Y48,IF($P$3=$AT$10,'Statement of Marks'!AN48,IF($P$3=$AT$11,'Statement of Marks'!BK48,IF($P$3=$AT$12,'Statement of Marks'!CH48,IF($P$3=$AT$13,'Statement of Marks'!DF48,IF($P$3=$AT$14,"",IF($P$3=$AT$15,'Statement of Marks'!EZ48,""))))))))),"")</f>
        <v/>
      </c>
      <c r="N49" s="806" t="str">
        <f>IFERROR(IF(B49="","",IF($P$3=$AT$8,'Statement of Marks'!L48,IF($P$3=$AT$9,'Statement of Marks'!Z48,IF($P$3=$AT$10,'Statement of Marks'!AO48,IF($P$3=$AT$11,'Statement of Marks'!BL48,IF($P$3=$AT$12,'Statement of Marks'!CI48,IF($P$3=$AT$13,'Statement of Marks'!DG48,IF($P$3=$AT$14,"",IF($P$3=$AT$15,'Statement of Marks'!FA48,""))))))))),"")</f>
        <v/>
      </c>
      <c r="O49" s="807" t="str">
        <f t="shared" si="4"/>
        <v/>
      </c>
      <c r="P49" s="806" t="str">
        <f>IFERROR(IF(B49="","",IF($P$3=$AT$8,'Statement of Marks'!N48,IF($P$3=$AT$9,'Statement of Marks'!AB48,IF($P$3=$AT$10,'Statement of Marks'!AQ48,IF($P$3=$AT$11,'Statement of Marks'!BN48,IF($P$3=$AT$12,'Statement of Marks'!CK48,IF($P$3=$AT$13,'Statement of Marks'!DI48,IF($P$3=$AT$14,"",IF($P$3=$AT$15,'Statement of Marks'!FC48,""))))))))),"")</f>
        <v/>
      </c>
      <c r="Q49" s="806" t="str">
        <f>IFERROR(IF(B49="","",IF($P$3=$AT$8,"",IF($P$3=$AT$9,"",IF($P$3=$AT$10,'Statement of Marks'!AR48,IF($P$3=$AT$11,'Statement of Marks'!BO48,IF($P$3=$AT$12,'Statement of Marks'!CL48,IF($P$3=$AT$13,'Statement of Marks'!DJ48,IF($P$3=$AT$14,"",IF($P$3=$AT$15,"",""))))))))),"")</f>
        <v/>
      </c>
      <c r="R49" s="818" t="str">
        <f>IFERROR(IF(B49="","",IF(AND(P49="",Q49="",$P$3=""),"",IF($P$3=$AT$14,'Statement of Marks'!EC48,SUM(P49,Q49)))),"")</f>
        <v/>
      </c>
      <c r="S49" s="817" t="str">
        <f>IFERROR(IF(B49="","",IF($P$3=$AT$14,'Statement of Marks'!ED48,IF(AND(O49="NA",P49="NA",Q49="NA"),"NA",IF(AND(O49="",P49="",Q49=""),"",SUM(O49,P49,Q49))))),"")</f>
        <v/>
      </c>
      <c r="T49" s="806" t="str">
        <f>IFERROR(IF(B49="","",IF($P$3=$AT$8,'Statement of Marks'!P48,IF($P$3=$AT$9,'Statement of Marks'!AD48,IF($P$3=$AT$10,'Statement of Marks'!AU48,IF($P$3=$AT$11,'Statement of Marks'!BR48,IF($P$3=$AT$12,'Statement of Marks'!CO48,IF($P$3=$AT$13,'Statement of Marks'!DM48,IF($P$3=$AT$14,"",IF($P$3=$AT$15,'Statement of Marks'!FD48,""))))))))),"")</f>
        <v/>
      </c>
      <c r="U49" s="806" t="str">
        <f>IFERROR(IF(B49="","",IF($P$3=$AT$8,"",IF($P$3=$AT$9,"",IF($P$3=$AT$10,'Statement of Marks'!AV48,IF($P$3=$AT$11,'Statement of Marks'!BS48,IF($P$3=$AT$12,'Statement of Marks'!CP48,IF($P$3=$AT$13,'Statement of Marks'!DN48,IF($P$3=$AT$14,"",IF($P$3=$AT$15,"",""))))))))),"")</f>
        <v/>
      </c>
      <c r="V49" s="818" t="str">
        <f>IFERROR(IF(B49="","",IF(AND(T49="",U49="",$P$3=""),"",IF($P$3=$AT$14,'Statement of Marks'!EE48,SUM(T49,U49)))),"")</f>
        <v/>
      </c>
      <c r="W49" s="808" t="str">
        <f t="shared" si="5"/>
        <v/>
      </c>
      <c r="X49" s="809">
        <f t="shared" si="6"/>
        <v>0</v>
      </c>
      <c r="Y49" s="809">
        <f t="shared" si="7"/>
        <v>0</v>
      </c>
      <c r="Z49" s="809">
        <f t="shared" si="8"/>
        <v>0</v>
      </c>
      <c r="AA49" s="809" t="str">
        <f t="shared" si="9"/>
        <v/>
      </c>
      <c r="AB49" s="809" t="str">
        <f t="shared" si="10"/>
        <v/>
      </c>
      <c r="AC49" s="809" t="str">
        <f t="shared" si="11"/>
        <v/>
      </c>
      <c r="AD49" s="809" t="str">
        <f t="shared" si="12"/>
        <v/>
      </c>
      <c r="AE49" s="810" t="str">
        <f t="shared" si="13"/>
        <v/>
      </c>
      <c r="AF49" s="811" t="str">
        <f t="shared" si="14"/>
        <v/>
      </c>
      <c r="AG49" s="812" t="str">
        <f t="shared" si="15"/>
        <v/>
      </c>
      <c r="AW49" s="17" t="str">
        <f t="shared" si="16"/>
        <v/>
      </c>
      <c r="AX49" s="17" t="str">
        <f t="shared" si="17"/>
        <v/>
      </c>
      <c r="BM49" s="17" t="str">
        <f>IFERROR(VLOOKUP(B49,'Statement of Marks'!$B$8:'Statement of Marks'!$HI$207,37,0),"")</f>
        <v>A</v>
      </c>
      <c r="BN49" s="17" t="str">
        <f>IFERROR(VLOOKUP(B49,'Statement of Marks'!$B$8:'Statement of Marks'!$HI$207,60,0),"")</f>
        <v>A</v>
      </c>
      <c r="BO49" s="17" t="str">
        <f>IFERROR(VLOOKUP(B49,'Statement of Marks'!$B$8:'Statement of Marks'!$HI$207,83,0),"")</f>
        <v>A</v>
      </c>
      <c r="BP49" s="17" t="str">
        <f>IFERROR(VLOOKUP(B49,'Statement of Marks'!$B$8:'Statement of Marks'!$HI$207,107,0),"")</f>
        <v/>
      </c>
    </row>
    <row r="50" spans="1:68">
      <c r="A50" s="800">
        <f>IF('Statement of Marks'!A49="","",'Statement of Marks'!A49)</f>
        <v>42</v>
      </c>
      <c r="B50" s="801" t="str">
        <f>IF(OR($E$3="",$P$3=""),"",IF('Statement of Marks'!B49="","",'Statement of Marks'!B49))</f>
        <v/>
      </c>
      <c r="C50" s="810" t="str">
        <f>IF(OR($E$3="",$P$3=""),"",IF('Marks Entry'!C49="","",'Marks Entry'!C49))</f>
        <v/>
      </c>
      <c r="D50" s="802" t="str">
        <f>IF(OR($E$3="",$P$3=""),"",IF('Statement of Marks'!C49="","",'Statement of Marks'!C49))</f>
        <v/>
      </c>
      <c r="E50" s="803" t="str">
        <f>IF(OR($E$3="",$P$3=""),"",IF('Statement of Marks'!D49="","",'Statement of Marks'!D49))</f>
        <v/>
      </c>
      <c r="F50" s="804" t="str">
        <f>IF(OR($E$3="",$P$3=""),"",IF('Statement of Marks'!E49="","",'Statement of Marks'!E49))</f>
        <v/>
      </c>
      <c r="G50" s="804" t="str">
        <f>IF(OR($E$3="",$P$3=""),"",IF('Statement of Marks'!F49="","",'Statement of Marks'!F49))</f>
        <v/>
      </c>
      <c r="H50" s="804" t="str">
        <f>IF(OR($E$3="",$P$3=""),"",IF('Statement of Marks'!G49="","",'Statement of Marks'!G49))</f>
        <v/>
      </c>
      <c r="I50" s="805" t="str">
        <f>IF(OR($E$3="",$P$3=""),"",IF('Statement of Marks'!H49="","",'Statement of Marks'!H49))</f>
        <v/>
      </c>
      <c r="J50" s="805" t="str">
        <f>IF(OR($E$3="",$P$3=""),"",IF('Statement of Marks'!I49="","",'Statement of Marks'!I49))</f>
        <v/>
      </c>
      <c r="K50" s="805" t="str">
        <f>IFERROR(IF(B50="","",IF($P$3=$AT$10,IF(AND(BM50="A"),'Marks Entry'!$U$2,IF(AND(BM50="B"),'Marks Entry'!$Y$2,IF(AND(BM50="C"),'Marks Entry'!$AA$2,""))),IF($P$3=$AT$11,IF(AND(BN50="A"),'Marks Entry'!$AC$2,IF(AND(BN50="B"),'Marks Entry'!$AG$2,IF(AND(BN50="C"),'Marks Entry'!$AI$2,""))),IF($P$3=$AT$12,IF(AND(BO50="A"),'Marks Entry'!$AK$2,IF(AND(BO50="B"),'Marks Entry'!$AO$2,IF(AND(BO50="C"),'Marks Entry'!$AQ$2,""))),IF($P$3=$AT$13,IF(AND(BP50="A"),'Marks Entry'!$AS$2,IF(AND(BP50="B"),'Marks Entry'!$AW$2,IF(AND(BP50="C"),'Marks Entry'!$AY$2,""))),"-"))))),"")</f>
        <v/>
      </c>
      <c r="L50" s="806" t="str">
        <f>IFERROR(IF(B50="","",IF($P$3=$AT$8,'Statement of Marks'!J49,IF($P$3=$AT$9,'Statement of Marks'!X49,IF($P$3=$AT$10,'Statement of Marks'!AM49,IF($P$3=$AT$11,'Statement of Marks'!BJ49,IF($P$3=$AT$12,'Statement of Marks'!CG49,IF($P$3=$AT$13,'Statement of Marks'!DE49,IF($P$3=$AT$14,"",IF($P$3=$AT$15,'Statement of Marks'!EY49,""))))))))),"")</f>
        <v/>
      </c>
      <c r="M50" s="806" t="str">
        <f>IFERROR(IF(B50="","",IF($P$3=$AT$8,'Statement of Marks'!K49,IF($P$3=$AT$9,'Statement of Marks'!Y49,IF($P$3=$AT$10,'Statement of Marks'!AN49,IF($P$3=$AT$11,'Statement of Marks'!BK49,IF($P$3=$AT$12,'Statement of Marks'!CH49,IF($P$3=$AT$13,'Statement of Marks'!DF49,IF($P$3=$AT$14,"",IF($P$3=$AT$15,'Statement of Marks'!EZ49,""))))))))),"")</f>
        <v/>
      </c>
      <c r="N50" s="806" t="str">
        <f>IFERROR(IF(B50="","",IF($P$3=$AT$8,'Statement of Marks'!L49,IF($P$3=$AT$9,'Statement of Marks'!Z49,IF($P$3=$AT$10,'Statement of Marks'!AO49,IF($P$3=$AT$11,'Statement of Marks'!BL49,IF($P$3=$AT$12,'Statement of Marks'!CI49,IF($P$3=$AT$13,'Statement of Marks'!DG49,IF($P$3=$AT$14,"",IF($P$3=$AT$15,'Statement of Marks'!FA49,""))))))))),"")</f>
        <v/>
      </c>
      <c r="O50" s="807" t="str">
        <f t="shared" si="4"/>
        <v/>
      </c>
      <c r="P50" s="806" t="str">
        <f>IFERROR(IF(B50="","",IF($P$3=$AT$8,'Statement of Marks'!N49,IF($P$3=$AT$9,'Statement of Marks'!AB49,IF($P$3=$AT$10,'Statement of Marks'!AQ49,IF($P$3=$AT$11,'Statement of Marks'!BN49,IF($P$3=$AT$12,'Statement of Marks'!CK49,IF($P$3=$AT$13,'Statement of Marks'!DI49,IF($P$3=$AT$14,"",IF($P$3=$AT$15,'Statement of Marks'!FC49,""))))))))),"")</f>
        <v/>
      </c>
      <c r="Q50" s="806" t="str">
        <f>IFERROR(IF(B50="","",IF($P$3=$AT$8,"",IF($P$3=$AT$9,"",IF($P$3=$AT$10,'Statement of Marks'!AR49,IF($P$3=$AT$11,'Statement of Marks'!BO49,IF($P$3=$AT$12,'Statement of Marks'!CL49,IF($P$3=$AT$13,'Statement of Marks'!DJ49,IF($P$3=$AT$14,"",IF($P$3=$AT$15,"",""))))))))),"")</f>
        <v/>
      </c>
      <c r="R50" s="818" t="str">
        <f>IFERROR(IF(B50="","",IF(AND(P50="",Q50="",$P$3=""),"",IF($P$3=$AT$14,'Statement of Marks'!EC49,SUM(P50,Q50)))),"")</f>
        <v/>
      </c>
      <c r="S50" s="817" t="str">
        <f>IFERROR(IF(B50="","",IF($P$3=$AT$14,'Statement of Marks'!ED49,IF(AND(O50="NA",P50="NA",Q50="NA"),"NA",IF(AND(O50="",P50="",Q50=""),"",SUM(O50,P50,Q50))))),"")</f>
        <v/>
      </c>
      <c r="T50" s="806" t="str">
        <f>IFERROR(IF(B50="","",IF($P$3=$AT$8,'Statement of Marks'!P49,IF($P$3=$AT$9,'Statement of Marks'!AD49,IF($P$3=$AT$10,'Statement of Marks'!AU49,IF($P$3=$AT$11,'Statement of Marks'!BR49,IF($P$3=$AT$12,'Statement of Marks'!CO49,IF($P$3=$AT$13,'Statement of Marks'!DM49,IF($P$3=$AT$14,"",IF($P$3=$AT$15,'Statement of Marks'!FD49,""))))))))),"")</f>
        <v/>
      </c>
      <c r="U50" s="806" t="str">
        <f>IFERROR(IF(B50="","",IF($P$3=$AT$8,"",IF($P$3=$AT$9,"",IF($P$3=$AT$10,'Statement of Marks'!AV49,IF($P$3=$AT$11,'Statement of Marks'!BS49,IF($P$3=$AT$12,'Statement of Marks'!CP49,IF($P$3=$AT$13,'Statement of Marks'!DN49,IF($P$3=$AT$14,"",IF($P$3=$AT$15,"",""))))))))),"")</f>
        <v/>
      </c>
      <c r="V50" s="818" t="str">
        <f>IFERROR(IF(B50="","",IF(AND(T50="",U50="",$P$3=""),"",IF($P$3=$AT$14,'Statement of Marks'!EE49,SUM(T50,U50)))),"")</f>
        <v/>
      </c>
      <c r="W50" s="808" t="str">
        <f t="shared" si="5"/>
        <v/>
      </c>
      <c r="X50" s="809">
        <f t="shared" si="6"/>
        <v>0</v>
      </c>
      <c r="Y50" s="809">
        <f t="shared" si="7"/>
        <v>0</v>
      </c>
      <c r="Z50" s="809">
        <f t="shared" si="8"/>
        <v>0</v>
      </c>
      <c r="AA50" s="809" t="str">
        <f t="shared" si="9"/>
        <v/>
      </c>
      <c r="AB50" s="809" t="str">
        <f t="shared" si="10"/>
        <v/>
      </c>
      <c r="AC50" s="809" t="str">
        <f t="shared" si="11"/>
        <v/>
      </c>
      <c r="AD50" s="809" t="str">
        <f t="shared" si="12"/>
        <v/>
      </c>
      <c r="AE50" s="810" t="str">
        <f t="shared" si="13"/>
        <v/>
      </c>
      <c r="AF50" s="811" t="str">
        <f t="shared" si="14"/>
        <v/>
      </c>
      <c r="AG50" s="812" t="str">
        <f t="shared" si="15"/>
        <v/>
      </c>
      <c r="AW50" s="17" t="str">
        <f t="shared" si="16"/>
        <v/>
      </c>
      <c r="AX50" s="17" t="str">
        <f t="shared" si="17"/>
        <v/>
      </c>
      <c r="BM50" s="17" t="str">
        <f>IFERROR(VLOOKUP(B50,'Statement of Marks'!$B$8:'Statement of Marks'!$HI$207,37,0),"")</f>
        <v>A</v>
      </c>
      <c r="BN50" s="17" t="str">
        <f>IFERROR(VLOOKUP(B50,'Statement of Marks'!$B$8:'Statement of Marks'!$HI$207,60,0),"")</f>
        <v>A</v>
      </c>
      <c r="BO50" s="17" t="str">
        <f>IFERROR(VLOOKUP(B50,'Statement of Marks'!$B$8:'Statement of Marks'!$HI$207,83,0),"")</f>
        <v>A</v>
      </c>
      <c r="BP50" s="17" t="str">
        <f>IFERROR(VLOOKUP(B50,'Statement of Marks'!$B$8:'Statement of Marks'!$HI$207,107,0),"")</f>
        <v/>
      </c>
    </row>
    <row r="51" spans="1:68">
      <c r="A51" s="800">
        <f>IF('Statement of Marks'!A50="","",'Statement of Marks'!A50)</f>
        <v>43</v>
      </c>
      <c r="B51" s="801" t="str">
        <f>IF(OR($E$3="",$P$3=""),"",IF('Statement of Marks'!B50="","",'Statement of Marks'!B50))</f>
        <v/>
      </c>
      <c r="C51" s="810" t="str">
        <f>IF(OR($E$3="",$P$3=""),"",IF('Marks Entry'!C50="","",'Marks Entry'!C50))</f>
        <v/>
      </c>
      <c r="D51" s="802" t="str">
        <f>IF(OR($E$3="",$P$3=""),"",IF('Statement of Marks'!C50="","",'Statement of Marks'!C50))</f>
        <v/>
      </c>
      <c r="E51" s="803" t="str">
        <f>IF(OR($E$3="",$P$3=""),"",IF('Statement of Marks'!D50="","",'Statement of Marks'!D50))</f>
        <v/>
      </c>
      <c r="F51" s="804" t="str">
        <f>IF(OR($E$3="",$P$3=""),"",IF('Statement of Marks'!E50="","",'Statement of Marks'!E50))</f>
        <v/>
      </c>
      <c r="G51" s="804" t="str">
        <f>IF(OR($E$3="",$P$3=""),"",IF('Statement of Marks'!F50="","",'Statement of Marks'!F50))</f>
        <v/>
      </c>
      <c r="H51" s="804" t="str">
        <f>IF(OR($E$3="",$P$3=""),"",IF('Statement of Marks'!G50="","",'Statement of Marks'!G50))</f>
        <v/>
      </c>
      <c r="I51" s="805" t="str">
        <f>IF(OR($E$3="",$P$3=""),"",IF('Statement of Marks'!H50="","",'Statement of Marks'!H50))</f>
        <v/>
      </c>
      <c r="J51" s="805" t="str">
        <f>IF(OR($E$3="",$P$3=""),"",IF('Statement of Marks'!I50="","",'Statement of Marks'!I50))</f>
        <v/>
      </c>
      <c r="K51" s="805" t="str">
        <f>IFERROR(IF(B51="","",IF($P$3=$AT$10,IF(AND(BM51="A"),'Marks Entry'!$U$2,IF(AND(BM51="B"),'Marks Entry'!$Y$2,IF(AND(BM51="C"),'Marks Entry'!$AA$2,""))),IF($P$3=$AT$11,IF(AND(BN51="A"),'Marks Entry'!$AC$2,IF(AND(BN51="B"),'Marks Entry'!$AG$2,IF(AND(BN51="C"),'Marks Entry'!$AI$2,""))),IF($P$3=$AT$12,IF(AND(BO51="A"),'Marks Entry'!$AK$2,IF(AND(BO51="B"),'Marks Entry'!$AO$2,IF(AND(BO51="C"),'Marks Entry'!$AQ$2,""))),IF($P$3=$AT$13,IF(AND(BP51="A"),'Marks Entry'!$AS$2,IF(AND(BP51="B"),'Marks Entry'!$AW$2,IF(AND(BP51="C"),'Marks Entry'!$AY$2,""))),"-"))))),"")</f>
        <v/>
      </c>
      <c r="L51" s="806" t="str">
        <f>IFERROR(IF(B51="","",IF($P$3=$AT$8,'Statement of Marks'!J50,IF($P$3=$AT$9,'Statement of Marks'!X50,IF($P$3=$AT$10,'Statement of Marks'!AM50,IF($P$3=$AT$11,'Statement of Marks'!BJ50,IF($P$3=$AT$12,'Statement of Marks'!CG50,IF($P$3=$AT$13,'Statement of Marks'!DE50,IF($P$3=$AT$14,"",IF($P$3=$AT$15,'Statement of Marks'!EY50,""))))))))),"")</f>
        <v/>
      </c>
      <c r="M51" s="806" t="str">
        <f>IFERROR(IF(B51="","",IF($P$3=$AT$8,'Statement of Marks'!K50,IF($P$3=$AT$9,'Statement of Marks'!Y50,IF($P$3=$AT$10,'Statement of Marks'!AN50,IF($P$3=$AT$11,'Statement of Marks'!BK50,IF($P$3=$AT$12,'Statement of Marks'!CH50,IF($P$3=$AT$13,'Statement of Marks'!DF50,IF($P$3=$AT$14,"",IF($P$3=$AT$15,'Statement of Marks'!EZ50,""))))))))),"")</f>
        <v/>
      </c>
      <c r="N51" s="806" t="str">
        <f>IFERROR(IF(B51="","",IF($P$3=$AT$8,'Statement of Marks'!L50,IF($P$3=$AT$9,'Statement of Marks'!Z50,IF($P$3=$AT$10,'Statement of Marks'!AO50,IF($P$3=$AT$11,'Statement of Marks'!BL50,IF($P$3=$AT$12,'Statement of Marks'!CI50,IF($P$3=$AT$13,'Statement of Marks'!DG50,IF($P$3=$AT$14,"",IF($P$3=$AT$15,'Statement of Marks'!FA50,""))))))))),"")</f>
        <v/>
      </c>
      <c r="O51" s="807" t="str">
        <f t="shared" si="4"/>
        <v/>
      </c>
      <c r="P51" s="806" t="str">
        <f>IFERROR(IF(B51="","",IF($P$3=$AT$8,'Statement of Marks'!N50,IF($P$3=$AT$9,'Statement of Marks'!AB50,IF($P$3=$AT$10,'Statement of Marks'!AQ50,IF($P$3=$AT$11,'Statement of Marks'!BN50,IF($P$3=$AT$12,'Statement of Marks'!CK50,IF($P$3=$AT$13,'Statement of Marks'!DI50,IF($P$3=$AT$14,"",IF($P$3=$AT$15,'Statement of Marks'!FC50,""))))))))),"")</f>
        <v/>
      </c>
      <c r="Q51" s="806" t="str">
        <f>IFERROR(IF(B51="","",IF($P$3=$AT$8,"",IF($P$3=$AT$9,"",IF($P$3=$AT$10,'Statement of Marks'!AR50,IF($P$3=$AT$11,'Statement of Marks'!BO50,IF($P$3=$AT$12,'Statement of Marks'!CL50,IF($P$3=$AT$13,'Statement of Marks'!DJ50,IF($P$3=$AT$14,"",IF($P$3=$AT$15,"",""))))))))),"")</f>
        <v/>
      </c>
      <c r="R51" s="818" t="str">
        <f>IFERROR(IF(B51="","",IF(AND(P51="",Q51="",$P$3=""),"",IF($P$3=$AT$14,'Statement of Marks'!EC50,SUM(P51,Q51)))),"")</f>
        <v/>
      </c>
      <c r="S51" s="817" t="str">
        <f>IFERROR(IF(B51="","",IF($P$3=$AT$14,'Statement of Marks'!ED50,IF(AND(O51="NA",P51="NA",Q51="NA"),"NA",IF(AND(O51="",P51="",Q51=""),"",SUM(O51,P51,Q51))))),"")</f>
        <v/>
      </c>
      <c r="T51" s="806" t="str">
        <f>IFERROR(IF(B51="","",IF($P$3=$AT$8,'Statement of Marks'!P50,IF($P$3=$AT$9,'Statement of Marks'!AD50,IF($P$3=$AT$10,'Statement of Marks'!AU50,IF($P$3=$AT$11,'Statement of Marks'!BR50,IF($P$3=$AT$12,'Statement of Marks'!CO50,IF($P$3=$AT$13,'Statement of Marks'!DM50,IF($P$3=$AT$14,"",IF($P$3=$AT$15,'Statement of Marks'!FD50,""))))))))),"")</f>
        <v/>
      </c>
      <c r="U51" s="806" t="str">
        <f>IFERROR(IF(B51="","",IF($P$3=$AT$8,"",IF($P$3=$AT$9,"",IF($P$3=$AT$10,'Statement of Marks'!AV50,IF($P$3=$AT$11,'Statement of Marks'!BS50,IF($P$3=$AT$12,'Statement of Marks'!CP50,IF($P$3=$AT$13,'Statement of Marks'!DN50,IF($P$3=$AT$14,"",IF($P$3=$AT$15,"",""))))))))),"")</f>
        <v/>
      </c>
      <c r="V51" s="818" t="str">
        <f>IFERROR(IF(B51="","",IF(AND(T51="",U51="",$P$3=""),"",IF($P$3=$AT$14,'Statement of Marks'!EE50,SUM(T51,U51)))),"")</f>
        <v/>
      </c>
      <c r="W51" s="808" t="str">
        <f t="shared" si="5"/>
        <v/>
      </c>
      <c r="X51" s="809">
        <f t="shared" si="6"/>
        <v>0</v>
      </c>
      <c r="Y51" s="809">
        <f t="shared" si="7"/>
        <v>0</v>
      </c>
      <c r="Z51" s="809">
        <f t="shared" si="8"/>
        <v>0</v>
      </c>
      <c r="AA51" s="809" t="str">
        <f t="shared" si="9"/>
        <v/>
      </c>
      <c r="AB51" s="809" t="str">
        <f t="shared" si="10"/>
        <v/>
      </c>
      <c r="AC51" s="809" t="str">
        <f t="shared" si="11"/>
        <v/>
      </c>
      <c r="AD51" s="809" t="str">
        <f t="shared" si="12"/>
        <v/>
      </c>
      <c r="AE51" s="810" t="str">
        <f t="shared" si="13"/>
        <v/>
      </c>
      <c r="AF51" s="811" t="str">
        <f t="shared" si="14"/>
        <v/>
      </c>
      <c r="AG51" s="812" t="str">
        <f t="shared" si="15"/>
        <v/>
      </c>
      <c r="AW51" s="17" t="str">
        <f t="shared" si="16"/>
        <v/>
      </c>
      <c r="AX51" s="17" t="str">
        <f t="shared" si="17"/>
        <v/>
      </c>
      <c r="BM51" s="17" t="str">
        <f>IFERROR(VLOOKUP(B51,'Statement of Marks'!$B$8:'Statement of Marks'!$HI$207,37,0),"")</f>
        <v>A</v>
      </c>
      <c r="BN51" s="17" t="str">
        <f>IFERROR(VLOOKUP(B51,'Statement of Marks'!$B$8:'Statement of Marks'!$HI$207,60,0),"")</f>
        <v>A</v>
      </c>
      <c r="BO51" s="17" t="str">
        <f>IFERROR(VLOOKUP(B51,'Statement of Marks'!$B$8:'Statement of Marks'!$HI$207,83,0),"")</f>
        <v>A</v>
      </c>
      <c r="BP51" s="17" t="str">
        <f>IFERROR(VLOOKUP(B51,'Statement of Marks'!$B$8:'Statement of Marks'!$HI$207,107,0),"")</f>
        <v/>
      </c>
    </row>
    <row r="52" spans="1:68">
      <c r="A52" s="800">
        <f>IF('Statement of Marks'!A51="","",'Statement of Marks'!A51)</f>
        <v>44</v>
      </c>
      <c r="B52" s="801" t="str">
        <f>IF(OR($E$3="",$P$3=""),"",IF('Statement of Marks'!B51="","",'Statement of Marks'!B51))</f>
        <v/>
      </c>
      <c r="C52" s="810" t="str">
        <f>IF(OR($E$3="",$P$3=""),"",IF('Marks Entry'!C51="","",'Marks Entry'!C51))</f>
        <v/>
      </c>
      <c r="D52" s="802" t="str">
        <f>IF(OR($E$3="",$P$3=""),"",IF('Statement of Marks'!C51="","",'Statement of Marks'!C51))</f>
        <v/>
      </c>
      <c r="E52" s="803" t="str">
        <f>IF(OR($E$3="",$P$3=""),"",IF('Statement of Marks'!D51="","",'Statement of Marks'!D51))</f>
        <v/>
      </c>
      <c r="F52" s="804" t="str">
        <f>IF(OR($E$3="",$P$3=""),"",IF('Statement of Marks'!E51="","",'Statement of Marks'!E51))</f>
        <v/>
      </c>
      <c r="G52" s="804" t="str">
        <f>IF(OR($E$3="",$P$3=""),"",IF('Statement of Marks'!F51="","",'Statement of Marks'!F51))</f>
        <v/>
      </c>
      <c r="H52" s="804" t="str">
        <f>IF(OR($E$3="",$P$3=""),"",IF('Statement of Marks'!G51="","",'Statement of Marks'!G51))</f>
        <v/>
      </c>
      <c r="I52" s="805" t="str">
        <f>IF(OR($E$3="",$P$3=""),"",IF('Statement of Marks'!H51="","",'Statement of Marks'!H51))</f>
        <v/>
      </c>
      <c r="J52" s="805" t="str">
        <f>IF(OR($E$3="",$P$3=""),"",IF('Statement of Marks'!I51="","",'Statement of Marks'!I51))</f>
        <v/>
      </c>
      <c r="K52" s="805" t="str">
        <f>IFERROR(IF(B52="","",IF($P$3=$AT$10,IF(AND(BM52="A"),'Marks Entry'!$U$2,IF(AND(BM52="B"),'Marks Entry'!$Y$2,IF(AND(BM52="C"),'Marks Entry'!$AA$2,""))),IF($P$3=$AT$11,IF(AND(BN52="A"),'Marks Entry'!$AC$2,IF(AND(BN52="B"),'Marks Entry'!$AG$2,IF(AND(BN52="C"),'Marks Entry'!$AI$2,""))),IF($P$3=$AT$12,IF(AND(BO52="A"),'Marks Entry'!$AK$2,IF(AND(BO52="B"),'Marks Entry'!$AO$2,IF(AND(BO52="C"),'Marks Entry'!$AQ$2,""))),IF($P$3=$AT$13,IF(AND(BP52="A"),'Marks Entry'!$AS$2,IF(AND(BP52="B"),'Marks Entry'!$AW$2,IF(AND(BP52="C"),'Marks Entry'!$AY$2,""))),"-"))))),"")</f>
        <v/>
      </c>
      <c r="L52" s="806" t="str">
        <f>IFERROR(IF(B52="","",IF($P$3=$AT$8,'Statement of Marks'!J51,IF($P$3=$AT$9,'Statement of Marks'!X51,IF($P$3=$AT$10,'Statement of Marks'!AM51,IF($P$3=$AT$11,'Statement of Marks'!BJ51,IF($P$3=$AT$12,'Statement of Marks'!CG51,IF($P$3=$AT$13,'Statement of Marks'!DE51,IF($P$3=$AT$14,"",IF($P$3=$AT$15,'Statement of Marks'!EY51,""))))))))),"")</f>
        <v/>
      </c>
      <c r="M52" s="806" t="str">
        <f>IFERROR(IF(B52="","",IF($P$3=$AT$8,'Statement of Marks'!K51,IF($P$3=$AT$9,'Statement of Marks'!Y51,IF($P$3=$AT$10,'Statement of Marks'!AN51,IF($P$3=$AT$11,'Statement of Marks'!BK51,IF($P$3=$AT$12,'Statement of Marks'!CH51,IF($P$3=$AT$13,'Statement of Marks'!DF51,IF($P$3=$AT$14,"",IF($P$3=$AT$15,'Statement of Marks'!EZ51,""))))))))),"")</f>
        <v/>
      </c>
      <c r="N52" s="806" t="str">
        <f>IFERROR(IF(B52="","",IF($P$3=$AT$8,'Statement of Marks'!L51,IF($P$3=$AT$9,'Statement of Marks'!Z51,IF($P$3=$AT$10,'Statement of Marks'!AO51,IF($P$3=$AT$11,'Statement of Marks'!BL51,IF($P$3=$AT$12,'Statement of Marks'!CI51,IF($P$3=$AT$13,'Statement of Marks'!DG51,IF($P$3=$AT$14,"",IF($P$3=$AT$15,'Statement of Marks'!FA51,""))))))))),"")</f>
        <v/>
      </c>
      <c r="O52" s="807" t="str">
        <f t="shared" si="4"/>
        <v/>
      </c>
      <c r="P52" s="806" t="str">
        <f>IFERROR(IF(B52="","",IF($P$3=$AT$8,'Statement of Marks'!N51,IF($P$3=$AT$9,'Statement of Marks'!AB51,IF($P$3=$AT$10,'Statement of Marks'!AQ51,IF($P$3=$AT$11,'Statement of Marks'!BN51,IF($P$3=$AT$12,'Statement of Marks'!CK51,IF($P$3=$AT$13,'Statement of Marks'!DI51,IF($P$3=$AT$14,"",IF($P$3=$AT$15,'Statement of Marks'!FC51,""))))))))),"")</f>
        <v/>
      </c>
      <c r="Q52" s="806" t="str">
        <f>IFERROR(IF(B52="","",IF($P$3=$AT$8,"",IF($P$3=$AT$9,"",IF($P$3=$AT$10,'Statement of Marks'!AR51,IF($P$3=$AT$11,'Statement of Marks'!BO51,IF($P$3=$AT$12,'Statement of Marks'!CL51,IF($P$3=$AT$13,'Statement of Marks'!DJ51,IF($P$3=$AT$14,"",IF($P$3=$AT$15,"",""))))))))),"")</f>
        <v/>
      </c>
      <c r="R52" s="818" t="str">
        <f>IFERROR(IF(B52="","",IF(AND(P52="",Q52="",$P$3=""),"",IF($P$3=$AT$14,'Statement of Marks'!EC51,SUM(P52,Q52)))),"")</f>
        <v/>
      </c>
      <c r="S52" s="817" t="str">
        <f>IFERROR(IF(B52="","",IF($P$3=$AT$14,'Statement of Marks'!ED51,IF(AND(O52="NA",P52="NA",Q52="NA"),"NA",IF(AND(O52="",P52="",Q52=""),"",SUM(O52,P52,Q52))))),"")</f>
        <v/>
      </c>
      <c r="T52" s="806" t="str">
        <f>IFERROR(IF(B52="","",IF($P$3=$AT$8,'Statement of Marks'!P51,IF($P$3=$AT$9,'Statement of Marks'!AD51,IF($P$3=$AT$10,'Statement of Marks'!AU51,IF($P$3=$AT$11,'Statement of Marks'!BR51,IF($P$3=$AT$12,'Statement of Marks'!CO51,IF($P$3=$AT$13,'Statement of Marks'!DM51,IF($P$3=$AT$14,"",IF($P$3=$AT$15,'Statement of Marks'!FD51,""))))))))),"")</f>
        <v/>
      </c>
      <c r="U52" s="806" t="str">
        <f>IFERROR(IF(B52="","",IF($P$3=$AT$8,"",IF($P$3=$AT$9,"",IF($P$3=$AT$10,'Statement of Marks'!AV51,IF($P$3=$AT$11,'Statement of Marks'!BS51,IF($P$3=$AT$12,'Statement of Marks'!CP51,IF($P$3=$AT$13,'Statement of Marks'!DN51,IF($P$3=$AT$14,"",IF($P$3=$AT$15,"",""))))))))),"")</f>
        <v/>
      </c>
      <c r="V52" s="818" t="str">
        <f>IFERROR(IF(B52="","",IF(AND(T52="",U52="",$P$3=""),"",IF($P$3=$AT$14,'Statement of Marks'!EE51,SUM(T52,U52)))),"")</f>
        <v/>
      </c>
      <c r="W52" s="808" t="str">
        <f t="shared" si="5"/>
        <v/>
      </c>
      <c r="X52" s="809">
        <f t="shared" si="6"/>
        <v>0</v>
      </c>
      <c r="Y52" s="809">
        <f t="shared" si="7"/>
        <v>0</v>
      </c>
      <c r="Z52" s="809">
        <f t="shared" si="8"/>
        <v>0</v>
      </c>
      <c r="AA52" s="809" t="str">
        <f t="shared" si="9"/>
        <v/>
      </c>
      <c r="AB52" s="809" t="str">
        <f t="shared" si="10"/>
        <v/>
      </c>
      <c r="AC52" s="809" t="str">
        <f t="shared" si="11"/>
        <v/>
      </c>
      <c r="AD52" s="809" t="str">
        <f t="shared" si="12"/>
        <v/>
      </c>
      <c r="AE52" s="810" t="str">
        <f t="shared" si="13"/>
        <v/>
      </c>
      <c r="AF52" s="811" t="str">
        <f t="shared" si="14"/>
        <v/>
      </c>
      <c r="AG52" s="812" t="str">
        <f t="shared" si="15"/>
        <v/>
      </c>
      <c r="AW52" s="17" t="str">
        <f t="shared" si="16"/>
        <v/>
      </c>
      <c r="AX52" s="17" t="str">
        <f t="shared" si="17"/>
        <v/>
      </c>
      <c r="BM52" s="17" t="str">
        <f>IFERROR(VLOOKUP(B52,'Statement of Marks'!$B$8:'Statement of Marks'!$HI$207,37,0),"")</f>
        <v>A</v>
      </c>
      <c r="BN52" s="17" t="str">
        <f>IFERROR(VLOOKUP(B52,'Statement of Marks'!$B$8:'Statement of Marks'!$HI$207,60,0),"")</f>
        <v>A</v>
      </c>
      <c r="BO52" s="17" t="str">
        <f>IFERROR(VLOOKUP(B52,'Statement of Marks'!$B$8:'Statement of Marks'!$HI$207,83,0),"")</f>
        <v>A</v>
      </c>
      <c r="BP52" s="17" t="str">
        <f>IFERROR(VLOOKUP(B52,'Statement of Marks'!$B$8:'Statement of Marks'!$HI$207,107,0),"")</f>
        <v/>
      </c>
    </row>
    <row r="53" spans="1:68">
      <c r="A53" s="800">
        <f>IF('Statement of Marks'!A52="","",'Statement of Marks'!A52)</f>
        <v>45</v>
      </c>
      <c r="B53" s="801" t="str">
        <f>IF(OR($E$3="",$P$3=""),"",IF('Statement of Marks'!B52="","",'Statement of Marks'!B52))</f>
        <v/>
      </c>
      <c r="C53" s="810" t="str">
        <f>IF(OR($E$3="",$P$3=""),"",IF('Marks Entry'!C52="","",'Marks Entry'!C52))</f>
        <v/>
      </c>
      <c r="D53" s="802" t="str">
        <f>IF(OR($E$3="",$P$3=""),"",IF('Statement of Marks'!C52="","",'Statement of Marks'!C52))</f>
        <v/>
      </c>
      <c r="E53" s="803" t="str">
        <f>IF(OR($E$3="",$P$3=""),"",IF('Statement of Marks'!D52="","",'Statement of Marks'!D52))</f>
        <v/>
      </c>
      <c r="F53" s="804" t="str">
        <f>IF(OR($E$3="",$P$3=""),"",IF('Statement of Marks'!E52="","",'Statement of Marks'!E52))</f>
        <v/>
      </c>
      <c r="G53" s="804" t="str">
        <f>IF(OR($E$3="",$P$3=""),"",IF('Statement of Marks'!F52="","",'Statement of Marks'!F52))</f>
        <v/>
      </c>
      <c r="H53" s="804" t="str">
        <f>IF(OR($E$3="",$P$3=""),"",IF('Statement of Marks'!G52="","",'Statement of Marks'!G52))</f>
        <v/>
      </c>
      <c r="I53" s="805" t="str">
        <f>IF(OR($E$3="",$P$3=""),"",IF('Statement of Marks'!H52="","",'Statement of Marks'!H52))</f>
        <v/>
      </c>
      <c r="J53" s="805" t="str">
        <f>IF(OR($E$3="",$P$3=""),"",IF('Statement of Marks'!I52="","",'Statement of Marks'!I52))</f>
        <v/>
      </c>
      <c r="K53" s="805" t="str">
        <f>IFERROR(IF(B53="","",IF($P$3=$AT$10,IF(AND(BM53="A"),'Marks Entry'!$U$2,IF(AND(BM53="B"),'Marks Entry'!$Y$2,IF(AND(BM53="C"),'Marks Entry'!$AA$2,""))),IF($P$3=$AT$11,IF(AND(BN53="A"),'Marks Entry'!$AC$2,IF(AND(BN53="B"),'Marks Entry'!$AG$2,IF(AND(BN53="C"),'Marks Entry'!$AI$2,""))),IF($P$3=$AT$12,IF(AND(BO53="A"),'Marks Entry'!$AK$2,IF(AND(BO53="B"),'Marks Entry'!$AO$2,IF(AND(BO53="C"),'Marks Entry'!$AQ$2,""))),IF($P$3=$AT$13,IF(AND(BP53="A"),'Marks Entry'!$AS$2,IF(AND(BP53="B"),'Marks Entry'!$AW$2,IF(AND(BP53="C"),'Marks Entry'!$AY$2,""))),"-"))))),"")</f>
        <v/>
      </c>
      <c r="L53" s="806" t="str">
        <f>IFERROR(IF(B53="","",IF($P$3=$AT$8,'Statement of Marks'!J52,IF($P$3=$AT$9,'Statement of Marks'!X52,IF($P$3=$AT$10,'Statement of Marks'!AM52,IF($P$3=$AT$11,'Statement of Marks'!BJ52,IF($P$3=$AT$12,'Statement of Marks'!CG52,IF($P$3=$AT$13,'Statement of Marks'!DE52,IF($P$3=$AT$14,"",IF($P$3=$AT$15,'Statement of Marks'!EY52,""))))))))),"")</f>
        <v/>
      </c>
      <c r="M53" s="806" t="str">
        <f>IFERROR(IF(B53="","",IF($P$3=$AT$8,'Statement of Marks'!K52,IF($P$3=$AT$9,'Statement of Marks'!Y52,IF($P$3=$AT$10,'Statement of Marks'!AN52,IF($P$3=$AT$11,'Statement of Marks'!BK52,IF($P$3=$AT$12,'Statement of Marks'!CH52,IF($P$3=$AT$13,'Statement of Marks'!DF52,IF($P$3=$AT$14,"",IF($P$3=$AT$15,'Statement of Marks'!EZ52,""))))))))),"")</f>
        <v/>
      </c>
      <c r="N53" s="806" t="str">
        <f>IFERROR(IF(B53="","",IF($P$3=$AT$8,'Statement of Marks'!L52,IF($P$3=$AT$9,'Statement of Marks'!Z52,IF($P$3=$AT$10,'Statement of Marks'!AO52,IF($P$3=$AT$11,'Statement of Marks'!BL52,IF($P$3=$AT$12,'Statement of Marks'!CI52,IF($P$3=$AT$13,'Statement of Marks'!DG52,IF($P$3=$AT$14,"",IF($P$3=$AT$15,'Statement of Marks'!FA52,""))))))))),"")</f>
        <v/>
      </c>
      <c r="O53" s="807" t="str">
        <f t="shared" si="4"/>
        <v/>
      </c>
      <c r="P53" s="806" t="str">
        <f>IFERROR(IF(B53="","",IF($P$3=$AT$8,'Statement of Marks'!N52,IF($P$3=$AT$9,'Statement of Marks'!AB52,IF($P$3=$AT$10,'Statement of Marks'!AQ52,IF($P$3=$AT$11,'Statement of Marks'!BN52,IF($P$3=$AT$12,'Statement of Marks'!CK52,IF($P$3=$AT$13,'Statement of Marks'!DI52,IF($P$3=$AT$14,"",IF($P$3=$AT$15,'Statement of Marks'!FC52,""))))))))),"")</f>
        <v/>
      </c>
      <c r="Q53" s="806" t="str">
        <f>IFERROR(IF(B53="","",IF($P$3=$AT$8,"",IF($P$3=$AT$9,"",IF($P$3=$AT$10,'Statement of Marks'!AR52,IF($P$3=$AT$11,'Statement of Marks'!BO52,IF($P$3=$AT$12,'Statement of Marks'!CL52,IF($P$3=$AT$13,'Statement of Marks'!DJ52,IF($P$3=$AT$14,"",IF($P$3=$AT$15,"",""))))))))),"")</f>
        <v/>
      </c>
      <c r="R53" s="818" t="str">
        <f>IFERROR(IF(B53="","",IF(AND(P53="",Q53="",$P$3=""),"",IF($P$3=$AT$14,'Statement of Marks'!EC52,SUM(P53,Q53)))),"")</f>
        <v/>
      </c>
      <c r="S53" s="817" t="str">
        <f>IFERROR(IF(B53="","",IF($P$3=$AT$14,'Statement of Marks'!ED52,IF(AND(O53="NA",P53="NA",Q53="NA"),"NA",IF(AND(O53="",P53="",Q53=""),"",SUM(O53,P53,Q53))))),"")</f>
        <v/>
      </c>
      <c r="T53" s="806" t="str">
        <f>IFERROR(IF(B53="","",IF($P$3=$AT$8,'Statement of Marks'!P52,IF($P$3=$AT$9,'Statement of Marks'!AD52,IF($P$3=$AT$10,'Statement of Marks'!AU52,IF($P$3=$AT$11,'Statement of Marks'!BR52,IF($P$3=$AT$12,'Statement of Marks'!CO52,IF($P$3=$AT$13,'Statement of Marks'!DM52,IF($P$3=$AT$14,"",IF($P$3=$AT$15,'Statement of Marks'!FD52,""))))))))),"")</f>
        <v/>
      </c>
      <c r="U53" s="806" t="str">
        <f>IFERROR(IF(B53="","",IF($P$3=$AT$8,"",IF($P$3=$AT$9,"",IF($P$3=$AT$10,'Statement of Marks'!AV52,IF($P$3=$AT$11,'Statement of Marks'!BS52,IF($P$3=$AT$12,'Statement of Marks'!CP52,IF($P$3=$AT$13,'Statement of Marks'!DN52,IF($P$3=$AT$14,"",IF($P$3=$AT$15,"",""))))))))),"")</f>
        <v/>
      </c>
      <c r="V53" s="818" t="str">
        <f>IFERROR(IF(B53="","",IF(AND(T53="",U53="",$P$3=""),"",IF($P$3=$AT$14,'Statement of Marks'!EE52,SUM(T53,U53)))),"")</f>
        <v/>
      </c>
      <c r="W53" s="808" t="str">
        <f t="shared" si="5"/>
        <v/>
      </c>
      <c r="X53" s="809">
        <f t="shared" si="6"/>
        <v>0</v>
      </c>
      <c r="Y53" s="809">
        <f t="shared" si="7"/>
        <v>0</v>
      </c>
      <c r="Z53" s="809">
        <f t="shared" si="8"/>
        <v>0</v>
      </c>
      <c r="AA53" s="809" t="str">
        <f t="shared" si="9"/>
        <v/>
      </c>
      <c r="AB53" s="809" t="str">
        <f t="shared" si="10"/>
        <v/>
      </c>
      <c r="AC53" s="809" t="str">
        <f t="shared" si="11"/>
        <v/>
      </c>
      <c r="AD53" s="809" t="str">
        <f t="shared" si="12"/>
        <v/>
      </c>
      <c r="AE53" s="810" t="str">
        <f t="shared" si="13"/>
        <v/>
      </c>
      <c r="AF53" s="811" t="str">
        <f t="shared" si="14"/>
        <v/>
      </c>
      <c r="AG53" s="812" t="str">
        <f t="shared" si="15"/>
        <v/>
      </c>
      <c r="AW53" s="17" t="str">
        <f t="shared" si="16"/>
        <v/>
      </c>
      <c r="AX53" s="17" t="str">
        <f t="shared" si="17"/>
        <v/>
      </c>
      <c r="BM53" s="17" t="str">
        <f>IFERROR(VLOOKUP(B53,'Statement of Marks'!$B$8:'Statement of Marks'!$HI$207,37,0),"")</f>
        <v>A</v>
      </c>
      <c r="BN53" s="17" t="str">
        <f>IFERROR(VLOOKUP(B53,'Statement of Marks'!$B$8:'Statement of Marks'!$HI$207,60,0),"")</f>
        <v>A</v>
      </c>
      <c r="BO53" s="17" t="str">
        <f>IFERROR(VLOOKUP(B53,'Statement of Marks'!$B$8:'Statement of Marks'!$HI$207,83,0),"")</f>
        <v>A</v>
      </c>
      <c r="BP53" s="17" t="str">
        <f>IFERROR(VLOOKUP(B53,'Statement of Marks'!$B$8:'Statement of Marks'!$HI$207,107,0),"")</f>
        <v/>
      </c>
    </row>
    <row r="54" spans="1:68">
      <c r="A54" s="800">
        <f>IF('Statement of Marks'!A53="","",'Statement of Marks'!A53)</f>
        <v>46</v>
      </c>
      <c r="B54" s="801" t="str">
        <f>IF(OR($E$3="",$P$3=""),"",IF('Statement of Marks'!B53="","",'Statement of Marks'!B53))</f>
        <v/>
      </c>
      <c r="C54" s="810" t="str">
        <f>IF(OR($E$3="",$P$3=""),"",IF('Marks Entry'!C53="","",'Marks Entry'!C53))</f>
        <v/>
      </c>
      <c r="D54" s="802" t="str">
        <f>IF(OR($E$3="",$P$3=""),"",IF('Statement of Marks'!C53="","",'Statement of Marks'!C53))</f>
        <v/>
      </c>
      <c r="E54" s="803" t="str">
        <f>IF(OR($E$3="",$P$3=""),"",IF('Statement of Marks'!D53="","",'Statement of Marks'!D53))</f>
        <v/>
      </c>
      <c r="F54" s="804" t="str">
        <f>IF(OR($E$3="",$P$3=""),"",IF('Statement of Marks'!E53="","",'Statement of Marks'!E53))</f>
        <v/>
      </c>
      <c r="G54" s="804" t="str">
        <f>IF(OR($E$3="",$P$3=""),"",IF('Statement of Marks'!F53="","",'Statement of Marks'!F53))</f>
        <v/>
      </c>
      <c r="H54" s="804" t="str">
        <f>IF(OR($E$3="",$P$3=""),"",IF('Statement of Marks'!G53="","",'Statement of Marks'!G53))</f>
        <v/>
      </c>
      <c r="I54" s="805" t="str">
        <f>IF(OR($E$3="",$P$3=""),"",IF('Statement of Marks'!H53="","",'Statement of Marks'!H53))</f>
        <v/>
      </c>
      <c r="J54" s="805" t="str">
        <f>IF(OR($E$3="",$P$3=""),"",IF('Statement of Marks'!I53="","",'Statement of Marks'!I53))</f>
        <v/>
      </c>
      <c r="K54" s="805" t="str">
        <f>IFERROR(IF(B54="","",IF($P$3=$AT$10,IF(AND(BM54="A"),'Marks Entry'!$U$2,IF(AND(BM54="B"),'Marks Entry'!$Y$2,IF(AND(BM54="C"),'Marks Entry'!$AA$2,""))),IF($P$3=$AT$11,IF(AND(BN54="A"),'Marks Entry'!$AC$2,IF(AND(BN54="B"),'Marks Entry'!$AG$2,IF(AND(BN54="C"),'Marks Entry'!$AI$2,""))),IF($P$3=$AT$12,IF(AND(BO54="A"),'Marks Entry'!$AK$2,IF(AND(BO54="B"),'Marks Entry'!$AO$2,IF(AND(BO54="C"),'Marks Entry'!$AQ$2,""))),IF($P$3=$AT$13,IF(AND(BP54="A"),'Marks Entry'!$AS$2,IF(AND(BP54="B"),'Marks Entry'!$AW$2,IF(AND(BP54="C"),'Marks Entry'!$AY$2,""))),"-"))))),"")</f>
        <v/>
      </c>
      <c r="L54" s="806" t="str">
        <f>IFERROR(IF(B54="","",IF($P$3=$AT$8,'Statement of Marks'!J53,IF($P$3=$AT$9,'Statement of Marks'!X53,IF($P$3=$AT$10,'Statement of Marks'!AM53,IF($P$3=$AT$11,'Statement of Marks'!BJ53,IF($P$3=$AT$12,'Statement of Marks'!CG53,IF($P$3=$AT$13,'Statement of Marks'!DE53,IF($P$3=$AT$14,"",IF($P$3=$AT$15,'Statement of Marks'!EY53,""))))))))),"")</f>
        <v/>
      </c>
      <c r="M54" s="806" t="str">
        <f>IFERROR(IF(B54="","",IF($P$3=$AT$8,'Statement of Marks'!K53,IF($P$3=$AT$9,'Statement of Marks'!Y53,IF($P$3=$AT$10,'Statement of Marks'!AN53,IF($P$3=$AT$11,'Statement of Marks'!BK53,IF($P$3=$AT$12,'Statement of Marks'!CH53,IF($P$3=$AT$13,'Statement of Marks'!DF53,IF($P$3=$AT$14,"",IF($P$3=$AT$15,'Statement of Marks'!EZ53,""))))))))),"")</f>
        <v/>
      </c>
      <c r="N54" s="806" t="str">
        <f>IFERROR(IF(B54="","",IF($P$3=$AT$8,'Statement of Marks'!L53,IF($P$3=$AT$9,'Statement of Marks'!Z53,IF($P$3=$AT$10,'Statement of Marks'!AO53,IF($P$3=$AT$11,'Statement of Marks'!BL53,IF($P$3=$AT$12,'Statement of Marks'!CI53,IF($P$3=$AT$13,'Statement of Marks'!DG53,IF($P$3=$AT$14,"",IF($P$3=$AT$15,'Statement of Marks'!FA53,""))))))))),"")</f>
        <v/>
      </c>
      <c r="O54" s="807" t="str">
        <f t="shared" si="4"/>
        <v/>
      </c>
      <c r="P54" s="806" t="str">
        <f>IFERROR(IF(B54="","",IF($P$3=$AT$8,'Statement of Marks'!N53,IF($P$3=$AT$9,'Statement of Marks'!AB53,IF($P$3=$AT$10,'Statement of Marks'!AQ53,IF($P$3=$AT$11,'Statement of Marks'!BN53,IF($P$3=$AT$12,'Statement of Marks'!CK53,IF($P$3=$AT$13,'Statement of Marks'!DI53,IF($P$3=$AT$14,"",IF($P$3=$AT$15,'Statement of Marks'!FC53,""))))))))),"")</f>
        <v/>
      </c>
      <c r="Q54" s="806" t="str">
        <f>IFERROR(IF(B54="","",IF($P$3=$AT$8,"",IF($P$3=$AT$9,"",IF($P$3=$AT$10,'Statement of Marks'!AR53,IF($P$3=$AT$11,'Statement of Marks'!BO53,IF($P$3=$AT$12,'Statement of Marks'!CL53,IF($P$3=$AT$13,'Statement of Marks'!DJ53,IF($P$3=$AT$14,"",IF($P$3=$AT$15,"",""))))))))),"")</f>
        <v/>
      </c>
      <c r="R54" s="818" t="str">
        <f>IFERROR(IF(B54="","",IF(AND(P54="",Q54="",$P$3=""),"",IF($P$3=$AT$14,'Statement of Marks'!EC53,SUM(P54,Q54)))),"")</f>
        <v/>
      </c>
      <c r="S54" s="817" t="str">
        <f>IFERROR(IF(B54="","",IF($P$3=$AT$14,'Statement of Marks'!ED53,IF(AND(O54="NA",P54="NA",Q54="NA"),"NA",IF(AND(O54="",P54="",Q54=""),"",SUM(O54,P54,Q54))))),"")</f>
        <v/>
      </c>
      <c r="T54" s="806" t="str">
        <f>IFERROR(IF(B54="","",IF($P$3=$AT$8,'Statement of Marks'!P53,IF($P$3=$AT$9,'Statement of Marks'!AD53,IF($P$3=$AT$10,'Statement of Marks'!AU53,IF($P$3=$AT$11,'Statement of Marks'!BR53,IF($P$3=$AT$12,'Statement of Marks'!CO53,IF($P$3=$AT$13,'Statement of Marks'!DM53,IF($P$3=$AT$14,"",IF($P$3=$AT$15,'Statement of Marks'!FD53,""))))))))),"")</f>
        <v/>
      </c>
      <c r="U54" s="806" t="str">
        <f>IFERROR(IF(B54="","",IF($P$3=$AT$8,"",IF($P$3=$AT$9,"",IF($P$3=$AT$10,'Statement of Marks'!AV53,IF($P$3=$AT$11,'Statement of Marks'!BS53,IF($P$3=$AT$12,'Statement of Marks'!CP53,IF($P$3=$AT$13,'Statement of Marks'!DN53,IF($P$3=$AT$14,"",IF($P$3=$AT$15,"",""))))))))),"")</f>
        <v/>
      </c>
      <c r="V54" s="818" t="str">
        <f>IFERROR(IF(B54="","",IF(AND(T54="",U54="",$P$3=""),"",IF($P$3=$AT$14,'Statement of Marks'!EE53,SUM(T54,U54)))),"")</f>
        <v/>
      </c>
      <c r="W54" s="808" t="str">
        <f t="shared" si="5"/>
        <v/>
      </c>
      <c r="X54" s="809">
        <f t="shared" si="6"/>
        <v>0</v>
      </c>
      <c r="Y54" s="809">
        <f t="shared" si="7"/>
        <v>0</v>
      </c>
      <c r="Z54" s="809">
        <f t="shared" si="8"/>
        <v>0</v>
      </c>
      <c r="AA54" s="809" t="str">
        <f t="shared" si="9"/>
        <v/>
      </c>
      <c r="AB54" s="809" t="str">
        <f t="shared" si="10"/>
        <v/>
      </c>
      <c r="AC54" s="809" t="str">
        <f t="shared" si="11"/>
        <v/>
      </c>
      <c r="AD54" s="809" t="str">
        <f t="shared" si="12"/>
        <v/>
      </c>
      <c r="AE54" s="810" t="str">
        <f t="shared" si="13"/>
        <v/>
      </c>
      <c r="AF54" s="811" t="str">
        <f t="shared" si="14"/>
        <v/>
      </c>
      <c r="AG54" s="812" t="str">
        <f t="shared" si="15"/>
        <v/>
      </c>
      <c r="AW54" s="17" t="str">
        <f t="shared" si="16"/>
        <v/>
      </c>
      <c r="AX54" s="17" t="str">
        <f t="shared" si="17"/>
        <v/>
      </c>
      <c r="BM54" s="17" t="str">
        <f>IFERROR(VLOOKUP(B54,'Statement of Marks'!$B$8:'Statement of Marks'!$HI$207,37,0),"")</f>
        <v>A</v>
      </c>
      <c r="BN54" s="17" t="str">
        <f>IFERROR(VLOOKUP(B54,'Statement of Marks'!$B$8:'Statement of Marks'!$HI$207,60,0),"")</f>
        <v>A</v>
      </c>
      <c r="BO54" s="17" t="str">
        <f>IFERROR(VLOOKUP(B54,'Statement of Marks'!$B$8:'Statement of Marks'!$HI$207,83,0),"")</f>
        <v>A</v>
      </c>
      <c r="BP54" s="17" t="str">
        <f>IFERROR(VLOOKUP(B54,'Statement of Marks'!$B$8:'Statement of Marks'!$HI$207,107,0),"")</f>
        <v/>
      </c>
    </row>
    <row r="55" spans="1:68">
      <c r="A55" s="800">
        <f>IF('Statement of Marks'!A54="","",'Statement of Marks'!A54)</f>
        <v>47</v>
      </c>
      <c r="B55" s="801" t="str">
        <f>IF(OR($E$3="",$P$3=""),"",IF('Statement of Marks'!B54="","",'Statement of Marks'!B54))</f>
        <v/>
      </c>
      <c r="C55" s="810" t="str">
        <f>IF(OR($E$3="",$P$3=""),"",IF('Marks Entry'!C54="","",'Marks Entry'!C54))</f>
        <v/>
      </c>
      <c r="D55" s="802" t="str">
        <f>IF(OR($E$3="",$P$3=""),"",IF('Statement of Marks'!C54="","",'Statement of Marks'!C54))</f>
        <v/>
      </c>
      <c r="E55" s="803" t="str">
        <f>IF(OR($E$3="",$P$3=""),"",IF('Statement of Marks'!D54="","",'Statement of Marks'!D54))</f>
        <v/>
      </c>
      <c r="F55" s="804" t="str">
        <f>IF(OR($E$3="",$P$3=""),"",IF('Statement of Marks'!E54="","",'Statement of Marks'!E54))</f>
        <v/>
      </c>
      <c r="G55" s="804" t="str">
        <f>IF(OR($E$3="",$P$3=""),"",IF('Statement of Marks'!F54="","",'Statement of Marks'!F54))</f>
        <v/>
      </c>
      <c r="H55" s="804" t="str">
        <f>IF(OR($E$3="",$P$3=""),"",IF('Statement of Marks'!G54="","",'Statement of Marks'!G54))</f>
        <v/>
      </c>
      <c r="I55" s="805" t="str">
        <f>IF(OR($E$3="",$P$3=""),"",IF('Statement of Marks'!H54="","",'Statement of Marks'!H54))</f>
        <v/>
      </c>
      <c r="J55" s="805" t="str">
        <f>IF(OR($E$3="",$P$3=""),"",IF('Statement of Marks'!I54="","",'Statement of Marks'!I54))</f>
        <v/>
      </c>
      <c r="K55" s="805" t="str">
        <f>IFERROR(IF(B55="","",IF($P$3=$AT$10,IF(AND(BM55="A"),'Marks Entry'!$U$2,IF(AND(BM55="B"),'Marks Entry'!$Y$2,IF(AND(BM55="C"),'Marks Entry'!$AA$2,""))),IF($P$3=$AT$11,IF(AND(BN55="A"),'Marks Entry'!$AC$2,IF(AND(BN55="B"),'Marks Entry'!$AG$2,IF(AND(BN55="C"),'Marks Entry'!$AI$2,""))),IF($P$3=$AT$12,IF(AND(BO55="A"),'Marks Entry'!$AK$2,IF(AND(BO55="B"),'Marks Entry'!$AO$2,IF(AND(BO55="C"),'Marks Entry'!$AQ$2,""))),IF($P$3=$AT$13,IF(AND(BP55="A"),'Marks Entry'!$AS$2,IF(AND(BP55="B"),'Marks Entry'!$AW$2,IF(AND(BP55="C"),'Marks Entry'!$AY$2,""))),"-"))))),"")</f>
        <v/>
      </c>
      <c r="L55" s="806" t="str">
        <f>IFERROR(IF(B55="","",IF($P$3=$AT$8,'Statement of Marks'!J54,IF($P$3=$AT$9,'Statement of Marks'!X54,IF($P$3=$AT$10,'Statement of Marks'!AM54,IF($P$3=$AT$11,'Statement of Marks'!BJ54,IF($P$3=$AT$12,'Statement of Marks'!CG54,IF($P$3=$AT$13,'Statement of Marks'!DE54,IF($P$3=$AT$14,"",IF($P$3=$AT$15,'Statement of Marks'!EY54,""))))))))),"")</f>
        <v/>
      </c>
      <c r="M55" s="806" t="str">
        <f>IFERROR(IF(B55="","",IF($P$3=$AT$8,'Statement of Marks'!K54,IF($P$3=$AT$9,'Statement of Marks'!Y54,IF($P$3=$AT$10,'Statement of Marks'!AN54,IF($P$3=$AT$11,'Statement of Marks'!BK54,IF($P$3=$AT$12,'Statement of Marks'!CH54,IF($P$3=$AT$13,'Statement of Marks'!DF54,IF($P$3=$AT$14,"",IF($P$3=$AT$15,'Statement of Marks'!EZ54,""))))))))),"")</f>
        <v/>
      </c>
      <c r="N55" s="806" t="str">
        <f>IFERROR(IF(B55="","",IF($P$3=$AT$8,'Statement of Marks'!L54,IF($P$3=$AT$9,'Statement of Marks'!Z54,IF($P$3=$AT$10,'Statement of Marks'!AO54,IF($P$3=$AT$11,'Statement of Marks'!BL54,IF($P$3=$AT$12,'Statement of Marks'!CI54,IF($P$3=$AT$13,'Statement of Marks'!DG54,IF($P$3=$AT$14,"",IF($P$3=$AT$15,'Statement of Marks'!FA54,""))))))))),"")</f>
        <v/>
      </c>
      <c r="O55" s="807" t="str">
        <f t="shared" si="4"/>
        <v/>
      </c>
      <c r="P55" s="806" t="str">
        <f>IFERROR(IF(B55="","",IF($P$3=$AT$8,'Statement of Marks'!N54,IF($P$3=$AT$9,'Statement of Marks'!AB54,IF($P$3=$AT$10,'Statement of Marks'!AQ54,IF($P$3=$AT$11,'Statement of Marks'!BN54,IF($P$3=$AT$12,'Statement of Marks'!CK54,IF($P$3=$AT$13,'Statement of Marks'!DI54,IF($P$3=$AT$14,"",IF($P$3=$AT$15,'Statement of Marks'!FC54,""))))))))),"")</f>
        <v/>
      </c>
      <c r="Q55" s="806" t="str">
        <f>IFERROR(IF(B55="","",IF($P$3=$AT$8,"",IF($P$3=$AT$9,"",IF($P$3=$AT$10,'Statement of Marks'!AR54,IF($P$3=$AT$11,'Statement of Marks'!BO54,IF($P$3=$AT$12,'Statement of Marks'!CL54,IF($P$3=$AT$13,'Statement of Marks'!DJ54,IF($P$3=$AT$14,"",IF($P$3=$AT$15,"",""))))))))),"")</f>
        <v/>
      </c>
      <c r="R55" s="818" t="str">
        <f>IFERROR(IF(B55="","",IF(AND(P55="",Q55="",$P$3=""),"",IF($P$3=$AT$14,'Statement of Marks'!EC54,SUM(P55,Q55)))),"")</f>
        <v/>
      </c>
      <c r="S55" s="817" t="str">
        <f>IFERROR(IF(B55="","",IF($P$3=$AT$14,'Statement of Marks'!ED54,IF(AND(O55="NA",P55="NA",Q55="NA"),"NA",IF(AND(O55="",P55="",Q55=""),"",SUM(O55,P55,Q55))))),"")</f>
        <v/>
      </c>
      <c r="T55" s="806" t="str">
        <f>IFERROR(IF(B55="","",IF($P$3=$AT$8,'Statement of Marks'!P54,IF($P$3=$AT$9,'Statement of Marks'!AD54,IF($P$3=$AT$10,'Statement of Marks'!AU54,IF($P$3=$AT$11,'Statement of Marks'!BR54,IF($P$3=$AT$12,'Statement of Marks'!CO54,IF($P$3=$AT$13,'Statement of Marks'!DM54,IF($P$3=$AT$14,"",IF($P$3=$AT$15,'Statement of Marks'!FD54,""))))))))),"")</f>
        <v/>
      </c>
      <c r="U55" s="806" t="str">
        <f>IFERROR(IF(B55="","",IF($P$3=$AT$8,"",IF($P$3=$AT$9,"",IF($P$3=$AT$10,'Statement of Marks'!AV54,IF($P$3=$AT$11,'Statement of Marks'!BS54,IF($P$3=$AT$12,'Statement of Marks'!CP54,IF($P$3=$AT$13,'Statement of Marks'!DN54,IF($P$3=$AT$14,"",IF($P$3=$AT$15,"",""))))))))),"")</f>
        <v/>
      </c>
      <c r="V55" s="818" t="str">
        <f>IFERROR(IF(B55="","",IF(AND(T55="",U55="",$P$3=""),"",IF($P$3=$AT$14,'Statement of Marks'!EE54,SUM(T55,U55)))),"")</f>
        <v/>
      </c>
      <c r="W55" s="808" t="str">
        <f t="shared" si="5"/>
        <v/>
      </c>
      <c r="X55" s="809">
        <f t="shared" si="6"/>
        <v>0</v>
      </c>
      <c r="Y55" s="809">
        <f t="shared" si="7"/>
        <v>0</v>
      </c>
      <c r="Z55" s="809">
        <f t="shared" si="8"/>
        <v>0</v>
      </c>
      <c r="AA55" s="809" t="str">
        <f t="shared" si="9"/>
        <v/>
      </c>
      <c r="AB55" s="809" t="str">
        <f t="shared" si="10"/>
        <v/>
      </c>
      <c r="AC55" s="809" t="str">
        <f t="shared" si="11"/>
        <v/>
      </c>
      <c r="AD55" s="809" t="str">
        <f t="shared" si="12"/>
        <v/>
      </c>
      <c r="AE55" s="810" t="str">
        <f t="shared" si="13"/>
        <v/>
      </c>
      <c r="AF55" s="811" t="str">
        <f t="shared" si="14"/>
        <v/>
      </c>
      <c r="AG55" s="812" t="str">
        <f t="shared" si="15"/>
        <v/>
      </c>
      <c r="AW55" s="17" t="str">
        <f t="shared" si="16"/>
        <v/>
      </c>
      <c r="AX55" s="17" t="str">
        <f t="shared" si="17"/>
        <v/>
      </c>
      <c r="BM55" s="17" t="str">
        <f>IFERROR(VLOOKUP(B55,'Statement of Marks'!$B$8:'Statement of Marks'!$HI$207,37,0),"")</f>
        <v>A</v>
      </c>
      <c r="BN55" s="17" t="str">
        <f>IFERROR(VLOOKUP(B55,'Statement of Marks'!$B$8:'Statement of Marks'!$HI$207,60,0),"")</f>
        <v>A</v>
      </c>
      <c r="BO55" s="17" t="str">
        <f>IFERROR(VLOOKUP(B55,'Statement of Marks'!$B$8:'Statement of Marks'!$HI$207,83,0),"")</f>
        <v>A</v>
      </c>
      <c r="BP55" s="17" t="str">
        <f>IFERROR(VLOOKUP(B55,'Statement of Marks'!$B$8:'Statement of Marks'!$HI$207,107,0),"")</f>
        <v/>
      </c>
    </row>
    <row r="56" spans="1:68">
      <c r="A56" s="800">
        <f>IF('Statement of Marks'!A55="","",'Statement of Marks'!A55)</f>
        <v>48</v>
      </c>
      <c r="B56" s="801" t="str">
        <f>IF(OR($E$3="",$P$3=""),"",IF('Statement of Marks'!B55="","",'Statement of Marks'!B55))</f>
        <v/>
      </c>
      <c r="C56" s="810" t="str">
        <f>IF(OR($E$3="",$P$3=""),"",IF('Marks Entry'!C55="","",'Marks Entry'!C55))</f>
        <v/>
      </c>
      <c r="D56" s="802" t="str">
        <f>IF(OR($E$3="",$P$3=""),"",IF('Statement of Marks'!C55="","",'Statement of Marks'!C55))</f>
        <v/>
      </c>
      <c r="E56" s="803" t="str">
        <f>IF(OR($E$3="",$P$3=""),"",IF('Statement of Marks'!D55="","",'Statement of Marks'!D55))</f>
        <v/>
      </c>
      <c r="F56" s="804" t="str">
        <f>IF(OR($E$3="",$P$3=""),"",IF('Statement of Marks'!E55="","",'Statement of Marks'!E55))</f>
        <v/>
      </c>
      <c r="G56" s="804" t="str">
        <f>IF(OR($E$3="",$P$3=""),"",IF('Statement of Marks'!F55="","",'Statement of Marks'!F55))</f>
        <v/>
      </c>
      <c r="H56" s="804" t="str">
        <f>IF(OR($E$3="",$P$3=""),"",IF('Statement of Marks'!G55="","",'Statement of Marks'!G55))</f>
        <v/>
      </c>
      <c r="I56" s="805" t="str">
        <f>IF(OR($E$3="",$P$3=""),"",IF('Statement of Marks'!H55="","",'Statement of Marks'!H55))</f>
        <v/>
      </c>
      <c r="J56" s="805" t="str">
        <f>IF(OR($E$3="",$P$3=""),"",IF('Statement of Marks'!I55="","",'Statement of Marks'!I55))</f>
        <v/>
      </c>
      <c r="K56" s="805" t="str">
        <f>IFERROR(IF(B56="","",IF($P$3=$AT$10,IF(AND(BM56="A"),'Marks Entry'!$U$2,IF(AND(BM56="B"),'Marks Entry'!$Y$2,IF(AND(BM56="C"),'Marks Entry'!$AA$2,""))),IF($P$3=$AT$11,IF(AND(BN56="A"),'Marks Entry'!$AC$2,IF(AND(BN56="B"),'Marks Entry'!$AG$2,IF(AND(BN56="C"),'Marks Entry'!$AI$2,""))),IF($P$3=$AT$12,IF(AND(BO56="A"),'Marks Entry'!$AK$2,IF(AND(BO56="B"),'Marks Entry'!$AO$2,IF(AND(BO56="C"),'Marks Entry'!$AQ$2,""))),IF($P$3=$AT$13,IF(AND(BP56="A"),'Marks Entry'!$AS$2,IF(AND(BP56="B"),'Marks Entry'!$AW$2,IF(AND(BP56="C"),'Marks Entry'!$AY$2,""))),"-"))))),"")</f>
        <v/>
      </c>
      <c r="L56" s="806" t="str">
        <f>IFERROR(IF(B56="","",IF($P$3=$AT$8,'Statement of Marks'!J55,IF($P$3=$AT$9,'Statement of Marks'!X55,IF($P$3=$AT$10,'Statement of Marks'!AM55,IF($P$3=$AT$11,'Statement of Marks'!BJ55,IF($P$3=$AT$12,'Statement of Marks'!CG55,IF($P$3=$AT$13,'Statement of Marks'!DE55,IF($P$3=$AT$14,"",IF($P$3=$AT$15,'Statement of Marks'!EY55,""))))))))),"")</f>
        <v/>
      </c>
      <c r="M56" s="806" t="str">
        <f>IFERROR(IF(B56="","",IF($P$3=$AT$8,'Statement of Marks'!K55,IF($P$3=$AT$9,'Statement of Marks'!Y55,IF($P$3=$AT$10,'Statement of Marks'!AN55,IF($P$3=$AT$11,'Statement of Marks'!BK55,IF($P$3=$AT$12,'Statement of Marks'!CH55,IF($P$3=$AT$13,'Statement of Marks'!DF55,IF($P$3=$AT$14,"",IF($P$3=$AT$15,'Statement of Marks'!EZ55,""))))))))),"")</f>
        <v/>
      </c>
      <c r="N56" s="806" t="str">
        <f>IFERROR(IF(B56="","",IF($P$3=$AT$8,'Statement of Marks'!L55,IF($P$3=$AT$9,'Statement of Marks'!Z55,IF($P$3=$AT$10,'Statement of Marks'!AO55,IF($P$3=$AT$11,'Statement of Marks'!BL55,IF($P$3=$AT$12,'Statement of Marks'!CI55,IF($P$3=$AT$13,'Statement of Marks'!DG55,IF($P$3=$AT$14,"",IF($P$3=$AT$15,'Statement of Marks'!FA55,""))))))))),"")</f>
        <v/>
      </c>
      <c r="O56" s="807" t="str">
        <f t="shared" si="4"/>
        <v/>
      </c>
      <c r="P56" s="806" t="str">
        <f>IFERROR(IF(B56="","",IF($P$3=$AT$8,'Statement of Marks'!N55,IF($P$3=$AT$9,'Statement of Marks'!AB55,IF($P$3=$AT$10,'Statement of Marks'!AQ55,IF($P$3=$AT$11,'Statement of Marks'!BN55,IF($P$3=$AT$12,'Statement of Marks'!CK55,IF($P$3=$AT$13,'Statement of Marks'!DI55,IF($P$3=$AT$14,"",IF($P$3=$AT$15,'Statement of Marks'!FC55,""))))))))),"")</f>
        <v/>
      </c>
      <c r="Q56" s="806" t="str">
        <f>IFERROR(IF(B56="","",IF($P$3=$AT$8,"",IF($P$3=$AT$9,"",IF($P$3=$AT$10,'Statement of Marks'!AR55,IF($P$3=$AT$11,'Statement of Marks'!BO55,IF($P$3=$AT$12,'Statement of Marks'!CL55,IF($P$3=$AT$13,'Statement of Marks'!DJ55,IF($P$3=$AT$14,"",IF($P$3=$AT$15,"",""))))))))),"")</f>
        <v/>
      </c>
      <c r="R56" s="818" t="str">
        <f>IFERROR(IF(B56="","",IF(AND(P56="",Q56="",$P$3=""),"",IF($P$3=$AT$14,'Statement of Marks'!EC55,SUM(P56,Q56)))),"")</f>
        <v/>
      </c>
      <c r="S56" s="817" t="str">
        <f>IFERROR(IF(B56="","",IF($P$3=$AT$14,'Statement of Marks'!ED55,IF(AND(O56="NA",P56="NA",Q56="NA"),"NA",IF(AND(O56="",P56="",Q56=""),"",SUM(O56,P56,Q56))))),"")</f>
        <v/>
      </c>
      <c r="T56" s="806" t="str">
        <f>IFERROR(IF(B56="","",IF($P$3=$AT$8,'Statement of Marks'!P55,IF($P$3=$AT$9,'Statement of Marks'!AD55,IF($P$3=$AT$10,'Statement of Marks'!AU55,IF($P$3=$AT$11,'Statement of Marks'!BR55,IF($P$3=$AT$12,'Statement of Marks'!CO55,IF($P$3=$AT$13,'Statement of Marks'!DM55,IF($P$3=$AT$14,"",IF($P$3=$AT$15,'Statement of Marks'!FD55,""))))))))),"")</f>
        <v/>
      </c>
      <c r="U56" s="806" t="str">
        <f>IFERROR(IF(B56="","",IF($P$3=$AT$8,"",IF($P$3=$AT$9,"",IF($P$3=$AT$10,'Statement of Marks'!AV55,IF($P$3=$AT$11,'Statement of Marks'!BS55,IF($P$3=$AT$12,'Statement of Marks'!CP55,IF($P$3=$AT$13,'Statement of Marks'!DN55,IF($P$3=$AT$14,"",IF($P$3=$AT$15,"",""))))))))),"")</f>
        <v/>
      </c>
      <c r="V56" s="818" t="str">
        <f>IFERROR(IF(B56="","",IF(AND(T56="",U56="",$P$3=""),"",IF($P$3=$AT$14,'Statement of Marks'!EE55,SUM(T56,U56)))),"")</f>
        <v/>
      </c>
      <c r="W56" s="808" t="str">
        <f t="shared" si="5"/>
        <v/>
      </c>
      <c r="X56" s="809">
        <f t="shared" si="6"/>
        <v>0</v>
      </c>
      <c r="Y56" s="809">
        <f t="shared" si="7"/>
        <v>0</v>
      </c>
      <c r="Z56" s="809">
        <f t="shared" si="8"/>
        <v>0</v>
      </c>
      <c r="AA56" s="809" t="str">
        <f t="shared" si="9"/>
        <v/>
      </c>
      <c r="AB56" s="809" t="str">
        <f t="shared" si="10"/>
        <v/>
      </c>
      <c r="AC56" s="809" t="str">
        <f t="shared" si="11"/>
        <v/>
      </c>
      <c r="AD56" s="809" t="str">
        <f t="shared" si="12"/>
        <v/>
      </c>
      <c r="AE56" s="810" t="str">
        <f t="shared" si="13"/>
        <v/>
      </c>
      <c r="AF56" s="811" t="str">
        <f t="shared" si="14"/>
        <v/>
      </c>
      <c r="AG56" s="812" t="str">
        <f t="shared" si="15"/>
        <v/>
      </c>
      <c r="AW56" s="17" t="str">
        <f t="shared" si="16"/>
        <v/>
      </c>
      <c r="AX56" s="17" t="str">
        <f t="shared" si="17"/>
        <v/>
      </c>
      <c r="BM56" s="17" t="str">
        <f>IFERROR(VLOOKUP(B56,'Statement of Marks'!$B$8:'Statement of Marks'!$HI$207,37,0),"")</f>
        <v>A</v>
      </c>
      <c r="BN56" s="17" t="str">
        <f>IFERROR(VLOOKUP(B56,'Statement of Marks'!$B$8:'Statement of Marks'!$HI$207,60,0),"")</f>
        <v>A</v>
      </c>
      <c r="BO56" s="17" t="str">
        <f>IFERROR(VLOOKUP(B56,'Statement of Marks'!$B$8:'Statement of Marks'!$HI$207,83,0),"")</f>
        <v>A</v>
      </c>
      <c r="BP56" s="17" t="str">
        <f>IFERROR(VLOOKUP(B56,'Statement of Marks'!$B$8:'Statement of Marks'!$HI$207,107,0),"")</f>
        <v/>
      </c>
    </row>
    <row r="57" spans="1:68">
      <c r="A57" s="800">
        <f>IF('Statement of Marks'!A56="","",'Statement of Marks'!A56)</f>
        <v>49</v>
      </c>
      <c r="B57" s="801" t="str">
        <f>IF(OR($E$3="",$P$3=""),"",IF('Statement of Marks'!B56="","",'Statement of Marks'!B56))</f>
        <v/>
      </c>
      <c r="C57" s="810" t="str">
        <f>IF(OR($E$3="",$P$3=""),"",IF('Marks Entry'!C56="","",'Marks Entry'!C56))</f>
        <v/>
      </c>
      <c r="D57" s="802" t="str">
        <f>IF(OR($E$3="",$P$3=""),"",IF('Statement of Marks'!C56="","",'Statement of Marks'!C56))</f>
        <v/>
      </c>
      <c r="E57" s="803" t="str">
        <f>IF(OR($E$3="",$P$3=""),"",IF('Statement of Marks'!D56="","",'Statement of Marks'!D56))</f>
        <v/>
      </c>
      <c r="F57" s="804" t="str">
        <f>IF(OR($E$3="",$P$3=""),"",IF('Statement of Marks'!E56="","",'Statement of Marks'!E56))</f>
        <v/>
      </c>
      <c r="G57" s="804" t="str">
        <f>IF(OR($E$3="",$P$3=""),"",IF('Statement of Marks'!F56="","",'Statement of Marks'!F56))</f>
        <v/>
      </c>
      <c r="H57" s="804" t="str">
        <f>IF(OR($E$3="",$P$3=""),"",IF('Statement of Marks'!G56="","",'Statement of Marks'!G56))</f>
        <v/>
      </c>
      <c r="I57" s="805" t="str">
        <f>IF(OR($E$3="",$P$3=""),"",IF('Statement of Marks'!H56="","",'Statement of Marks'!H56))</f>
        <v/>
      </c>
      <c r="J57" s="805" t="str">
        <f>IF(OR($E$3="",$P$3=""),"",IF('Statement of Marks'!I56="","",'Statement of Marks'!I56))</f>
        <v/>
      </c>
      <c r="K57" s="805" t="str">
        <f>IFERROR(IF(B57="","",IF($P$3=$AT$10,IF(AND(BM57="A"),'Marks Entry'!$U$2,IF(AND(BM57="B"),'Marks Entry'!$Y$2,IF(AND(BM57="C"),'Marks Entry'!$AA$2,""))),IF($P$3=$AT$11,IF(AND(BN57="A"),'Marks Entry'!$AC$2,IF(AND(BN57="B"),'Marks Entry'!$AG$2,IF(AND(BN57="C"),'Marks Entry'!$AI$2,""))),IF($P$3=$AT$12,IF(AND(BO57="A"),'Marks Entry'!$AK$2,IF(AND(BO57="B"),'Marks Entry'!$AO$2,IF(AND(BO57="C"),'Marks Entry'!$AQ$2,""))),IF($P$3=$AT$13,IF(AND(BP57="A"),'Marks Entry'!$AS$2,IF(AND(BP57="B"),'Marks Entry'!$AW$2,IF(AND(BP57="C"),'Marks Entry'!$AY$2,""))),"-"))))),"")</f>
        <v/>
      </c>
      <c r="L57" s="806" t="str">
        <f>IFERROR(IF(B57="","",IF($P$3=$AT$8,'Statement of Marks'!J56,IF($P$3=$AT$9,'Statement of Marks'!X56,IF($P$3=$AT$10,'Statement of Marks'!AM56,IF($P$3=$AT$11,'Statement of Marks'!BJ56,IF($P$3=$AT$12,'Statement of Marks'!CG56,IF($P$3=$AT$13,'Statement of Marks'!DE56,IF($P$3=$AT$14,"",IF($P$3=$AT$15,'Statement of Marks'!EY56,""))))))))),"")</f>
        <v/>
      </c>
      <c r="M57" s="806" t="str">
        <f>IFERROR(IF(B57="","",IF($P$3=$AT$8,'Statement of Marks'!K56,IF($P$3=$AT$9,'Statement of Marks'!Y56,IF($P$3=$AT$10,'Statement of Marks'!AN56,IF($P$3=$AT$11,'Statement of Marks'!BK56,IF($P$3=$AT$12,'Statement of Marks'!CH56,IF($P$3=$AT$13,'Statement of Marks'!DF56,IF($P$3=$AT$14,"",IF($P$3=$AT$15,'Statement of Marks'!EZ56,""))))))))),"")</f>
        <v/>
      </c>
      <c r="N57" s="806" t="str">
        <f>IFERROR(IF(B57="","",IF($P$3=$AT$8,'Statement of Marks'!L56,IF($P$3=$AT$9,'Statement of Marks'!Z56,IF($P$3=$AT$10,'Statement of Marks'!AO56,IF($P$3=$AT$11,'Statement of Marks'!BL56,IF($P$3=$AT$12,'Statement of Marks'!CI56,IF($P$3=$AT$13,'Statement of Marks'!DG56,IF($P$3=$AT$14,"",IF($P$3=$AT$15,'Statement of Marks'!FA56,""))))))))),"")</f>
        <v/>
      </c>
      <c r="O57" s="807" t="str">
        <f t="shared" si="4"/>
        <v/>
      </c>
      <c r="P57" s="806" t="str">
        <f>IFERROR(IF(B57="","",IF($P$3=$AT$8,'Statement of Marks'!N56,IF($P$3=$AT$9,'Statement of Marks'!AB56,IF($P$3=$AT$10,'Statement of Marks'!AQ56,IF($P$3=$AT$11,'Statement of Marks'!BN56,IF($P$3=$AT$12,'Statement of Marks'!CK56,IF($P$3=$AT$13,'Statement of Marks'!DI56,IF($P$3=$AT$14,"",IF($P$3=$AT$15,'Statement of Marks'!FC56,""))))))))),"")</f>
        <v/>
      </c>
      <c r="Q57" s="806" t="str">
        <f>IFERROR(IF(B57="","",IF($P$3=$AT$8,"",IF($P$3=$AT$9,"",IF($P$3=$AT$10,'Statement of Marks'!AR56,IF($P$3=$AT$11,'Statement of Marks'!BO56,IF($P$3=$AT$12,'Statement of Marks'!CL56,IF($P$3=$AT$13,'Statement of Marks'!DJ56,IF($P$3=$AT$14,"",IF($P$3=$AT$15,"",""))))))))),"")</f>
        <v/>
      </c>
      <c r="R57" s="818" t="str">
        <f>IFERROR(IF(B57="","",IF(AND(P57="",Q57="",$P$3=""),"",IF($P$3=$AT$14,'Statement of Marks'!EC56,SUM(P57,Q57)))),"")</f>
        <v/>
      </c>
      <c r="S57" s="817" t="str">
        <f>IFERROR(IF(B57="","",IF($P$3=$AT$14,'Statement of Marks'!ED56,IF(AND(O57="NA",P57="NA",Q57="NA"),"NA",IF(AND(O57="",P57="",Q57=""),"",SUM(O57,P57,Q57))))),"")</f>
        <v/>
      </c>
      <c r="T57" s="806" t="str">
        <f>IFERROR(IF(B57="","",IF($P$3=$AT$8,'Statement of Marks'!P56,IF($P$3=$AT$9,'Statement of Marks'!AD56,IF($P$3=$AT$10,'Statement of Marks'!AU56,IF($P$3=$AT$11,'Statement of Marks'!BR56,IF($P$3=$AT$12,'Statement of Marks'!CO56,IF($P$3=$AT$13,'Statement of Marks'!DM56,IF($P$3=$AT$14,"",IF($P$3=$AT$15,'Statement of Marks'!FD56,""))))))))),"")</f>
        <v/>
      </c>
      <c r="U57" s="806" t="str">
        <f>IFERROR(IF(B57="","",IF($P$3=$AT$8,"",IF($P$3=$AT$9,"",IF($P$3=$AT$10,'Statement of Marks'!AV56,IF($P$3=$AT$11,'Statement of Marks'!BS56,IF($P$3=$AT$12,'Statement of Marks'!CP56,IF($P$3=$AT$13,'Statement of Marks'!DN56,IF($P$3=$AT$14,"",IF($P$3=$AT$15,"",""))))))))),"")</f>
        <v/>
      </c>
      <c r="V57" s="818" t="str">
        <f>IFERROR(IF(B57="","",IF(AND(T57="",U57="",$P$3=""),"",IF($P$3=$AT$14,'Statement of Marks'!EE56,SUM(T57,U57)))),"")</f>
        <v/>
      </c>
      <c r="W57" s="808" t="str">
        <f t="shared" si="5"/>
        <v/>
      </c>
      <c r="X57" s="809">
        <f t="shared" si="6"/>
        <v>0</v>
      </c>
      <c r="Y57" s="809">
        <f t="shared" si="7"/>
        <v>0</v>
      </c>
      <c r="Z57" s="809">
        <f t="shared" si="8"/>
        <v>0</v>
      </c>
      <c r="AA57" s="809" t="str">
        <f t="shared" si="9"/>
        <v/>
      </c>
      <c r="AB57" s="809" t="str">
        <f t="shared" si="10"/>
        <v/>
      </c>
      <c r="AC57" s="809" t="str">
        <f t="shared" si="11"/>
        <v/>
      </c>
      <c r="AD57" s="809" t="str">
        <f t="shared" si="12"/>
        <v/>
      </c>
      <c r="AE57" s="810" t="str">
        <f t="shared" si="13"/>
        <v/>
      </c>
      <c r="AF57" s="811" t="str">
        <f t="shared" si="14"/>
        <v/>
      </c>
      <c r="AG57" s="812" t="str">
        <f t="shared" si="15"/>
        <v/>
      </c>
      <c r="AW57" s="17" t="str">
        <f t="shared" si="16"/>
        <v/>
      </c>
      <c r="AX57" s="17" t="str">
        <f t="shared" si="17"/>
        <v/>
      </c>
      <c r="BM57" s="17" t="str">
        <f>IFERROR(VLOOKUP(B57,'Statement of Marks'!$B$8:'Statement of Marks'!$HI$207,37,0),"")</f>
        <v>A</v>
      </c>
      <c r="BN57" s="17" t="str">
        <f>IFERROR(VLOOKUP(B57,'Statement of Marks'!$B$8:'Statement of Marks'!$HI$207,60,0),"")</f>
        <v>A</v>
      </c>
      <c r="BO57" s="17" t="str">
        <f>IFERROR(VLOOKUP(B57,'Statement of Marks'!$B$8:'Statement of Marks'!$HI$207,83,0),"")</f>
        <v>A</v>
      </c>
      <c r="BP57" s="17" t="str">
        <f>IFERROR(VLOOKUP(B57,'Statement of Marks'!$B$8:'Statement of Marks'!$HI$207,107,0),"")</f>
        <v/>
      </c>
    </row>
    <row r="58" spans="1:68">
      <c r="A58" s="800">
        <f>IF('Statement of Marks'!A57="","",'Statement of Marks'!A57)</f>
        <v>50</v>
      </c>
      <c r="B58" s="801" t="str">
        <f>IF(OR($E$3="",$P$3=""),"",IF('Statement of Marks'!B57="","",'Statement of Marks'!B57))</f>
        <v/>
      </c>
      <c r="C58" s="810" t="str">
        <f>IF(OR($E$3="",$P$3=""),"",IF('Marks Entry'!C57="","",'Marks Entry'!C57))</f>
        <v/>
      </c>
      <c r="D58" s="802" t="str">
        <f>IF(OR($E$3="",$P$3=""),"",IF('Statement of Marks'!C57="","",'Statement of Marks'!C57))</f>
        <v/>
      </c>
      <c r="E58" s="803" t="str">
        <f>IF(OR($E$3="",$P$3=""),"",IF('Statement of Marks'!D57="","",'Statement of Marks'!D57))</f>
        <v/>
      </c>
      <c r="F58" s="804" t="str">
        <f>IF(OR($E$3="",$P$3=""),"",IF('Statement of Marks'!E57="","",'Statement of Marks'!E57))</f>
        <v/>
      </c>
      <c r="G58" s="804" t="str">
        <f>IF(OR($E$3="",$P$3=""),"",IF('Statement of Marks'!F57="","",'Statement of Marks'!F57))</f>
        <v/>
      </c>
      <c r="H58" s="804" t="str">
        <f>IF(OR($E$3="",$P$3=""),"",IF('Statement of Marks'!G57="","",'Statement of Marks'!G57))</f>
        <v/>
      </c>
      <c r="I58" s="805" t="str">
        <f>IF(OR($E$3="",$P$3=""),"",IF('Statement of Marks'!H57="","",'Statement of Marks'!H57))</f>
        <v/>
      </c>
      <c r="J58" s="805" t="str">
        <f>IF(OR($E$3="",$P$3=""),"",IF('Statement of Marks'!I57="","",'Statement of Marks'!I57))</f>
        <v/>
      </c>
      <c r="K58" s="805" t="str">
        <f>IFERROR(IF(B58="","",IF($P$3=$AT$10,IF(AND(BM58="A"),'Marks Entry'!$U$2,IF(AND(BM58="B"),'Marks Entry'!$Y$2,IF(AND(BM58="C"),'Marks Entry'!$AA$2,""))),IF($P$3=$AT$11,IF(AND(BN58="A"),'Marks Entry'!$AC$2,IF(AND(BN58="B"),'Marks Entry'!$AG$2,IF(AND(BN58="C"),'Marks Entry'!$AI$2,""))),IF($P$3=$AT$12,IF(AND(BO58="A"),'Marks Entry'!$AK$2,IF(AND(BO58="B"),'Marks Entry'!$AO$2,IF(AND(BO58="C"),'Marks Entry'!$AQ$2,""))),IF($P$3=$AT$13,IF(AND(BP58="A"),'Marks Entry'!$AS$2,IF(AND(BP58="B"),'Marks Entry'!$AW$2,IF(AND(BP58="C"),'Marks Entry'!$AY$2,""))),"-"))))),"")</f>
        <v/>
      </c>
      <c r="L58" s="806" t="str">
        <f>IFERROR(IF(B58="","",IF($P$3=$AT$8,'Statement of Marks'!J57,IF($P$3=$AT$9,'Statement of Marks'!X57,IF($P$3=$AT$10,'Statement of Marks'!AM57,IF($P$3=$AT$11,'Statement of Marks'!BJ57,IF($P$3=$AT$12,'Statement of Marks'!CG57,IF($P$3=$AT$13,'Statement of Marks'!DE57,IF($P$3=$AT$14,"",IF($P$3=$AT$15,'Statement of Marks'!EY57,""))))))))),"")</f>
        <v/>
      </c>
      <c r="M58" s="806" t="str">
        <f>IFERROR(IF(B58="","",IF($P$3=$AT$8,'Statement of Marks'!K57,IF($P$3=$AT$9,'Statement of Marks'!Y57,IF($P$3=$AT$10,'Statement of Marks'!AN57,IF($P$3=$AT$11,'Statement of Marks'!BK57,IF($P$3=$AT$12,'Statement of Marks'!CH57,IF($P$3=$AT$13,'Statement of Marks'!DF57,IF($P$3=$AT$14,"",IF($P$3=$AT$15,'Statement of Marks'!EZ57,""))))))))),"")</f>
        <v/>
      </c>
      <c r="N58" s="806" t="str">
        <f>IFERROR(IF(B58="","",IF($P$3=$AT$8,'Statement of Marks'!L57,IF($P$3=$AT$9,'Statement of Marks'!Z57,IF($P$3=$AT$10,'Statement of Marks'!AO57,IF($P$3=$AT$11,'Statement of Marks'!BL57,IF($P$3=$AT$12,'Statement of Marks'!CI57,IF($P$3=$AT$13,'Statement of Marks'!DG57,IF($P$3=$AT$14,"",IF($P$3=$AT$15,'Statement of Marks'!FA57,""))))))))),"")</f>
        <v/>
      </c>
      <c r="O58" s="807" t="str">
        <f t="shared" si="4"/>
        <v/>
      </c>
      <c r="P58" s="806" t="str">
        <f>IFERROR(IF(B58="","",IF($P$3=$AT$8,'Statement of Marks'!N57,IF($P$3=$AT$9,'Statement of Marks'!AB57,IF($P$3=$AT$10,'Statement of Marks'!AQ57,IF($P$3=$AT$11,'Statement of Marks'!BN57,IF($P$3=$AT$12,'Statement of Marks'!CK57,IF($P$3=$AT$13,'Statement of Marks'!DI57,IF($P$3=$AT$14,"",IF($P$3=$AT$15,'Statement of Marks'!FC57,""))))))))),"")</f>
        <v/>
      </c>
      <c r="Q58" s="806" t="str">
        <f>IFERROR(IF(B58="","",IF($P$3=$AT$8,"",IF($P$3=$AT$9,"",IF($P$3=$AT$10,'Statement of Marks'!AR57,IF($P$3=$AT$11,'Statement of Marks'!BO57,IF($P$3=$AT$12,'Statement of Marks'!CL57,IF($P$3=$AT$13,'Statement of Marks'!DJ57,IF($P$3=$AT$14,"",IF($P$3=$AT$15,"",""))))))))),"")</f>
        <v/>
      </c>
      <c r="R58" s="818" t="str">
        <f>IFERROR(IF(B58="","",IF(AND(P58="",Q58="",$P$3=""),"",IF($P$3=$AT$14,'Statement of Marks'!EC57,SUM(P58,Q58)))),"")</f>
        <v/>
      </c>
      <c r="S58" s="817" t="str">
        <f>IFERROR(IF(B58="","",IF($P$3=$AT$14,'Statement of Marks'!ED57,IF(AND(O58="NA",P58="NA",Q58="NA"),"NA",IF(AND(O58="",P58="",Q58=""),"",SUM(O58,P58,Q58))))),"")</f>
        <v/>
      </c>
      <c r="T58" s="806" t="str">
        <f>IFERROR(IF(B58="","",IF($P$3=$AT$8,'Statement of Marks'!P57,IF($P$3=$AT$9,'Statement of Marks'!AD57,IF($P$3=$AT$10,'Statement of Marks'!AU57,IF($P$3=$AT$11,'Statement of Marks'!BR57,IF($P$3=$AT$12,'Statement of Marks'!CO57,IF($P$3=$AT$13,'Statement of Marks'!DM57,IF($P$3=$AT$14,"",IF($P$3=$AT$15,'Statement of Marks'!FD57,""))))))))),"")</f>
        <v/>
      </c>
      <c r="U58" s="806" t="str">
        <f>IFERROR(IF(B58="","",IF($P$3=$AT$8,"",IF($P$3=$AT$9,"",IF($P$3=$AT$10,'Statement of Marks'!AV57,IF($P$3=$AT$11,'Statement of Marks'!BS57,IF($P$3=$AT$12,'Statement of Marks'!CP57,IF($P$3=$AT$13,'Statement of Marks'!DN57,IF($P$3=$AT$14,"",IF($P$3=$AT$15,"",""))))))))),"")</f>
        <v/>
      </c>
      <c r="V58" s="818" t="str">
        <f>IFERROR(IF(B58="","",IF(AND(T58="",U58="",$P$3=""),"",IF($P$3=$AT$14,'Statement of Marks'!EE57,SUM(T58,U58)))),"")</f>
        <v/>
      </c>
      <c r="W58" s="808" t="str">
        <f t="shared" si="5"/>
        <v/>
      </c>
      <c r="X58" s="809">
        <f t="shared" si="6"/>
        <v>0</v>
      </c>
      <c r="Y58" s="809">
        <f t="shared" si="7"/>
        <v>0</v>
      </c>
      <c r="Z58" s="809">
        <f t="shared" si="8"/>
        <v>0</v>
      </c>
      <c r="AA58" s="809" t="str">
        <f t="shared" si="9"/>
        <v/>
      </c>
      <c r="AB58" s="809" t="str">
        <f t="shared" si="10"/>
        <v/>
      </c>
      <c r="AC58" s="809" t="str">
        <f t="shared" si="11"/>
        <v/>
      </c>
      <c r="AD58" s="809" t="str">
        <f t="shared" si="12"/>
        <v/>
      </c>
      <c r="AE58" s="810" t="str">
        <f t="shared" si="13"/>
        <v/>
      </c>
      <c r="AF58" s="811" t="str">
        <f t="shared" si="14"/>
        <v/>
      </c>
      <c r="AG58" s="812" t="str">
        <f t="shared" si="15"/>
        <v/>
      </c>
      <c r="AW58" s="17" t="str">
        <f t="shared" si="16"/>
        <v/>
      </c>
      <c r="AX58" s="17" t="str">
        <f t="shared" si="17"/>
        <v/>
      </c>
      <c r="BM58" s="17" t="str">
        <f>IFERROR(VLOOKUP(B58,'Statement of Marks'!$B$8:'Statement of Marks'!$HI$207,37,0),"")</f>
        <v>A</v>
      </c>
      <c r="BN58" s="17" t="str">
        <f>IFERROR(VLOOKUP(B58,'Statement of Marks'!$B$8:'Statement of Marks'!$HI$207,60,0),"")</f>
        <v>A</v>
      </c>
      <c r="BO58" s="17" t="str">
        <f>IFERROR(VLOOKUP(B58,'Statement of Marks'!$B$8:'Statement of Marks'!$HI$207,83,0),"")</f>
        <v>A</v>
      </c>
      <c r="BP58" s="17" t="str">
        <f>IFERROR(VLOOKUP(B58,'Statement of Marks'!$B$8:'Statement of Marks'!$HI$207,107,0),"")</f>
        <v/>
      </c>
    </row>
    <row r="59" spans="1:68">
      <c r="A59" s="800">
        <f>IF('Statement of Marks'!A58="","",'Statement of Marks'!A58)</f>
        <v>51</v>
      </c>
      <c r="B59" s="801" t="str">
        <f>IF(OR($E$3="",$P$3=""),"",IF('Statement of Marks'!B58="","",'Statement of Marks'!B58))</f>
        <v/>
      </c>
      <c r="C59" s="810" t="str">
        <f>IF(OR($E$3="",$P$3=""),"",IF('Marks Entry'!C58="","",'Marks Entry'!C58))</f>
        <v/>
      </c>
      <c r="D59" s="802" t="str">
        <f>IF(OR($E$3="",$P$3=""),"",IF('Statement of Marks'!C58="","",'Statement of Marks'!C58))</f>
        <v/>
      </c>
      <c r="E59" s="803" t="str">
        <f>IF(OR($E$3="",$P$3=""),"",IF('Statement of Marks'!D58="","",'Statement of Marks'!D58))</f>
        <v/>
      </c>
      <c r="F59" s="804" t="str">
        <f>IF(OR($E$3="",$P$3=""),"",IF('Statement of Marks'!E58="","",'Statement of Marks'!E58))</f>
        <v/>
      </c>
      <c r="G59" s="804" t="str">
        <f>IF(OR($E$3="",$P$3=""),"",IF('Statement of Marks'!F58="","",'Statement of Marks'!F58))</f>
        <v/>
      </c>
      <c r="H59" s="804" t="str">
        <f>IF(OR($E$3="",$P$3=""),"",IF('Statement of Marks'!G58="","",'Statement of Marks'!G58))</f>
        <v/>
      </c>
      <c r="I59" s="805" t="str">
        <f>IF(OR($E$3="",$P$3=""),"",IF('Statement of Marks'!H58="","",'Statement of Marks'!H58))</f>
        <v/>
      </c>
      <c r="J59" s="805" t="str">
        <f>IF(OR($E$3="",$P$3=""),"",IF('Statement of Marks'!I58="","",'Statement of Marks'!I58))</f>
        <v/>
      </c>
      <c r="K59" s="805" t="str">
        <f>IFERROR(IF(B59="","",IF($P$3=$AT$10,IF(AND(BM59="A"),'Marks Entry'!$U$2,IF(AND(BM59="B"),'Marks Entry'!$Y$2,IF(AND(BM59="C"),'Marks Entry'!$AA$2,""))),IF($P$3=$AT$11,IF(AND(BN59="A"),'Marks Entry'!$AC$2,IF(AND(BN59="B"),'Marks Entry'!$AG$2,IF(AND(BN59="C"),'Marks Entry'!$AI$2,""))),IF($P$3=$AT$12,IF(AND(BO59="A"),'Marks Entry'!$AK$2,IF(AND(BO59="B"),'Marks Entry'!$AO$2,IF(AND(BO59="C"),'Marks Entry'!$AQ$2,""))),IF($P$3=$AT$13,IF(AND(BP59="A"),'Marks Entry'!$AS$2,IF(AND(BP59="B"),'Marks Entry'!$AW$2,IF(AND(BP59="C"),'Marks Entry'!$AY$2,""))),"-"))))),"")</f>
        <v/>
      </c>
      <c r="L59" s="806" t="str">
        <f>IFERROR(IF(B59="","",IF($P$3=$AT$8,'Statement of Marks'!J58,IF($P$3=$AT$9,'Statement of Marks'!X58,IF($P$3=$AT$10,'Statement of Marks'!AM58,IF($P$3=$AT$11,'Statement of Marks'!BJ58,IF($P$3=$AT$12,'Statement of Marks'!CG58,IF($P$3=$AT$13,'Statement of Marks'!DE58,IF($P$3=$AT$14,"",IF($P$3=$AT$15,'Statement of Marks'!EY58,""))))))))),"")</f>
        <v/>
      </c>
      <c r="M59" s="806" t="str">
        <f>IFERROR(IF(B59="","",IF($P$3=$AT$8,'Statement of Marks'!K58,IF($P$3=$AT$9,'Statement of Marks'!Y58,IF($P$3=$AT$10,'Statement of Marks'!AN58,IF($P$3=$AT$11,'Statement of Marks'!BK58,IF($P$3=$AT$12,'Statement of Marks'!CH58,IF($P$3=$AT$13,'Statement of Marks'!DF58,IF($P$3=$AT$14,"",IF($P$3=$AT$15,'Statement of Marks'!EZ58,""))))))))),"")</f>
        <v/>
      </c>
      <c r="N59" s="806" t="str">
        <f>IFERROR(IF(B59="","",IF($P$3=$AT$8,'Statement of Marks'!L58,IF($P$3=$AT$9,'Statement of Marks'!Z58,IF($P$3=$AT$10,'Statement of Marks'!AO58,IF($P$3=$AT$11,'Statement of Marks'!BL58,IF($P$3=$AT$12,'Statement of Marks'!CI58,IF($P$3=$AT$13,'Statement of Marks'!DG58,IF($P$3=$AT$14,"",IF($P$3=$AT$15,'Statement of Marks'!FA58,""))))))))),"")</f>
        <v/>
      </c>
      <c r="O59" s="807" t="str">
        <f t="shared" si="4"/>
        <v/>
      </c>
      <c r="P59" s="806" t="str">
        <f>IFERROR(IF(B59="","",IF($P$3=$AT$8,'Statement of Marks'!N58,IF($P$3=$AT$9,'Statement of Marks'!AB58,IF($P$3=$AT$10,'Statement of Marks'!AQ58,IF($P$3=$AT$11,'Statement of Marks'!BN58,IF($P$3=$AT$12,'Statement of Marks'!CK58,IF($P$3=$AT$13,'Statement of Marks'!DI58,IF($P$3=$AT$14,"",IF($P$3=$AT$15,'Statement of Marks'!FC58,""))))))))),"")</f>
        <v/>
      </c>
      <c r="Q59" s="806" t="str">
        <f>IFERROR(IF(B59="","",IF($P$3=$AT$8,"",IF($P$3=$AT$9,"",IF($P$3=$AT$10,'Statement of Marks'!AR58,IF($P$3=$AT$11,'Statement of Marks'!BO58,IF($P$3=$AT$12,'Statement of Marks'!CL58,IF($P$3=$AT$13,'Statement of Marks'!DJ58,IF($P$3=$AT$14,"",IF($P$3=$AT$15,"",""))))))))),"")</f>
        <v/>
      </c>
      <c r="R59" s="818" t="str">
        <f>IFERROR(IF(B59="","",IF(AND(P59="",Q59="",$P$3=""),"",IF($P$3=$AT$14,'Statement of Marks'!EC58,SUM(P59,Q59)))),"")</f>
        <v/>
      </c>
      <c r="S59" s="817" t="str">
        <f>IFERROR(IF(B59="","",IF($P$3=$AT$14,'Statement of Marks'!ED58,IF(AND(O59="NA",P59="NA",Q59="NA"),"NA",IF(AND(O59="",P59="",Q59=""),"",SUM(O59,P59,Q59))))),"")</f>
        <v/>
      </c>
      <c r="T59" s="806" t="str">
        <f>IFERROR(IF(B59="","",IF($P$3=$AT$8,'Statement of Marks'!P58,IF($P$3=$AT$9,'Statement of Marks'!AD58,IF($P$3=$AT$10,'Statement of Marks'!AU58,IF($P$3=$AT$11,'Statement of Marks'!BR58,IF($P$3=$AT$12,'Statement of Marks'!CO58,IF($P$3=$AT$13,'Statement of Marks'!DM58,IF($P$3=$AT$14,"",IF($P$3=$AT$15,'Statement of Marks'!FD58,""))))))))),"")</f>
        <v/>
      </c>
      <c r="U59" s="806" t="str">
        <f>IFERROR(IF(B59="","",IF($P$3=$AT$8,"",IF($P$3=$AT$9,"",IF($P$3=$AT$10,'Statement of Marks'!AV58,IF($P$3=$AT$11,'Statement of Marks'!BS58,IF($P$3=$AT$12,'Statement of Marks'!CP58,IF($P$3=$AT$13,'Statement of Marks'!DN58,IF($P$3=$AT$14,"",IF($P$3=$AT$15,"",""))))))))),"")</f>
        <v/>
      </c>
      <c r="V59" s="818" t="str">
        <f>IFERROR(IF(B59="","",IF(AND(T59="",U59="",$P$3=""),"",IF($P$3=$AT$14,'Statement of Marks'!EE58,SUM(T59,U59)))),"")</f>
        <v/>
      </c>
      <c r="W59" s="808" t="str">
        <f t="shared" si="5"/>
        <v/>
      </c>
      <c r="X59" s="809">
        <f t="shared" si="6"/>
        <v>0</v>
      </c>
      <c r="Y59" s="809">
        <f t="shared" si="7"/>
        <v>0</v>
      </c>
      <c r="Z59" s="809">
        <f t="shared" si="8"/>
        <v>0</v>
      </c>
      <c r="AA59" s="809" t="str">
        <f t="shared" si="9"/>
        <v/>
      </c>
      <c r="AB59" s="809" t="str">
        <f t="shared" si="10"/>
        <v/>
      </c>
      <c r="AC59" s="809" t="str">
        <f t="shared" si="11"/>
        <v/>
      </c>
      <c r="AD59" s="809" t="str">
        <f t="shared" si="12"/>
        <v/>
      </c>
      <c r="AE59" s="810" t="str">
        <f t="shared" si="13"/>
        <v/>
      </c>
      <c r="AF59" s="811" t="str">
        <f t="shared" si="14"/>
        <v/>
      </c>
      <c r="AG59" s="812" t="str">
        <f t="shared" si="15"/>
        <v/>
      </c>
      <c r="AW59" s="17" t="str">
        <f t="shared" si="16"/>
        <v/>
      </c>
      <c r="AX59" s="17" t="str">
        <f t="shared" si="17"/>
        <v/>
      </c>
      <c r="BM59" s="17" t="str">
        <f>IFERROR(VLOOKUP(B59,'Statement of Marks'!$B$8:'Statement of Marks'!$HI$207,37,0),"")</f>
        <v>A</v>
      </c>
      <c r="BN59" s="17" t="str">
        <f>IFERROR(VLOOKUP(B59,'Statement of Marks'!$B$8:'Statement of Marks'!$HI$207,60,0),"")</f>
        <v>A</v>
      </c>
      <c r="BO59" s="17" t="str">
        <f>IFERROR(VLOOKUP(B59,'Statement of Marks'!$B$8:'Statement of Marks'!$HI$207,83,0),"")</f>
        <v>A</v>
      </c>
      <c r="BP59" s="17" t="str">
        <f>IFERROR(VLOOKUP(B59,'Statement of Marks'!$B$8:'Statement of Marks'!$HI$207,107,0),"")</f>
        <v/>
      </c>
    </row>
    <row r="60" spans="1:68">
      <c r="A60" s="800">
        <f>IF('Statement of Marks'!A59="","",'Statement of Marks'!A59)</f>
        <v>52</v>
      </c>
      <c r="B60" s="801" t="str">
        <f>IF(OR($E$3="",$P$3=""),"",IF('Statement of Marks'!B59="","",'Statement of Marks'!B59))</f>
        <v/>
      </c>
      <c r="C60" s="810" t="str">
        <f>IF(OR($E$3="",$P$3=""),"",IF('Marks Entry'!C59="","",'Marks Entry'!C59))</f>
        <v/>
      </c>
      <c r="D60" s="802" t="str">
        <f>IF(OR($E$3="",$P$3=""),"",IF('Statement of Marks'!C59="","",'Statement of Marks'!C59))</f>
        <v/>
      </c>
      <c r="E60" s="803" t="str">
        <f>IF(OR($E$3="",$P$3=""),"",IF('Statement of Marks'!D59="","",'Statement of Marks'!D59))</f>
        <v/>
      </c>
      <c r="F60" s="804" t="str">
        <f>IF(OR($E$3="",$P$3=""),"",IF('Statement of Marks'!E59="","",'Statement of Marks'!E59))</f>
        <v/>
      </c>
      <c r="G60" s="804" t="str">
        <f>IF(OR($E$3="",$P$3=""),"",IF('Statement of Marks'!F59="","",'Statement of Marks'!F59))</f>
        <v/>
      </c>
      <c r="H60" s="804" t="str">
        <f>IF(OR($E$3="",$P$3=""),"",IF('Statement of Marks'!G59="","",'Statement of Marks'!G59))</f>
        <v/>
      </c>
      <c r="I60" s="805" t="str">
        <f>IF(OR($E$3="",$P$3=""),"",IF('Statement of Marks'!H59="","",'Statement of Marks'!H59))</f>
        <v/>
      </c>
      <c r="J60" s="805" t="str">
        <f>IF(OR($E$3="",$P$3=""),"",IF('Statement of Marks'!I59="","",'Statement of Marks'!I59))</f>
        <v/>
      </c>
      <c r="K60" s="805" t="str">
        <f>IFERROR(IF(B60="","",IF($P$3=$AT$10,IF(AND(BM60="A"),'Marks Entry'!$U$2,IF(AND(BM60="B"),'Marks Entry'!$Y$2,IF(AND(BM60="C"),'Marks Entry'!$AA$2,""))),IF($P$3=$AT$11,IF(AND(BN60="A"),'Marks Entry'!$AC$2,IF(AND(BN60="B"),'Marks Entry'!$AG$2,IF(AND(BN60="C"),'Marks Entry'!$AI$2,""))),IF($P$3=$AT$12,IF(AND(BO60="A"),'Marks Entry'!$AK$2,IF(AND(BO60="B"),'Marks Entry'!$AO$2,IF(AND(BO60="C"),'Marks Entry'!$AQ$2,""))),IF($P$3=$AT$13,IF(AND(BP60="A"),'Marks Entry'!$AS$2,IF(AND(BP60="B"),'Marks Entry'!$AW$2,IF(AND(BP60="C"),'Marks Entry'!$AY$2,""))),"-"))))),"")</f>
        <v/>
      </c>
      <c r="L60" s="806" t="str">
        <f>IFERROR(IF(B60="","",IF($P$3=$AT$8,'Statement of Marks'!J59,IF($P$3=$AT$9,'Statement of Marks'!X59,IF($P$3=$AT$10,'Statement of Marks'!AM59,IF($P$3=$AT$11,'Statement of Marks'!BJ59,IF($P$3=$AT$12,'Statement of Marks'!CG59,IF($P$3=$AT$13,'Statement of Marks'!DE59,IF($P$3=$AT$14,"",IF($P$3=$AT$15,'Statement of Marks'!EY59,""))))))))),"")</f>
        <v/>
      </c>
      <c r="M60" s="806" t="str">
        <f>IFERROR(IF(B60="","",IF($P$3=$AT$8,'Statement of Marks'!K59,IF($P$3=$AT$9,'Statement of Marks'!Y59,IF($P$3=$AT$10,'Statement of Marks'!AN59,IF($P$3=$AT$11,'Statement of Marks'!BK59,IF($P$3=$AT$12,'Statement of Marks'!CH59,IF($P$3=$AT$13,'Statement of Marks'!DF59,IF($P$3=$AT$14,"",IF($P$3=$AT$15,'Statement of Marks'!EZ59,""))))))))),"")</f>
        <v/>
      </c>
      <c r="N60" s="806" t="str">
        <f>IFERROR(IF(B60="","",IF($P$3=$AT$8,'Statement of Marks'!L59,IF($P$3=$AT$9,'Statement of Marks'!Z59,IF($P$3=$AT$10,'Statement of Marks'!AO59,IF($P$3=$AT$11,'Statement of Marks'!BL59,IF($P$3=$AT$12,'Statement of Marks'!CI59,IF($P$3=$AT$13,'Statement of Marks'!DG59,IF($P$3=$AT$14,"",IF($P$3=$AT$15,'Statement of Marks'!FA59,""))))))))),"")</f>
        <v/>
      </c>
      <c r="O60" s="807" t="str">
        <f t="shared" si="4"/>
        <v/>
      </c>
      <c r="P60" s="806" t="str">
        <f>IFERROR(IF(B60="","",IF($P$3=$AT$8,'Statement of Marks'!N59,IF($P$3=$AT$9,'Statement of Marks'!AB59,IF($P$3=$AT$10,'Statement of Marks'!AQ59,IF($P$3=$AT$11,'Statement of Marks'!BN59,IF($P$3=$AT$12,'Statement of Marks'!CK59,IF($P$3=$AT$13,'Statement of Marks'!DI59,IF($P$3=$AT$14,"",IF($P$3=$AT$15,'Statement of Marks'!FC59,""))))))))),"")</f>
        <v/>
      </c>
      <c r="Q60" s="806" t="str">
        <f>IFERROR(IF(B60="","",IF($P$3=$AT$8,"",IF($P$3=$AT$9,"",IF($P$3=$AT$10,'Statement of Marks'!AR59,IF($P$3=$AT$11,'Statement of Marks'!BO59,IF($P$3=$AT$12,'Statement of Marks'!CL59,IF($P$3=$AT$13,'Statement of Marks'!DJ59,IF($P$3=$AT$14,"",IF($P$3=$AT$15,"",""))))))))),"")</f>
        <v/>
      </c>
      <c r="R60" s="818" t="str">
        <f>IFERROR(IF(B60="","",IF(AND(P60="",Q60="",$P$3=""),"",IF($P$3=$AT$14,'Statement of Marks'!EC59,SUM(P60,Q60)))),"")</f>
        <v/>
      </c>
      <c r="S60" s="817" t="str">
        <f>IFERROR(IF(B60="","",IF($P$3=$AT$14,'Statement of Marks'!ED59,IF(AND(O60="NA",P60="NA",Q60="NA"),"NA",IF(AND(O60="",P60="",Q60=""),"",SUM(O60,P60,Q60))))),"")</f>
        <v/>
      </c>
      <c r="T60" s="806" t="str">
        <f>IFERROR(IF(B60="","",IF($P$3=$AT$8,'Statement of Marks'!P59,IF($P$3=$AT$9,'Statement of Marks'!AD59,IF($P$3=$AT$10,'Statement of Marks'!AU59,IF($P$3=$AT$11,'Statement of Marks'!BR59,IF($P$3=$AT$12,'Statement of Marks'!CO59,IF($P$3=$AT$13,'Statement of Marks'!DM59,IF($P$3=$AT$14,"",IF($P$3=$AT$15,'Statement of Marks'!FD59,""))))))))),"")</f>
        <v/>
      </c>
      <c r="U60" s="806" t="str">
        <f>IFERROR(IF(B60="","",IF($P$3=$AT$8,"",IF($P$3=$AT$9,"",IF($P$3=$AT$10,'Statement of Marks'!AV59,IF($P$3=$AT$11,'Statement of Marks'!BS59,IF($P$3=$AT$12,'Statement of Marks'!CP59,IF($P$3=$AT$13,'Statement of Marks'!DN59,IF($P$3=$AT$14,"",IF($P$3=$AT$15,"",""))))))))),"")</f>
        <v/>
      </c>
      <c r="V60" s="818" t="str">
        <f>IFERROR(IF(B60="","",IF(AND(T60="",U60="",$P$3=""),"",IF($P$3=$AT$14,'Statement of Marks'!EE59,SUM(T60,U60)))),"")</f>
        <v/>
      </c>
      <c r="W60" s="808" t="str">
        <f t="shared" si="5"/>
        <v/>
      </c>
      <c r="X60" s="809">
        <f t="shared" si="6"/>
        <v>0</v>
      </c>
      <c r="Y60" s="809">
        <f t="shared" si="7"/>
        <v>0</v>
      </c>
      <c r="Z60" s="809">
        <f t="shared" si="8"/>
        <v>0</v>
      </c>
      <c r="AA60" s="809" t="str">
        <f t="shared" si="9"/>
        <v/>
      </c>
      <c r="AB60" s="809" t="str">
        <f t="shared" si="10"/>
        <v/>
      </c>
      <c r="AC60" s="809" t="str">
        <f t="shared" si="11"/>
        <v/>
      </c>
      <c r="AD60" s="809" t="str">
        <f t="shared" si="12"/>
        <v/>
      </c>
      <c r="AE60" s="810" t="str">
        <f t="shared" si="13"/>
        <v/>
      </c>
      <c r="AF60" s="811" t="str">
        <f t="shared" si="14"/>
        <v/>
      </c>
      <c r="AG60" s="812" t="str">
        <f t="shared" si="15"/>
        <v/>
      </c>
      <c r="AW60" s="17" t="str">
        <f t="shared" si="16"/>
        <v/>
      </c>
      <c r="AX60" s="17" t="str">
        <f t="shared" si="17"/>
        <v/>
      </c>
      <c r="BM60" s="17" t="str">
        <f>IFERROR(VLOOKUP(B60,'Statement of Marks'!$B$8:'Statement of Marks'!$HI$207,37,0),"")</f>
        <v>A</v>
      </c>
      <c r="BN60" s="17" t="str">
        <f>IFERROR(VLOOKUP(B60,'Statement of Marks'!$B$8:'Statement of Marks'!$HI$207,60,0),"")</f>
        <v>A</v>
      </c>
      <c r="BO60" s="17" t="str">
        <f>IFERROR(VLOOKUP(B60,'Statement of Marks'!$B$8:'Statement of Marks'!$HI$207,83,0),"")</f>
        <v>A</v>
      </c>
      <c r="BP60" s="17" t="str">
        <f>IFERROR(VLOOKUP(B60,'Statement of Marks'!$B$8:'Statement of Marks'!$HI$207,107,0),"")</f>
        <v/>
      </c>
    </row>
    <row r="61" spans="1:68">
      <c r="A61" s="800">
        <f>IF('Statement of Marks'!A60="","",'Statement of Marks'!A60)</f>
        <v>53</v>
      </c>
      <c r="B61" s="801" t="str">
        <f>IF(OR($E$3="",$P$3=""),"",IF('Statement of Marks'!B60="","",'Statement of Marks'!B60))</f>
        <v/>
      </c>
      <c r="C61" s="810" t="str">
        <f>IF(OR($E$3="",$P$3=""),"",IF('Marks Entry'!C60="","",'Marks Entry'!C60))</f>
        <v/>
      </c>
      <c r="D61" s="802" t="str">
        <f>IF(OR($E$3="",$P$3=""),"",IF('Statement of Marks'!C60="","",'Statement of Marks'!C60))</f>
        <v/>
      </c>
      <c r="E61" s="803" t="str">
        <f>IF(OR($E$3="",$P$3=""),"",IF('Statement of Marks'!D60="","",'Statement of Marks'!D60))</f>
        <v/>
      </c>
      <c r="F61" s="804" t="str">
        <f>IF(OR($E$3="",$P$3=""),"",IF('Statement of Marks'!E60="","",'Statement of Marks'!E60))</f>
        <v/>
      </c>
      <c r="G61" s="804" t="str">
        <f>IF(OR($E$3="",$P$3=""),"",IF('Statement of Marks'!F60="","",'Statement of Marks'!F60))</f>
        <v/>
      </c>
      <c r="H61" s="804" t="str">
        <f>IF(OR($E$3="",$P$3=""),"",IF('Statement of Marks'!G60="","",'Statement of Marks'!G60))</f>
        <v/>
      </c>
      <c r="I61" s="805" t="str">
        <f>IF(OR($E$3="",$P$3=""),"",IF('Statement of Marks'!H60="","",'Statement of Marks'!H60))</f>
        <v/>
      </c>
      <c r="J61" s="805" t="str">
        <f>IF(OR($E$3="",$P$3=""),"",IF('Statement of Marks'!I60="","",'Statement of Marks'!I60))</f>
        <v/>
      </c>
      <c r="K61" s="805" t="str">
        <f>IFERROR(IF(B61="","",IF($P$3=$AT$10,IF(AND(BM61="A"),'Marks Entry'!$U$2,IF(AND(BM61="B"),'Marks Entry'!$Y$2,IF(AND(BM61="C"),'Marks Entry'!$AA$2,""))),IF($P$3=$AT$11,IF(AND(BN61="A"),'Marks Entry'!$AC$2,IF(AND(BN61="B"),'Marks Entry'!$AG$2,IF(AND(BN61="C"),'Marks Entry'!$AI$2,""))),IF($P$3=$AT$12,IF(AND(BO61="A"),'Marks Entry'!$AK$2,IF(AND(BO61="B"),'Marks Entry'!$AO$2,IF(AND(BO61="C"),'Marks Entry'!$AQ$2,""))),IF($P$3=$AT$13,IF(AND(BP61="A"),'Marks Entry'!$AS$2,IF(AND(BP61="B"),'Marks Entry'!$AW$2,IF(AND(BP61="C"),'Marks Entry'!$AY$2,""))),"-"))))),"")</f>
        <v/>
      </c>
      <c r="L61" s="806" t="str">
        <f>IFERROR(IF(B61="","",IF($P$3=$AT$8,'Statement of Marks'!J60,IF($P$3=$AT$9,'Statement of Marks'!X60,IF($P$3=$AT$10,'Statement of Marks'!AM60,IF($P$3=$AT$11,'Statement of Marks'!BJ60,IF($P$3=$AT$12,'Statement of Marks'!CG60,IF($P$3=$AT$13,'Statement of Marks'!DE60,IF($P$3=$AT$14,"",IF($P$3=$AT$15,'Statement of Marks'!EY60,""))))))))),"")</f>
        <v/>
      </c>
      <c r="M61" s="806" t="str">
        <f>IFERROR(IF(B61="","",IF($P$3=$AT$8,'Statement of Marks'!K60,IF($P$3=$AT$9,'Statement of Marks'!Y60,IF($P$3=$AT$10,'Statement of Marks'!AN60,IF($P$3=$AT$11,'Statement of Marks'!BK60,IF($P$3=$AT$12,'Statement of Marks'!CH60,IF($P$3=$AT$13,'Statement of Marks'!DF60,IF($P$3=$AT$14,"",IF($P$3=$AT$15,'Statement of Marks'!EZ60,""))))))))),"")</f>
        <v/>
      </c>
      <c r="N61" s="806" t="str">
        <f>IFERROR(IF(B61="","",IF($P$3=$AT$8,'Statement of Marks'!L60,IF($P$3=$AT$9,'Statement of Marks'!Z60,IF($P$3=$AT$10,'Statement of Marks'!AO60,IF($P$3=$AT$11,'Statement of Marks'!BL60,IF($P$3=$AT$12,'Statement of Marks'!CI60,IF($P$3=$AT$13,'Statement of Marks'!DG60,IF($P$3=$AT$14,"",IF($P$3=$AT$15,'Statement of Marks'!FA60,""))))))))),"")</f>
        <v/>
      </c>
      <c r="O61" s="807" t="str">
        <f t="shared" si="4"/>
        <v/>
      </c>
      <c r="P61" s="806" t="str">
        <f>IFERROR(IF(B61="","",IF($P$3=$AT$8,'Statement of Marks'!N60,IF($P$3=$AT$9,'Statement of Marks'!AB60,IF($P$3=$AT$10,'Statement of Marks'!AQ60,IF($P$3=$AT$11,'Statement of Marks'!BN60,IF($P$3=$AT$12,'Statement of Marks'!CK60,IF($P$3=$AT$13,'Statement of Marks'!DI60,IF($P$3=$AT$14,"",IF($P$3=$AT$15,'Statement of Marks'!FC60,""))))))))),"")</f>
        <v/>
      </c>
      <c r="Q61" s="806" t="str">
        <f>IFERROR(IF(B61="","",IF($P$3=$AT$8,"",IF($P$3=$AT$9,"",IF($P$3=$AT$10,'Statement of Marks'!AR60,IF($P$3=$AT$11,'Statement of Marks'!BO60,IF($P$3=$AT$12,'Statement of Marks'!CL60,IF($P$3=$AT$13,'Statement of Marks'!DJ60,IF($P$3=$AT$14,"",IF($P$3=$AT$15,"",""))))))))),"")</f>
        <v/>
      </c>
      <c r="R61" s="818" t="str">
        <f>IFERROR(IF(B61="","",IF(AND(P61="",Q61="",$P$3=""),"",IF($P$3=$AT$14,'Statement of Marks'!EC60,SUM(P61,Q61)))),"")</f>
        <v/>
      </c>
      <c r="S61" s="817" t="str">
        <f>IFERROR(IF(B61="","",IF($P$3=$AT$14,'Statement of Marks'!ED60,IF(AND(O61="NA",P61="NA",Q61="NA"),"NA",IF(AND(O61="",P61="",Q61=""),"",SUM(O61,P61,Q61))))),"")</f>
        <v/>
      </c>
      <c r="T61" s="806" t="str">
        <f>IFERROR(IF(B61="","",IF($P$3=$AT$8,'Statement of Marks'!P60,IF($P$3=$AT$9,'Statement of Marks'!AD60,IF($P$3=$AT$10,'Statement of Marks'!AU60,IF($P$3=$AT$11,'Statement of Marks'!BR60,IF($P$3=$AT$12,'Statement of Marks'!CO60,IF($P$3=$AT$13,'Statement of Marks'!DM60,IF($P$3=$AT$14,"",IF($P$3=$AT$15,'Statement of Marks'!FD60,""))))))))),"")</f>
        <v/>
      </c>
      <c r="U61" s="806" t="str">
        <f>IFERROR(IF(B61="","",IF($P$3=$AT$8,"",IF($P$3=$AT$9,"",IF($P$3=$AT$10,'Statement of Marks'!AV60,IF($P$3=$AT$11,'Statement of Marks'!BS60,IF($P$3=$AT$12,'Statement of Marks'!CP60,IF($P$3=$AT$13,'Statement of Marks'!DN60,IF($P$3=$AT$14,"",IF($P$3=$AT$15,"",""))))))))),"")</f>
        <v/>
      </c>
      <c r="V61" s="818" t="str">
        <f>IFERROR(IF(B61="","",IF(AND(T61="",U61="",$P$3=""),"",IF($P$3=$AT$14,'Statement of Marks'!EE60,SUM(T61,U61)))),"")</f>
        <v/>
      </c>
      <c r="W61" s="808" t="str">
        <f t="shared" si="5"/>
        <v/>
      </c>
      <c r="X61" s="809">
        <f t="shared" si="6"/>
        <v>0</v>
      </c>
      <c r="Y61" s="809">
        <f t="shared" si="7"/>
        <v>0</v>
      </c>
      <c r="Z61" s="809">
        <f t="shared" si="8"/>
        <v>0</v>
      </c>
      <c r="AA61" s="809" t="str">
        <f t="shared" si="9"/>
        <v/>
      </c>
      <c r="AB61" s="809" t="str">
        <f t="shared" si="10"/>
        <v/>
      </c>
      <c r="AC61" s="809" t="str">
        <f t="shared" si="11"/>
        <v/>
      </c>
      <c r="AD61" s="809" t="str">
        <f t="shared" si="12"/>
        <v/>
      </c>
      <c r="AE61" s="810" t="str">
        <f t="shared" si="13"/>
        <v/>
      </c>
      <c r="AF61" s="811" t="str">
        <f t="shared" si="14"/>
        <v/>
      </c>
      <c r="AG61" s="812" t="str">
        <f t="shared" si="15"/>
        <v/>
      </c>
      <c r="AW61" s="17" t="str">
        <f t="shared" si="16"/>
        <v/>
      </c>
      <c r="AX61" s="17" t="str">
        <f t="shared" si="17"/>
        <v/>
      </c>
      <c r="BM61" s="17" t="str">
        <f>IFERROR(VLOOKUP(B61,'Statement of Marks'!$B$8:'Statement of Marks'!$HI$207,37,0),"")</f>
        <v>A</v>
      </c>
      <c r="BN61" s="17" t="str">
        <f>IFERROR(VLOOKUP(B61,'Statement of Marks'!$B$8:'Statement of Marks'!$HI$207,60,0),"")</f>
        <v>A</v>
      </c>
      <c r="BO61" s="17" t="str">
        <f>IFERROR(VLOOKUP(B61,'Statement of Marks'!$B$8:'Statement of Marks'!$HI$207,83,0),"")</f>
        <v>A</v>
      </c>
      <c r="BP61" s="17" t="str">
        <f>IFERROR(VLOOKUP(B61,'Statement of Marks'!$B$8:'Statement of Marks'!$HI$207,107,0),"")</f>
        <v/>
      </c>
    </row>
    <row r="62" spans="1:68">
      <c r="A62" s="800">
        <f>IF('Statement of Marks'!A61="","",'Statement of Marks'!A61)</f>
        <v>54</v>
      </c>
      <c r="B62" s="801" t="str">
        <f>IF(OR($E$3="",$P$3=""),"",IF('Statement of Marks'!B61="","",'Statement of Marks'!B61))</f>
        <v/>
      </c>
      <c r="C62" s="810" t="str">
        <f>IF(OR($E$3="",$P$3=""),"",IF('Marks Entry'!C61="","",'Marks Entry'!C61))</f>
        <v/>
      </c>
      <c r="D62" s="802" t="str">
        <f>IF(OR($E$3="",$P$3=""),"",IF('Statement of Marks'!C61="","",'Statement of Marks'!C61))</f>
        <v/>
      </c>
      <c r="E62" s="803" t="str">
        <f>IF(OR($E$3="",$P$3=""),"",IF('Statement of Marks'!D61="","",'Statement of Marks'!D61))</f>
        <v/>
      </c>
      <c r="F62" s="804" t="str">
        <f>IF(OR($E$3="",$P$3=""),"",IF('Statement of Marks'!E61="","",'Statement of Marks'!E61))</f>
        <v/>
      </c>
      <c r="G62" s="804" t="str">
        <f>IF(OR($E$3="",$P$3=""),"",IF('Statement of Marks'!F61="","",'Statement of Marks'!F61))</f>
        <v/>
      </c>
      <c r="H62" s="804" t="str">
        <f>IF(OR($E$3="",$P$3=""),"",IF('Statement of Marks'!G61="","",'Statement of Marks'!G61))</f>
        <v/>
      </c>
      <c r="I62" s="805" t="str">
        <f>IF(OR($E$3="",$P$3=""),"",IF('Statement of Marks'!H61="","",'Statement of Marks'!H61))</f>
        <v/>
      </c>
      <c r="J62" s="805" t="str">
        <f>IF(OR($E$3="",$P$3=""),"",IF('Statement of Marks'!I61="","",'Statement of Marks'!I61))</f>
        <v/>
      </c>
      <c r="K62" s="805" t="str">
        <f>IFERROR(IF(B62="","",IF($P$3=$AT$10,IF(AND(BM62="A"),'Marks Entry'!$U$2,IF(AND(BM62="B"),'Marks Entry'!$Y$2,IF(AND(BM62="C"),'Marks Entry'!$AA$2,""))),IF($P$3=$AT$11,IF(AND(BN62="A"),'Marks Entry'!$AC$2,IF(AND(BN62="B"),'Marks Entry'!$AG$2,IF(AND(BN62="C"),'Marks Entry'!$AI$2,""))),IF($P$3=$AT$12,IF(AND(BO62="A"),'Marks Entry'!$AK$2,IF(AND(BO62="B"),'Marks Entry'!$AO$2,IF(AND(BO62="C"),'Marks Entry'!$AQ$2,""))),IF($P$3=$AT$13,IF(AND(BP62="A"),'Marks Entry'!$AS$2,IF(AND(BP62="B"),'Marks Entry'!$AW$2,IF(AND(BP62="C"),'Marks Entry'!$AY$2,""))),"-"))))),"")</f>
        <v/>
      </c>
      <c r="L62" s="806" t="str">
        <f>IFERROR(IF(B62="","",IF($P$3=$AT$8,'Statement of Marks'!J61,IF($P$3=$AT$9,'Statement of Marks'!X61,IF($P$3=$AT$10,'Statement of Marks'!AM61,IF($P$3=$AT$11,'Statement of Marks'!BJ61,IF($P$3=$AT$12,'Statement of Marks'!CG61,IF($P$3=$AT$13,'Statement of Marks'!DE61,IF($P$3=$AT$14,"",IF($P$3=$AT$15,'Statement of Marks'!EY61,""))))))))),"")</f>
        <v/>
      </c>
      <c r="M62" s="806" t="str">
        <f>IFERROR(IF(B62="","",IF($P$3=$AT$8,'Statement of Marks'!K61,IF($P$3=$AT$9,'Statement of Marks'!Y61,IF($P$3=$AT$10,'Statement of Marks'!AN61,IF($P$3=$AT$11,'Statement of Marks'!BK61,IF($P$3=$AT$12,'Statement of Marks'!CH61,IF($P$3=$AT$13,'Statement of Marks'!DF61,IF($P$3=$AT$14,"",IF($P$3=$AT$15,'Statement of Marks'!EZ61,""))))))))),"")</f>
        <v/>
      </c>
      <c r="N62" s="806" t="str">
        <f>IFERROR(IF(B62="","",IF($P$3=$AT$8,'Statement of Marks'!L61,IF($P$3=$AT$9,'Statement of Marks'!Z61,IF($P$3=$AT$10,'Statement of Marks'!AO61,IF($P$3=$AT$11,'Statement of Marks'!BL61,IF($P$3=$AT$12,'Statement of Marks'!CI61,IF($P$3=$AT$13,'Statement of Marks'!DG61,IF($P$3=$AT$14,"",IF($P$3=$AT$15,'Statement of Marks'!FA61,""))))))))),"")</f>
        <v/>
      </c>
      <c r="O62" s="807" t="str">
        <f t="shared" si="4"/>
        <v/>
      </c>
      <c r="P62" s="806" t="str">
        <f>IFERROR(IF(B62="","",IF($P$3=$AT$8,'Statement of Marks'!N61,IF($P$3=$AT$9,'Statement of Marks'!AB61,IF($P$3=$AT$10,'Statement of Marks'!AQ61,IF($P$3=$AT$11,'Statement of Marks'!BN61,IF($P$3=$AT$12,'Statement of Marks'!CK61,IF($P$3=$AT$13,'Statement of Marks'!DI61,IF($P$3=$AT$14,"",IF($P$3=$AT$15,'Statement of Marks'!FC61,""))))))))),"")</f>
        <v/>
      </c>
      <c r="Q62" s="806" t="str">
        <f>IFERROR(IF(B62="","",IF($P$3=$AT$8,"",IF($P$3=$AT$9,"",IF($P$3=$AT$10,'Statement of Marks'!AR61,IF($P$3=$AT$11,'Statement of Marks'!BO61,IF($P$3=$AT$12,'Statement of Marks'!CL61,IF($P$3=$AT$13,'Statement of Marks'!DJ61,IF($P$3=$AT$14,"",IF($P$3=$AT$15,"",""))))))))),"")</f>
        <v/>
      </c>
      <c r="R62" s="818" t="str">
        <f>IFERROR(IF(B62="","",IF(AND(P62="",Q62="",$P$3=""),"",IF($P$3=$AT$14,'Statement of Marks'!EC61,SUM(P62,Q62)))),"")</f>
        <v/>
      </c>
      <c r="S62" s="817" t="str">
        <f>IFERROR(IF(B62="","",IF($P$3=$AT$14,'Statement of Marks'!ED61,IF(AND(O62="NA",P62="NA",Q62="NA"),"NA",IF(AND(O62="",P62="",Q62=""),"",SUM(O62,P62,Q62))))),"")</f>
        <v/>
      </c>
      <c r="T62" s="806" t="str">
        <f>IFERROR(IF(B62="","",IF($P$3=$AT$8,'Statement of Marks'!P61,IF($P$3=$AT$9,'Statement of Marks'!AD61,IF($P$3=$AT$10,'Statement of Marks'!AU61,IF($P$3=$AT$11,'Statement of Marks'!BR61,IF($P$3=$AT$12,'Statement of Marks'!CO61,IF($P$3=$AT$13,'Statement of Marks'!DM61,IF($P$3=$AT$14,"",IF($P$3=$AT$15,'Statement of Marks'!FD61,""))))))))),"")</f>
        <v/>
      </c>
      <c r="U62" s="806" t="str">
        <f>IFERROR(IF(B62="","",IF($P$3=$AT$8,"",IF($P$3=$AT$9,"",IF($P$3=$AT$10,'Statement of Marks'!AV61,IF($P$3=$AT$11,'Statement of Marks'!BS61,IF($P$3=$AT$12,'Statement of Marks'!CP61,IF($P$3=$AT$13,'Statement of Marks'!DN61,IF($P$3=$AT$14,"",IF($P$3=$AT$15,"",""))))))))),"")</f>
        <v/>
      </c>
      <c r="V62" s="818" t="str">
        <f>IFERROR(IF(B62="","",IF(AND(T62="",U62="",$P$3=""),"",IF($P$3=$AT$14,'Statement of Marks'!EE61,SUM(T62,U62)))),"")</f>
        <v/>
      </c>
      <c r="W62" s="808" t="str">
        <f t="shared" si="5"/>
        <v/>
      </c>
      <c r="X62" s="809">
        <f t="shared" si="6"/>
        <v>0</v>
      </c>
      <c r="Y62" s="809">
        <f t="shared" si="7"/>
        <v>0</v>
      </c>
      <c r="Z62" s="809">
        <f t="shared" si="8"/>
        <v>0</v>
      </c>
      <c r="AA62" s="809" t="str">
        <f t="shared" si="9"/>
        <v/>
      </c>
      <c r="AB62" s="809" t="str">
        <f t="shared" si="10"/>
        <v/>
      </c>
      <c r="AC62" s="809" t="str">
        <f t="shared" si="11"/>
        <v/>
      </c>
      <c r="AD62" s="809" t="str">
        <f t="shared" si="12"/>
        <v/>
      </c>
      <c r="AE62" s="810" t="str">
        <f t="shared" si="13"/>
        <v/>
      </c>
      <c r="AF62" s="811" t="str">
        <f t="shared" si="14"/>
        <v/>
      </c>
      <c r="AG62" s="812" t="str">
        <f t="shared" si="15"/>
        <v/>
      </c>
      <c r="AW62" s="17" t="str">
        <f t="shared" si="16"/>
        <v/>
      </c>
      <c r="AX62" s="17" t="str">
        <f t="shared" si="17"/>
        <v/>
      </c>
      <c r="BM62" s="17" t="str">
        <f>IFERROR(VLOOKUP(B62,'Statement of Marks'!$B$8:'Statement of Marks'!$HI$207,37,0),"")</f>
        <v>A</v>
      </c>
      <c r="BN62" s="17" t="str">
        <f>IFERROR(VLOOKUP(B62,'Statement of Marks'!$B$8:'Statement of Marks'!$HI$207,60,0),"")</f>
        <v>A</v>
      </c>
      <c r="BO62" s="17" t="str">
        <f>IFERROR(VLOOKUP(B62,'Statement of Marks'!$B$8:'Statement of Marks'!$HI$207,83,0),"")</f>
        <v>A</v>
      </c>
      <c r="BP62" s="17" t="str">
        <f>IFERROR(VLOOKUP(B62,'Statement of Marks'!$B$8:'Statement of Marks'!$HI$207,107,0),"")</f>
        <v/>
      </c>
    </row>
    <row r="63" spans="1:68">
      <c r="A63" s="800">
        <f>IF('Statement of Marks'!A62="","",'Statement of Marks'!A62)</f>
        <v>55</v>
      </c>
      <c r="B63" s="801" t="str">
        <f>IF(OR($E$3="",$P$3=""),"",IF('Statement of Marks'!B62="","",'Statement of Marks'!B62))</f>
        <v/>
      </c>
      <c r="C63" s="810" t="str">
        <f>IF(OR($E$3="",$P$3=""),"",IF('Marks Entry'!C62="","",'Marks Entry'!C62))</f>
        <v/>
      </c>
      <c r="D63" s="802" t="str">
        <f>IF(OR($E$3="",$P$3=""),"",IF('Statement of Marks'!C62="","",'Statement of Marks'!C62))</f>
        <v/>
      </c>
      <c r="E63" s="803" t="str">
        <f>IF(OR($E$3="",$P$3=""),"",IF('Statement of Marks'!D62="","",'Statement of Marks'!D62))</f>
        <v/>
      </c>
      <c r="F63" s="804" t="str">
        <f>IF(OR($E$3="",$P$3=""),"",IF('Statement of Marks'!E62="","",'Statement of Marks'!E62))</f>
        <v/>
      </c>
      <c r="G63" s="804" t="str">
        <f>IF(OR($E$3="",$P$3=""),"",IF('Statement of Marks'!F62="","",'Statement of Marks'!F62))</f>
        <v/>
      </c>
      <c r="H63" s="804" t="str">
        <f>IF(OR($E$3="",$P$3=""),"",IF('Statement of Marks'!G62="","",'Statement of Marks'!G62))</f>
        <v/>
      </c>
      <c r="I63" s="805" t="str">
        <f>IF(OR($E$3="",$P$3=""),"",IF('Statement of Marks'!H62="","",'Statement of Marks'!H62))</f>
        <v/>
      </c>
      <c r="J63" s="805" t="str">
        <f>IF(OR($E$3="",$P$3=""),"",IF('Statement of Marks'!I62="","",'Statement of Marks'!I62))</f>
        <v/>
      </c>
      <c r="K63" s="805" t="str">
        <f>IFERROR(IF(B63="","",IF($P$3=$AT$10,IF(AND(BM63="A"),'Marks Entry'!$U$2,IF(AND(BM63="B"),'Marks Entry'!$Y$2,IF(AND(BM63="C"),'Marks Entry'!$AA$2,""))),IF($P$3=$AT$11,IF(AND(BN63="A"),'Marks Entry'!$AC$2,IF(AND(BN63="B"),'Marks Entry'!$AG$2,IF(AND(BN63="C"),'Marks Entry'!$AI$2,""))),IF($P$3=$AT$12,IF(AND(BO63="A"),'Marks Entry'!$AK$2,IF(AND(BO63="B"),'Marks Entry'!$AO$2,IF(AND(BO63="C"),'Marks Entry'!$AQ$2,""))),IF($P$3=$AT$13,IF(AND(BP63="A"),'Marks Entry'!$AS$2,IF(AND(BP63="B"),'Marks Entry'!$AW$2,IF(AND(BP63="C"),'Marks Entry'!$AY$2,""))),"-"))))),"")</f>
        <v/>
      </c>
      <c r="L63" s="806" t="str">
        <f>IFERROR(IF(B63="","",IF($P$3=$AT$8,'Statement of Marks'!J62,IF($P$3=$AT$9,'Statement of Marks'!X62,IF($P$3=$AT$10,'Statement of Marks'!AM62,IF($P$3=$AT$11,'Statement of Marks'!BJ62,IF($P$3=$AT$12,'Statement of Marks'!CG62,IF($P$3=$AT$13,'Statement of Marks'!DE62,IF($P$3=$AT$14,"",IF($P$3=$AT$15,'Statement of Marks'!EY62,""))))))))),"")</f>
        <v/>
      </c>
      <c r="M63" s="806" t="str">
        <f>IFERROR(IF(B63="","",IF($P$3=$AT$8,'Statement of Marks'!K62,IF($P$3=$AT$9,'Statement of Marks'!Y62,IF($P$3=$AT$10,'Statement of Marks'!AN62,IF($P$3=$AT$11,'Statement of Marks'!BK62,IF($P$3=$AT$12,'Statement of Marks'!CH62,IF($P$3=$AT$13,'Statement of Marks'!DF62,IF($P$3=$AT$14,"",IF($P$3=$AT$15,'Statement of Marks'!EZ62,""))))))))),"")</f>
        <v/>
      </c>
      <c r="N63" s="806" t="str">
        <f>IFERROR(IF(B63="","",IF($P$3=$AT$8,'Statement of Marks'!L62,IF($P$3=$AT$9,'Statement of Marks'!Z62,IF($P$3=$AT$10,'Statement of Marks'!AO62,IF($P$3=$AT$11,'Statement of Marks'!BL62,IF($P$3=$AT$12,'Statement of Marks'!CI62,IF($P$3=$AT$13,'Statement of Marks'!DG62,IF($P$3=$AT$14,"",IF($P$3=$AT$15,'Statement of Marks'!FA62,""))))))))),"")</f>
        <v/>
      </c>
      <c r="O63" s="807" t="str">
        <f t="shared" si="4"/>
        <v/>
      </c>
      <c r="P63" s="806" t="str">
        <f>IFERROR(IF(B63="","",IF($P$3=$AT$8,'Statement of Marks'!N62,IF($P$3=$AT$9,'Statement of Marks'!AB62,IF($P$3=$AT$10,'Statement of Marks'!AQ62,IF($P$3=$AT$11,'Statement of Marks'!BN62,IF($P$3=$AT$12,'Statement of Marks'!CK62,IF($P$3=$AT$13,'Statement of Marks'!DI62,IF($P$3=$AT$14,"",IF($P$3=$AT$15,'Statement of Marks'!FC62,""))))))))),"")</f>
        <v/>
      </c>
      <c r="Q63" s="806" t="str">
        <f>IFERROR(IF(B63="","",IF($P$3=$AT$8,"",IF($P$3=$AT$9,"",IF($P$3=$AT$10,'Statement of Marks'!AR62,IF($P$3=$AT$11,'Statement of Marks'!BO62,IF($P$3=$AT$12,'Statement of Marks'!CL62,IF($P$3=$AT$13,'Statement of Marks'!DJ62,IF($P$3=$AT$14,"",IF($P$3=$AT$15,"",""))))))))),"")</f>
        <v/>
      </c>
      <c r="R63" s="818" t="str">
        <f>IFERROR(IF(B63="","",IF(AND(P63="",Q63="",$P$3=""),"",IF($P$3=$AT$14,'Statement of Marks'!EC62,SUM(P63,Q63)))),"")</f>
        <v/>
      </c>
      <c r="S63" s="817" t="str">
        <f>IFERROR(IF(B63="","",IF($P$3=$AT$14,'Statement of Marks'!ED62,IF(AND(O63="NA",P63="NA",Q63="NA"),"NA",IF(AND(O63="",P63="",Q63=""),"",SUM(O63,P63,Q63))))),"")</f>
        <v/>
      </c>
      <c r="T63" s="806" t="str">
        <f>IFERROR(IF(B63="","",IF($P$3=$AT$8,'Statement of Marks'!P62,IF($P$3=$AT$9,'Statement of Marks'!AD62,IF($P$3=$AT$10,'Statement of Marks'!AU62,IF($P$3=$AT$11,'Statement of Marks'!BR62,IF($P$3=$AT$12,'Statement of Marks'!CO62,IF($P$3=$AT$13,'Statement of Marks'!DM62,IF($P$3=$AT$14,"",IF($P$3=$AT$15,'Statement of Marks'!FD62,""))))))))),"")</f>
        <v/>
      </c>
      <c r="U63" s="806" t="str">
        <f>IFERROR(IF(B63="","",IF($P$3=$AT$8,"",IF($P$3=$AT$9,"",IF($P$3=$AT$10,'Statement of Marks'!AV62,IF($P$3=$AT$11,'Statement of Marks'!BS62,IF($P$3=$AT$12,'Statement of Marks'!CP62,IF($P$3=$AT$13,'Statement of Marks'!DN62,IF($P$3=$AT$14,"",IF($P$3=$AT$15,"",""))))))))),"")</f>
        <v/>
      </c>
      <c r="V63" s="818" t="str">
        <f>IFERROR(IF(B63="","",IF(AND(T63="",U63="",$P$3=""),"",IF($P$3=$AT$14,'Statement of Marks'!EE62,SUM(T63,U63)))),"")</f>
        <v/>
      </c>
      <c r="W63" s="808" t="str">
        <f t="shared" si="5"/>
        <v/>
      </c>
      <c r="X63" s="809">
        <f t="shared" si="6"/>
        <v>0</v>
      </c>
      <c r="Y63" s="809">
        <f t="shared" si="7"/>
        <v>0</v>
      </c>
      <c r="Z63" s="809">
        <f t="shared" si="8"/>
        <v>0</v>
      </c>
      <c r="AA63" s="809" t="str">
        <f t="shared" si="9"/>
        <v/>
      </c>
      <c r="AB63" s="809" t="str">
        <f t="shared" si="10"/>
        <v/>
      </c>
      <c r="AC63" s="809" t="str">
        <f t="shared" si="11"/>
        <v/>
      </c>
      <c r="AD63" s="809" t="str">
        <f t="shared" si="12"/>
        <v/>
      </c>
      <c r="AE63" s="810" t="str">
        <f t="shared" si="13"/>
        <v/>
      </c>
      <c r="AF63" s="811" t="str">
        <f t="shared" si="14"/>
        <v/>
      </c>
      <c r="AG63" s="812" t="str">
        <f t="shared" si="15"/>
        <v/>
      </c>
      <c r="AW63" s="17" t="str">
        <f t="shared" si="16"/>
        <v/>
      </c>
      <c r="AX63" s="17" t="str">
        <f t="shared" si="17"/>
        <v/>
      </c>
      <c r="BM63" s="17" t="str">
        <f>IFERROR(VLOOKUP(B63,'Statement of Marks'!$B$8:'Statement of Marks'!$HI$207,37,0),"")</f>
        <v>A</v>
      </c>
      <c r="BN63" s="17" t="str">
        <f>IFERROR(VLOOKUP(B63,'Statement of Marks'!$B$8:'Statement of Marks'!$HI$207,60,0),"")</f>
        <v>A</v>
      </c>
      <c r="BO63" s="17" t="str">
        <f>IFERROR(VLOOKUP(B63,'Statement of Marks'!$B$8:'Statement of Marks'!$HI$207,83,0),"")</f>
        <v>A</v>
      </c>
      <c r="BP63" s="17" t="str">
        <f>IFERROR(VLOOKUP(B63,'Statement of Marks'!$B$8:'Statement of Marks'!$HI$207,107,0),"")</f>
        <v/>
      </c>
    </row>
    <row r="64" spans="1:68">
      <c r="A64" s="800">
        <f>IF('Statement of Marks'!A63="","",'Statement of Marks'!A63)</f>
        <v>56</v>
      </c>
      <c r="B64" s="801" t="str">
        <f>IF(OR($E$3="",$P$3=""),"",IF('Statement of Marks'!B63="","",'Statement of Marks'!B63))</f>
        <v/>
      </c>
      <c r="C64" s="810" t="str">
        <f>IF(OR($E$3="",$P$3=""),"",IF('Marks Entry'!C63="","",'Marks Entry'!C63))</f>
        <v/>
      </c>
      <c r="D64" s="802" t="str">
        <f>IF(OR($E$3="",$P$3=""),"",IF('Statement of Marks'!C63="","",'Statement of Marks'!C63))</f>
        <v/>
      </c>
      <c r="E64" s="803" t="str">
        <f>IF(OR($E$3="",$P$3=""),"",IF('Statement of Marks'!D63="","",'Statement of Marks'!D63))</f>
        <v/>
      </c>
      <c r="F64" s="804" t="str">
        <f>IF(OR($E$3="",$P$3=""),"",IF('Statement of Marks'!E63="","",'Statement of Marks'!E63))</f>
        <v/>
      </c>
      <c r="G64" s="804" t="str">
        <f>IF(OR($E$3="",$P$3=""),"",IF('Statement of Marks'!F63="","",'Statement of Marks'!F63))</f>
        <v/>
      </c>
      <c r="H64" s="804" t="str">
        <f>IF(OR($E$3="",$P$3=""),"",IF('Statement of Marks'!G63="","",'Statement of Marks'!G63))</f>
        <v/>
      </c>
      <c r="I64" s="805" t="str">
        <f>IF(OR($E$3="",$P$3=""),"",IF('Statement of Marks'!H63="","",'Statement of Marks'!H63))</f>
        <v/>
      </c>
      <c r="J64" s="805" t="str">
        <f>IF(OR($E$3="",$P$3=""),"",IF('Statement of Marks'!I63="","",'Statement of Marks'!I63))</f>
        <v/>
      </c>
      <c r="K64" s="805" t="str">
        <f>IFERROR(IF(B64="","",IF($P$3=$AT$10,IF(AND(BM64="A"),'Marks Entry'!$U$2,IF(AND(BM64="B"),'Marks Entry'!$Y$2,IF(AND(BM64="C"),'Marks Entry'!$AA$2,""))),IF($P$3=$AT$11,IF(AND(BN64="A"),'Marks Entry'!$AC$2,IF(AND(BN64="B"),'Marks Entry'!$AG$2,IF(AND(BN64="C"),'Marks Entry'!$AI$2,""))),IF($P$3=$AT$12,IF(AND(BO64="A"),'Marks Entry'!$AK$2,IF(AND(BO64="B"),'Marks Entry'!$AO$2,IF(AND(BO64="C"),'Marks Entry'!$AQ$2,""))),IF($P$3=$AT$13,IF(AND(BP64="A"),'Marks Entry'!$AS$2,IF(AND(BP64="B"),'Marks Entry'!$AW$2,IF(AND(BP64="C"),'Marks Entry'!$AY$2,""))),"-"))))),"")</f>
        <v/>
      </c>
      <c r="L64" s="806" t="str">
        <f>IFERROR(IF(B64="","",IF($P$3=$AT$8,'Statement of Marks'!J63,IF($P$3=$AT$9,'Statement of Marks'!X63,IF($P$3=$AT$10,'Statement of Marks'!AM63,IF($P$3=$AT$11,'Statement of Marks'!BJ63,IF($P$3=$AT$12,'Statement of Marks'!CG63,IF($P$3=$AT$13,'Statement of Marks'!DE63,IF($P$3=$AT$14,"",IF($P$3=$AT$15,'Statement of Marks'!EY63,""))))))))),"")</f>
        <v/>
      </c>
      <c r="M64" s="806" t="str">
        <f>IFERROR(IF(B64="","",IF($P$3=$AT$8,'Statement of Marks'!K63,IF($P$3=$AT$9,'Statement of Marks'!Y63,IF($P$3=$AT$10,'Statement of Marks'!AN63,IF($P$3=$AT$11,'Statement of Marks'!BK63,IF($P$3=$AT$12,'Statement of Marks'!CH63,IF($P$3=$AT$13,'Statement of Marks'!DF63,IF($P$3=$AT$14,"",IF($P$3=$AT$15,'Statement of Marks'!EZ63,""))))))))),"")</f>
        <v/>
      </c>
      <c r="N64" s="806" t="str">
        <f>IFERROR(IF(B64="","",IF($P$3=$AT$8,'Statement of Marks'!L63,IF($P$3=$AT$9,'Statement of Marks'!Z63,IF($P$3=$AT$10,'Statement of Marks'!AO63,IF($P$3=$AT$11,'Statement of Marks'!BL63,IF($P$3=$AT$12,'Statement of Marks'!CI63,IF($P$3=$AT$13,'Statement of Marks'!DG63,IF($P$3=$AT$14,"",IF($P$3=$AT$15,'Statement of Marks'!FA63,""))))))))),"")</f>
        <v/>
      </c>
      <c r="O64" s="807" t="str">
        <f t="shared" si="4"/>
        <v/>
      </c>
      <c r="P64" s="806" t="str">
        <f>IFERROR(IF(B64="","",IF($P$3=$AT$8,'Statement of Marks'!N63,IF($P$3=$AT$9,'Statement of Marks'!AB63,IF($P$3=$AT$10,'Statement of Marks'!AQ63,IF($P$3=$AT$11,'Statement of Marks'!BN63,IF($P$3=$AT$12,'Statement of Marks'!CK63,IF($P$3=$AT$13,'Statement of Marks'!DI63,IF($P$3=$AT$14,"",IF($P$3=$AT$15,'Statement of Marks'!FC63,""))))))))),"")</f>
        <v/>
      </c>
      <c r="Q64" s="806" t="str">
        <f>IFERROR(IF(B64="","",IF($P$3=$AT$8,"",IF($P$3=$AT$9,"",IF($P$3=$AT$10,'Statement of Marks'!AR63,IF($P$3=$AT$11,'Statement of Marks'!BO63,IF($P$3=$AT$12,'Statement of Marks'!CL63,IF($P$3=$AT$13,'Statement of Marks'!DJ63,IF($P$3=$AT$14,"",IF($P$3=$AT$15,"",""))))))))),"")</f>
        <v/>
      </c>
      <c r="R64" s="818" t="str">
        <f>IFERROR(IF(B64="","",IF(AND(P64="",Q64="",$P$3=""),"",IF($P$3=$AT$14,'Statement of Marks'!EC63,SUM(P64,Q64)))),"")</f>
        <v/>
      </c>
      <c r="S64" s="817" t="str">
        <f>IFERROR(IF(B64="","",IF($P$3=$AT$14,'Statement of Marks'!ED63,IF(AND(O64="NA",P64="NA",Q64="NA"),"NA",IF(AND(O64="",P64="",Q64=""),"",SUM(O64,P64,Q64))))),"")</f>
        <v/>
      </c>
      <c r="T64" s="806" t="str">
        <f>IFERROR(IF(B64="","",IF($P$3=$AT$8,'Statement of Marks'!P63,IF($P$3=$AT$9,'Statement of Marks'!AD63,IF($P$3=$AT$10,'Statement of Marks'!AU63,IF($P$3=$AT$11,'Statement of Marks'!BR63,IF($P$3=$AT$12,'Statement of Marks'!CO63,IF($P$3=$AT$13,'Statement of Marks'!DM63,IF($P$3=$AT$14,"",IF($P$3=$AT$15,'Statement of Marks'!FD63,""))))))))),"")</f>
        <v/>
      </c>
      <c r="U64" s="806" t="str">
        <f>IFERROR(IF(B64="","",IF($P$3=$AT$8,"",IF($P$3=$AT$9,"",IF($P$3=$AT$10,'Statement of Marks'!AV63,IF($P$3=$AT$11,'Statement of Marks'!BS63,IF($P$3=$AT$12,'Statement of Marks'!CP63,IF($P$3=$AT$13,'Statement of Marks'!DN63,IF($P$3=$AT$14,"",IF($P$3=$AT$15,"",""))))))))),"")</f>
        <v/>
      </c>
      <c r="V64" s="818" t="str">
        <f>IFERROR(IF(B64="","",IF(AND(T64="",U64="",$P$3=""),"",IF($P$3=$AT$14,'Statement of Marks'!EE63,SUM(T64,U64)))),"")</f>
        <v/>
      </c>
      <c r="W64" s="808" t="str">
        <f t="shared" si="5"/>
        <v/>
      </c>
      <c r="X64" s="809">
        <f t="shared" si="6"/>
        <v>0</v>
      </c>
      <c r="Y64" s="809">
        <f t="shared" si="7"/>
        <v>0</v>
      </c>
      <c r="Z64" s="809">
        <f t="shared" si="8"/>
        <v>0</v>
      </c>
      <c r="AA64" s="809" t="str">
        <f t="shared" si="9"/>
        <v/>
      </c>
      <c r="AB64" s="809" t="str">
        <f t="shared" si="10"/>
        <v/>
      </c>
      <c r="AC64" s="809" t="str">
        <f t="shared" si="11"/>
        <v/>
      </c>
      <c r="AD64" s="809" t="str">
        <f t="shared" si="12"/>
        <v/>
      </c>
      <c r="AE64" s="810" t="str">
        <f t="shared" si="13"/>
        <v/>
      </c>
      <c r="AF64" s="811" t="str">
        <f t="shared" si="14"/>
        <v/>
      </c>
      <c r="AG64" s="812" t="str">
        <f t="shared" si="15"/>
        <v/>
      </c>
      <c r="AW64" s="17" t="str">
        <f t="shared" si="16"/>
        <v/>
      </c>
      <c r="AX64" s="17" t="str">
        <f t="shared" si="17"/>
        <v/>
      </c>
      <c r="BM64" s="17" t="str">
        <f>IFERROR(VLOOKUP(B64,'Statement of Marks'!$B$8:'Statement of Marks'!$HI$207,37,0),"")</f>
        <v>A</v>
      </c>
      <c r="BN64" s="17" t="str">
        <f>IFERROR(VLOOKUP(B64,'Statement of Marks'!$B$8:'Statement of Marks'!$HI$207,60,0),"")</f>
        <v>A</v>
      </c>
      <c r="BO64" s="17" t="str">
        <f>IFERROR(VLOOKUP(B64,'Statement of Marks'!$B$8:'Statement of Marks'!$HI$207,83,0),"")</f>
        <v>A</v>
      </c>
      <c r="BP64" s="17" t="str">
        <f>IFERROR(VLOOKUP(B64,'Statement of Marks'!$B$8:'Statement of Marks'!$HI$207,107,0),"")</f>
        <v/>
      </c>
    </row>
    <row r="65" spans="1:68">
      <c r="A65" s="800">
        <f>IF('Statement of Marks'!A64="","",'Statement of Marks'!A64)</f>
        <v>57</v>
      </c>
      <c r="B65" s="801" t="str">
        <f>IF(OR($E$3="",$P$3=""),"",IF('Statement of Marks'!B64="","",'Statement of Marks'!B64))</f>
        <v/>
      </c>
      <c r="C65" s="810" t="str">
        <f>IF(OR($E$3="",$P$3=""),"",IF('Marks Entry'!C64="","",'Marks Entry'!C64))</f>
        <v/>
      </c>
      <c r="D65" s="802" t="str">
        <f>IF(OR($E$3="",$P$3=""),"",IF('Statement of Marks'!C64="","",'Statement of Marks'!C64))</f>
        <v/>
      </c>
      <c r="E65" s="803" t="str">
        <f>IF(OR($E$3="",$P$3=""),"",IF('Statement of Marks'!D64="","",'Statement of Marks'!D64))</f>
        <v/>
      </c>
      <c r="F65" s="804" t="str">
        <f>IF(OR($E$3="",$P$3=""),"",IF('Statement of Marks'!E64="","",'Statement of Marks'!E64))</f>
        <v/>
      </c>
      <c r="G65" s="804" t="str">
        <f>IF(OR($E$3="",$P$3=""),"",IF('Statement of Marks'!F64="","",'Statement of Marks'!F64))</f>
        <v/>
      </c>
      <c r="H65" s="804" t="str">
        <f>IF(OR($E$3="",$P$3=""),"",IF('Statement of Marks'!G64="","",'Statement of Marks'!G64))</f>
        <v/>
      </c>
      <c r="I65" s="805" t="str">
        <f>IF(OR($E$3="",$P$3=""),"",IF('Statement of Marks'!H64="","",'Statement of Marks'!H64))</f>
        <v/>
      </c>
      <c r="J65" s="805" t="str">
        <f>IF(OR($E$3="",$P$3=""),"",IF('Statement of Marks'!I64="","",'Statement of Marks'!I64))</f>
        <v/>
      </c>
      <c r="K65" s="805" t="str">
        <f>IFERROR(IF(B65="","",IF($P$3=$AT$10,IF(AND(BM65="A"),'Marks Entry'!$U$2,IF(AND(BM65="B"),'Marks Entry'!$Y$2,IF(AND(BM65="C"),'Marks Entry'!$AA$2,""))),IF($P$3=$AT$11,IF(AND(BN65="A"),'Marks Entry'!$AC$2,IF(AND(BN65="B"),'Marks Entry'!$AG$2,IF(AND(BN65="C"),'Marks Entry'!$AI$2,""))),IF($P$3=$AT$12,IF(AND(BO65="A"),'Marks Entry'!$AK$2,IF(AND(BO65="B"),'Marks Entry'!$AO$2,IF(AND(BO65="C"),'Marks Entry'!$AQ$2,""))),IF($P$3=$AT$13,IF(AND(BP65="A"),'Marks Entry'!$AS$2,IF(AND(BP65="B"),'Marks Entry'!$AW$2,IF(AND(BP65="C"),'Marks Entry'!$AY$2,""))),"-"))))),"")</f>
        <v/>
      </c>
      <c r="L65" s="806" t="str">
        <f>IFERROR(IF(B65="","",IF($P$3=$AT$8,'Statement of Marks'!J64,IF($P$3=$AT$9,'Statement of Marks'!X64,IF($P$3=$AT$10,'Statement of Marks'!AM64,IF($P$3=$AT$11,'Statement of Marks'!BJ64,IF($P$3=$AT$12,'Statement of Marks'!CG64,IF($P$3=$AT$13,'Statement of Marks'!DE64,IF($P$3=$AT$14,"",IF($P$3=$AT$15,'Statement of Marks'!EY64,""))))))))),"")</f>
        <v/>
      </c>
      <c r="M65" s="806" t="str">
        <f>IFERROR(IF(B65="","",IF($P$3=$AT$8,'Statement of Marks'!K64,IF($P$3=$AT$9,'Statement of Marks'!Y64,IF($P$3=$AT$10,'Statement of Marks'!AN64,IF($P$3=$AT$11,'Statement of Marks'!BK64,IF($P$3=$AT$12,'Statement of Marks'!CH64,IF($P$3=$AT$13,'Statement of Marks'!DF64,IF($P$3=$AT$14,"",IF($P$3=$AT$15,'Statement of Marks'!EZ64,""))))))))),"")</f>
        <v/>
      </c>
      <c r="N65" s="806" t="str">
        <f>IFERROR(IF(B65="","",IF($P$3=$AT$8,'Statement of Marks'!L64,IF($P$3=$AT$9,'Statement of Marks'!Z64,IF($P$3=$AT$10,'Statement of Marks'!AO64,IF($P$3=$AT$11,'Statement of Marks'!BL64,IF($P$3=$AT$12,'Statement of Marks'!CI64,IF($P$3=$AT$13,'Statement of Marks'!DG64,IF($P$3=$AT$14,"",IF($P$3=$AT$15,'Statement of Marks'!FA64,""))))))))),"")</f>
        <v/>
      </c>
      <c r="O65" s="807" t="str">
        <f t="shared" si="4"/>
        <v/>
      </c>
      <c r="P65" s="806" t="str">
        <f>IFERROR(IF(B65="","",IF($P$3=$AT$8,'Statement of Marks'!N64,IF($P$3=$AT$9,'Statement of Marks'!AB64,IF($P$3=$AT$10,'Statement of Marks'!AQ64,IF($P$3=$AT$11,'Statement of Marks'!BN64,IF($P$3=$AT$12,'Statement of Marks'!CK64,IF($P$3=$AT$13,'Statement of Marks'!DI64,IF($P$3=$AT$14,"",IF($P$3=$AT$15,'Statement of Marks'!FC64,""))))))))),"")</f>
        <v/>
      </c>
      <c r="Q65" s="806" t="str">
        <f>IFERROR(IF(B65="","",IF($P$3=$AT$8,"",IF($P$3=$AT$9,"",IF($P$3=$AT$10,'Statement of Marks'!AR64,IF($P$3=$AT$11,'Statement of Marks'!BO64,IF($P$3=$AT$12,'Statement of Marks'!CL64,IF($P$3=$AT$13,'Statement of Marks'!DJ64,IF($P$3=$AT$14,"",IF($P$3=$AT$15,"",""))))))))),"")</f>
        <v/>
      </c>
      <c r="R65" s="818" t="str">
        <f>IFERROR(IF(B65="","",IF(AND(P65="",Q65="",$P$3=""),"",IF($P$3=$AT$14,'Statement of Marks'!EC64,SUM(P65,Q65)))),"")</f>
        <v/>
      </c>
      <c r="S65" s="817" t="str">
        <f>IFERROR(IF(B65="","",IF($P$3=$AT$14,'Statement of Marks'!ED64,IF(AND(O65="NA",P65="NA",Q65="NA"),"NA",IF(AND(O65="",P65="",Q65=""),"",SUM(O65,P65,Q65))))),"")</f>
        <v/>
      </c>
      <c r="T65" s="806" t="str">
        <f>IFERROR(IF(B65="","",IF($P$3=$AT$8,'Statement of Marks'!P64,IF($P$3=$AT$9,'Statement of Marks'!AD64,IF($P$3=$AT$10,'Statement of Marks'!AU64,IF($P$3=$AT$11,'Statement of Marks'!BR64,IF($P$3=$AT$12,'Statement of Marks'!CO64,IF($P$3=$AT$13,'Statement of Marks'!DM64,IF($P$3=$AT$14,"",IF($P$3=$AT$15,'Statement of Marks'!FD64,""))))))))),"")</f>
        <v/>
      </c>
      <c r="U65" s="806" t="str">
        <f>IFERROR(IF(B65="","",IF($P$3=$AT$8,"",IF($P$3=$AT$9,"",IF($P$3=$AT$10,'Statement of Marks'!AV64,IF($P$3=$AT$11,'Statement of Marks'!BS64,IF($P$3=$AT$12,'Statement of Marks'!CP64,IF($P$3=$AT$13,'Statement of Marks'!DN64,IF($P$3=$AT$14,"",IF($P$3=$AT$15,"",""))))))))),"")</f>
        <v/>
      </c>
      <c r="V65" s="818" t="str">
        <f>IFERROR(IF(B65="","",IF(AND(T65="",U65="",$P$3=""),"",IF($P$3=$AT$14,'Statement of Marks'!EE64,SUM(T65,U65)))),"")</f>
        <v/>
      </c>
      <c r="W65" s="808" t="str">
        <f t="shared" si="5"/>
        <v/>
      </c>
      <c r="X65" s="809">
        <f t="shared" si="6"/>
        <v>0</v>
      </c>
      <c r="Y65" s="809">
        <f t="shared" si="7"/>
        <v>0</v>
      </c>
      <c r="Z65" s="809">
        <f t="shared" si="8"/>
        <v>0</v>
      </c>
      <c r="AA65" s="809" t="str">
        <f t="shared" si="9"/>
        <v/>
      </c>
      <c r="AB65" s="809" t="str">
        <f t="shared" si="10"/>
        <v/>
      </c>
      <c r="AC65" s="809" t="str">
        <f t="shared" si="11"/>
        <v/>
      </c>
      <c r="AD65" s="809" t="str">
        <f t="shared" si="12"/>
        <v/>
      </c>
      <c r="AE65" s="810" t="str">
        <f t="shared" si="13"/>
        <v/>
      </c>
      <c r="AF65" s="811" t="str">
        <f t="shared" si="14"/>
        <v/>
      </c>
      <c r="AG65" s="812" t="str">
        <f t="shared" si="15"/>
        <v/>
      </c>
      <c r="AW65" s="17" t="str">
        <f t="shared" si="16"/>
        <v/>
      </c>
      <c r="AX65" s="17" t="str">
        <f t="shared" si="17"/>
        <v/>
      </c>
      <c r="BM65" s="17" t="str">
        <f>IFERROR(VLOOKUP(B65,'Statement of Marks'!$B$8:'Statement of Marks'!$HI$207,37,0),"")</f>
        <v>A</v>
      </c>
      <c r="BN65" s="17" t="str">
        <f>IFERROR(VLOOKUP(B65,'Statement of Marks'!$B$8:'Statement of Marks'!$HI$207,60,0),"")</f>
        <v>A</v>
      </c>
      <c r="BO65" s="17" t="str">
        <f>IFERROR(VLOOKUP(B65,'Statement of Marks'!$B$8:'Statement of Marks'!$HI$207,83,0),"")</f>
        <v>A</v>
      </c>
      <c r="BP65" s="17" t="str">
        <f>IFERROR(VLOOKUP(B65,'Statement of Marks'!$B$8:'Statement of Marks'!$HI$207,107,0),"")</f>
        <v/>
      </c>
    </row>
    <row r="66" spans="1:68">
      <c r="A66" s="800">
        <f>IF('Statement of Marks'!A65="","",'Statement of Marks'!A65)</f>
        <v>58</v>
      </c>
      <c r="B66" s="801" t="str">
        <f>IF(OR($E$3="",$P$3=""),"",IF('Statement of Marks'!B65="","",'Statement of Marks'!B65))</f>
        <v/>
      </c>
      <c r="C66" s="810" t="str">
        <f>IF(OR($E$3="",$P$3=""),"",IF('Marks Entry'!C65="","",'Marks Entry'!C65))</f>
        <v/>
      </c>
      <c r="D66" s="802" t="str">
        <f>IF(OR($E$3="",$P$3=""),"",IF('Statement of Marks'!C65="","",'Statement of Marks'!C65))</f>
        <v/>
      </c>
      <c r="E66" s="803" t="str">
        <f>IF(OR($E$3="",$P$3=""),"",IF('Statement of Marks'!D65="","",'Statement of Marks'!D65))</f>
        <v/>
      </c>
      <c r="F66" s="804" t="str">
        <f>IF(OR($E$3="",$P$3=""),"",IF('Statement of Marks'!E65="","",'Statement of Marks'!E65))</f>
        <v/>
      </c>
      <c r="G66" s="804" t="str">
        <f>IF(OR($E$3="",$P$3=""),"",IF('Statement of Marks'!F65="","",'Statement of Marks'!F65))</f>
        <v/>
      </c>
      <c r="H66" s="804" t="str">
        <f>IF(OR($E$3="",$P$3=""),"",IF('Statement of Marks'!G65="","",'Statement of Marks'!G65))</f>
        <v/>
      </c>
      <c r="I66" s="805" t="str">
        <f>IF(OR($E$3="",$P$3=""),"",IF('Statement of Marks'!H65="","",'Statement of Marks'!H65))</f>
        <v/>
      </c>
      <c r="J66" s="805" t="str">
        <f>IF(OR($E$3="",$P$3=""),"",IF('Statement of Marks'!I65="","",'Statement of Marks'!I65))</f>
        <v/>
      </c>
      <c r="K66" s="805" t="str">
        <f>IFERROR(IF(B66="","",IF($P$3=$AT$10,IF(AND(BM66="A"),'Marks Entry'!$U$2,IF(AND(BM66="B"),'Marks Entry'!$Y$2,IF(AND(BM66="C"),'Marks Entry'!$AA$2,""))),IF($P$3=$AT$11,IF(AND(BN66="A"),'Marks Entry'!$AC$2,IF(AND(BN66="B"),'Marks Entry'!$AG$2,IF(AND(BN66="C"),'Marks Entry'!$AI$2,""))),IF($P$3=$AT$12,IF(AND(BO66="A"),'Marks Entry'!$AK$2,IF(AND(BO66="B"),'Marks Entry'!$AO$2,IF(AND(BO66="C"),'Marks Entry'!$AQ$2,""))),IF($P$3=$AT$13,IF(AND(BP66="A"),'Marks Entry'!$AS$2,IF(AND(BP66="B"),'Marks Entry'!$AW$2,IF(AND(BP66="C"),'Marks Entry'!$AY$2,""))),"-"))))),"")</f>
        <v/>
      </c>
      <c r="L66" s="806" t="str">
        <f>IFERROR(IF(B66="","",IF($P$3=$AT$8,'Statement of Marks'!J65,IF($P$3=$AT$9,'Statement of Marks'!X65,IF($P$3=$AT$10,'Statement of Marks'!AM65,IF($P$3=$AT$11,'Statement of Marks'!BJ65,IF($P$3=$AT$12,'Statement of Marks'!CG65,IF($P$3=$AT$13,'Statement of Marks'!DE65,IF($P$3=$AT$14,"",IF($P$3=$AT$15,'Statement of Marks'!EY65,""))))))))),"")</f>
        <v/>
      </c>
      <c r="M66" s="806" t="str">
        <f>IFERROR(IF(B66="","",IF($P$3=$AT$8,'Statement of Marks'!K65,IF($P$3=$AT$9,'Statement of Marks'!Y65,IF($P$3=$AT$10,'Statement of Marks'!AN65,IF($P$3=$AT$11,'Statement of Marks'!BK65,IF($P$3=$AT$12,'Statement of Marks'!CH65,IF($P$3=$AT$13,'Statement of Marks'!DF65,IF($P$3=$AT$14,"",IF($P$3=$AT$15,'Statement of Marks'!EZ65,""))))))))),"")</f>
        <v/>
      </c>
      <c r="N66" s="806" t="str">
        <f>IFERROR(IF(B66="","",IF($P$3=$AT$8,'Statement of Marks'!L65,IF($P$3=$AT$9,'Statement of Marks'!Z65,IF($P$3=$AT$10,'Statement of Marks'!AO65,IF($P$3=$AT$11,'Statement of Marks'!BL65,IF($P$3=$AT$12,'Statement of Marks'!CI65,IF($P$3=$AT$13,'Statement of Marks'!DG65,IF($P$3=$AT$14,"",IF($P$3=$AT$15,'Statement of Marks'!FA65,""))))))))),"")</f>
        <v/>
      </c>
      <c r="O66" s="807" t="str">
        <f t="shared" si="4"/>
        <v/>
      </c>
      <c r="P66" s="806" t="str">
        <f>IFERROR(IF(B66="","",IF($P$3=$AT$8,'Statement of Marks'!N65,IF($P$3=$AT$9,'Statement of Marks'!AB65,IF($P$3=$AT$10,'Statement of Marks'!AQ65,IF($P$3=$AT$11,'Statement of Marks'!BN65,IF($P$3=$AT$12,'Statement of Marks'!CK65,IF($P$3=$AT$13,'Statement of Marks'!DI65,IF($P$3=$AT$14,"",IF($P$3=$AT$15,'Statement of Marks'!FC65,""))))))))),"")</f>
        <v/>
      </c>
      <c r="Q66" s="806" t="str">
        <f>IFERROR(IF(B66="","",IF($P$3=$AT$8,"",IF($P$3=$AT$9,"",IF($P$3=$AT$10,'Statement of Marks'!AR65,IF($P$3=$AT$11,'Statement of Marks'!BO65,IF($P$3=$AT$12,'Statement of Marks'!CL65,IF($P$3=$AT$13,'Statement of Marks'!DJ65,IF($P$3=$AT$14,"",IF($P$3=$AT$15,"",""))))))))),"")</f>
        <v/>
      </c>
      <c r="R66" s="818" t="str">
        <f>IFERROR(IF(B66="","",IF(AND(P66="",Q66="",$P$3=""),"",IF($P$3=$AT$14,'Statement of Marks'!EC65,SUM(P66,Q66)))),"")</f>
        <v/>
      </c>
      <c r="S66" s="817" t="str">
        <f>IFERROR(IF(B66="","",IF($P$3=$AT$14,'Statement of Marks'!ED65,IF(AND(O66="NA",P66="NA",Q66="NA"),"NA",IF(AND(O66="",P66="",Q66=""),"",SUM(O66,P66,Q66))))),"")</f>
        <v/>
      </c>
      <c r="T66" s="806" t="str">
        <f>IFERROR(IF(B66="","",IF($P$3=$AT$8,'Statement of Marks'!P65,IF($P$3=$AT$9,'Statement of Marks'!AD65,IF($P$3=$AT$10,'Statement of Marks'!AU65,IF($P$3=$AT$11,'Statement of Marks'!BR65,IF($P$3=$AT$12,'Statement of Marks'!CO65,IF($P$3=$AT$13,'Statement of Marks'!DM65,IF($P$3=$AT$14,"",IF($P$3=$AT$15,'Statement of Marks'!FD65,""))))))))),"")</f>
        <v/>
      </c>
      <c r="U66" s="806" t="str">
        <f>IFERROR(IF(B66="","",IF($P$3=$AT$8,"",IF($P$3=$AT$9,"",IF($P$3=$AT$10,'Statement of Marks'!AV65,IF($P$3=$AT$11,'Statement of Marks'!BS65,IF($P$3=$AT$12,'Statement of Marks'!CP65,IF($P$3=$AT$13,'Statement of Marks'!DN65,IF($P$3=$AT$14,"",IF($P$3=$AT$15,"",""))))))))),"")</f>
        <v/>
      </c>
      <c r="V66" s="818" t="str">
        <f>IFERROR(IF(B66="","",IF(AND(T66="",U66="",$P$3=""),"",IF($P$3=$AT$14,'Statement of Marks'!EE65,SUM(T66,U66)))),"")</f>
        <v/>
      </c>
      <c r="W66" s="808" t="str">
        <f t="shared" si="5"/>
        <v/>
      </c>
      <c r="X66" s="809">
        <f t="shared" si="6"/>
        <v>0</v>
      </c>
      <c r="Y66" s="809">
        <f t="shared" si="7"/>
        <v>0</v>
      </c>
      <c r="Z66" s="809">
        <f t="shared" si="8"/>
        <v>0</v>
      </c>
      <c r="AA66" s="809" t="str">
        <f t="shared" si="9"/>
        <v/>
      </c>
      <c r="AB66" s="809" t="str">
        <f t="shared" si="10"/>
        <v/>
      </c>
      <c r="AC66" s="809" t="str">
        <f t="shared" si="11"/>
        <v/>
      </c>
      <c r="AD66" s="809" t="str">
        <f t="shared" si="12"/>
        <v/>
      </c>
      <c r="AE66" s="810" t="str">
        <f t="shared" si="13"/>
        <v/>
      </c>
      <c r="AF66" s="811" t="str">
        <f t="shared" si="14"/>
        <v/>
      </c>
      <c r="AG66" s="812" t="str">
        <f t="shared" si="15"/>
        <v/>
      </c>
      <c r="AW66" s="17" t="str">
        <f t="shared" si="16"/>
        <v/>
      </c>
      <c r="AX66" s="17" t="str">
        <f t="shared" si="17"/>
        <v/>
      </c>
      <c r="BM66" s="17" t="str">
        <f>IFERROR(VLOOKUP(B66,'Statement of Marks'!$B$8:'Statement of Marks'!$HI$207,37,0),"")</f>
        <v>A</v>
      </c>
      <c r="BN66" s="17" t="str">
        <f>IFERROR(VLOOKUP(B66,'Statement of Marks'!$B$8:'Statement of Marks'!$HI$207,60,0),"")</f>
        <v>A</v>
      </c>
      <c r="BO66" s="17" t="str">
        <f>IFERROR(VLOOKUP(B66,'Statement of Marks'!$B$8:'Statement of Marks'!$HI$207,83,0),"")</f>
        <v>A</v>
      </c>
      <c r="BP66" s="17" t="str">
        <f>IFERROR(VLOOKUP(B66,'Statement of Marks'!$B$8:'Statement of Marks'!$HI$207,107,0),"")</f>
        <v/>
      </c>
    </row>
    <row r="67" spans="1:68">
      <c r="A67" s="800">
        <f>IF('Statement of Marks'!A66="","",'Statement of Marks'!A66)</f>
        <v>59</v>
      </c>
      <c r="B67" s="801" t="str">
        <f>IF(OR($E$3="",$P$3=""),"",IF('Statement of Marks'!B66="","",'Statement of Marks'!B66))</f>
        <v/>
      </c>
      <c r="C67" s="810" t="str">
        <f>IF(OR($E$3="",$P$3=""),"",IF('Marks Entry'!C66="","",'Marks Entry'!C66))</f>
        <v/>
      </c>
      <c r="D67" s="802" t="str">
        <f>IF(OR($E$3="",$P$3=""),"",IF('Statement of Marks'!C66="","",'Statement of Marks'!C66))</f>
        <v/>
      </c>
      <c r="E67" s="803" t="str">
        <f>IF(OR($E$3="",$P$3=""),"",IF('Statement of Marks'!D66="","",'Statement of Marks'!D66))</f>
        <v/>
      </c>
      <c r="F67" s="804" t="str">
        <f>IF(OR($E$3="",$P$3=""),"",IF('Statement of Marks'!E66="","",'Statement of Marks'!E66))</f>
        <v/>
      </c>
      <c r="G67" s="804" t="str">
        <f>IF(OR($E$3="",$P$3=""),"",IF('Statement of Marks'!F66="","",'Statement of Marks'!F66))</f>
        <v/>
      </c>
      <c r="H67" s="804" t="str">
        <f>IF(OR($E$3="",$P$3=""),"",IF('Statement of Marks'!G66="","",'Statement of Marks'!G66))</f>
        <v/>
      </c>
      <c r="I67" s="805" t="str">
        <f>IF(OR($E$3="",$P$3=""),"",IF('Statement of Marks'!H66="","",'Statement of Marks'!H66))</f>
        <v/>
      </c>
      <c r="J67" s="805" t="str">
        <f>IF(OR($E$3="",$P$3=""),"",IF('Statement of Marks'!I66="","",'Statement of Marks'!I66))</f>
        <v/>
      </c>
      <c r="K67" s="805" t="str">
        <f>IFERROR(IF(B67="","",IF($P$3=$AT$10,IF(AND(BM67="A"),'Marks Entry'!$U$2,IF(AND(BM67="B"),'Marks Entry'!$Y$2,IF(AND(BM67="C"),'Marks Entry'!$AA$2,""))),IF($P$3=$AT$11,IF(AND(BN67="A"),'Marks Entry'!$AC$2,IF(AND(BN67="B"),'Marks Entry'!$AG$2,IF(AND(BN67="C"),'Marks Entry'!$AI$2,""))),IF($P$3=$AT$12,IF(AND(BO67="A"),'Marks Entry'!$AK$2,IF(AND(BO67="B"),'Marks Entry'!$AO$2,IF(AND(BO67="C"),'Marks Entry'!$AQ$2,""))),IF($P$3=$AT$13,IF(AND(BP67="A"),'Marks Entry'!$AS$2,IF(AND(BP67="B"),'Marks Entry'!$AW$2,IF(AND(BP67="C"),'Marks Entry'!$AY$2,""))),"-"))))),"")</f>
        <v/>
      </c>
      <c r="L67" s="806" t="str">
        <f>IFERROR(IF(B67="","",IF($P$3=$AT$8,'Statement of Marks'!J66,IF($P$3=$AT$9,'Statement of Marks'!X66,IF($P$3=$AT$10,'Statement of Marks'!AM66,IF($P$3=$AT$11,'Statement of Marks'!BJ66,IF($P$3=$AT$12,'Statement of Marks'!CG66,IF($P$3=$AT$13,'Statement of Marks'!DE66,IF($P$3=$AT$14,"",IF($P$3=$AT$15,'Statement of Marks'!EY66,""))))))))),"")</f>
        <v/>
      </c>
      <c r="M67" s="806" t="str">
        <f>IFERROR(IF(B67="","",IF($P$3=$AT$8,'Statement of Marks'!K66,IF($P$3=$AT$9,'Statement of Marks'!Y66,IF($P$3=$AT$10,'Statement of Marks'!AN66,IF($P$3=$AT$11,'Statement of Marks'!BK66,IF($P$3=$AT$12,'Statement of Marks'!CH66,IF($P$3=$AT$13,'Statement of Marks'!DF66,IF($P$3=$AT$14,"",IF($P$3=$AT$15,'Statement of Marks'!EZ66,""))))))))),"")</f>
        <v/>
      </c>
      <c r="N67" s="806" t="str">
        <f>IFERROR(IF(B67="","",IF($P$3=$AT$8,'Statement of Marks'!L66,IF($P$3=$AT$9,'Statement of Marks'!Z66,IF($P$3=$AT$10,'Statement of Marks'!AO66,IF($P$3=$AT$11,'Statement of Marks'!BL66,IF($P$3=$AT$12,'Statement of Marks'!CI66,IF($P$3=$AT$13,'Statement of Marks'!DG66,IF($P$3=$AT$14,"",IF($P$3=$AT$15,'Statement of Marks'!FA66,""))))))))),"")</f>
        <v/>
      </c>
      <c r="O67" s="807" t="str">
        <f t="shared" si="4"/>
        <v/>
      </c>
      <c r="P67" s="806" t="str">
        <f>IFERROR(IF(B67="","",IF($P$3=$AT$8,'Statement of Marks'!N66,IF($P$3=$AT$9,'Statement of Marks'!AB66,IF($P$3=$AT$10,'Statement of Marks'!AQ66,IF($P$3=$AT$11,'Statement of Marks'!BN66,IF($P$3=$AT$12,'Statement of Marks'!CK66,IF($P$3=$AT$13,'Statement of Marks'!DI66,IF($P$3=$AT$14,"",IF($P$3=$AT$15,'Statement of Marks'!FC66,""))))))))),"")</f>
        <v/>
      </c>
      <c r="Q67" s="806" t="str">
        <f>IFERROR(IF(B67="","",IF($P$3=$AT$8,"",IF($P$3=$AT$9,"",IF($P$3=$AT$10,'Statement of Marks'!AR66,IF($P$3=$AT$11,'Statement of Marks'!BO66,IF($P$3=$AT$12,'Statement of Marks'!CL66,IF($P$3=$AT$13,'Statement of Marks'!DJ66,IF($P$3=$AT$14,"",IF($P$3=$AT$15,"",""))))))))),"")</f>
        <v/>
      </c>
      <c r="R67" s="818" t="str">
        <f>IFERROR(IF(B67="","",IF(AND(P67="",Q67="",$P$3=""),"",IF($P$3=$AT$14,'Statement of Marks'!EC66,SUM(P67,Q67)))),"")</f>
        <v/>
      </c>
      <c r="S67" s="817" t="str">
        <f>IFERROR(IF(B67="","",IF($P$3=$AT$14,'Statement of Marks'!ED66,IF(AND(O67="NA",P67="NA",Q67="NA"),"NA",IF(AND(O67="",P67="",Q67=""),"",SUM(O67,P67,Q67))))),"")</f>
        <v/>
      </c>
      <c r="T67" s="806" t="str">
        <f>IFERROR(IF(B67="","",IF($P$3=$AT$8,'Statement of Marks'!P66,IF($P$3=$AT$9,'Statement of Marks'!AD66,IF($P$3=$AT$10,'Statement of Marks'!AU66,IF($P$3=$AT$11,'Statement of Marks'!BR66,IF($P$3=$AT$12,'Statement of Marks'!CO66,IF($P$3=$AT$13,'Statement of Marks'!DM66,IF($P$3=$AT$14,"",IF($P$3=$AT$15,'Statement of Marks'!FD66,""))))))))),"")</f>
        <v/>
      </c>
      <c r="U67" s="806" t="str">
        <f>IFERROR(IF(B67="","",IF($P$3=$AT$8,"",IF($P$3=$AT$9,"",IF($P$3=$AT$10,'Statement of Marks'!AV66,IF($P$3=$AT$11,'Statement of Marks'!BS66,IF($P$3=$AT$12,'Statement of Marks'!CP66,IF($P$3=$AT$13,'Statement of Marks'!DN66,IF($P$3=$AT$14,"",IF($P$3=$AT$15,"",""))))))))),"")</f>
        <v/>
      </c>
      <c r="V67" s="818" t="str">
        <f>IFERROR(IF(B67="","",IF(AND(T67="",U67="",$P$3=""),"",IF($P$3=$AT$14,'Statement of Marks'!EE66,SUM(T67,U67)))),"")</f>
        <v/>
      </c>
      <c r="W67" s="808" t="str">
        <f t="shared" si="5"/>
        <v/>
      </c>
      <c r="X67" s="809">
        <f t="shared" si="6"/>
        <v>0</v>
      </c>
      <c r="Y67" s="809">
        <f t="shared" si="7"/>
        <v>0</v>
      </c>
      <c r="Z67" s="809">
        <f t="shared" si="8"/>
        <v>0</v>
      </c>
      <c r="AA67" s="809" t="str">
        <f t="shared" si="9"/>
        <v/>
      </c>
      <c r="AB67" s="809" t="str">
        <f t="shared" si="10"/>
        <v/>
      </c>
      <c r="AC67" s="809" t="str">
        <f t="shared" si="11"/>
        <v/>
      </c>
      <c r="AD67" s="809" t="str">
        <f t="shared" si="12"/>
        <v/>
      </c>
      <c r="AE67" s="810" t="str">
        <f t="shared" si="13"/>
        <v/>
      </c>
      <c r="AF67" s="811" t="str">
        <f t="shared" si="14"/>
        <v/>
      </c>
      <c r="AG67" s="812" t="str">
        <f t="shared" si="15"/>
        <v/>
      </c>
      <c r="AW67" s="17" t="str">
        <f t="shared" si="16"/>
        <v/>
      </c>
      <c r="AX67" s="17" t="str">
        <f t="shared" si="17"/>
        <v/>
      </c>
      <c r="BM67" s="17" t="str">
        <f>IFERROR(VLOOKUP(B67,'Statement of Marks'!$B$8:'Statement of Marks'!$HI$207,37,0),"")</f>
        <v>A</v>
      </c>
      <c r="BN67" s="17" t="str">
        <f>IFERROR(VLOOKUP(B67,'Statement of Marks'!$B$8:'Statement of Marks'!$HI$207,60,0),"")</f>
        <v>A</v>
      </c>
      <c r="BO67" s="17" t="str">
        <f>IFERROR(VLOOKUP(B67,'Statement of Marks'!$B$8:'Statement of Marks'!$HI$207,83,0),"")</f>
        <v>A</v>
      </c>
      <c r="BP67" s="17" t="str">
        <f>IFERROR(VLOOKUP(B67,'Statement of Marks'!$B$8:'Statement of Marks'!$HI$207,107,0),"")</f>
        <v/>
      </c>
    </row>
    <row r="68" spans="1:68">
      <c r="A68" s="800">
        <f>IF('Statement of Marks'!A67="","",'Statement of Marks'!A67)</f>
        <v>60</v>
      </c>
      <c r="B68" s="801" t="str">
        <f>IF(OR($E$3="",$P$3=""),"",IF('Statement of Marks'!B67="","",'Statement of Marks'!B67))</f>
        <v/>
      </c>
      <c r="C68" s="810" t="str">
        <f>IF(OR($E$3="",$P$3=""),"",IF('Marks Entry'!C67="","",'Marks Entry'!C67))</f>
        <v/>
      </c>
      <c r="D68" s="802" t="str">
        <f>IF(OR($E$3="",$P$3=""),"",IF('Statement of Marks'!C67="","",'Statement of Marks'!C67))</f>
        <v/>
      </c>
      <c r="E68" s="803" t="str">
        <f>IF(OR($E$3="",$P$3=""),"",IF('Statement of Marks'!D67="","",'Statement of Marks'!D67))</f>
        <v/>
      </c>
      <c r="F68" s="804" t="str">
        <f>IF(OR($E$3="",$P$3=""),"",IF('Statement of Marks'!E67="","",'Statement of Marks'!E67))</f>
        <v/>
      </c>
      <c r="G68" s="804" t="str">
        <f>IF(OR($E$3="",$P$3=""),"",IF('Statement of Marks'!F67="","",'Statement of Marks'!F67))</f>
        <v/>
      </c>
      <c r="H68" s="804" t="str">
        <f>IF(OR($E$3="",$P$3=""),"",IF('Statement of Marks'!G67="","",'Statement of Marks'!G67))</f>
        <v/>
      </c>
      <c r="I68" s="805" t="str">
        <f>IF(OR($E$3="",$P$3=""),"",IF('Statement of Marks'!H67="","",'Statement of Marks'!H67))</f>
        <v/>
      </c>
      <c r="J68" s="805" t="str">
        <f>IF(OR($E$3="",$P$3=""),"",IF('Statement of Marks'!I67="","",'Statement of Marks'!I67))</f>
        <v/>
      </c>
      <c r="K68" s="805" t="str">
        <f>IFERROR(IF(B68="","",IF($P$3=$AT$10,IF(AND(BM68="A"),'Marks Entry'!$U$2,IF(AND(BM68="B"),'Marks Entry'!$Y$2,IF(AND(BM68="C"),'Marks Entry'!$AA$2,""))),IF($P$3=$AT$11,IF(AND(BN68="A"),'Marks Entry'!$AC$2,IF(AND(BN68="B"),'Marks Entry'!$AG$2,IF(AND(BN68="C"),'Marks Entry'!$AI$2,""))),IF($P$3=$AT$12,IF(AND(BO68="A"),'Marks Entry'!$AK$2,IF(AND(BO68="B"),'Marks Entry'!$AO$2,IF(AND(BO68="C"),'Marks Entry'!$AQ$2,""))),IF($P$3=$AT$13,IF(AND(BP68="A"),'Marks Entry'!$AS$2,IF(AND(BP68="B"),'Marks Entry'!$AW$2,IF(AND(BP68="C"),'Marks Entry'!$AY$2,""))),"-"))))),"")</f>
        <v/>
      </c>
      <c r="L68" s="806" t="str">
        <f>IFERROR(IF(B68="","",IF($P$3=$AT$8,'Statement of Marks'!J67,IF($P$3=$AT$9,'Statement of Marks'!X67,IF($P$3=$AT$10,'Statement of Marks'!AM67,IF($P$3=$AT$11,'Statement of Marks'!BJ67,IF($P$3=$AT$12,'Statement of Marks'!CG67,IF($P$3=$AT$13,'Statement of Marks'!DE67,IF($P$3=$AT$14,"",IF($P$3=$AT$15,'Statement of Marks'!EY67,""))))))))),"")</f>
        <v/>
      </c>
      <c r="M68" s="806" t="str">
        <f>IFERROR(IF(B68="","",IF($P$3=$AT$8,'Statement of Marks'!K67,IF($P$3=$AT$9,'Statement of Marks'!Y67,IF($P$3=$AT$10,'Statement of Marks'!AN67,IF($P$3=$AT$11,'Statement of Marks'!BK67,IF($P$3=$AT$12,'Statement of Marks'!CH67,IF($P$3=$AT$13,'Statement of Marks'!DF67,IF($P$3=$AT$14,"",IF($P$3=$AT$15,'Statement of Marks'!EZ67,""))))))))),"")</f>
        <v/>
      </c>
      <c r="N68" s="806" t="str">
        <f>IFERROR(IF(B68="","",IF($P$3=$AT$8,'Statement of Marks'!L67,IF($P$3=$AT$9,'Statement of Marks'!Z67,IF($P$3=$AT$10,'Statement of Marks'!AO67,IF($P$3=$AT$11,'Statement of Marks'!BL67,IF($P$3=$AT$12,'Statement of Marks'!CI67,IF($P$3=$AT$13,'Statement of Marks'!DG67,IF($P$3=$AT$14,"",IF($P$3=$AT$15,'Statement of Marks'!FA67,""))))))))),"")</f>
        <v/>
      </c>
      <c r="O68" s="807" t="str">
        <f t="shared" si="4"/>
        <v/>
      </c>
      <c r="P68" s="806" t="str">
        <f>IFERROR(IF(B68="","",IF($P$3=$AT$8,'Statement of Marks'!N67,IF($P$3=$AT$9,'Statement of Marks'!AB67,IF($P$3=$AT$10,'Statement of Marks'!AQ67,IF($P$3=$AT$11,'Statement of Marks'!BN67,IF($P$3=$AT$12,'Statement of Marks'!CK67,IF($P$3=$AT$13,'Statement of Marks'!DI67,IF($P$3=$AT$14,"",IF($P$3=$AT$15,'Statement of Marks'!FC67,""))))))))),"")</f>
        <v/>
      </c>
      <c r="Q68" s="806" t="str">
        <f>IFERROR(IF(B68="","",IF($P$3=$AT$8,"",IF($P$3=$AT$9,"",IF($P$3=$AT$10,'Statement of Marks'!AR67,IF($P$3=$AT$11,'Statement of Marks'!BO67,IF($P$3=$AT$12,'Statement of Marks'!CL67,IF($P$3=$AT$13,'Statement of Marks'!DJ67,IF($P$3=$AT$14,"",IF($P$3=$AT$15,"",""))))))))),"")</f>
        <v/>
      </c>
      <c r="R68" s="818" t="str">
        <f>IFERROR(IF(B68="","",IF(AND(P68="",Q68="",$P$3=""),"",IF($P$3=$AT$14,'Statement of Marks'!EC67,SUM(P68,Q68)))),"")</f>
        <v/>
      </c>
      <c r="S68" s="817" t="str">
        <f>IFERROR(IF(B68="","",IF($P$3=$AT$14,'Statement of Marks'!ED67,IF(AND(O68="NA",P68="NA",Q68="NA"),"NA",IF(AND(O68="",P68="",Q68=""),"",SUM(O68,P68,Q68))))),"")</f>
        <v/>
      </c>
      <c r="T68" s="806" t="str">
        <f>IFERROR(IF(B68="","",IF($P$3=$AT$8,'Statement of Marks'!P67,IF($P$3=$AT$9,'Statement of Marks'!AD67,IF($P$3=$AT$10,'Statement of Marks'!AU67,IF($P$3=$AT$11,'Statement of Marks'!BR67,IF($P$3=$AT$12,'Statement of Marks'!CO67,IF($P$3=$AT$13,'Statement of Marks'!DM67,IF($P$3=$AT$14,"",IF($P$3=$AT$15,'Statement of Marks'!FD67,""))))))))),"")</f>
        <v/>
      </c>
      <c r="U68" s="806" t="str">
        <f>IFERROR(IF(B68="","",IF($P$3=$AT$8,"",IF($P$3=$AT$9,"",IF($P$3=$AT$10,'Statement of Marks'!AV67,IF($P$3=$AT$11,'Statement of Marks'!BS67,IF($P$3=$AT$12,'Statement of Marks'!CP67,IF($P$3=$AT$13,'Statement of Marks'!DN67,IF($P$3=$AT$14,"",IF($P$3=$AT$15,"",""))))))))),"")</f>
        <v/>
      </c>
      <c r="V68" s="818" t="str">
        <f>IFERROR(IF(B68="","",IF(AND(T68="",U68="",$P$3=""),"",IF($P$3=$AT$14,'Statement of Marks'!EE67,SUM(T68,U68)))),"")</f>
        <v/>
      </c>
      <c r="W68" s="808" t="str">
        <f t="shared" si="5"/>
        <v/>
      </c>
      <c r="X68" s="809">
        <f t="shared" si="6"/>
        <v>0</v>
      </c>
      <c r="Y68" s="809">
        <f t="shared" si="7"/>
        <v>0</v>
      </c>
      <c r="Z68" s="809">
        <f t="shared" si="8"/>
        <v>0</v>
      </c>
      <c r="AA68" s="809" t="str">
        <f t="shared" si="9"/>
        <v/>
      </c>
      <c r="AB68" s="809" t="str">
        <f t="shared" si="10"/>
        <v/>
      </c>
      <c r="AC68" s="809" t="str">
        <f t="shared" si="11"/>
        <v/>
      </c>
      <c r="AD68" s="809" t="str">
        <f t="shared" si="12"/>
        <v/>
      </c>
      <c r="AE68" s="810" t="str">
        <f t="shared" si="13"/>
        <v/>
      </c>
      <c r="AF68" s="811" t="str">
        <f t="shared" si="14"/>
        <v/>
      </c>
      <c r="AG68" s="812" t="str">
        <f t="shared" si="15"/>
        <v/>
      </c>
      <c r="AW68" s="17" t="str">
        <f t="shared" si="16"/>
        <v/>
      </c>
      <c r="AX68" s="17" t="str">
        <f t="shared" si="17"/>
        <v/>
      </c>
      <c r="BM68" s="17" t="str">
        <f>IFERROR(VLOOKUP(B68,'Statement of Marks'!$B$8:'Statement of Marks'!$HI$207,37,0),"")</f>
        <v>A</v>
      </c>
      <c r="BN68" s="17" t="str">
        <f>IFERROR(VLOOKUP(B68,'Statement of Marks'!$B$8:'Statement of Marks'!$HI$207,60,0),"")</f>
        <v>A</v>
      </c>
      <c r="BO68" s="17" t="str">
        <f>IFERROR(VLOOKUP(B68,'Statement of Marks'!$B$8:'Statement of Marks'!$HI$207,83,0),"")</f>
        <v>A</v>
      </c>
      <c r="BP68" s="17" t="str">
        <f>IFERROR(VLOOKUP(B68,'Statement of Marks'!$B$8:'Statement of Marks'!$HI$207,107,0),"")</f>
        <v/>
      </c>
    </row>
    <row r="69" spans="1:68">
      <c r="A69" s="800">
        <f>IF('Statement of Marks'!A68="","",'Statement of Marks'!A68)</f>
        <v>61</v>
      </c>
      <c r="B69" s="801" t="str">
        <f>IF(OR($E$3="",$P$3=""),"",IF('Statement of Marks'!B68="","",'Statement of Marks'!B68))</f>
        <v/>
      </c>
      <c r="C69" s="810" t="str">
        <f>IF(OR($E$3="",$P$3=""),"",IF('Marks Entry'!C68="","",'Marks Entry'!C68))</f>
        <v/>
      </c>
      <c r="D69" s="802" t="str">
        <f>IF(OR($E$3="",$P$3=""),"",IF('Statement of Marks'!C68="","",'Statement of Marks'!C68))</f>
        <v/>
      </c>
      <c r="E69" s="803" t="str">
        <f>IF(OR($E$3="",$P$3=""),"",IF('Statement of Marks'!D68="","",'Statement of Marks'!D68))</f>
        <v/>
      </c>
      <c r="F69" s="804" t="str">
        <f>IF(OR($E$3="",$P$3=""),"",IF('Statement of Marks'!E68="","",'Statement of Marks'!E68))</f>
        <v/>
      </c>
      <c r="G69" s="804" t="str">
        <f>IF(OR($E$3="",$P$3=""),"",IF('Statement of Marks'!F68="","",'Statement of Marks'!F68))</f>
        <v/>
      </c>
      <c r="H69" s="804" t="str">
        <f>IF(OR($E$3="",$P$3=""),"",IF('Statement of Marks'!G68="","",'Statement of Marks'!G68))</f>
        <v/>
      </c>
      <c r="I69" s="805" t="str">
        <f>IF(OR($E$3="",$P$3=""),"",IF('Statement of Marks'!H68="","",'Statement of Marks'!H68))</f>
        <v/>
      </c>
      <c r="J69" s="805" t="str">
        <f>IF(OR($E$3="",$P$3=""),"",IF('Statement of Marks'!I68="","",'Statement of Marks'!I68))</f>
        <v/>
      </c>
      <c r="K69" s="805" t="str">
        <f>IFERROR(IF(B69="","",IF($P$3=$AT$10,IF(AND(BM69="A"),'Marks Entry'!$U$2,IF(AND(BM69="B"),'Marks Entry'!$Y$2,IF(AND(BM69="C"),'Marks Entry'!$AA$2,""))),IF($P$3=$AT$11,IF(AND(BN69="A"),'Marks Entry'!$AC$2,IF(AND(BN69="B"),'Marks Entry'!$AG$2,IF(AND(BN69="C"),'Marks Entry'!$AI$2,""))),IF($P$3=$AT$12,IF(AND(BO69="A"),'Marks Entry'!$AK$2,IF(AND(BO69="B"),'Marks Entry'!$AO$2,IF(AND(BO69="C"),'Marks Entry'!$AQ$2,""))),IF($P$3=$AT$13,IF(AND(BP69="A"),'Marks Entry'!$AS$2,IF(AND(BP69="B"),'Marks Entry'!$AW$2,IF(AND(BP69="C"),'Marks Entry'!$AY$2,""))),"-"))))),"")</f>
        <v/>
      </c>
      <c r="L69" s="806" t="str">
        <f>IFERROR(IF(B69="","",IF($P$3=$AT$8,'Statement of Marks'!J68,IF($P$3=$AT$9,'Statement of Marks'!X68,IF($P$3=$AT$10,'Statement of Marks'!AM68,IF($P$3=$AT$11,'Statement of Marks'!BJ68,IF($P$3=$AT$12,'Statement of Marks'!CG68,IF($P$3=$AT$13,'Statement of Marks'!DE68,IF($P$3=$AT$14,"",IF($P$3=$AT$15,'Statement of Marks'!EY68,""))))))))),"")</f>
        <v/>
      </c>
      <c r="M69" s="806" t="str">
        <f>IFERROR(IF(B69="","",IF($P$3=$AT$8,'Statement of Marks'!K68,IF($P$3=$AT$9,'Statement of Marks'!Y68,IF($P$3=$AT$10,'Statement of Marks'!AN68,IF($P$3=$AT$11,'Statement of Marks'!BK68,IF($P$3=$AT$12,'Statement of Marks'!CH68,IF($P$3=$AT$13,'Statement of Marks'!DF68,IF($P$3=$AT$14,"",IF($P$3=$AT$15,'Statement of Marks'!EZ68,""))))))))),"")</f>
        <v/>
      </c>
      <c r="N69" s="806" t="str">
        <f>IFERROR(IF(B69="","",IF($P$3=$AT$8,'Statement of Marks'!L68,IF($P$3=$AT$9,'Statement of Marks'!Z68,IF($P$3=$AT$10,'Statement of Marks'!AO68,IF($P$3=$AT$11,'Statement of Marks'!BL68,IF($P$3=$AT$12,'Statement of Marks'!CI68,IF($P$3=$AT$13,'Statement of Marks'!DG68,IF($P$3=$AT$14,"",IF($P$3=$AT$15,'Statement of Marks'!FA68,""))))))))),"")</f>
        <v/>
      </c>
      <c r="O69" s="807" t="str">
        <f t="shared" si="4"/>
        <v/>
      </c>
      <c r="P69" s="806" t="str">
        <f>IFERROR(IF(B69="","",IF($P$3=$AT$8,'Statement of Marks'!N68,IF($P$3=$AT$9,'Statement of Marks'!AB68,IF($P$3=$AT$10,'Statement of Marks'!AQ68,IF($P$3=$AT$11,'Statement of Marks'!BN68,IF($P$3=$AT$12,'Statement of Marks'!CK68,IF($P$3=$AT$13,'Statement of Marks'!DI68,IF($P$3=$AT$14,"",IF($P$3=$AT$15,'Statement of Marks'!FC68,""))))))))),"")</f>
        <v/>
      </c>
      <c r="Q69" s="806" t="str">
        <f>IFERROR(IF(B69="","",IF($P$3=$AT$8,"",IF($P$3=$AT$9,"",IF($P$3=$AT$10,'Statement of Marks'!AR68,IF($P$3=$AT$11,'Statement of Marks'!BO68,IF($P$3=$AT$12,'Statement of Marks'!CL68,IF($P$3=$AT$13,'Statement of Marks'!DJ68,IF($P$3=$AT$14,"",IF($P$3=$AT$15,"",""))))))))),"")</f>
        <v/>
      </c>
      <c r="R69" s="818" t="str">
        <f>IFERROR(IF(B69="","",IF(AND(P69="",Q69="",$P$3=""),"",IF($P$3=$AT$14,'Statement of Marks'!EC68,SUM(P69,Q69)))),"")</f>
        <v/>
      </c>
      <c r="S69" s="817" t="str">
        <f>IFERROR(IF(B69="","",IF($P$3=$AT$14,'Statement of Marks'!ED68,IF(AND(O69="NA",P69="NA",Q69="NA"),"NA",IF(AND(O69="",P69="",Q69=""),"",SUM(O69,P69,Q69))))),"")</f>
        <v/>
      </c>
      <c r="T69" s="806" t="str">
        <f>IFERROR(IF(B69="","",IF($P$3=$AT$8,'Statement of Marks'!P68,IF($P$3=$AT$9,'Statement of Marks'!AD68,IF($P$3=$AT$10,'Statement of Marks'!AU68,IF($P$3=$AT$11,'Statement of Marks'!BR68,IF($P$3=$AT$12,'Statement of Marks'!CO68,IF($P$3=$AT$13,'Statement of Marks'!DM68,IF($P$3=$AT$14,"",IF($P$3=$AT$15,'Statement of Marks'!FD68,""))))))))),"")</f>
        <v/>
      </c>
      <c r="U69" s="806" t="str">
        <f>IFERROR(IF(B69="","",IF($P$3=$AT$8,"",IF($P$3=$AT$9,"",IF($P$3=$AT$10,'Statement of Marks'!AV68,IF($P$3=$AT$11,'Statement of Marks'!BS68,IF($P$3=$AT$12,'Statement of Marks'!CP68,IF($P$3=$AT$13,'Statement of Marks'!DN68,IF($P$3=$AT$14,"",IF($P$3=$AT$15,"",""))))))))),"")</f>
        <v/>
      </c>
      <c r="V69" s="818" t="str">
        <f>IFERROR(IF(B69="","",IF(AND(T69="",U69="",$P$3=""),"",IF($P$3=$AT$14,'Statement of Marks'!EE68,SUM(T69,U69)))),"")</f>
        <v/>
      </c>
      <c r="W69" s="808" t="str">
        <f t="shared" si="5"/>
        <v/>
      </c>
      <c r="X69" s="809">
        <f t="shared" si="6"/>
        <v>0</v>
      </c>
      <c r="Y69" s="809">
        <f t="shared" si="7"/>
        <v>0</v>
      </c>
      <c r="Z69" s="809">
        <f t="shared" si="8"/>
        <v>0</v>
      </c>
      <c r="AA69" s="809" t="str">
        <f t="shared" si="9"/>
        <v/>
      </c>
      <c r="AB69" s="809" t="str">
        <f t="shared" si="10"/>
        <v/>
      </c>
      <c r="AC69" s="809" t="str">
        <f t="shared" si="11"/>
        <v/>
      </c>
      <c r="AD69" s="809" t="str">
        <f t="shared" si="12"/>
        <v/>
      </c>
      <c r="AE69" s="810" t="str">
        <f t="shared" si="13"/>
        <v/>
      </c>
      <c r="AF69" s="811" t="str">
        <f t="shared" si="14"/>
        <v/>
      </c>
      <c r="AG69" s="812" t="str">
        <f t="shared" si="15"/>
        <v/>
      </c>
      <c r="AW69" s="17" t="str">
        <f t="shared" si="16"/>
        <v/>
      </c>
      <c r="AX69" s="17" t="str">
        <f t="shared" si="17"/>
        <v/>
      </c>
      <c r="BM69" s="17" t="str">
        <f>IFERROR(VLOOKUP(B69,'Statement of Marks'!$B$8:'Statement of Marks'!$HI$207,37,0),"")</f>
        <v>A</v>
      </c>
      <c r="BN69" s="17" t="str">
        <f>IFERROR(VLOOKUP(B69,'Statement of Marks'!$B$8:'Statement of Marks'!$HI$207,60,0),"")</f>
        <v>A</v>
      </c>
      <c r="BO69" s="17" t="str">
        <f>IFERROR(VLOOKUP(B69,'Statement of Marks'!$B$8:'Statement of Marks'!$HI$207,83,0),"")</f>
        <v>A</v>
      </c>
      <c r="BP69" s="17" t="str">
        <f>IFERROR(VLOOKUP(B69,'Statement of Marks'!$B$8:'Statement of Marks'!$HI$207,107,0),"")</f>
        <v/>
      </c>
    </row>
    <row r="70" spans="1:68">
      <c r="A70" s="800">
        <f>IF('Statement of Marks'!A69="","",'Statement of Marks'!A69)</f>
        <v>62</v>
      </c>
      <c r="B70" s="801" t="str">
        <f>IF(OR($E$3="",$P$3=""),"",IF('Statement of Marks'!B69="","",'Statement of Marks'!B69))</f>
        <v/>
      </c>
      <c r="C70" s="810" t="str">
        <f>IF(OR($E$3="",$P$3=""),"",IF('Marks Entry'!C69="","",'Marks Entry'!C69))</f>
        <v/>
      </c>
      <c r="D70" s="802" t="str">
        <f>IF(OR($E$3="",$P$3=""),"",IF('Statement of Marks'!C69="","",'Statement of Marks'!C69))</f>
        <v/>
      </c>
      <c r="E70" s="803" t="str">
        <f>IF(OR($E$3="",$P$3=""),"",IF('Statement of Marks'!D69="","",'Statement of Marks'!D69))</f>
        <v/>
      </c>
      <c r="F70" s="804" t="str">
        <f>IF(OR($E$3="",$P$3=""),"",IF('Statement of Marks'!E69="","",'Statement of Marks'!E69))</f>
        <v/>
      </c>
      <c r="G70" s="804" t="str">
        <f>IF(OR($E$3="",$P$3=""),"",IF('Statement of Marks'!F69="","",'Statement of Marks'!F69))</f>
        <v/>
      </c>
      <c r="H70" s="804" t="str">
        <f>IF(OR($E$3="",$P$3=""),"",IF('Statement of Marks'!G69="","",'Statement of Marks'!G69))</f>
        <v/>
      </c>
      <c r="I70" s="805" t="str">
        <f>IF(OR($E$3="",$P$3=""),"",IF('Statement of Marks'!H69="","",'Statement of Marks'!H69))</f>
        <v/>
      </c>
      <c r="J70" s="805" t="str">
        <f>IF(OR($E$3="",$P$3=""),"",IF('Statement of Marks'!I69="","",'Statement of Marks'!I69))</f>
        <v/>
      </c>
      <c r="K70" s="805" t="str">
        <f>IFERROR(IF(B70="","",IF($P$3=$AT$10,IF(AND(BM70="A"),'Marks Entry'!$U$2,IF(AND(BM70="B"),'Marks Entry'!$Y$2,IF(AND(BM70="C"),'Marks Entry'!$AA$2,""))),IF($P$3=$AT$11,IF(AND(BN70="A"),'Marks Entry'!$AC$2,IF(AND(BN70="B"),'Marks Entry'!$AG$2,IF(AND(BN70="C"),'Marks Entry'!$AI$2,""))),IF($P$3=$AT$12,IF(AND(BO70="A"),'Marks Entry'!$AK$2,IF(AND(BO70="B"),'Marks Entry'!$AO$2,IF(AND(BO70="C"),'Marks Entry'!$AQ$2,""))),IF($P$3=$AT$13,IF(AND(BP70="A"),'Marks Entry'!$AS$2,IF(AND(BP70="B"),'Marks Entry'!$AW$2,IF(AND(BP70="C"),'Marks Entry'!$AY$2,""))),"-"))))),"")</f>
        <v/>
      </c>
      <c r="L70" s="806" t="str">
        <f>IFERROR(IF(B70="","",IF($P$3=$AT$8,'Statement of Marks'!J69,IF($P$3=$AT$9,'Statement of Marks'!X69,IF($P$3=$AT$10,'Statement of Marks'!AM69,IF($P$3=$AT$11,'Statement of Marks'!BJ69,IF($P$3=$AT$12,'Statement of Marks'!CG69,IF($P$3=$AT$13,'Statement of Marks'!DE69,IF($P$3=$AT$14,"",IF($P$3=$AT$15,'Statement of Marks'!EY69,""))))))))),"")</f>
        <v/>
      </c>
      <c r="M70" s="806" t="str">
        <f>IFERROR(IF(B70="","",IF($P$3=$AT$8,'Statement of Marks'!K69,IF($P$3=$AT$9,'Statement of Marks'!Y69,IF($P$3=$AT$10,'Statement of Marks'!AN69,IF($P$3=$AT$11,'Statement of Marks'!BK69,IF($P$3=$AT$12,'Statement of Marks'!CH69,IF($P$3=$AT$13,'Statement of Marks'!DF69,IF($P$3=$AT$14,"",IF($P$3=$AT$15,'Statement of Marks'!EZ69,""))))))))),"")</f>
        <v/>
      </c>
      <c r="N70" s="806" t="str">
        <f>IFERROR(IF(B70="","",IF($P$3=$AT$8,'Statement of Marks'!L69,IF($P$3=$AT$9,'Statement of Marks'!Z69,IF($P$3=$AT$10,'Statement of Marks'!AO69,IF($P$3=$AT$11,'Statement of Marks'!BL69,IF($P$3=$AT$12,'Statement of Marks'!CI69,IF($P$3=$AT$13,'Statement of Marks'!DG69,IF($P$3=$AT$14,"",IF($P$3=$AT$15,'Statement of Marks'!FA69,""))))))))),"")</f>
        <v/>
      </c>
      <c r="O70" s="807" t="str">
        <f t="shared" si="4"/>
        <v/>
      </c>
      <c r="P70" s="806" t="str">
        <f>IFERROR(IF(B70="","",IF($P$3=$AT$8,'Statement of Marks'!N69,IF($P$3=$AT$9,'Statement of Marks'!AB69,IF($P$3=$AT$10,'Statement of Marks'!AQ69,IF($P$3=$AT$11,'Statement of Marks'!BN69,IF($P$3=$AT$12,'Statement of Marks'!CK69,IF($P$3=$AT$13,'Statement of Marks'!DI69,IF($P$3=$AT$14,"",IF($P$3=$AT$15,'Statement of Marks'!FC69,""))))))))),"")</f>
        <v/>
      </c>
      <c r="Q70" s="806" t="str">
        <f>IFERROR(IF(B70="","",IF($P$3=$AT$8,"",IF($P$3=$AT$9,"",IF($P$3=$AT$10,'Statement of Marks'!AR69,IF($P$3=$AT$11,'Statement of Marks'!BO69,IF($P$3=$AT$12,'Statement of Marks'!CL69,IF($P$3=$AT$13,'Statement of Marks'!DJ69,IF($P$3=$AT$14,"",IF($P$3=$AT$15,"",""))))))))),"")</f>
        <v/>
      </c>
      <c r="R70" s="818" t="str">
        <f>IFERROR(IF(B70="","",IF(AND(P70="",Q70="",$P$3=""),"",IF($P$3=$AT$14,'Statement of Marks'!EC69,SUM(P70,Q70)))),"")</f>
        <v/>
      </c>
      <c r="S70" s="817" t="str">
        <f>IFERROR(IF(B70="","",IF($P$3=$AT$14,'Statement of Marks'!ED69,IF(AND(O70="NA",P70="NA",Q70="NA"),"NA",IF(AND(O70="",P70="",Q70=""),"",SUM(O70,P70,Q70))))),"")</f>
        <v/>
      </c>
      <c r="T70" s="806" t="str">
        <f>IFERROR(IF(B70="","",IF($P$3=$AT$8,'Statement of Marks'!P69,IF($P$3=$AT$9,'Statement of Marks'!AD69,IF($P$3=$AT$10,'Statement of Marks'!AU69,IF($P$3=$AT$11,'Statement of Marks'!BR69,IF($P$3=$AT$12,'Statement of Marks'!CO69,IF($P$3=$AT$13,'Statement of Marks'!DM69,IF($P$3=$AT$14,"",IF($P$3=$AT$15,'Statement of Marks'!FD69,""))))))))),"")</f>
        <v/>
      </c>
      <c r="U70" s="806" t="str">
        <f>IFERROR(IF(B70="","",IF($P$3=$AT$8,"",IF($P$3=$AT$9,"",IF($P$3=$AT$10,'Statement of Marks'!AV69,IF($P$3=$AT$11,'Statement of Marks'!BS69,IF($P$3=$AT$12,'Statement of Marks'!CP69,IF($P$3=$AT$13,'Statement of Marks'!DN69,IF($P$3=$AT$14,"",IF($P$3=$AT$15,"",""))))))))),"")</f>
        <v/>
      </c>
      <c r="V70" s="818" t="str">
        <f>IFERROR(IF(B70="","",IF(AND(T70="",U70="",$P$3=""),"",IF($P$3=$AT$14,'Statement of Marks'!EE69,SUM(T70,U70)))),"")</f>
        <v/>
      </c>
      <c r="W70" s="808" t="str">
        <f t="shared" si="5"/>
        <v/>
      </c>
      <c r="X70" s="809">
        <f t="shared" si="6"/>
        <v>0</v>
      </c>
      <c r="Y70" s="809">
        <f t="shared" si="7"/>
        <v>0</v>
      </c>
      <c r="Z70" s="809">
        <f t="shared" si="8"/>
        <v>0</v>
      </c>
      <c r="AA70" s="809" t="str">
        <f t="shared" si="9"/>
        <v/>
      </c>
      <c r="AB70" s="809" t="str">
        <f t="shared" si="10"/>
        <v/>
      </c>
      <c r="AC70" s="809" t="str">
        <f t="shared" si="11"/>
        <v/>
      </c>
      <c r="AD70" s="809" t="str">
        <f t="shared" si="12"/>
        <v/>
      </c>
      <c r="AE70" s="810" t="str">
        <f t="shared" si="13"/>
        <v/>
      </c>
      <c r="AF70" s="811" t="str">
        <f t="shared" si="14"/>
        <v/>
      </c>
      <c r="AG70" s="812" t="str">
        <f t="shared" si="15"/>
        <v/>
      </c>
      <c r="AW70" s="17" t="str">
        <f t="shared" si="16"/>
        <v/>
      </c>
      <c r="AX70" s="17" t="str">
        <f t="shared" si="17"/>
        <v/>
      </c>
      <c r="BM70" s="17" t="str">
        <f>IFERROR(VLOOKUP(B70,'Statement of Marks'!$B$8:'Statement of Marks'!$HI$207,37,0),"")</f>
        <v>A</v>
      </c>
      <c r="BN70" s="17" t="str">
        <f>IFERROR(VLOOKUP(B70,'Statement of Marks'!$B$8:'Statement of Marks'!$HI$207,60,0),"")</f>
        <v>A</v>
      </c>
      <c r="BO70" s="17" t="str">
        <f>IFERROR(VLOOKUP(B70,'Statement of Marks'!$B$8:'Statement of Marks'!$HI$207,83,0),"")</f>
        <v>A</v>
      </c>
      <c r="BP70" s="17" t="str">
        <f>IFERROR(VLOOKUP(B70,'Statement of Marks'!$B$8:'Statement of Marks'!$HI$207,107,0),"")</f>
        <v/>
      </c>
    </row>
    <row r="71" spans="1:68">
      <c r="A71" s="800">
        <f>IF('Statement of Marks'!A70="","",'Statement of Marks'!A70)</f>
        <v>63</v>
      </c>
      <c r="B71" s="801" t="str">
        <f>IF(OR($E$3="",$P$3=""),"",IF('Statement of Marks'!B70="","",'Statement of Marks'!B70))</f>
        <v/>
      </c>
      <c r="C71" s="810" t="str">
        <f>IF(OR($E$3="",$P$3=""),"",IF('Marks Entry'!C70="","",'Marks Entry'!C70))</f>
        <v/>
      </c>
      <c r="D71" s="802" t="str">
        <f>IF(OR($E$3="",$P$3=""),"",IF('Statement of Marks'!C70="","",'Statement of Marks'!C70))</f>
        <v/>
      </c>
      <c r="E71" s="803" t="str">
        <f>IF(OR($E$3="",$P$3=""),"",IF('Statement of Marks'!D70="","",'Statement of Marks'!D70))</f>
        <v/>
      </c>
      <c r="F71" s="804" t="str">
        <f>IF(OR($E$3="",$P$3=""),"",IF('Statement of Marks'!E70="","",'Statement of Marks'!E70))</f>
        <v/>
      </c>
      <c r="G71" s="804" t="str">
        <f>IF(OR($E$3="",$P$3=""),"",IF('Statement of Marks'!F70="","",'Statement of Marks'!F70))</f>
        <v/>
      </c>
      <c r="H71" s="804" t="str">
        <f>IF(OR($E$3="",$P$3=""),"",IF('Statement of Marks'!G70="","",'Statement of Marks'!G70))</f>
        <v/>
      </c>
      <c r="I71" s="805" t="str">
        <f>IF(OR($E$3="",$P$3=""),"",IF('Statement of Marks'!H70="","",'Statement of Marks'!H70))</f>
        <v/>
      </c>
      <c r="J71" s="805" t="str">
        <f>IF(OR($E$3="",$P$3=""),"",IF('Statement of Marks'!I70="","",'Statement of Marks'!I70))</f>
        <v/>
      </c>
      <c r="K71" s="805" t="str">
        <f>IFERROR(IF(B71="","",IF($P$3=$AT$10,IF(AND(BM71="A"),'Marks Entry'!$U$2,IF(AND(BM71="B"),'Marks Entry'!$Y$2,IF(AND(BM71="C"),'Marks Entry'!$AA$2,""))),IF($P$3=$AT$11,IF(AND(BN71="A"),'Marks Entry'!$AC$2,IF(AND(BN71="B"),'Marks Entry'!$AG$2,IF(AND(BN71="C"),'Marks Entry'!$AI$2,""))),IF($P$3=$AT$12,IF(AND(BO71="A"),'Marks Entry'!$AK$2,IF(AND(BO71="B"),'Marks Entry'!$AO$2,IF(AND(BO71="C"),'Marks Entry'!$AQ$2,""))),IF($P$3=$AT$13,IF(AND(BP71="A"),'Marks Entry'!$AS$2,IF(AND(BP71="B"),'Marks Entry'!$AW$2,IF(AND(BP71="C"),'Marks Entry'!$AY$2,""))),"-"))))),"")</f>
        <v/>
      </c>
      <c r="L71" s="806" t="str">
        <f>IFERROR(IF(B71="","",IF($P$3=$AT$8,'Statement of Marks'!J70,IF($P$3=$AT$9,'Statement of Marks'!X70,IF($P$3=$AT$10,'Statement of Marks'!AM70,IF($P$3=$AT$11,'Statement of Marks'!BJ70,IF($P$3=$AT$12,'Statement of Marks'!CG70,IF($P$3=$AT$13,'Statement of Marks'!DE70,IF($P$3=$AT$14,"",IF($P$3=$AT$15,'Statement of Marks'!EY70,""))))))))),"")</f>
        <v/>
      </c>
      <c r="M71" s="806" t="str">
        <f>IFERROR(IF(B71="","",IF($P$3=$AT$8,'Statement of Marks'!K70,IF($P$3=$AT$9,'Statement of Marks'!Y70,IF($P$3=$AT$10,'Statement of Marks'!AN70,IF($P$3=$AT$11,'Statement of Marks'!BK70,IF($P$3=$AT$12,'Statement of Marks'!CH70,IF($P$3=$AT$13,'Statement of Marks'!DF70,IF($P$3=$AT$14,"",IF($P$3=$AT$15,'Statement of Marks'!EZ70,""))))))))),"")</f>
        <v/>
      </c>
      <c r="N71" s="806" t="str">
        <f>IFERROR(IF(B71="","",IF($P$3=$AT$8,'Statement of Marks'!L70,IF($P$3=$AT$9,'Statement of Marks'!Z70,IF($P$3=$AT$10,'Statement of Marks'!AO70,IF($P$3=$AT$11,'Statement of Marks'!BL70,IF($P$3=$AT$12,'Statement of Marks'!CI70,IF($P$3=$AT$13,'Statement of Marks'!DG70,IF($P$3=$AT$14,"",IF($P$3=$AT$15,'Statement of Marks'!FA70,""))))))))),"")</f>
        <v/>
      </c>
      <c r="O71" s="807" t="str">
        <f t="shared" si="4"/>
        <v/>
      </c>
      <c r="P71" s="806" t="str">
        <f>IFERROR(IF(B71="","",IF($P$3=$AT$8,'Statement of Marks'!N70,IF($P$3=$AT$9,'Statement of Marks'!AB70,IF($P$3=$AT$10,'Statement of Marks'!AQ70,IF($P$3=$AT$11,'Statement of Marks'!BN70,IF($P$3=$AT$12,'Statement of Marks'!CK70,IF($P$3=$AT$13,'Statement of Marks'!DI70,IF($P$3=$AT$14,"",IF($P$3=$AT$15,'Statement of Marks'!FC70,""))))))))),"")</f>
        <v/>
      </c>
      <c r="Q71" s="806" t="str">
        <f>IFERROR(IF(B71="","",IF($P$3=$AT$8,"",IF($P$3=$AT$9,"",IF($P$3=$AT$10,'Statement of Marks'!AR70,IF($P$3=$AT$11,'Statement of Marks'!BO70,IF($P$3=$AT$12,'Statement of Marks'!CL70,IF($P$3=$AT$13,'Statement of Marks'!DJ70,IF($P$3=$AT$14,"",IF($P$3=$AT$15,"",""))))))))),"")</f>
        <v/>
      </c>
      <c r="R71" s="818" t="str">
        <f>IFERROR(IF(B71="","",IF(AND(P71="",Q71="",$P$3=""),"",IF($P$3=$AT$14,'Statement of Marks'!EC70,SUM(P71,Q71)))),"")</f>
        <v/>
      </c>
      <c r="S71" s="817" t="str">
        <f>IFERROR(IF(B71="","",IF($P$3=$AT$14,'Statement of Marks'!ED70,IF(AND(O71="NA",P71="NA",Q71="NA"),"NA",IF(AND(O71="",P71="",Q71=""),"",SUM(O71,P71,Q71))))),"")</f>
        <v/>
      </c>
      <c r="T71" s="806" t="str">
        <f>IFERROR(IF(B71="","",IF($P$3=$AT$8,'Statement of Marks'!P70,IF($P$3=$AT$9,'Statement of Marks'!AD70,IF($P$3=$AT$10,'Statement of Marks'!AU70,IF($P$3=$AT$11,'Statement of Marks'!BR70,IF($P$3=$AT$12,'Statement of Marks'!CO70,IF($P$3=$AT$13,'Statement of Marks'!DM70,IF($P$3=$AT$14,"",IF($P$3=$AT$15,'Statement of Marks'!FD70,""))))))))),"")</f>
        <v/>
      </c>
      <c r="U71" s="806" t="str">
        <f>IFERROR(IF(B71="","",IF($P$3=$AT$8,"",IF($P$3=$AT$9,"",IF($P$3=$AT$10,'Statement of Marks'!AV70,IF($P$3=$AT$11,'Statement of Marks'!BS70,IF($P$3=$AT$12,'Statement of Marks'!CP70,IF($P$3=$AT$13,'Statement of Marks'!DN70,IF($P$3=$AT$14,"",IF($P$3=$AT$15,"",""))))))))),"")</f>
        <v/>
      </c>
      <c r="V71" s="818" t="str">
        <f>IFERROR(IF(B71="","",IF(AND(T71="",U71="",$P$3=""),"",IF($P$3=$AT$14,'Statement of Marks'!EE70,SUM(T71,U71)))),"")</f>
        <v/>
      </c>
      <c r="W71" s="808" t="str">
        <f t="shared" si="5"/>
        <v/>
      </c>
      <c r="X71" s="809">
        <f t="shared" si="6"/>
        <v>0</v>
      </c>
      <c r="Y71" s="809">
        <f t="shared" si="7"/>
        <v>0</v>
      </c>
      <c r="Z71" s="809">
        <f t="shared" si="8"/>
        <v>0</v>
      </c>
      <c r="AA71" s="809" t="str">
        <f t="shared" si="9"/>
        <v/>
      </c>
      <c r="AB71" s="809" t="str">
        <f t="shared" si="10"/>
        <v/>
      </c>
      <c r="AC71" s="809" t="str">
        <f t="shared" si="11"/>
        <v/>
      </c>
      <c r="AD71" s="809" t="str">
        <f t="shared" si="12"/>
        <v/>
      </c>
      <c r="AE71" s="810" t="str">
        <f t="shared" si="13"/>
        <v/>
      </c>
      <c r="AF71" s="811" t="str">
        <f t="shared" si="14"/>
        <v/>
      </c>
      <c r="AG71" s="812" t="str">
        <f t="shared" si="15"/>
        <v/>
      </c>
      <c r="AW71" s="17" t="str">
        <f t="shared" si="16"/>
        <v/>
      </c>
      <c r="AX71" s="17" t="str">
        <f t="shared" si="17"/>
        <v/>
      </c>
      <c r="BM71" s="17" t="str">
        <f>IFERROR(VLOOKUP(B71,'Statement of Marks'!$B$8:'Statement of Marks'!$HI$207,37,0),"")</f>
        <v>A</v>
      </c>
      <c r="BN71" s="17" t="str">
        <f>IFERROR(VLOOKUP(B71,'Statement of Marks'!$B$8:'Statement of Marks'!$HI$207,60,0),"")</f>
        <v>A</v>
      </c>
      <c r="BO71" s="17" t="str">
        <f>IFERROR(VLOOKUP(B71,'Statement of Marks'!$B$8:'Statement of Marks'!$HI$207,83,0),"")</f>
        <v>A</v>
      </c>
      <c r="BP71" s="17" t="str">
        <f>IFERROR(VLOOKUP(B71,'Statement of Marks'!$B$8:'Statement of Marks'!$HI$207,107,0),"")</f>
        <v/>
      </c>
    </row>
    <row r="72" spans="1:68">
      <c r="A72" s="800">
        <f>IF('Statement of Marks'!A71="","",'Statement of Marks'!A71)</f>
        <v>64</v>
      </c>
      <c r="B72" s="801" t="str">
        <f>IF(OR($E$3="",$P$3=""),"",IF('Statement of Marks'!B71="","",'Statement of Marks'!B71))</f>
        <v/>
      </c>
      <c r="C72" s="810" t="str">
        <f>IF(OR($E$3="",$P$3=""),"",IF('Marks Entry'!C71="","",'Marks Entry'!C71))</f>
        <v/>
      </c>
      <c r="D72" s="802" t="str">
        <f>IF(OR($E$3="",$P$3=""),"",IF('Statement of Marks'!C71="","",'Statement of Marks'!C71))</f>
        <v/>
      </c>
      <c r="E72" s="803" t="str">
        <f>IF(OR($E$3="",$P$3=""),"",IF('Statement of Marks'!D71="","",'Statement of Marks'!D71))</f>
        <v/>
      </c>
      <c r="F72" s="804" t="str">
        <f>IF(OR($E$3="",$P$3=""),"",IF('Statement of Marks'!E71="","",'Statement of Marks'!E71))</f>
        <v/>
      </c>
      <c r="G72" s="804" t="str">
        <f>IF(OR($E$3="",$P$3=""),"",IF('Statement of Marks'!F71="","",'Statement of Marks'!F71))</f>
        <v/>
      </c>
      <c r="H72" s="804" t="str">
        <f>IF(OR($E$3="",$P$3=""),"",IF('Statement of Marks'!G71="","",'Statement of Marks'!G71))</f>
        <v/>
      </c>
      <c r="I72" s="805" t="str">
        <f>IF(OR($E$3="",$P$3=""),"",IF('Statement of Marks'!H71="","",'Statement of Marks'!H71))</f>
        <v/>
      </c>
      <c r="J72" s="805" t="str">
        <f>IF(OR($E$3="",$P$3=""),"",IF('Statement of Marks'!I71="","",'Statement of Marks'!I71))</f>
        <v/>
      </c>
      <c r="K72" s="805" t="str">
        <f>IFERROR(IF(B72="","",IF($P$3=$AT$10,IF(AND(BM72="A"),'Marks Entry'!$U$2,IF(AND(BM72="B"),'Marks Entry'!$Y$2,IF(AND(BM72="C"),'Marks Entry'!$AA$2,""))),IF($P$3=$AT$11,IF(AND(BN72="A"),'Marks Entry'!$AC$2,IF(AND(BN72="B"),'Marks Entry'!$AG$2,IF(AND(BN72="C"),'Marks Entry'!$AI$2,""))),IF($P$3=$AT$12,IF(AND(BO72="A"),'Marks Entry'!$AK$2,IF(AND(BO72="B"),'Marks Entry'!$AO$2,IF(AND(BO72="C"),'Marks Entry'!$AQ$2,""))),IF($P$3=$AT$13,IF(AND(BP72="A"),'Marks Entry'!$AS$2,IF(AND(BP72="B"),'Marks Entry'!$AW$2,IF(AND(BP72="C"),'Marks Entry'!$AY$2,""))),"-"))))),"")</f>
        <v/>
      </c>
      <c r="L72" s="806" t="str">
        <f>IFERROR(IF(B72="","",IF($P$3=$AT$8,'Statement of Marks'!J71,IF($P$3=$AT$9,'Statement of Marks'!X71,IF($P$3=$AT$10,'Statement of Marks'!AM71,IF($P$3=$AT$11,'Statement of Marks'!BJ71,IF($P$3=$AT$12,'Statement of Marks'!CG71,IF($P$3=$AT$13,'Statement of Marks'!DE71,IF($P$3=$AT$14,"",IF($P$3=$AT$15,'Statement of Marks'!EY71,""))))))))),"")</f>
        <v/>
      </c>
      <c r="M72" s="806" t="str">
        <f>IFERROR(IF(B72="","",IF($P$3=$AT$8,'Statement of Marks'!K71,IF($P$3=$AT$9,'Statement of Marks'!Y71,IF($P$3=$AT$10,'Statement of Marks'!AN71,IF($P$3=$AT$11,'Statement of Marks'!BK71,IF($P$3=$AT$12,'Statement of Marks'!CH71,IF($P$3=$AT$13,'Statement of Marks'!DF71,IF($P$3=$AT$14,"",IF($P$3=$AT$15,'Statement of Marks'!EZ71,""))))))))),"")</f>
        <v/>
      </c>
      <c r="N72" s="806" t="str">
        <f>IFERROR(IF(B72="","",IF($P$3=$AT$8,'Statement of Marks'!L71,IF($P$3=$AT$9,'Statement of Marks'!Z71,IF($P$3=$AT$10,'Statement of Marks'!AO71,IF($P$3=$AT$11,'Statement of Marks'!BL71,IF($P$3=$AT$12,'Statement of Marks'!CI71,IF($P$3=$AT$13,'Statement of Marks'!DG71,IF($P$3=$AT$14,"",IF($P$3=$AT$15,'Statement of Marks'!FA71,""))))))))),"")</f>
        <v/>
      </c>
      <c r="O72" s="807" t="str">
        <f t="shared" si="4"/>
        <v/>
      </c>
      <c r="P72" s="806" t="str">
        <f>IFERROR(IF(B72="","",IF($P$3=$AT$8,'Statement of Marks'!N71,IF($P$3=$AT$9,'Statement of Marks'!AB71,IF($P$3=$AT$10,'Statement of Marks'!AQ71,IF($P$3=$AT$11,'Statement of Marks'!BN71,IF($P$3=$AT$12,'Statement of Marks'!CK71,IF($P$3=$AT$13,'Statement of Marks'!DI71,IF($P$3=$AT$14,"",IF($P$3=$AT$15,'Statement of Marks'!FC71,""))))))))),"")</f>
        <v/>
      </c>
      <c r="Q72" s="806" t="str">
        <f>IFERROR(IF(B72="","",IF($P$3=$AT$8,"",IF($P$3=$AT$9,"",IF($P$3=$AT$10,'Statement of Marks'!AR71,IF($P$3=$AT$11,'Statement of Marks'!BO71,IF($P$3=$AT$12,'Statement of Marks'!CL71,IF($P$3=$AT$13,'Statement of Marks'!DJ71,IF($P$3=$AT$14,"",IF($P$3=$AT$15,"",""))))))))),"")</f>
        <v/>
      </c>
      <c r="R72" s="818" t="str">
        <f>IFERROR(IF(B72="","",IF(AND(P72="",Q72="",$P$3=""),"",IF($P$3=$AT$14,'Statement of Marks'!EC71,SUM(P72,Q72)))),"")</f>
        <v/>
      </c>
      <c r="S72" s="817" t="str">
        <f>IFERROR(IF(B72="","",IF($P$3=$AT$14,'Statement of Marks'!ED71,IF(AND(O72="NA",P72="NA",Q72="NA"),"NA",IF(AND(O72="",P72="",Q72=""),"",SUM(O72,P72,Q72))))),"")</f>
        <v/>
      </c>
      <c r="T72" s="806" t="str">
        <f>IFERROR(IF(B72="","",IF($P$3=$AT$8,'Statement of Marks'!P71,IF($P$3=$AT$9,'Statement of Marks'!AD71,IF($P$3=$AT$10,'Statement of Marks'!AU71,IF($P$3=$AT$11,'Statement of Marks'!BR71,IF($P$3=$AT$12,'Statement of Marks'!CO71,IF($P$3=$AT$13,'Statement of Marks'!DM71,IF($P$3=$AT$14,"",IF($P$3=$AT$15,'Statement of Marks'!FD71,""))))))))),"")</f>
        <v/>
      </c>
      <c r="U72" s="806" t="str">
        <f>IFERROR(IF(B72="","",IF($P$3=$AT$8,"",IF($P$3=$AT$9,"",IF($P$3=$AT$10,'Statement of Marks'!AV71,IF($P$3=$AT$11,'Statement of Marks'!BS71,IF($P$3=$AT$12,'Statement of Marks'!CP71,IF($P$3=$AT$13,'Statement of Marks'!DN71,IF($P$3=$AT$14,"",IF($P$3=$AT$15,"",""))))))))),"")</f>
        <v/>
      </c>
      <c r="V72" s="818" t="str">
        <f>IFERROR(IF(B72="","",IF(AND(T72="",U72="",$P$3=""),"",IF($P$3=$AT$14,'Statement of Marks'!EE71,SUM(T72,U72)))),"")</f>
        <v/>
      </c>
      <c r="W72" s="808" t="str">
        <f t="shared" si="5"/>
        <v/>
      </c>
      <c r="X72" s="809">
        <f t="shared" si="6"/>
        <v>0</v>
      </c>
      <c r="Y72" s="809">
        <f t="shared" si="7"/>
        <v>0</v>
      </c>
      <c r="Z72" s="809">
        <f t="shared" si="8"/>
        <v>0</v>
      </c>
      <c r="AA72" s="809" t="str">
        <f t="shared" si="9"/>
        <v/>
      </c>
      <c r="AB72" s="809" t="str">
        <f t="shared" si="10"/>
        <v/>
      </c>
      <c r="AC72" s="809" t="str">
        <f t="shared" si="11"/>
        <v/>
      </c>
      <c r="AD72" s="809" t="str">
        <f t="shared" si="12"/>
        <v/>
      </c>
      <c r="AE72" s="810" t="str">
        <f t="shared" si="13"/>
        <v/>
      </c>
      <c r="AF72" s="811" t="str">
        <f t="shared" si="14"/>
        <v/>
      </c>
      <c r="AG72" s="812" t="str">
        <f t="shared" si="15"/>
        <v/>
      </c>
      <c r="AW72" s="17" t="str">
        <f t="shared" si="16"/>
        <v/>
      </c>
      <c r="AX72" s="17" t="str">
        <f t="shared" si="17"/>
        <v/>
      </c>
      <c r="BM72" s="17" t="str">
        <f>IFERROR(VLOOKUP(B72,'Statement of Marks'!$B$8:'Statement of Marks'!$HI$207,37,0),"")</f>
        <v>A</v>
      </c>
      <c r="BN72" s="17" t="str">
        <f>IFERROR(VLOOKUP(B72,'Statement of Marks'!$B$8:'Statement of Marks'!$HI$207,60,0),"")</f>
        <v>A</v>
      </c>
      <c r="BO72" s="17" t="str">
        <f>IFERROR(VLOOKUP(B72,'Statement of Marks'!$B$8:'Statement of Marks'!$HI$207,83,0),"")</f>
        <v>A</v>
      </c>
      <c r="BP72" s="17" t="str">
        <f>IFERROR(VLOOKUP(B72,'Statement of Marks'!$B$8:'Statement of Marks'!$HI$207,107,0),"")</f>
        <v/>
      </c>
    </row>
    <row r="73" spans="1:68">
      <c r="A73" s="800">
        <f>IF('Statement of Marks'!A72="","",'Statement of Marks'!A72)</f>
        <v>65</v>
      </c>
      <c r="B73" s="801" t="str">
        <f>IF(OR($E$3="",$P$3=""),"",IF('Statement of Marks'!B72="","",'Statement of Marks'!B72))</f>
        <v/>
      </c>
      <c r="C73" s="810" t="str">
        <f>IF(OR($E$3="",$P$3=""),"",IF('Marks Entry'!C72="","",'Marks Entry'!C72))</f>
        <v/>
      </c>
      <c r="D73" s="802" t="str">
        <f>IF(OR($E$3="",$P$3=""),"",IF('Statement of Marks'!C72="","",'Statement of Marks'!C72))</f>
        <v/>
      </c>
      <c r="E73" s="803" t="str">
        <f>IF(OR($E$3="",$P$3=""),"",IF('Statement of Marks'!D72="","",'Statement of Marks'!D72))</f>
        <v/>
      </c>
      <c r="F73" s="804" t="str">
        <f>IF(OR($E$3="",$P$3=""),"",IF('Statement of Marks'!E72="","",'Statement of Marks'!E72))</f>
        <v/>
      </c>
      <c r="G73" s="804" t="str">
        <f>IF(OR($E$3="",$P$3=""),"",IF('Statement of Marks'!F72="","",'Statement of Marks'!F72))</f>
        <v/>
      </c>
      <c r="H73" s="804" t="str">
        <f>IF(OR($E$3="",$P$3=""),"",IF('Statement of Marks'!G72="","",'Statement of Marks'!G72))</f>
        <v/>
      </c>
      <c r="I73" s="805" t="str">
        <f>IF(OR($E$3="",$P$3=""),"",IF('Statement of Marks'!H72="","",'Statement of Marks'!H72))</f>
        <v/>
      </c>
      <c r="J73" s="805" t="str">
        <f>IF(OR($E$3="",$P$3=""),"",IF('Statement of Marks'!I72="","",'Statement of Marks'!I72))</f>
        <v/>
      </c>
      <c r="K73" s="805" t="str">
        <f>IFERROR(IF(B73="","",IF($P$3=$AT$10,IF(AND(BM73="A"),'Marks Entry'!$U$2,IF(AND(BM73="B"),'Marks Entry'!$Y$2,IF(AND(BM73="C"),'Marks Entry'!$AA$2,""))),IF($P$3=$AT$11,IF(AND(BN73="A"),'Marks Entry'!$AC$2,IF(AND(BN73="B"),'Marks Entry'!$AG$2,IF(AND(BN73="C"),'Marks Entry'!$AI$2,""))),IF($P$3=$AT$12,IF(AND(BO73="A"),'Marks Entry'!$AK$2,IF(AND(BO73="B"),'Marks Entry'!$AO$2,IF(AND(BO73="C"),'Marks Entry'!$AQ$2,""))),IF($P$3=$AT$13,IF(AND(BP73="A"),'Marks Entry'!$AS$2,IF(AND(BP73="B"),'Marks Entry'!$AW$2,IF(AND(BP73="C"),'Marks Entry'!$AY$2,""))),"-"))))),"")</f>
        <v/>
      </c>
      <c r="L73" s="806" t="str">
        <f>IFERROR(IF(B73="","",IF($P$3=$AT$8,'Statement of Marks'!J72,IF($P$3=$AT$9,'Statement of Marks'!X72,IF($P$3=$AT$10,'Statement of Marks'!AM72,IF($P$3=$AT$11,'Statement of Marks'!BJ72,IF($P$3=$AT$12,'Statement of Marks'!CG72,IF($P$3=$AT$13,'Statement of Marks'!DE72,IF($P$3=$AT$14,"",IF($P$3=$AT$15,'Statement of Marks'!EY72,""))))))))),"")</f>
        <v/>
      </c>
      <c r="M73" s="806" t="str">
        <f>IFERROR(IF(B73="","",IF($P$3=$AT$8,'Statement of Marks'!K72,IF($P$3=$AT$9,'Statement of Marks'!Y72,IF($P$3=$AT$10,'Statement of Marks'!AN72,IF($P$3=$AT$11,'Statement of Marks'!BK72,IF($P$3=$AT$12,'Statement of Marks'!CH72,IF($P$3=$AT$13,'Statement of Marks'!DF72,IF($P$3=$AT$14,"",IF($P$3=$AT$15,'Statement of Marks'!EZ72,""))))))))),"")</f>
        <v/>
      </c>
      <c r="N73" s="806" t="str">
        <f>IFERROR(IF(B73="","",IF($P$3=$AT$8,'Statement of Marks'!L72,IF($P$3=$AT$9,'Statement of Marks'!Z72,IF($P$3=$AT$10,'Statement of Marks'!AO72,IF($P$3=$AT$11,'Statement of Marks'!BL72,IF($P$3=$AT$12,'Statement of Marks'!CI72,IF($P$3=$AT$13,'Statement of Marks'!DG72,IF($P$3=$AT$14,"",IF($P$3=$AT$15,'Statement of Marks'!FA72,""))))))))),"")</f>
        <v/>
      </c>
      <c r="O73" s="807" t="str">
        <f t="shared" si="4"/>
        <v/>
      </c>
      <c r="P73" s="806" t="str">
        <f>IFERROR(IF(B73="","",IF($P$3=$AT$8,'Statement of Marks'!N72,IF($P$3=$AT$9,'Statement of Marks'!AB72,IF($P$3=$AT$10,'Statement of Marks'!AQ72,IF($P$3=$AT$11,'Statement of Marks'!BN72,IF($P$3=$AT$12,'Statement of Marks'!CK72,IF($P$3=$AT$13,'Statement of Marks'!DI72,IF($P$3=$AT$14,"",IF($P$3=$AT$15,'Statement of Marks'!FC72,""))))))))),"")</f>
        <v/>
      </c>
      <c r="Q73" s="806" t="str">
        <f>IFERROR(IF(B73="","",IF($P$3=$AT$8,"",IF($P$3=$AT$9,"",IF($P$3=$AT$10,'Statement of Marks'!AR72,IF($P$3=$AT$11,'Statement of Marks'!BO72,IF($P$3=$AT$12,'Statement of Marks'!CL72,IF($P$3=$AT$13,'Statement of Marks'!DJ72,IF($P$3=$AT$14,"",IF($P$3=$AT$15,"",""))))))))),"")</f>
        <v/>
      </c>
      <c r="R73" s="818" t="str">
        <f>IFERROR(IF(B73="","",IF(AND(P73="",Q73="",$P$3=""),"",IF($P$3=$AT$14,'Statement of Marks'!EC72,SUM(P73,Q73)))),"")</f>
        <v/>
      </c>
      <c r="S73" s="817" t="str">
        <f>IFERROR(IF(B73="","",IF($P$3=$AT$14,'Statement of Marks'!ED72,IF(AND(O73="NA",P73="NA",Q73="NA"),"NA",IF(AND(O73="",P73="",Q73=""),"",SUM(O73,P73,Q73))))),"")</f>
        <v/>
      </c>
      <c r="T73" s="806" t="str">
        <f>IFERROR(IF(B73="","",IF($P$3=$AT$8,'Statement of Marks'!P72,IF($P$3=$AT$9,'Statement of Marks'!AD72,IF($P$3=$AT$10,'Statement of Marks'!AU72,IF($P$3=$AT$11,'Statement of Marks'!BR72,IF($P$3=$AT$12,'Statement of Marks'!CO72,IF($P$3=$AT$13,'Statement of Marks'!DM72,IF($P$3=$AT$14,"",IF($P$3=$AT$15,'Statement of Marks'!FD72,""))))))))),"")</f>
        <v/>
      </c>
      <c r="U73" s="806" t="str">
        <f>IFERROR(IF(B73="","",IF($P$3=$AT$8,"",IF($P$3=$AT$9,"",IF($P$3=$AT$10,'Statement of Marks'!AV72,IF($P$3=$AT$11,'Statement of Marks'!BS72,IF($P$3=$AT$12,'Statement of Marks'!CP72,IF($P$3=$AT$13,'Statement of Marks'!DN72,IF($P$3=$AT$14,"",IF($P$3=$AT$15,"",""))))))))),"")</f>
        <v/>
      </c>
      <c r="V73" s="818" t="str">
        <f>IFERROR(IF(B73="","",IF(AND(T73="",U73="",$P$3=""),"",IF($P$3=$AT$14,'Statement of Marks'!EE72,SUM(T73,U73)))),"")</f>
        <v/>
      </c>
      <c r="W73" s="808" t="str">
        <f t="shared" si="5"/>
        <v/>
      </c>
      <c r="X73" s="809">
        <f t="shared" si="6"/>
        <v>0</v>
      </c>
      <c r="Y73" s="809">
        <f t="shared" si="7"/>
        <v>0</v>
      </c>
      <c r="Z73" s="809">
        <f t="shared" si="8"/>
        <v>0</v>
      </c>
      <c r="AA73" s="809" t="str">
        <f t="shared" si="9"/>
        <v/>
      </c>
      <c r="AB73" s="809" t="str">
        <f t="shared" si="10"/>
        <v/>
      </c>
      <c r="AC73" s="809" t="str">
        <f t="shared" si="11"/>
        <v/>
      </c>
      <c r="AD73" s="809" t="str">
        <f t="shared" si="12"/>
        <v/>
      </c>
      <c r="AE73" s="810" t="str">
        <f t="shared" si="13"/>
        <v/>
      </c>
      <c r="AF73" s="811" t="str">
        <f t="shared" si="14"/>
        <v/>
      </c>
      <c r="AG73" s="812" t="str">
        <f t="shared" si="15"/>
        <v/>
      </c>
      <c r="AW73" s="17" t="str">
        <f t="shared" si="16"/>
        <v/>
      </c>
      <c r="AX73" s="17" t="str">
        <f t="shared" si="17"/>
        <v/>
      </c>
      <c r="BM73" s="17" t="str">
        <f>IFERROR(VLOOKUP(B73,'Statement of Marks'!$B$8:'Statement of Marks'!$HI$207,37,0),"")</f>
        <v>A</v>
      </c>
      <c r="BN73" s="17" t="str">
        <f>IFERROR(VLOOKUP(B73,'Statement of Marks'!$B$8:'Statement of Marks'!$HI$207,60,0),"")</f>
        <v>A</v>
      </c>
      <c r="BO73" s="17" t="str">
        <f>IFERROR(VLOOKUP(B73,'Statement of Marks'!$B$8:'Statement of Marks'!$HI$207,83,0),"")</f>
        <v>A</v>
      </c>
      <c r="BP73" s="17" t="str">
        <f>IFERROR(VLOOKUP(B73,'Statement of Marks'!$B$8:'Statement of Marks'!$HI$207,107,0),"")</f>
        <v/>
      </c>
    </row>
    <row r="74" spans="1:68">
      <c r="A74" s="800">
        <f>IF('Statement of Marks'!A73="","",'Statement of Marks'!A73)</f>
        <v>66</v>
      </c>
      <c r="B74" s="801" t="str">
        <f>IF(OR($E$3="",$P$3=""),"",IF('Statement of Marks'!B73="","",'Statement of Marks'!B73))</f>
        <v/>
      </c>
      <c r="C74" s="810" t="str">
        <f>IF(OR($E$3="",$P$3=""),"",IF('Marks Entry'!C73="","",'Marks Entry'!C73))</f>
        <v/>
      </c>
      <c r="D74" s="802" t="str">
        <f>IF(OR($E$3="",$P$3=""),"",IF('Statement of Marks'!C73="","",'Statement of Marks'!C73))</f>
        <v/>
      </c>
      <c r="E74" s="803" t="str">
        <f>IF(OR($E$3="",$P$3=""),"",IF('Statement of Marks'!D73="","",'Statement of Marks'!D73))</f>
        <v/>
      </c>
      <c r="F74" s="804" t="str">
        <f>IF(OR($E$3="",$P$3=""),"",IF('Statement of Marks'!E73="","",'Statement of Marks'!E73))</f>
        <v/>
      </c>
      <c r="G74" s="804" t="str">
        <f>IF(OR($E$3="",$P$3=""),"",IF('Statement of Marks'!F73="","",'Statement of Marks'!F73))</f>
        <v/>
      </c>
      <c r="H74" s="804" t="str">
        <f>IF(OR($E$3="",$P$3=""),"",IF('Statement of Marks'!G73="","",'Statement of Marks'!G73))</f>
        <v/>
      </c>
      <c r="I74" s="805" t="str">
        <f>IF(OR($E$3="",$P$3=""),"",IF('Statement of Marks'!H73="","",'Statement of Marks'!H73))</f>
        <v/>
      </c>
      <c r="J74" s="805" t="str">
        <f>IF(OR($E$3="",$P$3=""),"",IF('Statement of Marks'!I73="","",'Statement of Marks'!I73))</f>
        <v/>
      </c>
      <c r="K74" s="805" t="str">
        <f>IFERROR(IF(B74="","",IF($P$3=$AT$10,IF(AND(BM74="A"),'Marks Entry'!$U$2,IF(AND(BM74="B"),'Marks Entry'!$Y$2,IF(AND(BM74="C"),'Marks Entry'!$AA$2,""))),IF($P$3=$AT$11,IF(AND(BN74="A"),'Marks Entry'!$AC$2,IF(AND(BN74="B"),'Marks Entry'!$AG$2,IF(AND(BN74="C"),'Marks Entry'!$AI$2,""))),IF($P$3=$AT$12,IF(AND(BO74="A"),'Marks Entry'!$AK$2,IF(AND(BO74="B"),'Marks Entry'!$AO$2,IF(AND(BO74="C"),'Marks Entry'!$AQ$2,""))),IF($P$3=$AT$13,IF(AND(BP74="A"),'Marks Entry'!$AS$2,IF(AND(BP74="B"),'Marks Entry'!$AW$2,IF(AND(BP74="C"),'Marks Entry'!$AY$2,""))),"-"))))),"")</f>
        <v/>
      </c>
      <c r="L74" s="806" t="str">
        <f>IFERROR(IF(B74="","",IF($P$3=$AT$8,'Statement of Marks'!J73,IF($P$3=$AT$9,'Statement of Marks'!X73,IF($P$3=$AT$10,'Statement of Marks'!AM73,IF($P$3=$AT$11,'Statement of Marks'!BJ73,IF($P$3=$AT$12,'Statement of Marks'!CG73,IF($P$3=$AT$13,'Statement of Marks'!DE73,IF($P$3=$AT$14,"",IF($P$3=$AT$15,'Statement of Marks'!EY73,""))))))))),"")</f>
        <v/>
      </c>
      <c r="M74" s="806" t="str">
        <f>IFERROR(IF(B74="","",IF($P$3=$AT$8,'Statement of Marks'!K73,IF($P$3=$AT$9,'Statement of Marks'!Y73,IF($P$3=$AT$10,'Statement of Marks'!AN73,IF($P$3=$AT$11,'Statement of Marks'!BK73,IF($P$3=$AT$12,'Statement of Marks'!CH73,IF($P$3=$AT$13,'Statement of Marks'!DF73,IF($P$3=$AT$14,"",IF($P$3=$AT$15,'Statement of Marks'!EZ73,""))))))))),"")</f>
        <v/>
      </c>
      <c r="N74" s="806" t="str">
        <f>IFERROR(IF(B74="","",IF($P$3=$AT$8,'Statement of Marks'!L73,IF($P$3=$AT$9,'Statement of Marks'!Z73,IF($P$3=$AT$10,'Statement of Marks'!AO73,IF($P$3=$AT$11,'Statement of Marks'!BL73,IF($P$3=$AT$12,'Statement of Marks'!CI73,IF($P$3=$AT$13,'Statement of Marks'!DG73,IF($P$3=$AT$14,"",IF($P$3=$AT$15,'Statement of Marks'!FA73,""))))))))),"")</f>
        <v/>
      </c>
      <c r="O74" s="807" t="str">
        <f t="shared" ref="O74:O137" si="18">IF(AND(L74="",M74="",N74="",$P$3=""),"",IF(OR($P$3=$AT$14,$P$3=$AT$14),"",IF(B74="","",SUM(L74:N74))))</f>
        <v/>
      </c>
      <c r="P74" s="806" t="str">
        <f>IFERROR(IF(B74="","",IF($P$3=$AT$8,'Statement of Marks'!N73,IF($P$3=$AT$9,'Statement of Marks'!AB73,IF($P$3=$AT$10,'Statement of Marks'!AQ73,IF($P$3=$AT$11,'Statement of Marks'!BN73,IF($P$3=$AT$12,'Statement of Marks'!CK73,IF($P$3=$AT$13,'Statement of Marks'!DI73,IF($P$3=$AT$14,"",IF($P$3=$AT$15,'Statement of Marks'!FC73,""))))))))),"")</f>
        <v/>
      </c>
      <c r="Q74" s="806" t="str">
        <f>IFERROR(IF(B74="","",IF($P$3=$AT$8,"",IF($P$3=$AT$9,"",IF($P$3=$AT$10,'Statement of Marks'!AR73,IF($P$3=$AT$11,'Statement of Marks'!BO73,IF($P$3=$AT$12,'Statement of Marks'!CL73,IF($P$3=$AT$13,'Statement of Marks'!DJ73,IF($P$3=$AT$14,"",IF($P$3=$AT$15,"",""))))))))),"")</f>
        <v/>
      </c>
      <c r="R74" s="818" t="str">
        <f>IFERROR(IF(B74="","",IF(AND(P74="",Q74="",$P$3=""),"",IF($P$3=$AT$14,'Statement of Marks'!EC73,SUM(P74,Q74)))),"")</f>
        <v/>
      </c>
      <c r="S74" s="817" t="str">
        <f>IFERROR(IF(B74="","",IF($P$3=$AT$14,'Statement of Marks'!ED73,IF(AND(O74="NA",P74="NA",Q74="NA"),"NA",IF(AND(O74="",P74="",Q74=""),"",SUM(O74,P74,Q74))))),"")</f>
        <v/>
      </c>
      <c r="T74" s="806" t="str">
        <f>IFERROR(IF(B74="","",IF($P$3=$AT$8,'Statement of Marks'!P73,IF($P$3=$AT$9,'Statement of Marks'!AD73,IF($P$3=$AT$10,'Statement of Marks'!AU73,IF($P$3=$AT$11,'Statement of Marks'!BR73,IF($P$3=$AT$12,'Statement of Marks'!CO73,IF($P$3=$AT$13,'Statement of Marks'!DM73,IF($P$3=$AT$14,"",IF($P$3=$AT$15,'Statement of Marks'!FD73,""))))))))),"")</f>
        <v/>
      </c>
      <c r="U74" s="806" t="str">
        <f>IFERROR(IF(B74="","",IF($P$3=$AT$8,"",IF($P$3=$AT$9,"",IF($P$3=$AT$10,'Statement of Marks'!AV73,IF($P$3=$AT$11,'Statement of Marks'!BS73,IF($P$3=$AT$12,'Statement of Marks'!CP73,IF($P$3=$AT$13,'Statement of Marks'!DN73,IF($P$3=$AT$14,"",IF($P$3=$AT$15,"",""))))))))),"")</f>
        <v/>
      </c>
      <c r="V74" s="818" t="str">
        <f>IFERROR(IF(B74="","",IF(AND(T74="",U74="",$P$3=""),"",IF($P$3=$AT$14,'Statement of Marks'!EE73,SUM(T74,U74)))),"")</f>
        <v/>
      </c>
      <c r="W74" s="808" t="str">
        <f t="shared" ref="W74:W137" si="19">IFERROR(IF(B74="","",IF($P$3="","",IF(OR($P$3=$AT$14),SUM(R74,S74,V74),SUM(S74,V74)))),"")</f>
        <v/>
      </c>
      <c r="X74" s="809">
        <f t="shared" ref="X74:X137" si="20">IFERROR(IF($P$3="","",IF(OR($P$3=$AT$8,$P$3=$AT$9,$P$3=$AT$10,$P$3=$AT$11,$P$3=$AT$12,$P$3=$AT$13,$P$3=$AT$15),COUNTIF(L74:N74,"NA")*$L$7+(COUNTIF(L74:N74,"ML")*$L$7)+(COUNTIF(P74,"ML")*$P$7)+(COUNTIF(T74,"ML")*$T$8)+(COUNTIF(T74,"ML")*$T$7),COUNTIF(R74,"NA")*$R$7+(COUNTIF(R74,"ML")*$R$7)+(COUNTIF(S74,"ML")*$S$7)+(COUNTIF(V74,"ML")*$V$7))),0)</f>
        <v>0</v>
      </c>
      <c r="Y74" s="809">
        <f t="shared" ref="Y74:Y137" si="21">SUM(Q74,U74)</f>
        <v>0</v>
      </c>
      <c r="Z74" s="809">
        <f t="shared" ref="Z74:Z137" si="22">SUM(O74,P74,T74)</f>
        <v>0</v>
      </c>
      <c r="AA74" s="809" t="str">
        <f t="shared" ref="AA74:AA137" si="23">IF(OR($B74="NSO",$B74=0,T74=""),"",IF(AND(Q74="",U74=""),SUM($T$8),SUM($T$7)))</f>
        <v/>
      </c>
      <c r="AB74" s="809" t="str">
        <f t="shared" ref="AB74:AB137" si="24">IF(OR($B74="NSO",$B74=0,U74=""),"",IF(AND(Q74="",U74=""),"",SUM($Q$7+$U$7)-(COUNTIF(Q74,"ML")*$Q$7)-(COUNTIF(U74,"ML")*$U$7)))</f>
        <v/>
      </c>
      <c r="AC74" s="809" t="str">
        <f t="shared" ref="AC74:AC137" si="25">IF(OR($B74="NSO",$B74=0,B74=""),"",IF(AND(Q74="",U74=""),IF(OR($P$3=$AT$8,$P$3=$AT$9,$P$3=$AT$10,$P$3=$AT$11,$P$3=$AT$12,$P$3=$AT$13,$P$3=$AT$15,$P$3=$AT$16,$P$3=$AT$17),IF(AND(L74="NA",N74="NA",M74="NA"),$O$7-X74,IF(AND(P74="ML"),$P$7-X74,IF(AND(T74="ML"),$T$7-X74,$W$7-X74))),IF(AND(R74="NA"),$R$7-X74,IF(AND(S74="ML"),$S$7-X74,IF(AND(V74="ML"),$V$7-X74,$W$7-X74)))),IF(AND(L74="NA",N74="NA",M74="NA"),$O$7-X74,IF(AND(P74="ML"),$P$7-X74,IF(AND(T74="ML"),$T$7-X74,$Z$7-X74)))))</f>
        <v/>
      </c>
      <c r="AD74" s="809" t="str">
        <f t="shared" ref="AD74:AD137" si="26">IF(AND(OR(L74="ab",L74="ml"),OR(M74="ab",M74="ml"),OR(P74="ab",P74="ml"),OR(P74="ab",P74="ml"),OR(S74="ab",S74="ml")),"AB",IF(AND(OR(M74="ab",M74="ml"),OR(N74="ab",N74="ml"),OR(P74="ab",P74="ml"),OR(S74="ab",S74="ml")),"AB",IF(AND(OR(N74="ab",N74="ml"),OR(L74="ab",L74="ml"),OR(P74="ab",P74="ml"),OR(T74="ab",T74="ml")),"AB",IF(AND(OR(P74="ab",P74="ml"),OR(T74="ab",T74="ml"),OR(Q74="ab",Q74="ml"),OR(P74="ab",P74="ml"),OR(T74="ab",T74="ml")),"AB",IF(AND(OR(P74="ab",P74="ml"),OR(M74="ab",M74="ml"),OR(T74="ab",T74="ml"),OR(P74="ab",P74="ml"),OR(U74="ab",U74="ml")),"AB","")))))</f>
        <v/>
      </c>
      <c r="AE74" s="810" t="str">
        <f t="shared" ref="AE74:AE137" si="27">IFERROR(IF(B74="","",IF(OR($P$3=$AT$14),AX74,AW74)),"")</f>
        <v/>
      </c>
      <c r="AF74" s="811" t="str">
        <f t="shared" ref="AF74:AF137" si="28">IF(OR(AE74="",AE74=0,AE74="S",AE74="RE",AE74="F",AE74="AB",B74="NSO"),"",IF(AE74="G","G",IF(W74&gt;=75%*SUM(AB74,AC74),"I",IF(W74&gt;=60%*SUM(AB74,AC74),"I",IF(W74&gt;=48%*SUM(AB74,AC74),"II",IF(W74&gt;=36%*SUM(AB74,AC74),"III",""))))))</f>
        <v/>
      </c>
      <c r="AG74" s="812" t="str">
        <f t="shared" ref="AG74:AG137" si="29">IF(W74="","",IF(OR(AE74="",AE74=0,AE74="RE",AE74="AB"),"",IF(B74="NSO","NSO",IF(AE74="G","By Grace",IF(AE74="S","Supplementary",IF(AE74="F","Fail",IF(W74&gt;=75%*AC74,"D",IF(AE74="FP","Fail in Practical",""))))))))</f>
        <v/>
      </c>
      <c r="AW74" s="17" t="str">
        <f t="shared" ref="AW74:AW137" si="30">IF(B74="","",IF(OR(T74="AB",U74="AB",AD74="AB"),"AB",IF(OR(T74="ML",V74="ML"),"RE",IF(U74="MLP","REP",IF(U74&lt;33%*$U$7,"FP",IF(Q74&lt;33%*$Q$7,"FP",IF(AND(Z74&gt;=36%*AC74,SUM(T74)&gt;=20%*AA74,Y74&gt;=SUM(AB74)*36%),"P",IF(AND(Z74&gt;=34%*AC74,SUM(T74)&gt;=20%*AA74,Y74&gt;=SUM(AB74)*36%),"G",IF(AND(Z74&gt;=31%*AC74,SUM(T74)&gt;=20%*AA74,Y74&gt;=SUM(AB74)*36%),"G",IF(AND(Z74&gt;=25%*AC74,SUM(T74)&gt;=20%*AA74),"S","F"))))))))))</f>
        <v/>
      </c>
      <c r="AX74" s="17" t="str">
        <f t="shared" ref="AX74:AX137" si="31">IF(B74="","",IF(AND(W74&gt;=36%*AC74,SUM(V74)&gt;=20%*$V$7),"P",""))</f>
        <v/>
      </c>
      <c r="BM74" s="17" t="str">
        <f>IFERROR(VLOOKUP(B74,'Statement of Marks'!$B$8:'Statement of Marks'!$HI$207,37,0),"")</f>
        <v>A</v>
      </c>
      <c r="BN74" s="17" t="str">
        <f>IFERROR(VLOOKUP(B74,'Statement of Marks'!$B$8:'Statement of Marks'!$HI$207,60,0),"")</f>
        <v>A</v>
      </c>
      <c r="BO74" s="17" t="str">
        <f>IFERROR(VLOOKUP(B74,'Statement of Marks'!$B$8:'Statement of Marks'!$HI$207,83,0),"")</f>
        <v>A</v>
      </c>
      <c r="BP74" s="17" t="str">
        <f>IFERROR(VLOOKUP(B74,'Statement of Marks'!$B$8:'Statement of Marks'!$HI$207,107,0),"")</f>
        <v/>
      </c>
    </row>
    <row r="75" spans="1:68">
      <c r="A75" s="800">
        <f>IF('Statement of Marks'!A74="","",'Statement of Marks'!A74)</f>
        <v>67</v>
      </c>
      <c r="B75" s="801" t="str">
        <f>IF(OR($E$3="",$P$3=""),"",IF('Statement of Marks'!B74="","",'Statement of Marks'!B74))</f>
        <v/>
      </c>
      <c r="C75" s="810" t="str">
        <f>IF(OR($E$3="",$P$3=""),"",IF('Marks Entry'!C74="","",'Marks Entry'!C74))</f>
        <v/>
      </c>
      <c r="D75" s="802" t="str">
        <f>IF(OR($E$3="",$P$3=""),"",IF('Statement of Marks'!C74="","",'Statement of Marks'!C74))</f>
        <v/>
      </c>
      <c r="E75" s="803" t="str">
        <f>IF(OR($E$3="",$P$3=""),"",IF('Statement of Marks'!D74="","",'Statement of Marks'!D74))</f>
        <v/>
      </c>
      <c r="F75" s="804" t="str">
        <f>IF(OR($E$3="",$P$3=""),"",IF('Statement of Marks'!E74="","",'Statement of Marks'!E74))</f>
        <v/>
      </c>
      <c r="G75" s="804" t="str">
        <f>IF(OR($E$3="",$P$3=""),"",IF('Statement of Marks'!F74="","",'Statement of Marks'!F74))</f>
        <v/>
      </c>
      <c r="H75" s="804" t="str">
        <f>IF(OR($E$3="",$P$3=""),"",IF('Statement of Marks'!G74="","",'Statement of Marks'!G74))</f>
        <v/>
      </c>
      <c r="I75" s="805" t="str">
        <f>IF(OR($E$3="",$P$3=""),"",IF('Statement of Marks'!H74="","",'Statement of Marks'!H74))</f>
        <v/>
      </c>
      <c r="J75" s="805" t="str">
        <f>IF(OR($E$3="",$P$3=""),"",IF('Statement of Marks'!I74="","",'Statement of Marks'!I74))</f>
        <v/>
      </c>
      <c r="K75" s="805" t="str">
        <f>IFERROR(IF(B75="","",IF($P$3=$AT$10,IF(AND(BM75="A"),'Marks Entry'!$U$2,IF(AND(BM75="B"),'Marks Entry'!$Y$2,IF(AND(BM75="C"),'Marks Entry'!$AA$2,""))),IF($P$3=$AT$11,IF(AND(BN75="A"),'Marks Entry'!$AC$2,IF(AND(BN75="B"),'Marks Entry'!$AG$2,IF(AND(BN75="C"),'Marks Entry'!$AI$2,""))),IF($P$3=$AT$12,IF(AND(BO75="A"),'Marks Entry'!$AK$2,IF(AND(BO75="B"),'Marks Entry'!$AO$2,IF(AND(BO75="C"),'Marks Entry'!$AQ$2,""))),IF($P$3=$AT$13,IF(AND(BP75="A"),'Marks Entry'!$AS$2,IF(AND(BP75="B"),'Marks Entry'!$AW$2,IF(AND(BP75="C"),'Marks Entry'!$AY$2,""))),"-"))))),"")</f>
        <v/>
      </c>
      <c r="L75" s="806" t="str">
        <f>IFERROR(IF(B75="","",IF($P$3=$AT$8,'Statement of Marks'!J74,IF($P$3=$AT$9,'Statement of Marks'!X74,IF($P$3=$AT$10,'Statement of Marks'!AM74,IF($P$3=$AT$11,'Statement of Marks'!BJ74,IF($P$3=$AT$12,'Statement of Marks'!CG74,IF($P$3=$AT$13,'Statement of Marks'!DE74,IF($P$3=$AT$14,"",IF($P$3=$AT$15,'Statement of Marks'!EY74,""))))))))),"")</f>
        <v/>
      </c>
      <c r="M75" s="806" t="str">
        <f>IFERROR(IF(B75="","",IF($P$3=$AT$8,'Statement of Marks'!K74,IF($P$3=$AT$9,'Statement of Marks'!Y74,IF($P$3=$AT$10,'Statement of Marks'!AN74,IF($P$3=$AT$11,'Statement of Marks'!BK74,IF($P$3=$AT$12,'Statement of Marks'!CH74,IF($P$3=$AT$13,'Statement of Marks'!DF74,IF($P$3=$AT$14,"",IF($P$3=$AT$15,'Statement of Marks'!EZ74,""))))))))),"")</f>
        <v/>
      </c>
      <c r="N75" s="806" t="str">
        <f>IFERROR(IF(B75="","",IF($P$3=$AT$8,'Statement of Marks'!L74,IF($P$3=$AT$9,'Statement of Marks'!Z74,IF($P$3=$AT$10,'Statement of Marks'!AO74,IF($P$3=$AT$11,'Statement of Marks'!BL74,IF($P$3=$AT$12,'Statement of Marks'!CI74,IF($P$3=$AT$13,'Statement of Marks'!DG74,IF($P$3=$AT$14,"",IF($P$3=$AT$15,'Statement of Marks'!FA74,""))))))))),"")</f>
        <v/>
      </c>
      <c r="O75" s="807" t="str">
        <f t="shared" si="18"/>
        <v/>
      </c>
      <c r="P75" s="806" t="str">
        <f>IFERROR(IF(B75="","",IF($P$3=$AT$8,'Statement of Marks'!N74,IF($P$3=$AT$9,'Statement of Marks'!AB74,IF($P$3=$AT$10,'Statement of Marks'!AQ74,IF($P$3=$AT$11,'Statement of Marks'!BN74,IF($P$3=$AT$12,'Statement of Marks'!CK74,IF($P$3=$AT$13,'Statement of Marks'!DI74,IF($P$3=$AT$14,"",IF($P$3=$AT$15,'Statement of Marks'!FC74,""))))))))),"")</f>
        <v/>
      </c>
      <c r="Q75" s="806" t="str">
        <f>IFERROR(IF(B75="","",IF($P$3=$AT$8,"",IF($P$3=$AT$9,"",IF($P$3=$AT$10,'Statement of Marks'!AR74,IF($P$3=$AT$11,'Statement of Marks'!BO74,IF($P$3=$AT$12,'Statement of Marks'!CL74,IF($P$3=$AT$13,'Statement of Marks'!DJ74,IF($P$3=$AT$14,"",IF($P$3=$AT$15,"",""))))))))),"")</f>
        <v/>
      </c>
      <c r="R75" s="818" t="str">
        <f>IFERROR(IF(B75="","",IF(AND(P75="",Q75="",$P$3=""),"",IF($P$3=$AT$14,'Statement of Marks'!EC74,SUM(P75,Q75)))),"")</f>
        <v/>
      </c>
      <c r="S75" s="817" t="str">
        <f>IFERROR(IF(B75="","",IF($P$3=$AT$14,'Statement of Marks'!ED74,IF(AND(O75="NA",P75="NA",Q75="NA"),"NA",IF(AND(O75="",P75="",Q75=""),"",SUM(O75,P75,Q75))))),"")</f>
        <v/>
      </c>
      <c r="T75" s="806" t="str">
        <f>IFERROR(IF(B75="","",IF($P$3=$AT$8,'Statement of Marks'!P74,IF($P$3=$AT$9,'Statement of Marks'!AD74,IF($P$3=$AT$10,'Statement of Marks'!AU74,IF($P$3=$AT$11,'Statement of Marks'!BR74,IF($P$3=$AT$12,'Statement of Marks'!CO74,IF($P$3=$AT$13,'Statement of Marks'!DM74,IF($P$3=$AT$14,"",IF($P$3=$AT$15,'Statement of Marks'!FD74,""))))))))),"")</f>
        <v/>
      </c>
      <c r="U75" s="806" t="str">
        <f>IFERROR(IF(B75="","",IF($P$3=$AT$8,"",IF($P$3=$AT$9,"",IF($P$3=$AT$10,'Statement of Marks'!AV74,IF($P$3=$AT$11,'Statement of Marks'!BS74,IF($P$3=$AT$12,'Statement of Marks'!CP74,IF($P$3=$AT$13,'Statement of Marks'!DN74,IF($P$3=$AT$14,"",IF($P$3=$AT$15,"",""))))))))),"")</f>
        <v/>
      </c>
      <c r="V75" s="818" t="str">
        <f>IFERROR(IF(B75="","",IF(AND(T75="",U75="",$P$3=""),"",IF($P$3=$AT$14,'Statement of Marks'!EE74,SUM(T75,U75)))),"")</f>
        <v/>
      </c>
      <c r="W75" s="808" t="str">
        <f t="shared" si="19"/>
        <v/>
      </c>
      <c r="X75" s="809">
        <f t="shared" si="20"/>
        <v>0</v>
      </c>
      <c r="Y75" s="809">
        <f t="shared" si="21"/>
        <v>0</v>
      </c>
      <c r="Z75" s="809">
        <f t="shared" si="22"/>
        <v>0</v>
      </c>
      <c r="AA75" s="809" t="str">
        <f t="shared" si="23"/>
        <v/>
      </c>
      <c r="AB75" s="809" t="str">
        <f t="shared" si="24"/>
        <v/>
      </c>
      <c r="AC75" s="809" t="str">
        <f t="shared" si="25"/>
        <v/>
      </c>
      <c r="AD75" s="809" t="str">
        <f t="shared" si="26"/>
        <v/>
      </c>
      <c r="AE75" s="810" t="str">
        <f t="shared" si="27"/>
        <v/>
      </c>
      <c r="AF75" s="811" t="str">
        <f t="shared" si="28"/>
        <v/>
      </c>
      <c r="AG75" s="812" t="str">
        <f t="shared" si="29"/>
        <v/>
      </c>
      <c r="AW75" s="17" t="str">
        <f t="shared" si="30"/>
        <v/>
      </c>
      <c r="AX75" s="17" t="str">
        <f t="shared" si="31"/>
        <v/>
      </c>
      <c r="BM75" s="17" t="str">
        <f>IFERROR(VLOOKUP(B75,'Statement of Marks'!$B$8:'Statement of Marks'!$HI$207,37,0),"")</f>
        <v>A</v>
      </c>
      <c r="BN75" s="17" t="str">
        <f>IFERROR(VLOOKUP(B75,'Statement of Marks'!$B$8:'Statement of Marks'!$HI$207,60,0),"")</f>
        <v>A</v>
      </c>
      <c r="BO75" s="17" t="str">
        <f>IFERROR(VLOOKUP(B75,'Statement of Marks'!$B$8:'Statement of Marks'!$HI$207,83,0),"")</f>
        <v>A</v>
      </c>
      <c r="BP75" s="17" t="str">
        <f>IFERROR(VLOOKUP(B75,'Statement of Marks'!$B$8:'Statement of Marks'!$HI$207,107,0),"")</f>
        <v/>
      </c>
    </row>
    <row r="76" spans="1:68">
      <c r="A76" s="800">
        <f>IF('Statement of Marks'!A75="","",'Statement of Marks'!A75)</f>
        <v>68</v>
      </c>
      <c r="B76" s="801" t="str">
        <f>IF(OR($E$3="",$P$3=""),"",IF('Statement of Marks'!B75="","",'Statement of Marks'!B75))</f>
        <v/>
      </c>
      <c r="C76" s="810" t="str">
        <f>IF(OR($E$3="",$P$3=""),"",IF('Marks Entry'!C75="","",'Marks Entry'!C75))</f>
        <v/>
      </c>
      <c r="D76" s="802" t="str">
        <f>IF(OR($E$3="",$P$3=""),"",IF('Statement of Marks'!C75="","",'Statement of Marks'!C75))</f>
        <v/>
      </c>
      <c r="E76" s="803" t="str">
        <f>IF(OR($E$3="",$P$3=""),"",IF('Statement of Marks'!D75="","",'Statement of Marks'!D75))</f>
        <v/>
      </c>
      <c r="F76" s="804" t="str">
        <f>IF(OR($E$3="",$P$3=""),"",IF('Statement of Marks'!E75="","",'Statement of Marks'!E75))</f>
        <v/>
      </c>
      <c r="G76" s="804" t="str">
        <f>IF(OR($E$3="",$P$3=""),"",IF('Statement of Marks'!F75="","",'Statement of Marks'!F75))</f>
        <v/>
      </c>
      <c r="H76" s="804" t="str">
        <f>IF(OR($E$3="",$P$3=""),"",IF('Statement of Marks'!G75="","",'Statement of Marks'!G75))</f>
        <v/>
      </c>
      <c r="I76" s="805" t="str">
        <f>IF(OR($E$3="",$P$3=""),"",IF('Statement of Marks'!H75="","",'Statement of Marks'!H75))</f>
        <v/>
      </c>
      <c r="J76" s="805" t="str">
        <f>IF(OR($E$3="",$P$3=""),"",IF('Statement of Marks'!I75="","",'Statement of Marks'!I75))</f>
        <v/>
      </c>
      <c r="K76" s="805" t="str">
        <f>IFERROR(IF(B76="","",IF($P$3=$AT$10,IF(AND(BM76="A"),'Marks Entry'!$U$2,IF(AND(BM76="B"),'Marks Entry'!$Y$2,IF(AND(BM76="C"),'Marks Entry'!$AA$2,""))),IF($P$3=$AT$11,IF(AND(BN76="A"),'Marks Entry'!$AC$2,IF(AND(BN76="B"),'Marks Entry'!$AG$2,IF(AND(BN76="C"),'Marks Entry'!$AI$2,""))),IF($P$3=$AT$12,IF(AND(BO76="A"),'Marks Entry'!$AK$2,IF(AND(BO76="B"),'Marks Entry'!$AO$2,IF(AND(BO76="C"),'Marks Entry'!$AQ$2,""))),IF($P$3=$AT$13,IF(AND(BP76="A"),'Marks Entry'!$AS$2,IF(AND(BP76="B"),'Marks Entry'!$AW$2,IF(AND(BP76="C"),'Marks Entry'!$AY$2,""))),"-"))))),"")</f>
        <v/>
      </c>
      <c r="L76" s="806" t="str">
        <f>IFERROR(IF(B76="","",IF($P$3=$AT$8,'Statement of Marks'!J75,IF($P$3=$AT$9,'Statement of Marks'!X75,IF($P$3=$AT$10,'Statement of Marks'!AM75,IF($P$3=$AT$11,'Statement of Marks'!BJ75,IF($P$3=$AT$12,'Statement of Marks'!CG75,IF($P$3=$AT$13,'Statement of Marks'!DE75,IF($P$3=$AT$14,"",IF($P$3=$AT$15,'Statement of Marks'!EY75,""))))))))),"")</f>
        <v/>
      </c>
      <c r="M76" s="806" t="str">
        <f>IFERROR(IF(B76="","",IF($P$3=$AT$8,'Statement of Marks'!K75,IF($P$3=$AT$9,'Statement of Marks'!Y75,IF($P$3=$AT$10,'Statement of Marks'!AN75,IF($P$3=$AT$11,'Statement of Marks'!BK75,IF($P$3=$AT$12,'Statement of Marks'!CH75,IF($P$3=$AT$13,'Statement of Marks'!DF75,IF($P$3=$AT$14,"",IF($P$3=$AT$15,'Statement of Marks'!EZ75,""))))))))),"")</f>
        <v/>
      </c>
      <c r="N76" s="806" t="str">
        <f>IFERROR(IF(B76="","",IF($P$3=$AT$8,'Statement of Marks'!L75,IF($P$3=$AT$9,'Statement of Marks'!Z75,IF($P$3=$AT$10,'Statement of Marks'!AO75,IF($P$3=$AT$11,'Statement of Marks'!BL75,IF($P$3=$AT$12,'Statement of Marks'!CI75,IF($P$3=$AT$13,'Statement of Marks'!DG75,IF($P$3=$AT$14,"",IF($P$3=$AT$15,'Statement of Marks'!FA75,""))))))))),"")</f>
        <v/>
      </c>
      <c r="O76" s="807" t="str">
        <f t="shared" si="18"/>
        <v/>
      </c>
      <c r="P76" s="806" t="str">
        <f>IFERROR(IF(B76="","",IF($P$3=$AT$8,'Statement of Marks'!N75,IF($P$3=$AT$9,'Statement of Marks'!AB75,IF($P$3=$AT$10,'Statement of Marks'!AQ75,IF($P$3=$AT$11,'Statement of Marks'!BN75,IF($P$3=$AT$12,'Statement of Marks'!CK75,IF($P$3=$AT$13,'Statement of Marks'!DI75,IF($P$3=$AT$14,"",IF($P$3=$AT$15,'Statement of Marks'!FC75,""))))))))),"")</f>
        <v/>
      </c>
      <c r="Q76" s="806" t="str">
        <f>IFERROR(IF(B76="","",IF($P$3=$AT$8,"",IF($P$3=$AT$9,"",IF($P$3=$AT$10,'Statement of Marks'!AR75,IF($P$3=$AT$11,'Statement of Marks'!BO75,IF($P$3=$AT$12,'Statement of Marks'!CL75,IF($P$3=$AT$13,'Statement of Marks'!DJ75,IF($P$3=$AT$14,"",IF($P$3=$AT$15,"",""))))))))),"")</f>
        <v/>
      </c>
      <c r="R76" s="818" t="str">
        <f>IFERROR(IF(B76="","",IF(AND(P76="",Q76="",$P$3=""),"",IF($P$3=$AT$14,'Statement of Marks'!EC75,SUM(P76,Q76)))),"")</f>
        <v/>
      </c>
      <c r="S76" s="817" t="str">
        <f>IFERROR(IF(B76="","",IF($P$3=$AT$14,'Statement of Marks'!ED75,IF(AND(O76="NA",P76="NA",Q76="NA"),"NA",IF(AND(O76="",P76="",Q76=""),"",SUM(O76,P76,Q76))))),"")</f>
        <v/>
      </c>
      <c r="T76" s="806" t="str">
        <f>IFERROR(IF(B76="","",IF($P$3=$AT$8,'Statement of Marks'!P75,IF($P$3=$AT$9,'Statement of Marks'!AD75,IF($P$3=$AT$10,'Statement of Marks'!AU75,IF($P$3=$AT$11,'Statement of Marks'!BR75,IF($P$3=$AT$12,'Statement of Marks'!CO75,IF($P$3=$AT$13,'Statement of Marks'!DM75,IF($P$3=$AT$14,"",IF($P$3=$AT$15,'Statement of Marks'!FD75,""))))))))),"")</f>
        <v/>
      </c>
      <c r="U76" s="806" t="str">
        <f>IFERROR(IF(B76="","",IF($P$3=$AT$8,"",IF($P$3=$AT$9,"",IF($P$3=$AT$10,'Statement of Marks'!AV75,IF($P$3=$AT$11,'Statement of Marks'!BS75,IF($P$3=$AT$12,'Statement of Marks'!CP75,IF($P$3=$AT$13,'Statement of Marks'!DN75,IF($P$3=$AT$14,"",IF($P$3=$AT$15,"",""))))))))),"")</f>
        <v/>
      </c>
      <c r="V76" s="818" t="str">
        <f>IFERROR(IF(B76="","",IF(AND(T76="",U76="",$P$3=""),"",IF($P$3=$AT$14,'Statement of Marks'!EE75,SUM(T76,U76)))),"")</f>
        <v/>
      </c>
      <c r="W76" s="808" t="str">
        <f t="shared" si="19"/>
        <v/>
      </c>
      <c r="X76" s="809">
        <f t="shared" si="20"/>
        <v>0</v>
      </c>
      <c r="Y76" s="809">
        <f t="shared" si="21"/>
        <v>0</v>
      </c>
      <c r="Z76" s="809">
        <f t="shared" si="22"/>
        <v>0</v>
      </c>
      <c r="AA76" s="809" t="str">
        <f t="shared" si="23"/>
        <v/>
      </c>
      <c r="AB76" s="809" t="str">
        <f t="shared" si="24"/>
        <v/>
      </c>
      <c r="AC76" s="809" t="str">
        <f t="shared" si="25"/>
        <v/>
      </c>
      <c r="AD76" s="809" t="str">
        <f t="shared" si="26"/>
        <v/>
      </c>
      <c r="AE76" s="810" t="str">
        <f t="shared" si="27"/>
        <v/>
      </c>
      <c r="AF76" s="811" t="str">
        <f t="shared" si="28"/>
        <v/>
      </c>
      <c r="AG76" s="812" t="str">
        <f t="shared" si="29"/>
        <v/>
      </c>
      <c r="AW76" s="17" t="str">
        <f t="shared" si="30"/>
        <v/>
      </c>
      <c r="AX76" s="17" t="str">
        <f t="shared" si="31"/>
        <v/>
      </c>
      <c r="BM76" s="17" t="str">
        <f>IFERROR(VLOOKUP(B76,'Statement of Marks'!$B$8:'Statement of Marks'!$HI$207,37,0),"")</f>
        <v>A</v>
      </c>
      <c r="BN76" s="17" t="str">
        <f>IFERROR(VLOOKUP(B76,'Statement of Marks'!$B$8:'Statement of Marks'!$HI$207,60,0),"")</f>
        <v>A</v>
      </c>
      <c r="BO76" s="17" t="str">
        <f>IFERROR(VLOOKUP(B76,'Statement of Marks'!$B$8:'Statement of Marks'!$HI$207,83,0),"")</f>
        <v>A</v>
      </c>
      <c r="BP76" s="17" t="str">
        <f>IFERROR(VLOOKUP(B76,'Statement of Marks'!$B$8:'Statement of Marks'!$HI$207,107,0),"")</f>
        <v/>
      </c>
    </row>
    <row r="77" spans="1:68">
      <c r="A77" s="800">
        <f>IF('Statement of Marks'!A76="","",'Statement of Marks'!A76)</f>
        <v>69</v>
      </c>
      <c r="B77" s="801" t="str">
        <f>IF(OR($E$3="",$P$3=""),"",IF('Statement of Marks'!B76="","",'Statement of Marks'!B76))</f>
        <v/>
      </c>
      <c r="C77" s="810" t="str">
        <f>IF(OR($E$3="",$P$3=""),"",IF('Marks Entry'!C76="","",'Marks Entry'!C76))</f>
        <v/>
      </c>
      <c r="D77" s="802" t="str">
        <f>IF(OR($E$3="",$P$3=""),"",IF('Statement of Marks'!C76="","",'Statement of Marks'!C76))</f>
        <v/>
      </c>
      <c r="E77" s="803" t="str">
        <f>IF(OR($E$3="",$P$3=""),"",IF('Statement of Marks'!D76="","",'Statement of Marks'!D76))</f>
        <v/>
      </c>
      <c r="F77" s="804" t="str">
        <f>IF(OR($E$3="",$P$3=""),"",IF('Statement of Marks'!E76="","",'Statement of Marks'!E76))</f>
        <v/>
      </c>
      <c r="G77" s="804" t="str">
        <f>IF(OR($E$3="",$P$3=""),"",IF('Statement of Marks'!F76="","",'Statement of Marks'!F76))</f>
        <v/>
      </c>
      <c r="H77" s="804" t="str">
        <f>IF(OR($E$3="",$P$3=""),"",IF('Statement of Marks'!G76="","",'Statement of Marks'!G76))</f>
        <v/>
      </c>
      <c r="I77" s="805" t="str">
        <f>IF(OR($E$3="",$P$3=""),"",IF('Statement of Marks'!H76="","",'Statement of Marks'!H76))</f>
        <v/>
      </c>
      <c r="J77" s="805" t="str">
        <f>IF(OR($E$3="",$P$3=""),"",IF('Statement of Marks'!I76="","",'Statement of Marks'!I76))</f>
        <v/>
      </c>
      <c r="K77" s="805" t="str">
        <f>IFERROR(IF(B77="","",IF($P$3=$AT$10,IF(AND(BM77="A"),'Marks Entry'!$U$2,IF(AND(BM77="B"),'Marks Entry'!$Y$2,IF(AND(BM77="C"),'Marks Entry'!$AA$2,""))),IF($P$3=$AT$11,IF(AND(BN77="A"),'Marks Entry'!$AC$2,IF(AND(BN77="B"),'Marks Entry'!$AG$2,IF(AND(BN77="C"),'Marks Entry'!$AI$2,""))),IF($P$3=$AT$12,IF(AND(BO77="A"),'Marks Entry'!$AK$2,IF(AND(BO77="B"),'Marks Entry'!$AO$2,IF(AND(BO77="C"),'Marks Entry'!$AQ$2,""))),IF($P$3=$AT$13,IF(AND(BP77="A"),'Marks Entry'!$AS$2,IF(AND(BP77="B"),'Marks Entry'!$AW$2,IF(AND(BP77="C"),'Marks Entry'!$AY$2,""))),"-"))))),"")</f>
        <v/>
      </c>
      <c r="L77" s="806" t="str">
        <f>IFERROR(IF(B77="","",IF($P$3=$AT$8,'Statement of Marks'!J76,IF($P$3=$AT$9,'Statement of Marks'!X76,IF($P$3=$AT$10,'Statement of Marks'!AM76,IF($P$3=$AT$11,'Statement of Marks'!BJ76,IF($P$3=$AT$12,'Statement of Marks'!CG76,IF($P$3=$AT$13,'Statement of Marks'!DE76,IF($P$3=$AT$14,"",IF($P$3=$AT$15,'Statement of Marks'!EY76,""))))))))),"")</f>
        <v/>
      </c>
      <c r="M77" s="806" t="str">
        <f>IFERROR(IF(B77="","",IF($P$3=$AT$8,'Statement of Marks'!K76,IF($P$3=$AT$9,'Statement of Marks'!Y76,IF($P$3=$AT$10,'Statement of Marks'!AN76,IF($P$3=$AT$11,'Statement of Marks'!BK76,IF($P$3=$AT$12,'Statement of Marks'!CH76,IF($P$3=$AT$13,'Statement of Marks'!DF76,IF($P$3=$AT$14,"",IF($P$3=$AT$15,'Statement of Marks'!EZ76,""))))))))),"")</f>
        <v/>
      </c>
      <c r="N77" s="806" t="str">
        <f>IFERROR(IF(B77="","",IF($P$3=$AT$8,'Statement of Marks'!L76,IF($P$3=$AT$9,'Statement of Marks'!Z76,IF($P$3=$AT$10,'Statement of Marks'!AO76,IF($P$3=$AT$11,'Statement of Marks'!BL76,IF($P$3=$AT$12,'Statement of Marks'!CI76,IF($P$3=$AT$13,'Statement of Marks'!DG76,IF($P$3=$AT$14,"",IF($P$3=$AT$15,'Statement of Marks'!FA76,""))))))))),"")</f>
        <v/>
      </c>
      <c r="O77" s="807" t="str">
        <f t="shared" si="18"/>
        <v/>
      </c>
      <c r="P77" s="806" t="str">
        <f>IFERROR(IF(B77="","",IF($P$3=$AT$8,'Statement of Marks'!N76,IF($P$3=$AT$9,'Statement of Marks'!AB76,IF($P$3=$AT$10,'Statement of Marks'!AQ76,IF($P$3=$AT$11,'Statement of Marks'!BN76,IF($P$3=$AT$12,'Statement of Marks'!CK76,IF($P$3=$AT$13,'Statement of Marks'!DI76,IF($P$3=$AT$14,"",IF($P$3=$AT$15,'Statement of Marks'!FC76,""))))))))),"")</f>
        <v/>
      </c>
      <c r="Q77" s="806" t="str">
        <f>IFERROR(IF(B77="","",IF($P$3=$AT$8,"",IF($P$3=$AT$9,"",IF($P$3=$AT$10,'Statement of Marks'!AR76,IF($P$3=$AT$11,'Statement of Marks'!BO76,IF($P$3=$AT$12,'Statement of Marks'!CL76,IF($P$3=$AT$13,'Statement of Marks'!DJ76,IF($P$3=$AT$14,"",IF($P$3=$AT$15,"",""))))))))),"")</f>
        <v/>
      </c>
      <c r="R77" s="818" t="str">
        <f>IFERROR(IF(B77="","",IF(AND(P77="",Q77="",$P$3=""),"",IF($P$3=$AT$14,'Statement of Marks'!EC76,SUM(P77,Q77)))),"")</f>
        <v/>
      </c>
      <c r="S77" s="817" t="str">
        <f>IFERROR(IF(B77="","",IF($P$3=$AT$14,'Statement of Marks'!ED76,IF(AND(O77="NA",P77="NA",Q77="NA"),"NA",IF(AND(O77="",P77="",Q77=""),"",SUM(O77,P77,Q77))))),"")</f>
        <v/>
      </c>
      <c r="T77" s="806" t="str">
        <f>IFERROR(IF(B77="","",IF($P$3=$AT$8,'Statement of Marks'!P76,IF($P$3=$AT$9,'Statement of Marks'!AD76,IF($P$3=$AT$10,'Statement of Marks'!AU76,IF($P$3=$AT$11,'Statement of Marks'!BR76,IF($P$3=$AT$12,'Statement of Marks'!CO76,IF($P$3=$AT$13,'Statement of Marks'!DM76,IF($P$3=$AT$14,"",IF($P$3=$AT$15,'Statement of Marks'!FD76,""))))))))),"")</f>
        <v/>
      </c>
      <c r="U77" s="806" t="str">
        <f>IFERROR(IF(B77="","",IF($P$3=$AT$8,"",IF($P$3=$AT$9,"",IF($P$3=$AT$10,'Statement of Marks'!AV76,IF($P$3=$AT$11,'Statement of Marks'!BS76,IF($P$3=$AT$12,'Statement of Marks'!CP76,IF($P$3=$AT$13,'Statement of Marks'!DN76,IF($P$3=$AT$14,"",IF($P$3=$AT$15,"",""))))))))),"")</f>
        <v/>
      </c>
      <c r="V77" s="818" t="str">
        <f>IFERROR(IF(B77="","",IF(AND(T77="",U77="",$P$3=""),"",IF($P$3=$AT$14,'Statement of Marks'!EE76,SUM(T77,U77)))),"")</f>
        <v/>
      </c>
      <c r="W77" s="808" t="str">
        <f t="shared" si="19"/>
        <v/>
      </c>
      <c r="X77" s="809">
        <f t="shared" si="20"/>
        <v>0</v>
      </c>
      <c r="Y77" s="809">
        <f t="shared" si="21"/>
        <v>0</v>
      </c>
      <c r="Z77" s="809">
        <f t="shared" si="22"/>
        <v>0</v>
      </c>
      <c r="AA77" s="809" t="str">
        <f t="shared" si="23"/>
        <v/>
      </c>
      <c r="AB77" s="809" t="str">
        <f t="shared" si="24"/>
        <v/>
      </c>
      <c r="AC77" s="809" t="str">
        <f t="shared" si="25"/>
        <v/>
      </c>
      <c r="AD77" s="809" t="str">
        <f t="shared" si="26"/>
        <v/>
      </c>
      <c r="AE77" s="810" t="str">
        <f t="shared" si="27"/>
        <v/>
      </c>
      <c r="AF77" s="811" t="str">
        <f t="shared" si="28"/>
        <v/>
      </c>
      <c r="AG77" s="812" t="str">
        <f t="shared" si="29"/>
        <v/>
      </c>
      <c r="AW77" s="17" t="str">
        <f t="shared" si="30"/>
        <v/>
      </c>
      <c r="AX77" s="17" t="str">
        <f t="shared" si="31"/>
        <v/>
      </c>
      <c r="BM77" s="17" t="str">
        <f>IFERROR(VLOOKUP(B77,'Statement of Marks'!$B$8:'Statement of Marks'!$HI$207,37,0),"")</f>
        <v>A</v>
      </c>
      <c r="BN77" s="17" t="str">
        <f>IFERROR(VLOOKUP(B77,'Statement of Marks'!$B$8:'Statement of Marks'!$HI$207,60,0),"")</f>
        <v>A</v>
      </c>
      <c r="BO77" s="17" t="str">
        <f>IFERROR(VLOOKUP(B77,'Statement of Marks'!$B$8:'Statement of Marks'!$HI$207,83,0),"")</f>
        <v>A</v>
      </c>
      <c r="BP77" s="17" t="str">
        <f>IFERROR(VLOOKUP(B77,'Statement of Marks'!$B$8:'Statement of Marks'!$HI$207,107,0),"")</f>
        <v/>
      </c>
    </row>
    <row r="78" spans="1:68">
      <c r="A78" s="800">
        <f>IF('Statement of Marks'!A77="","",'Statement of Marks'!A77)</f>
        <v>70</v>
      </c>
      <c r="B78" s="801" t="str">
        <f>IF(OR($E$3="",$P$3=""),"",IF('Statement of Marks'!B77="","",'Statement of Marks'!B77))</f>
        <v/>
      </c>
      <c r="C78" s="810" t="str">
        <f>IF(OR($E$3="",$P$3=""),"",IF('Marks Entry'!C77="","",'Marks Entry'!C77))</f>
        <v/>
      </c>
      <c r="D78" s="802" t="str">
        <f>IF(OR($E$3="",$P$3=""),"",IF('Statement of Marks'!C77="","",'Statement of Marks'!C77))</f>
        <v/>
      </c>
      <c r="E78" s="803" t="str">
        <f>IF(OR($E$3="",$P$3=""),"",IF('Statement of Marks'!D77="","",'Statement of Marks'!D77))</f>
        <v/>
      </c>
      <c r="F78" s="804" t="str">
        <f>IF(OR($E$3="",$P$3=""),"",IF('Statement of Marks'!E77="","",'Statement of Marks'!E77))</f>
        <v/>
      </c>
      <c r="G78" s="804" t="str">
        <f>IF(OR($E$3="",$P$3=""),"",IF('Statement of Marks'!F77="","",'Statement of Marks'!F77))</f>
        <v/>
      </c>
      <c r="H78" s="804" t="str">
        <f>IF(OR($E$3="",$P$3=""),"",IF('Statement of Marks'!G77="","",'Statement of Marks'!G77))</f>
        <v/>
      </c>
      <c r="I78" s="805" t="str">
        <f>IF(OR($E$3="",$P$3=""),"",IF('Statement of Marks'!H77="","",'Statement of Marks'!H77))</f>
        <v/>
      </c>
      <c r="J78" s="805" t="str">
        <f>IF(OR($E$3="",$P$3=""),"",IF('Statement of Marks'!I77="","",'Statement of Marks'!I77))</f>
        <v/>
      </c>
      <c r="K78" s="805" t="str">
        <f>IFERROR(IF(B78="","",IF($P$3=$AT$10,IF(AND(BM78="A"),'Marks Entry'!$U$2,IF(AND(BM78="B"),'Marks Entry'!$Y$2,IF(AND(BM78="C"),'Marks Entry'!$AA$2,""))),IF($P$3=$AT$11,IF(AND(BN78="A"),'Marks Entry'!$AC$2,IF(AND(BN78="B"),'Marks Entry'!$AG$2,IF(AND(BN78="C"),'Marks Entry'!$AI$2,""))),IF($P$3=$AT$12,IF(AND(BO78="A"),'Marks Entry'!$AK$2,IF(AND(BO78="B"),'Marks Entry'!$AO$2,IF(AND(BO78="C"),'Marks Entry'!$AQ$2,""))),IF($P$3=$AT$13,IF(AND(BP78="A"),'Marks Entry'!$AS$2,IF(AND(BP78="B"),'Marks Entry'!$AW$2,IF(AND(BP78="C"),'Marks Entry'!$AY$2,""))),"-"))))),"")</f>
        <v/>
      </c>
      <c r="L78" s="806" t="str">
        <f>IFERROR(IF(B78="","",IF($P$3=$AT$8,'Statement of Marks'!J77,IF($P$3=$AT$9,'Statement of Marks'!X77,IF($P$3=$AT$10,'Statement of Marks'!AM77,IF($P$3=$AT$11,'Statement of Marks'!BJ77,IF($P$3=$AT$12,'Statement of Marks'!CG77,IF($P$3=$AT$13,'Statement of Marks'!DE77,IF($P$3=$AT$14,"",IF($P$3=$AT$15,'Statement of Marks'!EY77,""))))))))),"")</f>
        <v/>
      </c>
      <c r="M78" s="806" t="str">
        <f>IFERROR(IF(B78="","",IF($P$3=$AT$8,'Statement of Marks'!K77,IF($P$3=$AT$9,'Statement of Marks'!Y77,IF($P$3=$AT$10,'Statement of Marks'!AN77,IF($P$3=$AT$11,'Statement of Marks'!BK77,IF($P$3=$AT$12,'Statement of Marks'!CH77,IF($P$3=$AT$13,'Statement of Marks'!DF77,IF($P$3=$AT$14,"",IF($P$3=$AT$15,'Statement of Marks'!EZ77,""))))))))),"")</f>
        <v/>
      </c>
      <c r="N78" s="806" t="str">
        <f>IFERROR(IF(B78="","",IF($P$3=$AT$8,'Statement of Marks'!L77,IF($P$3=$AT$9,'Statement of Marks'!Z77,IF($P$3=$AT$10,'Statement of Marks'!AO77,IF($P$3=$AT$11,'Statement of Marks'!BL77,IF($P$3=$AT$12,'Statement of Marks'!CI77,IF($P$3=$AT$13,'Statement of Marks'!DG77,IF($P$3=$AT$14,"",IF($P$3=$AT$15,'Statement of Marks'!FA77,""))))))))),"")</f>
        <v/>
      </c>
      <c r="O78" s="807" t="str">
        <f t="shared" si="18"/>
        <v/>
      </c>
      <c r="P78" s="806" t="str">
        <f>IFERROR(IF(B78="","",IF($P$3=$AT$8,'Statement of Marks'!N77,IF($P$3=$AT$9,'Statement of Marks'!AB77,IF($P$3=$AT$10,'Statement of Marks'!AQ77,IF($P$3=$AT$11,'Statement of Marks'!BN77,IF($P$3=$AT$12,'Statement of Marks'!CK77,IF($P$3=$AT$13,'Statement of Marks'!DI77,IF($P$3=$AT$14,"",IF($P$3=$AT$15,'Statement of Marks'!FC77,""))))))))),"")</f>
        <v/>
      </c>
      <c r="Q78" s="806" t="str">
        <f>IFERROR(IF(B78="","",IF($P$3=$AT$8,"",IF($P$3=$AT$9,"",IF($P$3=$AT$10,'Statement of Marks'!AR77,IF($P$3=$AT$11,'Statement of Marks'!BO77,IF($P$3=$AT$12,'Statement of Marks'!CL77,IF($P$3=$AT$13,'Statement of Marks'!DJ77,IF($P$3=$AT$14,"",IF($P$3=$AT$15,"",""))))))))),"")</f>
        <v/>
      </c>
      <c r="R78" s="818" t="str">
        <f>IFERROR(IF(B78="","",IF(AND(P78="",Q78="",$P$3=""),"",IF($P$3=$AT$14,'Statement of Marks'!EC77,SUM(P78,Q78)))),"")</f>
        <v/>
      </c>
      <c r="S78" s="817" t="str">
        <f>IFERROR(IF(B78="","",IF($P$3=$AT$14,'Statement of Marks'!ED77,IF(AND(O78="NA",P78="NA",Q78="NA"),"NA",IF(AND(O78="",P78="",Q78=""),"",SUM(O78,P78,Q78))))),"")</f>
        <v/>
      </c>
      <c r="T78" s="806" t="str">
        <f>IFERROR(IF(B78="","",IF($P$3=$AT$8,'Statement of Marks'!P77,IF($P$3=$AT$9,'Statement of Marks'!AD77,IF($P$3=$AT$10,'Statement of Marks'!AU77,IF($P$3=$AT$11,'Statement of Marks'!BR77,IF($P$3=$AT$12,'Statement of Marks'!CO77,IF($P$3=$AT$13,'Statement of Marks'!DM77,IF($P$3=$AT$14,"",IF($P$3=$AT$15,'Statement of Marks'!FD77,""))))))))),"")</f>
        <v/>
      </c>
      <c r="U78" s="806" t="str">
        <f>IFERROR(IF(B78="","",IF($P$3=$AT$8,"",IF($P$3=$AT$9,"",IF($P$3=$AT$10,'Statement of Marks'!AV77,IF($P$3=$AT$11,'Statement of Marks'!BS77,IF($P$3=$AT$12,'Statement of Marks'!CP77,IF($P$3=$AT$13,'Statement of Marks'!DN77,IF($P$3=$AT$14,"",IF($P$3=$AT$15,"",""))))))))),"")</f>
        <v/>
      </c>
      <c r="V78" s="818" t="str">
        <f>IFERROR(IF(B78="","",IF(AND(T78="",U78="",$P$3=""),"",IF($P$3=$AT$14,'Statement of Marks'!EE77,SUM(T78,U78)))),"")</f>
        <v/>
      </c>
      <c r="W78" s="808" t="str">
        <f t="shared" si="19"/>
        <v/>
      </c>
      <c r="X78" s="809">
        <f t="shared" si="20"/>
        <v>0</v>
      </c>
      <c r="Y78" s="809">
        <f t="shared" si="21"/>
        <v>0</v>
      </c>
      <c r="Z78" s="809">
        <f t="shared" si="22"/>
        <v>0</v>
      </c>
      <c r="AA78" s="809" t="str">
        <f t="shared" si="23"/>
        <v/>
      </c>
      <c r="AB78" s="809" t="str">
        <f t="shared" si="24"/>
        <v/>
      </c>
      <c r="AC78" s="809" t="str">
        <f t="shared" si="25"/>
        <v/>
      </c>
      <c r="AD78" s="809" t="str">
        <f t="shared" si="26"/>
        <v/>
      </c>
      <c r="AE78" s="810" t="str">
        <f t="shared" si="27"/>
        <v/>
      </c>
      <c r="AF78" s="811" t="str">
        <f t="shared" si="28"/>
        <v/>
      </c>
      <c r="AG78" s="812" t="str">
        <f t="shared" si="29"/>
        <v/>
      </c>
      <c r="AW78" s="17" t="str">
        <f t="shared" si="30"/>
        <v/>
      </c>
      <c r="AX78" s="17" t="str">
        <f t="shared" si="31"/>
        <v/>
      </c>
      <c r="BM78" s="17" t="str">
        <f>IFERROR(VLOOKUP(B78,'Statement of Marks'!$B$8:'Statement of Marks'!$HI$207,37,0),"")</f>
        <v>A</v>
      </c>
      <c r="BN78" s="17" t="str">
        <f>IFERROR(VLOOKUP(B78,'Statement of Marks'!$B$8:'Statement of Marks'!$HI$207,60,0),"")</f>
        <v>A</v>
      </c>
      <c r="BO78" s="17" t="str">
        <f>IFERROR(VLOOKUP(B78,'Statement of Marks'!$B$8:'Statement of Marks'!$HI$207,83,0),"")</f>
        <v>A</v>
      </c>
      <c r="BP78" s="17" t="str">
        <f>IFERROR(VLOOKUP(B78,'Statement of Marks'!$B$8:'Statement of Marks'!$HI$207,107,0),"")</f>
        <v/>
      </c>
    </row>
    <row r="79" spans="1:68">
      <c r="A79" s="800">
        <f>IF('Statement of Marks'!A78="","",'Statement of Marks'!A78)</f>
        <v>71</v>
      </c>
      <c r="B79" s="801" t="str">
        <f>IF(OR($E$3="",$P$3=""),"",IF('Statement of Marks'!B78="","",'Statement of Marks'!B78))</f>
        <v/>
      </c>
      <c r="C79" s="810" t="str">
        <f>IF(OR($E$3="",$P$3=""),"",IF('Marks Entry'!C78="","",'Marks Entry'!C78))</f>
        <v/>
      </c>
      <c r="D79" s="802" t="str">
        <f>IF(OR($E$3="",$P$3=""),"",IF('Statement of Marks'!C78="","",'Statement of Marks'!C78))</f>
        <v/>
      </c>
      <c r="E79" s="803" t="str">
        <f>IF(OR($E$3="",$P$3=""),"",IF('Statement of Marks'!D78="","",'Statement of Marks'!D78))</f>
        <v/>
      </c>
      <c r="F79" s="804" t="str">
        <f>IF(OR($E$3="",$P$3=""),"",IF('Statement of Marks'!E78="","",'Statement of Marks'!E78))</f>
        <v/>
      </c>
      <c r="G79" s="804" t="str">
        <f>IF(OR($E$3="",$P$3=""),"",IF('Statement of Marks'!F78="","",'Statement of Marks'!F78))</f>
        <v/>
      </c>
      <c r="H79" s="804" t="str">
        <f>IF(OR($E$3="",$P$3=""),"",IF('Statement of Marks'!G78="","",'Statement of Marks'!G78))</f>
        <v/>
      </c>
      <c r="I79" s="805" t="str">
        <f>IF(OR($E$3="",$P$3=""),"",IF('Statement of Marks'!H78="","",'Statement of Marks'!H78))</f>
        <v/>
      </c>
      <c r="J79" s="805" t="str">
        <f>IF(OR($E$3="",$P$3=""),"",IF('Statement of Marks'!I78="","",'Statement of Marks'!I78))</f>
        <v/>
      </c>
      <c r="K79" s="805" t="str">
        <f>IFERROR(IF(B79="","",IF($P$3=$AT$10,IF(AND(BM79="A"),'Marks Entry'!$U$2,IF(AND(BM79="B"),'Marks Entry'!$Y$2,IF(AND(BM79="C"),'Marks Entry'!$AA$2,""))),IF($P$3=$AT$11,IF(AND(BN79="A"),'Marks Entry'!$AC$2,IF(AND(BN79="B"),'Marks Entry'!$AG$2,IF(AND(BN79="C"),'Marks Entry'!$AI$2,""))),IF($P$3=$AT$12,IF(AND(BO79="A"),'Marks Entry'!$AK$2,IF(AND(BO79="B"),'Marks Entry'!$AO$2,IF(AND(BO79="C"),'Marks Entry'!$AQ$2,""))),IF($P$3=$AT$13,IF(AND(BP79="A"),'Marks Entry'!$AS$2,IF(AND(BP79="B"),'Marks Entry'!$AW$2,IF(AND(BP79="C"),'Marks Entry'!$AY$2,""))),"-"))))),"")</f>
        <v/>
      </c>
      <c r="L79" s="806" t="str">
        <f>IFERROR(IF(B79="","",IF($P$3=$AT$8,'Statement of Marks'!J78,IF($P$3=$AT$9,'Statement of Marks'!X78,IF($P$3=$AT$10,'Statement of Marks'!AM78,IF($P$3=$AT$11,'Statement of Marks'!BJ78,IF($P$3=$AT$12,'Statement of Marks'!CG78,IF($P$3=$AT$13,'Statement of Marks'!DE78,IF($P$3=$AT$14,"",IF($P$3=$AT$15,'Statement of Marks'!EY78,""))))))))),"")</f>
        <v/>
      </c>
      <c r="M79" s="806" t="str">
        <f>IFERROR(IF(B79="","",IF($P$3=$AT$8,'Statement of Marks'!K78,IF($P$3=$AT$9,'Statement of Marks'!Y78,IF($P$3=$AT$10,'Statement of Marks'!AN78,IF($P$3=$AT$11,'Statement of Marks'!BK78,IF($P$3=$AT$12,'Statement of Marks'!CH78,IF($P$3=$AT$13,'Statement of Marks'!DF78,IF($P$3=$AT$14,"",IF($P$3=$AT$15,'Statement of Marks'!EZ78,""))))))))),"")</f>
        <v/>
      </c>
      <c r="N79" s="806" t="str">
        <f>IFERROR(IF(B79="","",IF($P$3=$AT$8,'Statement of Marks'!L78,IF($P$3=$AT$9,'Statement of Marks'!Z78,IF($P$3=$AT$10,'Statement of Marks'!AO78,IF($P$3=$AT$11,'Statement of Marks'!BL78,IF($P$3=$AT$12,'Statement of Marks'!CI78,IF($P$3=$AT$13,'Statement of Marks'!DG78,IF($P$3=$AT$14,"",IF($P$3=$AT$15,'Statement of Marks'!FA78,""))))))))),"")</f>
        <v/>
      </c>
      <c r="O79" s="807" t="str">
        <f t="shared" si="18"/>
        <v/>
      </c>
      <c r="P79" s="806" t="str">
        <f>IFERROR(IF(B79="","",IF($P$3=$AT$8,'Statement of Marks'!N78,IF($P$3=$AT$9,'Statement of Marks'!AB78,IF($P$3=$AT$10,'Statement of Marks'!AQ78,IF($P$3=$AT$11,'Statement of Marks'!BN78,IF($P$3=$AT$12,'Statement of Marks'!CK78,IF($P$3=$AT$13,'Statement of Marks'!DI78,IF($P$3=$AT$14,"",IF($P$3=$AT$15,'Statement of Marks'!FC78,""))))))))),"")</f>
        <v/>
      </c>
      <c r="Q79" s="806" t="str">
        <f>IFERROR(IF(B79="","",IF($P$3=$AT$8,"",IF($P$3=$AT$9,"",IF($P$3=$AT$10,'Statement of Marks'!AR78,IF($P$3=$AT$11,'Statement of Marks'!BO78,IF($P$3=$AT$12,'Statement of Marks'!CL78,IF($P$3=$AT$13,'Statement of Marks'!DJ78,IF($P$3=$AT$14,"",IF($P$3=$AT$15,"",""))))))))),"")</f>
        <v/>
      </c>
      <c r="R79" s="818" t="str">
        <f>IFERROR(IF(B79="","",IF(AND(P79="",Q79="",$P$3=""),"",IF($P$3=$AT$14,'Statement of Marks'!EC78,SUM(P79,Q79)))),"")</f>
        <v/>
      </c>
      <c r="S79" s="817" t="str">
        <f>IFERROR(IF(B79="","",IF($P$3=$AT$14,'Statement of Marks'!ED78,IF(AND(O79="NA",P79="NA",Q79="NA"),"NA",IF(AND(O79="",P79="",Q79=""),"",SUM(O79,P79,Q79))))),"")</f>
        <v/>
      </c>
      <c r="T79" s="806" t="str">
        <f>IFERROR(IF(B79="","",IF($P$3=$AT$8,'Statement of Marks'!P78,IF($P$3=$AT$9,'Statement of Marks'!AD78,IF($P$3=$AT$10,'Statement of Marks'!AU78,IF($P$3=$AT$11,'Statement of Marks'!BR78,IF($P$3=$AT$12,'Statement of Marks'!CO78,IF($P$3=$AT$13,'Statement of Marks'!DM78,IF($P$3=$AT$14,"",IF($P$3=$AT$15,'Statement of Marks'!FD78,""))))))))),"")</f>
        <v/>
      </c>
      <c r="U79" s="806" t="str">
        <f>IFERROR(IF(B79="","",IF($P$3=$AT$8,"",IF($P$3=$AT$9,"",IF($P$3=$AT$10,'Statement of Marks'!AV78,IF($P$3=$AT$11,'Statement of Marks'!BS78,IF($P$3=$AT$12,'Statement of Marks'!CP78,IF($P$3=$AT$13,'Statement of Marks'!DN78,IF($P$3=$AT$14,"",IF($P$3=$AT$15,"",""))))))))),"")</f>
        <v/>
      </c>
      <c r="V79" s="818" t="str">
        <f>IFERROR(IF(B79="","",IF(AND(T79="",U79="",$P$3=""),"",IF($P$3=$AT$14,'Statement of Marks'!EE78,SUM(T79,U79)))),"")</f>
        <v/>
      </c>
      <c r="W79" s="808" t="str">
        <f t="shared" si="19"/>
        <v/>
      </c>
      <c r="X79" s="809">
        <f t="shared" si="20"/>
        <v>0</v>
      </c>
      <c r="Y79" s="809">
        <f t="shared" si="21"/>
        <v>0</v>
      </c>
      <c r="Z79" s="809">
        <f t="shared" si="22"/>
        <v>0</v>
      </c>
      <c r="AA79" s="809" t="str">
        <f t="shared" si="23"/>
        <v/>
      </c>
      <c r="AB79" s="809" t="str">
        <f t="shared" si="24"/>
        <v/>
      </c>
      <c r="AC79" s="809" t="str">
        <f t="shared" si="25"/>
        <v/>
      </c>
      <c r="AD79" s="809" t="str">
        <f t="shared" si="26"/>
        <v/>
      </c>
      <c r="AE79" s="810" t="str">
        <f t="shared" si="27"/>
        <v/>
      </c>
      <c r="AF79" s="811" t="str">
        <f t="shared" si="28"/>
        <v/>
      </c>
      <c r="AG79" s="812" t="str">
        <f t="shared" si="29"/>
        <v/>
      </c>
      <c r="AW79" s="17" t="str">
        <f t="shared" si="30"/>
        <v/>
      </c>
      <c r="AX79" s="17" t="str">
        <f t="shared" si="31"/>
        <v/>
      </c>
      <c r="BM79" s="17" t="str">
        <f>IFERROR(VLOOKUP(B79,'Statement of Marks'!$B$8:'Statement of Marks'!$HI$207,37,0),"")</f>
        <v>A</v>
      </c>
      <c r="BN79" s="17" t="str">
        <f>IFERROR(VLOOKUP(B79,'Statement of Marks'!$B$8:'Statement of Marks'!$HI$207,60,0),"")</f>
        <v>A</v>
      </c>
      <c r="BO79" s="17" t="str">
        <f>IFERROR(VLOOKUP(B79,'Statement of Marks'!$B$8:'Statement of Marks'!$HI$207,83,0),"")</f>
        <v>A</v>
      </c>
      <c r="BP79" s="17" t="str">
        <f>IFERROR(VLOOKUP(B79,'Statement of Marks'!$B$8:'Statement of Marks'!$HI$207,107,0),"")</f>
        <v/>
      </c>
    </row>
    <row r="80" spans="1:68">
      <c r="A80" s="800">
        <f>IF('Statement of Marks'!A79="","",'Statement of Marks'!A79)</f>
        <v>72</v>
      </c>
      <c r="B80" s="801" t="str">
        <f>IF(OR($E$3="",$P$3=""),"",IF('Statement of Marks'!B79="","",'Statement of Marks'!B79))</f>
        <v/>
      </c>
      <c r="C80" s="810" t="str">
        <f>IF(OR($E$3="",$P$3=""),"",IF('Marks Entry'!C79="","",'Marks Entry'!C79))</f>
        <v/>
      </c>
      <c r="D80" s="802" t="str">
        <f>IF(OR($E$3="",$P$3=""),"",IF('Statement of Marks'!C79="","",'Statement of Marks'!C79))</f>
        <v/>
      </c>
      <c r="E80" s="803" t="str">
        <f>IF(OR($E$3="",$P$3=""),"",IF('Statement of Marks'!D79="","",'Statement of Marks'!D79))</f>
        <v/>
      </c>
      <c r="F80" s="804" t="str">
        <f>IF(OR($E$3="",$P$3=""),"",IF('Statement of Marks'!E79="","",'Statement of Marks'!E79))</f>
        <v/>
      </c>
      <c r="G80" s="804" t="str">
        <f>IF(OR($E$3="",$P$3=""),"",IF('Statement of Marks'!F79="","",'Statement of Marks'!F79))</f>
        <v/>
      </c>
      <c r="H80" s="804" t="str">
        <f>IF(OR($E$3="",$P$3=""),"",IF('Statement of Marks'!G79="","",'Statement of Marks'!G79))</f>
        <v/>
      </c>
      <c r="I80" s="805" t="str">
        <f>IF(OR($E$3="",$P$3=""),"",IF('Statement of Marks'!H79="","",'Statement of Marks'!H79))</f>
        <v/>
      </c>
      <c r="J80" s="805" t="str">
        <f>IF(OR($E$3="",$P$3=""),"",IF('Statement of Marks'!I79="","",'Statement of Marks'!I79))</f>
        <v/>
      </c>
      <c r="K80" s="805" t="str">
        <f>IFERROR(IF(B80="","",IF($P$3=$AT$10,IF(AND(BM80="A"),'Marks Entry'!$U$2,IF(AND(BM80="B"),'Marks Entry'!$Y$2,IF(AND(BM80="C"),'Marks Entry'!$AA$2,""))),IF($P$3=$AT$11,IF(AND(BN80="A"),'Marks Entry'!$AC$2,IF(AND(BN80="B"),'Marks Entry'!$AG$2,IF(AND(BN80="C"),'Marks Entry'!$AI$2,""))),IF($P$3=$AT$12,IF(AND(BO80="A"),'Marks Entry'!$AK$2,IF(AND(BO80="B"),'Marks Entry'!$AO$2,IF(AND(BO80="C"),'Marks Entry'!$AQ$2,""))),IF($P$3=$AT$13,IF(AND(BP80="A"),'Marks Entry'!$AS$2,IF(AND(BP80="B"),'Marks Entry'!$AW$2,IF(AND(BP80="C"),'Marks Entry'!$AY$2,""))),"-"))))),"")</f>
        <v/>
      </c>
      <c r="L80" s="806" t="str">
        <f>IFERROR(IF(B80="","",IF($P$3=$AT$8,'Statement of Marks'!J79,IF($P$3=$AT$9,'Statement of Marks'!X79,IF($P$3=$AT$10,'Statement of Marks'!AM79,IF($P$3=$AT$11,'Statement of Marks'!BJ79,IF($P$3=$AT$12,'Statement of Marks'!CG79,IF($P$3=$AT$13,'Statement of Marks'!DE79,IF($P$3=$AT$14,"",IF($P$3=$AT$15,'Statement of Marks'!EY79,""))))))))),"")</f>
        <v/>
      </c>
      <c r="M80" s="806" t="str">
        <f>IFERROR(IF(B80="","",IF($P$3=$AT$8,'Statement of Marks'!K79,IF($P$3=$AT$9,'Statement of Marks'!Y79,IF($P$3=$AT$10,'Statement of Marks'!AN79,IF($P$3=$AT$11,'Statement of Marks'!BK79,IF($P$3=$AT$12,'Statement of Marks'!CH79,IF($P$3=$AT$13,'Statement of Marks'!DF79,IF($P$3=$AT$14,"",IF($P$3=$AT$15,'Statement of Marks'!EZ79,""))))))))),"")</f>
        <v/>
      </c>
      <c r="N80" s="806" t="str">
        <f>IFERROR(IF(B80="","",IF($P$3=$AT$8,'Statement of Marks'!L79,IF($P$3=$AT$9,'Statement of Marks'!Z79,IF($P$3=$AT$10,'Statement of Marks'!AO79,IF($P$3=$AT$11,'Statement of Marks'!BL79,IF($P$3=$AT$12,'Statement of Marks'!CI79,IF($P$3=$AT$13,'Statement of Marks'!DG79,IF($P$3=$AT$14,"",IF($P$3=$AT$15,'Statement of Marks'!FA79,""))))))))),"")</f>
        <v/>
      </c>
      <c r="O80" s="807" t="str">
        <f t="shared" si="18"/>
        <v/>
      </c>
      <c r="P80" s="806" t="str">
        <f>IFERROR(IF(B80="","",IF($P$3=$AT$8,'Statement of Marks'!N79,IF($P$3=$AT$9,'Statement of Marks'!AB79,IF($P$3=$AT$10,'Statement of Marks'!AQ79,IF($P$3=$AT$11,'Statement of Marks'!BN79,IF($P$3=$AT$12,'Statement of Marks'!CK79,IF($P$3=$AT$13,'Statement of Marks'!DI79,IF($P$3=$AT$14,"",IF($P$3=$AT$15,'Statement of Marks'!FC79,""))))))))),"")</f>
        <v/>
      </c>
      <c r="Q80" s="806" t="str">
        <f>IFERROR(IF(B80="","",IF($P$3=$AT$8,"",IF($P$3=$AT$9,"",IF($P$3=$AT$10,'Statement of Marks'!AR79,IF($P$3=$AT$11,'Statement of Marks'!BO79,IF($P$3=$AT$12,'Statement of Marks'!CL79,IF($P$3=$AT$13,'Statement of Marks'!DJ79,IF($P$3=$AT$14,"",IF($P$3=$AT$15,"",""))))))))),"")</f>
        <v/>
      </c>
      <c r="R80" s="818" t="str">
        <f>IFERROR(IF(B80="","",IF(AND(P80="",Q80="",$P$3=""),"",IF($P$3=$AT$14,'Statement of Marks'!EC79,SUM(P80,Q80)))),"")</f>
        <v/>
      </c>
      <c r="S80" s="817" t="str">
        <f>IFERROR(IF(B80="","",IF($P$3=$AT$14,'Statement of Marks'!ED79,IF(AND(O80="NA",P80="NA",Q80="NA"),"NA",IF(AND(O80="",P80="",Q80=""),"",SUM(O80,P80,Q80))))),"")</f>
        <v/>
      </c>
      <c r="T80" s="806" t="str">
        <f>IFERROR(IF(B80="","",IF($P$3=$AT$8,'Statement of Marks'!P79,IF($P$3=$AT$9,'Statement of Marks'!AD79,IF($P$3=$AT$10,'Statement of Marks'!AU79,IF($P$3=$AT$11,'Statement of Marks'!BR79,IF($P$3=$AT$12,'Statement of Marks'!CO79,IF($P$3=$AT$13,'Statement of Marks'!DM79,IF($P$3=$AT$14,"",IF($P$3=$AT$15,'Statement of Marks'!FD79,""))))))))),"")</f>
        <v/>
      </c>
      <c r="U80" s="806" t="str">
        <f>IFERROR(IF(B80="","",IF($P$3=$AT$8,"",IF($P$3=$AT$9,"",IF($P$3=$AT$10,'Statement of Marks'!AV79,IF($P$3=$AT$11,'Statement of Marks'!BS79,IF($P$3=$AT$12,'Statement of Marks'!CP79,IF($P$3=$AT$13,'Statement of Marks'!DN79,IF($P$3=$AT$14,"",IF($P$3=$AT$15,"",""))))))))),"")</f>
        <v/>
      </c>
      <c r="V80" s="818" t="str">
        <f>IFERROR(IF(B80="","",IF(AND(T80="",U80="",$P$3=""),"",IF($P$3=$AT$14,'Statement of Marks'!EE79,SUM(T80,U80)))),"")</f>
        <v/>
      </c>
      <c r="W80" s="808" t="str">
        <f t="shared" si="19"/>
        <v/>
      </c>
      <c r="X80" s="809">
        <f t="shared" si="20"/>
        <v>0</v>
      </c>
      <c r="Y80" s="809">
        <f t="shared" si="21"/>
        <v>0</v>
      </c>
      <c r="Z80" s="809">
        <f t="shared" si="22"/>
        <v>0</v>
      </c>
      <c r="AA80" s="809" t="str">
        <f t="shared" si="23"/>
        <v/>
      </c>
      <c r="AB80" s="809" t="str">
        <f t="shared" si="24"/>
        <v/>
      </c>
      <c r="AC80" s="809" t="str">
        <f t="shared" si="25"/>
        <v/>
      </c>
      <c r="AD80" s="809" t="str">
        <f t="shared" si="26"/>
        <v/>
      </c>
      <c r="AE80" s="810" t="str">
        <f t="shared" si="27"/>
        <v/>
      </c>
      <c r="AF80" s="811" t="str">
        <f t="shared" si="28"/>
        <v/>
      </c>
      <c r="AG80" s="812" t="str">
        <f t="shared" si="29"/>
        <v/>
      </c>
      <c r="AW80" s="17" t="str">
        <f t="shared" si="30"/>
        <v/>
      </c>
      <c r="AX80" s="17" t="str">
        <f t="shared" si="31"/>
        <v/>
      </c>
      <c r="BM80" s="17" t="str">
        <f>IFERROR(VLOOKUP(B80,'Statement of Marks'!$B$8:'Statement of Marks'!$HI$207,37,0),"")</f>
        <v>A</v>
      </c>
      <c r="BN80" s="17" t="str">
        <f>IFERROR(VLOOKUP(B80,'Statement of Marks'!$B$8:'Statement of Marks'!$HI$207,60,0),"")</f>
        <v>A</v>
      </c>
      <c r="BO80" s="17" t="str">
        <f>IFERROR(VLOOKUP(B80,'Statement of Marks'!$B$8:'Statement of Marks'!$HI$207,83,0),"")</f>
        <v>A</v>
      </c>
      <c r="BP80" s="17" t="str">
        <f>IFERROR(VLOOKUP(B80,'Statement of Marks'!$B$8:'Statement of Marks'!$HI$207,107,0),"")</f>
        <v/>
      </c>
    </row>
    <row r="81" spans="1:68">
      <c r="A81" s="800">
        <f>IF('Statement of Marks'!A80="","",'Statement of Marks'!A80)</f>
        <v>73</v>
      </c>
      <c r="B81" s="801" t="str">
        <f>IF(OR($E$3="",$P$3=""),"",IF('Statement of Marks'!B80="","",'Statement of Marks'!B80))</f>
        <v/>
      </c>
      <c r="C81" s="810" t="str">
        <f>IF(OR($E$3="",$P$3=""),"",IF('Marks Entry'!C80="","",'Marks Entry'!C80))</f>
        <v/>
      </c>
      <c r="D81" s="802" t="str">
        <f>IF(OR($E$3="",$P$3=""),"",IF('Statement of Marks'!C80="","",'Statement of Marks'!C80))</f>
        <v/>
      </c>
      <c r="E81" s="803" t="str">
        <f>IF(OR($E$3="",$P$3=""),"",IF('Statement of Marks'!D80="","",'Statement of Marks'!D80))</f>
        <v/>
      </c>
      <c r="F81" s="804" t="str">
        <f>IF(OR($E$3="",$P$3=""),"",IF('Statement of Marks'!E80="","",'Statement of Marks'!E80))</f>
        <v/>
      </c>
      <c r="G81" s="804" t="str">
        <f>IF(OR($E$3="",$P$3=""),"",IF('Statement of Marks'!F80="","",'Statement of Marks'!F80))</f>
        <v/>
      </c>
      <c r="H81" s="804" t="str">
        <f>IF(OR($E$3="",$P$3=""),"",IF('Statement of Marks'!G80="","",'Statement of Marks'!G80))</f>
        <v/>
      </c>
      <c r="I81" s="805" t="str">
        <f>IF(OR($E$3="",$P$3=""),"",IF('Statement of Marks'!H80="","",'Statement of Marks'!H80))</f>
        <v/>
      </c>
      <c r="J81" s="805" t="str">
        <f>IF(OR($E$3="",$P$3=""),"",IF('Statement of Marks'!I80="","",'Statement of Marks'!I80))</f>
        <v/>
      </c>
      <c r="K81" s="805" t="str">
        <f>IFERROR(IF(B81="","",IF($P$3=$AT$10,IF(AND(BM81="A"),'Marks Entry'!$U$2,IF(AND(BM81="B"),'Marks Entry'!$Y$2,IF(AND(BM81="C"),'Marks Entry'!$AA$2,""))),IF($P$3=$AT$11,IF(AND(BN81="A"),'Marks Entry'!$AC$2,IF(AND(BN81="B"),'Marks Entry'!$AG$2,IF(AND(BN81="C"),'Marks Entry'!$AI$2,""))),IF($P$3=$AT$12,IF(AND(BO81="A"),'Marks Entry'!$AK$2,IF(AND(BO81="B"),'Marks Entry'!$AO$2,IF(AND(BO81="C"),'Marks Entry'!$AQ$2,""))),IF($P$3=$AT$13,IF(AND(BP81="A"),'Marks Entry'!$AS$2,IF(AND(BP81="B"),'Marks Entry'!$AW$2,IF(AND(BP81="C"),'Marks Entry'!$AY$2,""))),"-"))))),"")</f>
        <v/>
      </c>
      <c r="L81" s="806" t="str">
        <f>IFERROR(IF(B81="","",IF($P$3=$AT$8,'Statement of Marks'!J80,IF($P$3=$AT$9,'Statement of Marks'!X80,IF($P$3=$AT$10,'Statement of Marks'!AM80,IF($P$3=$AT$11,'Statement of Marks'!BJ80,IF($P$3=$AT$12,'Statement of Marks'!CG80,IF($P$3=$AT$13,'Statement of Marks'!DE80,IF($P$3=$AT$14,"",IF($P$3=$AT$15,'Statement of Marks'!EY80,""))))))))),"")</f>
        <v/>
      </c>
      <c r="M81" s="806" t="str">
        <f>IFERROR(IF(B81="","",IF($P$3=$AT$8,'Statement of Marks'!K80,IF($P$3=$AT$9,'Statement of Marks'!Y80,IF($P$3=$AT$10,'Statement of Marks'!AN80,IF($P$3=$AT$11,'Statement of Marks'!BK80,IF($P$3=$AT$12,'Statement of Marks'!CH80,IF($P$3=$AT$13,'Statement of Marks'!DF80,IF($P$3=$AT$14,"",IF($P$3=$AT$15,'Statement of Marks'!EZ80,""))))))))),"")</f>
        <v/>
      </c>
      <c r="N81" s="806" t="str">
        <f>IFERROR(IF(B81="","",IF($P$3=$AT$8,'Statement of Marks'!L80,IF($P$3=$AT$9,'Statement of Marks'!Z80,IF($P$3=$AT$10,'Statement of Marks'!AO80,IF($P$3=$AT$11,'Statement of Marks'!BL80,IF($P$3=$AT$12,'Statement of Marks'!CI80,IF($P$3=$AT$13,'Statement of Marks'!DG80,IF($P$3=$AT$14,"",IF($P$3=$AT$15,'Statement of Marks'!FA80,""))))))))),"")</f>
        <v/>
      </c>
      <c r="O81" s="807" t="str">
        <f t="shared" si="18"/>
        <v/>
      </c>
      <c r="P81" s="806" t="str">
        <f>IFERROR(IF(B81="","",IF($P$3=$AT$8,'Statement of Marks'!N80,IF($P$3=$AT$9,'Statement of Marks'!AB80,IF($P$3=$AT$10,'Statement of Marks'!AQ80,IF($P$3=$AT$11,'Statement of Marks'!BN80,IF($P$3=$AT$12,'Statement of Marks'!CK80,IF($P$3=$AT$13,'Statement of Marks'!DI80,IF($P$3=$AT$14,"",IF($P$3=$AT$15,'Statement of Marks'!FC80,""))))))))),"")</f>
        <v/>
      </c>
      <c r="Q81" s="806" t="str">
        <f>IFERROR(IF(B81="","",IF($P$3=$AT$8,"",IF($P$3=$AT$9,"",IF($P$3=$AT$10,'Statement of Marks'!AR80,IF($P$3=$AT$11,'Statement of Marks'!BO80,IF($P$3=$AT$12,'Statement of Marks'!CL80,IF($P$3=$AT$13,'Statement of Marks'!DJ80,IF($P$3=$AT$14,"",IF($P$3=$AT$15,"",""))))))))),"")</f>
        <v/>
      </c>
      <c r="R81" s="818" t="str">
        <f>IFERROR(IF(B81="","",IF(AND(P81="",Q81="",$P$3=""),"",IF($P$3=$AT$14,'Statement of Marks'!EC80,SUM(P81,Q81)))),"")</f>
        <v/>
      </c>
      <c r="S81" s="817" t="str">
        <f>IFERROR(IF(B81="","",IF($P$3=$AT$14,'Statement of Marks'!ED80,IF(AND(O81="NA",P81="NA",Q81="NA"),"NA",IF(AND(O81="",P81="",Q81=""),"",SUM(O81,P81,Q81))))),"")</f>
        <v/>
      </c>
      <c r="T81" s="806" t="str">
        <f>IFERROR(IF(B81="","",IF($P$3=$AT$8,'Statement of Marks'!P80,IF($P$3=$AT$9,'Statement of Marks'!AD80,IF($P$3=$AT$10,'Statement of Marks'!AU80,IF($P$3=$AT$11,'Statement of Marks'!BR80,IF($P$3=$AT$12,'Statement of Marks'!CO80,IF($P$3=$AT$13,'Statement of Marks'!DM80,IF($P$3=$AT$14,"",IF($P$3=$AT$15,'Statement of Marks'!FD80,""))))))))),"")</f>
        <v/>
      </c>
      <c r="U81" s="806" t="str">
        <f>IFERROR(IF(B81="","",IF($P$3=$AT$8,"",IF($P$3=$AT$9,"",IF($P$3=$AT$10,'Statement of Marks'!AV80,IF($P$3=$AT$11,'Statement of Marks'!BS80,IF($P$3=$AT$12,'Statement of Marks'!CP80,IF($P$3=$AT$13,'Statement of Marks'!DN80,IF($P$3=$AT$14,"",IF($P$3=$AT$15,"",""))))))))),"")</f>
        <v/>
      </c>
      <c r="V81" s="818" t="str">
        <f>IFERROR(IF(B81="","",IF(AND(T81="",U81="",$P$3=""),"",IF($P$3=$AT$14,'Statement of Marks'!EE80,SUM(T81,U81)))),"")</f>
        <v/>
      </c>
      <c r="W81" s="808" t="str">
        <f t="shared" si="19"/>
        <v/>
      </c>
      <c r="X81" s="809">
        <f t="shared" si="20"/>
        <v>0</v>
      </c>
      <c r="Y81" s="809">
        <f t="shared" si="21"/>
        <v>0</v>
      </c>
      <c r="Z81" s="809">
        <f t="shared" si="22"/>
        <v>0</v>
      </c>
      <c r="AA81" s="809" t="str">
        <f t="shared" si="23"/>
        <v/>
      </c>
      <c r="AB81" s="809" t="str">
        <f t="shared" si="24"/>
        <v/>
      </c>
      <c r="AC81" s="809" t="str">
        <f t="shared" si="25"/>
        <v/>
      </c>
      <c r="AD81" s="809" t="str">
        <f t="shared" si="26"/>
        <v/>
      </c>
      <c r="AE81" s="810" t="str">
        <f t="shared" si="27"/>
        <v/>
      </c>
      <c r="AF81" s="811" t="str">
        <f t="shared" si="28"/>
        <v/>
      </c>
      <c r="AG81" s="812" t="str">
        <f t="shared" si="29"/>
        <v/>
      </c>
      <c r="AW81" s="17" t="str">
        <f t="shared" si="30"/>
        <v/>
      </c>
      <c r="AX81" s="17" t="str">
        <f t="shared" si="31"/>
        <v/>
      </c>
      <c r="BM81" s="17" t="str">
        <f>IFERROR(VLOOKUP(B81,'Statement of Marks'!$B$8:'Statement of Marks'!$HI$207,37,0),"")</f>
        <v>A</v>
      </c>
      <c r="BN81" s="17" t="str">
        <f>IFERROR(VLOOKUP(B81,'Statement of Marks'!$B$8:'Statement of Marks'!$HI$207,60,0),"")</f>
        <v>A</v>
      </c>
      <c r="BO81" s="17" t="str">
        <f>IFERROR(VLOOKUP(B81,'Statement of Marks'!$B$8:'Statement of Marks'!$HI$207,83,0),"")</f>
        <v>A</v>
      </c>
      <c r="BP81" s="17" t="str">
        <f>IFERROR(VLOOKUP(B81,'Statement of Marks'!$B$8:'Statement of Marks'!$HI$207,107,0),"")</f>
        <v/>
      </c>
    </row>
    <row r="82" spans="1:68">
      <c r="A82" s="800">
        <f>IF('Statement of Marks'!A81="","",'Statement of Marks'!A81)</f>
        <v>74</v>
      </c>
      <c r="B82" s="801" t="str">
        <f>IF(OR($E$3="",$P$3=""),"",IF('Statement of Marks'!B81="","",'Statement of Marks'!B81))</f>
        <v/>
      </c>
      <c r="C82" s="810" t="str">
        <f>IF(OR($E$3="",$P$3=""),"",IF('Marks Entry'!C81="","",'Marks Entry'!C81))</f>
        <v/>
      </c>
      <c r="D82" s="802" t="str">
        <f>IF(OR($E$3="",$P$3=""),"",IF('Statement of Marks'!C81="","",'Statement of Marks'!C81))</f>
        <v/>
      </c>
      <c r="E82" s="803" t="str">
        <f>IF(OR($E$3="",$P$3=""),"",IF('Statement of Marks'!D81="","",'Statement of Marks'!D81))</f>
        <v/>
      </c>
      <c r="F82" s="804" t="str">
        <f>IF(OR($E$3="",$P$3=""),"",IF('Statement of Marks'!E81="","",'Statement of Marks'!E81))</f>
        <v/>
      </c>
      <c r="G82" s="804" t="str">
        <f>IF(OR($E$3="",$P$3=""),"",IF('Statement of Marks'!F81="","",'Statement of Marks'!F81))</f>
        <v/>
      </c>
      <c r="H82" s="804" t="str">
        <f>IF(OR($E$3="",$P$3=""),"",IF('Statement of Marks'!G81="","",'Statement of Marks'!G81))</f>
        <v/>
      </c>
      <c r="I82" s="805" t="str">
        <f>IF(OR($E$3="",$P$3=""),"",IF('Statement of Marks'!H81="","",'Statement of Marks'!H81))</f>
        <v/>
      </c>
      <c r="J82" s="805" t="str">
        <f>IF(OR($E$3="",$P$3=""),"",IF('Statement of Marks'!I81="","",'Statement of Marks'!I81))</f>
        <v/>
      </c>
      <c r="K82" s="805" t="str">
        <f>IFERROR(IF(B82="","",IF($P$3=$AT$10,IF(AND(BM82="A"),'Marks Entry'!$U$2,IF(AND(BM82="B"),'Marks Entry'!$Y$2,IF(AND(BM82="C"),'Marks Entry'!$AA$2,""))),IF($P$3=$AT$11,IF(AND(BN82="A"),'Marks Entry'!$AC$2,IF(AND(BN82="B"),'Marks Entry'!$AG$2,IF(AND(BN82="C"),'Marks Entry'!$AI$2,""))),IF($P$3=$AT$12,IF(AND(BO82="A"),'Marks Entry'!$AK$2,IF(AND(BO82="B"),'Marks Entry'!$AO$2,IF(AND(BO82="C"),'Marks Entry'!$AQ$2,""))),IF($P$3=$AT$13,IF(AND(BP82="A"),'Marks Entry'!$AS$2,IF(AND(BP82="B"),'Marks Entry'!$AW$2,IF(AND(BP82="C"),'Marks Entry'!$AY$2,""))),"-"))))),"")</f>
        <v/>
      </c>
      <c r="L82" s="806" t="str">
        <f>IFERROR(IF(B82="","",IF($P$3=$AT$8,'Statement of Marks'!J81,IF($P$3=$AT$9,'Statement of Marks'!X81,IF($P$3=$AT$10,'Statement of Marks'!AM81,IF($P$3=$AT$11,'Statement of Marks'!BJ81,IF($P$3=$AT$12,'Statement of Marks'!CG81,IF($P$3=$AT$13,'Statement of Marks'!DE81,IF($P$3=$AT$14,"",IF($P$3=$AT$15,'Statement of Marks'!EY81,""))))))))),"")</f>
        <v/>
      </c>
      <c r="M82" s="806" t="str">
        <f>IFERROR(IF(B82="","",IF($P$3=$AT$8,'Statement of Marks'!K81,IF($P$3=$AT$9,'Statement of Marks'!Y81,IF($P$3=$AT$10,'Statement of Marks'!AN81,IF($P$3=$AT$11,'Statement of Marks'!BK81,IF($P$3=$AT$12,'Statement of Marks'!CH81,IF($P$3=$AT$13,'Statement of Marks'!DF81,IF($P$3=$AT$14,"",IF($P$3=$AT$15,'Statement of Marks'!EZ81,""))))))))),"")</f>
        <v/>
      </c>
      <c r="N82" s="806" t="str">
        <f>IFERROR(IF(B82="","",IF($P$3=$AT$8,'Statement of Marks'!L81,IF($P$3=$AT$9,'Statement of Marks'!Z81,IF($P$3=$AT$10,'Statement of Marks'!AO81,IF($P$3=$AT$11,'Statement of Marks'!BL81,IF($P$3=$AT$12,'Statement of Marks'!CI81,IF($P$3=$AT$13,'Statement of Marks'!DG81,IF($P$3=$AT$14,"",IF($P$3=$AT$15,'Statement of Marks'!FA81,""))))))))),"")</f>
        <v/>
      </c>
      <c r="O82" s="807" t="str">
        <f t="shared" si="18"/>
        <v/>
      </c>
      <c r="P82" s="806" t="str">
        <f>IFERROR(IF(B82="","",IF($P$3=$AT$8,'Statement of Marks'!N81,IF($P$3=$AT$9,'Statement of Marks'!AB81,IF($P$3=$AT$10,'Statement of Marks'!AQ81,IF($P$3=$AT$11,'Statement of Marks'!BN81,IF($P$3=$AT$12,'Statement of Marks'!CK81,IF($P$3=$AT$13,'Statement of Marks'!DI81,IF($P$3=$AT$14,"",IF($P$3=$AT$15,'Statement of Marks'!FC81,""))))))))),"")</f>
        <v/>
      </c>
      <c r="Q82" s="806" t="str">
        <f>IFERROR(IF(B82="","",IF($P$3=$AT$8,"",IF($P$3=$AT$9,"",IF($P$3=$AT$10,'Statement of Marks'!AR81,IF($P$3=$AT$11,'Statement of Marks'!BO81,IF($P$3=$AT$12,'Statement of Marks'!CL81,IF($P$3=$AT$13,'Statement of Marks'!DJ81,IF($P$3=$AT$14,"",IF($P$3=$AT$15,"",""))))))))),"")</f>
        <v/>
      </c>
      <c r="R82" s="818" t="str">
        <f>IFERROR(IF(B82="","",IF(AND(P82="",Q82="",$P$3=""),"",IF($P$3=$AT$14,'Statement of Marks'!EC81,SUM(P82,Q82)))),"")</f>
        <v/>
      </c>
      <c r="S82" s="817" t="str">
        <f>IFERROR(IF(B82="","",IF($P$3=$AT$14,'Statement of Marks'!ED81,IF(AND(O82="NA",P82="NA",Q82="NA"),"NA",IF(AND(O82="",P82="",Q82=""),"",SUM(O82,P82,Q82))))),"")</f>
        <v/>
      </c>
      <c r="T82" s="806" t="str">
        <f>IFERROR(IF(B82="","",IF($P$3=$AT$8,'Statement of Marks'!P81,IF($P$3=$AT$9,'Statement of Marks'!AD81,IF($P$3=$AT$10,'Statement of Marks'!AU81,IF($P$3=$AT$11,'Statement of Marks'!BR81,IF($P$3=$AT$12,'Statement of Marks'!CO81,IF($P$3=$AT$13,'Statement of Marks'!DM81,IF($P$3=$AT$14,"",IF($P$3=$AT$15,'Statement of Marks'!FD81,""))))))))),"")</f>
        <v/>
      </c>
      <c r="U82" s="806" t="str">
        <f>IFERROR(IF(B82="","",IF($P$3=$AT$8,"",IF($P$3=$AT$9,"",IF($P$3=$AT$10,'Statement of Marks'!AV81,IF($P$3=$AT$11,'Statement of Marks'!BS81,IF($P$3=$AT$12,'Statement of Marks'!CP81,IF($P$3=$AT$13,'Statement of Marks'!DN81,IF($P$3=$AT$14,"",IF($P$3=$AT$15,"",""))))))))),"")</f>
        <v/>
      </c>
      <c r="V82" s="818" t="str">
        <f>IFERROR(IF(B82="","",IF(AND(T82="",U82="",$P$3=""),"",IF($P$3=$AT$14,'Statement of Marks'!EE81,SUM(T82,U82)))),"")</f>
        <v/>
      </c>
      <c r="W82" s="808" t="str">
        <f t="shared" si="19"/>
        <v/>
      </c>
      <c r="X82" s="809">
        <f t="shared" si="20"/>
        <v>0</v>
      </c>
      <c r="Y82" s="809">
        <f t="shared" si="21"/>
        <v>0</v>
      </c>
      <c r="Z82" s="809">
        <f t="shared" si="22"/>
        <v>0</v>
      </c>
      <c r="AA82" s="809" t="str">
        <f t="shared" si="23"/>
        <v/>
      </c>
      <c r="AB82" s="809" t="str">
        <f t="shared" si="24"/>
        <v/>
      </c>
      <c r="AC82" s="809" t="str">
        <f t="shared" si="25"/>
        <v/>
      </c>
      <c r="AD82" s="809" t="str">
        <f t="shared" si="26"/>
        <v/>
      </c>
      <c r="AE82" s="810" t="str">
        <f t="shared" si="27"/>
        <v/>
      </c>
      <c r="AF82" s="811" t="str">
        <f t="shared" si="28"/>
        <v/>
      </c>
      <c r="AG82" s="812" t="str">
        <f t="shared" si="29"/>
        <v/>
      </c>
      <c r="AW82" s="17" t="str">
        <f t="shared" si="30"/>
        <v/>
      </c>
      <c r="AX82" s="17" t="str">
        <f t="shared" si="31"/>
        <v/>
      </c>
      <c r="BM82" s="17" t="str">
        <f>IFERROR(VLOOKUP(B82,'Statement of Marks'!$B$8:'Statement of Marks'!$HI$207,37,0),"")</f>
        <v>A</v>
      </c>
      <c r="BN82" s="17" t="str">
        <f>IFERROR(VLOOKUP(B82,'Statement of Marks'!$B$8:'Statement of Marks'!$HI$207,60,0),"")</f>
        <v>A</v>
      </c>
      <c r="BO82" s="17" t="str">
        <f>IFERROR(VLOOKUP(B82,'Statement of Marks'!$B$8:'Statement of Marks'!$HI$207,83,0),"")</f>
        <v>A</v>
      </c>
      <c r="BP82" s="17" t="str">
        <f>IFERROR(VLOOKUP(B82,'Statement of Marks'!$B$8:'Statement of Marks'!$HI$207,107,0),"")</f>
        <v/>
      </c>
    </row>
    <row r="83" spans="1:68">
      <c r="A83" s="800">
        <f>IF('Statement of Marks'!A82="","",'Statement of Marks'!A82)</f>
        <v>75</v>
      </c>
      <c r="B83" s="801" t="str">
        <f>IF(OR($E$3="",$P$3=""),"",IF('Statement of Marks'!B82="","",'Statement of Marks'!B82))</f>
        <v/>
      </c>
      <c r="C83" s="810" t="str">
        <f>IF(OR($E$3="",$P$3=""),"",IF('Marks Entry'!C82="","",'Marks Entry'!C82))</f>
        <v/>
      </c>
      <c r="D83" s="802" t="str">
        <f>IF(OR($E$3="",$P$3=""),"",IF('Statement of Marks'!C82="","",'Statement of Marks'!C82))</f>
        <v/>
      </c>
      <c r="E83" s="803" t="str">
        <f>IF(OR($E$3="",$P$3=""),"",IF('Statement of Marks'!D82="","",'Statement of Marks'!D82))</f>
        <v/>
      </c>
      <c r="F83" s="804" t="str">
        <f>IF(OR($E$3="",$P$3=""),"",IF('Statement of Marks'!E82="","",'Statement of Marks'!E82))</f>
        <v/>
      </c>
      <c r="G83" s="804" t="str">
        <f>IF(OR($E$3="",$P$3=""),"",IF('Statement of Marks'!F82="","",'Statement of Marks'!F82))</f>
        <v/>
      </c>
      <c r="H83" s="804" t="str">
        <f>IF(OR($E$3="",$P$3=""),"",IF('Statement of Marks'!G82="","",'Statement of Marks'!G82))</f>
        <v/>
      </c>
      <c r="I83" s="805" t="str">
        <f>IF(OR($E$3="",$P$3=""),"",IF('Statement of Marks'!H82="","",'Statement of Marks'!H82))</f>
        <v/>
      </c>
      <c r="J83" s="805" t="str">
        <f>IF(OR($E$3="",$P$3=""),"",IF('Statement of Marks'!I82="","",'Statement of Marks'!I82))</f>
        <v/>
      </c>
      <c r="K83" s="805" t="str">
        <f>IFERROR(IF(B83="","",IF($P$3=$AT$10,IF(AND(BM83="A"),'Marks Entry'!$U$2,IF(AND(BM83="B"),'Marks Entry'!$Y$2,IF(AND(BM83="C"),'Marks Entry'!$AA$2,""))),IF($P$3=$AT$11,IF(AND(BN83="A"),'Marks Entry'!$AC$2,IF(AND(BN83="B"),'Marks Entry'!$AG$2,IF(AND(BN83="C"),'Marks Entry'!$AI$2,""))),IF($P$3=$AT$12,IF(AND(BO83="A"),'Marks Entry'!$AK$2,IF(AND(BO83="B"),'Marks Entry'!$AO$2,IF(AND(BO83="C"),'Marks Entry'!$AQ$2,""))),IF($P$3=$AT$13,IF(AND(BP83="A"),'Marks Entry'!$AS$2,IF(AND(BP83="B"),'Marks Entry'!$AW$2,IF(AND(BP83="C"),'Marks Entry'!$AY$2,""))),"-"))))),"")</f>
        <v/>
      </c>
      <c r="L83" s="806" t="str">
        <f>IFERROR(IF(B83="","",IF($P$3=$AT$8,'Statement of Marks'!J82,IF($P$3=$AT$9,'Statement of Marks'!X82,IF($P$3=$AT$10,'Statement of Marks'!AM82,IF($P$3=$AT$11,'Statement of Marks'!BJ82,IF($P$3=$AT$12,'Statement of Marks'!CG82,IF($P$3=$AT$13,'Statement of Marks'!DE82,IF($P$3=$AT$14,"",IF($P$3=$AT$15,'Statement of Marks'!EY82,""))))))))),"")</f>
        <v/>
      </c>
      <c r="M83" s="806" t="str">
        <f>IFERROR(IF(B83="","",IF($P$3=$AT$8,'Statement of Marks'!K82,IF($P$3=$AT$9,'Statement of Marks'!Y82,IF($P$3=$AT$10,'Statement of Marks'!AN82,IF($P$3=$AT$11,'Statement of Marks'!BK82,IF($P$3=$AT$12,'Statement of Marks'!CH82,IF($P$3=$AT$13,'Statement of Marks'!DF82,IF($P$3=$AT$14,"",IF($P$3=$AT$15,'Statement of Marks'!EZ82,""))))))))),"")</f>
        <v/>
      </c>
      <c r="N83" s="806" t="str">
        <f>IFERROR(IF(B83="","",IF($P$3=$AT$8,'Statement of Marks'!L82,IF($P$3=$AT$9,'Statement of Marks'!Z82,IF($P$3=$AT$10,'Statement of Marks'!AO82,IF($P$3=$AT$11,'Statement of Marks'!BL82,IF($P$3=$AT$12,'Statement of Marks'!CI82,IF($P$3=$AT$13,'Statement of Marks'!DG82,IF($P$3=$AT$14,"",IF($P$3=$AT$15,'Statement of Marks'!FA82,""))))))))),"")</f>
        <v/>
      </c>
      <c r="O83" s="807" t="str">
        <f t="shared" si="18"/>
        <v/>
      </c>
      <c r="P83" s="806" t="str">
        <f>IFERROR(IF(B83="","",IF($P$3=$AT$8,'Statement of Marks'!N82,IF($P$3=$AT$9,'Statement of Marks'!AB82,IF($P$3=$AT$10,'Statement of Marks'!AQ82,IF($P$3=$AT$11,'Statement of Marks'!BN82,IF($P$3=$AT$12,'Statement of Marks'!CK82,IF($P$3=$AT$13,'Statement of Marks'!DI82,IF($P$3=$AT$14,"",IF($P$3=$AT$15,'Statement of Marks'!FC82,""))))))))),"")</f>
        <v/>
      </c>
      <c r="Q83" s="806" t="str">
        <f>IFERROR(IF(B83="","",IF($P$3=$AT$8,"",IF($P$3=$AT$9,"",IF($P$3=$AT$10,'Statement of Marks'!AR82,IF($P$3=$AT$11,'Statement of Marks'!BO82,IF($P$3=$AT$12,'Statement of Marks'!CL82,IF($P$3=$AT$13,'Statement of Marks'!DJ82,IF($P$3=$AT$14,"",IF($P$3=$AT$15,"",""))))))))),"")</f>
        <v/>
      </c>
      <c r="R83" s="818" t="str">
        <f>IFERROR(IF(B83="","",IF(AND(P83="",Q83="",$P$3=""),"",IF($P$3=$AT$14,'Statement of Marks'!EC82,SUM(P83,Q83)))),"")</f>
        <v/>
      </c>
      <c r="S83" s="817" t="str">
        <f>IFERROR(IF(B83="","",IF($P$3=$AT$14,'Statement of Marks'!ED82,IF(AND(O83="NA",P83="NA",Q83="NA"),"NA",IF(AND(O83="",P83="",Q83=""),"",SUM(O83,P83,Q83))))),"")</f>
        <v/>
      </c>
      <c r="T83" s="806" t="str">
        <f>IFERROR(IF(B83="","",IF($P$3=$AT$8,'Statement of Marks'!P82,IF($P$3=$AT$9,'Statement of Marks'!AD82,IF($P$3=$AT$10,'Statement of Marks'!AU82,IF($P$3=$AT$11,'Statement of Marks'!BR82,IF($P$3=$AT$12,'Statement of Marks'!CO82,IF($P$3=$AT$13,'Statement of Marks'!DM82,IF($P$3=$AT$14,"",IF($P$3=$AT$15,'Statement of Marks'!FD82,""))))))))),"")</f>
        <v/>
      </c>
      <c r="U83" s="806" t="str">
        <f>IFERROR(IF(B83="","",IF($P$3=$AT$8,"",IF($P$3=$AT$9,"",IF($P$3=$AT$10,'Statement of Marks'!AV82,IF($P$3=$AT$11,'Statement of Marks'!BS82,IF($P$3=$AT$12,'Statement of Marks'!CP82,IF($P$3=$AT$13,'Statement of Marks'!DN82,IF($P$3=$AT$14,"",IF($P$3=$AT$15,"",""))))))))),"")</f>
        <v/>
      </c>
      <c r="V83" s="818" t="str">
        <f>IFERROR(IF(B83="","",IF(AND(T83="",U83="",$P$3=""),"",IF($P$3=$AT$14,'Statement of Marks'!EE82,SUM(T83,U83)))),"")</f>
        <v/>
      </c>
      <c r="W83" s="808" t="str">
        <f t="shared" si="19"/>
        <v/>
      </c>
      <c r="X83" s="809">
        <f t="shared" si="20"/>
        <v>0</v>
      </c>
      <c r="Y83" s="809">
        <f t="shared" si="21"/>
        <v>0</v>
      </c>
      <c r="Z83" s="809">
        <f t="shared" si="22"/>
        <v>0</v>
      </c>
      <c r="AA83" s="809" t="str">
        <f t="shared" si="23"/>
        <v/>
      </c>
      <c r="AB83" s="809" t="str">
        <f t="shared" si="24"/>
        <v/>
      </c>
      <c r="AC83" s="809" t="str">
        <f t="shared" si="25"/>
        <v/>
      </c>
      <c r="AD83" s="809" t="str">
        <f t="shared" si="26"/>
        <v/>
      </c>
      <c r="AE83" s="810" t="str">
        <f t="shared" si="27"/>
        <v/>
      </c>
      <c r="AF83" s="811" t="str">
        <f t="shared" si="28"/>
        <v/>
      </c>
      <c r="AG83" s="812" t="str">
        <f t="shared" si="29"/>
        <v/>
      </c>
      <c r="AW83" s="17" t="str">
        <f t="shared" si="30"/>
        <v/>
      </c>
      <c r="AX83" s="17" t="str">
        <f t="shared" si="31"/>
        <v/>
      </c>
      <c r="BM83" s="17" t="str">
        <f>IFERROR(VLOOKUP(B83,'Statement of Marks'!$B$8:'Statement of Marks'!$HI$207,37,0),"")</f>
        <v>A</v>
      </c>
      <c r="BN83" s="17" t="str">
        <f>IFERROR(VLOOKUP(B83,'Statement of Marks'!$B$8:'Statement of Marks'!$HI$207,60,0),"")</f>
        <v>A</v>
      </c>
      <c r="BO83" s="17" t="str">
        <f>IFERROR(VLOOKUP(B83,'Statement of Marks'!$B$8:'Statement of Marks'!$HI$207,83,0),"")</f>
        <v>A</v>
      </c>
      <c r="BP83" s="17" t="str">
        <f>IFERROR(VLOOKUP(B83,'Statement of Marks'!$B$8:'Statement of Marks'!$HI$207,107,0),"")</f>
        <v/>
      </c>
    </row>
    <row r="84" spans="1:68">
      <c r="A84" s="800">
        <f>IF('Statement of Marks'!A83="","",'Statement of Marks'!A83)</f>
        <v>76</v>
      </c>
      <c r="B84" s="801" t="str">
        <f>IF(OR($E$3="",$P$3=""),"",IF('Statement of Marks'!B83="","",'Statement of Marks'!B83))</f>
        <v/>
      </c>
      <c r="C84" s="810" t="str">
        <f>IF(OR($E$3="",$P$3=""),"",IF('Marks Entry'!C83="","",'Marks Entry'!C83))</f>
        <v/>
      </c>
      <c r="D84" s="802" t="str">
        <f>IF(OR($E$3="",$P$3=""),"",IF('Statement of Marks'!C83="","",'Statement of Marks'!C83))</f>
        <v/>
      </c>
      <c r="E84" s="803" t="str">
        <f>IF(OR($E$3="",$P$3=""),"",IF('Statement of Marks'!D83="","",'Statement of Marks'!D83))</f>
        <v/>
      </c>
      <c r="F84" s="804" t="str">
        <f>IF(OR($E$3="",$P$3=""),"",IF('Statement of Marks'!E83="","",'Statement of Marks'!E83))</f>
        <v/>
      </c>
      <c r="G84" s="804" t="str">
        <f>IF(OR($E$3="",$P$3=""),"",IF('Statement of Marks'!F83="","",'Statement of Marks'!F83))</f>
        <v/>
      </c>
      <c r="H84" s="804" t="str">
        <f>IF(OR($E$3="",$P$3=""),"",IF('Statement of Marks'!G83="","",'Statement of Marks'!G83))</f>
        <v/>
      </c>
      <c r="I84" s="805" t="str">
        <f>IF(OR($E$3="",$P$3=""),"",IF('Statement of Marks'!H83="","",'Statement of Marks'!H83))</f>
        <v/>
      </c>
      <c r="J84" s="805" t="str">
        <f>IF(OR($E$3="",$P$3=""),"",IF('Statement of Marks'!I83="","",'Statement of Marks'!I83))</f>
        <v/>
      </c>
      <c r="K84" s="805" t="str">
        <f>IFERROR(IF(B84="","",IF($P$3=$AT$10,IF(AND(BM84="A"),'Marks Entry'!$U$2,IF(AND(BM84="B"),'Marks Entry'!$Y$2,IF(AND(BM84="C"),'Marks Entry'!$AA$2,""))),IF($P$3=$AT$11,IF(AND(BN84="A"),'Marks Entry'!$AC$2,IF(AND(BN84="B"),'Marks Entry'!$AG$2,IF(AND(BN84="C"),'Marks Entry'!$AI$2,""))),IF($P$3=$AT$12,IF(AND(BO84="A"),'Marks Entry'!$AK$2,IF(AND(BO84="B"),'Marks Entry'!$AO$2,IF(AND(BO84="C"),'Marks Entry'!$AQ$2,""))),IF($P$3=$AT$13,IF(AND(BP84="A"),'Marks Entry'!$AS$2,IF(AND(BP84="B"),'Marks Entry'!$AW$2,IF(AND(BP84="C"),'Marks Entry'!$AY$2,""))),"-"))))),"")</f>
        <v/>
      </c>
      <c r="L84" s="806" t="str">
        <f>IFERROR(IF(B84="","",IF($P$3=$AT$8,'Statement of Marks'!J83,IF($P$3=$AT$9,'Statement of Marks'!X83,IF($P$3=$AT$10,'Statement of Marks'!AM83,IF($P$3=$AT$11,'Statement of Marks'!BJ83,IF($P$3=$AT$12,'Statement of Marks'!CG83,IF($P$3=$AT$13,'Statement of Marks'!DE83,IF($P$3=$AT$14,"",IF($P$3=$AT$15,'Statement of Marks'!EY83,""))))))))),"")</f>
        <v/>
      </c>
      <c r="M84" s="806" t="str">
        <f>IFERROR(IF(B84="","",IF($P$3=$AT$8,'Statement of Marks'!K83,IF($P$3=$AT$9,'Statement of Marks'!Y83,IF($P$3=$AT$10,'Statement of Marks'!AN83,IF($P$3=$AT$11,'Statement of Marks'!BK83,IF($P$3=$AT$12,'Statement of Marks'!CH83,IF($P$3=$AT$13,'Statement of Marks'!DF83,IF($P$3=$AT$14,"",IF($P$3=$AT$15,'Statement of Marks'!EZ83,""))))))))),"")</f>
        <v/>
      </c>
      <c r="N84" s="806" t="str">
        <f>IFERROR(IF(B84="","",IF($P$3=$AT$8,'Statement of Marks'!L83,IF($P$3=$AT$9,'Statement of Marks'!Z83,IF($P$3=$AT$10,'Statement of Marks'!AO83,IF($P$3=$AT$11,'Statement of Marks'!BL83,IF($P$3=$AT$12,'Statement of Marks'!CI83,IF($P$3=$AT$13,'Statement of Marks'!DG83,IF($P$3=$AT$14,"",IF($P$3=$AT$15,'Statement of Marks'!FA83,""))))))))),"")</f>
        <v/>
      </c>
      <c r="O84" s="807" t="str">
        <f t="shared" si="18"/>
        <v/>
      </c>
      <c r="P84" s="806" t="str">
        <f>IFERROR(IF(B84="","",IF($P$3=$AT$8,'Statement of Marks'!N83,IF($P$3=$AT$9,'Statement of Marks'!AB83,IF($P$3=$AT$10,'Statement of Marks'!AQ83,IF($P$3=$AT$11,'Statement of Marks'!BN83,IF($P$3=$AT$12,'Statement of Marks'!CK83,IF($P$3=$AT$13,'Statement of Marks'!DI83,IF($P$3=$AT$14,"",IF($P$3=$AT$15,'Statement of Marks'!FC83,""))))))))),"")</f>
        <v/>
      </c>
      <c r="Q84" s="806" t="str">
        <f>IFERROR(IF(B84="","",IF($P$3=$AT$8,"",IF($P$3=$AT$9,"",IF($P$3=$AT$10,'Statement of Marks'!AR83,IF($P$3=$AT$11,'Statement of Marks'!BO83,IF($P$3=$AT$12,'Statement of Marks'!CL83,IF($P$3=$AT$13,'Statement of Marks'!DJ83,IF($P$3=$AT$14,"",IF($P$3=$AT$15,"",""))))))))),"")</f>
        <v/>
      </c>
      <c r="R84" s="818" t="str">
        <f>IFERROR(IF(B84="","",IF(AND(P84="",Q84="",$P$3=""),"",IF($P$3=$AT$14,'Statement of Marks'!EC83,SUM(P84,Q84)))),"")</f>
        <v/>
      </c>
      <c r="S84" s="817" t="str">
        <f>IFERROR(IF(B84="","",IF($P$3=$AT$14,'Statement of Marks'!ED83,IF(AND(O84="NA",P84="NA",Q84="NA"),"NA",IF(AND(O84="",P84="",Q84=""),"",SUM(O84,P84,Q84))))),"")</f>
        <v/>
      </c>
      <c r="T84" s="806" t="str">
        <f>IFERROR(IF(B84="","",IF($P$3=$AT$8,'Statement of Marks'!P83,IF($P$3=$AT$9,'Statement of Marks'!AD83,IF($P$3=$AT$10,'Statement of Marks'!AU83,IF($P$3=$AT$11,'Statement of Marks'!BR83,IF($P$3=$AT$12,'Statement of Marks'!CO83,IF($P$3=$AT$13,'Statement of Marks'!DM83,IF($P$3=$AT$14,"",IF($P$3=$AT$15,'Statement of Marks'!FD83,""))))))))),"")</f>
        <v/>
      </c>
      <c r="U84" s="806" t="str">
        <f>IFERROR(IF(B84="","",IF($P$3=$AT$8,"",IF($P$3=$AT$9,"",IF($P$3=$AT$10,'Statement of Marks'!AV83,IF($P$3=$AT$11,'Statement of Marks'!BS83,IF($P$3=$AT$12,'Statement of Marks'!CP83,IF($P$3=$AT$13,'Statement of Marks'!DN83,IF($P$3=$AT$14,"",IF($P$3=$AT$15,"",""))))))))),"")</f>
        <v/>
      </c>
      <c r="V84" s="818" t="str">
        <f>IFERROR(IF(B84="","",IF(AND(T84="",U84="",$P$3=""),"",IF($P$3=$AT$14,'Statement of Marks'!EE83,SUM(T84,U84)))),"")</f>
        <v/>
      </c>
      <c r="W84" s="808" t="str">
        <f t="shared" si="19"/>
        <v/>
      </c>
      <c r="X84" s="809">
        <f t="shared" si="20"/>
        <v>0</v>
      </c>
      <c r="Y84" s="809">
        <f t="shared" si="21"/>
        <v>0</v>
      </c>
      <c r="Z84" s="809">
        <f t="shared" si="22"/>
        <v>0</v>
      </c>
      <c r="AA84" s="809" t="str">
        <f t="shared" si="23"/>
        <v/>
      </c>
      <c r="AB84" s="809" t="str">
        <f t="shared" si="24"/>
        <v/>
      </c>
      <c r="AC84" s="809" t="str">
        <f t="shared" si="25"/>
        <v/>
      </c>
      <c r="AD84" s="809" t="str">
        <f t="shared" si="26"/>
        <v/>
      </c>
      <c r="AE84" s="810" t="str">
        <f t="shared" si="27"/>
        <v/>
      </c>
      <c r="AF84" s="811" t="str">
        <f t="shared" si="28"/>
        <v/>
      </c>
      <c r="AG84" s="812" t="str">
        <f t="shared" si="29"/>
        <v/>
      </c>
      <c r="AW84" s="17" t="str">
        <f t="shared" si="30"/>
        <v/>
      </c>
      <c r="AX84" s="17" t="str">
        <f t="shared" si="31"/>
        <v/>
      </c>
      <c r="BM84" s="17" t="str">
        <f>IFERROR(VLOOKUP(B84,'Statement of Marks'!$B$8:'Statement of Marks'!$HI$207,37,0),"")</f>
        <v>A</v>
      </c>
      <c r="BN84" s="17" t="str">
        <f>IFERROR(VLOOKUP(B84,'Statement of Marks'!$B$8:'Statement of Marks'!$HI$207,60,0),"")</f>
        <v>A</v>
      </c>
      <c r="BO84" s="17" t="str">
        <f>IFERROR(VLOOKUP(B84,'Statement of Marks'!$B$8:'Statement of Marks'!$HI$207,83,0),"")</f>
        <v>A</v>
      </c>
      <c r="BP84" s="17" t="str">
        <f>IFERROR(VLOOKUP(B84,'Statement of Marks'!$B$8:'Statement of Marks'!$HI$207,107,0),"")</f>
        <v/>
      </c>
    </row>
    <row r="85" spans="1:68">
      <c r="A85" s="800">
        <f>IF('Statement of Marks'!A84="","",'Statement of Marks'!A84)</f>
        <v>77</v>
      </c>
      <c r="B85" s="801" t="str">
        <f>IF(OR($E$3="",$P$3=""),"",IF('Statement of Marks'!B84="","",'Statement of Marks'!B84))</f>
        <v/>
      </c>
      <c r="C85" s="810" t="str">
        <f>IF(OR($E$3="",$P$3=""),"",IF('Marks Entry'!C84="","",'Marks Entry'!C84))</f>
        <v/>
      </c>
      <c r="D85" s="802" t="str">
        <f>IF(OR($E$3="",$P$3=""),"",IF('Statement of Marks'!C84="","",'Statement of Marks'!C84))</f>
        <v/>
      </c>
      <c r="E85" s="803" t="str">
        <f>IF(OR($E$3="",$P$3=""),"",IF('Statement of Marks'!D84="","",'Statement of Marks'!D84))</f>
        <v/>
      </c>
      <c r="F85" s="804" t="str">
        <f>IF(OR($E$3="",$P$3=""),"",IF('Statement of Marks'!E84="","",'Statement of Marks'!E84))</f>
        <v/>
      </c>
      <c r="G85" s="804" t="str">
        <f>IF(OR($E$3="",$P$3=""),"",IF('Statement of Marks'!F84="","",'Statement of Marks'!F84))</f>
        <v/>
      </c>
      <c r="H85" s="804" t="str">
        <f>IF(OR($E$3="",$P$3=""),"",IF('Statement of Marks'!G84="","",'Statement of Marks'!G84))</f>
        <v/>
      </c>
      <c r="I85" s="805" t="str">
        <f>IF(OR($E$3="",$P$3=""),"",IF('Statement of Marks'!H84="","",'Statement of Marks'!H84))</f>
        <v/>
      </c>
      <c r="J85" s="805" t="str">
        <f>IF(OR($E$3="",$P$3=""),"",IF('Statement of Marks'!I84="","",'Statement of Marks'!I84))</f>
        <v/>
      </c>
      <c r="K85" s="805" t="str">
        <f>IFERROR(IF(B85="","",IF($P$3=$AT$10,IF(AND(BM85="A"),'Marks Entry'!$U$2,IF(AND(BM85="B"),'Marks Entry'!$Y$2,IF(AND(BM85="C"),'Marks Entry'!$AA$2,""))),IF($P$3=$AT$11,IF(AND(BN85="A"),'Marks Entry'!$AC$2,IF(AND(BN85="B"),'Marks Entry'!$AG$2,IF(AND(BN85="C"),'Marks Entry'!$AI$2,""))),IF($P$3=$AT$12,IF(AND(BO85="A"),'Marks Entry'!$AK$2,IF(AND(BO85="B"),'Marks Entry'!$AO$2,IF(AND(BO85="C"),'Marks Entry'!$AQ$2,""))),IF($P$3=$AT$13,IF(AND(BP85="A"),'Marks Entry'!$AS$2,IF(AND(BP85="B"),'Marks Entry'!$AW$2,IF(AND(BP85="C"),'Marks Entry'!$AY$2,""))),"-"))))),"")</f>
        <v/>
      </c>
      <c r="L85" s="806" t="str">
        <f>IFERROR(IF(B85="","",IF($P$3=$AT$8,'Statement of Marks'!J84,IF($P$3=$AT$9,'Statement of Marks'!X84,IF($P$3=$AT$10,'Statement of Marks'!AM84,IF($P$3=$AT$11,'Statement of Marks'!BJ84,IF($P$3=$AT$12,'Statement of Marks'!CG84,IF($P$3=$AT$13,'Statement of Marks'!DE84,IF($P$3=$AT$14,"",IF($P$3=$AT$15,'Statement of Marks'!EY84,""))))))))),"")</f>
        <v/>
      </c>
      <c r="M85" s="806" t="str">
        <f>IFERROR(IF(B85="","",IF($P$3=$AT$8,'Statement of Marks'!K84,IF($P$3=$AT$9,'Statement of Marks'!Y84,IF($P$3=$AT$10,'Statement of Marks'!AN84,IF($P$3=$AT$11,'Statement of Marks'!BK84,IF($P$3=$AT$12,'Statement of Marks'!CH84,IF($P$3=$AT$13,'Statement of Marks'!DF84,IF($P$3=$AT$14,"",IF($P$3=$AT$15,'Statement of Marks'!EZ84,""))))))))),"")</f>
        <v/>
      </c>
      <c r="N85" s="806" t="str">
        <f>IFERROR(IF(B85="","",IF($P$3=$AT$8,'Statement of Marks'!L84,IF($P$3=$AT$9,'Statement of Marks'!Z84,IF($P$3=$AT$10,'Statement of Marks'!AO84,IF($P$3=$AT$11,'Statement of Marks'!BL84,IF($P$3=$AT$12,'Statement of Marks'!CI84,IF($P$3=$AT$13,'Statement of Marks'!DG84,IF($P$3=$AT$14,"",IF($P$3=$AT$15,'Statement of Marks'!FA84,""))))))))),"")</f>
        <v/>
      </c>
      <c r="O85" s="807" t="str">
        <f t="shared" si="18"/>
        <v/>
      </c>
      <c r="P85" s="806" t="str">
        <f>IFERROR(IF(B85="","",IF($P$3=$AT$8,'Statement of Marks'!N84,IF($P$3=$AT$9,'Statement of Marks'!AB84,IF($P$3=$AT$10,'Statement of Marks'!AQ84,IF($P$3=$AT$11,'Statement of Marks'!BN84,IF($P$3=$AT$12,'Statement of Marks'!CK84,IF($P$3=$AT$13,'Statement of Marks'!DI84,IF($P$3=$AT$14,"",IF($P$3=$AT$15,'Statement of Marks'!FC84,""))))))))),"")</f>
        <v/>
      </c>
      <c r="Q85" s="806" t="str">
        <f>IFERROR(IF(B85="","",IF($P$3=$AT$8,"",IF($P$3=$AT$9,"",IF($P$3=$AT$10,'Statement of Marks'!AR84,IF($P$3=$AT$11,'Statement of Marks'!BO84,IF($P$3=$AT$12,'Statement of Marks'!CL84,IF($P$3=$AT$13,'Statement of Marks'!DJ84,IF($P$3=$AT$14,"",IF($P$3=$AT$15,"",""))))))))),"")</f>
        <v/>
      </c>
      <c r="R85" s="818" t="str">
        <f>IFERROR(IF(B85="","",IF(AND(P85="",Q85="",$P$3=""),"",IF($P$3=$AT$14,'Statement of Marks'!EC84,SUM(P85,Q85)))),"")</f>
        <v/>
      </c>
      <c r="S85" s="817" t="str">
        <f>IFERROR(IF(B85="","",IF($P$3=$AT$14,'Statement of Marks'!ED84,IF(AND(O85="NA",P85="NA",Q85="NA"),"NA",IF(AND(O85="",P85="",Q85=""),"",SUM(O85,P85,Q85))))),"")</f>
        <v/>
      </c>
      <c r="T85" s="806" t="str">
        <f>IFERROR(IF(B85="","",IF($P$3=$AT$8,'Statement of Marks'!P84,IF($P$3=$AT$9,'Statement of Marks'!AD84,IF($P$3=$AT$10,'Statement of Marks'!AU84,IF($P$3=$AT$11,'Statement of Marks'!BR84,IF($P$3=$AT$12,'Statement of Marks'!CO84,IF($P$3=$AT$13,'Statement of Marks'!DM84,IF($P$3=$AT$14,"",IF($P$3=$AT$15,'Statement of Marks'!FD84,""))))))))),"")</f>
        <v/>
      </c>
      <c r="U85" s="806" t="str">
        <f>IFERROR(IF(B85="","",IF($P$3=$AT$8,"",IF($P$3=$AT$9,"",IF($P$3=$AT$10,'Statement of Marks'!AV84,IF($P$3=$AT$11,'Statement of Marks'!BS84,IF($P$3=$AT$12,'Statement of Marks'!CP84,IF($P$3=$AT$13,'Statement of Marks'!DN84,IF($P$3=$AT$14,"",IF($P$3=$AT$15,"",""))))))))),"")</f>
        <v/>
      </c>
      <c r="V85" s="818" t="str">
        <f>IFERROR(IF(B85="","",IF(AND(T85="",U85="",$P$3=""),"",IF($P$3=$AT$14,'Statement of Marks'!EE84,SUM(T85,U85)))),"")</f>
        <v/>
      </c>
      <c r="W85" s="808" t="str">
        <f t="shared" si="19"/>
        <v/>
      </c>
      <c r="X85" s="809">
        <f t="shared" si="20"/>
        <v>0</v>
      </c>
      <c r="Y85" s="809">
        <f t="shared" si="21"/>
        <v>0</v>
      </c>
      <c r="Z85" s="809">
        <f t="shared" si="22"/>
        <v>0</v>
      </c>
      <c r="AA85" s="809" t="str">
        <f t="shared" si="23"/>
        <v/>
      </c>
      <c r="AB85" s="809" t="str">
        <f t="shared" si="24"/>
        <v/>
      </c>
      <c r="AC85" s="809" t="str">
        <f t="shared" si="25"/>
        <v/>
      </c>
      <c r="AD85" s="809" t="str">
        <f t="shared" si="26"/>
        <v/>
      </c>
      <c r="AE85" s="810" t="str">
        <f t="shared" si="27"/>
        <v/>
      </c>
      <c r="AF85" s="811" t="str">
        <f t="shared" si="28"/>
        <v/>
      </c>
      <c r="AG85" s="812" t="str">
        <f t="shared" si="29"/>
        <v/>
      </c>
      <c r="AW85" s="17" t="str">
        <f t="shared" si="30"/>
        <v/>
      </c>
      <c r="AX85" s="17" t="str">
        <f t="shared" si="31"/>
        <v/>
      </c>
      <c r="BM85" s="17" t="str">
        <f>IFERROR(VLOOKUP(B85,'Statement of Marks'!$B$8:'Statement of Marks'!$HI$207,37,0),"")</f>
        <v>A</v>
      </c>
      <c r="BN85" s="17" t="str">
        <f>IFERROR(VLOOKUP(B85,'Statement of Marks'!$B$8:'Statement of Marks'!$HI$207,60,0),"")</f>
        <v>A</v>
      </c>
      <c r="BO85" s="17" t="str">
        <f>IFERROR(VLOOKUP(B85,'Statement of Marks'!$B$8:'Statement of Marks'!$HI$207,83,0),"")</f>
        <v>A</v>
      </c>
      <c r="BP85" s="17" t="str">
        <f>IFERROR(VLOOKUP(B85,'Statement of Marks'!$B$8:'Statement of Marks'!$HI$207,107,0),"")</f>
        <v/>
      </c>
    </row>
    <row r="86" spans="1:68">
      <c r="A86" s="800">
        <f>IF('Statement of Marks'!A85="","",'Statement of Marks'!A85)</f>
        <v>78</v>
      </c>
      <c r="B86" s="801" t="str">
        <f>IF(OR($E$3="",$P$3=""),"",IF('Statement of Marks'!B85="","",'Statement of Marks'!B85))</f>
        <v/>
      </c>
      <c r="C86" s="810" t="str">
        <f>IF(OR($E$3="",$P$3=""),"",IF('Marks Entry'!C85="","",'Marks Entry'!C85))</f>
        <v/>
      </c>
      <c r="D86" s="802" t="str">
        <f>IF(OR($E$3="",$P$3=""),"",IF('Statement of Marks'!C85="","",'Statement of Marks'!C85))</f>
        <v/>
      </c>
      <c r="E86" s="803" t="str">
        <f>IF(OR($E$3="",$P$3=""),"",IF('Statement of Marks'!D85="","",'Statement of Marks'!D85))</f>
        <v/>
      </c>
      <c r="F86" s="804" t="str">
        <f>IF(OR($E$3="",$P$3=""),"",IF('Statement of Marks'!E85="","",'Statement of Marks'!E85))</f>
        <v/>
      </c>
      <c r="G86" s="804" t="str">
        <f>IF(OR($E$3="",$P$3=""),"",IF('Statement of Marks'!F85="","",'Statement of Marks'!F85))</f>
        <v/>
      </c>
      <c r="H86" s="804" t="str">
        <f>IF(OR($E$3="",$P$3=""),"",IF('Statement of Marks'!G85="","",'Statement of Marks'!G85))</f>
        <v/>
      </c>
      <c r="I86" s="805" t="str">
        <f>IF(OR($E$3="",$P$3=""),"",IF('Statement of Marks'!H85="","",'Statement of Marks'!H85))</f>
        <v/>
      </c>
      <c r="J86" s="805" t="str">
        <f>IF(OR($E$3="",$P$3=""),"",IF('Statement of Marks'!I85="","",'Statement of Marks'!I85))</f>
        <v/>
      </c>
      <c r="K86" s="805" t="str">
        <f>IFERROR(IF(B86="","",IF($P$3=$AT$10,IF(AND(BM86="A"),'Marks Entry'!$U$2,IF(AND(BM86="B"),'Marks Entry'!$Y$2,IF(AND(BM86="C"),'Marks Entry'!$AA$2,""))),IF($P$3=$AT$11,IF(AND(BN86="A"),'Marks Entry'!$AC$2,IF(AND(BN86="B"),'Marks Entry'!$AG$2,IF(AND(BN86="C"),'Marks Entry'!$AI$2,""))),IF($P$3=$AT$12,IF(AND(BO86="A"),'Marks Entry'!$AK$2,IF(AND(BO86="B"),'Marks Entry'!$AO$2,IF(AND(BO86="C"),'Marks Entry'!$AQ$2,""))),IF($P$3=$AT$13,IF(AND(BP86="A"),'Marks Entry'!$AS$2,IF(AND(BP86="B"),'Marks Entry'!$AW$2,IF(AND(BP86="C"),'Marks Entry'!$AY$2,""))),"-"))))),"")</f>
        <v/>
      </c>
      <c r="L86" s="806" t="str">
        <f>IFERROR(IF(B86="","",IF($P$3=$AT$8,'Statement of Marks'!J85,IF($P$3=$AT$9,'Statement of Marks'!X85,IF($P$3=$AT$10,'Statement of Marks'!AM85,IF($P$3=$AT$11,'Statement of Marks'!BJ85,IF($P$3=$AT$12,'Statement of Marks'!CG85,IF($P$3=$AT$13,'Statement of Marks'!DE85,IF($P$3=$AT$14,"",IF($P$3=$AT$15,'Statement of Marks'!EY85,""))))))))),"")</f>
        <v/>
      </c>
      <c r="M86" s="806" t="str">
        <f>IFERROR(IF(B86="","",IF($P$3=$AT$8,'Statement of Marks'!K85,IF($P$3=$AT$9,'Statement of Marks'!Y85,IF($P$3=$AT$10,'Statement of Marks'!AN85,IF($P$3=$AT$11,'Statement of Marks'!BK85,IF($P$3=$AT$12,'Statement of Marks'!CH85,IF($P$3=$AT$13,'Statement of Marks'!DF85,IF($P$3=$AT$14,"",IF($P$3=$AT$15,'Statement of Marks'!EZ85,""))))))))),"")</f>
        <v/>
      </c>
      <c r="N86" s="806" t="str">
        <f>IFERROR(IF(B86="","",IF($P$3=$AT$8,'Statement of Marks'!L85,IF($P$3=$AT$9,'Statement of Marks'!Z85,IF($P$3=$AT$10,'Statement of Marks'!AO85,IF($P$3=$AT$11,'Statement of Marks'!BL85,IF($P$3=$AT$12,'Statement of Marks'!CI85,IF($P$3=$AT$13,'Statement of Marks'!DG85,IF($P$3=$AT$14,"",IF($P$3=$AT$15,'Statement of Marks'!FA85,""))))))))),"")</f>
        <v/>
      </c>
      <c r="O86" s="807" t="str">
        <f t="shared" si="18"/>
        <v/>
      </c>
      <c r="P86" s="806" t="str">
        <f>IFERROR(IF(B86="","",IF($P$3=$AT$8,'Statement of Marks'!N85,IF($P$3=$AT$9,'Statement of Marks'!AB85,IF($P$3=$AT$10,'Statement of Marks'!AQ85,IF($P$3=$AT$11,'Statement of Marks'!BN85,IF($P$3=$AT$12,'Statement of Marks'!CK85,IF($P$3=$AT$13,'Statement of Marks'!DI85,IF($P$3=$AT$14,"",IF($P$3=$AT$15,'Statement of Marks'!FC85,""))))))))),"")</f>
        <v/>
      </c>
      <c r="Q86" s="806" t="str">
        <f>IFERROR(IF(B86="","",IF($P$3=$AT$8,"",IF($P$3=$AT$9,"",IF($P$3=$AT$10,'Statement of Marks'!AR85,IF($P$3=$AT$11,'Statement of Marks'!BO85,IF($P$3=$AT$12,'Statement of Marks'!CL85,IF($P$3=$AT$13,'Statement of Marks'!DJ85,IF($P$3=$AT$14,"",IF($P$3=$AT$15,"",""))))))))),"")</f>
        <v/>
      </c>
      <c r="R86" s="818" t="str">
        <f>IFERROR(IF(B86="","",IF(AND(P86="",Q86="",$P$3=""),"",IF($P$3=$AT$14,'Statement of Marks'!EC85,SUM(P86,Q86)))),"")</f>
        <v/>
      </c>
      <c r="S86" s="817" t="str">
        <f>IFERROR(IF(B86="","",IF($P$3=$AT$14,'Statement of Marks'!ED85,IF(AND(O86="NA",P86="NA",Q86="NA"),"NA",IF(AND(O86="",P86="",Q86=""),"",SUM(O86,P86,Q86))))),"")</f>
        <v/>
      </c>
      <c r="T86" s="806" t="str">
        <f>IFERROR(IF(B86="","",IF($P$3=$AT$8,'Statement of Marks'!P85,IF($P$3=$AT$9,'Statement of Marks'!AD85,IF($P$3=$AT$10,'Statement of Marks'!AU85,IF($P$3=$AT$11,'Statement of Marks'!BR85,IF($P$3=$AT$12,'Statement of Marks'!CO85,IF($P$3=$AT$13,'Statement of Marks'!DM85,IF($P$3=$AT$14,"",IF($P$3=$AT$15,'Statement of Marks'!FD85,""))))))))),"")</f>
        <v/>
      </c>
      <c r="U86" s="806" t="str">
        <f>IFERROR(IF(B86="","",IF($P$3=$AT$8,"",IF($P$3=$AT$9,"",IF($P$3=$AT$10,'Statement of Marks'!AV85,IF($P$3=$AT$11,'Statement of Marks'!BS85,IF($P$3=$AT$12,'Statement of Marks'!CP85,IF($P$3=$AT$13,'Statement of Marks'!DN85,IF($P$3=$AT$14,"",IF($P$3=$AT$15,"",""))))))))),"")</f>
        <v/>
      </c>
      <c r="V86" s="818" t="str">
        <f>IFERROR(IF(B86="","",IF(AND(T86="",U86="",$P$3=""),"",IF($P$3=$AT$14,'Statement of Marks'!EE85,SUM(T86,U86)))),"")</f>
        <v/>
      </c>
      <c r="W86" s="808" t="str">
        <f t="shared" si="19"/>
        <v/>
      </c>
      <c r="X86" s="809">
        <f t="shared" si="20"/>
        <v>0</v>
      </c>
      <c r="Y86" s="809">
        <f t="shared" si="21"/>
        <v>0</v>
      </c>
      <c r="Z86" s="809">
        <f t="shared" si="22"/>
        <v>0</v>
      </c>
      <c r="AA86" s="809" t="str">
        <f t="shared" si="23"/>
        <v/>
      </c>
      <c r="AB86" s="809" t="str">
        <f t="shared" si="24"/>
        <v/>
      </c>
      <c r="AC86" s="809" t="str">
        <f t="shared" si="25"/>
        <v/>
      </c>
      <c r="AD86" s="809" t="str">
        <f t="shared" si="26"/>
        <v/>
      </c>
      <c r="AE86" s="810" t="str">
        <f t="shared" si="27"/>
        <v/>
      </c>
      <c r="AF86" s="811" t="str">
        <f t="shared" si="28"/>
        <v/>
      </c>
      <c r="AG86" s="812" t="str">
        <f t="shared" si="29"/>
        <v/>
      </c>
      <c r="AW86" s="17" t="str">
        <f t="shared" si="30"/>
        <v/>
      </c>
      <c r="AX86" s="17" t="str">
        <f t="shared" si="31"/>
        <v/>
      </c>
      <c r="BM86" s="17" t="str">
        <f>IFERROR(VLOOKUP(B86,'Statement of Marks'!$B$8:'Statement of Marks'!$HI$207,37,0),"")</f>
        <v>A</v>
      </c>
      <c r="BN86" s="17" t="str">
        <f>IFERROR(VLOOKUP(B86,'Statement of Marks'!$B$8:'Statement of Marks'!$HI$207,60,0),"")</f>
        <v>A</v>
      </c>
      <c r="BO86" s="17" t="str">
        <f>IFERROR(VLOOKUP(B86,'Statement of Marks'!$B$8:'Statement of Marks'!$HI$207,83,0),"")</f>
        <v>A</v>
      </c>
      <c r="BP86" s="17" t="str">
        <f>IFERROR(VLOOKUP(B86,'Statement of Marks'!$B$8:'Statement of Marks'!$HI$207,107,0),"")</f>
        <v/>
      </c>
    </row>
    <row r="87" spans="1:68">
      <c r="A87" s="800">
        <f>IF('Statement of Marks'!A86="","",'Statement of Marks'!A86)</f>
        <v>79</v>
      </c>
      <c r="B87" s="801" t="str">
        <f>IF(OR($E$3="",$P$3=""),"",IF('Statement of Marks'!B86="","",'Statement of Marks'!B86))</f>
        <v/>
      </c>
      <c r="C87" s="810" t="str">
        <f>IF(OR($E$3="",$P$3=""),"",IF('Marks Entry'!C86="","",'Marks Entry'!C86))</f>
        <v/>
      </c>
      <c r="D87" s="802" t="str">
        <f>IF(OR($E$3="",$P$3=""),"",IF('Statement of Marks'!C86="","",'Statement of Marks'!C86))</f>
        <v/>
      </c>
      <c r="E87" s="803" t="str">
        <f>IF(OR($E$3="",$P$3=""),"",IF('Statement of Marks'!D86="","",'Statement of Marks'!D86))</f>
        <v/>
      </c>
      <c r="F87" s="804" t="str">
        <f>IF(OR($E$3="",$P$3=""),"",IF('Statement of Marks'!E86="","",'Statement of Marks'!E86))</f>
        <v/>
      </c>
      <c r="G87" s="804" t="str">
        <f>IF(OR($E$3="",$P$3=""),"",IF('Statement of Marks'!F86="","",'Statement of Marks'!F86))</f>
        <v/>
      </c>
      <c r="H87" s="804" t="str">
        <f>IF(OR($E$3="",$P$3=""),"",IF('Statement of Marks'!G86="","",'Statement of Marks'!G86))</f>
        <v/>
      </c>
      <c r="I87" s="805" t="str">
        <f>IF(OR($E$3="",$P$3=""),"",IF('Statement of Marks'!H86="","",'Statement of Marks'!H86))</f>
        <v/>
      </c>
      <c r="J87" s="805" t="str">
        <f>IF(OR($E$3="",$P$3=""),"",IF('Statement of Marks'!I86="","",'Statement of Marks'!I86))</f>
        <v/>
      </c>
      <c r="K87" s="805" t="str">
        <f>IFERROR(IF(B87="","",IF($P$3=$AT$10,IF(AND(BM87="A"),'Marks Entry'!$U$2,IF(AND(BM87="B"),'Marks Entry'!$Y$2,IF(AND(BM87="C"),'Marks Entry'!$AA$2,""))),IF($P$3=$AT$11,IF(AND(BN87="A"),'Marks Entry'!$AC$2,IF(AND(BN87="B"),'Marks Entry'!$AG$2,IF(AND(BN87="C"),'Marks Entry'!$AI$2,""))),IF($P$3=$AT$12,IF(AND(BO87="A"),'Marks Entry'!$AK$2,IF(AND(BO87="B"),'Marks Entry'!$AO$2,IF(AND(BO87="C"),'Marks Entry'!$AQ$2,""))),IF($P$3=$AT$13,IF(AND(BP87="A"),'Marks Entry'!$AS$2,IF(AND(BP87="B"),'Marks Entry'!$AW$2,IF(AND(BP87="C"),'Marks Entry'!$AY$2,""))),"-"))))),"")</f>
        <v/>
      </c>
      <c r="L87" s="806" t="str">
        <f>IFERROR(IF(B87="","",IF($P$3=$AT$8,'Statement of Marks'!J86,IF($P$3=$AT$9,'Statement of Marks'!X86,IF($P$3=$AT$10,'Statement of Marks'!AM86,IF($P$3=$AT$11,'Statement of Marks'!BJ86,IF($P$3=$AT$12,'Statement of Marks'!CG86,IF($P$3=$AT$13,'Statement of Marks'!DE86,IF($P$3=$AT$14,"",IF($P$3=$AT$15,'Statement of Marks'!EY86,""))))))))),"")</f>
        <v/>
      </c>
      <c r="M87" s="806" t="str">
        <f>IFERROR(IF(B87="","",IF($P$3=$AT$8,'Statement of Marks'!K86,IF($P$3=$AT$9,'Statement of Marks'!Y86,IF($P$3=$AT$10,'Statement of Marks'!AN86,IF($P$3=$AT$11,'Statement of Marks'!BK86,IF($P$3=$AT$12,'Statement of Marks'!CH86,IF($P$3=$AT$13,'Statement of Marks'!DF86,IF($P$3=$AT$14,"",IF($P$3=$AT$15,'Statement of Marks'!EZ86,""))))))))),"")</f>
        <v/>
      </c>
      <c r="N87" s="806" t="str">
        <f>IFERROR(IF(B87="","",IF($P$3=$AT$8,'Statement of Marks'!L86,IF($P$3=$AT$9,'Statement of Marks'!Z86,IF($P$3=$AT$10,'Statement of Marks'!AO86,IF($P$3=$AT$11,'Statement of Marks'!BL86,IF($P$3=$AT$12,'Statement of Marks'!CI86,IF($P$3=$AT$13,'Statement of Marks'!DG86,IF($P$3=$AT$14,"",IF($P$3=$AT$15,'Statement of Marks'!FA86,""))))))))),"")</f>
        <v/>
      </c>
      <c r="O87" s="807" t="str">
        <f t="shared" si="18"/>
        <v/>
      </c>
      <c r="P87" s="806" t="str">
        <f>IFERROR(IF(B87="","",IF($P$3=$AT$8,'Statement of Marks'!N86,IF($P$3=$AT$9,'Statement of Marks'!AB86,IF($P$3=$AT$10,'Statement of Marks'!AQ86,IF($P$3=$AT$11,'Statement of Marks'!BN86,IF($P$3=$AT$12,'Statement of Marks'!CK86,IF($P$3=$AT$13,'Statement of Marks'!DI86,IF($P$3=$AT$14,"",IF($P$3=$AT$15,'Statement of Marks'!FC86,""))))))))),"")</f>
        <v/>
      </c>
      <c r="Q87" s="806" t="str">
        <f>IFERROR(IF(B87="","",IF($P$3=$AT$8,"",IF($P$3=$AT$9,"",IF($P$3=$AT$10,'Statement of Marks'!AR86,IF($P$3=$AT$11,'Statement of Marks'!BO86,IF($P$3=$AT$12,'Statement of Marks'!CL86,IF($P$3=$AT$13,'Statement of Marks'!DJ86,IF($P$3=$AT$14,"",IF($P$3=$AT$15,"",""))))))))),"")</f>
        <v/>
      </c>
      <c r="R87" s="818" t="str">
        <f>IFERROR(IF(B87="","",IF(AND(P87="",Q87="",$P$3=""),"",IF($P$3=$AT$14,'Statement of Marks'!EC86,SUM(P87,Q87)))),"")</f>
        <v/>
      </c>
      <c r="S87" s="817" t="str">
        <f>IFERROR(IF(B87="","",IF($P$3=$AT$14,'Statement of Marks'!ED86,IF(AND(O87="NA",P87="NA",Q87="NA"),"NA",IF(AND(O87="",P87="",Q87=""),"",SUM(O87,P87,Q87))))),"")</f>
        <v/>
      </c>
      <c r="T87" s="806" t="str">
        <f>IFERROR(IF(B87="","",IF($P$3=$AT$8,'Statement of Marks'!P86,IF($P$3=$AT$9,'Statement of Marks'!AD86,IF($P$3=$AT$10,'Statement of Marks'!AU86,IF($P$3=$AT$11,'Statement of Marks'!BR86,IF($P$3=$AT$12,'Statement of Marks'!CO86,IF($P$3=$AT$13,'Statement of Marks'!DM86,IF($P$3=$AT$14,"",IF($P$3=$AT$15,'Statement of Marks'!FD86,""))))))))),"")</f>
        <v/>
      </c>
      <c r="U87" s="806" t="str">
        <f>IFERROR(IF(B87="","",IF($P$3=$AT$8,"",IF($P$3=$AT$9,"",IF($P$3=$AT$10,'Statement of Marks'!AV86,IF($P$3=$AT$11,'Statement of Marks'!BS86,IF($P$3=$AT$12,'Statement of Marks'!CP86,IF($P$3=$AT$13,'Statement of Marks'!DN86,IF($P$3=$AT$14,"",IF($P$3=$AT$15,"",""))))))))),"")</f>
        <v/>
      </c>
      <c r="V87" s="818" t="str">
        <f>IFERROR(IF(B87="","",IF(AND(T87="",U87="",$P$3=""),"",IF($P$3=$AT$14,'Statement of Marks'!EE86,SUM(T87,U87)))),"")</f>
        <v/>
      </c>
      <c r="W87" s="808" t="str">
        <f t="shared" si="19"/>
        <v/>
      </c>
      <c r="X87" s="809">
        <f t="shared" si="20"/>
        <v>0</v>
      </c>
      <c r="Y87" s="809">
        <f t="shared" si="21"/>
        <v>0</v>
      </c>
      <c r="Z87" s="809">
        <f t="shared" si="22"/>
        <v>0</v>
      </c>
      <c r="AA87" s="809" t="str">
        <f t="shared" si="23"/>
        <v/>
      </c>
      <c r="AB87" s="809" t="str">
        <f t="shared" si="24"/>
        <v/>
      </c>
      <c r="AC87" s="809" t="str">
        <f t="shared" si="25"/>
        <v/>
      </c>
      <c r="AD87" s="809" t="str">
        <f t="shared" si="26"/>
        <v/>
      </c>
      <c r="AE87" s="810" t="str">
        <f t="shared" si="27"/>
        <v/>
      </c>
      <c r="AF87" s="811" t="str">
        <f t="shared" si="28"/>
        <v/>
      </c>
      <c r="AG87" s="812" t="str">
        <f t="shared" si="29"/>
        <v/>
      </c>
      <c r="AW87" s="17" t="str">
        <f t="shared" si="30"/>
        <v/>
      </c>
      <c r="AX87" s="17" t="str">
        <f t="shared" si="31"/>
        <v/>
      </c>
      <c r="BM87" s="17" t="str">
        <f>IFERROR(VLOOKUP(B87,'Statement of Marks'!$B$8:'Statement of Marks'!$HI$207,37,0),"")</f>
        <v>A</v>
      </c>
      <c r="BN87" s="17" t="str">
        <f>IFERROR(VLOOKUP(B87,'Statement of Marks'!$B$8:'Statement of Marks'!$HI$207,60,0),"")</f>
        <v>A</v>
      </c>
      <c r="BO87" s="17" t="str">
        <f>IFERROR(VLOOKUP(B87,'Statement of Marks'!$B$8:'Statement of Marks'!$HI$207,83,0),"")</f>
        <v>A</v>
      </c>
      <c r="BP87" s="17" t="str">
        <f>IFERROR(VLOOKUP(B87,'Statement of Marks'!$B$8:'Statement of Marks'!$HI$207,107,0),"")</f>
        <v/>
      </c>
    </row>
    <row r="88" spans="1:68">
      <c r="A88" s="800">
        <f>IF('Statement of Marks'!A87="","",'Statement of Marks'!A87)</f>
        <v>80</v>
      </c>
      <c r="B88" s="801" t="str">
        <f>IF(OR($E$3="",$P$3=""),"",IF('Statement of Marks'!B87="","",'Statement of Marks'!B87))</f>
        <v/>
      </c>
      <c r="C88" s="810" t="str">
        <f>IF(OR($E$3="",$P$3=""),"",IF('Marks Entry'!C87="","",'Marks Entry'!C87))</f>
        <v/>
      </c>
      <c r="D88" s="802" t="str">
        <f>IF(OR($E$3="",$P$3=""),"",IF('Statement of Marks'!C87="","",'Statement of Marks'!C87))</f>
        <v/>
      </c>
      <c r="E88" s="803" t="str">
        <f>IF(OR($E$3="",$P$3=""),"",IF('Statement of Marks'!D87="","",'Statement of Marks'!D87))</f>
        <v/>
      </c>
      <c r="F88" s="804" t="str">
        <f>IF(OR($E$3="",$P$3=""),"",IF('Statement of Marks'!E87="","",'Statement of Marks'!E87))</f>
        <v/>
      </c>
      <c r="G88" s="804" t="str">
        <f>IF(OR($E$3="",$P$3=""),"",IF('Statement of Marks'!F87="","",'Statement of Marks'!F87))</f>
        <v/>
      </c>
      <c r="H88" s="804" t="str">
        <f>IF(OR($E$3="",$P$3=""),"",IF('Statement of Marks'!G87="","",'Statement of Marks'!G87))</f>
        <v/>
      </c>
      <c r="I88" s="805" t="str">
        <f>IF(OR($E$3="",$P$3=""),"",IF('Statement of Marks'!H87="","",'Statement of Marks'!H87))</f>
        <v/>
      </c>
      <c r="J88" s="805" t="str">
        <f>IF(OR($E$3="",$P$3=""),"",IF('Statement of Marks'!I87="","",'Statement of Marks'!I87))</f>
        <v/>
      </c>
      <c r="K88" s="805" t="str">
        <f>IFERROR(IF(B88="","",IF($P$3=$AT$10,IF(AND(BM88="A"),'Marks Entry'!$U$2,IF(AND(BM88="B"),'Marks Entry'!$Y$2,IF(AND(BM88="C"),'Marks Entry'!$AA$2,""))),IF($P$3=$AT$11,IF(AND(BN88="A"),'Marks Entry'!$AC$2,IF(AND(BN88="B"),'Marks Entry'!$AG$2,IF(AND(BN88="C"),'Marks Entry'!$AI$2,""))),IF($P$3=$AT$12,IF(AND(BO88="A"),'Marks Entry'!$AK$2,IF(AND(BO88="B"),'Marks Entry'!$AO$2,IF(AND(BO88="C"),'Marks Entry'!$AQ$2,""))),IF($P$3=$AT$13,IF(AND(BP88="A"),'Marks Entry'!$AS$2,IF(AND(BP88="B"),'Marks Entry'!$AW$2,IF(AND(BP88="C"),'Marks Entry'!$AY$2,""))),"-"))))),"")</f>
        <v/>
      </c>
      <c r="L88" s="806" t="str">
        <f>IFERROR(IF(B88="","",IF($P$3=$AT$8,'Statement of Marks'!J87,IF($P$3=$AT$9,'Statement of Marks'!X87,IF($P$3=$AT$10,'Statement of Marks'!AM87,IF($P$3=$AT$11,'Statement of Marks'!BJ87,IF($P$3=$AT$12,'Statement of Marks'!CG87,IF($P$3=$AT$13,'Statement of Marks'!DE87,IF($P$3=$AT$14,"",IF($P$3=$AT$15,'Statement of Marks'!EY87,""))))))))),"")</f>
        <v/>
      </c>
      <c r="M88" s="806" t="str">
        <f>IFERROR(IF(B88="","",IF($P$3=$AT$8,'Statement of Marks'!K87,IF($P$3=$AT$9,'Statement of Marks'!Y87,IF($P$3=$AT$10,'Statement of Marks'!AN87,IF($P$3=$AT$11,'Statement of Marks'!BK87,IF($P$3=$AT$12,'Statement of Marks'!CH87,IF($P$3=$AT$13,'Statement of Marks'!DF87,IF($P$3=$AT$14,"",IF($P$3=$AT$15,'Statement of Marks'!EZ87,""))))))))),"")</f>
        <v/>
      </c>
      <c r="N88" s="806" t="str">
        <f>IFERROR(IF(B88="","",IF($P$3=$AT$8,'Statement of Marks'!L87,IF($P$3=$AT$9,'Statement of Marks'!Z87,IF($P$3=$AT$10,'Statement of Marks'!AO87,IF($P$3=$AT$11,'Statement of Marks'!BL87,IF($P$3=$AT$12,'Statement of Marks'!CI87,IF($P$3=$AT$13,'Statement of Marks'!DG87,IF($P$3=$AT$14,"",IF($P$3=$AT$15,'Statement of Marks'!FA87,""))))))))),"")</f>
        <v/>
      </c>
      <c r="O88" s="807" t="str">
        <f t="shared" si="18"/>
        <v/>
      </c>
      <c r="P88" s="806" t="str">
        <f>IFERROR(IF(B88="","",IF($P$3=$AT$8,'Statement of Marks'!N87,IF($P$3=$AT$9,'Statement of Marks'!AB87,IF($P$3=$AT$10,'Statement of Marks'!AQ87,IF($P$3=$AT$11,'Statement of Marks'!BN87,IF($P$3=$AT$12,'Statement of Marks'!CK87,IF($P$3=$AT$13,'Statement of Marks'!DI87,IF($P$3=$AT$14,"",IF($P$3=$AT$15,'Statement of Marks'!FC87,""))))))))),"")</f>
        <v/>
      </c>
      <c r="Q88" s="806" t="str">
        <f>IFERROR(IF(B88="","",IF($P$3=$AT$8,"",IF($P$3=$AT$9,"",IF($P$3=$AT$10,'Statement of Marks'!AR87,IF($P$3=$AT$11,'Statement of Marks'!BO87,IF($P$3=$AT$12,'Statement of Marks'!CL87,IF($P$3=$AT$13,'Statement of Marks'!DJ87,IF($P$3=$AT$14,"",IF($P$3=$AT$15,"",""))))))))),"")</f>
        <v/>
      </c>
      <c r="R88" s="818" t="str">
        <f>IFERROR(IF(B88="","",IF(AND(P88="",Q88="",$P$3=""),"",IF($P$3=$AT$14,'Statement of Marks'!EC87,SUM(P88,Q88)))),"")</f>
        <v/>
      </c>
      <c r="S88" s="817" t="str">
        <f>IFERROR(IF(B88="","",IF($P$3=$AT$14,'Statement of Marks'!ED87,IF(AND(O88="NA",P88="NA",Q88="NA"),"NA",IF(AND(O88="",P88="",Q88=""),"",SUM(O88,P88,Q88))))),"")</f>
        <v/>
      </c>
      <c r="T88" s="806" t="str">
        <f>IFERROR(IF(B88="","",IF($P$3=$AT$8,'Statement of Marks'!P87,IF($P$3=$AT$9,'Statement of Marks'!AD87,IF($P$3=$AT$10,'Statement of Marks'!AU87,IF($P$3=$AT$11,'Statement of Marks'!BR87,IF($P$3=$AT$12,'Statement of Marks'!CO87,IF($P$3=$AT$13,'Statement of Marks'!DM87,IF($P$3=$AT$14,"",IF($P$3=$AT$15,'Statement of Marks'!FD87,""))))))))),"")</f>
        <v/>
      </c>
      <c r="U88" s="806" t="str">
        <f>IFERROR(IF(B88="","",IF($P$3=$AT$8,"",IF($P$3=$AT$9,"",IF($P$3=$AT$10,'Statement of Marks'!AV87,IF($P$3=$AT$11,'Statement of Marks'!BS87,IF($P$3=$AT$12,'Statement of Marks'!CP87,IF($P$3=$AT$13,'Statement of Marks'!DN87,IF($P$3=$AT$14,"",IF($P$3=$AT$15,"",""))))))))),"")</f>
        <v/>
      </c>
      <c r="V88" s="818" t="str">
        <f>IFERROR(IF(B88="","",IF(AND(T88="",U88="",$P$3=""),"",IF($P$3=$AT$14,'Statement of Marks'!EE87,SUM(T88,U88)))),"")</f>
        <v/>
      </c>
      <c r="W88" s="808" t="str">
        <f t="shared" si="19"/>
        <v/>
      </c>
      <c r="X88" s="809">
        <f t="shared" si="20"/>
        <v>0</v>
      </c>
      <c r="Y88" s="809">
        <f t="shared" si="21"/>
        <v>0</v>
      </c>
      <c r="Z88" s="809">
        <f t="shared" si="22"/>
        <v>0</v>
      </c>
      <c r="AA88" s="809" t="str">
        <f t="shared" si="23"/>
        <v/>
      </c>
      <c r="AB88" s="809" t="str">
        <f t="shared" si="24"/>
        <v/>
      </c>
      <c r="AC88" s="809" t="str">
        <f t="shared" si="25"/>
        <v/>
      </c>
      <c r="AD88" s="809" t="str">
        <f t="shared" si="26"/>
        <v/>
      </c>
      <c r="AE88" s="810" t="str">
        <f t="shared" si="27"/>
        <v/>
      </c>
      <c r="AF88" s="811" t="str">
        <f t="shared" si="28"/>
        <v/>
      </c>
      <c r="AG88" s="812" t="str">
        <f t="shared" si="29"/>
        <v/>
      </c>
      <c r="AW88" s="17" t="str">
        <f t="shared" si="30"/>
        <v/>
      </c>
      <c r="AX88" s="17" t="str">
        <f t="shared" si="31"/>
        <v/>
      </c>
      <c r="BM88" s="17" t="str">
        <f>IFERROR(VLOOKUP(B88,'Statement of Marks'!$B$8:'Statement of Marks'!$HI$207,37,0),"")</f>
        <v>A</v>
      </c>
      <c r="BN88" s="17" t="str">
        <f>IFERROR(VLOOKUP(B88,'Statement of Marks'!$B$8:'Statement of Marks'!$HI$207,60,0),"")</f>
        <v>A</v>
      </c>
      <c r="BO88" s="17" t="str">
        <f>IFERROR(VLOOKUP(B88,'Statement of Marks'!$B$8:'Statement of Marks'!$HI$207,83,0),"")</f>
        <v>A</v>
      </c>
      <c r="BP88" s="17" t="str">
        <f>IFERROR(VLOOKUP(B88,'Statement of Marks'!$B$8:'Statement of Marks'!$HI$207,107,0),"")</f>
        <v/>
      </c>
    </row>
    <row r="89" spans="1:68">
      <c r="A89" s="800">
        <f>IF('Statement of Marks'!A88="","",'Statement of Marks'!A88)</f>
        <v>81</v>
      </c>
      <c r="B89" s="801" t="str">
        <f>IF(OR($E$3="",$P$3=""),"",IF('Statement of Marks'!B88="","",'Statement of Marks'!B88))</f>
        <v/>
      </c>
      <c r="C89" s="810" t="str">
        <f>IF(OR($E$3="",$P$3=""),"",IF('Marks Entry'!C88="","",'Marks Entry'!C88))</f>
        <v/>
      </c>
      <c r="D89" s="802" t="str">
        <f>IF(OR($E$3="",$P$3=""),"",IF('Statement of Marks'!C88="","",'Statement of Marks'!C88))</f>
        <v/>
      </c>
      <c r="E89" s="803" t="str">
        <f>IF(OR($E$3="",$P$3=""),"",IF('Statement of Marks'!D88="","",'Statement of Marks'!D88))</f>
        <v/>
      </c>
      <c r="F89" s="804" t="str">
        <f>IF(OR($E$3="",$P$3=""),"",IF('Statement of Marks'!E88="","",'Statement of Marks'!E88))</f>
        <v/>
      </c>
      <c r="G89" s="804" t="str">
        <f>IF(OR($E$3="",$P$3=""),"",IF('Statement of Marks'!F88="","",'Statement of Marks'!F88))</f>
        <v/>
      </c>
      <c r="H89" s="804" t="str">
        <f>IF(OR($E$3="",$P$3=""),"",IF('Statement of Marks'!G88="","",'Statement of Marks'!G88))</f>
        <v/>
      </c>
      <c r="I89" s="805" t="str">
        <f>IF(OR($E$3="",$P$3=""),"",IF('Statement of Marks'!H88="","",'Statement of Marks'!H88))</f>
        <v/>
      </c>
      <c r="J89" s="805" t="str">
        <f>IF(OR($E$3="",$P$3=""),"",IF('Statement of Marks'!I88="","",'Statement of Marks'!I88))</f>
        <v/>
      </c>
      <c r="K89" s="805" t="str">
        <f>IFERROR(IF(B89="","",IF($P$3=$AT$10,IF(AND(BM89="A"),'Marks Entry'!$U$2,IF(AND(BM89="B"),'Marks Entry'!$Y$2,IF(AND(BM89="C"),'Marks Entry'!$AA$2,""))),IF($P$3=$AT$11,IF(AND(BN89="A"),'Marks Entry'!$AC$2,IF(AND(BN89="B"),'Marks Entry'!$AG$2,IF(AND(BN89="C"),'Marks Entry'!$AI$2,""))),IF($P$3=$AT$12,IF(AND(BO89="A"),'Marks Entry'!$AK$2,IF(AND(BO89="B"),'Marks Entry'!$AO$2,IF(AND(BO89="C"),'Marks Entry'!$AQ$2,""))),IF($P$3=$AT$13,IF(AND(BP89="A"),'Marks Entry'!$AS$2,IF(AND(BP89="B"),'Marks Entry'!$AW$2,IF(AND(BP89="C"),'Marks Entry'!$AY$2,""))),"-"))))),"")</f>
        <v/>
      </c>
      <c r="L89" s="806" t="str">
        <f>IFERROR(IF(B89="","",IF($P$3=$AT$8,'Statement of Marks'!J88,IF($P$3=$AT$9,'Statement of Marks'!X88,IF($P$3=$AT$10,'Statement of Marks'!AM88,IF($P$3=$AT$11,'Statement of Marks'!BJ88,IF($P$3=$AT$12,'Statement of Marks'!CG88,IF($P$3=$AT$13,'Statement of Marks'!DE88,IF($P$3=$AT$14,"",IF($P$3=$AT$15,'Statement of Marks'!EY88,""))))))))),"")</f>
        <v/>
      </c>
      <c r="M89" s="806" t="str">
        <f>IFERROR(IF(B89="","",IF($P$3=$AT$8,'Statement of Marks'!K88,IF($P$3=$AT$9,'Statement of Marks'!Y88,IF($P$3=$AT$10,'Statement of Marks'!AN88,IF($P$3=$AT$11,'Statement of Marks'!BK88,IF($P$3=$AT$12,'Statement of Marks'!CH88,IF($P$3=$AT$13,'Statement of Marks'!DF88,IF($P$3=$AT$14,"",IF($P$3=$AT$15,'Statement of Marks'!EZ88,""))))))))),"")</f>
        <v/>
      </c>
      <c r="N89" s="806" t="str">
        <f>IFERROR(IF(B89="","",IF($P$3=$AT$8,'Statement of Marks'!L88,IF($P$3=$AT$9,'Statement of Marks'!Z88,IF($P$3=$AT$10,'Statement of Marks'!AO88,IF($P$3=$AT$11,'Statement of Marks'!BL88,IF($P$3=$AT$12,'Statement of Marks'!CI88,IF($P$3=$AT$13,'Statement of Marks'!DG88,IF($P$3=$AT$14,"",IF($P$3=$AT$15,'Statement of Marks'!FA88,""))))))))),"")</f>
        <v/>
      </c>
      <c r="O89" s="807" t="str">
        <f t="shared" si="18"/>
        <v/>
      </c>
      <c r="P89" s="806" t="str">
        <f>IFERROR(IF(B89="","",IF($P$3=$AT$8,'Statement of Marks'!N88,IF($P$3=$AT$9,'Statement of Marks'!AB88,IF($P$3=$AT$10,'Statement of Marks'!AQ88,IF($P$3=$AT$11,'Statement of Marks'!BN88,IF($P$3=$AT$12,'Statement of Marks'!CK88,IF($P$3=$AT$13,'Statement of Marks'!DI88,IF($P$3=$AT$14,"",IF($P$3=$AT$15,'Statement of Marks'!FC88,""))))))))),"")</f>
        <v/>
      </c>
      <c r="Q89" s="806" t="str">
        <f>IFERROR(IF(B89="","",IF($P$3=$AT$8,"",IF($P$3=$AT$9,"",IF($P$3=$AT$10,'Statement of Marks'!AR88,IF($P$3=$AT$11,'Statement of Marks'!BO88,IF($P$3=$AT$12,'Statement of Marks'!CL88,IF($P$3=$AT$13,'Statement of Marks'!DJ88,IF($P$3=$AT$14,"",IF($P$3=$AT$15,"",""))))))))),"")</f>
        <v/>
      </c>
      <c r="R89" s="818" t="str">
        <f>IFERROR(IF(B89="","",IF(AND(P89="",Q89="",$P$3=""),"",IF($P$3=$AT$14,'Statement of Marks'!EC88,SUM(P89,Q89)))),"")</f>
        <v/>
      </c>
      <c r="S89" s="817" t="str">
        <f>IFERROR(IF(B89="","",IF($P$3=$AT$14,'Statement of Marks'!ED88,IF(AND(O89="NA",P89="NA",Q89="NA"),"NA",IF(AND(O89="",P89="",Q89=""),"",SUM(O89,P89,Q89))))),"")</f>
        <v/>
      </c>
      <c r="T89" s="806" t="str">
        <f>IFERROR(IF(B89="","",IF($P$3=$AT$8,'Statement of Marks'!P88,IF($P$3=$AT$9,'Statement of Marks'!AD88,IF($P$3=$AT$10,'Statement of Marks'!AU88,IF($P$3=$AT$11,'Statement of Marks'!BR88,IF($P$3=$AT$12,'Statement of Marks'!CO88,IF($P$3=$AT$13,'Statement of Marks'!DM88,IF($P$3=$AT$14,"",IF($P$3=$AT$15,'Statement of Marks'!FD88,""))))))))),"")</f>
        <v/>
      </c>
      <c r="U89" s="806" t="str">
        <f>IFERROR(IF(B89="","",IF($P$3=$AT$8,"",IF($P$3=$AT$9,"",IF($P$3=$AT$10,'Statement of Marks'!AV88,IF($P$3=$AT$11,'Statement of Marks'!BS88,IF($P$3=$AT$12,'Statement of Marks'!CP88,IF($P$3=$AT$13,'Statement of Marks'!DN88,IF($P$3=$AT$14,"",IF($P$3=$AT$15,"",""))))))))),"")</f>
        <v/>
      </c>
      <c r="V89" s="818" t="str">
        <f>IFERROR(IF(B89="","",IF(AND(T89="",U89="",$P$3=""),"",IF($P$3=$AT$14,'Statement of Marks'!EE88,SUM(T89,U89)))),"")</f>
        <v/>
      </c>
      <c r="W89" s="808" t="str">
        <f t="shared" si="19"/>
        <v/>
      </c>
      <c r="X89" s="809">
        <f t="shared" si="20"/>
        <v>0</v>
      </c>
      <c r="Y89" s="809">
        <f t="shared" si="21"/>
        <v>0</v>
      </c>
      <c r="Z89" s="809">
        <f t="shared" si="22"/>
        <v>0</v>
      </c>
      <c r="AA89" s="809" t="str">
        <f t="shared" si="23"/>
        <v/>
      </c>
      <c r="AB89" s="809" t="str">
        <f t="shared" si="24"/>
        <v/>
      </c>
      <c r="AC89" s="809" t="str">
        <f t="shared" si="25"/>
        <v/>
      </c>
      <c r="AD89" s="809" t="str">
        <f t="shared" si="26"/>
        <v/>
      </c>
      <c r="AE89" s="810" t="str">
        <f t="shared" si="27"/>
        <v/>
      </c>
      <c r="AF89" s="811" t="str">
        <f t="shared" si="28"/>
        <v/>
      </c>
      <c r="AG89" s="812" t="str">
        <f t="shared" si="29"/>
        <v/>
      </c>
      <c r="AW89" s="17" t="str">
        <f t="shared" si="30"/>
        <v/>
      </c>
      <c r="AX89" s="17" t="str">
        <f t="shared" si="31"/>
        <v/>
      </c>
      <c r="BM89" s="17" t="str">
        <f>IFERROR(VLOOKUP(B89,'Statement of Marks'!$B$8:'Statement of Marks'!$HI$207,37,0),"")</f>
        <v>A</v>
      </c>
      <c r="BN89" s="17" t="str">
        <f>IFERROR(VLOOKUP(B89,'Statement of Marks'!$B$8:'Statement of Marks'!$HI$207,60,0),"")</f>
        <v>A</v>
      </c>
      <c r="BO89" s="17" t="str">
        <f>IFERROR(VLOOKUP(B89,'Statement of Marks'!$B$8:'Statement of Marks'!$HI$207,83,0),"")</f>
        <v>A</v>
      </c>
      <c r="BP89" s="17" t="str">
        <f>IFERROR(VLOOKUP(B89,'Statement of Marks'!$B$8:'Statement of Marks'!$HI$207,107,0),"")</f>
        <v/>
      </c>
    </row>
    <row r="90" spans="1:68">
      <c r="A90" s="800">
        <f>IF('Statement of Marks'!A89="","",'Statement of Marks'!A89)</f>
        <v>82</v>
      </c>
      <c r="B90" s="801" t="str">
        <f>IF(OR($E$3="",$P$3=""),"",IF('Statement of Marks'!B89="","",'Statement of Marks'!B89))</f>
        <v/>
      </c>
      <c r="C90" s="810" t="str">
        <f>IF(OR($E$3="",$P$3=""),"",IF('Marks Entry'!C89="","",'Marks Entry'!C89))</f>
        <v/>
      </c>
      <c r="D90" s="802" t="str">
        <f>IF(OR($E$3="",$P$3=""),"",IF('Statement of Marks'!C89="","",'Statement of Marks'!C89))</f>
        <v/>
      </c>
      <c r="E90" s="803" t="str">
        <f>IF(OR($E$3="",$P$3=""),"",IF('Statement of Marks'!D89="","",'Statement of Marks'!D89))</f>
        <v/>
      </c>
      <c r="F90" s="804" t="str">
        <f>IF(OR($E$3="",$P$3=""),"",IF('Statement of Marks'!E89="","",'Statement of Marks'!E89))</f>
        <v/>
      </c>
      <c r="G90" s="804" t="str">
        <f>IF(OR($E$3="",$P$3=""),"",IF('Statement of Marks'!F89="","",'Statement of Marks'!F89))</f>
        <v/>
      </c>
      <c r="H90" s="804" t="str">
        <f>IF(OR($E$3="",$P$3=""),"",IF('Statement of Marks'!G89="","",'Statement of Marks'!G89))</f>
        <v/>
      </c>
      <c r="I90" s="805" t="str">
        <f>IF(OR($E$3="",$P$3=""),"",IF('Statement of Marks'!H89="","",'Statement of Marks'!H89))</f>
        <v/>
      </c>
      <c r="J90" s="805" t="str">
        <f>IF(OR($E$3="",$P$3=""),"",IF('Statement of Marks'!I89="","",'Statement of Marks'!I89))</f>
        <v/>
      </c>
      <c r="K90" s="805" t="str">
        <f>IFERROR(IF(B90="","",IF($P$3=$AT$10,IF(AND(BM90="A"),'Marks Entry'!$U$2,IF(AND(BM90="B"),'Marks Entry'!$Y$2,IF(AND(BM90="C"),'Marks Entry'!$AA$2,""))),IF($P$3=$AT$11,IF(AND(BN90="A"),'Marks Entry'!$AC$2,IF(AND(BN90="B"),'Marks Entry'!$AG$2,IF(AND(BN90="C"),'Marks Entry'!$AI$2,""))),IF($P$3=$AT$12,IF(AND(BO90="A"),'Marks Entry'!$AK$2,IF(AND(BO90="B"),'Marks Entry'!$AO$2,IF(AND(BO90="C"),'Marks Entry'!$AQ$2,""))),IF($P$3=$AT$13,IF(AND(BP90="A"),'Marks Entry'!$AS$2,IF(AND(BP90="B"),'Marks Entry'!$AW$2,IF(AND(BP90="C"),'Marks Entry'!$AY$2,""))),"-"))))),"")</f>
        <v/>
      </c>
      <c r="L90" s="806" t="str">
        <f>IFERROR(IF(B90="","",IF($P$3=$AT$8,'Statement of Marks'!J89,IF($P$3=$AT$9,'Statement of Marks'!X89,IF($P$3=$AT$10,'Statement of Marks'!AM89,IF($P$3=$AT$11,'Statement of Marks'!BJ89,IF($P$3=$AT$12,'Statement of Marks'!CG89,IF($P$3=$AT$13,'Statement of Marks'!DE89,IF($P$3=$AT$14,"",IF($P$3=$AT$15,'Statement of Marks'!EY89,""))))))))),"")</f>
        <v/>
      </c>
      <c r="M90" s="806" t="str">
        <f>IFERROR(IF(B90="","",IF($P$3=$AT$8,'Statement of Marks'!K89,IF($P$3=$AT$9,'Statement of Marks'!Y89,IF($P$3=$AT$10,'Statement of Marks'!AN89,IF($P$3=$AT$11,'Statement of Marks'!BK89,IF($P$3=$AT$12,'Statement of Marks'!CH89,IF($P$3=$AT$13,'Statement of Marks'!DF89,IF($P$3=$AT$14,"",IF($P$3=$AT$15,'Statement of Marks'!EZ89,""))))))))),"")</f>
        <v/>
      </c>
      <c r="N90" s="806" t="str">
        <f>IFERROR(IF(B90="","",IF($P$3=$AT$8,'Statement of Marks'!L89,IF($P$3=$AT$9,'Statement of Marks'!Z89,IF($P$3=$AT$10,'Statement of Marks'!AO89,IF($P$3=$AT$11,'Statement of Marks'!BL89,IF($P$3=$AT$12,'Statement of Marks'!CI89,IF($P$3=$AT$13,'Statement of Marks'!DG89,IF($P$3=$AT$14,"",IF($P$3=$AT$15,'Statement of Marks'!FA89,""))))))))),"")</f>
        <v/>
      </c>
      <c r="O90" s="807" t="str">
        <f t="shared" si="18"/>
        <v/>
      </c>
      <c r="P90" s="806" t="str">
        <f>IFERROR(IF(B90="","",IF($P$3=$AT$8,'Statement of Marks'!N89,IF($P$3=$AT$9,'Statement of Marks'!AB89,IF($P$3=$AT$10,'Statement of Marks'!AQ89,IF($P$3=$AT$11,'Statement of Marks'!BN89,IF($P$3=$AT$12,'Statement of Marks'!CK89,IF($P$3=$AT$13,'Statement of Marks'!DI89,IF($P$3=$AT$14,"",IF($P$3=$AT$15,'Statement of Marks'!FC89,""))))))))),"")</f>
        <v/>
      </c>
      <c r="Q90" s="806" t="str">
        <f>IFERROR(IF(B90="","",IF($P$3=$AT$8,"",IF($P$3=$AT$9,"",IF($P$3=$AT$10,'Statement of Marks'!AR89,IF($P$3=$AT$11,'Statement of Marks'!BO89,IF($P$3=$AT$12,'Statement of Marks'!CL89,IF($P$3=$AT$13,'Statement of Marks'!DJ89,IF($P$3=$AT$14,"",IF($P$3=$AT$15,"",""))))))))),"")</f>
        <v/>
      </c>
      <c r="R90" s="818" t="str">
        <f>IFERROR(IF(B90="","",IF(AND(P90="",Q90="",$P$3=""),"",IF($P$3=$AT$14,'Statement of Marks'!EC89,SUM(P90,Q90)))),"")</f>
        <v/>
      </c>
      <c r="S90" s="817" t="str">
        <f>IFERROR(IF(B90="","",IF($P$3=$AT$14,'Statement of Marks'!ED89,IF(AND(O90="NA",P90="NA",Q90="NA"),"NA",IF(AND(O90="",P90="",Q90=""),"",SUM(O90,P90,Q90))))),"")</f>
        <v/>
      </c>
      <c r="T90" s="806" t="str">
        <f>IFERROR(IF(B90="","",IF($P$3=$AT$8,'Statement of Marks'!P89,IF($P$3=$AT$9,'Statement of Marks'!AD89,IF($P$3=$AT$10,'Statement of Marks'!AU89,IF($P$3=$AT$11,'Statement of Marks'!BR89,IF($P$3=$AT$12,'Statement of Marks'!CO89,IF($P$3=$AT$13,'Statement of Marks'!DM89,IF($P$3=$AT$14,"",IF($P$3=$AT$15,'Statement of Marks'!FD89,""))))))))),"")</f>
        <v/>
      </c>
      <c r="U90" s="806" t="str">
        <f>IFERROR(IF(B90="","",IF($P$3=$AT$8,"",IF($P$3=$AT$9,"",IF($P$3=$AT$10,'Statement of Marks'!AV89,IF($P$3=$AT$11,'Statement of Marks'!BS89,IF($P$3=$AT$12,'Statement of Marks'!CP89,IF($P$3=$AT$13,'Statement of Marks'!DN89,IF($P$3=$AT$14,"",IF($P$3=$AT$15,"",""))))))))),"")</f>
        <v/>
      </c>
      <c r="V90" s="818" t="str">
        <f>IFERROR(IF(B90="","",IF(AND(T90="",U90="",$P$3=""),"",IF($P$3=$AT$14,'Statement of Marks'!EE89,SUM(T90,U90)))),"")</f>
        <v/>
      </c>
      <c r="W90" s="808" t="str">
        <f t="shared" si="19"/>
        <v/>
      </c>
      <c r="X90" s="809">
        <f t="shared" si="20"/>
        <v>0</v>
      </c>
      <c r="Y90" s="809">
        <f t="shared" si="21"/>
        <v>0</v>
      </c>
      <c r="Z90" s="809">
        <f t="shared" si="22"/>
        <v>0</v>
      </c>
      <c r="AA90" s="809" t="str">
        <f t="shared" si="23"/>
        <v/>
      </c>
      <c r="AB90" s="809" t="str">
        <f t="shared" si="24"/>
        <v/>
      </c>
      <c r="AC90" s="809" t="str">
        <f t="shared" si="25"/>
        <v/>
      </c>
      <c r="AD90" s="809" t="str">
        <f t="shared" si="26"/>
        <v/>
      </c>
      <c r="AE90" s="810" t="str">
        <f t="shared" si="27"/>
        <v/>
      </c>
      <c r="AF90" s="811" t="str">
        <f t="shared" si="28"/>
        <v/>
      </c>
      <c r="AG90" s="812" t="str">
        <f t="shared" si="29"/>
        <v/>
      </c>
      <c r="AW90" s="17" t="str">
        <f t="shared" si="30"/>
        <v/>
      </c>
      <c r="AX90" s="17" t="str">
        <f t="shared" si="31"/>
        <v/>
      </c>
      <c r="BM90" s="17" t="str">
        <f>IFERROR(VLOOKUP(B90,'Statement of Marks'!$B$8:'Statement of Marks'!$HI$207,37,0),"")</f>
        <v>A</v>
      </c>
      <c r="BN90" s="17" t="str">
        <f>IFERROR(VLOOKUP(B90,'Statement of Marks'!$B$8:'Statement of Marks'!$HI$207,60,0),"")</f>
        <v>A</v>
      </c>
      <c r="BO90" s="17" t="str">
        <f>IFERROR(VLOOKUP(B90,'Statement of Marks'!$B$8:'Statement of Marks'!$HI$207,83,0),"")</f>
        <v>A</v>
      </c>
      <c r="BP90" s="17" t="str">
        <f>IFERROR(VLOOKUP(B90,'Statement of Marks'!$B$8:'Statement of Marks'!$HI$207,107,0),"")</f>
        <v/>
      </c>
    </row>
    <row r="91" spans="1:68">
      <c r="A91" s="800">
        <f>IF('Statement of Marks'!A90="","",'Statement of Marks'!A90)</f>
        <v>83</v>
      </c>
      <c r="B91" s="801" t="str">
        <f>IF(OR($E$3="",$P$3=""),"",IF('Statement of Marks'!B90="","",'Statement of Marks'!B90))</f>
        <v/>
      </c>
      <c r="C91" s="810" t="str">
        <f>IF(OR($E$3="",$P$3=""),"",IF('Marks Entry'!C90="","",'Marks Entry'!C90))</f>
        <v/>
      </c>
      <c r="D91" s="802" t="str">
        <f>IF(OR($E$3="",$P$3=""),"",IF('Statement of Marks'!C90="","",'Statement of Marks'!C90))</f>
        <v/>
      </c>
      <c r="E91" s="803" t="str">
        <f>IF(OR($E$3="",$P$3=""),"",IF('Statement of Marks'!D90="","",'Statement of Marks'!D90))</f>
        <v/>
      </c>
      <c r="F91" s="804" t="str">
        <f>IF(OR($E$3="",$P$3=""),"",IF('Statement of Marks'!E90="","",'Statement of Marks'!E90))</f>
        <v/>
      </c>
      <c r="G91" s="804" t="str">
        <f>IF(OR($E$3="",$P$3=""),"",IF('Statement of Marks'!F90="","",'Statement of Marks'!F90))</f>
        <v/>
      </c>
      <c r="H91" s="804" t="str">
        <f>IF(OR($E$3="",$P$3=""),"",IF('Statement of Marks'!G90="","",'Statement of Marks'!G90))</f>
        <v/>
      </c>
      <c r="I91" s="805" t="str">
        <f>IF(OR($E$3="",$P$3=""),"",IF('Statement of Marks'!H90="","",'Statement of Marks'!H90))</f>
        <v/>
      </c>
      <c r="J91" s="805" t="str">
        <f>IF(OR($E$3="",$P$3=""),"",IF('Statement of Marks'!I90="","",'Statement of Marks'!I90))</f>
        <v/>
      </c>
      <c r="K91" s="805" t="str">
        <f>IFERROR(IF(B91="","",IF($P$3=$AT$10,IF(AND(BM91="A"),'Marks Entry'!$U$2,IF(AND(BM91="B"),'Marks Entry'!$Y$2,IF(AND(BM91="C"),'Marks Entry'!$AA$2,""))),IF($P$3=$AT$11,IF(AND(BN91="A"),'Marks Entry'!$AC$2,IF(AND(BN91="B"),'Marks Entry'!$AG$2,IF(AND(BN91="C"),'Marks Entry'!$AI$2,""))),IF($P$3=$AT$12,IF(AND(BO91="A"),'Marks Entry'!$AK$2,IF(AND(BO91="B"),'Marks Entry'!$AO$2,IF(AND(BO91="C"),'Marks Entry'!$AQ$2,""))),IF($P$3=$AT$13,IF(AND(BP91="A"),'Marks Entry'!$AS$2,IF(AND(BP91="B"),'Marks Entry'!$AW$2,IF(AND(BP91="C"),'Marks Entry'!$AY$2,""))),"-"))))),"")</f>
        <v/>
      </c>
      <c r="L91" s="806" t="str">
        <f>IFERROR(IF(B91="","",IF($P$3=$AT$8,'Statement of Marks'!J90,IF($P$3=$AT$9,'Statement of Marks'!X90,IF($P$3=$AT$10,'Statement of Marks'!AM90,IF($P$3=$AT$11,'Statement of Marks'!BJ90,IF($P$3=$AT$12,'Statement of Marks'!CG90,IF($P$3=$AT$13,'Statement of Marks'!DE90,IF($P$3=$AT$14,"",IF($P$3=$AT$15,'Statement of Marks'!EY90,""))))))))),"")</f>
        <v/>
      </c>
      <c r="M91" s="806" t="str">
        <f>IFERROR(IF(B91="","",IF($P$3=$AT$8,'Statement of Marks'!K90,IF($P$3=$AT$9,'Statement of Marks'!Y90,IF($P$3=$AT$10,'Statement of Marks'!AN90,IF($P$3=$AT$11,'Statement of Marks'!BK90,IF($P$3=$AT$12,'Statement of Marks'!CH90,IF($P$3=$AT$13,'Statement of Marks'!DF90,IF($P$3=$AT$14,"",IF($P$3=$AT$15,'Statement of Marks'!EZ90,""))))))))),"")</f>
        <v/>
      </c>
      <c r="N91" s="806" t="str">
        <f>IFERROR(IF(B91="","",IF($P$3=$AT$8,'Statement of Marks'!L90,IF($P$3=$AT$9,'Statement of Marks'!Z90,IF($P$3=$AT$10,'Statement of Marks'!AO90,IF($P$3=$AT$11,'Statement of Marks'!BL90,IF($P$3=$AT$12,'Statement of Marks'!CI90,IF($P$3=$AT$13,'Statement of Marks'!DG90,IF($P$3=$AT$14,"",IF($P$3=$AT$15,'Statement of Marks'!FA90,""))))))))),"")</f>
        <v/>
      </c>
      <c r="O91" s="807" t="str">
        <f t="shared" si="18"/>
        <v/>
      </c>
      <c r="P91" s="806" t="str">
        <f>IFERROR(IF(B91="","",IF($P$3=$AT$8,'Statement of Marks'!N90,IF($P$3=$AT$9,'Statement of Marks'!AB90,IF($P$3=$AT$10,'Statement of Marks'!AQ90,IF($P$3=$AT$11,'Statement of Marks'!BN90,IF($P$3=$AT$12,'Statement of Marks'!CK90,IF($P$3=$AT$13,'Statement of Marks'!DI90,IF($P$3=$AT$14,"",IF($P$3=$AT$15,'Statement of Marks'!FC90,""))))))))),"")</f>
        <v/>
      </c>
      <c r="Q91" s="806" t="str">
        <f>IFERROR(IF(B91="","",IF($P$3=$AT$8,"",IF($P$3=$AT$9,"",IF($P$3=$AT$10,'Statement of Marks'!AR90,IF($P$3=$AT$11,'Statement of Marks'!BO90,IF($P$3=$AT$12,'Statement of Marks'!CL90,IF($P$3=$AT$13,'Statement of Marks'!DJ90,IF($P$3=$AT$14,"",IF($P$3=$AT$15,"",""))))))))),"")</f>
        <v/>
      </c>
      <c r="R91" s="818" t="str">
        <f>IFERROR(IF(B91="","",IF(AND(P91="",Q91="",$P$3=""),"",IF($P$3=$AT$14,'Statement of Marks'!EC90,SUM(P91,Q91)))),"")</f>
        <v/>
      </c>
      <c r="S91" s="817" t="str">
        <f>IFERROR(IF(B91="","",IF($P$3=$AT$14,'Statement of Marks'!ED90,IF(AND(O91="NA",P91="NA",Q91="NA"),"NA",IF(AND(O91="",P91="",Q91=""),"",SUM(O91,P91,Q91))))),"")</f>
        <v/>
      </c>
      <c r="T91" s="806" t="str">
        <f>IFERROR(IF(B91="","",IF($P$3=$AT$8,'Statement of Marks'!P90,IF($P$3=$AT$9,'Statement of Marks'!AD90,IF($P$3=$AT$10,'Statement of Marks'!AU90,IF($P$3=$AT$11,'Statement of Marks'!BR90,IF($P$3=$AT$12,'Statement of Marks'!CO90,IF($P$3=$AT$13,'Statement of Marks'!DM90,IF($P$3=$AT$14,"",IF($P$3=$AT$15,'Statement of Marks'!FD90,""))))))))),"")</f>
        <v/>
      </c>
      <c r="U91" s="806" t="str">
        <f>IFERROR(IF(B91="","",IF($P$3=$AT$8,"",IF($P$3=$AT$9,"",IF($P$3=$AT$10,'Statement of Marks'!AV90,IF($P$3=$AT$11,'Statement of Marks'!BS90,IF($P$3=$AT$12,'Statement of Marks'!CP90,IF($P$3=$AT$13,'Statement of Marks'!DN90,IF($P$3=$AT$14,"",IF($P$3=$AT$15,"",""))))))))),"")</f>
        <v/>
      </c>
      <c r="V91" s="818" t="str">
        <f>IFERROR(IF(B91="","",IF(AND(T91="",U91="",$P$3=""),"",IF($P$3=$AT$14,'Statement of Marks'!EE90,SUM(T91,U91)))),"")</f>
        <v/>
      </c>
      <c r="W91" s="808" t="str">
        <f t="shared" si="19"/>
        <v/>
      </c>
      <c r="X91" s="809">
        <f t="shared" si="20"/>
        <v>0</v>
      </c>
      <c r="Y91" s="809">
        <f t="shared" si="21"/>
        <v>0</v>
      </c>
      <c r="Z91" s="809">
        <f t="shared" si="22"/>
        <v>0</v>
      </c>
      <c r="AA91" s="809" t="str">
        <f t="shared" si="23"/>
        <v/>
      </c>
      <c r="AB91" s="809" t="str">
        <f t="shared" si="24"/>
        <v/>
      </c>
      <c r="AC91" s="809" t="str">
        <f t="shared" si="25"/>
        <v/>
      </c>
      <c r="AD91" s="809" t="str">
        <f t="shared" si="26"/>
        <v/>
      </c>
      <c r="AE91" s="810" t="str">
        <f t="shared" si="27"/>
        <v/>
      </c>
      <c r="AF91" s="811" t="str">
        <f t="shared" si="28"/>
        <v/>
      </c>
      <c r="AG91" s="812" t="str">
        <f t="shared" si="29"/>
        <v/>
      </c>
      <c r="AW91" s="17" t="str">
        <f t="shared" si="30"/>
        <v/>
      </c>
      <c r="AX91" s="17" t="str">
        <f t="shared" si="31"/>
        <v/>
      </c>
      <c r="BM91" s="17" t="str">
        <f>IFERROR(VLOOKUP(B91,'Statement of Marks'!$B$8:'Statement of Marks'!$HI$207,37,0),"")</f>
        <v>A</v>
      </c>
      <c r="BN91" s="17" t="str">
        <f>IFERROR(VLOOKUP(B91,'Statement of Marks'!$B$8:'Statement of Marks'!$HI$207,60,0),"")</f>
        <v>A</v>
      </c>
      <c r="BO91" s="17" t="str">
        <f>IFERROR(VLOOKUP(B91,'Statement of Marks'!$B$8:'Statement of Marks'!$HI$207,83,0),"")</f>
        <v>A</v>
      </c>
      <c r="BP91" s="17" t="str">
        <f>IFERROR(VLOOKUP(B91,'Statement of Marks'!$B$8:'Statement of Marks'!$HI$207,107,0),"")</f>
        <v/>
      </c>
    </row>
    <row r="92" spans="1:68">
      <c r="A92" s="800">
        <f>IF('Statement of Marks'!A91="","",'Statement of Marks'!A91)</f>
        <v>84</v>
      </c>
      <c r="B92" s="801" t="str">
        <f>IF(OR($E$3="",$P$3=""),"",IF('Statement of Marks'!B91="","",'Statement of Marks'!B91))</f>
        <v/>
      </c>
      <c r="C92" s="810" t="str">
        <f>IF(OR($E$3="",$P$3=""),"",IF('Marks Entry'!C91="","",'Marks Entry'!C91))</f>
        <v/>
      </c>
      <c r="D92" s="802" t="str">
        <f>IF(OR($E$3="",$P$3=""),"",IF('Statement of Marks'!C91="","",'Statement of Marks'!C91))</f>
        <v/>
      </c>
      <c r="E92" s="803" t="str">
        <f>IF(OR($E$3="",$P$3=""),"",IF('Statement of Marks'!D91="","",'Statement of Marks'!D91))</f>
        <v/>
      </c>
      <c r="F92" s="804" t="str">
        <f>IF(OR($E$3="",$P$3=""),"",IF('Statement of Marks'!E91="","",'Statement of Marks'!E91))</f>
        <v/>
      </c>
      <c r="G92" s="804" t="str">
        <f>IF(OR($E$3="",$P$3=""),"",IF('Statement of Marks'!F91="","",'Statement of Marks'!F91))</f>
        <v/>
      </c>
      <c r="H92" s="804" t="str">
        <f>IF(OR($E$3="",$P$3=""),"",IF('Statement of Marks'!G91="","",'Statement of Marks'!G91))</f>
        <v/>
      </c>
      <c r="I92" s="805" t="str">
        <f>IF(OR($E$3="",$P$3=""),"",IF('Statement of Marks'!H91="","",'Statement of Marks'!H91))</f>
        <v/>
      </c>
      <c r="J92" s="805" t="str">
        <f>IF(OR($E$3="",$P$3=""),"",IF('Statement of Marks'!I91="","",'Statement of Marks'!I91))</f>
        <v/>
      </c>
      <c r="K92" s="805" t="str">
        <f>IFERROR(IF(B92="","",IF($P$3=$AT$10,IF(AND(BM92="A"),'Marks Entry'!$U$2,IF(AND(BM92="B"),'Marks Entry'!$Y$2,IF(AND(BM92="C"),'Marks Entry'!$AA$2,""))),IF($P$3=$AT$11,IF(AND(BN92="A"),'Marks Entry'!$AC$2,IF(AND(BN92="B"),'Marks Entry'!$AG$2,IF(AND(BN92="C"),'Marks Entry'!$AI$2,""))),IF($P$3=$AT$12,IF(AND(BO92="A"),'Marks Entry'!$AK$2,IF(AND(BO92="B"),'Marks Entry'!$AO$2,IF(AND(BO92="C"),'Marks Entry'!$AQ$2,""))),IF($P$3=$AT$13,IF(AND(BP92="A"),'Marks Entry'!$AS$2,IF(AND(BP92="B"),'Marks Entry'!$AW$2,IF(AND(BP92="C"),'Marks Entry'!$AY$2,""))),"-"))))),"")</f>
        <v/>
      </c>
      <c r="L92" s="806" t="str">
        <f>IFERROR(IF(B92="","",IF($P$3=$AT$8,'Statement of Marks'!J91,IF($P$3=$AT$9,'Statement of Marks'!X91,IF($P$3=$AT$10,'Statement of Marks'!AM91,IF($P$3=$AT$11,'Statement of Marks'!BJ91,IF($P$3=$AT$12,'Statement of Marks'!CG91,IF($P$3=$AT$13,'Statement of Marks'!DE91,IF($P$3=$AT$14,"",IF($P$3=$AT$15,'Statement of Marks'!EY91,""))))))))),"")</f>
        <v/>
      </c>
      <c r="M92" s="806" t="str">
        <f>IFERROR(IF(B92="","",IF($P$3=$AT$8,'Statement of Marks'!K91,IF($P$3=$AT$9,'Statement of Marks'!Y91,IF($P$3=$AT$10,'Statement of Marks'!AN91,IF($P$3=$AT$11,'Statement of Marks'!BK91,IF($P$3=$AT$12,'Statement of Marks'!CH91,IF($P$3=$AT$13,'Statement of Marks'!DF91,IF($P$3=$AT$14,"",IF($P$3=$AT$15,'Statement of Marks'!EZ91,""))))))))),"")</f>
        <v/>
      </c>
      <c r="N92" s="806" t="str">
        <f>IFERROR(IF(B92="","",IF($P$3=$AT$8,'Statement of Marks'!L91,IF($P$3=$AT$9,'Statement of Marks'!Z91,IF($P$3=$AT$10,'Statement of Marks'!AO91,IF($P$3=$AT$11,'Statement of Marks'!BL91,IF($P$3=$AT$12,'Statement of Marks'!CI91,IF($P$3=$AT$13,'Statement of Marks'!DG91,IF($P$3=$AT$14,"",IF($P$3=$AT$15,'Statement of Marks'!FA91,""))))))))),"")</f>
        <v/>
      </c>
      <c r="O92" s="807" t="str">
        <f t="shared" si="18"/>
        <v/>
      </c>
      <c r="P92" s="806" t="str">
        <f>IFERROR(IF(B92="","",IF($P$3=$AT$8,'Statement of Marks'!N91,IF($P$3=$AT$9,'Statement of Marks'!AB91,IF($P$3=$AT$10,'Statement of Marks'!AQ91,IF($P$3=$AT$11,'Statement of Marks'!BN91,IF($P$3=$AT$12,'Statement of Marks'!CK91,IF($P$3=$AT$13,'Statement of Marks'!DI91,IF($P$3=$AT$14,"",IF($P$3=$AT$15,'Statement of Marks'!FC91,""))))))))),"")</f>
        <v/>
      </c>
      <c r="Q92" s="806" t="str">
        <f>IFERROR(IF(B92="","",IF($P$3=$AT$8,"",IF($P$3=$AT$9,"",IF($P$3=$AT$10,'Statement of Marks'!AR91,IF($P$3=$AT$11,'Statement of Marks'!BO91,IF($P$3=$AT$12,'Statement of Marks'!CL91,IF($P$3=$AT$13,'Statement of Marks'!DJ91,IF($P$3=$AT$14,"",IF($P$3=$AT$15,"",""))))))))),"")</f>
        <v/>
      </c>
      <c r="R92" s="818" t="str">
        <f>IFERROR(IF(B92="","",IF(AND(P92="",Q92="",$P$3=""),"",IF($P$3=$AT$14,'Statement of Marks'!EC91,SUM(P92,Q92)))),"")</f>
        <v/>
      </c>
      <c r="S92" s="817" t="str">
        <f>IFERROR(IF(B92="","",IF($P$3=$AT$14,'Statement of Marks'!ED91,IF(AND(O92="NA",P92="NA",Q92="NA"),"NA",IF(AND(O92="",P92="",Q92=""),"",SUM(O92,P92,Q92))))),"")</f>
        <v/>
      </c>
      <c r="T92" s="806" t="str">
        <f>IFERROR(IF(B92="","",IF($P$3=$AT$8,'Statement of Marks'!P91,IF($P$3=$AT$9,'Statement of Marks'!AD91,IF($P$3=$AT$10,'Statement of Marks'!AU91,IF($P$3=$AT$11,'Statement of Marks'!BR91,IF($P$3=$AT$12,'Statement of Marks'!CO91,IF($P$3=$AT$13,'Statement of Marks'!DM91,IF($P$3=$AT$14,"",IF($P$3=$AT$15,'Statement of Marks'!FD91,""))))))))),"")</f>
        <v/>
      </c>
      <c r="U92" s="806" t="str">
        <f>IFERROR(IF(B92="","",IF($P$3=$AT$8,"",IF($P$3=$AT$9,"",IF($P$3=$AT$10,'Statement of Marks'!AV91,IF($P$3=$AT$11,'Statement of Marks'!BS91,IF($P$3=$AT$12,'Statement of Marks'!CP91,IF($P$3=$AT$13,'Statement of Marks'!DN91,IF($P$3=$AT$14,"",IF($P$3=$AT$15,"",""))))))))),"")</f>
        <v/>
      </c>
      <c r="V92" s="818" t="str">
        <f>IFERROR(IF(B92="","",IF(AND(T92="",U92="",$P$3=""),"",IF($P$3=$AT$14,'Statement of Marks'!EE91,SUM(T92,U92)))),"")</f>
        <v/>
      </c>
      <c r="W92" s="808" t="str">
        <f t="shared" si="19"/>
        <v/>
      </c>
      <c r="X92" s="809">
        <f t="shared" si="20"/>
        <v>0</v>
      </c>
      <c r="Y92" s="809">
        <f t="shared" si="21"/>
        <v>0</v>
      </c>
      <c r="Z92" s="809">
        <f t="shared" si="22"/>
        <v>0</v>
      </c>
      <c r="AA92" s="809" t="str">
        <f t="shared" si="23"/>
        <v/>
      </c>
      <c r="AB92" s="809" t="str">
        <f t="shared" si="24"/>
        <v/>
      </c>
      <c r="AC92" s="809" t="str">
        <f t="shared" si="25"/>
        <v/>
      </c>
      <c r="AD92" s="809" t="str">
        <f t="shared" si="26"/>
        <v/>
      </c>
      <c r="AE92" s="810" t="str">
        <f t="shared" si="27"/>
        <v/>
      </c>
      <c r="AF92" s="811" t="str">
        <f t="shared" si="28"/>
        <v/>
      </c>
      <c r="AG92" s="812" t="str">
        <f t="shared" si="29"/>
        <v/>
      </c>
      <c r="AW92" s="17" t="str">
        <f t="shared" si="30"/>
        <v/>
      </c>
      <c r="AX92" s="17" t="str">
        <f t="shared" si="31"/>
        <v/>
      </c>
      <c r="BM92" s="17" t="str">
        <f>IFERROR(VLOOKUP(B92,'Statement of Marks'!$B$8:'Statement of Marks'!$HI$207,37,0),"")</f>
        <v>A</v>
      </c>
      <c r="BN92" s="17" t="str">
        <f>IFERROR(VLOOKUP(B92,'Statement of Marks'!$B$8:'Statement of Marks'!$HI$207,60,0),"")</f>
        <v>A</v>
      </c>
      <c r="BO92" s="17" t="str">
        <f>IFERROR(VLOOKUP(B92,'Statement of Marks'!$B$8:'Statement of Marks'!$HI$207,83,0),"")</f>
        <v>A</v>
      </c>
      <c r="BP92" s="17" t="str">
        <f>IFERROR(VLOOKUP(B92,'Statement of Marks'!$B$8:'Statement of Marks'!$HI$207,107,0),"")</f>
        <v/>
      </c>
    </row>
    <row r="93" spans="1:68">
      <c r="A93" s="800">
        <f>IF('Statement of Marks'!A92="","",'Statement of Marks'!A92)</f>
        <v>85</v>
      </c>
      <c r="B93" s="801" t="str">
        <f>IF(OR($E$3="",$P$3=""),"",IF('Statement of Marks'!B92="","",'Statement of Marks'!B92))</f>
        <v/>
      </c>
      <c r="C93" s="810" t="str">
        <f>IF(OR($E$3="",$P$3=""),"",IF('Marks Entry'!C92="","",'Marks Entry'!C92))</f>
        <v/>
      </c>
      <c r="D93" s="802" t="str">
        <f>IF(OR($E$3="",$P$3=""),"",IF('Statement of Marks'!C92="","",'Statement of Marks'!C92))</f>
        <v/>
      </c>
      <c r="E93" s="803" t="str">
        <f>IF(OR($E$3="",$P$3=""),"",IF('Statement of Marks'!D92="","",'Statement of Marks'!D92))</f>
        <v/>
      </c>
      <c r="F93" s="804" t="str">
        <f>IF(OR($E$3="",$P$3=""),"",IF('Statement of Marks'!E92="","",'Statement of Marks'!E92))</f>
        <v/>
      </c>
      <c r="G93" s="804" t="str">
        <f>IF(OR($E$3="",$P$3=""),"",IF('Statement of Marks'!F92="","",'Statement of Marks'!F92))</f>
        <v/>
      </c>
      <c r="H93" s="804" t="str">
        <f>IF(OR($E$3="",$P$3=""),"",IF('Statement of Marks'!G92="","",'Statement of Marks'!G92))</f>
        <v/>
      </c>
      <c r="I93" s="805" t="str">
        <f>IF(OR($E$3="",$P$3=""),"",IF('Statement of Marks'!H92="","",'Statement of Marks'!H92))</f>
        <v/>
      </c>
      <c r="J93" s="805" t="str">
        <f>IF(OR($E$3="",$P$3=""),"",IF('Statement of Marks'!I92="","",'Statement of Marks'!I92))</f>
        <v/>
      </c>
      <c r="K93" s="805" t="str">
        <f>IFERROR(IF(B93="","",IF($P$3=$AT$10,IF(AND(BM93="A"),'Marks Entry'!$U$2,IF(AND(BM93="B"),'Marks Entry'!$Y$2,IF(AND(BM93="C"),'Marks Entry'!$AA$2,""))),IF($P$3=$AT$11,IF(AND(BN93="A"),'Marks Entry'!$AC$2,IF(AND(BN93="B"),'Marks Entry'!$AG$2,IF(AND(BN93="C"),'Marks Entry'!$AI$2,""))),IF($P$3=$AT$12,IF(AND(BO93="A"),'Marks Entry'!$AK$2,IF(AND(BO93="B"),'Marks Entry'!$AO$2,IF(AND(BO93="C"),'Marks Entry'!$AQ$2,""))),IF($P$3=$AT$13,IF(AND(BP93="A"),'Marks Entry'!$AS$2,IF(AND(BP93="B"),'Marks Entry'!$AW$2,IF(AND(BP93="C"),'Marks Entry'!$AY$2,""))),"-"))))),"")</f>
        <v/>
      </c>
      <c r="L93" s="806" t="str">
        <f>IFERROR(IF(B93="","",IF($P$3=$AT$8,'Statement of Marks'!J92,IF($P$3=$AT$9,'Statement of Marks'!X92,IF($P$3=$AT$10,'Statement of Marks'!AM92,IF($P$3=$AT$11,'Statement of Marks'!BJ92,IF($P$3=$AT$12,'Statement of Marks'!CG92,IF($P$3=$AT$13,'Statement of Marks'!DE92,IF($P$3=$AT$14,"",IF($P$3=$AT$15,'Statement of Marks'!EY92,""))))))))),"")</f>
        <v/>
      </c>
      <c r="M93" s="806" t="str">
        <f>IFERROR(IF(B93="","",IF($P$3=$AT$8,'Statement of Marks'!K92,IF($P$3=$AT$9,'Statement of Marks'!Y92,IF($P$3=$AT$10,'Statement of Marks'!AN92,IF($P$3=$AT$11,'Statement of Marks'!BK92,IF($P$3=$AT$12,'Statement of Marks'!CH92,IF($P$3=$AT$13,'Statement of Marks'!DF92,IF($P$3=$AT$14,"",IF($P$3=$AT$15,'Statement of Marks'!EZ92,""))))))))),"")</f>
        <v/>
      </c>
      <c r="N93" s="806" t="str">
        <f>IFERROR(IF(B93="","",IF($P$3=$AT$8,'Statement of Marks'!L92,IF($P$3=$AT$9,'Statement of Marks'!Z92,IF($P$3=$AT$10,'Statement of Marks'!AO92,IF($P$3=$AT$11,'Statement of Marks'!BL92,IF($P$3=$AT$12,'Statement of Marks'!CI92,IF($P$3=$AT$13,'Statement of Marks'!DG92,IF($P$3=$AT$14,"",IF($P$3=$AT$15,'Statement of Marks'!FA92,""))))))))),"")</f>
        <v/>
      </c>
      <c r="O93" s="807" t="str">
        <f t="shared" si="18"/>
        <v/>
      </c>
      <c r="P93" s="806" t="str">
        <f>IFERROR(IF(B93="","",IF($P$3=$AT$8,'Statement of Marks'!N92,IF($P$3=$AT$9,'Statement of Marks'!AB92,IF($P$3=$AT$10,'Statement of Marks'!AQ92,IF($P$3=$AT$11,'Statement of Marks'!BN92,IF($P$3=$AT$12,'Statement of Marks'!CK92,IF($P$3=$AT$13,'Statement of Marks'!DI92,IF($P$3=$AT$14,"",IF($P$3=$AT$15,'Statement of Marks'!FC92,""))))))))),"")</f>
        <v/>
      </c>
      <c r="Q93" s="806" t="str">
        <f>IFERROR(IF(B93="","",IF($P$3=$AT$8,"",IF($P$3=$AT$9,"",IF($P$3=$AT$10,'Statement of Marks'!AR92,IF($P$3=$AT$11,'Statement of Marks'!BO92,IF($P$3=$AT$12,'Statement of Marks'!CL92,IF($P$3=$AT$13,'Statement of Marks'!DJ92,IF($P$3=$AT$14,"",IF($P$3=$AT$15,"",""))))))))),"")</f>
        <v/>
      </c>
      <c r="R93" s="818" t="str">
        <f>IFERROR(IF(B93="","",IF(AND(P93="",Q93="",$P$3=""),"",IF($P$3=$AT$14,'Statement of Marks'!EC92,SUM(P93,Q93)))),"")</f>
        <v/>
      </c>
      <c r="S93" s="817" t="str">
        <f>IFERROR(IF(B93="","",IF($P$3=$AT$14,'Statement of Marks'!ED92,IF(AND(O93="NA",P93="NA",Q93="NA"),"NA",IF(AND(O93="",P93="",Q93=""),"",SUM(O93,P93,Q93))))),"")</f>
        <v/>
      </c>
      <c r="T93" s="806" t="str">
        <f>IFERROR(IF(B93="","",IF($P$3=$AT$8,'Statement of Marks'!P92,IF($P$3=$AT$9,'Statement of Marks'!AD92,IF($P$3=$AT$10,'Statement of Marks'!AU92,IF($P$3=$AT$11,'Statement of Marks'!BR92,IF($P$3=$AT$12,'Statement of Marks'!CO92,IF($P$3=$AT$13,'Statement of Marks'!DM92,IF($P$3=$AT$14,"",IF($P$3=$AT$15,'Statement of Marks'!FD92,""))))))))),"")</f>
        <v/>
      </c>
      <c r="U93" s="806" t="str">
        <f>IFERROR(IF(B93="","",IF($P$3=$AT$8,"",IF($P$3=$AT$9,"",IF($P$3=$AT$10,'Statement of Marks'!AV92,IF($P$3=$AT$11,'Statement of Marks'!BS92,IF($P$3=$AT$12,'Statement of Marks'!CP92,IF($P$3=$AT$13,'Statement of Marks'!DN92,IF($P$3=$AT$14,"",IF($P$3=$AT$15,"",""))))))))),"")</f>
        <v/>
      </c>
      <c r="V93" s="818" t="str">
        <f>IFERROR(IF(B93="","",IF(AND(T93="",U93="",$P$3=""),"",IF($P$3=$AT$14,'Statement of Marks'!EE92,SUM(T93,U93)))),"")</f>
        <v/>
      </c>
      <c r="W93" s="808" t="str">
        <f t="shared" si="19"/>
        <v/>
      </c>
      <c r="X93" s="809">
        <f t="shared" si="20"/>
        <v>0</v>
      </c>
      <c r="Y93" s="809">
        <f t="shared" si="21"/>
        <v>0</v>
      </c>
      <c r="Z93" s="809">
        <f t="shared" si="22"/>
        <v>0</v>
      </c>
      <c r="AA93" s="809" t="str">
        <f t="shared" si="23"/>
        <v/>
      </c>
      <c r="AB93" s="809" t="str">
        <f t="shared" si="24"/>
        <v/>
      </c>
      <c r="AC93" s="809" t="str">
        <f t="shared" si="25"/>
        <v/>
      </c>
      <c r="AD93" s="809" t="str">
        <f t="shared" si="26"/>
        <v/>
      </c>
      <c r="AE93" s="810" t="str">
        <f t="shared" si="27"/>
        <v/>
      </c>
      <c r="AF93" s="811" t="str">
        <f t="shared" si="28"/>
        <v/>
      </c>
      <c r="AG93" s="812" t="str">
        <f t="shared" si="29"/>
        <v/>
      </c>
      <c r="AW93" s="17" t="str">
        <f t="shared" si="30"/>
        <v/>
      </c>
      <c r="AX93" s="17" t="str">
        <f t="shared" si="31"/>
        <v/>
      </c>
      <c r="BM93" s="17" t="str">
        <f>IFERROR(VLOOKUP(B93,'Statement of Marks'!$B$8:'Statement of Marks'!$HI$207,37,0),"")</f>
        <v>A</v>
      </c>
      <c r="BN93" s="17" t="str">
        <f>IFERROR(VLOOKUP(B93,'Statement of Marks'!$B$8:'Statement of Marks'!$HI$207,60,0),"")</f>
        <v>A</v>
      </c>
      <c r="BO93" s="17" t="str">
        <f>IFERROR(VLOOKUP(B93,'Statement of Marks'!$B$8:'Statement of Marks'!$HI$207,83,0),"")</f>
        <v>A</v>
      </c>
      <c r="BP93" s="17" t="str">
        <f>IFERROR(VLOOKUP(B93,'Statement of Marks'!$B$8:'Statement of Marks'!$HI$207,107,0),"")</f>
        <v/>
      </c>
    </row>
    <row r="94" spans="1:68">
      <c r="A94" s="800">
        <f>IF('Statement of Marks'!A93="","",'Statement of Marks'!A93)</f>
        <v>86</v>
      </c>
      <c r="B94" s="801" t="str">
        <f>IF(OR($E$3="",$P$3=""),"",IF('Statement of Marks'!B93="","",'Statement of Marks'!B93))</f>
        <v/>
      </c>
      <c r="C94" s="810" t="str">
        <f>IF(OR($E$3="",$P$3=""),"",IF('Marks Entry'!C93="","",'Marks Entry'!C93))</f>
        <v/>
      </c>
      <c r="D94" s="802" t="str">
        <f>IF(OR($E$3="",$P$3=""),"",IF('Statement of Marks'!C93="","",'Statement of Marks'!C93))</f>
        <v/>
      </c>
      <c r="E94" s="803" t="str">
        <f>IF(OR($E$3="",$P$3=""),"",IF('Statement of Marks'!D93="","",'Statement of Marks'!D93))</f>
        <v/>
      </c>
      <c r="F94" s="804" t="str">
        <f>IF(OR($E$3="",$P$3=""),"",IF('Statement of Marks'!E93="","",'Statement of Marks'!E93))</f>
        <v/>
      </c>
      <c r="G94" s="804" t="str">
        <f>IF(OR($E$3="",$P$3=""),"",IF('Statement of Marks'!F93="","",'Statement of Marks'!F93))</f>
        <v/>
      </c>
      <c r="H94" s="804" t="str">
        <f>IF(OR($E$3="",$P$3=""),"",IF('Statement of Marks'!G93="","",'Statement of Marks'!G93))</f>
        <v/>
      </c>
      <c r="I94" s="805" t="str">
        <f>IF(OR($E$3="",$P$3=""),"",IF('Statement of Marks'!H93="","",'Statement of Marks'!H93))</f>
        <v/>
      </c>
      <c r="J94" s="805" t="str">
        <f>IF(OR($E$3="",$P$3=""),"",IF('Statement of Marks'!I93="","",'Statement of Marks'!I93))</f>
        <v/>
      </c>
      <c r="K94" s="805" t="str">
        <f>IFERROR(IF(B94="","",IF($P$3=$AT$10,IF(AND(BM94="A"),'Marks Entry'!$U$2,IF(AND(BM94="B"),'Marks Entry'!$Y$2,IF(AND(BM94="C"),'Marks Entry'!$AA$2,""))),IF($P$3=$AT$11,IF(AND(BN94="A"),'Marks Entry'!$AC$2,IF(AND(BN94="B"),'Marks Entry'!$AG$2,IF(AND(BN94="C"),'Marks Entry'!$AI$2,""))),IF($P$3=$AT$12,IF(AND(BO94="A"),'Marks Entry'!$AK$2,IF(AND(BO94="B"),'Marks Entry'!$AO$2,IF(AND(BO94="C"),'Marks Entry'!$AQ$2,""))),IF($P$3=$AT$13,IF(AND(BP94="A"),'Marks Entry'!$AS$2,IF(AND(BP94="B"),'Marks Entry'!$AW$2,IF(AND(BP94="C"),'Marks Entry'!$AY$2,""))),"-"))))),"")</f>
        <v/>
      </c>
      <c r="L94" s="806" t="str">
        <f>IFERROR(IF(B94="","",IF($P$3=$AT$8,'Statement of Marks'!J93,IF($P$3=$AT$9,'Statement of Marks'!X93,IF($P$3=$AT$10,'Statement of Marks'!AM93,IF($P$3=$AT$11,'Statement of Marks'!BJ93,IF($P$3=$AT$12,'Statement of Marks'!CG93,IF($P$3=$AT$13,'Statement of Marks'!DE93,IF($P$3=$AT$14,"",IF($P$3=$AT$15,'Statement of Marks'!EY93,""))))))))),"")</f>
        <v/>
      </c>
      <c r="M94" s="806" t="str">
        <f>IFERROR(IF(B94="","",IF($P$3=$AT$8,'Statement of Marks'!K93,IF($P$3=$AT$9,'Statement of Marks'!Y93,IF($P$3=$AT$10,'Statement of Marks'!AN93,IF($P$3=$AT$11,'Statement of Marks'!BK93,IF($P$3=$AT$12,'Statement of Marks'!CH93,IF($P$3=$AT$13,'Statement of Marks'!DF93,IF($P$3=$AT$14,"",IF($P$3=$AT$15,'Statement of Marks'!EZ93,""))))))))),"")</f>
        <v/>
      </c>
      <c r="N94" s="806" t="str">
        <f>IFERROR(IF(B94="","",IF($P$3=$AT$8,'Statement of Marks'!L93,IF($P$3=$AT$9,'Statement of Marks'!Z93,IF($P$3=$AT$10,'Statement of Marks'!AO93,IF($P$3=$AT$11,'Statement of Marks'!BL93,IF($P$3=$AT$12,'Statement of Marks'!CI93,IF($P$3=$AT$13,'Statement of Marks'!DG93,IF($P$3=$AT$14,"",IF($P$3=$AT$15,'Statement of Marks'!FA93,""))))))))),"")</f>
        <v/>
      </c>
      <c r="O94" s="807" t="str">
        <f t="shared" si="18"/>
        <v/>
      </c>
      <c r="P94" s="806" t="str">
        <f>IFERROR(IF(B94="","",IF($P$3=$AT$8,'Statement of Marks'!N93,IF($P$3=$AT$9,'Statement of Marks'!AB93,IF($P$3=$AT$10,'Statement of Marks'!AQ93,IF($P$3=$AT$11,'Statement of Marks'!BN93,IF($P$3=$AT$12,'Statement of Marks'!CK93,IF($P$3=$AT$13,'Statement of Marks'!DI93,IF($P$3=$AT$14,"",IF($P$3=$AT$15,'Statement of Marks'!FC93,""))))))))),"")</f>
        <v/>
      </c>
      <c r="Q94" s="806" t="str">
        <f>IFERROR(IF(B94="","",IF($P$3=$AT$8,"",IF($P$3=$AT$9,"",IF($P$3=$AT$10,'Statement of Marks'!AR93,IF($P$3=$AT$11,'Statement of Marks'!BO93,IF($P$3=$AT$12,'Statement of Marks'!CL93,IF($P$3=$AT$13,'Statement of Marks'!DJ93,IF($P$3=$AT$14,"",IF($P$3=$AT$15,"",""))))))))),"")</f>
        <v/>
      </c>
      <c r="R94" s="818" t="str">
        <f>IFERROR(IF(B94="","",IF(AND(P94="",Q94="",$P$3=""),"",IF($P$3=$AT$14,'Statement of Marks'!EC93,SUM(P94,Q94)))),"")</f>
        <v/>
      </c>
      <c r="S94" s="817" t="str">
        <f>IFERROR(IF(B94="","",IF($P$3=$AT$14,'Statement of Marks'!ED93,IF(AND(O94="NA",P94="NA",Q94="NA"),"NA",IF(AND(O94="",P94="",Q94=""),"",SUM(O94,P94,Q94))))),"")</f>
        <v/>
      </c>
      <c r="T94" s="806" t="str">
        <f>IFERROR(IF(B94="","",IF($P$3=$AT$8,'Statement of Marks'!P93,IF($P$3=$AT$9,'Statement of Marks'!AD93,IF($P$3=$AT$10,'Statement of Marks'!AU93,IF($P$3=$AT$11,'Statement of Marks'!BR93,IF($P$3=$AT$12,'Statement of Marks'!CO93,IF($P$3=$AT$13,'Statement of Marks'!DM93,IF($P$3=$AT$14,"",IF($P$3=$AT$15,'Statement of Marks'!FD93,""))))))))),"")</f>
        <v/>
      </c>
      <c r="U94" s="806" t="str">
        <f>IFERROR(IF(B94="","",IF($P$3=$AT$8,"",IF($P$3=$AT$9,"",IF($P$3=$AT$10,'Statement of Marks'!AV93,IF($P$3=$AT$11,'Statement of Marks'!BS93,IF($P$3=$AT$12,'Statement of Marks'!CP93,IF($P$3=$AT$13,'Statement of Marks'!DN93,IF($P$3=$AT$14,"",IF($P$3=$AT$15,"",""))))))))),"")</f>
        <v/>
      </c>
      <c r="V94" s="818" t="str">
        <f>IFERROR(IF(B94="","",IF(AND(T94="",U94="",$P$3=""),"",IF($P$3=$AT$14,'Statement of Marks'!EE93,SUM(T94,U94)))),"")</f>
        <v/>
      </c>
      <c r="W94" s="808" t="str">
        <f t="shared" si="19"/>
        <v/>
      </c>
      <c r="X94" s="809">
        <f t="shared" si="20"/>
        <v>0</v>
      </c>
      <c r="Y94" s="809">
        <f t="shared" si="21"/>
        <v>0</v>
      </c>
      <c r="Z94" s="809">
        <f t="shared" si="22"/>
        <v>0</v>
      </c>
      <c r="AA94" s="809" t="str">
        <f t="shared" si="23"/>
        <v/>
      </c>
      <c r="AB94" s="809" t="str">
        <f t="shared" si="24"/>
        <v/>
      </c>
      <c r="AC94" s="809" t="str">
        <f t="shared" si="25"/>
        <v/>
      </c>
      <c r="AD94" s="809" t="str">
        <f t="shared" si="26"/>
        <v/>
      </c>
      <c r="AE94" s="810" t="str">
        <f t="shared" si="27"/>
        <v/>
      </c>
      <c r="AF94" s="811" t="str">
        <f t="shared" si="28"/>
        <v/>
      </c>
      <c r="AG94" s="812" t="str">
        <f t="shared" si="29"/>
        <v/>
      </c>
      <c r="AW94" s="17" t="str">
        <f t="shared" si="30"/>
        <v/>
      </c>
      <c r="AX94" s="17" t="str">
        <f t="shared" si="31"/>
        <v/>
      </c>
      <c r="BM94" s="17" t="str">
        <f>IFERROR(VLOOKUP(B94,'Statement of Marks'!$B$8:'Statement of Marks'!$HI$207,37,0),"")</f>
        <v>A</v>
      </c>
      <c r="BN94" s="17" t="str">
        <f>IFERROR(VLOOKUP(B94,'Statement of Marks'!$B$8:'Statement of Marks'!$HI$207,60,0),"")</f>
        <v>A</v>
      </c>
      <c r="BO94" s="17" t="str">
        <f>IFERROR(VLOOKUP(B94,'Statement of Marks'!$B$8:'Statement of Marks'!$HI$207,83,0),"")</f>
        <v>A</v>
      </c>
      <c r="BP94" s="17" t="str">
        <f>IFERROR(VLOOKUP(B94,'Statement of Marks'!$B$8:'Statement of Marks'!$HI$207,107,0),"")</f>
        <v/>
      </c>
    </row>
    <row r="95" spans="1:68">
      <c r="A95" s="800">
        <f>IF('Statement of Marks'!A94="","",'Statement of Marks'!A94)</f>
        <v>87</v>
      </c>
      <c r="B95" s="801" t="str">
        <f>IF(OR($E$3="",$P$3=""),"",IF('Statement of Marks'!B94="","",'Statement of Marks'!B94))</f>
        <v/>
      </c>
      <c r="C95" s="810" t="str">
        <f>IF(OR($E$3="",$P$3=""),"",IF('Marks Entry'!C94="","",'Marks Entry'!C94))</f>
        <v/>
      </c>
      <c r="D95" s="802" t="str">
        <f>IF(OR($E$3="",$P$3=""),"",IF('Statement of Marks'!C94="","",'Statement of Marks'!C94))</f>
        <v/>
      </c>
      <c r="E95" s="803" t="str">
        <f>IF(OR($E$3="",$P$3=""),"",IF('Statement of Marks'!D94="","",'Statement of Marks'!D94))</f>
        <v/>
      </c>
      <c r="F95" s="804" t="str">
        <f>IF(OR($E$3="",$P$3=""),"",IF('Statement of Marks'!E94="","",'Statement of Marks'!E94))</f>
        <v/>
      </c>
      <c r="G95" s="804" t="str">
        <f>IF(OR($E$3="",$P$3=""),"",IF('Statement of Marks'!F94="","",'Statement of Marks'!F94))</f>
        <v/>
      </c>
      <c r="H95" s="804" t="str">
        <f>IF(OR($E$3="",$P$3=""),"",IF('Statement of Marks'!G94="","",'Statement of Marks'!G94))</f>
        <v/>
      </c>
      <c r="I95" s="805" t="str">
        <f>IF(OR($E$3="",$P$3=""),"",IF('Statement of Marks'!H94="","",'Statement of Marks'!H94))</f>
        <v/>
      </c>
      <c r="J95" s="805" t="str">
        <f>IF(OR($E$3="",$P$3=""),"",IF('Statement of Marks'!I94="","",'Statement of Marks'!I94))</f>
        <v/>
      </c>
      <c r="K95" s="805" t="str">
        <f>IFERROR(IF(B95="","",IF($P$3=$AT$10,IF(AND(BM95="A"),'Marks Entry'!$U$2,IF(AND(BM95="B"),'Marks Entry'!$Y$2,IF(AND(BM95="C"),'Marks Entry'!$AA$2,""))),IF($P$3=$AT$11,IF(AND(BN95="A"),'Marks Entry'!$AC$2,IF(AND(BN95="B"),'Marks Entry'!$AG$2,IF(AND(BN95="C"),'Marks Entry'!$AI$2,""))),IF($P$3=$AT$12,IF(AND(BO95="A"),'Marks Entry'!$AK$2,IF(AND(BO95="B"),'Marks Entry'!$AO$2,IF(AND(BO95="C"),'Marks Entry'!$AQ$2,""))),IF($P$3=$AT$13,IF(AND(BP95="A"),'Marks Entry'!$AS$2,IF(AND(BP95="B"),'Marks Entry'!$AW$2,IF(AND(BP95="C"),'Marks Entry'!$AY$2,""))),"-"))))),"")</f>
        <v/>
      </c>
      <c r="L95" s="806" t="str">
        <f>IFERROR(IF(B95="","",IF($P$3=$AT$8,'Statement of Marks'!J94,IF($P$3=$AT$9,'Statement of Marks'!X94,IF($P$3=$AT$10,'Statement of Marks'!AM94,IF($P$3=$AT$11,'Statement of Marks'!BJ94,IF($P$3=$AT$12,'Statement of Marks'!CG94,IF($P$3=$AT$13,'Statement of Marks'!DE94,IF($P$3=$AT$14,"",IF($P$3=$AT$15,'Statement of Marks'!EY94,""))))))))),"")</f>
        <v/>
      </c>
      <c r="M95" s="806" t="str">
        <f>IFERROR(IF(B95="","",IF($P$3=$AT$8,'Statement of Marks'!K94,IF($P$3=$AT$9,'Statement of Marks'!Y94,IF($P$3=$AT$10,'Statement of Marks'!AN94,IF($P$3=$AT$11,'Statement of Marks'!BK94,IF($P$3=$AT$12,'Statement of Marks'!CH94,IF($P$3=$AT$13,'Statement of Marks'!DF94,IF($P$3=$AT$14,"",IF($P$3=$AT$15,'Statement of Marks'!EZ94,""))))))))),"")</f>
        <v/>
      </c>
      <c r="N95" s="806" t="str">
        <f>IFERROR(IF(B95="","",IF($P$3=$AT$8,'Statement of Marks'!L94,IF($P$3=$AT$9,'Statement of Marks'!Z94,IF($P$3=$AT$10,'Statement of Marks'!AO94,IF($P$3=$AT$11,'Statement of Marks'!BL94,IF($P$3=$AT$12,'Statement of Marks'!CI94,IF($P$3=$AT$13,'Statement of Marks'!DG94,IF($P$3=$AT$14,"",IF($P$3=$AT$15,'Statement of Marks'!FA94,""))))))))),"")</f>
        <v/>
      </c>
      <c r="O95" s="807" t="str">
        <f t="shared" si="18"/>
        <v/>
      </c>
      <c r="P95" s="806" t="str">
        <f>IFERROR(IF(B95="","",IF($P$3=$AT$8,'Statement of Marks'!N94,IF($P$3=$AT$9,'Statement of Marks'!AB94,IF($P$3=$AT$10,'Statement of Marks'!AQ94,IF($P$3=$AT$11,'Statement of Marks'!BN94,IF($P$3=$AT$12,'Statement of Marks'!CK94,IF($P$3=$AT$13,'Statement of Marks'!DI94,IF($P$3=$AT$14,"",IF($P$3=$AT$15,'Statement of Marks'!FC94,""))))))))),"")</f>
        <v/>
      </c>
      <c r="Q95" s="806" t="str">
        <f>IFERROR(IF(B95="","",IF($P$3=$AT$8,"",IF($P$3=$AT$9,"",IF($P$3=$AT$10,'Statement of Marks'!AR94,IF($P$3=$AT$11,'Statement of Marks'!BO94,IF($P$3=$AT$12,'Statement of Marks'!CL94,IF($P$3=$AT$13,'Statement of Marks'!DJ94,IF($P$3=$AT$14,"",IF($P$3=$AT$15,"",""))))))))),"")</f>
        <v/>
      </c>
      <c r="R95" s="818" t="str">
        <f>IFERROR(IF(B95="","",IF(AND(P95="",Q95="",$P$3=""),"",IF($P$3=$AT$14,'Statement of Marks'!EC94,SUM(P95,Q95)))),"")</f>
        <v/>
      </c>
      <c r="S95" s="817" t="str">
        <f>IFERROR(IF(B95="","",IF($P$3=$AT$14,'Statement of Marks'!ED94,IF(AND(O95="NA",P95="NA",Q95="NA"),"NA",IF(AND(O95="",P95="",Q95=""),"",SUM(O95,P95,Q95))))),"")</f>
        <v/>
      </c>
      <c r="T95" s="806" t="str">
        <f>IFERROR(IF(B95="","",IF($P$3=$AT$8,'Statement of Marks'!P94,IF($P$3=$AT$9,'Statement of Marks'!AD94,IF($P$3=$AT$10,'Statement of Marks'!AU94,IF($P$3=$AT$11,'Statement of Marks'!BR94,IF($P$3=$AT$12,'Statement of Marks'!CO94,IF($P$3=$AT$13,'Statement of Marks'!DM94,IF($P$3=$AT$14,"",IF($P$3=$AT$15,'Statement of Marks'!FD94,""))))))))),"")</f>
        <v/>
      </c>
      <c r="U95" s="806" t="str">
        <f>IFERROR(IF(B95="","",IF($P$3=$AT$8,"",IF($P$3=$AT$9,"",IF($P$3=$AT$10,'Statement of Marks'!AV94,IF($P$3=$AT$11,'Statement of Marks'!BS94,IF($P$3=$AT$12,'Statement of Marks'!CP94,IF($P$3=$AT$13,'Statement of Marks'!DN94,IF($P$3=$AT$14,"",IF($P$3=$AT$15,"",""))))))))),"")</f>
        <v/>
      </c>
      <c r="V95" s="818" t="str">
        <f>IFERROR(IF(B95="","",IF(AND(T95="",U95="",$P$3=""),"",IF($P$3=$AT$14,'Statement of Marks'!EE94,SUM(T95,U95)))),"")</f>
        <v/>
      </c>
      <c r="W95" s="808" t="str">
        <f t="shared" si="19"/>
        <v/>
      </c>
      <c r="X95" s="809">
        <f t="shared" si="20"/>
        <v>0</v>
      </c>
      <c r="Y95" s="809">
        <f t="shared" si="21"/>
        <v>0</v>
      </c>
      <c r="Z95" s="809">
        <f t="shared" si="22"/>
        <v>0</v>
      </c>
      <c r="AA95" s="809" t="str">
        <f t="shared" si="23"/>
        <v/>
      </c>
      <c r="AB95" s="809" t="str">
        <f t="shared" si="24"/>
        <v/>
      </c>
      <c r="AC95" s="809" t="str">
        <f t="shared" si="25"/>
        <v/>
      </c>
      <c r="AD95" s="809" t="str">
        <f t="shared" si="26"/>
        <v/>
      </c>
      <c r="AE95" s="810" t="str">
        <f t="shared" si="27"/>
        <v/>
      </c>
      <c r="AF95" s="811" t="str">
        <f t="shared" si="28"/>
        <v/>
      </c>
      <c r="AG95" s="812" t="str">
        <f t="shared" si="29"/>
        <v/>
      </c>
      <c r="AW95" s="17" t="str">
        <f t="shared" si="30"/>
        <v/>
      </c>
      <c r="AX95" s="17" t="str">
        <f t="shared" si="31"/>
        <v/>
      </c>
      <c r="BM95" s="17" t="str">
        <f>IFERROR(VLOOKUP(B95,'Statement of Marks'!$B$8:'Statement of Marks'!$HI$207,37,0),"")</f>
        <v>A</v>
      </c>
      <c r="BN95" s="17" t="str">
        <f>IFERROR(VLOOKUP(B95,'Statement of Marks'!$B$8:'Statement of Marks'!$HI$207,60,0),"")</f>
        <v>A</v>
      </c>
      <c r="BO95" s="17" t="str">
        <f>IFERROR(VLOOKUP(B95,'Statement of Marks'!$B$8:'Statement of Marks'!$HI$207,83,0),"")</f>
        <v>A</v>
      </c>
      <c r="BP95" s="17" t="str">
        <f>IFERROR(VLOOKUP(B95,'Statement of Marks'!$B$8:'Statement of Marks'!$HI$207,107,0),"")</f>
        <v/>
      </c>
    </row>
    <row r="96" spans="1:68">
      <c r="A96" s="800">
        <f>IF('Statement of Marks'!A95="","",'Statement of Marks'!A95)</f>
        <v>88</v>
      </c>
      <c r="B96" s="801" t="str">
        <f>IF(OR($E$3="",$P$3=""),"",IF('Statement of Marks'!B95="","",'Statement of Marks'!B95))</f>
        <v/>
      </c>
      <c r="C96" s="810" t="str">
        <f>IF(OR($E$3="",$P$3=""),"",IF('Marks Entry'!C95="","",'Marks Entry'!C95))</f>
        <v/>
      </c>
      <c r="D96" s="802" t="str">
        <f>IF(OR($E$3="",$P$3=""),"",IF('Statement of Marks'!C95="","",'Statement of Marks'!C95))</f>
        <v/>
      </c>
      <c r="E96" s="803" t="str">
        <f>IF(OR($E$3="",$P$3=""),"",IF('Statement of Marks'!D95="","",'Statement of Marks'!D95))</f>
        <v/>
      </c>
      <c r="F96" s="804" t="str">
        <f>IF(OR($E$3="",$P$3=""),"",IF('Statement of Marks'!E95="","",'Statement of Marks'!E95))</f>
        <v/>
      </c>
      <c r="G96" s="804" t="str">
        <f>IF(OR($E$3="",$P$3=""),"",IF('Statement of Marks'!F95="","",'Statement of Marks'!F95))</f>
        <v/>
      </c>
      <c r="H96" s="804" t="str">
        <f>IF(OR($E$3="",$P$3=""),"",IF('Statement of Marks'!G95="","",'Statement of Marks'!G95))</f>
        <v/>
      </c>
      <c r="I96" s="805" t="str">
        <f>IF(OR($E$3="",$P$3=""),"",IF('Statement of Marks'!H95="","",'Statement of Marks'!H95))</f>
        <v/>
      </c>
      <c r="J96" s="805" t="str">
        <f>IF(OR($E$3="",$P$3=""),"",IF('Statement of Marks'!I95="","",'Statement of Marks'!I95))</f>
        <v/>
      </c>
      <c r="K96" s="805" t="str">
        <f>IFERROR(IF(B96="","",IF($P$3=$AT$10,IF(AND(BM96="A"),'Marks Entry'!$U$2,IF(AND(BM96="B"),'Marks Entry'!$Y$2,IF(AND(BM96="C"),'Marks Entry'!$AA$2,""))),IF($P$3=$AT$11,IF(AND(BN96="A"),'Marks Entry'!$AC$2,IF(AND(BN96="B"),'Marks Entry'!$AG$2,IF(AND(BN96="C"),'Marks Entry'!$AI$2,""))),IF($P$3=$AT$12,IF(AND(BO96="A"),'Marks Entry'!$AK$2,IF(AND(BO96="B"),'Marks Entry'!$AO$2,IF(AND(BO96="C"),'Marks Entry'!$AQ$2,""))),IF($P$3=$AT$13,IF(AND(BP96="A"),'Marks Entry'!$AS$2,IF(AND(BP96="B"),'Marks Entry'!$AW$2,IF(AND(BP96="C"),'Marks Entry'!$AY$2,""))),"-"))))),"")</f>
        <v/>
      </c>
      <c r="L96" s="806" t="str">
        <f>IFERROR(IF(B96="","",IF($P$3=$AT$8,'Statement of Marks'!J95,IF($P$3=$AT$9,'Statement of Marks'!X95,IF($P$3=$AT$10,'Statement of Marks'!AM95,IF($P$3=$AT$11,'Statement of Marks'!BJ95,IF($P$3=$AT$12,'Statement of Marks'!CG95,IF($P$3=$AT$13,'Statement of Marks'!DE95,IF($P$3=$AT$14,"",IF($P$3=$AT$15,'Statement of Marks'!EY95,""))))))))),"")</f>
        <v/>
      </c>
      <c r="M96" s="806" t="str">
        <f>IFERROR(IF(B96="","",IF($P$3=$AT$8,'Statement of Marks'!K95,IF($P$3=$AT$9,'Statement of Marks'!Y95,IF($P$3=$AT$10,'Statement of Marks'!AN95,IF($P$3=$AT$11,'Statement of Marks'!BK95,IF($P$3=$AT$12,'Statement of Marks'!CH95,IF($P$3=$AT$13,'Statement of Marks'!DF95,IF($P$3=$AT$14,"",IF($P$3=$AT$15,'Statement of Marks'!EZ95,""))))))))),"")</f>
        <v/>
      </c>
      <c r="N96" s="806" t="str">
        <f>IFERROR(IF(B96="","",IF($P$3=$AT$8,'Statement of Marks'!L95,IF($P$3=$AT$9,'Statement of Marks'!Z95,IF($P$3=$AT$10,'Statement of Marks'!AO95,IF($P$3=$AT$11,'Statement of Marks'!BL95,IF($P$3=$AT$12,'Statement of Marks'!CI95,IF($P$3=$AT$13,'Statement of Marks'!DG95,IF($P$3=$AT$14,"",IF($P$3=$AT$15,'Statement of Marks'!FA95,""))))))))),"")</f>
        <v/>
      </c>
      <c r="O96" s="807" t="str">
        <f t="shared" si="18"/>
        <v/>
      </c>
      <c r="P96" s="806" t="str">
        <f>IFERROR(IF(B96="","",IF($P$3=$AT$8,'Statement of Marks'!N95,IF($P$3=$AT$9,'Statement of Marks'!AB95,IF($P$3=$AT$10,'Statement of Marks'!AQ95,IF($P$3=$AT$11,'Statement of Marks'!BN95,IF($P$3=$AT$12,'Statement of Marks'!CK95,IF($P$3=$AT$13,'Statement of Marks'!DI95,IF($P$3=$AT$14,"",IF($P$3=$AT$15,'Statement of Marks'!FC95,""))))))))),"")</f>
        <v/>
      </c>
      <c r="Q96" s="806" t="str">
        <f>IFERROR(IF(B96="","",IF($P$3=$AT$8,"",IF($P$3=$AT$9,"",IF($P$3=$AT$10,'Statement of Marks'!AR95,IF($P$3=$AT$11,'Statement of Marks'!BO95,IF($P$3=$AT$12,'Statement of Marks'!CL95,IF($P$3=$AT$13,'Statement of Marks'!DJ95,IF($P$3=$AT$14,"",IF($P$3=$AT$15,"",""))))))))),"")</f>
        <v/>
      </c>
      <c r="R96" s="818" t="str">
        <f>IFERROR(IF(B96="","",IF(AND(P96="",Q96="",$P$3=""),"",IF($P$3=$AT$14,'Statement of Marks'!EC95,SUM(P96,Q96)))),"")</f>
        <v/>
      </c>
      <c r="S96" s="817" t="str">
        <f>IFERROR(IF(B96="","",IF($P$3=$AT$14,'Statement of Marks'!ED95,IF(AND(O96="NA",P96="NA",Q96="NA"),"NA",IF(AND(O96="",P96="",Q96=""),"",SUM(O96,P96,Q96))))),"")</f>
        <v/>
      </c>
      <c r="T96" s="806" t="str">
        <f>IFERROR(IF(B96="","",IF($P$3=$AT$8,'Statement of Marks'!P95,IF($P$3=$AT$9,'Statement of Marks'!AD95,IF($P$3=$AT$10,'Statement of Marks'!AU95,IF($P$3=$AT$11,'Statement of Marks'!BR95,IF($P$3=$AT$12,'Statement of Marks'!CO95,IF($P$3=$AT$13,'Statement of Marks'!DM95,IF($P$3=$AT$14,"",IF($P$3=$AT$15,'Statement of Marks'!FD95,""))))))))),"")</f>
        <v/>
      </c>
      <c r="U96" s="806" t="str">
        <f>IFERROR(IF(B96="","",IF($P$3=$AT$8,"",IF($P$3=$AT$9,"",IF($P$3=$AT$10,'Statement of Marks'!AV95,IF($P$3=$AT$11,'Statement of Marks'!BS95,IF($P$3=$AT$12,'Statement of Marks'!CP95,IF($P$3=$AT$13,'Statement of Marks'!DN95,IF($P$3=$AT$14,"",IF($P$3=$AT$15,"",""))))))))),"")</f>
        <v/>
      </c>
      <c r="V96" s="818" t="str">
        <f>IFERROR(IF(B96="","",IF(AND(T96="",U96="",$P$3=""),"",IF($P$3=$AT$14,'Statement of Marks'!EE95,SUM(T96,U96)))),"")</f>
        <v/>
      </c>
      <c r="W96" s="808" t="str">
        <f t="shared" si="19"/>
        <v/>
      </c>
      <c r="X96" s="809">
        <f t="shared" si="20"/>
        <v>0</v>
      </c>
      <c r="Y96" s="809">
        <f t="shared" si="21"/>
        <v>0</v>
      </c>
      <c r="Z96" s="809">
        <f t="shared" si="22"/>
        <v>0</v>
      </c>
      <c r="AA96" s="809" t="str">
        <f t="shared" si="23"/>
        <v/>
      </c>
      <c r="AB96" s="809" t="str">
        <f t="shared" si="24"/>
        <v/>
      </c>
      <c r="AC96" s="809" t="str">
        <f t="shared" si="25"/>
        <v/>
      </c>
      <c r="AD96" s="809" t="str">
        <f t="shared" si="26"/>
        <v/>
      </c>
      <c r="AE96" s="810" t="str">
        <f t="shared" si="27"/>
        <v/>
      </c>
      <c r="AF96" s="811" t="str">
        <f t="shared" si="28"/>
        <v/>
      </c>
      <c r="AG96" s="812" t="str">
        <f t="shared" si="29"/>
        <v/>
      </c>
      <c r="AW96" s="17" t="str">
        <f t="shared" si="30"/>
        <v/>
      </c>
      <c r="AX96" s="17" t="str">
        <f t="shared" si="31"/>
        <v/>
      </c>
      <c r="BM96" s="17" t="str">
        <f>IFERROR(VLOOKUP(B96,'Statement of Marks'!$B$8:'Statement of Marks'!$HI$207,37,0),"")</f>
        <v>A</v>
      </c>
      <c r="BN96" s="17" t="str">
        <f>IFERROR(VLOOKUP(B96,'Statement of Marks'!$B$8:'Statement of Marks'!$HI$207,60,0),"")</f>
        <v>A</v>
      </c>
      <c r="BO96" s="17" t="str">
        <f>IFERROR(VLOOKUP(B96,'Statement of Marks'!$B$8:'Statement of Marks'!$HI$207,83,0),"")</f>
        <v>A</v>
      </c>
      <c r="BP96" s="17" t="str">
        <f>IFERROR(VLOOKUP(B96,'Statement of Marks'!$B$8:'Statement of Marks'!$HI$207,107,0),"")</f>
        <v/>
      </c>
    </row>
    <row r="97" spans="1:68">
      <c r="A97" s="800">
        <f>IF('Statement of Marks'!A96="","",'Statement of Marks'!A96)</f>
        <v>89</v>
      </c>
      <c r="B97" s="801" t="str">
        <f>IF(OR($E$3="",$P$3=""),"",IF('Statement of Marks'!B96="","",'Statement of Marks'!B96))</f>
        <v/>
      </c>
      <c r="C97" s="810" t="str">
        <f>IF(OR($E$3="",$P$3=""),"",IF('Marks Entry'!C96="","",'Marks Entry'!C96))</f>
        <v/>
      </c>
      <c r="D97" s="802" t="str">
        <f>IF(OR($E$3="",$P$3=""),"",IF('Statement of Marks'!C96="","",'Statement of Marks'!C96))</f>
        <v/>
      </c>
      <c r="E97" s="803" t="str">
        <f>IF(OR($E$3="",$P$3=""),"",IF('Statement of Marks'!D96="","",'Statement of Marks'!D96))</f>
        <v/>
      </c>
      <c r="F97" s="804" t="str">
        <f>IF(OR($E$3="",$P$3=""),"",IF('Statement of Marks'!E96="","",'Statement of Marks'!E96))</f>
        <v/>
      </c>
      <c r="G97" s="804" t="str">
        <f>IF(OR($E$3="",$P$3=""),"",IF('Statement of Marks'!F96="","",'Statement of Marks'!F96))</f>
        <v/>
      </c>
      <c r="H97" s="804" t="str">
        <f>IF(OR($E$3="",$P$3=""),"",IF('Statement of Marks'!G96="","",'Statement of Marks'!G96))</f>
        <v/>
      </c>
      <c r="I97" s="805" t="str">
        <f>IF(OR($E$3="",$P$3=""),"",IF('Statement of Marks'!H96="","",'Statement of Marks'!H96))</f>
        <v/>
      </c>
      <c r="J97" s="805" t="str">
        <f>IF(OR($E$3="",$P$3=""),"",IF('Statement of Marks'!I96="","",'Statement of Marks'!I96))</f>
        <v/>
      </c>
      <c r="K97" s="805" t="str">
        <f>IFERROR(IF(B97="","",IF($P$3=$AT$10,IF(AND(BM97="A"),'Marks Entry'!$U$2,IF(AND(BM97="B"),'Marks Entry'!$Y$2,IF(AND(BM97="C"),'Marks Entry'!$AA$2,""))),IF($P$3=$AT$11,IF(AND(BN97="A"),'Marks Entry'!$AC$2,IF(AND(BN97="B"),'Marks Entry'!$AG$2,IF(AND(BN97="C"),'Marks Entry'!$AI$2,""))),IF($P$3=$AT$12,IF(AND(BO97="A"),'Marks Entry'!$AK$2,IF(AND(BO97="B"),'Marks Entry'!$AO$2,IF(AND(BO97="C"),'Marks Entry'!$AQ$2,""))),IF($P$3=$AT$13,IF(AND(BP97="A"),'Marks Entry'!$AS$2,IF(AND(BP97="B"),'Marks Entry'!$AW$2,IF(AND(BP97="C"),'Marks Entry'!$AY$2,""))),"-"))))),"")</f>
        <v/>
      </c>
      <c r="L97" s="806" t="str">
        <f>IFERROR(IF(B97="","",IF($P$3=$AT$8,'Statement of Marks'!J96,IF($P$3=$AT$9,'Statement of Marks'!X96,IF($P$3=$AT$10,'Statement of Marks'!AM96,IF($P$3=$AT$11,'Statement of Marks'!BJ96,IF($P$3=$AT$12,'Statement of Marks'!CG96,IF($P$3=$AT$13,'Statement of Marks'!DE96,IF($P$3=$AT$14,"",IF($P$3=$AT$15,'Statement of Marks'!EY96,""))))))))),"")</f>
        <v/>
      </c>
      <c r="M97" s="806" t="str">
        <f>IFERROR(IF(B97="","",IF($P$3=$AT$8,'Statement of Marks'!K96,IF($P$3=$AT$9,'Statement of Marks'!Y96,IF($P$3=$AT$10,'Statement of Marks'!AN96,IF($P$3=$AT$11,'Statement of Marks'!BK96,IF($P$3=$AT$12,'Statement of Marks'!CH96,IF($P$3=$AT$13,'Statement of Marks'!DF96,IF($P$3=$AT$14,"",IF($P$3=$AT$15,'Statement of Marks'!EZ96,""))))))))),"")</f>
        <v/>
      </c>
      <c r="N97" s="806" t="str">
        <f>IFERROR(IF(B97="","",IF($P$3=$AT$8,'Statement of Marks'!L96,IF($P$3=$AT$9,'Statement of Marks'!Z96,IF($P$3=$AT$10,'Statement of Marks'!AO96,IF($P$3=$AT$11,'Statement of Marks'!BL96,IF($P$3=$AT$12,'Statement of Marks'!CI96,IF($P$3=$AT$13,'Statement of Marks'!DG96,IF($P$3=$AT$14,"",IF($P$3=$AT$15,'Statement of Marks'!FA96,""))))))))),"")</f>
        <v/>
      </c>
      <c r="O97" s="807" t="str">
        <f t="shared" si="18"/>
        <v/>
      </c>
      <c r="P97" s="806" t="str">
        <f>IFERROR(IF(B97="","",IF($P$3=$AT$8,'Statement of Marks'!N96,IF($P$3=$AT$9,'Statement of Marks'!AB96,IF($P$3=$AT$10,'Statement of Marks'!AQ96,IF($P$3=$AT$11,'Statement of Marks'!BN96,IF($P$3=$AT$12,'Statement of Marks'!CK96,IF($P$3=$AT$13,'Statement of Marks'!DI96,IF($P$3=$AT$14,"",IF($P$3=$AT$15,'Statement of Marks'!FC96,""))))))))),"")</f>
        <v/>
      </c>
      <c r="Q97" s="806" t="str">
        <f>IFERROR(IF(B97="","",IF($P$3=$AT$8,"",IF($P$3=$AT$9,"",IF($P$3=$AT$10,'Statement of Marks'!AR96,IF($P$3=$AT$11,'Statement of Marks'!BO96,IF($P$3=$AT$12,'Statement of Marks'!CL96,IF($P$3=$AT$13,'Statement of Marks'!DJ96,IF($P$3=$AT$14,"",IF($P$3=$AT$15,"",""))))))))),"")</f>
        <v/>
      </c>
      <c r="R97" s="818" t="str">
        <f>IFERROR(IF(B97="","",IF(AND(P97="",Q97="",$P$3=""),"",IF($P$3=$AT$14,'Statement of Marks'!EC96,SUM(P97,Q97)))),"")</f>
        <v/>
      </c>
      <c r="S97" s="817" t="str">
        <f>IFERROR(IF(B97="","",IF($P$3=$AT$14,'Statement of Marks'!ED96,IF(AND(O97="NA",P97="NA",Q97="NA"),"NA",IF(AND(O97="",P97="",Q97=""),"",SUM(O97,P97,Q97))))),"")</f>
        <v/>
      </c>
      <c r="T97" s="806" t="str">
        <f>IFERROR(IF(B97="","",IF($P$3=$AT$8,'Statement of Marks'!P96,IF($P$3=$AT$9,'Statement of Marks'!AD96,IF($P$3=$AT$10,'Statement of Marks'!AU96,IF($P$3=$AT$11,'Statement of Marks'!BR96,IF($P$3=$AT$12,'Statement of Marks'!CO96,IF($P$3=$AT$13,'Statement of Marks'!DM96,IF($P$3=$AT$14,"",IF($P$3=$AT$15,'Statement of Marks'!FD96,""))))))))),"")</f>
        <v/>
      </c>
      <c r="U97" s="806" t="str">
        <f>IFERROR(IF(B97="","",IF($P$3=$AT$8,"",IF($P$3=$AT$9,"",IF($P$3=$AT$10,'Statement of Marks'!AV96,IF($P$3=$AT$11,'Statement of Marks'!BS96,IF($P$3=$AT$12,'Statement of Marks'!CP96,IF($P$3=$AT$13,'Statement of Marks'!DN96,IF($P$3=$AT$14,"",IF($P$3=$AT$15,"",""))))))))),"")</f>
        <v/>
      </c>
      <c r="V97" s="818" t="str">
        <f>IFERROR(IF(B97="","",IF(AND(T97="",U97="",$P$3=""),"",IF($P$3=$AT$14,'Statement of Marks'!EE96,SUM(T97,U97)))),"")</f>
        <v/>
      </c>
      <c r="W97" s="808" t="str">
        <f t="shared" si="19"/>
        <v/>
      </c>
      <c r="X97" s="809">
        <f t="shared" si="20"/>
        <v>0</v>
      </c>
      <c r="Y97" s="809">
        <f t="shared" si="21"/>
        <v>0</v>
      </c>
      <c r="Z97" s="809">
        <f t="shared" si="22"/>
        <v>0</v>
      </c>
      <c r="AA97" s="809" t="str">
        <f t="shared" si="23"/>
        <v/>
      </c>
      <c r="AB97" s="809" t="str">
        <f t="shared" si="24"/>
        <v/>
      </c>
      <c r="AC97" s="809" t="str">
        <f t="shared" si="25"/>
        <v/>
      </c>
      <c r="AD97" s="809" t="str">
        <f t="shared" si="26"/>
        <v/>
      </c>
      <c r="AE97" s="810" t="str">
        <f t="shared" si="27"/>
        <v/>
      </c>
      <c r="AF97" s="811" t="str">
        <f t="shared" si="28"/>
        <v/>
      </c>
      <c r="AG97" s="812" t="str">
        <f t="shared" si="29"/>
        <v/>
      </c>
      <c r="AW97" s="17" t="str">
        <f t="shared" si="30"/>
        <v/>
      </c>
      <c r="AX97" s="17" t="str">
        <f t="shared" si="31"/>
        <v/>
      </c>
      <c r="BM97" s="17" t="str">
        <f>IFERROR(VLOOKUP(B97,'Statement of Marks'!$B$8:'Statement of Marks'!$HI$207,37,0),"")</f>
        <v>A</v>
      </c>
      <c r="BN97" s="17" t="str">
        <f>IFERROR(VLOOKUP(B97,'Statement of Marks'!$B$8:'Statement of Marks'!$HI$207,60,0),"")</f>
        <v>A</v>
      </c>
      <c r="BO97" s="17" t="str">
        <f>IFERROR(VLOOKUP(B97,'Statement of Marks'!$B$8:'Statement of Marks'!$HI$207,83,0),"")</f>
        <v>A</v>
      </c>
      <c r="BP97" s="17" t="str">
        <f>IFERROR(VLOOKUP(B97,'Statement of Marks'!$B$8:'Statement of Marks'!$HI$207,107,0),"")</f>
        <v/>
      </c>
    </row>
    <row r="98" spans="1:68">
      <c r="A98" s="800">
        <f>IF('Statement of Marks'!A97="","",'Statement of Marks'!A97)</f>
        <v>90</v>
      </c>
      <c r="B98" s="801" t="str">
        <f>IF(OR($E$3="",$P$3=""),"",IF('Statement of Marks'!B97="","",'Statement of Marks'!B97))</f>
        <v/>
      </c>
      <c r="C98" s="810" t="str">
        <f>IF(OR($E$3="",$P$3=""),"",IF('Marks Entry'!C97="","",'Marks Entry'!C97))</f>
        <v/>
      </c>
      <c r="D98" s="802" t="str">
        <f>IF(OR($E$3="",$P$3=""),"",IF('Statement of Marks'!C97="","",'Statement of Marks'!C97))</f>
        <v/>
      </c>
      <c r="E98" s="803" t="str">
        <f>IF(OR($E$3="",$P$3=""),"",IF('Statement of Marks'!D97="","",'Statement of Marks'!D97))</f>
        <v/>
      </c>
      <c r="F98" s="804" t="str">
        <f>IF(OR($E$3="",$P$3=""),"",IF('Statement of Marks'!E97="","",'Statement of Marks'!E97))</f>
        <v/>
      </c>
      <c r="G98" s="804" t="str">
        <f>IF(OR($E$3="",$P$3=""),"",IF('Statement of Marks'!F97="","",'Statement of Marks'!F97))</f>
        <v/>
      </c>
      <c r="H98" s="804" t="str">
        <f>IF(OR($E$3="",$P$3=""),"",IF('Statement of Marks'!G97="","",'Statement of Marks'!G97))</f>
        <v/>
      </c>
      <c r="I98" s="805" t="str">
        <f>IF(OR($E$3="",$P$3=""),"",IF('Statement of Marks'!H97="","",'Statement of Marks'!H97))</f>
        <v/>
      </c>
      <c r="J98" s="805" t="str">
        <f>IF(OR($E$3="",$P$3=""),"",IF('Statement of Marks'!I97="","",'Statement of Marks'!I97))</f>
        <v/>
      </c>
      <c r="K98" s="805" t="str">
        <f>IFERROR(IF(B98="","",IF($P$3=$AT$10,IF(AND(BM98="A"),'Marks Entry'!$U$2,IF(AND(BM98="B"),'Marks Entry'!$Y$2,IF(AND(BM98="C"),'Marks Entry'!$AA$2,""))),IF($P$3=$AT$11,IF(AND(BN98="A"),'Marks Entry'!$AC$2,IF(AND(BN98="B"),'Marks Entry'!$AG$2,IF(AND(BN98="C"),'Marks Entry'!$AI$2,""))),IF($P$3=$AT$12,IF(AND(BO98="A"),'Marks Entry'!$AK$2,IF(AND(BO98="B"),'Marks Entry'!$AO$2,IF(AND(BO98="C"),'Marks Entry'!$AQ$2,""))),IF($P$3=$AT$13,IF(AND(BP98="A"),'Marks Entry'!$AS$2,IF(AND(BP98="B"),'Marks Entry'!$AW$2,IF(AND(BP98="C"),'Marks Entry'!$AY$2,""))),"-"))))),"")</f>
        <v/>
      </c>
      <c r="L98" s="806" t="str">
        <f>IFERROR(IF(B98="","",IF($P$3=$AT$8,'Statement of Marks'!J97,IF($P$3=$AT$9,'Statement of Marks'!X97,IF($P$3=$AT$10,'Statement of Marks'!AM97,IF($P$3=$AT$11,'Statement of Marks'!BJ97,IF($P$3=$AT$12,'Statement of Marks'!CG97,IF($P$3=$AT$13,'Statement of Marks'!DE97,IF($P$3=$AT$14,"",IF($P$3=$AT$15,'Statement of Marks'!EY97,""))))))))),"")</f>
        <v/>
      </c>
      <c r="M98" s="806" t="str">
        <f>IFERROR(IF(B98="","",IF($P$3=$AT$8,'Statement of Marks'!K97,IF($P$3=$AT$9,'Statement of Marks'!Y97,IF($P$3=$AT$10,'Statement of Marks'!AN97,IF($P$3=$AT$11,'Statement of Marks'!BK97,IF($P$3=$AT$12,'Statement of Marks'!CH97,IF($P$3=$AT$13,'Statement of Marks'!DF97,IF($P$3=$AT$14,"",IF($P$3=$AT$15,'Statement of Marks'!EZ97,""))))))))),"")</f>
        <v/>
      </c>
      <c r="N98" s="806" t="str">
        <f>IFERROR(IF(B98="","",IF($P$3=$AT$8,'Statement of Marks'!L97,IF($P$3=$AT$9,'Statement of Marks'!Z97,IF($P$3=$AT$10,'Statement of Marks'!AO97,IF($P$3=$AT$11,'Statement of Marks'!BL97,IF($P$3=$AT$12,'Statement of Marks'!CI97,IF($P$3=$AT$13,'Statement of Marks'!DG97,IF($P$3=$AT$14,"",IF($P$3=$AT$15,'Statement of Marks'!FA97,""))))))))),"")</f>
        <v/>
      </c>
      <c r="O98" s="807" t="str">
        <f t="shared" si="18"/>
        <v/>
      </c>
      <c r="P98" s="806" t="str">
        <f>IFERROR(IF(B98="","",IF($P$3=$AT$8,'Statement of Marks'!N97,IF($P$3=$AT$9,'Statement of Marks'!AB97,IF($P$3=$AT$10,'Statement of Marks'!AQ97,IF($P$3=$AT$11,'Statement of Marks'!BN97,IF($P$3=$AT$12,'Statement of Marks'!CK97,IF($P$3=$AT$13,'Statement of Marks'!DI97,IF($P$3=$AT$14,"",IF($P$3=$AT$15,'Statement of Marks'!FC97,""))))))))),"")</f>
        <v/>
      </c>
      <c r="Q98" s="806" t="str">
        <f>IFERROR(IF(B98="","",IF($P$3=$AT$8,"",IF($P$3=$AT$9,"",IF($P$3=$AT$10,'Statement of Marks'!AR97,IF($P$3=$AT$11,'Statement of Marks'!BO97,IF($P$3=$AT$12,'Statement of Marks'!CL97,IF($P$3=$AT$13,'Statement of Marks'!DJ97,IF($P$3=$AT$14,"",IF($P$3=$AT$15,"",""))))))))),"")</f>
        <v/>
      </c>
      <c r="R98" s="818" t="str">
        <f>IFERROR(IF(B98="","",IF(AND(P98="",Q98="",$P$3=""),"",IF($P$3=$AT$14,'Statement of Marks'!EC97,SUM(P98,Q98)))),"")</f>
        <v/>
      </c>
      <c r="S98" s="817" t="str">
        <f>IFERROR(IF(B98="","",IF($P$3=$AT$14,'Statement of Marks'!ED97,IF(AND(O98="NA",P98="NA",Q98="NA"),"NA",IF(AND(O98="",P98="",Q98=""),"",SUM(O98,P98,Q98))))),"")</f>
        <v/>
      </c>
      <c r="T98" s="806" t="str">
        <f>IFERROR(IF(B98="","",IF($P$3=$AT$8,'Statement of Marks'!P97,IF($P$3=$AT$9,'Statement of Marks'!AD97,IF($P$3=$AT$10,'Statement of Marks'!AU97,IF($P$3=$AT$11,'Statement of Marks'!BR97,IF($P$3=$AT$12,'Statement of Marks'!CO97,IF($P$3=$AT$13,'Statement of Marks'!DM97,IF($P$3=$AT$14,"",IF($P$3=$AT$15,'Statement of Marks'!FD97,""))))))))),"")</f>
        <v/>
      </c>
      <c r="U98" s="806" t="str">
        <f>IFERROR(IF(B98="","",IF($P$3=$AT$8,"",IF($P$3=$AT$9,"",IF($P$3=$AT$10,'Statement of Marks'!AV97,IF($P$3=$AT$11,'Statement of Marks'!BS97,IF($P$3=$AT$12,'Statement of Marks'!CP97,IF($P$3=$AT$13,'Statement of Marks'!DN97,IF($P$3=$AT$14,"",IF($P$3=$AT$15,"",""))))))))),"")</f>
        <v/>
      </c>
      <c r="V98" s="818" t="str">
        <f>IFERROR(IF(B98="","",IF(AND(T98="",U98="",$P$3=""),"",IF($P$3=$AT$14,'Statement of Marks'!EE97,SUM(T98,U98)))),"")</f>
        <v/>
      </c>
      <c r="W98" s="808" t="str">
        <f t="shared" si="19"/>
        <v/>
      </c>
      <c r="X98" s="809">
        <f t="shared" si="20"/>
        <v>0</v>
      </c>
      <c r="Y98" s="809">
        <f t="shared" si="21"/>
        <v>0</v>
      </c>
      <c r="Z98" s="809">
        <f t="shared" si="22"/>
        <v>0</v>
      </c>
      <c r="AA98" s="809" t="str">
        <f t="shared" si="23"/>
        <v/>
      </c>
      <c r="AB98" s="809" t="str">
        <f t="shared" si="24"/>
        <v/>
      </c>
      <c r="AC98" s="809" t="str">
        <f t="shared" si="25"/>
        <v/>
      </c>
      <c r="AD98" s="809" t="str">
        <f t="shared" si="26"/>
        <v/>
      </c>
      <c r="AE98" s="810" t="str">
        <f t="shared" si="27"/>
        <v/>
      </c>
      <c r="AF98" s="811" t="str">
        <f t="shared" si="28"/>
        <v/>
      </c>
      <c r="AG98" s="812" t="str">
        <f t="shared" si="29"/>
        <v/>
      </c>
      <c r="AW98" s="17" t="str">
        <f t="shared" si="30"/>
        <v/>
      </c>
      <c r="AX98" s="17" t="str">
        <f t="shared" si="31"/>
        <v/>
      </c>
      <c r="BM98" s="17" t="str">
        <f>IFERROR(VLOOKUP(B98,'Statement of Marks'!$B$8:'Statement of Marks'!$HI$207,37,0),"")</f>
        <v>A</v>
      </c>
      <c r="BN98" s="17" t="str">
        <f>IFERROR(VLOOKUP(B98,'Statement of Marks'!$B$8:'Statement of Marks'!$HI$207,60,0),"")</f>
        <v>A</v>
      </c>
      <c r="BO98" s="17" t="str">
        <f>IFERROR(VLOOKUP(B98,'Statement of Marks'!$B$8:'Statement of Marks'!$HI$207,83,0),"")</f>
        <v>A</v>
      </c>
      <c r="BP98" s="17" t="str">
        <f>IFERROR(VLOOKUP(B98,'Statement of Marks'!$B$8:'Statement of Marks'!$HI$207,107,0),"")</f>
        <v/>
      </c>
    </row>
    <row r="99" spans="1:68">
      <c r="A99" s="800">
        <f>IF('Statement of Marks'!A98="","",'Statement of Marks'!A98)</f>
        <v>91</v>
      </c>
      <c r="B99" s="801" t="str">
        <f>IF(OR($E$3="",$P$3=""),"",IF('Statement of Marks'!B98="","",'Statement of Marks'!B98))</f>
        <v/>
      </c>
      <c r="C99" s="810" t="str">
        <f>IF(OR($E$3="",$P$3=""),"",IF('Marks Entry'!C98="","",'Marks Entry'!C98))</f>
        <v/>
      </c>
      <c r="D99" s="802" t="str">
        <f>IF(OR($E$3="",$P$3=""),"",IF('Statement of Marks'!C98="","",'Statement of Marks'!C98))</f>
        <v/>
      </c>
      <c r="E99" s="803" t="str">
        <f>IF(OR($E$3="",$P$3=""),"",IF('Statement of Marks'!D98="","",'Statement of Marks'!D98))</f>
        <v/>
      </c>
      <c r="F99" s="804" t="str">
        <f>IF(OR($E$3="",$P$3=""),"",IF('Statement of Marks'!E98="","",'Statement of Marks'!E98))</f>
        <v/>
      </c>
      <c r="G99" s="804" t="str">
        <f>IF(OR($E$3="",$P$3=""),"",IF('Statement of Marks'!F98="","",'Statement of Marks'!F98))</f>
        <v/>
      </c>
      <c r="H99" s="804" t="str">
        <f>IF(OR($E$3="",$P$3=""),"",IF('Statement of Marks'!G98="","",'Statement of Marks'!G98))</f>
        <v/>
      </c>
      <c r="I99" s="805" t="str">
        <f>IF(OR($E$3="",$P$3=""),"",IF('Statement of Marks'!H98="","",'Statement of Marks'!H98))</f>
        <v/>
      </c>
      <c r="J99" s="805" t="str">
        <f>IF(OR($E$3="",$P$3=""),"",IF('Statement of Marks'!I98="","",'Statement of Marks'!I98))</f>
        <v/>
      </c>
      <c r="K99" s="805" t="str">
        <f>IFERROR(IF(B99="","",IF($P$3=$AT$10,IF(AND(BM99="A"),'Marks Entry'!$U$2,IF(AND(BM99="B"),'Marks Entry'!$Y$2,IF(AND(BM99="C"),'Marks Entry'!$AA$2,""))),IF($P$3=$AT$11,IF(AND(BN99="A"),'Marks Entry'!$AC$2,IF(AND(BN99="B"),'Marks Entry'!$AG$2,IF(AND(BN99="C"),'Marks Entry'!$AI$2,""))),IF($P$3=$AT$12,IF(AND(BO99="A"),'Marks Entry'!$AK$2,IF(AND(BO99="B"),'Marks Entry'!$AO$2,IF(AND(BO99="C"),'Marks Entry'!$AQ$2,""))),IF($P$3=$AT$13,IF(AND(BP99="A"),'Marks Entry'!$AS$2,IF(AND(BP99="B"),'Marks Entry'!$AW$2,IF(AND(BP99="C"),'Marks Entry'!$AY$2,""))),"-"))))),"")</f>
        <v/>
      </c>
      <c r="L99" s="806" t="str">
        <f>IFERROR(IF(B99="","",IF($P$3=$AT$8,'Statement of Marks'!J98,IF($P$3=$AT$9,'Statement of Marks'!X98,IF($P$3=$AT$10,'Statement of Marks'!AM98,IF($P$3=$AT$11,'Statement of Marks'!BJ98,IF($P$3=$AT$12,'Statement of Marks'!CG98,IF($P$3=$AT$13,'Statement of Marks'!DE98,IF($P$3=$AT$14,"",IF($P$3=$AT$15,'Statement of Marks'!EY98,""))))))))),"")</f>
        <v/>
      </c>
      <c r="M99" s="806" t="str">
        <f>IFERROR(IF(B99="","",IF($P$3=$AT$8,'Statement of Marks'!K98,IF($P$3=$AT$9,'Statement of Marks'!Y98,IF($P$3=$AT$10,'Statement of Marks'!AN98,IF($P$3=$AT$11,'Statement of Marks'!BK98,IF($P$3=$AT$12,'Statement of Marks'!CH98,IF($P$3=$AT$13,'Statement of Marks'!DF98,IF($P$3=$AT$14,"",IF($P$3=$AT$15,'Statement of Marks'!EZ98,""))))))))),"")</f>
        <v/>
      </c>
      <c r="N99" s="806" t="str">
        <f>IFERROR(IF(B99="","",IF($P$3=$AT$8,'Statement of Marks'!L98,IF($P$3=$AT$9,'Statement of Marks'!Z98,IF($P$3=$AT$10,'Statement of Marks'!AO98,IF($P$3=$AT$11,'Statement of Marks'!BL98,IF($P$3=$AT$12,'Statement of Marks'!CI98,IF($P$3=$AT$13,'Statement of Marks'!DG98,IF($P$3=$AT$14,"",IF($P$3=$AT$15,'Statement of Marks'!FA98,""))))))))),"")</f>
        <v/>
      </c>
      <c r="O99" s="807" t="str">
        <f t="shared" si="18"/>
        <v/>
      </c>
      <c r="P99" s="806" t="str">
        <f>IFERROR(IF(B99="","",IF($P$3=$AT$8,'Statement of Marks'!N98,IF($P$3=$AT$9,'Statement of Marks'!AB98,IF($P$3=$AT$10,'Statement of Marks'!AQ98,IF($P$3=$AT$11,'Statement of Marks'!BN98,IF($P$3=$AT$12,'Statement of Marks'!CK98,IF($P$3=$AT$13,'Statement of Marks'!DI98,IF($P$3=$AT$14,"",IF($P$3=$AT$15,'Statement of Marks'!FC98,""))))))))),"")</f>
        <v/>
      </c>
      <c r="Q99" s="806" t="str">
        <f>IFERROR(IF(B99="","",IF($P$3=$AT$8,"",IF($P$3=$AT$9,"",IF($P$3=$AT$10,'Statement of Marks'!AR98,IF($P$3=$AT$11,'Statement of Marks'!BO98,IF($P$3=$AT$12,'Statement of Marks'!CL98,IF($P$3=$AT$13,'Statement of Marks'!DJ98,IF($P$3=$AT$14,"",IF($P$3=$AT$15,"",""))))))))),"")</f>
        <v/>
      </c>
      <c r="R99" s="818" t="str">
        <f>IFERROR(IF(B99="","",IF(AND(P99="",Q99="",$P$3=""),"",IF($P$3=$AT$14,'Statement of Marks'!EC98,SUM(P99,Q99)))),"")</f>
        <v/>
      </c>
      <c r="S99" s="817" t="str">
        <f>IFERROR(IF(B99="","",IF($P$3=$AT$14,'Statement of Marks'!ED98,IF(AND(O99="NA",P99="NA",Q99="NA"),"NA",IF(AND(O99="",P99="",Q99=""),"",SUM(O99,P99,Q99))))),"")</f>
        <v/>
      </c>
      <c r="T99" s="806" t="str">
        <f>IFERROR(IF(B99="","",IF($P$3=$AT$8,'Statement of Marks'!P98,IF($P$3=$AT$9,'Statement of Marks'!AD98,IF($P$3=$AT$10,'Statement of Marks'!AU98,IF($P$3=$AT$11,'Statement of Marks'!BR98,IF($P$3=$AT$12,'Statement of Marks'!CO98,IF($P$3=$AT$13,'Statement of Marks'!DM98,IF($P$3=$AT$14,"",IF($P$3=$AT$15,'Statement of Marks'!FD98,""))))))))),"")</f>
        <v/>
      </c>
      <c r="U99" s="806" t="str">
        <f>IFERROR(IF(B99="","",IF($P$3=$AT$8,"",IF($P$3=$AT$9,"",IF($P$3=$AT$10,'Statement of Marks'!AV98,IF($P$3=$AT$11,'Statement of Marks'!BS98,IF($P$3=$AT$12,'Statement of Marks'!CP98,IF($P$3=$AT$13,'Statement of Marks'!DN98,IF($P$3=$AT$14,"",IF($P$3=$AT$15,"",""))))))))),"")</f>
        <v/>
      </c>
      <c r="V99" s="818" t="str">
        <f>IFERROR(IF(B99="","",IF(AND(T99="",U99="",$P$3=""),"",IF($P$3=$AT$14,'Statement of Marks'!EE98,SUM(T99,U99)))),"")</f>
        <v/>
      </c>
      <c r="W99" s="808" t="str">
        <f t="shared" si="19"/>
        <v/>
      </c>
      <c r="X99" s="809">
        <f t="shared" si="20"/>
        <v>0</v>
      </c>
      <c r="Y99" s="809">
        <f t="shared" si="21"/>
        <v>0</v>
      </c>
      <c r="Z99" s="809">
        <f t="shared" si="22"/>
        <v>0</v>
      </c>
      <c r="AA99" s="809" t="str">
        <f t="shared" si="23"/>
        <v/>
      </c>
      <c r="AB99" s="809" t="str">
        <f t="shared" si="24"/>
        <v/>
      </c>
      <c r="AC99" s="809" t="str">
        <f t="shared" si="25"/>
        <v/>
      </c>
      <c r="AD99" s="809" t="str">
        <f t="shared" si="26"/>
        <v/>
      </c>
      <c r="AE99" s="810" t="str">
        <f t="shared" si="27"/>
        <v/>
      </c>
      <c r="AF99" s="811" t="str">
        <f t="shared" si="28"/>
        <v/>
      </c>
      <c r="AG99" s="812" t="str">
        <f t="shared" si="29"/>
        <v/>
      </c>
      <c r="AW99" s="17" t="str">
        <f t="shared" si="30"/>
        <v/>
      </c>
      <c r="AX99" s="17" t="str">
        <f t="shared" si="31"/>
        <v/>
      </c>
      <c r="BM99" s="17" t="str">
        <f>IFERROR(VLOOKUP(B99,'Statement of Marks'!$B$8:'Statement of Marks'!$HI$207,37,0),"")</f>
        <v>A</v>
      </c>
      <c r="BN99" s="17" t="str">
        <f>IFERROR(VLOOKUP(B99,'Statement of Marks'!$B$8:'Statement of Marks'!$HI$207,60,0),"")</f>
        <v>A</v>
      </c>
      <c r="BO99" s="17" t="str">
        <f>IFERROR(VLOOKUP(B99,'Statement of Marks'!$B$8:'Statement of Marks'!$HI$207,83,0),"")</f>
        <v>A</v>
      </c>
      <c r="BP99" s="17" t="str">
        <f>IFERROR(VLOOKUP(B99,'Statement of Marks'!$B$8:'Statement of Marks'!$HI$207,107,0),"")</f>
        <v/>
      </c>
    </row>
    <row r="100" spans="1:68">
      <c r="A100" s="800">
        <f>IF('Statement of Marks'!A99="","",'Statement of Marks'!A99)</f>
        <v>92</v>
      </c>
      <c r="B100" s="801" t="str">
        <f>IF(OR($E$3="",$P$3=""),"",IF('Statement of Marks'!B99="","",'Statement of Marks'!B99))</f>
        <v/>
      </c>
      <c r="C100" s="810" t="str">
        <f>IF(OR($E$3="",$P$3=""),"",IF('Marks Entry'!C99="","",'Marks Entry'!C99))</f>
        <v/>
      </c>
      <c r="D100" s="802" t="str">
        <f>IF(OR($E$3="",$P$3=""),"",IF('Statement of Marks'!C99="","",'Statement of Marks'!C99))</f>
        <v/>
      </c>
      <c r="E100" s="803" t="str">
        <f>IF(OR($E$3="",$P$3=""),"",IF('Statement of Marks'!D99="","",'Statement of Marks'!D99))</f>
        <v/>
      </c>
      <c r="F100" s="804" t="str">
        <f>IF(OR($E$3="",$P$3=""),"",IF('Statement of Marks'!E99="","",'Statement of Marks'!E99))</f>
        <v/>
      </c>
      <c r="G100" s="804" t="str">
        <f>IF(OR($E$3="",$P$3=""),"",IF('Statement of Marks'!F99="","",'Statement of Marks'!F99))</f>
        <v/>
      </c>
      <c r="H100" s="804" t="str">
        <f>IF(OR($E$3="",$P$3=""),"",IF('Statement of Marks'!G99="","",'Statement of Marks'!G99))</f>
        <v/>
      </c>
      <c r="I100" s="805" t="str">
        <f>IF(OR($E$3="",$P$3=""),"",IF('Statement of Marks'!H99="","",'Statement of Marks'!H99))</f>
        <v/>
      </c>
      <c r="J100" s="805" t="str">
        <f>IF(OR($E$3="",$P$3=""),"",IF('Statement of Marks'!I99="","",'Statement of Marks'!I99))</f>
        <v/>
      </c>
      <c r="K100" s="805" t="str">
        <f>IFERROR(IF(B100="","",IF($P$3=$AT$10,IF(AND(BM100="A"),'Marks Entry'!$U$2,IF(AND(BM100="B"),'Marks Entry'!$Y$2,IF(AND(BM100="C"),'Marks Entry'!$AA$2,""))),IF($P$3=$AT$11,IF(AND(BN100="A"),'Marks Entry'!$AC$2,IF(AND(BN100="B"),'Marks Entry'!$AG$2,IF(AND(BN100="C"),'Marks Entry'!$AI$2,""))),IF($P$3=$AT$12,IF(AND(BO100="A"),'Marks Entry'!$AK$2,IF(AND(BO100="B"),'Marks Entry'!$AO$2,IF(AND(BO100="C"),'Marks Entry'!$AQ$2,""))),IF($P$3=$AT$13,IF(AND(BP100="A"),'Marks Entry'!$AS$2,IF(AND(BP100="B"),'Marks Entry'!$AW$2,IF(AND(BP100="C"),'Marks Entry'!$AY$2,""))),"-"))))),"")</f>
        <v/>
      </c>
      <c r="L100" s="806" t="str">
        <f>IFERROR(IF(B100="","",IF($P$3=$AT$8,'Statement of Marks'!J99,IF($P$3=$AT$9,'Statement of Marks'!X99,IF($P$3=$AT$10,'Statement of Marks'!AM99,IF($P$3=$AT$11,'Statement of Marks'!BJ99,IF($P$3=$AT$12,'Statement of Marks'!CG99,IF($P$3=$AT$13,'Statement of Marks'!DE99,IF($P$3=$AT$14,"",IF($P$3=$AT$15,'Statement of Marks'!EY99,""))))))))),"")</f>
        <v/>
      </c>
      <c r="M100" s="806" t="str">
        <f>IFERROR(IF(B100="","",IF($P$3=$AT$8,'Statement of Marks'!K99,IF($P$3=$AT$9,'Statement of Marks'!Y99,IF($P$3=$AT$10,'Statement of Marks'!AN99,IF($P$3=$AT$11,'Statement of Marks'!BK99,IF($P$3=$AT$12,'Statement of Marks'!CH99,IF($P$3=$AT$13,'Statement of Marks'!DF99,IF($P$3=$AT$14,"",IF($P$3=$AT$15,'Statement of Marks'!EZ99,""))))))))),"")</f>
        <v/>
      </c>
      <c r="N100" s="806" t="str">
        <f>IFERROR(IF(B100="","",IF($P$3=$AT$8,'Statement of Marks'!L99,IF($P$3=$AT$9,'Statement of Marks'!Z99,IF($P$3=$AT$10,'Statement of Marks'!AO99,IF($P$3=$AT$11,'Statement of Marks'!BL99,IF($P$3=$AT$12,'Statement of Marks'!CI99,IF($P$3=$AT$13,'Statement of Marks'!DG99,IF($P$3=$AT$14,"",IF($P$3=$AT$15,'Statement of Marks'!FA99,""))))))))),"")</f>
        <v/>
      </c>
      <c r="O100" s="807" t="str">
        <f t="shared" si="18"/>
        <v/>
      </c>
      <c r="P100" s="806" t="str">
        <f>IFERROR(IF(B100="","",IF($P$3=$AT$8,'Statement of Marks'!N99,IF($P$3=$AT$9,'Statement of Marks'!AB99,IF($P$3=$AT$10,'Statement of Marks'!AQ99,IF($P$3=$AT$11,'Statement of Marks'!BN99,IF($P$3=$AT$12,'Statement of Marks'!CK99,IF($P$3=$AT$13,'Statement of Marks'!DI99,IF($P$3=$AT$14,"",IF($P$3=$AT$15,'Statement of Marks'!FC99,""))))))))),"")</f>
        <v/>
      </c>
      <c r="Q100" s="806" t="str">
        <f>IFERROR(IF(B100="","",IF($P$3=$AT$8,"",IF($P$3=$AT$9,"",IF($P$3=$AT$10,'Statement of Marks'!AR99,IF($P$3=$AT$11,'Statement of Marks'!BO99,IF($P$3=$AT$12,'Statement of Marks'!CL99,IF($P$3=$AT$13,'Statement of Marks'!DJ99,IF($P$3=$AT$14,"",IF($P$3=$AT$15,"",""))))))))),"")</f>
        <v/>
      </c>
      <c r="R100" s="818" t="str">
        <f>IFERROR(IF(B100="","",IF(AND(P100="",Q100="",$P$3=""),"",IF($P$3=$AT$14,'Statement of Marks'!EC99,SUM(P100,Q100)))),"")</f>
        <v/>
      </c>
      <c r="S100" s="817" t="str">
        <f>IFERROR(IF(B100="","",IF($P$3=$AT$14,'Statement of Marks'!ED99,IF(AND(O100="NA",P100="NA",Q100="NA"),"NA",IF(AND(O100="",P100="",Q100=""),"",SUM(O100,P100,Q100))))),"")</f>
        <v/>
      </c>
      <c r="T100" s="806" t="str">
        <f>IFERROR(IF(B100="","",IF($P$3=$AT$8,'Statement of Marks'!P99,IF($P$3=$AT$9,'Statement of Marks'!AD99,IF($P$3=$AT$10,'Statement of Marks'!AU99,IF($P$3=$AT$11,'Statement of Marks'!BR99,IF($P$3=$AT$12,'Statement of Marks'!CO99,IF($P$3=$AT$13,'Statement of Marks'!DM99,IF($P$3=$AT$14,"",IF($P$3=$AT$15,'Statement of Marks'!FD99,""))))))))),"")</f>
        <v/>
      </c>
      <c r="U100" s="806" t="str">
        <f>IFERROR(IF(B100="","",IF($P$3=$AT$8,"",IF($P$3=$AT$9,"",IF($P$3=$AT$10,'Statement of Marks'!AV99,IF($P$3=$AT$11,'Statement of Marks'!BS99,IF($P$3=$AT$12,'Statement of Marks'!CP99,IF($P$3=$AT$13,'Statement of Marks'!DN99,IF($P$3=$AT$14,"",IF($P$3=$AT$15,"",""))))))))),"")</f>
        <v/>
      </c>
      <c r="V100" s="818" t="str">
        <f>IFERROR(IF(B100="","",IF(AND(T100="",U100="",$P$3=""),"",IF($P$3=$AT$14,'Statement of Marks'!EE99,SUM(T100,U100)))),"")</f>
        <v/>
      </c>
      <c r="W100" s="808" t="str">
        <f t="shared" si="19"/>
        <v/>
      </c>
      <c r="X100" s="809">
        <f t="shared" si="20"/>
        <v>0</v>
      </c>
      <c r="Y100" s="809">
        <f t="shared" si="21"/>
        <v>0</v>
      </c>
      <c r="Z100" s="809">
        <f t="shared" si="22"/>
        <v>0</v>
      </c>
      <c r="AA100" s="809" t="str">
        <f t="shared" si="23"/>
        <v/>
      </c>
      <c r="AB100" s="809" t="str">
        <f t="shared" si="24"/>
        <v/>
      </c>
      <c r="AC100" s="809" t="str">
        <f t="shared" si="25"/>
        <v/>
      </c>
      <c r="AD100" s="809" t="str">
        <f t="shared" si="26"/>
        <v/>
      </c>
      <c r="AE100" s="810" t="str">
        <f t="shared" si="27"/>
        <v/>
      </c>
      <c r="AF100" s="811" t="str">
        <f t="shared" si="28"/>
        <v/>
      </c>
      <c r="AG100" s="812" t="str">
        <f t="shared" si="29"/>
        <v/>
      </c>
      <c r="AW100" s="17" t="str">
        <f t="shared" si="30"/>
        <v/>
      </c>
      <c r="AX100" s="17" t="str">
        <f t="shared" si="31"/>
        <v/>
      </c>
      <c r="BM100" s="17" t="str">
        <f>IFERROR(VLOOKUP(B100,'Statement of Marks'!$B$8:'Statement of Marks'!$HI$207,37,0),"")</f>
        <v>A</v>
      </c>
      <c r="BN100" s="17" t="str">
        <f>IFERROR(VLOOKUP(B100,'Statement of Marks'!$B$8:'Statement of Marks'!$HI$207,60,0),"")</f>
        <v>A</v>
      </c>
      <c r="BO100" s="17" t="str">
        <f>IFERROR(VLOOKUP(B100,'Statement of Marks'!$B$8:'Statement of Marks'!$HI$207,83,0),"")</f>
        <v>A</v>
      </c>
      <c r="BP100" s="17" t="str">
        <f>IFERROR(VLOOKUP(B100,'Statement of Marks'!$B$8:'Statement of Marks'!$HI$207,107,0),"")</f>
        <v/>
      </c>
    </row>
    <row r="101" spans="1:68">
      <c r="A101" s="800">
        <f>IF('Statement of Marks'!A100="","",'Statement of Marks'!A100)</f>
        <v>93</v>
      </c>
      <c r="B101" s="801" t="str">
        <f>IF(OR($E$3="",$P$3=""),"",IF('Statement of Marks'!B100="","",'Statement of Marks'!B100))</f>
        <v/>
      </c>
      <c r="C101" s="810" t="str">
        <f>IF(OR($E$3="",$P$3=""),"",IF('Marks Entry'!C100="","",'Marks Entry'!C100))</f>
        <v/>
      </c>
      <c r="D101" s="802" t="str">
        <f>IF(OR($E$3="",$P$3=""),"",IF('Statement of Marks'!C100="","",'Statement of Marks'!C100))</f>
        <v/>
      </c>
      <c r="E101" s="803" t="str">
        <f>IF(OR($E$3="",$P$3=""),"",IF('Statement of Marks'!D100="","",'Statement of Marks'!D100))</f>
        <v/>
      </c>
      <c r="F101" s="804" t="str">
        <f>IF(OR($E$3="",$P$3=""),"",IF('Statement of Marks'!E100="","",'Statement of Marks'!E100))</f>
        <v/>
      </c>
      <c r="G101" s="804" t="str">
        <f>IF(OR($E$3="",$P$3=""),"",IF('Statement of Marks'!F100="","",'Statement of Marks'!F100))</f>
        <v/>
      </c>
      <c r="H101" s="804" t="str">
        <f>IF(OR($E$3="",$P$3=""),"",IF('Statement of Marks'!G100="","",'Statement of Marks'!G100))</f>
        <v/>
      </c>
      <c r="I101" s="805" t="str">
        <f>IF(OR($E$3="",$P$3=""),"",IF('Statement of Marks'!H100="","",'Statement of Marks'!H100))</f>
        <v/>
      </c>
      <c r="J101" s="805" t="str">
        <f>IF(OR($E$3="",$P$3=""),"",IF('Statement of Marks'!I100="","",'Statement of Marks'!I100))</f>
        <v/>
      </c>
      <c r="K101" s="805" t="str">
        <f>IFERROR(IF(B101="","",IF($P$3=$AT$10,IF(AND(BM101="A"),'Marks Entry'!$U$2,IF(AND(BM101="B"),'Marks Entry'!$Y$2,IF(AND(BM101="C"),'Marks Entry'!$AA$2,""))),IF($P$3=$AT$11,IF(AND(BN101="A"),'Marks Entry'!$AC$2,IF(AND(BN101="B"),'Marks Entry'!$AG$2,IF(AND(BN101="C"),'Marks Entry'!$AI$2,""))),IF($P$3=$AT$12,IF(AND(BO101="A"),'Marks Entry'!$AK$2,IF(AND(BO101="B"),'Marks Entry'!$AO$2,IF(AND(BO101="C"),'Marks Entry'!$AQ$2,""))),IF($P$3=$AT$13,IF(AND(BP101="A"),'Marks Entry'!$AS$2,IF(AND(BP101="B"),'Marks Entry'!$AW$2,IF(AND(BP101="C"),'Marks Entry'!$AY$2,""))),"-"))))),"")</f>
        <v/>
      </c>
      <c r="L101" s="806" t="str">
        <f>IFERROR(IF(B101="","",IF($P$3=$AT$8,'Statement of Marks'!J100,IF($P$3=$AT$9,'Statement of Marks'!X100,IF($P$3=$AT$10,'Statement of Marks'!AM100,IF($P$3=$AT$11,'Statement of Marks'!BJ100,IF($P$3=$AT$12,'Statement of Marks'!CG100,IF($P$3=$AT$13,'Statement of Marks'!DE100,IF($P$3=$AT$14,"",IF($P$3=$AT$15,'Statement of Marks'!EY100,""))))))))),"")</f>
        <v/>
      </c>
      <c r="M101" s="806" t="str">
        <f>IFERROR(IF(B101="","",IF($P$3=$AT$8,'Statement of Marks'!K100,IF($P$3=$AT$9,'Statement of Marks'!Y100,IF($P$3=$AT$10,'Statement of Marks'!AN100,IF($P$3=$AT$11,'Statement of Marks'!BK100,IF($P$3=$AT$12,'Statement of Marks'!CH100,IF($P$3=$AT$13,'Statement of Marks'!DF100,IF($P$3=$AT$14,"",IF($P$3=$AT$15,'Statement of Marks'!EZ100,""))))))))),"")</f>
        <v/>
      </c>
      <c r="N101" s="806" t="str">
        <f>IFERROR(IF(B101="","",IF($P$3=$AT$8,'Statement of Marks'!L100,IF($P$3=$AT$9,'Statement of Marks'!Z100,IF($P$3=$AT$10,'Statement of Marks'!AO100,IF($P$3=$AT$11,'Statement of Marks'!BL100,IF($P$3=$AT$12,'Statement of Marks'!CI100,IF($P$3=$AT$13,'Statement of Marks'!DG100,IF($P$3=$AT$14,"",IF($P$3=$AT$15,'Statement of Marks'!FA100,""))))))))),"")</f>
        <v/>
      </c>
      <c r="O101" s="807" t="str">
        <f t="shared" si="18"/>
        <v/>
      </c>
      <c r="P101" s="806" t="str">
        <f>IFERROR(IF(B101="","",IF($P$3=$AT$8,'Statement of Marks'!N100,IF($P$3=$AT$9,'Statement of Marks'!AB100,IF($P$3=$AT$10,'Statement of Marks'!AQ100,IF($P$3=$AT$11,'Statement of Marks'!BN100,IF($P$3=$AT$12,'Statement of Marks'!CK100,IF($P$3=$AT$13,'Statement of Marks'!DI100,IF($P$3=$AT$14,"",IF($P$3=$AT$15,'Statement of Marks'!FC100,""))))))))),"")</f>
        <v/>
      </c>
      <c r="Q101" s="806" t="str">
        <f>IFERROR(IF(B101="","",IF($P$3=$AT$8,"",IF($P$3=$AT$9,"",IF($P$3=$AT$10,'Statement of Marks'!AR100,IF($P$3=$AT$11,'Statement of Marks'!BO100,IF($P$3=$AT$12,'Statement of Marks'!CL100,IF($P$3=$AT$13,'Statement of Marks'!DJ100,IF($P$3=$AT$14,"",IF($P$3=$AT$15,"",""))))))))),"")</f>
        <v/>
      </c>
      <c r="R101" s="818" t="str">
        <f>IFERROR(IF(B101="","",IF(AND(P101="",Q101="",$P$3=""),"",IF($P$3=$AT$14,'Statement of Marks'!EC100,SUM(P101,Q101)))),"")</f>
        <v/>
      </c>
      <c r="S101" s="817" t="str">
        <f>IFERROR(IF(B101="","",IF($P$3=$AT$14,'Statement of Marks'!ED100,IF(AND(O101="NA",P101="NA",Q101="NA"),"NA",IF(AND(O101="",P101="",Q101=""),"",SUM(O101,P101,Q101))))),"")</f>
        <v/>
      </c>
      <c r="T101" s="806" t="str">
        <f>IFERROR(IF(B101="","",IF($P$3=$AT$8,'Statement of Marks'!P100,IF($P$3=$AT$9,'Statement of Marks'!AD100,IF($P$3=$AT$10,'Statement of Marks'!AU100,IF($P$3=$AT$11,'Statement of Marks'!BR100,IF($P$3=$AT$12,'Statement of Marks'!CO100,IF($P$3=$AT$13,'Statement of Marks'!DM100,IF($P$3=$AT$14,"",IF($P$3=$AT$15,'Statement of Marks'!FD100,""))))))))),"")</f>
        <v/>
      </c>
      <c r="U101" s="806" t="str">
        <f>IFERROR(IF(B101="","",IF($P$3=$AT$8,"",IF($P$3=$AT$9,"",IF($P$3=$AT$10,'Statement of Marks'!AV100,IF($P$3=$AT$11,'Statement of Marks'!BS100,IF($P$3=$AT$12,'Statement of Marks'!CP100,IF($P$3=$AT$13,'Statement of Marks'!DN100,IF($P$3=$AT$14,"",IF($P$3=$AT$15,"",""))))))))),"")</f>
        <v/>
      </c>
      <c r="V101" s="818" t="str">
        <f>IFERROR(IF(B101="","",IF(AND(T101="",U101="",$P$3=""),"",IF($P$3=$AT$14,'Statement of Marks'!EE100,SUM(T101,U101)))),"")</f>
        <v/>
      </c>
      <c r="W101" s="808" t="str">
        <f t="shared" si="19"/>
        <v/>
      </c>
      <c r="X101" s="809">
        <f t="shared" si="20"/>
        <v>0</v>
      </c>
      <c r="Y101" s="809">
        <f t="shared" si="21"/>
        <v>0</v>
      </c>
      <c r="Z101" s="809">
        <f t="shared" si="22"/>
        <v>0</v>
      </c>
      <c r="AA101" s="809" t="str">
        <f t="shared" si="23"/>
        <v/>
      </c>
      <c r="AB101" s="809" t="str">
        <f t="shared" si="24"/>
        <v/>
      </c>
      <c r="AC101" s="809" t="str">
        <f t="shared" si="25"/>
        <v/>
      </c>
      <c r="AD101" s="809" t="str">
        <f t="shared" si="26"/>
        <v/>
      </c>
      <c r="AE101" s="810" t="str">
        <f t="shared" si="27"/>
        <v/>
      </c>
      <c r="AF101" s="811" t="str">
        <f t="shared" si="28"/>
        <v/>
      </c>
      <c r="AG101" s="812" t="str">
        <f t="shared" si="29"/>
        <v/>
      </c>
      <c r="AW101" s="17" t="str">
        <f t="shared" si="30"/>
        <v/>
      </c>
      <c r="AX101" s="17" t="str">
        <f t="shared" si="31"/>
        <v/>
      </c>
      <c r="BM101" s="17" t="str">
        <f>IFERROR(VLOOKUP(B101,'Statement of Marks'!$B$8:'Statement of Marks'!$HI$207,37,0),"")</f>
        <v>A</v>
      </c>
      <c r="BN101" s="17" t="str">
        <f>IFERROR(VLOOKUP(B101,'Statement of Marks'!$B$8:'Statement of Marks'!$HI$207,60,0),"")</f>
        <v>A</v>
      </c>
      <c r="BO101" s="17" t="str">
        <f>IFERROR(VLOOKUP(B101,'Statement of Marks'!$B$8:'Statement of Marks'!$HI$207,83,0),"")</f>
        <v>A</v>
      </c>
      <c r="BP101" s="17" t="str">
        <f>IFERROR(VLOOKUP(B101,'Statement of Marks'!$B$8:'Statement of Marks'!$HI$207,107,0),"")</f>
        <v/>
      </c>
    </row>
    <row r="102" spans="1:68">
      <c r="A102" s="800">
        <f>IF('Statement of Marks'!A101="","",'Statement of Marks'!A101)</f>
        <v>94</v>
      </c>
      <c r="B102" s="801" t="str">
        <f>IF(OR($E$3="",$P$3=""),"",IF('Statement of Marks'!B101="","",'Statement of Marks'!B101))</f>
        <v/>
      </c>
      <c r="C102" s="810" t="str">
        <f>IF(OR($E$3="",$P$3=""),"",IF('Marks Entry'!C101="","",'Marks Entry'!C101))</f>
        <v/>
      </c>
      <c r="D102" s="802" t="str">
        <f>IF(OR($E$3="",$P$3=""),"",IF('Statement of Marks'!C101="","",'Statement of Marks'!C101))</f>
        <v/>
      </c>
      <c r="E102" s="803" t="str">
        <f>IF(OR($E$3="",$P$3=""),"",IF('Statement of Marks'!D101="","",'Statement of Marks'!D101))</f>
        <v/>
      </c>
      <c r="F102" s="804" t="str">
        <f>IF(OR($E$3="",$P$3=""),"",IF('Statement of Marks'!E101="","",'Statement of Marks'!E101))</f>
        <v/>
      </c>
      <c r="G102" s="804" t="str">
        <f>IF(OR($E$3="",$P$3=""),"",IF('Statement of Marks'!F101="","",'Statement of Marks'!F101))</f>
        <v/>
      </c>
      <c r="H102" s="804" t="str">
        <f>IF(OR($E$3="",$P$3=""),"",IF('Statement of Marks'!G101="","",'Statement of Marks'!G101))</f>
        <v/>
      </c>
      <c r="I102" s="805" t="str">
        <f>IF(OR($E$3="",$P$3=""),"",IF('Statement of Marks'!H101="","",'Statement of Marks'!H101))</f>
        <v/>
      </c>
      <c r="J102" s="805" t="str">
        <f>IF(OR($E$3="",$P$3=""),"",IF('Statement of Marks'!I101="","",'Statement of Marks'!I101))</f>
        <v/>
      </c>
      <c r="K102" s="805" t="str">
        <f>IFERROR(IF(B102="","",IF($P$3=$AT$10,IF(AND(BM102="A"),'Marks Entry'!$U$2,IF(AND(BM102="B"),'Marks Entry'!$Y$2,IF(AND(BM102="C"),'Marks Entry'!$AA$2,""))),IF($P$3=$AT$11,IF(AND(BN102="A"),'Marks Entry'!$AC$2,IF(AND(BN102="B"),'Marks Entry'!$AG$2,IF(AND(BN102="C"),'Marks Entry'!$AI$2,""))),IF($P$3=$AT$12,IF(AND(BO102="A"),'Marks Entry'!$AK$2,IF(AND(BO102="B"),'Marks Entry'!$AO$2,IF(AND(BO102="C"),'Marks Entry'!$AQ$2,""))),IF($P$3=$AT$13,IF(AND(BP102="A"),'Marks Entry'!$AS$2,IF(AND(BP102="B"),'Marks Entry'!$AW$2,IF(AND(BP102="C"),'Marks Entry'!$AY$2,""))),"-"))))),"")</f>
        <v/>
      </c>
      <c r="L102" s="806" t="str">
        <f>IFERROR(IF(B102="","",IF($P$3=$AT$8,'Statement of Marks'!J101,IF($P$3=$AT$9,'Statement of Marks'!X101,IF($P$3=$AT$10,'Statement of Marks'!AM101,IF($P$3=$AT$11,'Statement of Marks'!BJ101,IF($P$3=$AT$12,'Statement of Marks'!CG101,IF($P$3=$AT$13,'Statement of Marks'!DE101,IF($P$3=$AT$14,"",IF($P$3=$AT$15,'Statement of Marks'!EY101,""))))))))),"")</f>
        <v/>
      </c>
      <c r="M102" s="806" t="str">
        <f>IFERROR(IF(B102="","",IF($P$3=$AT$8,'Statement of Marks'!K101,IF($P$3=$AT$9,'Statement of Marks'!Y101,IF($P$3=$AT$10,'Statement of Marks'!AN101,IF($P$3=$AT$11,'Statement of Marks'!BK101,IF($P$3=$AT$12,'Statement of Marks'!CH101,IF($P$3=$AT$13,'Statement of Marks'!DF101,IF($P$3=$AT$14,"",IF($P$3=$AT$15,'Statement of Marks'!EZ101,""))))))))),"")</f>
        <v/>
      </c>
      <c r="N102" s="806" t="str">
        <f>IFERROR(IF(B102="","",IF($P$3=$AT$8,'Statement of Marks'!L101,IF($P$3=$AT$9,'Statement of Marks'!Z101,IF($P$3=$AT$10,'Statement of Marks'!AO101,IF($P$3=$AT$11,'Statement of Marks'!BL101,IF($P$3=$AT$12,'Statement of Marks'!CI101,IF($P$3=$AT$13,'Statement of Marks'!DG101,IF($P$3=$AT$14,"",IF($P$3=$AT$15,'Statement of Marks'!FA101,""))))))))),"")</f>
        <v/>
      </c>
      <c r="O102" s="807" t="str">
        <f t="shared" si="18"/>
        <v/>
      </c>
      <c r="P102" s="806" t="str">
        <f>IFERROR(IF(B102="","",IF($P$3=$AT$8,'Statement of Marks'!N101,IF($P$3=$AT$9,'Statement of Marks'!AB101,IF($P$3=$AT$10,'Statement of Marks'!AQ101,IF($P$3=$AT$11,'Statement of Marks'!BN101,IF($P$3=$AT$12,'Statement of Marks'!CK101,IF($P$3=$AT$13,'Statement of Marks'!DI101,IF($P$3=$AT$14,"",IF($P$3=$AT$15,'Statement of Marks'!FC101,""))))))))),"")</f>
        <v/>
      </c>
      <c r="Q102" s="806" t="str">
        <f>IFERROR(IF(B102="","",IF($P$3=$AT$8,"",IF($P$3=$AT$9,"",IF($P$3=$AT$10,'Statement of Marks'!AR101,IF($P$3=$AT$11,'Statement of Marks'!BO101,IF($P$3=$AT$12,'Statement of Marks'!CL101,IF($P$3=$AT$13,'Statement of Marks'!DJ101,IF($P$3=$AT$14,"",IF($P$3=$AT$15,"",""))))))))),"")</f>
        <v/>
      </c>
      <c r="R102" s="818" t="str">
        <f>IFERROR(IF(B102="","",IF(AND(P102="",Q102="",$P$3=""),"",IF($P$3=$AT$14,'Statement of Marks'!EC101,SUM(P102,Q102)))),"")</f>
        <v/>
      </c>
      <c r="S102" s="817" t="str">
        <f>IFERROR(IF(B102="","",IF($P$3=$AT$14,'Statement of Marks'!ED101,IF(AND(O102="NA",P102="NA",Q102="NA"),"NA",IF(AND(O102="",P102="",Q102=""),"",SUM(O102,P102,Q102))))),"")</f>
        <v/>
      </c>
      <c r="T102" s="806" t="str">
        <f>IFERROR(IF(B102="","",IF($P$3=$AT$8,'Statement of Marks'!P101,IF($P$3=$AT$9,'Statement of Marks'!AD101,IF($P$3=$AT$10,'Statement of Marks'!AU101,IF($P$3=$AT$11,'Statement of Marks'!BR101,IF($P$3=$AT$12,'Statement of Marks'!CO101,IF($P$3=$AT$13,'Statement of Marks'!DM101,IF($P$3=$AT$14,"",IF($P$3=$AT$15,'Statement of Marks'!FD101,""))))))))),"")</f>
        <v/>
      </c>
      <c r="U102" s="806" t="str">
        <f>IFERROR(IF(B102="","",IF($P$3=$AT$8,"",IF($P$3=$AT$9,"",IF($P$3=$AT$10,'Statement of Marks'!AV101,IF($P$3=$AT$11,'Statement of Marks'!BS101,IF($P$3=$AT$12,'Statement of Marks'!CP101,IF($P$3=$AT$13,'Statement of Marks'!DN101,IF($P$3=$AT$14,"",IF($P$3=$AT$15,"",""))))))))),"")</f>
        <v/>
      </c>
      <c r="V102" s="818" t="str">
        <f>IFERROR(IF(B102="","",IF(AND(T102="",U102="",$P$3=""),"",IF($P$3=$AT$14,'Statement of Marks'!EE101,SUM(T102,U102)))),"")</f>
        <v/>
      </c>
      <c r="W102" s="808" t="str">
        <f t="shared" si="19"/>
        <v/>
      </c>
      <c r="X102" s="809">
        <f t="shared" si="20"/>
        <v>0</v>
      </c>
      <c r="Y102" s="809">
        <f t="shared" si="21"/>
        <v>0</v>
      </c>
      <c r="Z102" s="809">
        <f t="shared" si="22"/>
        <v>0</v>
      </c>
      <c r="AA102" s="809" t="str">
        <f t="shared" si="23"/>
        <v/>
      </c>
      <c r="AB102" s="809" t="str">
        <f t="shared" si="24"/>
        <v/>
      </c>
      <c r="AC102" s="809" t="str">
        <f t="shared" si="25"/>
        <v/>
      </c>
      <c r="AD102" s="809" t="str">
        <f t="shared" si="26"/>
        <v/>
      </c>
      <c r="AE102" s="810" t="str">
        <f t="shared" si="27"/>
        <v/>
      </c>
      <c r="AF102" s="811" t="str">
        <f t="shared" si="28"/>
        <v/>
      </c>
      <c r="AG102" s="812" t="str">
        <f t="shared" si="29"/>
        <v/>
      </c>
      <c r="AW102" s="17" t="str">
        <f t="shared" si="30"/>
        <v/>
      </c>
      <c r="AX102" s="17" t="str">
        <f t="shared" si="31"/>
        <v/>
      </c>
      <c r="BM102" s="17" t="str">
        <f>IFERROR(VLOOKUP(B102,'Statement of Marks'!$B$8:'Statement of Marks'!$HI$207,37,0),"")</f>
        <v>A</v>
      </c>
      <c r="BN102" s="17" t="str">
        <f>IFERROR(VLOOKUP(B102,'Statement of Marks'!$B$8:'Statement of Marks'!$HI$207,60,0),"")</f>
        <v>A</v>
      </c>
      <c r="BO102" s="17" t="str">
        <f>IFERROR(VLOOKUP(B102,'Statement of Marks'!$B$8:'Statement of Marks'!$HI$207,83,0),"")</f>
        <v>A</v>
      </c>
      <c r="BP102" s="17" t="str">
        <f>IFERROR(VLOOKUP(B102,'Statement of Marks'!$B$8:'Statement of Marks'!$HI$207,107,0),"")</f>
        <v/>
      </c>
    </row>
    <row r="103" spans="1:68">
      <c r="A103" s="800">
        <f>IF('Statement of Marks'!A102="","",'Statement of Marks'!A102)</f>
        <v>95</v>
      </c>
      <c r="B103" s="801" t="str">
        <f>IF(OR($E$3="",$P$3=""),"",IF('Statement of Marks'!B102="","",'Statement of Marks'!B102))</f>
        <v/>
      </c>
      <c r="C103" s="810" t="str">
        <f>IF(OR($E$3="",$P$3=""),"",IF('Marks Entry'!C102="","",'Marks Entry'!C102))</f>
        <v/>
      </c>
      <c r="D103" s="802" t="str">
        <f>IF(OR($E$3="",$P$3=""),"",IF('Statement of Marks'!C102="","",'Statement of Marks'!C102))</f>
        <v/>
      </c>
      <c r="E103" s="803" t="str">
        <f>IF(OR($E$3="",$P$3=""),"",IF('Statement of Marks'!D102="","",'Statement of Marks'!D102))</f>
        <v/>
      </c>
      <c r="F103" s="804" t="str">
        <f>IF(OR($E$3="",$P$3=""),"",IF('Statement of Marks'!E102="","",'Statement of Marks'!E102))</f>
        <v/>
      </c>
      <c r="G103" s="804" t="str">
        <f>IF(OR($E$3="",$P$3=""),"",IF('Statement of Marks'!F102="","",'Statement of Marks'!F102))</f>
        <v/>
      </c>
      <c r="H103" s="804" t="str">
        <f>IF(OR($E$3="",$P$3=""),"",IF('Statement of Marks'!G102="","",'Statement of Marks'!G102))</f>
        <v/>
      </c>
      <c r="I103" s="805" t="str">
        <f>IF(OR($E$3="",$P$3=""),"",IF('Statement of Marks'!H102="","",'Statement of Marks'!H102))</f>
        <v/>
      </c>
      <c r="J103" s="805" t="str">
        <f>IF(OR($E$3="",$P$3=""),"",IF('Statement of Marks'!I102="","",'Statement of Marks'!I102))</f>
        <v/>
      </c>
      <c r="K103" s="805" t="str">
        <f>IFERROR(IF(B103="","",IF($P$3=$AT$10,IF(AND(BM103="A"),'Marks Entry'!$U$2,IF(AND(BM103="B"),'Marks Entry'!$Y$2,IF(AND(BM103="C"),'Marks Entry'!$AA$2,""))),IF($P$3=$AT$11,IF(AND(BN103="A"),'Marks Entry'!$AC$2,IF(AND(BN103="B"),'Marks Entry'!$AG$2,IF(AND(BN103="C"),'Marks Entry'!$AI$2,""))),IF($P$3=$AT$12,IF(AND(BO103="A"),'Marks Entry'!$AK$2,IF(AND(BO103="B"),'Marks Entry'!$AO$2,IF(AND(BO103="C"),'Marks Entry'!$AQ$2,""))),IF($P$3=$AT$13,IF(AND(BP103="A"),'Marks Entry'!$AS$2,IF(AND(BP103="B"),'Marks Entry'!$AW$2,IF(AND(BP103="C"),'Marks Entry'!$AY$2,""))),"-"))))),"")</f>
        <v/>
      </c>
      <c r="L103" s="806" t="str">
        <f>IFERROR(IF(B103="","",IF($P$3=$AT$8,'Statement of Marks'!J102,IF($P$3=$AT$9,'Statement of Marks'!X102,IF($P$3=$AT$10,'Statement of Marks'!AM102,IF($P$3=$AT$11,'Statement of Marks'!BJ102,IF($P$3=$AT$12,'Statement of Marks'!CG102,IF($P$3=$AT$13,'Statement of Marks'!DE102,IF($P$3=$AT$14,"",IF($P$3=$AT$15,'Statement of Marks'!EY102,""))))))))),"")</f>
        <v/>
      </c>
      <c r="M103" s="806" t="str">
        <f>IFERROR(IF(B103="","",IF($P$3=$AT$8,'Statement of Marks'!K102,IF($P$3=$AT$9,'Statement of Marks'!Y102,IF($P$3=$AT$10,'Statement of Marks'!AN102,IF($P$3=$AT$11,'Statement of Marks'!BK102,IF($P$3=$AT$12,'Statement of Marks'!CH102,IF($P$3=$AT$13,'Statement of Marks'!DF102,IF($P$3=$AT$14,"",IF($P$3=$AT$15,'Statement of Marks'!EZ102,""))))))))),"")</f>
        <v/>
      </c>
      <c r="N103" s="806" t="str">
        <f>IFERROR(IF(B103="","",IF($P$3=$AT$8,'Statement of Marks'!L102,IF($P$3=$AT$9,'Statement of Marks'!Z102,IF($P$3=$AT$10,'Statement of Marks'!AO102,IF($P$3=$AT$11,'Statement of Marks'!BL102,IF($P$3=$AT$12,'Statement of Marks'!CI102,IF($P$3=$AT$13,'Statement of Marks'!DG102,IF($P$3=$AT$14,"",IF($P$3=$AT$15,'Statement of Marks'!FA102,""))))))))),"")</f>
        <v/>
      </c>
      <c r="O103" s="807" t="str">
        <f t="shared" si="18"/>
        <v/>
      </c>
      <c r="P103" s="806" t="str">
        <f>IFERROR(IF(B103="","",IF($P$3=$AT$8,'Statement of Marks'!N102,IF($P$3=$AT$9,'Statement of Marks'!AB102,IF($P$3=$AT$10,'Statement of Marks'!AQ102,IF($P$3=$AT$11,'Statement of Marks'!BN102,IF($P$3=$AT$12,'Statement of Marks'!CK102,IF($P$3=$AT$13,'Statement of Marks'!DI102,IF($P$3=$AT$14,"",IF($P$3=$AT$15,'Statement of Marks'!FC102,""))))))))),"")</f>
        <v/>
      </c>
      <c r="Q103" s="806" t="str">
        <f>IFERROR(IF(B103="","",IF($P$3=$AT$8,"",IF($P$3=$AT$9,"",IF($P$3=$AT$10,'Statement of Marks'!AR102,IF($P$3=$AT$11,'Statement of Marks'!BO102,IF($P$3=$AT$12,'Statement of Marks'!CL102,IF($P$3=$AT$13,'Statement of Marks'!DJ102,IF($P$3=$AT$14,"",IF($P$3=$AT$15,"",""))))))))),"")</f>
        <v/>
      </c>
      <c r="R103" s="818" t="str">
        <f>IFERROR(IF(B103="","",IF(AND(P103="",Q103="",$P$3=""),"",IF($P$3=$AT$14,'Statement of Marks'!EC102,SUM(P103,Q103)))),"")</f>
        <v/>
      </c>
      <c r="S103" s="817" t="str">
        <f>IFERROR(IF(B103="","",IF($P$3=$AT$14,'Statement of Marks'!ED102,IF(AND(O103="NA",P103="NA",Q103="NA"),"NA",IF(AND(O103="",P103="",Q103=""),"",SUM(O103,P103,Q103))))),"")</f>
        <v/>
      </c>
      <c r="T103" s="806" t="str">
        <f>IFERROR(IF(B103="","",IF($P$3=$AT$8,'Statement of Marks'!P102,IF($P$3=$AT$9,'Statement of Marks'!AD102,IF($P$3=$AT$10,'Statement of Marks'!AU102,IF($P$3=$AT$11,'Statement of Marks'!BR102,IF($P$3=$AT$12,'Statement of Marks'!CO102,IF($P$3=$AT$13,'Statement of Marks'!DM102,IF($P$3=$AT$14,"",IF($P$3=$AT$15,'Statement of Marks'!FD102,""))))))))),"")</f>
        <v/>
      </c>
      <c r="U103" s="806" t="str">
        <f>IFERROR(IF(B103="","",IF($P$3=$AT$8,"",IF($P$3=$AT$9,"",IF($P$3=$AT$10,'Statement of Marks'!AV102,IF($P$3=$AT$11,'Statement of Marks'!BS102,IF($P$3=$AT$12,'Statement of Marks'!CP102,IF($P$3=$AT$13,'Statement of Marks'!DN102,IF($P$3=$AT$14,"",IF($P$3=$AT$15,"",""))))))))),"")</f>
        <v/>
      </c>
      <c r="V103" s="818" t="str">
        <f>IFERROR(IF(B103="","",IF(AND(T103="",U103="",$P$3=""),"",IF($P$3=$AT$14,'Statement of Marks'!EE102,SUM(T103,U103)))),"")</f>
        <v/>
      </c>
      <c r="W103" s="808" t="str">
        <f t="shared" si="19"/>
        <v/>
      </c>
      <c r="X103" s="809">
        <f t="shared" si="20"/>
        <v>0</v>
      </c>
      <c r="Y103" s="809">
        <f t="shared" si="21"/>
        <v>0</v>
      </c>
      <c r="Z103" s="809">
        <f t="shared" si="22"/>
        <v>0</v>
      </c>
      <c r="AA103" s="809" t="str">
        <f t="shared" si="23"/>
        <v/>
      </c>
      <c r="AB103" s="809" t="str">
        <f t="shared" si="24"/>
        <v/>
      </c>
      <c r="AC103" s="809" t="str">
        <f t="shared" si="25"/>
        <v/>
      </c>
      <c r="AD103" s="809" t="str">
        <f t="shared" si="26"/>
        <v/>
      </c>
      <c r="AE103" s="810" t="str">
        <f t="shared" si="27"/>
        <v/>
      </c>
      <c r="AF103" s="811" t="str">
        <f t="shared" si="28"/>
        <v/>
      </c>
      <c r="AG103" s="812" t="str">
        <f t="shared" si="29"/>
        <v/>
      </c>
      <c r="AW103" s="17" t="str">
        <f t="shared" si="30"/>
        <v/>
      </c>
      <c r="AX103" s="17" t="str">
        <f t="shared" si="31"/>
        <v/>
      </c>
      <c r="BM103" s="17" t="str">
        <f>IFERROR(VLOOKUP(B103,'Statement of Marks'!$B$8:'Statement of Marks'!$HI$207,37,0),"")</f>
        <v>A</v>
      </c>
      <c r="BN103" s="17" t="str">
        <f>IFERROR(VLOOKUP(B103,'Statement of Marks'!$B$8:'Statement of Marks'!$HI$207,60,0),"")</f>
        <v>A</v>
      </c>
      <c r="BO103" s="17" t="str">
        <f>IFERROR(VLOOKUP(B103,'Statement of Marks'!$B$8:'Statement of Marks'!$HI$207,83,0),"")</f>
        <v>A</v>
      </c>
      <c r="BP103" s="17" t="str">
        <f>IFERROR(VLOOKUP(B103,'Statement of Marks'!$B$8:'Statement of Marks'!$HI$207,107,0),"")</f>
        <v/>
      </c>
    </row>
    <row r="104" spans="1:68">
      <c r="A104" s="800">
        <f>IF('Statement of Marks'!A103="","",'Statement of Marks'!A103)</f>
        <v>96</v>
      </c>
      <c r="B104" s="801" t="str">
        <f>IF(OR($E$3="",$P$3=""),"",IF('Statement of Marks'!B103="","",'Statement of Marks'!B103))</f>
        <v/>
      </c>
      <c r="C104" s="810" t="str">
        <f>IF(OR($E$3="",$P$3=""),"",IF('Marks Entry'!C103="","",'Marks Entry'!C103))</f>
        <v/>
      </c>
      <c r="D104" s="802" t="str">
        <f>IF(OR($E$3="",$P$3=""),"",IF('Statement of Marks'!C103="","",'Statement of Marks'!C103))</f>
        <v/>
      </c>
      <c r="E104" s="803" t="str">
        <f>IF(OR($E$3="",$P$3=""),"",IF('Statement of Marks'!D103="","",'Statement of Marks'!D103))</f>
        <v/>
      </c>
      <c r="F104" s="804" t="str">
        <f>IF(OR($E$3="",$P$3=""),"",IF('Statement of Marks'!E103="","",'Statement of Marks'!E103))</f>
        <v/>
      </c>
      <c r="G104" s="804" t="str">
        <f>IF(OR($E$3="",$P$3=""),"",IF('Statement of Marks'!F103="","",'Statement of Marks'!F103))</f>
        <v/>
      </c>
      <c r="H104" s="804" t="str">
        <f>IF(OR($E$3="",$P$3=""),"",IF('Statement of Marks'!G103="","",'Statement of Marks'!G103))</f>
        <v/>
      </c>
      <c r="I104" s="805" t="str">
        <f>IF(OR($E$3="",$P$3=""),"",IF('Statement of Marks'!H103="","",'Statement of Marks'!H103))</f>
        <v/>
      </c>
      <c r="J104" s="805" t="str">
        <f>IF(OR($E$3="",$P$3=""),"",IF('Statement of Marks'!I103="","",'Statement of Marks'!I103))</f>
        <v/>
      </c>
      <c r="K104" s="805" t="str">
        <f>IFERROR(IF(B104="","",IF($P$3=$AT$10,IF(AND(BM104="A"),'Marks Entry'!$U$2,IF(AND(BM104="B"),'Marks Entry'!$Y$2,IF(AND(BM104="C"),'Marks Entry'!$AA$2,""))),IF($P$3=$AT$11,IF(AND(BN104="A"),'Marks Entry'!$AC$2,IF(AND(BN104="B"),'Marks Entry'!$AG$2,IF(AND(BN104="C"),'Marks Entry'!$AI$2,""))),IF($P$3=$AT$12,IF(AND(BO104="A"),'Marks Entry'!$AK$2,IF(AND(BO104="B"),'Marks Entry'!$AO$2,IF(AND(BO104="C"),'Marks Entry'!$AQ$2,""))),IF($P$3=$AT$13,IF(AND(BP104="A"),'Marks Entry'!$AS$2,IF(AND(BP104="B"),'Marks Entry'!$AW$2,IF(AND(BP104="C"),'Marks Entry'!$AY$2,""))),"-"))))),"")</f>
        <v/>
      </c>
      <c r="L104" s="806" t="str">
        <f>IFERROR(IF(B104="","",IF($P$3=$AT$8,'Statement of Marks'!J103,IF($P$3=$AT$9,'Statement of Marks'!X103,IF($P$3=$AT$10,'Statement of Marks'!AM103,IF($P$3=$AT$11,'Statement of Marks'!BJ103,IF($P$3=$AT$12,'Statement of Marks'!CG103,IF($P$3=$AT$13,'Statement of Marks'!DE103,IF($P$3=$AT$14,"",IF($P$3=$AT$15,'Statement of Marks'!EY103,""))))))))),"")</f>
        <v/>
      </c>
      <c r="M104" s="806" t="str">
        <f>IFERROR(IF(B104="","",IF($P$3=$AT$8,'Statement of Marks'!K103,IF($P$3=$AT$9,'Statement of Marks'!Y103,IF($P$3=$AT$10,'Statement of Marks'!AN103,IF($P$3=$AT$11,'Statement of Marks'!BK103,IF($P$3=$AT$12,'Statement of Marks'!CH103,IF($P$3=$AT$13,'Statement of Marks'!DF103,IF($P$3=$AT$14,"",IF($P$3=$AT$15,'Statement of Marks'!EZ103,""))))))))),"")</f>
        <v/>
      </c>
      <c r="N104" s="806" t="str">
        <f>IFERROR(IF(B104="","",IF($P$3=$AT$8,'Statement of Marks'!L103,IF($P$3=$AT$9,'Statement of Marks'!Z103,IF($P$3=$AT$10,'Statement of Marks'!AO103,IF($P$3=$AT$11,'Statement of Marks'!BL103,IF($P$3=$AT$12,'Statement of Marks'!CI103,IF($P$3=$AT$13,'Statement of Marks'!DG103,IF($P$3=$AT$14,"",IF($P$3=$AT$15,'Statement of Marks'!FA103,""))))))))),"")</f>
        <v/>
      </c>
      <c r="O104" s="807" t="str">
        <f t="shared" si="18"/>
        <v/>
      </c>
      <c r="P104" s="806" t="str">
        <f>IFERROR(IF(B104="","",IF($P$3=$AT$8,'Statement of Marks'!N103,IF($P$3=$AT$9,'Statement of Marks'!AB103,IF($P$3=$AT$10,'Statement of Marks'!AQ103,IF($P$3=$AT$11,'Statement of Marks'!BN103,IF($P$3=$AT$12,'Statement of Marks'!CK103,IF($P$3=$AT$13,'Statement of Marks'!DI103,IF($P$3=$AT$14,"",IF($P$3=$AT$15,'Statement of Marks'!FC103,""))))))))),"")</f>
        <v/>
      </c>
      <c r="Q104" s="806" t="str">
        <f>IFERROR(IF(B104="","",IF($P$3=$AT$8,"",IF($P$3=$AT$9,"",IF($P$3=$AT$10,'Statement of Marks'!AR103,IF($P$3=$AT$11,'Statement of Marks'!BO103,IF($P$3=$AT$12,'Statement of Marks'!CL103,IF($P$3=$AT$13,'Statement of Marks'!DJ103,IF($P$3=$AT$14,"",IF($P$3=$AT$15,"",""))))))))),"")</f>
        <v/>
      </c>
      <c r="R104" s="818" t="str">
        <f>IFERROR(IF(B104="","",IF(AND(P104="",Q104="",$P$3=""),"",IF($P$3=$AT$14,'Statement of Marks'!EC103,SUM(P104,Q104)))),"")</f>
        <v/>
      </c>
      <c r="S104" s="817" t="str">
        <f>IFERROR(IF(B104="","",IF($P$3=$AT$14,'Statement of Marks'!ED103,IF(AND(O104="NA",P104="NA",Q104="NA"),"NA",IF(AND(O104="",P104="",Q104=""),"",SUM(O104,P104,Q104))))),"")</f>
        <v/>
      </c>
      <c r="T104" s="806" t="str">
        <f>IFERROR(IF(B104="","",IF($P$3=$AT$8,'Statement of Marks'!P103,IF($P$3=$AT$9,'Statement of Marks'!AD103,IF($P$3=$AT$10,'Statement of Marks'!AU103,IF($P$3=$AT$11,'Statement of Marks'!BR103,IF($P$3=$AT$12,'Statement of Marks'!CO103,IF($P$3=$AT$13,'Statement of Marks'!DM103,IF($P$3=$AT$14,"",IF($P$3=$AT$15,'Statement of Marks'!FD103,""))))))))),"")</f>
        <v/>
      </c>
      <c r="U104" s="806" t="str">
        <f>IFERROR(IF(B104="","",IF($P$3=$AT$8,"",IF($P$3=$AT$9,"",IF($P$3=$AT$10,'Statement of Marks'!AV103,IF($P$3=$AT$11,'Statement of Marks'!BS103,IF($P$3=$AT$12,'Statement of Marks'!CP103,IF($P$3=$AT$13,'Statement of Marks'!DN103,IF($P$3=$AT$14,"",IF($P$3=$AT$15,"",""))))))))),"")</f>
        <v/>
      </c>
      <c r="V104" s="818" t="str">
        <f>IFERROR(IF(B104="","",IF(AND(T104="",U104="",$P$3=""),"",IF($P$3=$AT$14,'Statement of Marks'!EE103,SUM(T104,U104)))),"")</f>
        <v/>
      </c>
      <c r="W104" s="808" t="str">
        <f t="shared" si="19"/>
        <v/>
      </c>
      <c r="X104" s="809">
        <f t="shared" si="20"/>
        <v>0</v>
      </c>
      <c r="Y104" s="809">
        <f t="shared" si="21"/>
        <v>0</v>
      </c>
      <c r="Z104" s="809">
        <f t="shared" si="22"/>
        <v>0</v>
      </c>
      <c r="AA104" s="809" t="str">
        <f t="shared" si="23"/>
        <v/>
      </c>
      <c r="AB104" s="809" t="str">
        <f t="shared" si="24"/>
        <v/>
      </c>
      <c r="AC104" s="809" t="str">
        <f t="shared" si="25"/>
        <v/>
      </c>
      <c r="AD104" s="809" t="str">
        <f t="shared" si="26"/>
        <v/>
      </c>
      <c r="AE104" s="810" t="str">
        <f t="shared" si="27"/>
        <v/>
      </c>
      <c r="AF104" s="811" t="str">
        <f t="shared" si="28"/>
        <v/>
      </c>
      <c r="AG104" s="812" t="str">
        <f t="shared" si="29"/>
        <v/>
      </c>
      <c r="AW104" s="17" t="str">
        <f t="shared" si="30"/>
        <v/>
      </c>
      <c r="AX104" s="17" t="str">
        <f t="shared" si="31"/>
        <v/>
      </c>
      <c r="BM104" s="17" t="str">
        <f>IFERROR(VLOOKUP(B104,'Statement of Marks'!$B$8:'Statement of Marks'!$HI$207,37,0),"")</f>
        <v>A</v>
      </c>
      <c r="BN104" s="17" t="str">
        <f>IFERROR(VLOOKUP(B104,'Statement of Marks'!$B$8:'Statement of Marks'!$HI$207,60,0),"")</f>
        <v>A</v>
      </c>
      <c r="BO104" s="17" t="str">
        <f>IFERROR(VLOOKUP(B104,'Statement of Marks'!$B$8:'Statement of Marks'!$HI$207,83,0),"")</f>
        <v>A</v>
      </c>
      <c r="BP104" s="17" t="str">
        <f>IFERROR(VLOOKUP(B104,'Statement of Marks'!$B$8:'Statement of Marks'!$HI$207,107,0),"")</f>
        <v/>
      </c>
    </row>
    <row r="105" spans="1:68">
      <c r="A105" s="800">
        <f>IF('Statement of Marks'!A104="","",'Statement of Marks'!A104)</f>
        <v>97</v>
      </c>
      <c r="B105" s="801" t="str">
        <f>IF(OR($E$3="",$P$3=""),"",IF('Statement of Marks'!B104="","",'Statement of Marks'!B104))</f>
        <v/>
      </c>
      <c r="C105" s="810" t="str">
        <f>IF(OR($E$3="",$P$3=""),"",IF('Marks Entry'!C104="","",'Marks Entry'!C104))</f>
        <v/>
      </c>
      <c r="D105" s="802" t="str">
        <f>IF(OR($E$3="",$P$3=""),"",IF('Statement of Marks'!C104="","",'Statement of Marks'!C104))</f>
        <v/>
      </c>
      <c r="E105" s="803" t="str">
        <f>IF(OR($E$3="",$P$3=""),"",IF('Statement of Marks'!D104="","",'Statement of Marks'!D104))</f>
        <v/>
      </c>
      <c r="F105" s="804" t="str">
        <f>IF(OR($E$3="",$P$3=""),"",IF('Statement of Marks'!E104="","",'Statement of Marks'!E104))</f>
        <v/>
      </c>
      <c r="G105" s="804" t="str">
        <f>IF(OR($E$3="",$P$3=""),"",IF('Statement of Marks'!F104="","",'Statement of Marks'!F104))</f>
        <v/>
      </c>
      <c r="H105" s="804" t="str">
        <f>IF(OR($E$3="",$P$3=""),"",IF('Statement of Marks'!G104="","",'Statement of Marks'!G104))</f>
        <v/>
      </c>
      <c r="I105" s="805" t="str">
        <f>IF(OR($E$3="",$P$3=""),"",IF('Statement of Marks'!H104="","",'Statement of Marks'!H104))</f>
        <v/>
      </c>
      <c r="J105" s="805" t="str">
        <f>IF(OR($E$3="",$P$3=""),"",IF('Statement of Marks'!I104="","",'Statement of Marks'!I104))</f>
        <v/>
      </c>
      <c r="K105" s="805" t="str">
        <f>IFERROR(IF(B105="","",IF($P$3=$AT$10,IF(AND(BM105="A"),'Marks Entry'!$U$2,IF(AND(BM105="B"),'Marks Entry'!$Y$2,IF(AND(BM105="C"),'Marks Entry'!$AA$2,""))),IF($P$3=$AT$11,IF(AND(BN105="A"),'Marks Entry'!$AC$2,IF(AND(BN105="B"),'Marks Entry'!$AG$2,IF(AND(BN105="C"),'Marks Entry'!$AI$2,""))),IF($P$3=$AT$12,IF(AND(BO105="A"),'Marks Entry'!$AK$2,IF(AND(BO105="B"),'Marks Entry'!$AO$2,IF(AND(BO105="C"),'Marks Entry'!$AQ$2,""))),IF($P$3=$AT$13,IF(AND(BP105="A"),'Marks Entry'!$AS$2,IF(AND(BP105="B"),'Marks Entry'!$AW$2,IF(AND(BP105="C"),'Marks Entry'!$AY$2,""))),"-"))))),"")</f>
        <v/>
      </c>
      <c r="L105" s="806" t="str">
        <f>IFERROR(IF(B105="","",IF($P$3=$AT$8,'Statement of Marks'!J104,IF($P$3=$AT$9,'Statement of Marks'!X104,IF($P$3=$AT$10,'Statement of Marks'!AM104,IF($P$3=$AT$11,'Statement of Marks'!BJ104,IF($P$3=$AT$12,'Statement of Marks'!CG104,IF($P$3=$AT$13,'Statement of Marks'!DE104,IF($P$3=$AT$14,"",IF($P$3=$AT$15,'Statement of Marks'!EY104,""))))))))),"")</f>
        <v/>
      </c>
      <c r="M105" s="806" t="str">
        <f>IFERROR(IF(B105="","",IF($P$3=$AT$8,'Statement of Marks'!K104,IF($P$3=$AT$9,'Statement of Marks'!Y104,IF($P$3=$AT$10,'Statement of Marks'!AN104,IF($P$3=$AT$11,'Statement of Marks'!BK104,IF($P$3=$AT$12,'Statement of Marks'!CH104,IF($P$3=$AT$13,'Statement of Marks'!DF104,IF($P$3=$AT$14,"",IF($P$3=$AT$15,'Statement of Marks'!EZ104,""))))))))),"")</f>
        <v/>
      </c>
      <c r="N105" s="806" t="str">
        <f>IFERROR(IF(B105="","",IF($P$3=$AT$8,'Statement of Marks'!L104,IF($P$3=$AT$9,'Statement of Marks'!Z104,IF($P$3=$AT$10,'Statement of Marks'!AO104,IF($P$3=$AT$11,'Statement of Marks'!BL104,IF($P$3=$AT$12,'Statement of Marks'!CI104,IF($P$3=$AT$13,'Statement of Marks'!DG104,IF($P$3=$AT$14,"",IF($P$3=$AT$15,'Statement of Marks'!FA104,""))))))))),"")</f>
        <v/>
      </c>
      <c r="O105" s="807" t="str">
        <f t="shared" si="18"/>
        <v/>
      </c>
      <c r="P105" s="806" t="str">
        <f>IFERROR(IF(B105="","",IF($P$3=$AT$8,'Statement of Marks'!N104,IF($P$3=$AT$9,'Statement of Marks'!AB104,IF($P$3=$AT$10,'Statement of Marks'!AQ104,IF($P$3=$AT$11,'Statement of Marks'!BN104,IF($P$3=$AT$12,'Statement of Marks'!CK104,IF($P$3=$AT$13,'Statement of Marks'!DI104,IF($P$3=$AT$14,"",IF($P$3=$AT$15,'Statement of Marks'!FC104,""))))))))),"")</f>
        <v/>
      </c>
      <c r="Q105" s="806" t="str">
        <f>IFERROR(IF(B105="","",IF($P$3=$AT$8,"",IF($P$3=$AT$9,"",IF($P$3=$AT$10,'Statement of Marks'!AR104,IF($P$3=$AT$11,'Statement of Marks'!BO104,IF($P$3=$AT$12,'Statement of Marks'!CL104,IF($P$3=$AT$13,'Statement of Marks'!DJ104,IF($P$3=$AT$14,"",IF($P$3=$AT$15,"",""))))))))),"")</f>
        <v/>
      </c>
      <c r="R105" s="818" t="str">
        <f>IFERROR(IF(B105="","",IF(AND(P105="",Q105="",$P$3=""),"",IF($P$3=$AT$14,'Statement of Marks'!EC104,SUM(P105,Q105)))),"")</f>
        <v/>
      </c>
      <c r="S105" s="817" t="str">
        <f>IFERROR(IF(B105="","",IF($P$3=$AT$14,'Statement of Marks'!ED104,IF(AND(O105="NA",P105="NA",Q105="NA"),"NA",IF(AND(O105="",P105="",Q105=""),"",SUM(O105,P105,Q105))))),"")</f>
        <v/>
      </c>
      <c r="T105" s="806" t="str">
        <f>IFERROR(IF(B105="","",IF($P$3=$AT$8,'Statement of Marks'!P104,IF($P$3=$AT$9,'Statement of Marks'!AD104,IF($P$3=$AT$10,'Statement of Marks'!AU104,IF($P$3=$AT$11,'Statement of Marks'!BR104,IF($P$3=$AT$12,'Statement of Marks'!CO104,IF($P$3=$AT$13,'Statement of Marks'!DM104,IF($P$3=$AT$14,"",IF($P$3=$AT$15,'Statement of Marks'!FD104,""))))))))),"")</f>
        <v/>
      </c>
      <c r="U105" s="806" t="str">
        <f>IFERROR(IF(B105="","",IF($P$3=$AT$8,"",IF($P$3=$AT$9,"",IF($P$3=$AT$10,'Statement of Marks'!AV104,IF($P$3=$AT$11,'Statement of Marks'!BS104,IF($P$3=$AT$12,'Statement of Marks'!CP104,IF($P$3=$AT$13,'Statement of Marks'!DN104,IF($P$3=$AT$14,"",IF($P$3=$AT$15,"",""))))))))),"")</f>
        <v/>
      </c>
      <c r="V105" s="818" t="str">
        <f>IFERROR(IF(B105="","",IF(AND(T105="",U105="",$P$3=""),"",IF($P$3=$AT$14,'Statement of Marks'!EE104,SUM(T105,U105)))),"")</f>
        <v/>
      </c>
      <c r="W105" s="808" t="str">
        <f t="shared" si="19"/>
        <v/>
      </c>
      <c r="X105" s="809">
        <f t="shared" si="20"/>
        <v>0</v>
      </c>
      <c r="Y105" s="809">
        <f t="shared" si="21"/>
        <v>0</v>
      </c>
      <c r="Z105" s="809">
        <f t="shared" si="22"/>
        <v>0</v>
      </c>
      <c r="AA105" s="809" t="str">
        <f t="shared" si="23"/>
        <v/>
      </c>
      <c r="AB105" s="809" t="str">
        <f t="shared" si="24"/>
        <v/>
      </c>
      <c r="AC105" s="809" t="str">
        <f t="shared" si="25"/>
        <v/>
      </c>
      <c r="AD105" s="809" t="str">
        <f t="shared" si="26"/>
        <v/>
      </c>
      <c r="AE105" s="810" t="str">
        <f t="shared" si="27"/>
        <v/>
      </c>
      <c r="AF105" s="811" t="str">
        <f t="shared" si="28"/>
        <v/>
      </c>
      <c r="AG105" s="812" t="str">
        <f t="shared" si="29"/>
        <v/>
      </c>
      <c r="AW105" s="17" t="str">
        <f t="shared" si="30"/>
        <v/>
      </c>
      <c r="AX105" s="17" t="str">
        <f t="shared" si="31"/>
        <v/>
      </c>
      <c r="BM105" s="17" t="str">
        <f>IFERROR(VLOOKUP(B105,'Statement of Marks'!$B$8:'Statement of Marks'!$HI$207,37,0),"")</f>
        <v>A</v>
      </c>
      <c r="BN105" s="17" t="str">
        <f>IFERROR(VLOOKUP(B105,'Statement of Marks'!$B$8:'Statement of Marks'!$HI$207,60,0),"")</f>
        <v>A</v>
      </c>
      <c r="BO105" s="17" t="str">
        <f>IFERROR(VLOOKUP(B105,'Statement of Marks'!$B$8:'Statement of Marks'!$HI$207,83,0),"")</f>
        <v>A</v>
      </c>
      <c r="BP105" s="17" t="str">
        <f>IFERROR(VLOOKUP(B105,'Statement of Marks'!$B$8:'Statement of Marks'!$HI$207,107,0),"")</f>
        <v/>
      </c>
    </row>
    <row r="106" spans="1:68">
      <c r="A106" s="800">
        <f>IF('Statement of Marks'!A105="","",'Statement of Marks'!A105)</f>
        <v>98</v>
      </c>
      <c r="B106" s="801" t="str">
        <f>IF(OR($E$3="",$P$3=""),"",IF('Statement of Marks'!B105="","",'Statement of Marks'!B105))</f>
        <v/>
      </c>
      <c r="C106" s="810" t="str">
        <f>IF(OR($E$3="",$P$3=""),"",IF('Marks Entry'!C105="","",'Marks Entry'!C105))</f>
        <v/>
      </c>
      <c r="D106" s="802" t="str">
        <f>IF(OR($E$3="",$P$3=""),"",IF('Statement of Marks'!C105="","",'Statement of Marks'!C105))</f>
        <v/>
      </c>
      <c r="E106" s="803" t="str">
        <f>IF(OR($E$3="",$P$3=""),"",IF('Statement of Marks'!D105="","",'Statement of Marks'!D105))</f>
        <v/>
      </c>
      <c r="F106" s="804" t="str">
        <f>IF(OR($E$3="",$P$3=""),"",IF('Statement of Marks'!E105="","",'Statement of Marks'!E105))</f>
        <v/>
      </c>
      <c r="G106" s="804" t="str">
        <f>IF(OR($E$3="",$P$3=""),"",IF('Statement of Marks'!F105="","",'Statement of Marks'!F105))</f>
        <v/>
      </c>
      <c r="H106" s="804" t="str">
        <f>IF(OR($E$3="",$P$3=""),"",IF('Statement of Marks'!G105="","",'Statement of Marks'!G105))</f>
        <v/>
      </c>
      <c r="I106" s="805" t="str">
        <f>IF(OR($E$3="",$P$3=""),"",IF('Statement of Marks'!H105="","",'Statement of Marks'!H105))</f>
        <v/>
      </c>
      <c r="J106" s="805" t="str">
        <f>IF(OR($E$3="",$P$3=""),"",IF('Statement of Marks'!I105="","",'Statement of Marks'!I105))</f>
        <v/>
      </c>
      <c r="K106" s="805" t="str">
        <f>IFERROR(IF(B106="","",IF($P$3=$AT$10,IF(AND(BM106="A"),'Marks Entry'!$U$2,IF(AND(BM106="B"),'Marks Entry'!$Y$2,IF(AND(BM106="C"),'Marks Entry'!$AA$2,""))),IF($P$3=$AT$11,IF(AND(BN106="A"),'Marks Entry'!$AC$2,IF(AND(BN106="B"),'Marks Entry'!$AG$2,IF(AND(BN106="C"),'Marks Entry'!$AI$2,""))),IF($P$3=$AT$12,IF(AND(BO106="A"),'Marks Entry'!$AK$2,IF(AND(BO106="B"),'Marks Entry'!$AO$2,IF(AND(BO106="C"),'Marks Entry'!$AQ$2,""))),IF($P$3=$AT$13,IF(AND(BP106="A"),'Marks Entry'!$AS$2,IF(AND(BP106="B"),'Marks Entry'!$AW$2,IF(AND(BP106="C"),'Marks Entry'!$AY$2,""))),"-"))))),"")</f>
        <v/>
      </c>
      <c r="L106" s="806" t="str">
        <f>IFERROR(IF(B106="","",IF($P$3=$AT$8,'Statement of Marks'!J105,IF($P$3=$AT$9,'Statement of Marks'!X105,IF($P$3=$AT$10,'Statement of Marks'!AM105,IF($P$3=$AT$11,'Statement of Marks'!BJ105,IF($P$3=$AT$12,'Statement of Marks'!CG105,IF($P$3=$AT$13,'Statement of Marks'!DE105,IF($P$3=$AT$14,"",IF($P$3=$AT$15,'Statement of Marks'!EY105,""))))))))),"")</f>
        <v/>
      </c>
      <c r="M106" s="806" t="str">
        <f>IFERROR(IF(B106="","",IF($P$3=$AT$8,'Statement of Marks'!K105,IF($P$3=$AT$9,'Statement of Marks'!Y105,IF($P$3=$AT$10,'Statement of Marks'!AN105,IF($P$3=$AT$11,'Statement of Marks'!BK105,IF($P$3=$AT$12,'Statement of Marks'!CH105,IF($P$3=$AT$13,'Statement of Marks'!DF105,IF($P$3=$AT$14,"",IF($P$3=$AT$15,'Statement of Marks'!EZ105,""))))))))),"")</f>
        <v/>
      </c>
      <c r="N106" s="806" t="str">
        <f>IFERROR(IF(B106="","",IF($P$3=$AT$8,'Statement of Marks'!L105,IF($P$3=$AT$9,'Statement of Marks'!Z105,IF($P$3=$AT$10,'Statement of Marks'!AO105,IF($P$3=$AT$11,'Statement of Marks'!BL105,IF($P$3=$AT$12,'Statement of Marks'!CI105,IF($P$3=$AT$13,'Statement of Marks'!DG105,IF($P$3=$AT$14,"",IF($P$3=$AT$15,'Statement of Marks'!FA105,""))))))))),"")</f>
        <v/>
      </c>
      <c r="O106" s="807" t="str">
        <f t="shared" si="18"/>
        <v/>
      </c>
      <c r="P106" s="806" t="str">
        <f>IFERROR(IF(B106="","",IF($P$3=$AT$8,'Statement of Marks'!N105,IF($P$3=$AT$9,'Statement of Marks'!AB105,IF($P$3=$AT$10,'Statement of Marks'!AQ105,IF($P$3=$AT$11,'Statement of Marks'!BN105,IF($P$3=$AT$12,'Statement of Marks'!CK105,IF($P$3=$AT$13,'Statement of Marks'!DI105,IF($P$3=$AT$14,"",IF($P$3=$AT$15,'Statement of Marks'!FC105,""))))))))),"")</f>
        <v/>
      </c>
      <c r="Q106" s="806" t="str">
        <f>IFERROR(IF(B106="","",IF($P$3=$AT$8,"",IF($P$3=$AT$9,"",IF($P$3=$AT$10,'Statement of Marks'!AR105,IF($P$3=$AT$11,'Statement of Marks'!BO105,IF($P$3=$AT$12,'Statement of Marks'!CL105,IF($P$3=$AT$13,'Statement of Marks'!DJ105,IF($P$3=$AT$14,"",IF($P$3=$AT$15,"",""))))))))),"")</f>
        <v/>
      </c>
      <c r="R106" s="818" t="str">
        <f>IFERROR(IF(B106="","",IF(AND(P106="",Q106="",$P$3=""),"",IF($P$3=$AT$14,'Statement of Marks'!EC105,SUM(P106,Q106)))),"")</f>
        <v/>
      </c>
      <c r="S106" s="817" t="str">
        <f>IFERROR(IF(B106="","",IF($P$3=$AT$14,'Statement of Marks'!ED105,IF(AND(O106="NA",P106="NA",Q106="NA"),"NA",IF(AND(O106="",P106="",Q106=""),"",SUM(O106,P106,Q106))))),"")</f>
        <v/>
      </c>
      <c r="T106" s="806" t="str">
        <f>IFERROR(IF(B106="","",IF($P$3=$AT$8,'Statement of Marks'!P105,IF($P$3=$AT$9,'Statement of Marks'!AD105,IF($P$3=$AT$10,'Statement of Marks'!AU105,IF($P$3=$AT$11,'Statement of Marks'!BR105,IF($P$3=$AT$12,'Statement of Marks'!CO105,IF($P$3=$AT$13,'Statement of Marks'!DM105,IF($P$3=$AT$14,"",IF($P$3=$AT$15,'Statement of Marks'!FD105,""))))))))),"")</f>
        <v/>
      </c>
      <c r="U106" s="806" t="str">
        <f>IFERROR(IF(B106="","",IF($P$3=$AT$8,"",IF($P$3=$AT$9,"",IF($P$3=$AT$10,'Statement of Marks'!AV105,IF($P$3=$AT$11,'Statement of Marks'!BS105,IF($P$3=$AT$12,'Statement of Marks'!CP105,IF($P$3=$AT$13,'Statement of Marks'!DN105,IF($P$3=$AT$14,"",IF($P$3=$AT$15,"",""))))))))),"")</f>
        <v/>
      </c>
      <c r="V106" s="818" t="str">
        <f>IFERROR(IF(B106="","",IF(AND(T106="",U106="",$P$3=""),"",IF($P$3=$AT$14,'Statement of Marks'!EE105,SUM(T106,U106)))),"")</f>
        <v/>
      </c>
      <c r="W106" s="808" t="str">
        <f t="shared" si="19"/>
        <v/>
      </c>
      <c r="X106" s="809">
        <f t="shared" si="20"/>
        <v>0</v>
      </c>
      <c r="Y106" s="809">
        <f t="shared" si="21"/>
        <v>0</v>
      </c>
      <c r="Z106" s="809">
        <f t="shared" si="22"/>
        <v>0</v>
      </c>
      <c r="AA106" s="809" t="str">
        <f t="shared" si="23"/>
        <v/>
      </c>
      <c r="AB106" s="809" t="str">
        <f t="shared" si="24"/>
        <v/>
      </c>
      <c r="AC106" s="809" t="str">
        <f t="shared" si="25"/>
        <v/>
      </c>
      <c r="AD106" s="809" t="str">
        <f t="shared" si="26"/>
        <v/>
      </c>
      <c r="AE106" s="810" t="str">
        <f t="shared" si="27"/>
        <v/>
      </c>
      <c r="AF106" s="811" t="str">
        <f t="shared" si="28"/>
        <v/>
      </c>
      <c r="AG106" s="812" t="str">
        <f t="shared" si="29"/>
        <v/>
      </c>
      <c r="AW106" s="17" t="str">
        <f t="shared" si="30"/>
        <v/>
      </c>
      <c r="AX106" s="17" t="str">
        <f t="shared" si="31"/>
        <v/>
      </c>
      <c r="BM106" s="17" t="str">
        <f>IFERROR(VLOOKUP(B106,'Statement of Marks'!$B$8:'Statement of Marks'!$HI$207,37,0),"")</f>
        <v>A</v>
      </c>
      <c r="BN106" s="17" t="str">
        <f>IFERROR(VLOOKUP(B106,'Statement of Marks'!$B$8:'Statement of Marks'!$HI$207,60,0),"")</f>
        <v>A</v>
      </c>
      <c r="BO106" s="17" t="str">
        <f>IFERROR(VLOOKUP(B106,'Statement of Marks'!$B$8:'Statement of Marks'!$HI$207,83,0),"")</f>
        <v>A</v>
      </c>
      <c r="BP106" s="17" t="str">
        <f>IFERROR(VLOOKUP(B106,'Statement of Marks'!$B$8:'Statement of Marks'!$HI$207,107,0),"")</f>
        <v/>
      </c>
    </row>
    <row r="107" spans="1:68">
      <c r="A107" s="800">
        <f>IF('Statement of Marks'!A106="","",'Statement of Marks'!A106)</f>
        <v>99</v>
      </c>
      <c r="B107" s="801" t="str">
        <f>IF(OR($E$3="",$P$3=""),"",IF('Statement of Marks'!B106="","",'Statement of Marks'!B106))</f>
        <v/>
      </c>
      <c r="C107" s="810" t="str">
        <f>IF(OR($E$3="",$P$3=""),"",IF('Marks Entry'!C106="","",'Marks Entry'!C106))</f>
        <v/>
      </c>
      <c r="D107" s="802" t="str">
        <f>IF(OR($E$3="",$P$3=""),"",IF('Statement of Marks'!C106="","",'Statement of Marks'!C106))</f>
        <v/>
      </c>
      <c r="E107" s="803" t="str">
        <f>IF(OR($E$3="",$P$3=""),"",IF('Statement of Marks'!D106="","",'Statement of Marks'!D106))</f>
        <v/>
      </c>
      <c r="F107" s="804" t="str">
        <f>IF(OR($E$3="",$P$3=""),"",IF('Statement of Marks'!E106="","",'Statement of Marks'!E106))</f>
        <v/>
      </c>
      <c r="G107" s="804" t="str">
        <f>IF(OR($E$3="",$P$3=""),"",IF('Statement of Marks'!F106="","",'Statement of Marks'!F106))</f>
        <v/>
      </c>
      <c r="H107" s="804" t="str">
        <f>IF(OR($E$3="",$P$3=""),"",IF('Statement of Marks'!G106="","",'Statement of Marks'!G106))</f>
        <v/>
      </c>
      <c r="I107" s="805" t="str">
        <f>IF(OR($E$3="",$P$3=""),"",IF('Statement of Marks'!H106="","",'Statement of Marks'!H106))</f>
        <v/>
      </c>
      <c r="J107" s="805" t="str">
        <f>IF(OR($E$3="",$P$3=""),"",IF('Statement of Marks'!I106="","",'Statement of Marks'!I106))</f>
        <v/>
      </c>
      <c r="K107" s="805" t="str">
        <f>IFERROR(IF(B107="","",IF($P$3=$AT$10,IF(AND(BM107="A"),'Marks Entry'!$U$2,IF(AND(BM107="B"),'Marks Entry'!$Y$2,IF(AND(BM107="C"),'Marks Entry'!$AA$2,""))),IF($P$3=$AT$11,IF(AND(BN107="A"),'Marks Entry'!$AC$2,IF(AND(BN107="B"),'Marks Entry'!$AG$2,IF(AND(BN107="C"),'Marks Entry'!$AI$2,""))),IF($P$3=$AT$12,IF(AND(BO107="A"),'Marks Entry'!$AK$2,IF(AND(BO107="B"),'Marks Entry'!$AO$2,IF(AND(BO107="C"),'Marks Entry'!$AQ$2,""))),IF($P$3=$AT$13,IF(AND(BP107="A"),'Marks Entry'!$AS$2,IF(AND(BP107="B"),'Marks Entry'!$AW$2,IF(AND(BP107="C"),'Marks Entry'!$AY$2,""))),"-"))))),"")</f>
        <v/>
      </c>
      <c r="L107" s="806" t="str">
        <f>IFERROR(IF(B107="","",IF($P$3=$AT$8,'Statement of Marks'!J106,IF($P$3=$AT$9,'Statement of Marks'!X106,IF($P$3=$AT$10,'Statement of Marks'!AM106,IF($P$3=$AT$11,'Statement of Marks'!BJ106,IF($P$3=$AT$12,'Statement of Marks'!CG106,IF($P$3=$AT$13,'Statement of Marks'!DE106,IF($P$3=$AT$14,"",IF($P$3=$AT$15,'Statement of Marks'!EY106,""))))))))),"")</f>
        <v/>
      </c>
      <c r="M107" s="806" t="str">
        <f>IFERROR(IF(B107="","",IF($P$3=$AT$8,'Statement of Marks'!K106,IF($P$3=$AT$9,'Statement of Marks'!Y106,IF($P$3=$AT$10,'Statement of Marks'!AN106,IF($P$3=$AT$11,'Statement of Marks'!BK106,IF($P$3=$AT$12,'Statement of Marks'!CH106,IF($P$3=$AT$13,'Statement of Marks'!DF106,IF($P$3=$AT$14,"",IF($P$3=$AT$15,'Statement of Marks'!EZ106,""))))))))),"")</f>
        <v/>
      </c>
      <c r="N107" s="806" t="str">
        <f>IFERROR(IF(B107="","",IF($P$3=$AT$8,'Statement of Marks'!L106,IF($P$3=$AT$9,'Statement of Marks'!Z106,IF($P$3=$AT$10,'Statement of Marks'!AO106,IF($P$3=$AT$11,'Statement of Marks'!BL106,IF($P$3=$AT$12,'Statement of Marks'!CI106,IF($P$3=$AT$13,'Statement of Marks'!DG106,IF($P$3=$AT$14,"",IF($P$3=$AT$15,'Statement of Marks'!FA106,""))))))))),"")</f>
        <v/>
      </c>
      <c r="O107" s="807" t="str">
        <f t="shared" si="18"/>
        <v/>
      </c>
      <c r="P107" s="806" t="str">
        <f>IFERROR(IF(B107="","",IF($P$3=$AT$8,'Statement of Marks'!N106,IF($P$3=$AT$9,'Statement of Marks'!AB106,IF($P$3=$AT$10,'Statement of Marks'!AQ106,IF($P$3=$AT$11,'Statement of Marks'!BN106,IF($P$3=$AT$12,'Statement of Marks'!CK106,IF($P$3=$AT$13,'Statement of Marks'!DI106,IF($P$3=$AT$14,"",IF($P$3=$AT$15,'Statement of Marks'!FC106,""))))))))),"")</f>
        <v/>
      </c>
      <c r="Q107" s="806" t="str">
        <f>IFERROR(IF(B107="","",IF($P$3=$AT$8,"",IF($P$3=$AT$9,"",IF($P$3=$AT$10,'Statement of Marks'!AR106,IF($P$3=$AT$11,'Statement of Marks'!BO106,IF($P$3=$AT$12,'Statement of Marks'!CL106,IF($P$3=$AT$13,'Statement of Marks'!DJ106,IF($P$3=$AT$14,"",IF($P$3=$AT$15,"",""))))))))),"")</f>
        <v/>
      </c>
      <c r="R107" s="818" t="str">
        <f>IFERROR(IF(B107="","",IF(AND(P107="",Q107="",$P$3=""),"",IF($P$3=$AT$14,'Statement of Marks'!EC106,SUM(P107,Q107)))),"")</f>
        <v/>
      </c>
      <c r="S107" s="817" t="str">
        <f>IFERROR(IF(B107="","",IF($P$3=$AT$14,'Statement of Marks'!ED106,IF(AND(O107="NA",P107="NA",Q107="NA"),"NA",IF(AND(O107="",P107="",Q107=""),"",SUM(O107,P107,Q107))))),"")</f>
        <v/>
      </c>
      <c r="T107" s="806" t="str">
        <f>IFERROR(IF(B107="","",IF($P$3=$AT$8,'Statement of Marks'!P106,IF($P$3=$AT$9,'Statement of Marks'!AD106,IF($P$3=$AT$10,'Statement of Marks'!AU106,IF($P$3=$AT$11,'Statement of Marks'!BR106,IF($P$3=$AT$12,'Statement of Marks'!CO106,IF($P$3=$AT$13,'Statement of Marks'!DM106,IF($P$3=$AT$14,"",IF($P$3=$AT$15,'Statement of Marks'!FD106,""))))))))),"")</f>
        <v/>
      </c>
      <c r="U107" s="806" t="str">
        <f>IFERROR(IF(B107="","",IF($P$3=$AT$8,"",IF($P$3=$AT$9,"",IF($P$3=$AT$10,'Statement of Marks'!AV106,IF($P$3=$AT$11,'Statement of Marks'!BS106,IF($P$3=$AT$12,'Statement of Marks'!CP106,IF($P$3=$AT$13,'Statement of Marks'!DN106,IF($P$3=$AT$14,"",IF($P$3=$AT$15,"",""))))))))),"")</f>
        <v/>
      </c>
      <c r="V107" s="818" t="str">
        <f>IFERROR(IF(B107="","",IF(AND(T107="",U107="",$P$3=""),"",IF($P$3=$AT$14,'Statement of Marks'!EE106,SUM(T107,U107)))),"")</f>
        <v/>
      </c>
      <c r="W107" s="808" t="str">
        <f t="shared" si="19"/>
        <v/>
      </c>
      <c r="X107" s="809">
        <f t="shared" si="20"/>
        <v>0</v>
      </c>
      <c r="Y107" s="809">
        <f t="shared" si="21"/>
        <v>0</v>
      </c>
      <c r="Z107" s="809">
        <f t="shared" si="22"/>
        <v>0</v>
      </c>
      <c r="AA107" s="809" t="str">
        <f t="shared" si="23"/>
        <v/>
      </c>
      <c r="AB107" s="809" t="str">
        <f t="shared" si="24"/>
        <v/>
      </c>
      <c r="AC107" s="809" t="str">
        <f t="shared" si="25"/>
        <v/>
      </c>
      <c r="AD107" s="809" t="str">
        <f t="shared" si="26"/>
        <v/>
      </c>
      <c r="AE107" s="810" t="str">
        <f t="shared" si="27"/>
        <v/>
      </c>
      <c r="AF107" s="811" t="str">
        <f t="shared" si="28"/>
        <v/>
      </c>
      <c r="AG107" s="812" t="str">
        <f t="shared" si="29"/>
        <v/>
      </c>
      <c r="AW107" s="17" t="str">
        <f t="shared" si="30"/>
        <v/>
      </c>
      <c r="AX107" s="17" t="str">
        <f t="shared" si="31"/>
        <v/>
      </c>
      <c r="BM107" s="17" t="str">
        <f>IFERROR(VLOOKUP(B107,'Statement of Marks'!$B$8:'Statement of Marks'!$HI$207,37,0),"")</f>
        <v>A</v>
      </c>
      <c r="BN107" s="17" t="str">
        <f>IFERROR(VLOOKUP(B107,'Statement of Marks'!$B$8:'Statement of Marks'!$HI$207,60,0),"")</f>
        <v>A</v>
      </c>
      <c r="BO107" s="17" t="str">
        <f>IFERROR(VLOOKUP(B107,'Statement of Marks'!$B$8:'Statement of Marks'!$HI$207,83,0),"")</f>
        <v>A</v>
      </c>
      <c r="BP107" s="17" t="str">
        <f>IFERROR(VLOOKUP(B107,'Statement of Marks'!$B$8:'Statement of Marks'!$HI$207,107,0),"")</f>
        <v/>
      </c>
    </row>
    <row r="108" spans="1:68">
      <c r="A108" s="800">
        <f>IF('Statement of Marks'!A107="","",'Statement of Marks'!A107)</f>
        <v>100</v>
      </c>
      <c r="B108" s="801" t="str">
        <f>IF(OR($E$3="",$P$3=""),"",IF('Statement of Marks'!B107="","",'Statement of Marks'!B107))</f>
        <v/>
      </c>
      <c r="C108" s="810" t="str">
        <f>IF(OR($E$3="",$P$3=""),"",IF('Marks Entry'!C107="","",'Marks Entry'!C107))</f>
        <v/>
      </c>
      <c r="D108" s="802" t="str">
        <f>IF(OR($E$3="",$P$3=""),"",IF('Statement of Marks'!C107="","",'Statement of Marks'!C107))</f>
        <v/>
      </c>
      <c r="E108" s="803" t="str">
        <f>IF(OR($E$3="",$P$3=""),"",IF('Statement of Marks'!D107="","",'Statement of Marks'!D107))</f>
        <v/>
      </c>
      <c r="F108" s="804" t="str">
        <f>IF(OR($E$3="",$P$3=""),"",IF('Statement of Marks'!E107="","",'Statement of Marks'!E107))</f>
        <v/>
      </c>
      <c r="G108" s="804" t="str">
        <f>IF(OR($E$3="",$P$3=""),"",IF('Statement of Marks'!F107="","",'Statement of Marks'!F107))</f>
        <v/>
      </c>
      <c r="H108" s="804" t="str">
        <f>IF(OR($E$3="",$P$3=""),"",IF('Statement of Marks'!G107="","",'Statement of Marks'!G107))</f>
        <v/>
      </c>
      <c r="I108" s="805" t="str">
        <f>IF(OR($E$3="",$P$3=""),"",IF('Statement of Marks'!H107="","",'Statement of Marks'!H107))</f>
        <v/>
      </c>
      <c r="J108" s="805" t="str">
        <f>IF(OR($E$3="",$P$3=""),"",IF('Statement of Marks'!I107="","",'Statement of Marks'!I107))</f>
        <v/>
      </c>
      <c r="K108" s="805" t="str">
        <f>IFERROR(IF(B108="","",IF($P$3=$AT$10,IF(AND(BM108="A"),'Marks Entry'!$U$2,IF(AND(BM108="B"),'Marks Entry'!$Y$2,IF(AND(BM108="C"),'Marks Entry'!$AA$2,""))),IF($P$3=$AT$11,IF(AND(BN108="A"),'Marks Entry'!$AC$2,IF(AND(BN108="B"),'Marks Entry'!$AG$2,IF(AND(BN108="C"),'Marks Entry'!$AI$2,""))),IF($P$3=$AT$12,IF(AND(BO108="A"),'Marks Entry'!$AK$2,IF(AND(BO108="B"),'Marks Entry'!$AO$2,IF(AND(BO108="C"),'Marks Entry'!$AQ$2,""))),IF($P$3=$AT$13,IF(AND(BP108="A"),'Marks Entry'!$AS$2,IF(AND(BP108="B"),'Marks Entry'!$AW$2,IF(AND(BP108="C"),'Marks Entry'!$AY$2,""))),"-"))))),"")</f>
        <v/>
      </c>
      <c r="L108" s="806" t="str">
        <f>IFERROR(IF(B108="","",IF($P$3=$AT$8,'Statement of Marks'!J107,IF($P$3=$AT$9,'Statement of Marks'!X107,IF($P$3=$AT$10,'Statement of Marks'!AM107,IF($P$3=$AT$11,'Statement of Marks'!BJ107,IF($P$3=$AT$12,'Statement of Marks'!CG107,IF($P$3=$AT$13,'Statement of Marks'!DE107,IF($P$3=$AT$14,"",IF($P$3=$AT$15,'Statement of Marks'!EY107,""))))))))),"")</f>
        <v/>
      </c>
      <c r="M108" s="806" t="str">
        <f>IFERROR(IF(B108="","",IF($P$3=$AT$8,'Statement of Marks'!K107,IF($P$3=$AT$9,'Statement of Marks'!Y107,IF($P$3=$AT$10,'Statement of Marks'!AN107,IF($P$3=$AT$11,'Statement of Marks'!BK107,IF($P$3=$AT$12,'Statement of Marks'!CH107,IF($P$3=$AT$13,'Statement of Marks'!DF107,IF($P$3=$AT$14,"",IF($P$3=$AT$15,'Statement of Marks'!EZ107,""))))))))),"")</f>
        <v/>
      </c>
      <c r="N108" s="806" t="str">
        <f>IFERROR(IF(B108="","",IF($P$3=$AT$8,'Statement of Marks'!L107,IF($P$3=$AT$9,'Statement of Marks'!Z107,IF($P$3=$AT$10,'Statement of Marks'!AO107,IF($P$3=$AT$11,'Statement of Marks'!BL107,IF($P$3=$AT$12,'Statement of Marks'!CI107,IF($P$3=$AT$13,'Statement of Marks'!DG107,IF($P$3=$AT$14,"",IF($P$3=$AT$15,'Statement of Marks'!FA107,""))))))))),"")</f>
        <v/>
      </c>
      <c r="O108" s="807" t="str">
        <f t="shared" si="18"/>
        <v/>
      </c>
      <c r="P108" s="806" t="str">
        <f>IFERROR(IF(B108="","",IF($P$3=$AT$8,'Statement of Marks'!N107,IF($P$3=$AT$9,'Statement of Marks'!AB107,IF($P$3=$AT$10,'Statement of Marks'!AQ107,IF($P$3=$AT$11,'Statement of Marks'!BN107,IF($P$3=$AT$12,'Statement of Marks'!CK107,IF($P$3=$AT$13,'Statement of Marks'!DI107,IF($P$3=$AT$14,"",IF($P$3=$AT$15,'Statement of Marks'!FC107,""))))))))),"")</f>
        <v/>
      </c>
      <c r="Q108" s="806" t="str">
        <f>IFERROR(IF(B108="","",IF($P$3=$AT$8,"",IF($P$3=$AT$9,"",IF($P$3=$AT$10,'Statement of Marks'!AR107,IF($P$3=$AT$11,'Statement of Marks'!BO107,IF($P$3=$AT$12,'Statement of Marks'!CL107,IF($P$3=$AT$13,'Statement of Marks'!DJ107,IF($P$3=$AT$14,"",IF($P$3=$AT$15,"",""))))))))),"")</f>
        <v/>
      </c>
      <c r="R108" s="818" t="str">
        <f>IFERROR(IF(B108="","",IF(AND(P108="",Q108="",$P$3=""),"",IF($P$3=$AT$14,'Statement of Marks'!EC107,SUM(P108,Q108)))),"")</f>
        <v/>
      </c>
      <c r="S108" s="817" t="str">
        <f>IFERROR(IF(B108="","",IF($P$3=$AT$14,'Statement of Marks'!ED107,IF(AND(O108="NA",P108="NA",Q108="NA"),"NA",IF(AND(O108="",P108="",Q108=""),"",SUM(O108,P108,Q108))))),"")</f>
        <v/>
      </c>
      <c r="T108" s="806" t="str">
        <f>IFERROR(IF(B108="","",IF($P$3=$AT$8,'Statement of Marks'!P107,IF($P$3=$AT$9,'Statement of Marks'!AD107,IF($P$3=$AT$10,'Statement of Marks'!AU107,IF($P$3=$AT$11,'Statement of Marks'!BR107,IF($P$3=$AT$12,'Statement of Marks'!CO107,IF($P$3=$AT$13,'Statement of Marks'!DM107,IF($P$3=$AT$14,"",IF($P$3=$AT$15,'Statement of Marks'!FD107,""))))))))),"")</f>
        <v/>
      </c>
      <c r="U108" s="806" t="str">
        <f>IFERROR(IF(B108="","",IF($P$3=$AT$8,"",IF($P$3=$AT$9,"",IF($P$3=$AT$10,'Statement of Marks'!AV107,IF($P$3=$AT$11,'Statement of Marks'!BS107,IF($P$3=$AT$12,'Statement of Marks'!CP107,IF($P$3=$AT$13,'Statement of Marks'!DN107,IF($P$3=$AT$14,"",IF($P$3=$AT$15,"",""))))))))),"")</f>
        <v/>
      </c>
      <c r="V108" s="818" t="str">
        <f>IFERROR(IF(B108="","",IF(AND(T108="",U108="",$P$3=""),"",IF($P$3=$AT$14,'Statement of Marks'!EE107,SUM(T108,U108)))),"")</f>
        <v/>
      </c>
      <c r="W108" s="808" t="str">
        <f t="shared" si="19"/>
        <v/>
      </c>
      <c r="X108" s="809">
        <f t="shared" si="20"/>
        <v>0</v>
      </c>
      <c r="Y108" s="809">
        <f t="shared" si="21"/>
        <v>0</v>
      </c>
      <c r="Z108" s="809">
        <f t="shared" si="22"/>
        <v>0</v>
      </c>
      <c r="AA108" s="809" t="str">
        <f t="shared" si="23"/>
        <v/>
      </c>
      <c r="AB108" s="809" t="str">
        <f t="shared" si="24"/>
        <v/>
      </c>
      <c r="AC108" s="809" t="str">
        <f t="shared" si="25"/>
        <v/>
      </c>
      <c r="AD108" s="809" t="str">
        <f t="shared" si="26"/>
        <v/>
      </c>
      <c r="AE108" s="810" t="str">
        <f t="shared" si="27"/>
        <v/>
      </c>
      <c r="AF108" s="811" t="str">
        <f t="shared" si="28"/>
        <v/>
      </c>
      <c r="AG108" s="812" t="str">
        <f t="shared" si="29"/>
        <v/>
      </c>
      <c r="AW108" s="17" t="str">
        <f t="shared" si="30"/>
        <v/>
      </c>
      <c r="AX108" s="17" t="str">
        <f t="shared" si="31"/>
        <v/>
      </c>
      <c r="BM108" s="17" t="str">
        <f>IFERROR(VLOOKUP(B108,'Statement of Marks'!$B$8:'Statement of Marks'!$HI$207,37,0),"")</f>
        <v>A</v>
      </c>
      <c r="BN108" s="17" t="str">
        <f>IFERROR(VLOOKUP(B108,'Statement of Marks'!$B$8:'Statement of Marks'!$HI$207,60,0),"")</f>
        <v>A</v>
      </c>
      <c r="BO108" s="17" t="str">
        <f>IFERROR(VLOOKUP(B108,'Statement of Marks'!$B$8:'Statement of Marks'!$HI$207,83,0),"")</f>
        <v>A</v>
      </c>
      <c r="BP108" s="17" t="str">
        <f>IFERROR(VLOOKUP(B108,'Statement of Marks'!$B$8:'Statement of Marks'!$HI$207,107,0),"")</f>
        <v/>
      </c>
    </row>
    <row r="109" spans="1:68">
      <c r="A109" s="800">
        <f>IF('Statement of Marks'!A108="","",'Statement of Marks'!A108)</f>
        <v>101</v>
      </c>
      <c r="B109" s="801" t="str">
        <f>IF(OR($E$3="",$P$3=""),"",IF('Statement of Marks'!B108="","",'Statement of Marks'!B108))</f>
        <v/>
      </c>
      <c r="C109" s="810" t="str">
        <f>IF(OR($E$3="",$P$3=""),"",IF('Marks Entry'!C108="","",'Marks Entry'!C108))</f>
        <v/>
      </c>
      <c r="D109" s="802" t="str">
        <f>IF(OR($E$3="",$P$3=""),"",IF('Statement of Marks'!C108="","",'Statement of Marks'!C108))</f>
        <v/>
      </c>
      <c r="E109" s="803" t="str">
        <f>IF(OR($E$3="",$P$3=""),"",IF('Statement of Marks'!D108="","",'Statement of Marks'!D108))</f>
        <v/>
      </c>
      <c r="F109" s="804" t="str">
        <f>IF(OR($E$3="",$P$3=""),"",IF('Statement of Marks'!E108="","",'Statement of Marks'!E108))</f>
        <v/>
      </c>
      <c r="G109" s="804" t="str">
        <f>IF(OR($E$3="",$P$3=""),"",IF('Statement of Marks'!F108="","",'Statement of Marks'!F108))</f>
        <v/>
      </c>
      <c r="H109" s="804" t="str">
        <f>IF(OR($E$3="",$P$3=""),"",IF('Statement of Marks'!G108="","",'Statement of Marks'!G108))</f>
        <v/>
      </c>
      <c r="I109" s="805" t="str">
        <f>IF(OR($E$3="",$P$3=""),"",IF('Statement of Marks'!H108="","",'Statement of Marks'!H108))</f>
        <v/>
      </c>
      <c r="J109" s="805" t="str">
        <f>IF(OR($E$3="",$P$3=""),"",IF('Statement of Marks'!I108="","",'Statement of Marks'!I108))</f>
        <v/>
      </c>
      <c r="K109" s="805" t="str">
        <f>IFERROR(IF(B109="","",IF($P$3=$AT$10,IF(AND(BM109="A"),'Marks Entry'!$U$2,IF(AND(BM109="B"),'Marks Entry'!$Y$2,IF(AND(BM109="C"),'Marks Entry'!$AA$2,""))),IF($P$3=$AT$11,IF(AND(BN109="A"),'Marks Entry'!$AC$2,IF(AND(BN109="B"),'Marks Entry'!$AG$2,IF(AND(BN109="C"),'Marks Entry'!$AI$2,""))),IF($P$3=$AT$12,IF(AND(BO109="A"),'Marks Entry'!$AK$2,IF(AND(BO109="B"),'Marks Entry'!$AO$2,IF(AND(BO109="C"),'Marks Entry'!$AQ$2,""))),IF($P$3=$AT$13,IF(AND(BP109="A"),'Marks Entry'!$AS$2,IF(AND(BP109="B"),'Marks Entry'!$AW$2,IF(AND(BP109="C"),'Marks Entry'!$AY$2,""))),"-"))))),"")</f>
        <v/>
      </c>
      <c r="L109" s="806" t="str">
        <f>IFERROR(IF(B109="","",IF($P$3=$AT$8,'Statement of Marks'!J108,IF($P$3=$AT$9,'Statement of Marks'!X108,IF($P$3=$AT$10,'Statement of Marks'!AM108,IF($P$3=$AT$11,'Statement of Marks'!BJ108,IF($P$3=$AT$12,'Statement of Marks'!CG108,IF($P$3=$AT$13,'Statement of Marks'!DE108,IF($P$3=$AT$14,"",IF($P$3=$AT$15,'Statement of Marks'!EY108,""))))))))),"")</f>
        <v/>
      </c>
      <c r="M109" s="806" t="str">
        <f>IFERROR(IF(B109="","",IF($P$3=$AT$8,'Statement of Marks'!K108,IF($P$3=$AT$9,'Statement of Marks'!Y108,IF($P$3=$AT$10,'Statement of Marks'!AN108,IF($P$3=$AT$11,'Statement of Marks'!BK108,IF($P$3=$AT$12,'Statement of Marks'!CH108,IF($P$3=$AT$13,'Statement of Marks'!DF108,IF($P$3=$AT$14,"",IF($P$3=$AT$15,'Statement of Marks'!EZ108,""))))))))),"")</f>
        <v/>
      </c>
      <c r="N109" s="806" t="str">
        <f>IFERROR(IF(B109="","",IF($P$3=$AT$8,'Statement of Marks'!L108,IF($P$3=$AT$9,'Statement of Marks'!Z108,IF($P$3=$AT$10,'Statement of Marks'!AO108,IF($P$3=$AT$11,'Statement of Marks'!BL108,IF($P$3=$AT$12,'Statement of Marks'!CI108,IF($P$3=$AT$13,'Statement of Marks'!DG108,IF($P$3=$AT$14,"",IF($P$3=$AT$15,'Statement of Marks'!FA108,""))))))))),"")</f>
        <v/>
      </c>
      <c r="O109" s="807" t="str">
        <f t="shared" si="18"/>
        <v/>
      </c>
      <c r="P109" s="806" t="str">
        <f>IFERROR(IF(B109="","",IF($P$3=$AT$8,'Statement of Marks'!N108,IF($P$3=$AT$9,'Statement of Marks'!AB108,IF($P$3=$AT$10,'Statement of Marks'!AQ108,IF($P$3=$AT$11,'Statement of Marks'!BN108,IF($P$3=$AT$12,'Statement of Marks'!CK108,IF($P$3=$AT$13,'Statement of Marks'!DI108,IF($P$3=$AT$14,"",IF($P$3=$AT$15,'Statement of Marks'!FC108,""))))))))),"")</f>
        <v/>
      </c>
      <c r="Q109" s="806" t="str">
        <f>IFERROR(IF(B109="","",IF($P$3=$AT$8,"",IF($P$3=$AT$9,"",IF($P$3=$AT$10,'Statement of Marks'!AR108,IF($P$3=$AT$11,'Statement of Marks'!BO108,IF($P$3=$AT$12,'Statement of Marks'!CL108,IF($P$3=$AT$13,'Statement of Marks'!DJ108,IF($P$3=$AT$14,"",IF($P$3=$AT$15,"",""))))))))),"")</f>
        <v/>
      </c>
      <c r="R109" s="818" t="str">
        <f>IFERROR(IF(B109="","",IF(AND(P109="",Q109="",$P$3=""),"",IF($P$3=$AT$14,'Statement of Marks'!EC108,SUM(P109,Q109)))),"")</f>
        <v/>
      </c>
      <c r="S109" s="817" t="str">
        <f>IFERROR(IF(B109="","",IF($P$3=$AT$14,'Statement of Marks'!ED108,IF(AND(O109="NA",P109="NA",Q109="NA"),"NA",IF(AND(O109="",P109="",Q109=""),"",SUM(O109,P109,Q109))))),"")</f>
        <v/>
      </c>
      <c r="T109" s="806" t="str">
        <f>IFERROR(IF(B109="","",IF($P$3=$AT$8,'Statement of Marks'!P108,IF($P$3=$AT$9,'Statement of Marks'!AD108,IF($P$3=$AT$10,'Statement of Marks'!AU108,IF($P$3=$AT$11,'Statement of Marks'!BR108,IF($P$3=$AT$12,'Statement of Marks'!CO108,IF($P$3=$AT$13,'Statement of Marks'!DM108,IF($P$3=$AT$14,"",IF($P$3=$AT$15,'Statement of Marks'!FD108,""))))))))),"")</f>
        <v/>
      </c>
      <c r="U109" s="806" t="str">
        <f>IFERROR(IF(B109="","",IF($P$3=$AT$8,"",IF($P$3=$AT$9,"",IF($P$3=$AT$10,'Statement of Marks'!AV108,IF($P$3=$AT$11,'Statement of Marks'!BS108,IF($P$3=$AT$12,'Statement of Marks'!CP108,IF($P$3=$AT$13,'Statement of Marks'!DN108,IF($P$3=$AT$14,"",IF($P$3=$AT$15,"",""))))))))),"")</f>
        <v/>
      </c>
      <c r="V109" s="818" t="str">
        <f>IFERROR(IF(B109="","",IF(AND(T109="",U109="",$P$3=""),"",IF($P$3=$AT$14,'Statement of Marks'!EE108,SUM(T109,U109)))),"")</f>
        <v/>
      </c>
      <c r="W109" s="808" t="str">
        <f t="shared" si="19"/>
        <v/>
      </c>
      <c r="X109" s="809">
        <f t="shared" si="20"/>
        <v>0</v>
      </c>
      <c r="Y109" s="809">
        <f t="shared" si="21"/>
        <v>0</v>
      </c>
      <c r="Z109" s="809">
        <f t="shared" si="22"/>
        <v>0</v>
      </c>
      <c r="AA109" s="809" t="str">
        <f t="shared" si="23"/>
        <v/>
      </c>
      <c r="AB109" s="809" t="str">
        <f t="shared" si="24"/>
        <v/>
      </c>
      <c r="AC109" s="809" t="str">
        <f t="shared" si="25"/>
        <v/>
      </c>
      <c r="AD109" s="809" t="str">
        <f t="shared" si="26"/>
        <v/>
      </c>
      <c r="AE109" s="810" t="str">
        <f t="shared" si="27"/>
        <v/>
      </c>
      <c r="AF109" s="811" t="str">
        <f t="shared" si="28"/>
        <v/>
      </c>
      <c r="AG109" s="812" t="str">
        <f t="shared" si="29"/>
        <v/>
      </c>
      <c r="AW109" s="17" t="str">
        <f t="shared" si="30"/>
        <v/>
      </c>
      <c r="AX109" s="17" t="str">
        <f t="shared" si="31"/>
        <v/>
      </c>
      <c r="BM109" s="17" t="str">
        <f>IFERROR(VLOOKUP(B109,'Statement of Marks'!$B$8:'Statement of Marks'!$HI$207,37,0),"")</f>
        <v>A</v>
      </c>
      <c r="BN109" s="17" t="str">
        <f>IFERROR(VLOOKUP(B109,'Statement of Marks'!$B$8:'Statement of Marks'!$HI$207,60,0),"")</f>
        <v>A</v>
      </c>
      <c r="BO109" s="17" t="str">
        <f>IFERROR(VLOOKUP(B109,'Statement of Marks'!$B$8:'Statement of Marks'!$HI$207,83,0),"")</f>
        <v>A</v>
      </c>
      <c r="BP109" s="17" t="str">
        <f>IFERROR(VLOOKUP(B109,'Statement of Marks'!$B$8:'Statement of Marks'!$HI$207,107,0),"")</f>
        <v/>
      </c>
    </row>
    <row r="110" spans="1:68">
      <c r="A110" s="800">
        <f>IF('Statement of Marks'!A109="","",'Statement of Marks'!A109)</f>
        <v>102</v>
      </c>
      <c r="B110" s="801" t="str">
        <f>IF(OR($E$3="",$P$3=""),"",IF('Statement of Marks'!B109="","",'Statement of Marks'!B109))</f>
        <v/>
      </c>
      <c r="C110" s="810" t="str">
        <f>IF(OR($E$3="",$P$3=""),"",IF('Marks Entry'!C109="","",'Marks Entry'!C109))</f>
        <v/>
      </c>
      <c r="D110" s="802" t="str">
        <f>IF(OR($E$3="",$P$3=""),"",IF('Statement of Marks'!C109="","",'Statement of Marks'!C109))</f>
        <v/>
      </c>
      <c r="E110" s="803" t="str">
        <f>IF(OR($E$3="",$P$3=""),"",IF('Statement of Marks'!D109="","",'Statement of Marks'!D109))</f>
        <v/>
      </c>
      <c r="F110" s="804" t="str">
        <f>IF(OR($E$3="",$P$3=""),"",IF('Statement of Marks'!E109="","",'Statement of Marks'!E109))</f>
        <v/>
      </c>
      <c r="G110" s="804" t="str">
        <f>IF(OR($E$3="",$P$3=""),"",IF('Statement of Marks'!F109="","",'Statement of Marks'!F109))</f>
        <v/>
      </c>
      <c r="H110" s="804" t="str">
        <f>IF(OR($E$3="",$P$3=""),"",IF('Statement of Marks'!G109="","",'Statement of Marks'!G109))</f>
        <v/>
      </c>
      <c r="I110" s="805" t="str">
        <f>IF(OR($E$3="",$P$3=""),"",IF('Statement of Marks'!H109="","",'Statement of Marks'!H109))</f>
        <v/>
      </c>
      <c r="J110" s="805" t="str">
        <f>IF(OR($E$3="",$P$3=""),"",IF('Statement of Marks'!I109="","",'Statement of Marks'!I109))</f>
        <v/>
      </c>
      <c r="K110" s="805" t="str">
        <f>IFERROR(IF(B110="","",IF($P$3=$AT$10,IF(AND(BM110="A"),'Marks Entry'!$U$2,IF(AND(BM110="B"),'Marks Entry'!$Y$2,IF(AND(BM110="C"),'Marks Entry'!$AA$2,""))),IF($P$3=$AT$11,IF(AND(BN110="A"),'Marks Entry'!$AC$2,IF(AND(BN110="B"),'Marks Entry'!$AG$2,IF(AND(BN110="C"),'Marks Entry'!$AI$2,""))),IF($P$3=$AT$12,IF(AND(BO110="A"),'Marks Entry'!$AK$2,IF(AND(BO110="B"),'Marks Entry'!$AO$2,IF(AND(BO110="C"),'Marks Entry'!$AQ$2,""))),IF($P$3=$AT$13,IF(AND(BP110="A"),'Marks Entry'!$AS$2,IF(AND(BP110="B"),'Marks Entry'!$AW$2,IF(AND(BP110="C"),'Marks Entry'!$AY$2,""))),"-"))))),"")</f>
        <v/>
      </c>
      <c r="L110" s="806" t="str">
        <f>IFERROR(IF(B110="","",IF($P$3=$AT$8,'Statement of Marks'!J109,IF($P$3=$AT$9,'Statement of Marks'!X109,IF($P$3=$AT$10,'Statement of Marks'!AM109,IF($P$3=$AT$11,'Statement of Marks'!BJ109,IF($P$3=$AT$12,'Statement of Marks'!CG109,IF($P$3=$AT$13,'Statement of Marks'!DE109,IF($P$3=$AT$14,"",IF($P$3=$AT$15,'Statement of Marks'!EY109,""))))))))),"")</f>
        <v/>
      </c>
      <c r="M110" s="806" t="str">
        <f>IFERROR(IF(B110="","",IF($P$3=$AT$8,'Statement of Marks'!K109,IF($P$3=$AT$9,'Statement of Marks'!Y109,IF($P$3=$AT$10,'Statement of Marks'!AN109,IF($P$3=$AT$11,'Statement of Marks'!BK109,IF($P$3=$AT$12,'Statement of Marks'!CH109,IF($P$3=$AT$13,'Statement of Marks'!DF109,IF($P$3=$AT$14,"",IF($P$3=$AT$15,'Statement of Marks'!EZ109,""))))))))),"")</f>
        <v/>
      </c>
      <c r="N110" s="806" t="str">
        <f>IFERROR(IF(B110="","",IF($P$3=$AT$8,'Statement of Marks'!L109,IF($P$3=$AT$9,'Statement of Marks'!Z109,IF($P$3=$AT$10,'Statement of Marks'!AO109,IF($P$3=$AT$11,'Statement of Marks'!BL109,IF($P$3=$AT$12,'Statement of Marks'!CI109,IF($P$3=$AT$13,'Statement of Marks'!DG109,IF($P$3=$AT$14,"",IF($P$3=$AT$15,'Statement of Marks'!FA109,""))))))))),"")</f>
        <v/>
      </c>
      <c r="O110" s="807" t="str">
        <f t="shared" si="18"/>
        <v/>
      </c>
      <c r="P110" s="806" t="str">
        <f>IFERROR(IF(B110="","",IF($P$3=$AT$8,'Statement of Marks'!N109,IF($P$3=$AT$9,'Statement of Marks'!AB109,IF($P$3=$AT$10,'Statement of Marks'!AQ109,IF($P$3=$AT$11,'Statement of Marks'!BN109,IF($P$3=$AT$12,'Statement of Marks'!CK109,IF($P$3=$AT$13,'Statement of Marks'!DI109,IF($P$3=$AT$14,"",IF($P$3=$AT$15,'Statement of Marks'!FC109,""))))))))),"")</f>
        <v/>
      </c>
      <c r="Q110" s="806" t="str">
        <f>IFERROR(IF(B110="","",IF($P$3=$AT$8,"",IF($P$3=$AT$9,"",IF($P$3=$AT$10,'Statement of Marks'!AR109,IF($P$3=$AT$11,'Statement of Marks'!BO109,IF($P$3=$AT$12,'Statement of Marks'!CL109,IF($P$3=$AT$13,'Statement of Marks'!DJ109,IF($P$3=$AT$14,"",IF($P$3=$AT$15,"",""))))))))),"")</f>
        <v/>
      </c>
      <c r="R110" s="818" t="str">
        <f>IFERROR(IF(B110="","",IF(AND(P110="",Q110="",$P$3=""),"",IF($P$3=$AT$14,'Statement of Marks'!EC109,SUM(P110,Q110)))),"")</f>
        <v/>
      </c>
      <c r="S110" s="817" t="str">
        <f>IFERROR(IF(B110="","",IF($P$3=$AT$14,'Statement of Marks'!ED109,IF(AND(O110="NA",P110="NA",Q110="NA"),"NA",IF(AND(O110="",P110="",Q110=""),"",SUM(O110,P110,Q110))))),"")</f>
        <v/>
      </c>
      <c r="T110" s="806" t="str">
        <f>IFERROR(IF(B110="","",IF($P$3=$AT$8,'Statement of Marks'!P109,IF($P$3=$AT$9,'Statement of Marks'!AD109,IF($P$3=$AT$10,'Statement of Marks'!AU109,IF($P$3=$AT$11,'Statement of Marks'!BR109,IF($P$3=$AT$12,'Statement of Marks'!CO109,IF($P$3=$AT$13,'Statement of Marks'!DM109,IF($P$3=$AT$14,"",IF($P$3=$AT$15,'Statement of Marks'!FD109,""))))))))),"")</f>
        <v/>
      </c>
      <c r="U110" s="806" t="str">
        <f>IFERROR(IF(B110="","",IF($P$3=$AT$8,"",IF($P$3=$AT$9,"",IF($P$3=$AT$10,'Statement of Marks'!AV109,IF($P$3=$AT$11,'Statement of Marks'!BS109,IF($P$3=$AT$12,'Statement of Marks'!CP109,IF($P$3=$AT$13,'Statement of Marks'!DN109,IF($P$3=$AT$14,"",IF($P$3=$AT$15,"",""))))))))),"")</f>
        <v/>
      </c>
      <c r="V110" s="818" t="str">
        <f>IFERROR(IF(B110="","",IF(AND(T110="",U110="",$P$3=""),"",IF($P$3=$AT$14,'Statement of Marks'!EE109,SUM(T110,U110)))),"")</f>
        <v/>
      </c>
      <c r="W110" s="808" t="str">
        <f t="shared" si="19"/>
        <v/>
      </c>
      <c r="X110" s="809">
        <f t="shared" si="20"/>
        <v>0</v>
      </c>
      <c r="Y110" s="809">
        <f t="shared" si="21"/>
        <v>0</v>
      </c>
      <c r="Z110" s="809">
        <f t="shared" si="22"/>
        <v>0</v>
      </c>
      <c r="AA110" s="809" t="str">
        <f t="shared" si="23"/>
        <v/>
      </c>
      <c r="AB110" s="809" t="str">
        <f t="shared" si="24"/>
        <v/>
      </c>
      <c r="AC110" s="809" t="str">
        <f t="shared" si="25"/>
        <v/>
      </c>
      <c r="AD110" s="809" t="str">
        <f t="shared" si="26"/>
        <v/>
      </c>
      <c r="AE110" s="810" t="str">
        <f t="shared" si="27"/>
        <v/>
      </c>
      <c r="AF110" s="811" t="str">
        <f t="shared" si="28"/>
        <v/>
      </c>
      <c r="AG110" s="812" t="str">
        <f t="shared" si="29"/>
        <v/>
      </c>
      <c r="AW110" s="17" t="str">
        <f t="shared" si="30"/>
        <v/>
      </c>
      <c r="AX110" s="17" t="str">
        <f t="shared" si="31"/>
        <v/>
      </c>
      <c r="BM110" s="17" t="str">
        <f>IFERROR(VLOOKUP(B110,'Statement of Marks'!$B$8:'Statement of Marks'!$HI$207,37,0),"")</f>
        <v>A</v>
      </c>
      <c r="BN110" s="17" t="str">
        <f>IFERROR(VLOOKUP(B110,'Statement of Marks'!$B$8:'Statement of Marks'!$HI$207,60,0),"")</f>
        <v>A</v>
      </c>
      <c r="BO110" s="17" t="str">
        <f>IFERROR(VLOOKUP(B110,'Statement of Marks'!$B$8:'Statement of Marks'!$HI$207,83,0),"")</f>
        <v>A</v>
      </c>
      <c r="BP110" s="17" t="str">
        <f>IFERROR(VLOOKUP(B110,'Statement of Marks'!$B$8:'Statement of Marks'!$HI$207,107,0),"")</f>
        <v/>
      </c>
    </row>
    <row r="111" spans="1:68">
      <c r="A111" s="800">
        <f>IF('Statement of Marks'!A110="","",'Statement of Marks'!A110)</f>
        <v>103</v>
      </c>
      <c r="B111" s="801" t="str">
        <f>IF(OR($E$3="",$P$3=""),"",IF('Statement of Marks'!B110="","",'Statement of Marks'!B110))</f>
        <v/>
      </c>
      <c r="C111" s="810" t="str">
        <f>IF(OR($E$3="",$P$3=""),"",IF('Marks Entry'!C110="","",'Marks Entry'!C110))</f>
        <v/>
      </c>
      <c r="D111" s="802" t="str">
        <f>IF(OR($E$3="",$P$3=""),"",IF('Statement of Marks'!C110="","",'Statement of Marks'!C110))</f>
        <v/>
      </c>
      <c r="E111" s="803" t="str">
        <f>IF(OR($E$3="",$P$3=""),"",IF('Statement of Marks'!D110="","",'Statement of Marks'!D110))</f>
        <v/>
      </c>
      <c r="F111" s="804" t="str">
        <f>IF(OR($E$3="",$P$3=""),"",IF('Statement of Marks'!E110="","",'Statement of Marks'!E110))</f>
        <v/>
      </c>
      <c r="G111" s="804" t="str">
        <f>IF(OR($E$3="",$P$3=""),"",IF('Statement of Marks'!F110="","",'Statement of Marks'!F110))</f>
        <v/>
      </c>
      <c r="H111" s="804" t="str">
        <f>IF(OR($E$3="",$P$3=""),"",IF('Statement of Marks'!G110="","",'Statement of Marks'!G110))</f>
        <v/>
      </c>
      <c r="I111" s="805" t="str">
        <f>IF(OR($E$3="",$P$3=""),"",IF('Statement of Marks'!H110="","",'Statement of Marks'!H110))</f>
        <v/>
      </c>
      <c r="J111" s="805" t="str">
        <f>IF(OR($E$3="",$P$3=""),"",IF('Statement of Marks'!I110="","",'Statement of Marks'!I110))</f>
        <v/>
      </c>
      <c r="K111" s="805" t="str">
        <f>IFERROR(IF(B111="","",IF($P$3=$AT$10,IF(AND(BM111="A"),'Marks Entry'!$U$2,IF(AND(BM111="B"),'Marks Entry'!$Y$2,IF(AND(BM111="C"),'Marks Entry'!$AA$2,""))),IF($P$3=$AT$11,IF(AND(BN111="A"),'Marks Entry'!$AC$2,IF(AND(BN111="B"),'Marks Entry'!$AG$2,IF(AND(BN111="C"),'Marks Entry'!$AI$2,""))),IF($P$3=$AT$12,IF(AND(BO111="A"),'Marks Entry'!$AK$2,IF(AND(BO111="B"),'Marks Entry'!$AO$2,IF(AND(BO111="C"),'Marks Entry'!$AQ$2,""))),IF($P$3=$AT$13,IF(AND(BP111="A"),'Marks Entry'!$AS$2,IF(AND(BP111="B"),'Marks Entry'!$AW$2,IF(AND(BP111="C"),'Marks Entry'!$AY$2,""))),"-"))))),"")</f>
        <v/>
      </c>
      <c r="L111" s="806" t="str">
        <f>IFERROR(IF(B111="","",IF($P$3=$AT$8,'Statement of Marks'!J110,IF($P$3=$AT$9,'Statement of Marks'!X110,IF($P$3=$AT$10,'Statement of Marks'!AM110,IF($P$3=$AT$11,'Statement of Marks'!BJ110,IF($P$3=$AT$12,'Statement of Marks'!CG110,IF($P$3=$AT$13,'Statement of Marks'!DE110,IF($P$3=$AT$14,"",IF($P$3=$AT$15,'Statement of Marks'!EY110,""))))))))),"")</f>
        <v/>
      </c>
      <c r="M111" s="806" t="str">
        <f>IFERROR(IF(B111="","",IF($P$3=$AT$8,'Statement of Marks'!K110,IF($P$3=$AT$9,'Statement of Marks'!Y110,IF($P$3=$AT$10,'Statement of Marks'!AN110,IF($P$3=$AT$11,'Statement of Marks'!BK110,IF($P$3=$AT$12,'Statement of Marks'!CH110,IF($P$3=$AT$13,'Statement of Marks'!DF110,IF($P$3=$AT$14,"",IF($P$3=$AT$15,'Statement of Marks'!EZ110,""))))))))),"")</f>
        <v/>
      </c>
      <c r="N111" s="806" t="str">
        <f>IFERROR(IF(B111="","",IF($P$3=$AT$8,'Statement of Marks'!L110,IF($P$3=$AT$9,'Statement of Marks'!Z110,IF($P$3=$AT$10,'Statement of Marks'!AO110,IF($P$3=$AT$11,'Statement of Marks'!BL110,IF($P$3=$AT$12,'Statement of Marks'!CI110,IF($P$3=$AT$13,'Statement of Marks'!DG110,IF($P$3=$AT$14,"",IF($P$3=$AT$15,'Statement of Marks'!FA110,""))))))))),"")</f>
        <v/>
      </c>
      <c r="O111" s="807" t="str">
        <f t="shared" si="18"/>
        <v/>
      </c>
      <c r="P111" s="806" t="str">
        <f>IFERROR(IF(B111="","",IF($P$3=$AT$8,'Statement of Marks'!N110,IF($P$3=$AT$9,'Statement of Marks'!AB110,IF($P$3=$AT$10,'Statement of Marks'!AQ110,IF($P$3=$AT$11,'Statement of Marks'!BN110,IF($P$3=$AT$12,'Statement of Marks'!CK110,IF($P$3=$AT$13,'Statement of Marks'!DI110,IF($P$3=$AT$14,"",IF($P$3=$AT$15,'Statement of Marks'!FC110,""))))))))),"")</f>
        <v/>
      </c>
      <c r="Q111" s="806" t="str">
        <f>IFERROR(IF(B111="","",IF($P$3=$AT$8,"",IF($P$3=$AT$9,"",IF($P$3=$AT$10,'Statement of Marks'!AR110,IF($P$3=$AT$11,'Statement of Marks'!BO110,IF($P$3=$AT$12,'Statement of Marks'!CL110,IF($P$3=$AT$13,'Statement of Marks'!DJ110,IF($P$3=$AT$14,"",IF($P$3=$AT$15,"",""))))))))),"")</f>
        <v/>
      </c>
      <c r="R111" s="818" t="str">
        <f>IFERROR(IF(B111="","",IF(AND(P111="",Q111="",$P$3=""),"",IF($P$3=$AT$14,'Statement of Marks'!EC110,SUM(P111,Q111)))),"")</f>
        <v/>
      </c>
      <c r="S111" s="817" t="str">
        <f>IFERROR(IF(B111="","",IF($P$3=$AT$14,'Statement of Marks'!ED110,IF(AND(O111="NA",P111="NA",Q111="NA"),"NA",IF(AND(O111="",P111="",Q111=""),"",SUM(O111,P111,Q111))))),"")</f>
        <v/>
      </c>
      <c r="T111" s="806" t="str">
        <f>IFERROR(IF(B111="","",IF($P$3=$AT$8,'Statement of Marks'!P110,IF($P$3=$AT$9,'Statement of Marks'!AD110,IF($P$3=$AT$10,'Statement of Marks'!AU110,IF($P$3=$AT$11,'Statement of Marks'!BR110,IF($P$3=$AT$12,'Statement of Marks'!CO110,IF($P$3=$AT$13,'Statement of Marks'!DM110,IF($P$3=$AT$14,"",IF($P$3=$AT$15,'Statement of Marks'!FD110,""))))))))),"")</f>
        <v/>
      </c>
      <c r="U111" s="806" t="str">
        <f>IFERROR(IF(B111="","",IF($P$3=$AT$8,"",IF($P$3=$AT$9,"",IF($P$3=$AT$10,'Statement of Marks'!AV110,IF($P$3=$AT$11,'Statement of Marks'!BS110,IF($P$3=$AT$12,'Statement of Marks'!CP110,IF($P$3=$AT$13,'Statement of Marks'!DN110,IF($P$3=$AT$14,"",IF($P$3=$AT$15,"",""))))))))),"")</f>
        <v/>
      </c>
      <c r="V111" s="818" t="str">
        <f>IFERROR(IF(B111="","",IF(AND(T111="",U111="",$P$3=""),"",IF($P$3=$AT$14,'Statement of Marks'!EE110,SUM(T111,U111)))),"")</f>
        <v/>
      </c>
      <c r="W111" s="808" t="str">
        <f t="shared" si="19"/>
        <v/>
      </c>
      <c r="X111" s="809">
        <f t="shared" si="20"/>
        <v>0</v>
      </c>
      <c r="Y111" s="809">
        <f t="shared" si="21"/>
        <v>0</v>
      </c>
      <c r="Z111" s="809">
        <f t="shared" si="22"/>
        <v>0</v>
      </c>
      <c r="AA111" s="809" t="str">
        <f t="shared" si="23"/>
        <v/>
      </c>
      <c r="AB111" s="809" t="str">
        <f t="shared" si="24"/>
        <v/>
      </c>
      <c r="AC111" s="809" t="str">
        <f t="shared" si="25"/>
        <v/>
      </c>
      <c r="AD111" s="809" t="str">
        <f t="shared" si="26"/>
        <v/>
      </c>
      <c r="AE111" s="810" t="str">
        <f t="shared" si="27"/>
        <v/>
      </c>
      <c r="AF111" s="811" t="str">
        <f t="shared" si="28"/>
        <v/>
      </c>
      <c r="AG111" s="812" t="str">
        <f t="shared" si="29"/>
        <v/>
      </c>
      <c r="AW111" s="17" t="str">
        <f t="shared" si="30"/>
        <v/>
      </c>
      <c r="AX111" s="17" t="str">
        <f t="shared" si="31"/>
        <v/>
      </c>
      <c r="BM111" s="17" t="str">
        <f>IFERROR(VLOOKUP(B111,'Statement of Marks'!$B$8:'Statement of Marks'!$HI$207,37,0),"")</f>
        <v>A</v>
      </c>
      <c r="BN111" s="17" t="str">
        <f>IFERROR(VLOOKUP(B111,'Statement of Marks'!$B$8:'Statement of Marks'!$HI$207,60,0),"")</f>
        <v>A</v>
      </c>
      <c r="BO111" s="17" t="str">
        <f>IFERROR(VLOOKUP(B111,'Statement of Marks'!$B$8:'Statement of Marks'!$HI$207,83,0),"")</f>
        <v>A</v>
      </c>
      <c r="BP111" s="17" t="str">
        <f>IFERROR(VLOOKUP(B111,'Statement of Marks'!$B$8:'Statement of Marks'!$HI$207,107,0),"")</f>
        <v/>
      </c>
    </row>
    <row r="112" spans="1:68">
      <c r="A112" s="800">
        <f>IF('Statement of Marks'!A111="","",'Statement of Marks'!A111)</f>
        <v>104</v>
      </c>
      <c r="B112" s="801" t="str">
        <f>IF(OR($E$3="",$P$3=""),"",IF('Statement of Marks'!B111="","",'Statement of Marks'!B111))</f>
        <v/>
      </c>
      <c r="C112" s="810" t="str">
        <f>IF(OR($E$3="",$P$3=""),"",IF('Marks Entry'!C111="","",'Marks Entry'!C111))</f>
        <v/>
      </c>
      <c r="D112" s="802" t="str">
        <f>IF(OR($E$3="",$P$3=""),"",IF('Statement of Marks'!C111="","",'Statement of Marks'!C111))</f>
        <v/>
      </c>
      <c r="E112" s="803" t="str">
        <f>IF(OR($E$3="",$P$3=""),"",IF('Statement of Marks'!D111="","",'Statement of Marks'!D111))</f>
        <v/>
      </c>
      <c r="F112" s="804" t="str">
        <f>IF(OR($E$3="",$P$3=""),"",IF('Statement of Marks'!E111="","",'Statement of Marks'!E111))</f>
        <v/>
      </c>
      <c r="G112" s="804" t="str">
        <f>IF(OR($E$3="",$P$3=""),"",IF('Statement of Marks'!F111="","",'Statement of Marks'!F111))</f>
        <v/>
      </c>
      <c r="H112" s="804" t="str">
        <f>IF(OR($E$3="",$P$3=""),"",IF('Statement of Marks'!G111="","",'Statement of Marks'!G111))</f>
        <v/>
      </c>
      <c r="I112" s="805" t="str">
        <f>IF(OR($E$3="",$P$3=""),"",IF('Statement of Marks'!H111="","",'Statement of Marks'!H111))</f>
        <v/>
      </c>
      <c r="J112" s="805" t="str">
        <f>IF(OR($E$3="",$P$3=""),"",IF('Statement of Marks'!I111="","",'Statement of Marks'!I111))</f>
        <v/>
      </c>
      <c r="K112" s="805" t="str">
        <f>IFERROR(IF(B112="","",IF($P$3=$AT$10,IF(AND(BM112="A"),'Marks Entry'!$U$2,IF(AND(BM112="B"),'Marks Entry'!$Y$2,IF(AND(BM112="C"),'Marks Entry'!$AA$2,""))),IF($P$3=$AT$11,IF(AND(BN112="A"),'Marks Entry'!$AC$2,IF(AND(BN112="B"),'Marks Entry'!$AG$2,IF(AND(BN112="C"),'Marks Entry'!$AI$2,""))),IF($P$3=$AT$12,IF(AND(BO112="A"),'Marks Entry'!$AK$2,IF(AND(BO112="B"),'Marks Entry'!$AO$2,IF(AND(BO112="C"),'Marks Entry'!$AQ$2,""))),IF($P$3=$AT$13,IF(AND(BP112="A"),'Marks Entry'!$AS$2,IF(AND(BP112="B"),'Marks Entry'!$AW$2,IF(AND(BP112="C"),'Marks Entry'!$AY$2,""))),"-"))))),"")</f>
        <v/>
      </c>
      <c r="L112" s="806" t="str">
        <f>IFERROR(IF(B112="","",IF($P$3=$AT$8,'Statement of Marks'!J111,IF($P$3=$AT$9,'Statement of Marks'!X111,IF($P$3=$AT$10,'Statement of Marks'!AM111,IF($P$3=$AT$11,'Statement of Marks'!BJ111,IF($P$3=$AT$12,'Statement of Marks'!CG111,IF($P$3=$AT$13,'Statement of Marks'!DE111,IF($P$3=$AT$14,"",IF($P$3=$AT$15,'Statement of Marks'!EY111,""))))))))),"")</f>
        <v/>
      </c>
      <c r="M112" s="806" t="str">
        <f>IFERROR(IF(B112="","",IF($P$3=$AT$8,'Statement of Marks'!K111,IF($P$3=$AT$9,'Statement of Marks'!Y111,IF($P$3=$AT$10,'Statement of Marks'!AN111,IF($P$3=$AT$11,'Statement of Marks'!BK111,IF($P$3=$AT$12,'Statement of Marks'!CH111,IF($P$3=$AT$13,'Statement of Marks'!DF111,IF($P$3=$AT$14,"",IF($P$3=$AT$15,'Statement of Marks'!EZ111,""))))))))),"")</f>
        <v/>
      </c>
      <c r="N112" s="806" t="str">
        <f>IFERROR(IF(B112="","",IF($P$3=$AT$8,'Statement of Marks'!L111,IF($P$3=$AT$9,'Statement of Marks'!Z111,IF($P$3=$AT$10,'Statement of Marks'!AO111,IF($P$3=$AT$11,'Statement of Marks'!BL111,IF($P$3=$AT$12,'Statement of Marks'!CI111,IF($P$3=$AT$13,'Statement of Marks'!DG111,IF($P$3=$AT$14,"",IF($P$3=$AT$15,'Statement of Marks'!FA111,""))))))))),"")</f>
        <v/>
      </c>
      <c r="O112" s="807" t="str">
        <f t="shared" si="18"/>
        <v/>
      </c>
      <c r="P112" s="806" t="str">
        <f>IFERROR(IF(B112="","",IF($P$3=$AT$8,'Statement of Marks'!N111,IF($P$3=$AT$9,'Statement of Marks'!AB111,IF($P$3=$AT$10,'Statement of Marks'!AQ111,IF($P$3=$AT$11,'Statement of Marks'!BN111,IF($P$3=$AT$12,'Statement of Marks'!CK111,IF($P$3=$AT$13,'Statement of Marks'!DI111,IF($P$3=$AT$14,"",IF($P$3=$AT$15,'Statement of Marks'!FC111,""))))))))),"")</f>
        <v/>
      </c>
      <c r="Q112" s="806" t="str">
        <f>IFERROR(IF(B112="","",IF($P$3=$AT$8,"",IF($P$3=$AT$9,"",IF($P$3=$AT$10,'Statement of Marks'!AR111,IF($P$3=$AT$11,'Statement of Marks'!BO111,IF($P$3=$AT$12,'Statement of Marks'!CL111,IF($P$3=$AT$13,'Statement of Marks'!DJ111,IF($P$3=$AT$14,"",IF($P$3=$AT$15,"",""))))))))),"")</f>
        <v/>
      </c>
      <c r="R112" s="818" t="str">
        <f>IFERROR(IF(B112="","",IF(AND(P112="",Q112="",$P$3=""),"",IF($P$3=$AT$14,'Statement of Marks'!EC111,SUM(P112,Q112)))),"")</f>
        <v/>
      </c>
      <c r="S112" s="817" t="str">
        <f>IFERROR(IF(B112="","",IF($P$3=$AT$14,'Statement of Marks'!ED111,IF(AND(O112="NA",P112="NA",Q112="NA"),"NA",IF(AND(O112="",P112="",Q112=""),"",SUM(O112,P112,Q112))))),"")</f>
        <v/>
      </c>
      <c r="T112" s="806" t="str">
        <f>IFERROR(IF(B112="","",IF($P$3=$AT$8,'Statement of Marks'!P111,IF($P$3=$AT$9,'Statement of Marks'!AD111,IF($P$3=$AT$10,'Statement of Marks'!AU111,IF($P$3=$AT$11,'Statement of Marks'!BR111,IF($P$3=$AT$12,'Statement of Marks'!CO111,IF($P$3=$AT$13,'Statement of Marks'!DM111,IF($P$3=$AT$14,"",IF($P$3=$AT$15,'Statement of Marks'!FD111,""))))))))),"")</f>
        <v/>
      </c>
      <c r="U112" s="806" t="str">
        <f>IFERROR(IF(B112="","",IF($P$3=$AT$8,"",IF($P$3=$AT$9,"",IF($P$3=$AT$10,'Statement of Marks'!AV111,IF($P$3=$AT$11,'Statement of Marks'!BS111,IF($P$3=$AT$12,'Statement of Marks'!CP111,IF($P$3=$AT$13,'Statement of Marks'!DN111,IF($P$3=$AT$14,"",IF($P$3=$AT$15,"",""))))))))),"")</f>
        <v/>
      </c>
      <c r="V112" s="818" t="str">
        <f>IFERROR(IF(B112="","",IF(AND(T112="",U112="",$P$3=""),"",IF($P$3=$AT$14,'Statement of Marks'!EE111,SUM(T112,U112)))),"")</f>
        <v/>
      </c>
      <c r="W112" s="808" t="str">
        <f t="shared" si="19"/>
        <v/>
      </c>
      <c r="X112" s="809">
        <f t="shared" si="20"/>
        <v>0</v>
      </c>
      <c r="Y112" s="809">
        <f t="shared" si="21"/>
        <v>0</v>
      </c>
      <c r="Z112" s="809">
        <f t="shared" si="22"/>
        <v>0</v>
      </c>
      <c r="AA112" s="809" t="str">
        <f t="shared" si="23"/>
        <v/>
      </c>
      <c r="AB112" s="809" t="str">
        <f t="shared" si="24"/>
        <v/>
      </c>
      <c r="AC112" s="809" t="str">
        <f t="shared" si="25"/>
        <v/>
      </c>
      <c r="AD112" s="809" t="str">
        <f t="shared" si="26"/>
        <v/>
      </c>
      <c r="AE112" s="810" t="str">
        <f t="shared" si="27"/>
        <v/>
      </c>
      <c r="AF112" s="811" t="str">
        <f t="shared" si="28"/>
        <v/>
      </c>
      <c r="AG112" s="812" t="str">
        <f t="shared" si="29"/>
        <v/>
      </c>
      <c r="AW112" s="17" t="str">
        <f t="shared" si="30"/>
        <v/>
      </c>
      <c r="AX112" s="17" t="str">
        <f t="shared" si="31"/>
        <v/>
      </c>
      <c r="BM112" s="17" t="str">
        <f>IFERROR(VLOOKUP(B112,'Statement of Marks'!$B$8:'Statement of Marks'!$HI$207,37,0),"")</f>
        <v>A</v>
      </c>
      <c r="BN112" s="17" t="str">
        <f>IFERROR(VLOOKUP(B112,'Statement of Marks'!$B$8:'Statement of Marks'!$HI$207,60,0),"")</f>
        <v>A</v>
      </c>
      <c r="BO112" s="17" t="str">
        <f>IFERROR(VLOOKUP(B112,'Statement of Marks'!$B$8:'Statement of Marks'!$HI$207,83,0),"")</f>
        <v>A</v>
      </c>
      <c r="BP112" s="17" t="str">
        <f>IFERROR(VLOOKUP(B112,'Statement of Marks'!$B$8:'Statement of Marks'!$HI$207,107,0),"")</f>
        <v/>
      </c>
    </row>
    <row r="113" spans="1:68">
      <c r="A113" s="800">
        <f>IF('Statement of Marks'!A112="","",'Statement of Marks'!A112)</f>
        <v>105</v>
      </c>
      <c r="B113" s="801" t="str">
        <f>IF(OR($E$3="",$P$3=""),"",IF('Statement of Marks'!B112="","",'Statement of Marks'!B112))</f>
        <v/>
      </c>
      <c r="C113" s="810" t="str">
        <f>IF(OR($E$3="",$P$3=""),"",IF('Marks Entry'!C112="","",'Marks Entry'!C112))</f>
        <v/>
      </c>
      <c r="D113" s="802" t="str">
        <f>IF(OR($E$3="",$P$3=""),"",IF('Statement of Marks'!C112="","",'Statement of Marks'!C112))</f>
        <v/>
      </c>
      <c r="E113" s="803" t="str">
        <f>IF(OR($E$3="",$P$3=""),"",IF('Statement of Marks'!D112="","",'Statement of Marks'!D112))</f>
        <v/>
      </c>
      <c r="F113" s="804" t="str">
        <f>IF(OR($E$3="",$P$3=""),"",IF('Statement of Marks'!E112="","",'Statement of Marks'!E112))</f>
        <v/>
      </c>
      <c r="G113" s="804" t="str">
        <f>IF(OR($E$3="",$P$3=""),"",IF('Statement of Marks'!F112="","",'Statement of Marks'!F112))</f>
        <v/>
      </c>
      <c r="H113" s="804" t="str">
        <f>IF(OR($E$3="",$P$3=""),"",IF('Statement of Marks'!G112="","",'Statement of Marks'!G112))</f>
        <v/>
      </c>
      <c r="I113" s="805" t="str">
        <f>IF(OR($E$3="",$P$3=""),"",IF('Statement of Marks'!H112="","",'Statement of Marks'!H112))</f>
        <v/>
      </c>
      <c r="J113" s="805" t="str">
        <f>IF(OR($E$3="",$P$3=""),"",IF('Statement of Marks'!I112="","",'Statement of Marks'!I112))</f>
        <v/>
      </c>
      <c r="K113" s="805" t="str">
        <f>IFERROR(IF(B113="","",IF($P$3=$AT$10,IF(AND(BM113="A"),'Marks Entry'!$U$2,IF(AND(BM113="B"),'Marks Entry'!$Y$2,IF(AND(BM113="C"),'Marks Entry'!$AA$2,""))),IF($P$3=$AT$11,IF(AND(BN113="A"),'Marks Entry'!$AC$2,IF(AND(BN113="B"),'Marks Entry'!$AG$2,IF(AND(BN113="C"),'Marks Entry'!$AI$2,""))),IF($P$3=$AT$12,IF(AND(BO113="A"),'Marks Entry'!$AK$2,IF(AND(BO113="B"),'Marks Entry'!$AO$2,IF(AND(BO113="C"),'Marks Entry'!$AQ$2,""))),IF($P$3=$AT$13,IF(AND(BP113="A"),'Marks Entry'!$AS$2,IF(AND(BP113="B"),'Marks Entry'!$AW$2,IF(AND(BP113="C"),'Marks Entry'!$AY$2,""))),"-"))))),"")</f>
        <v/>
      </c>
      <c r="L113" s="806" t="str">
        <f>IFERROR(IF(B113="","",IF($P$3=$AT$8,'Statement of Marks'!J112,IF($P$3=$AT$9,'Statement of Marks'!X112,IF($P$3=$AT$10,'Statement of Marks'!AM112,IF($P$3=$AT$11,'Statement of Marks'!BJ112,IF($P$3=$AT$12,'Statement of Marks'!CG112,IF($P$3=$AT$13,'Statement of Marks'!DE112,IF($P$3=$AT$14,"",IF($P$3=$AT$15,'Statement of Marks'!EY112,""))))))))),"")</f>
        <v/>
      </c>
      <c r="M113" s="806" t="str">
        <f>IFERROR(IF(B113="","",IF($P$3=$AT$8,'Statement of Marks'!K112,IF($P$3=$AT$9,'Statement of Marks'!Y112,IF($P$3=$AT$10,'Statement of Marks'!AN112,IF($P$3=$AT$11,'Statement of Marks'!BK112,IF($P$3=$AT$12,'Statement of Marks'!CH112,IF($P$3=$AT$13,'Statement of Marks'!DF112,IF($P$3=$AT$14,"",IF($P$3=$AT$15,'Statement of Marks'!EZ112,""))))))))),"")</f>
        <v/>
      </c>
      <c r="N113" s="806" t="str">
        <f>IFERROR(IF(B113="","",IF($P$3=$AT$8,'Statement of Marks'!L112,IF($P$3=$AT$9,'Statement of Marks'!Z112,IF($P$3=$AT$10,'Statement of Marks'!AO112,IF($P$3=$AT$11,'Statement of Marks'!BL112,IF($P$3=$AT$12,'Statement of Marks'!CI112,IF($P$3=$AT$13,'Statement of Marks'!DG112,IF($P$3=$AT$14,"",IF($P$3=$AT$15,'Statement of Marks'!FA112,""))))))))),"")</f>
        <v/>
      </c>
      <c r="O113" s="807" t="str">
        <f t="shared" si="18"/>
        <v/>
      </c>
      <c r="P113" s="806" t="str">
        <f>IFERROR(IF(B113="","",IF($P$3=$AT$8,'Statement of Marks'!N112,IF($P$3=$AT$9,'Statement of Marks'!AB112,IF($P$3=$AT$10,'Statement of Marks'!AQ112,IF($P$3=$AT$11,'Statement of Marks'!BN112,IF($P$3=$AT$12,'Statement of Marks'!CK112,IF($P$3=$AT$13,'Statement of Marks'!DI112,IF($P$3=$AT$14,"",IF($P$3=$AT$15,'Statement of Marks'!FC112,""))))))))),"")</f>
        <v/>
      </c>
      <c r="Q113" s="806" t="str">
        <f>IFERROR(IF(B113="","",IF($P$3=$AT$8,"",IF($P$3=$AT$9,"",IF($P$3=$AT$10,'Statement of Marks'!AR112,IF($P$3=$AT$11,'Statement of Marks'!BO112,IF($P$3=$AT$12,'Statement of Marks'!CL112,IF($P$3=$AT$13,'Statement of Marks'!DJ112,IF($P$3=$AT$14,"",IF($P$3=$AT$15,"",""))))))))),"")</f>
        <v/>
      </c>
      <c r="R113" s="818" t="str">
        <f>IFERROR(IF(B113="","",IF(AND(P113="",Q113="",$P$3=""),"",IF($P$3=$AT$14,'Statement of Marks'!EC112,SUM(P113,Q113)))),"")</f>
        <v/>
      </c>
      <c r="S113" s="817" t="str">
        <f>IFERROR(IF(B113="","",IF($P$3=$AT$14,'Statement of Marks'!ED112,IF(AND(O113="NA",P113="NA",Q113="NA"),"NA",IF(AND(O113="",P113="",Q113=""),"",SUM(O113,P113,Q113))))),"")</f>
        <v/>
      </c>
      <c r="T113" s="806" t="str">
        <f>IFERROR(IF(B113="","",IF($P$3=$AT$8,'Statement of Marks'!P112,IF($P$3=$AT$9,'Statement of Marks'!AD112,IF($P$3=$AT$10,'Statement of Marks'!AU112,IF($P$3=$AT$11,'Statement of Marks'!BR112,IF($P$3=$AT$12,'Statement of Marks'!CO112,IF($P$3=$AT$13,'Statement of Marks'!DM112,IF($P$3=$AT$14,"",IF($P$3=$AT$15,'Statement of Marks'!FD112,""))))))))),"")</f>
        <v/>
      </c>
      <c r="U113" s="806" t="str">
        <f>IFERROR(IF(B113="","",IF($P$3=$AT$8,"",IF($P$3=$AT$9,"",IF($P$3=$AT$10,'Statement of Marks'!AV112,IF($P$3=$AT$11,'Statement of Marks'!BS112,IF($P$3=$AT$12,'Statement of Marks'!CP112,IF($P$3=$AT$13,'Statement of Marks'!DN112,IF($P$3=$AT$14,"",IF($P$3=$AT$15,"",""))))))))),"")</f>
        <v/>
      </c>
      <c r="V113" s="818" t="str">
        <f>IFERROR(IF(B113="","",IF(AND(T113="",U113="",$P$3=""),"",IF($P$3=$AT$14,'Statement of Marks'!EE112,SUM(T113,U113)))),"")</f>
        <v/>
      </c>
      <c r="W113" s="808" t="str">
        <f t="shared" si="19"/>
        <v/>
      </c>
      <c r="X113" s="809">
        <f t="shared" si="20"/>
        <v>0</v>
      </c>
      <c r="Y113" s="809">
        <f t="shared" si="21"/>
        <v>0</v>
      </c>
      <c r="Z113" s="809">
        <f t="shared" si="22"/>
        <v>0</v>
      </c>
      <c r="AA113" s="809" t="str">
        <f t="shared" si="23"/>
        <v/>
      </c>
      <c r="AB113" s="809" t="str">
        <f t="shared" si="24"/>
        <v/>
      </c>
      <c r="AC113" s="809" t="str">
        <f t="shared" si="25"/>
        <v/>
      </c>
      <c r="AD113" s="809" t="str">
        <f t="shared" si="26"/>
        <v/>
      </c>
      <c r="AE113" s="810" t="str">
        <f t="shared" si="27"/>
        <v/>
      </c>
      <c r="AF113" s="811" t="str">
        <f t="shared" si="28"/>
        <v/>
      </c>
      <c r="AG113" s="812" t="str">
        <f t="shared" si="29"/>
        <v/>
      </c>
      <c r="AW113" s="17" t="str">
        <f t="shared" si="30"/>
        <v/>
      </c>
      <c r="AX113" s="17" t="str">
        <f t="shared" si="31"/>
        <v/>
      </c>
      <c r="BM113" s="17" t="str">
        <f>IFERROR(VLOOKUP(B113,'Statement of Marks'!$B$8:'Statement of Marks'!$HI$207,37,0),"")</f>
        <v>A</v>
      </c>
      <c r="BN113" s="17" t="str">
        <f>IFERROR(VLOOKUP(B113,'Statement of Marks'!$B$8:'Statement of Marks'!$HI$207,60,0),"")</f>
        <v>A</v>
      </c>
      <c r="BO113" s="17" t="str">
        <f>IFERROR(VLOOKUP(B113,'Statement of Marks'!$B$8:'Statement of Marks'!$HI$207,83,0),"")</f>
        <v>A</v>
      </c>
      <c r="BP113" s="17" t="str">
        <f>IFERROR(VLOOKUP(B113,'Statement of Marks'!$B$8:'Statement of Marks'!$HI$207,107,0),"")</f>
        <v/>
      </c>
    </row>
    <row r="114" spans="1:68">
      <c r="A114" s="800">
        <f>IF('Statement of Marks'!A113="","",'Statement of Marks'!A113)</f>
        <v>106</v>
      </c>
      <c r="B114" s="801" t="str">
        <f>IF(OR($E$3="",$P$3=""),"",IF('Statement of Marks'!B113="","",'Statement of Marks'!B113))</f>
        <v/>
      </c>
      <c r="C114" s="810" t="str">
        <f>IF(OR($E$3="",$P$3=""),"",IF('Marks Entry'!C113="","",'Marks Entry'!C113))</f>
        <v/>
      </c>
      <c r="D114" s="802" t="str">
        <f>IF(OR($E$3="",$P$3=""),"",IF('Statement of Marks'!C113="","",'Statement of Marks'!C113))</f>
        <v/>
      </c>
      <c r="E114" s="803" t="str">
        <f>IF(OR($E$3="",$P$3=""),"",IF('Statement of Marks'!D113="","",'Statement of Marks'!D113))</f>
        <v/>
      </c>
      <c r="F114" s="804" t="str">
        <f>IF(OR($E$3="",$P$3=""),"",IF('Statement of Marks'!E113="","",'Statement of Marks'!E113))</f>
        <v/>
      </c>
      <c r="G114" s="804" t="str">
        <f>IF(OR($E$3="",$P$3=""),"",IF('Statement of Marks'!F113="","",'Statement of Marks'!F113))</f>
        <v/>
      </c>
      <c r="H114" s="804" t="str">
        <f>IF(OR($E$3="",$P$3=""),"",IF('Statement of Marks'!G113="","",'Statement of Marks'!G113))</f>
        <v/>
      </c>
      <c r="I114" s="805" t="str">
        <f>IF(OR($E$3="",$P$3=""),"",IF('Statement of Marks'!H113="","",'Statement of Marks'!H113))</f>
        <v/>
      </c>
      <c r="J114" s="805" t="str">
        <f>IF(OR($E$3="",$P$3=""),"",IF('Statement of Marks'!I113="","",'Statement of Marks'!I113))</f>
        <v/>
      </c>
      <c r="K114" s="805" t="str">
        <f>IFERROR(IF(B114="","",IF($P$3=$AT$10,IF(AND(BM114="A"),'Marks Entry'!$U$2,IF(AND(BM114="B"),'Marks Entry'!$Y$2,IF(AND(BM114="C"),'Marks Entry'!$AA$2,""))),IF($P$3=$AT$11,IF(AND(BN114="A"),'Marks Entry'!$AC$2,IF(AND(BN114="B"),'Marks Entry'!$AG$2,IF(AND(BN114="C"),'Marks Entry'!$AI$2,""))),IF($P$3=$AT$12,IF(AND(BO114="A"),'Marks Entry'!$AK$2,IF(AND(BO114="B"),'Marks Entry'!$AO$2,IF(AND(BO114="C"),'Marks Entry'!$AQ$2,""))),IF($P$3=$AT$13,IF(AND(BP114="A"),'Marks Entry'!$AS$2,IF(AND(BP114="B"),'Marks Entry'!$AW$2,IF(AND(BP114="C"),'Marks Entry'!$AY$2,""))),"-"))))),"")</f>
        <v/>
      </c>
      <c r="L114" s="806" t="str">
        <f>IFERROR(IF(B114="","",IF($P$3=$AT$8,'Statement of Marks'!J113,IF($P$3=$AT$9,'Statement of Marks'!X113,IF($P$3=$AT$10,'Statement of Marks'!AM113,IF($P$3=$AT$11,'Statement of Marks'!BJ113,IF($P$3=$AT$12,'Statement of Marks'!CG113,IF($P$3=$AT$13,'Statement of Marks'!DE113,IF($P$3=$AT$14,"",IF($P$3=$AT$15,'Statement of Marks'!EY113,""))))))))),"")</f>
        <v/>
      </c>
      <c r="M114" s="806" t="str">
        <f>IFERROR(IF(B114="","",IF($P$3=$AT$8,'Statement of Marks'!K113,IF($P$3=$AT$9,'Statement of Marks'!Y113,IF($P$3=$AT$10,'Statement of Marks'!AN113,IF($P$3=$AT$11,'Statement of Marks'!BK113,IF($P$3=$AT$12,'Statement of Marks'!CH113,IF($P$3=$AT$13,'Statement of Marks'!DF113,IF($P$3=$AT$14,"",IF($P$3=$AT$15,'Statement of Marks'!EZ113,""))))))))),"")</f>
        <v/>
      </c>
      <c r="N114" s="806" t="str">
        <f>IFERROR(IF(B114="","",IF($P$3=$AT$8,'Statement of Marks'!L113,IF($P$3=$AT$9,'Statement of Marks'!Z113,IF($P$3=$AT$10,'Statement of Marks'!AO113,IF($P$3=$AT$11,'Statement of Marks'!BL113,IF($P$3=$AT$12,'Statement of Marks'!CI113,IF($P$3=$AT$13,'Statement of Marks'!DG113,IF($P$3=$AT$14,"",IF($P$3=$AT$15,'Statement of Marks'!FA113,""))))))))),"")</f>
        <v/>
      </c>
      <c r="O114" s="807" t="str">
        <f t="shared" si="18"/>
        <v/>
      </c>
      <c r="P114" s="806" t="str">
        <f>IFERROR(IF(B114="","",IF($P$3=$AT$8,'Statement of Marks'!N113,IF($P$3=$AT$9,'Statement of Marks'!AB113,IF($P$3=$AT$10,'Statement of Marks'!AQ113,IF($P$3=$AT$11,'Statement of Marks'!BN113,IF($P$3=$AT$12,'Statement of Marks'!CK113,IF($P$3=$AT$13,'Statement of Marks'!DI113,IF($P$3=$AT$14,"",IF($P$3=$AT$15,'Statement of Marks'!FC113,""))))))))),"")</f>
        <v/>
      </c>
      <c r="Q114" s="806" t="str">
        <f>IFERROR(IF(B114="","",IF($P$3=$AT$8,"",IF($P$3=$AT$9,"",IF($P$3=$AT$10,'Statement of Marks'!AR113,IF($P$3=$AT$11,'Statement of Marks'!BO113,IF($P$3=$AT$12,'Statement of Marks'!CL113,IF($P$3=$AT$13,'Statement of Marks'!DJ113,IF($P$3=$AT$14,"",IF($P$3=$AT$15,"",""))))))))),"")</f>
        <v/>
      </c>
      <c r="R114" s="818" t="str">
        <f>IFERROR(IF(B114="","",IF(AND(P114="",Q114="",$P$3=""),"",IF($P$3=$AT$14,'Statement of Marks'!EC113,SUM(P114,Q114)))),"")</f>
        <v/>
      </c>
      <c r="S114" s="817" t="str">
        <f>IFERROR(IF(B114="","",IF($P$3=$AT$14,'Statement of Marks'!ED113,IF(AND(O114="NA",P114="NA",Q114="NA"),"NA",IF(AND(O114="",P114="",Q114=""),"",SUM(O114,P114,Q114))))),"")</f>
        <v/>
      </c>
      <c r="T114" s="806" t="str">
        <f>IFERROR(IF(B114="","",IF($P$3=$AT$8,'Statement of Marks'!P113,IF($P$3=$AT$9,'Statement of Marks'!AD113,IF($P$3=$AT$10,'Statement of Marks'!AU113,IF($P$3=$AT$11,'Statement of Marks'!BR113,IF($P$3=$AT$12,'Statement of Marks'!CO113,IF($P$3=$AT$13,'Statement of Marks'!DM113,IF($P$3=$AT$14,"",IF($P$3=$AT$15,'Statement of Marks'!FD113,""))))))))),"")</f>
        <v/>
      </c>
      <c r="U114" s="806" t="str">
        <f>IFERROR(IF(B114="","",IF($P$3=$AT$8,"",IF($P$3=$AT$9,"",IF($P$3=$AT$10,'Statement of Marks'!AV113,IF($P$3=$AT$11,'Statement of Marks'!BS113,IF($P$3=$AT$12,'Statement of Marks'!CP113,IF($P$3=$AT$13,'Statement of Marks'!DN113,IF($P$3=$AT$14,"",IF($P$3=$AT$15,"",""))))))))),"")</f>
        <v/>
      </c>
      <c r="V114" s="818" t="str">
        <f>IFERROR(IF(B114="","",IF(AND(T114="",U114="",$P$3=""),"",IF($P$3=$AT$14,'Statement of Marks'!EE113,SUM(T114,U114)))),"")</f>
        <v/>
      </c>
      <c r="W114" s="808" t="str">
        <f t="shared" si="19"/>
        <v/>
      </c>
      <c r="X114" s="809">
        <f t="shared" si="20"/>
        <v>0</v>
      </c>
      <c r="Y114" s="809">
        <f t="shared" si="21"/>
        <v>0</v>
      </c>
      <c r="Z114" s="809">
        <f t="shared" si="22"/>
        <v>0</v>
      </c>
      <c r="AA114" s="809" t="str">
        <f t="shared" si="23"/>
        <v/>
      </c>
      <c r="AB114" s="809" t="str">
        <f t="shared" si="24"/>
        <v/>
      </c>
      <c r="AC114" s="809" t="str">
        <f t="shared" si="25"/>
        <v/>
      </c>
      <c r="AD114" s="809" t="str">
        <f t="shared" si="26"/>
        <v/>
      </c>
      <c r="AE114" s="810" t="str">
        <f t="shared" si="27"/>
        <v/>
      </c>
      <c r="AF114" s="811" t="str">
        <f t="shared" si="28"/>
        <v/>
      </c>
      <c r="AG114" s="812" t="str">
        <f t="shared" si="29"/>
        <v/>
      </c>
      <c r="AW114" s="17" t="str">
        <f t="shared" si="30"/>
        <v/>
      </c>
      <c r="AX114" s="17" t="str">
        <f t="shared" si="31"/>
        <v/>
      </c>
      <c r="BM114" s="17" t="str">
        <f>IFERROR(VLOOKUP(B114,'Statement of Marks'!$B$8:'Statement of Marks'!$HI$207,37,0),"")</f>
        <v>A</v>
      </c>
      <c r="BN114" s="17" t="str">
        <f>IFERROR(VLOOKUP(B114,'Statement of Marks'!$B$8:'Statement of Marks'!$HI$207,60,0),"")</f>
        <v>A</v>
      </c>
      <c r="BO114" s="17" t="str">
        <f>IFERROR(VLOOKUP(B114,'Statement of Marks'!$B$8:'Statement of Marks'!$HI$207,83,0),"")</f>
        <v>A</v>
      </c>
      <c r="BP114" s="17" t="str">
        <f>IFERROR(VLOOKUP(B114,'Statement of Marks'!$B$8:'Statement of Marks'!$HI$207,107,0),"")</f>
        <v/>
      </c>
    </row>
    <row r="115" spans="1:68">
      <c r="A115" s="800">
        <f>IF('Statement of Marks'!A114="","",'Statement of Marks'!A114)</f>
        <v>107</v>
      </c>
      <c r="B115" s="801" t="str">
        <f>IF(OR($E$3="",$P$3=""),"",IF('Statement of Marks'!B114="","",'Statement of Marks'!B114))</f>
        <v/>
      </c>
      <c r="C115" s="810" t="str">
        <f>IF(OR($E$3="",$P$3=""),"",IF('Marks Entry'!C114="","",'Marks Entry'!C114))</f>
        <v/>
      </c>
      <c r="D115" s="802" t="str">
        <f>IF(OR($E$3="",$P$3=""),"",IF('Statement of Marks'!C114="","",'Statement of Marks'!C114))</f>
        <v/>
      </c>
      <c r="E115" s="803" t="str">
        <f>IF(OR($E$3="",$P$3=""),"",IF('Statement of Marks'!D114="","",'Statement of Marks'!D114))</f>
        <v/>
      </c>
      <c r="F115" s="804" t="str">
        <f>IF(OR($E$3="",$P$3=""),"",IF('Statement of Marks'!E114="","",'Statement of Marks'!E114))</f>
        <v/>
      </c>
      <c r="G115" s="804" t="str">
        <f>IF(OR($E$3="",$P$3=""),"",IF('Statement of Marks'!F114="","",'Statement of Marks'!F114))</f>
        <v/>
      </c>
      <c r="H115" s="804" t="str">
        <f>IF(OR($E$3="",$P$3=""),"",IF('Statement of Marks'!G114="","",'Statement of Marks'!G114))</f>
        <v/>
      </c>
      <c r="I115" s="805" t="str">
        <f>IF(OR($E$3="",$P$3=""),"",IF('Statement of Marks'!H114="","",'Statement of Marks'!H114))</f>
        <v/>
      </c>
      <c r="J115" s="805" t="str">
        <f>IF(OR($E$3="",$P$3=""),"",IF('Statement of Marks'!I114="","",'Statement of Marks'!I114))</f>
        <v/>
      </c>
      <c r="K115" s="805" t="str">
        <f>IFERROR(IF(B115="","",IF($P$3=$AT$10,IF(AND(BM115="A"),'Marks Entry'!$U$2,IF(AND(BM115="B"),'Marks Entry'!$Y$2,IF(AND(BM115="C"),'Marks Entry'!$AA$2,""))),IF($P$3=$AT$11,IF(AND(BN115="A"),'Marks Entry'!$AC$2,IF(AND(BN115="B"),'Marks Entry'!$AG$2,IF(AND(BN115="C"),'Marks Entry'!$AI$2,""))),IF($P$3=$AT$12,IF(AND(BO115="A"),'Marks Entry'!$AK$2,IF(AND(BO115="B"),'Marks Entry'!$AO$2,IF(AND(BO115="C"),'Marks Entry'!$AQ$2,""))),IF($P$3=$AT$13,IF(AND(BP115="A"),'Marks Entry'!$AS$2,IF(AND(BP115="B"),'Marks Entry'!$AW$2,IF(AND(BP115="C"),'Marks Entry'!$AY$2,""))),"-"))))),"")</f>
        <v/>
      </c>
      <c r="L115" s="806" t="str">
        <f>IFERROR(IF(B115="","",IF($P$3=$AT$8,'Statement of Marks'!J114,IF($P$3=$AT$9,'Statement of Marks'!X114,IF($P$3=$AT$10,'Statement of Marks'!AM114,IF($P$3=$AT$11,'Statement of Marks'!BJ114,IF($P$3=$AT$12,'Statement of Marks'!CG114,IF($P$3=$AT$13,'Statement of Marks'!DE114,IF($P$3=$AT$14,"",IF($P$3=$AT$15,'Statement of Marks'!EY114,""))))))))),"")</f>
        <v/>
      </c>
      <c r="M115" s="806" t="str">
        <f>IFERROR(IF(B115="","",IF($P$3=$AT$8,'Statement of Marks'!K114,IF($P$3=$AT$9,'Statement of Marks'!Y114,IF($P$3=$AT$10,'Statement of Marks'!AN114,IF($P$3=$AT$11,'Statement of Marks'!BK114,IF($P$3=$AT$12,'Statement of Marks'!CH114,IF($P$3=$AT$13,'Statement of Marks'!DF114,IF($P$3=$AT$14,"",IF($P$3=$AT$15,'Statement of Marks'!EZ114,""))))))))),"")</f>
        <v/>
      </c>
      <c r="N115" s="806" t="str">
        <f>IFERROR(IF(B115="","",IF($P$3=$AT$8,'Statement of Marks'!L114,IF($P$3=$AT$9,'Statement of Marks'!Z114,IF($P$3=$AT$10,'Statement of Marks'!AO114,IF($P$3=$AT$11,'Statement of Marks'!BL114,IF($P$3=$AT$12,'Statement of Marks'!CI114,IF($P$3=$AT$13,'Statement of Marks'!DG114,IF($P$3=$AT$14,"",IF($P$3=$AT$15,'Statement of Marks'!FA114,""))))))))),"")</f>
        <v/>
      </c>
      <c r="O115" s="807" t="str">
        <f t="shared" si="18"/>
        <v/>
      </c>
      <c r="P115" s="806" t="str">
        <f>IFERROR(IF(B115="","",IF($P$3=$AT$8,'Statement of Marks'!N114,IF($P$3=$AT$9,'Statement of Marks'!AB114,IF($P$3=$AT$10,'Statement of Marks'!AQ114,IF($P$3=$AT$11,'Statement of Marks'!BN114,IF($P$3=$AT$12,'Statement of Marks'!CK114,IF($P$3=$AT$13,'Statement of Marks'!DI114,IF($P$3=$AT$14,"",IF($P$3=$AT$15,'Statement of Marks'!FC114,""))))))))),"")</f>
        <v/>
      </c>
      <c r="Q115" s="806" t="str">
        <f>IFERROR(IF(B115="","",IF($P$3=$AT$8,"",IF($P$3=$AT$9,"",IF($P$3=$AT$10,'Statement of Marks'!AR114,IF($P$3=$AT$11,'Statement of Marks'!BO114,IF($P$3=$AT$12,'Statement of Marks'!CL114,IF($P$3=$AT$13,'Statement of Marks'!DJ114,IF($P$3=$AT$14,"",IF($P$3=$AT$15,"",""))))))))),"")</f>
        <v/>
      </c>
      <c r="R115" s="818" t="str">
        <f>IFERROR(IF(B115="","",IF(AND(P115="",Q115="",$P$3=""),"",IF($P$3=$AT$14,'Statement of Marks'!EC114,SUM(P115,Q115)))),"")</f>
        <v/>
      </c>
      <c r="S115" s="817" t="str">
        <f>IFERROR(IF(B115="","",IF($P$3=$AT$14,'Statement of Marks'!ED114,IF(AND(O115="NA",P115="NA",Q115="NA"),"NA",IF(AND(O115="",P115="",Q115=""),"",SUM(O115,P115,Q115))))),"")</f>
        <v/>
      </c>
      <c r="T115" s="806" t="str">
        <f>IFERROR(IF(B115="","",IF($P$3=$AT$8,'Statement of Marks'!P114,IF($P$3=$AT$9,'Statement of Marks'!AD114,IF($P$3=$AT$10,'Statement of Marks'!AU114,IF($P$3=$AT$11,'Statement of Marks'!BR114,IF($P$3=$AT$12,'Statement of Marks'!CO114,IF($P$3=$AT$13,'Statement of Marks'!DM114,IF($P$3=$AT$14,"",IF($P$3=$AT$15,'Statement of Marks'!FD114,""))))))))),"")</f>
        <v/>
      </c>
      <c r="U115" s="806" t="str">
        <f>IFERROR(IF(B115="","",IF($P$3=$AT$8,"",IF($P$3=$AT$9,"",IF($P$3=$AT$10,'Statement of Marks'!AV114,IF($P$3=$AT$11,'Statement of Marks'!BS114,IF($P$3=$AT$12,'Statement of Marks'!CP114,IF($P$3=$AT$13,'Statement of Marks'!DN114,IF($P$3=$AT$14,"",IF($P$3=$AT$15,"",""))))))))),"")</f>
        <v/>
      </c>
      <c r="V115" s="818" t="str">
        <f>IFERROR(IF(B115="","",IF(AND(T115="",U115="",$P$3=""),"",IF($P$3=$AT$14,'Statement of Marks'!EE114,SUM(T115,U115)))),"")</f>
        <v/>
      </c>
      <c r="W115" s="808" t="str">
        <f t="shared" si="19"/>
        <v/>
      </c>
      <c r="X115" s="809">
        <f t="shared" si="20"/>
        <v>0</v>
      </c>
      <c r="Y115" s="809">
        <f t="shared" si="21"/>
        <v>0</v>
      </c>
      <c r="Z115" s="809">
        <f t="shared" si="22"/>
        <v>0</v>
      </c>
      <c r="AA115" s="809" t="str">
        <f t="shared" si="23"/>
        <v/>
      </c>
      <c r="AB115" s="809" t="str">
        <f t="shared" si="24"/>
        <v/>
      </c>
      <c r="AC115" s="809" t="str">
        <f t="shared" si="25"/>
        <v/>
      </c>
      <c r="AD115" s="809" t="str">
        <f t="shared" si="26"/>
        <v/>
      </c>
      <c r="AE115" s="810" t="str">
        <f t="shared" si="27"/>
        <v/>
      </c>
      <c r="AF115" s="811" t="str">
        <f t="shared" si="28"/>
        <v/>
      </c>
      <c r="AG115" s="812" t="str">
        <f t="shared" si="29"/>
        <v/>
      </c>
      <c r="AW115" s="17" t="str">
        <f t="shared" si="30"/>
        <v/>
      </c>
      <c r="AX115" s="17" t="str">
        <f t="shared" si="31"/>
        <v/>
      </c>
      <c r="BM115" s="17" t="str">
        <f>IFERROR(VLOOKUP(B115,'Statement of Marks'!$B$8:'Statement of Marks'!$HI$207,37,0),"")</f>
        <v>A</v>
      </c>
      <c r="BN115" s="17" t="str">
        <f>IFERROR(VLOOKUP(B115,'Statement of Marks'!$B$8:'Statement of Marks'!$HI$207,60,0),"")</f>
        <v>A</v>
      </c>
      <c r="BO115" s="17" t="str">
        <f>IFERROR(VLOOKUP(B115,'Statement of Marks'!$B$8:'Statement of Marks'!$HI$207,83,0),"")</f>
        <v>A</v>
      </c>
      <c r="BP115" s="17" t="str">
        <f>IFERROR(VLOOKUP(B115,'Statement of Marks'!$B$8:'Statement of Marks'!$HI$207,107,0),"")</f>
        <v/>
      </c>
    </row>
    <row r="116" spans="1:68">
      <c r="A116" s="800">
        <f>IF('Statement of Marks'!A115="","",'Statement of Marks'!A115)</f>
        <v>108</v>
      </c>
      <c r="B116" s="801" t="str">
        <f>IF(OR($E$3="",$P$3=""),"",IF('Statement of Marks'!B115="","",'Statement of Marks'!B115))</f>
        <v/>
      </c>
      <c r="C116" s="810" t="str">
        <f>IF(OR($E$3="",$P$3=""),"",IF('Marks Entry'!C115="","",'Marks Entry'!C115))</f>
        <v/>
      </c>
      <c r="D116" s="802" t="str">
        <f>IF(OR($E$3="",$P$3=""),"",IF('Statement of Marks'!C115="","",'Statement of Marks'!C115))</f>
        <v/>
      </c>
      <c r="E116" s="803" t="str">
        <f>IF(OR($E$3="",$P$3=""),"",IF('Statement of Marks'!D115="","",'Statement of Marks'!D115))</f>
        <v/>
      </c>
      <c r="F116" s="804" t="str">
        <f>IF(OR($E$3="",$P$3=""),"",IF('Statement of Marks'!E115="","",'Statement of Marks'!E115))</f>
        <v/>
      </c>
      <c r="G116" s="804" t="str">
        <f>IF(OR($E$3="",$P$3=""),"",IF('Statement of Marks'!F115="","",'Statement of Marks'!F115))</f>
        <v/>
      </c>
      <c r="H116" s="804" t="str">
        <f>IF(OR($E$3="",$P$3=""),"",IF('Statement of Marks'!G115="","",'Statement of Marks'!G115))</f>
        <v/>
      </c>
      <c r="I116" s="805" t="str">
        <f>IF(OR($E$3="",$P$3=""),"",IF('Statement of Marks'!H115="","",'Statement of Marks'!H115))</f>
        <v/>
      </c>
      <c r="J116" s="805" t="str">
        <f>IF(OR($E$3="",$P$3=""),"",IF('Statement of Marks'!I115="","",'Statement of Marks'!I115))</f>
        <v/>
      </c>
      <c r="K116" s="805" t="str">
        <f>IFERROR(IF(B116="","",IF($P$3=$AT$10,IF(AND(BM116="A"),'Marks Entry'!$U$2,IF(AND(BM116="B"),'Marks Entry'!$Y$2,IF(AND(BM116="C"),'Marks Entry'!$AA$2,""))),IF($P$3=$AT$11,IF(AND(BN116="A"),'Marks Entry'!$AC$2,IF(AND(BN116="B"),'Marks Entry'!$AG$2,IF(AND(BN116="C"),'Marks Entry'!$AI$2,""))),IF($P$3=$AT$12,IF(AND(BO116="A"),'Marks Entry'!$AK$2,IF(AND(BO116="B"),'Marks Entry'!$AO$2,IF(AND(BO116="C"),'Marks Entry'!$AQ$2,""))),IF($P$3=$AT$13,IF(AND(BP116="A"),'Marks Entry'!$AS$2,IF(AND(BP116="B"),'Marks Entry'!$AW$2,IF(AND(BP116="C"),'Marks Entry'!$AY$2,""))),"-"))))),"")</f>
        <v/>
      </c>
      <c r="L116" s="806" t="str">
        <f>IFERROR(IF(B116="","",IF($P$3=$AT$8,'Statement of Marks'!J115,IF($P$3=$AT$9,'Statement of Marks'!X115,IF($P$3=$AT$10,'Statement of Marks'!AM115,IF($P$3=$AT$11,'Statement of Marks'!BJ115,IF($P$3=$AT$12,'Statement of Marks'!CG115,IF($P$3=$AT$13,'Statement of Marks'!DE115,IF($P$3=$AT$14,"",IF($P$3=$AT$15,'Statement of Marks'!EY115,""))))))))),"")</f>
        <v/>
      </c>
      <c r="M116" s="806" t="str">
        <f>IFERROR(IF(B116="","",IF($P$3=$AT$8,'Statement of Marks'!K115,IF($P$3=$AT$9,'Statement of Marks'!Y115,IF($P$3=$AT$10,'Statement of Marks'!AN115,IF($P$3=$AT$11,'Statement of Marks'!BK115,IF($P$3=$AT$12,'Statement of Marks'!CH115,IF($P$3=$AT$13,'Statement of Marks'!DF115,IF($P$3=$AT$14,"",IF($P$3=$AT$15,'Statement of Marks'!EZ115,""))))))))),"")</f>
        <v/>
      </c>
      <c r="N116" s="806" t="str">
        <f>IFERROR(IF(B116="","",IF($P$3=$AT$8,'Statement of Marks'!L115,IF($P$3=$AT$9,'Statement of Marks'!Z115,IF($P$3=$AT$10,'Statement of Marks'!AO115,IF($P$3=$AT$11,'Statement of Marks'!BL115,IF($P$3=$AT$12,'Statement of Marks'!CI115,IF($P$3=$AT$13,'Statement of Marks'!DG115,IF($P$3=$AT$14,"",IF($P$3=$AT$15,'Statement of Marks'!FA115,""))))))))),"")</f>
        <v/>
      </c>
      <c r="O116" s="807" t="str">
        <f t="shared" si="18"/>
        <v/>
      </c>
      <c r="P116" s="806" t="str">
        <f>IFERROR(IF(B116="","",IF($P$3=$AT$8,'Statement of Marks'!N115,IF($P$3=$AT$9,'Statement of Marks'!AB115,IF($P$3=$AT$10,'Statement of Marks'!AQ115,IF($P$3=$AT$11,'Statement of Marks'!BN115,IF($P$3=$AT$12,'Statement of Marks'!CK115,IF($P$3=$AT$13,'Statement of Marks'!DI115,IF($P$3=$AT$14,"",IF($P$3=$AT$15,'Statement of Marks'!FC115,""))))))))),"")</f>
        <v/>
      </c>
      <c r="Q116" s="806" t="str">
        <f>IFERROR(IF(B116="","",IF($P$3=$AT$8,"",IF($P$3=$AT$9,"",IF($P$3=$AT$10,'Statement of Marks'!AR115,IF($P$3=$AT$11,'Statement of Marks'!BO115,IF($P$3=$AT$12,'Statement of Marks'!CL115,IF($P$3=$AT$13,'Statement of Marks'!DJ115,IF($P$3=$AT$14,"",IF($P$3=$AT$15,"",""))))))))),"")</f>
        <v/>
      </c>
      <c r="R116" s="818" t="str">
        <f>IFERROR(IF(B116="","",IF(AND(P116="",Q116="",$P$3=""),"",IF($P$3=$AT$14,'Statement of Marks'!EC115,SUM(P116,Q116)))),"")</f>
        <v/>
      </c>
      <c r="S116" s="817" t="str">
        <f>IFERROR(IF(B116="","",IF($P$3=$AT$14,'Statement of Marks'!ED115,IF(AND(O116="NA",P116="NA",Q116="NA"),"NA",IF(AND(O116="",P116="",Q116=""),"",SUM(O116,P116,Q116))))),"")</f>
        <v/>
      </c>
      <c r="T116" s="806" t="str">
        <f>IFERROR(IF(B116="","",IF($P$3=$AT$8,'Statement of Marks'!P115,IF($P$3=$AT$9,'Statement of Marks'!AD115,IF($P$3=$AT$10,'Statement of Marks'!AU115,IF($P$3=$AT$11,'Statement of Marks'!BR115,IF($P$3=$AT$12,'Statement of Marks'!CO115,IF($P$3=$AT$13,'Statement of Marks'!DM115,IF($P$3=$AT$14,"",IF($P$3=$AT$15,'Statement of Marks'!FD115,""))))))))),"")</f>
        <v/>
      </c>
      <c r="U116" s="806" t="str">
        <f>IFERROR(IF(B116="","",IF($P$3=$AT$8,"",IF($P$3=$AT$9,"",IF($P$3=$AT$10,'Statement of Marks'!AV115,IF($P$3=$AT$11,'Statement of Marks'!BS115,IF($P$3=$AT$12,'Statement of Marks'!CP115,IF($P$3=$AT$13,'Statement of Marks'!DN115,IF($P$3=$AT$14,"",IF($P$3=$AT$15,"",""))))))))),"")</f>
        <v/>
      </c>
      <c r="V116" s="818" t="str">
        <f>IFERROR(IF(B116="","",IF(AND(T116="",U116="",$P$3=""),"",IF($P$3=$AT$14,'Statement of Marks'!EE115,SUM(T116,U116)))),"")</f>
        <v/>
      </c>
      <c r="W116" s="808" t="str">
        <f t="shared" si="19"/>
        <v/>
      </c>
      <c r="X116" s="809">
        <f t="shared" si="20"/>
        <v>0</v>
      </c>
      <c r="Y116" s="809">
        <f t="shared" si="21"/>
        <v>0</v>
      </c>
      <c r="Z116" s="809">
        <f t="shared" si="22"/>
        <v>0</v>
      </c>
      <c r="AA116" s="809" t="str">
        <f t="shared" si="23"/>
        <v/>
      </c>
      <c r="AB116" s="809" t="str">
        <f t="shared" si="24"/>
        <v/>
      </c>
      <c r="AC116" s="809" t="str">
        <f t="shared" si="25"/>
        <v/>
      </c>
      <c r="AD116" s="809" t="str">
        <f t="shared" si="26"/>
        <v/>
      </c>
      <c r="AE116" s="810" t="str">
        <f t="shared" si="27"/>
        <v/>
      </c>
      <c r="AF116" s="811" t="str">
        <f t="shared" si="28"/>
        <v/>
      </c>
      <c r="AG116" s="812" t="str">
        <f t="shared" si="29"/>
        <v/>
      </c>
      <c r="AW116" s="17" t="str">
        <f t="shared" si="30"/>
        <v/>
      </c>
      <c r="AX116" s="17" t="str">
        <f t="shared" si="31"/>
        <v/>
      </c>
      <c r="BM116" s="17" t="str">
        <f>IFERROR(VLOOKUP(B116,'Statement of Marks'!$B$8:'Statement of Marks'!$HI$207,37,0),"")</f>
        <v>A</v>
      </c>
      <c r="BN116" s="17" t="str">
        <f>IFERROR(VLOOKUP(B116,'Statement of Marks'!$B$8:'Statement of Marks'!$HI$207,60,0),"")</f>
        <v>A</v>
      </c>
      <c r="BO116" s="17" t="str">
        <f>IFERROR(VLOOKUP(B116,'Statement of Marks'!$B$8:'Statement of Marks'!$HI$207,83,0),"")</f>
        <v>A</v>
      </c>
      <c r="BP116" s="17" t="str">
        <f>IFERROR(VLOOKUP(B116,'Statement of Marks'!$B$8:'Statement of Marks'!$HI$207,107,0),"")</f>
        <v/>
      </c>
    </row>
    <row r="117" spans="1:68">
      <c r="A117" s="800">
        <f>IF('Statement of Marks'!A116="","",'Statement of Marks'!A116)</f>
        <v>109</v>
      </c>
      <c r="B117" s="801" t="str">
        <f>IF(OR($E$3="",$P$3=""),"",IF('Statement of Marks'!B116="","",'Statement of Marks'!B116))</f>
        <v/>
      </c>
      <c r="C117" s="810" t="str">
        <f>IF(OR($E$3="",$P$3=""),"",IF('Marks Entry'!C116="","",'Marks Entry'!C116))</f>
        <v/>
      </c>
      <c r="D117" s="802" t="str">
        <f>IF(OR($E$3="",$P$3=""),"",IF('Statement of Marks'!C116="","",'Statement of Marks'!C116))</f>
        <v/>
      </c>
      <c r="E117" s="803" t="str">
        <f>IF(OR($E$3="",$P$3=""),"",IF('Statement of Marks'!D116="","",'Statement of Marks'!D116))</f>
        <v/>
      </c>
      <c r="F117" s="804" t="str">
        <f>IF(OR($E$3="",$P$3=""),"",IF('Statement of Marks'!E116="","",'Statement of Marks'!E116))</f>
        <v/>
      </c>
      <c r="G117" s="804" t="str">
        <f>IF(OR($E$3="",$P$3=""),"",IF('Statement of Marks'!F116="","",'Statement of Marks'!F116))</f>
        <v/>
      </c>
      <c r="H117" s="804" t="str">
        <f>IF(OR($E$3="",$P$3=""),"",IF('Statement of Marks'!G116="","",'Statement of Marks'!G116))</f>
        <v/>
      </c>
      <c r="I117" s="805" t="str">
        <f>IF(OR($E$3="",$P$3=""),"",IF('Statement of Marks'!H116="","",'Statement of Marks'!H116))</f>
        <v/>
      </c>
      <c r="J117" s="805" t="str">
        <f>IF(OR($E$3="",$P$3=""),"",IF('Statement of Marks'!I116="","",'Statement of Marks'!I116))</f>
        <v/>
      </c>
      <c r="K117" s="805" t="str">
        <f>IFERROR(IF(B117="","",IF($P$3=$AT$10,IF(AND(BM117="A"),'Marks Entry'!$U$2,IF(AND(BM117="B"),'Marks Entry'!$Y$2,IF(AND(BM117="C"),'Marks Entry'!$AA$2,""))),IF($P$3=$AT$11,IF(AND(BN117="A"),'Marks Entry'!$AC$2,IF(AND(BN117="B"),'Marks Entry'!$AG$2,IF(AND(BN117="C"),'Marks Entry'!$AI$2,""))),IF($P$3=$AT$12,IF(AND(BO117="A"),'Marks Entry'!$AK$2,IF(AND(BO117="B"),'Marks Entry'!$AO$2,IF(AND(BO117="C"),'Marks Entry'!$AQ$2,""))),IF($P$3=$AT$13,IF(AND(BP117="A"),'Marks Entry'!$AS$2,IF(AND(BP117="B"),'Marks Entry'!$AW$2,IF(AND(BP117="C"),'Marks Entry'!$AY$2,""))),"-"))))),"")</f>
        <v/>
      </c>
      <c r="L117" s="806" t="str">
        <f>IFERROR(IF(B117="","",IF($P$3=$AT$8,'Statement of Marks'!J116,IF($P$3=$AT$9,'Statement of Marks'!X116,IF($P$3=$AT$10,'Statement of Marks'!AM116,IF($P$3=$AT$11,'Statement of Marks'!BJ116,IF($P$3=$AT$12,'Statement of Marks'!CG116,IF($P$3=$AT$13,'Statement of Marks'!DE116,IF($P$3=$AT$14,"",IF($P$3=$AT$15,'Statement of Marks'!EY116,""))))))))),"")</f>
        <v/>
      </c>
      <c r="M117" s="806" t="str">
        <f>IFERROR(IF(B117="","",IF($P$3=$AT$8,'Statement of Marks'!K116,IF($P$3=$AT$9,'Statement of Marks'!Y116,IF($P$3=$AT$10,'Statement of Marks'!AN116,IF($P$3=$AT$11,'Statement of Marks'!BK116,IF($P$3=$AT$12,'Statement of Marks'!CH116,IF($P$3=$AT$13,'Statement of Marks'!DF116,IF($P$3=$AT$14,"",IF($P$3=$AT$15,'Statement of Marks'!EZ116,""))))))))),"")</f>
        <v/>
      </c>
      <c r="N117" s="806" t="str">
        <f>IFERROR(IF(B117="","",IF($P$3=$AT$8,'Statement of Marks'!L116,IF($P$3=$AT$9,'Statement of Marks'!Z116,IF($P$3=$AT$10,'Statement of Marks'!AO116,IF($P$3=$AT$11,'Statement of Marks'!BL116,IF($P$3=$AT$12,'Statement of Marks'!CI116,IF($P$3=$AT$13,'Statement of Marks'!DG116,IF($P$3=$AT$14,"",IF($P$3=$AT$15,'Statement of Marks'!FA116,""))))))))),"")</f>
        <v/>
      </c>
      <c r="O117" s="807" t="str">
        <f t="shared" si="18"/>
        <v/>
      </c>
      <c r="P117" s="806" t="str">
        <f>IFERROR(IF(B117="","",IF($P$3=$AT$8,'Statement of Marks'!N116,IF($P$3=$AT$9,'Statement of Marks'!AB116,IF($P$3=$AT$10,'Statement of Marks'!AQ116,IF($P$3=$AT$11,'Statement of Marks'!BN116,IF($P$3=$AT$12,'Statement of Marks'!CK116,IF($P$3=$AT$13,'Statement of Marks'!DI116,IF($P$3=$AT$14,"",IF($P$3=$AT$15,'Statement of Marks'!FC116,""))))))))),"")</f>
        <v/>
      </c>
      <c r="Q117" s="806" t="str">
        <f>IFERROR(IF(B117="","",IF($P$3=$AT$8,"",IF($P$3=$AT$9,"",IF($P$3=$AT$10,'Statement of Marks'!AR116,IF($P$3=$AT$11,'Statement of Marks'!BO116,IF($P$3=$AT$12,'Statement of Marks'!CL116,IF($P$3=$AT$13,'Statement of Marks'!DJ116,IF($P$3=$AT$14,"",IF($P$3=$AT$15,"",""))))))))),"")</f>
        <v/>
      </c>
      <c r="R117" s="818" t="str">
        <f>IFERROR(IF(B117="","",IF(AND(P117="",Q117="",$P$3=""),"",IF($P$3=$AT$14,'Statement of Marks'!EC116,SUM(P117,Q117)))),"")</f>
        <v/>
      </c>
      <c r="S117" s="817" t="str">
        <f>IFERROR(IF(B117="","",IF($P$3=$AT$14,'Statement of Marks'!ED116,IF(AND(O117="NA",P117="NA",Q117="NA"),"NA",IF(AND(O117="",P117="",Q117=""),"",SUM(O117,P117,Q117))))),"")</f>
        <v/>
      </c>
      <c r="T117" s="806" t="str">
        <f>IFERROR(IF(B117="","",IF($P$3=$AT$8,'Statement of Marks'!P116,IF($P$3=$AT$9,'Statement of Marks'!AD116,IF($P$3=$AT$10,'Statement of Marks'!AU116,IF($P$3=$AT$11,'Statement of Marks'!BR116,IF($P$3=$AT$12,'Statement of Marks'!CO116,IF($P$3=$AT$13,'Statement of Marks'!DM116,IF($P$3=$AT$14,"",IF($P$3=$AT$15,'Statement of Marks'!FD116,""))))))))),"")</f>
        <v/>
      </c>
      <c r="U117" s="806" t="str">
        <f>IFERROR(IF(B117="","",IF($P$3=$AT$8,"",IF($P$3=$AT$9,"",IF($P$3=$AT$10,'Statement of Marks'!AV116,IF($P$3=$AT$11,'Statement of Marks'!BS116,IF($P$3=$AT$12,'Statement of Marks'!CP116,IF($P$3=$AT$13,'Statement of Marks'!DN116,IF($P$3=$AT$14,"",IF($P$3=$AT$15,"",""))))))))),"")</f>
        <v/>
      </c>
      <c r="V117" s="818" t="str">
        <f>IFERROR(IF(B117="","",IF(AND(T117="",U117="",$P$3=""),"",IF($P$3=$AT$14,'Statement of Marks'!EE116,SUM(T117,U117)))),"")</f>
        <v/>
      </c>
      <c r="W117" s="808" t="str">
        <f t="shared" si="19"/>
        <v/>
      </c>
      <c r="X117" s="809">
        <f t="shared" si="20"/>
        <v>0</v>
      </c>
      <c r="Y117" s="809">
        <f t="shared" si="21"/>
        <v>0</v>
      </c>
      <c r="Z117" s="809">
        <f t="shared" si="22"/>
        <v>0</v>
      </c>
      <c r="AA117" s="809" t="str">
        <f t="shared" si="23"/>
        <v/>
      </c>
      <c r="AB117" s="809" t="str">
        <f t="shared" si="24"/>
        <v/>
      </c>
      <c r="AC117" s="809" t="str">
        <f t="shared" si="25"/>
        <v/>
      </c>
      <c r="AD117" s="809" t="str">
        <f t="shared" si="26"/>
        <v/>
      </c>
      <c r="AE117" s="810" t="str">
        <f t="shared" si="27"/>
        <v/>
      </c>
      <c r="AF117" s="811" t="str">
        <f t="shared" si="28"/>
        <v/>
      </c>
      <c r="AG117" s="812" t="str">
        <f t="shared" si="29"/>
        <v/>
      </c>
      <c r="AW117" s="17" t="str">
        <f t="shared" si="30"/>
        <v/>
      </c>
      <c r="AX117" s="17" t="str">
        <f t="shared" si="31"/>
        <v/>
      </c>
      <c r="BM117" s="17" t="str">
        <f>IFERROR(VLOOKUP(B117,'Statement of Marks'!$B$8:'Statement of Marks'!$HI$207,37,0),"")</f>
        <v>A</v>
      </c>
      <c r="BN117" s="17" t="str">
        <f>IFERROR(VLOOKUP(B117,'Statement of Marks'!$B$8:'Statement of Marks'!$HI$207,60,0),"")</f>
        <v>A</v>
      </c>
      <c r="BO117" s="17" t="str">
        <f>IFERROR(VLOOKUP(B117,'Statement of Marks'!$B$8:'Statement of Marks'!$HI$207,83,0),"")</f>
        <v>A</v>
      </c>
      <c r="BP117" s="17" t="str">
        <f>IFERROR(VLOOKUP(B117,'Statement of Marks'!$B$8:'Statement of Marks'!$HI$207,107,0),"")</f>
        <v/>
      </c>
    </row>
    <row r="118" spans="1:68">
      <c r="A118" s="800">
        <f>IF('Statement of Marks'!A117="","",'Statement of Marks'!A117)</f>
        <v>110</v>
      </c>
      <c r="B118" s="801" t="str">
        <f>IF(OR($E$3="",$P$3=""),"",IF('Statement of Marks'!B117="","",'Statement of Marks'!B117))</f>
        <v/>
      </c>
      <c r="C118" s="810" t="str">
        <f>IF(OR($E$3="",$P$3=""),"",IF('Marks Entry'!C117="","",'Marks Entry'!C117))</f>
        <v/>
      </c>
      <c r="D118" s="802" t="str">
        <f>IF(OR($E$3="",$P$3=""),"",IF('Statement of Marks'!C117="","",'Statement of Marks'!C117))</f>
        <v/>
      </c>
      <c r="E118" s="803" t="str">
        <f>IF(OR($E$3="",$P$3=""),"",IF('Statement of Marks'!D117="","",'Statement of Marks'!D117))</f>
        <v/>
      </c>
      <c r="F118" s="804" t="str">
        <f>IF(OR($E$3="",$P$3=""),"",IF('Statement of Marks'!E117="","",'Statement of Marks'!E117))</f>
        <v/>
      </c>
      <c r="G118" s="804" t="str">
        <f>IF(OR($E$3="",$P$3=""),"",IF('Statement of Marks'!F117="","",'Statement of Marks'!F117))</f>
        <v/>
      </c>
      <c r="H118" s="804" t="str">
        <f>IF(OR($E$3="",$P$3=""),"",IF('Statement of Marks'!G117="","",'Statement of Marks'!G117))</f>
        <v/>
      </c>
      <c r="I118" s="805" t="str">
        <f>IF(OR($E$3="",$P$3=""),"",IF('Statement of Marks'!H117="","",'Statement of Marks'!H117))</f>
        <v/>
      </c>
      <c r="J118" s="805" t="str">
        <f>IF(OR($E$3="",$P$3=""),"",IF('Statement of Marks'!I117="","",'Statement of Marks'!I117))</f>
        <v/>
      </c>
      <c r="K118" s="805" t="str">
        <f>IFERROR(IF(B118="","",IF($P$3=$AT$10,IF(AND(BM118="A"),'Marks Entry'!$U$2,IF(AND(BM118="B"),'Marks Entry'!$Y$2,IF(AND(BM118="C"),'Marks Entry'!$AA$2,""))),IF($P$3=$AT$11,IF(AND(BN118="A"),'Marks Entry'!$AC$2,IF(AND(BN118="B"),'Marks Entry'!$AG$2,IF(AND(BN118="C"),'Marks Entry'!$AI$2,""))),IF($P$3=$AT$12,IF(AND(BO118="A"),'Marks Entry'!$AK$2,IF(AND(BO118="B"),'Marks Entry'!$AO$2,IF(AND(BO118="C"),'Marks Entry'!$AQ$2,""))),IF($P$3=$AT$13,IF(AND(BP118="A"),'Marks Entry'!$AS$2,IF(AND(BP118="B"),'Marks Entry'!$AW$2,IF(AND(BP118="C"),'Marks Entry'!$AY$2,""))),"-"))))),"")</f>
        <v/>
      </c>
      <c r="L118" s="806" t="str">
        <f>IFERROR(IF(B118="","",IF($P$3=$AT$8,'Statement of Marks'!J117,IF($P$3=$AT$9,'Statement of Marks'!X117,IF($P$3=$AT$10,'Statement of Marks'!AM117,IF($P$3=$AT$11,'Statement of Marks'!BJ117,IF($P$3=$AT$12,'Statement of Marks'!CG117,IF($P$3=$AT$13,'Statement of Marks'!DE117,IF($P$3=$AT$14,"",IF($P$3=$AT$15,'Statement of Marks'!EY117,""))))))))),"")</f>
        <v/>
      </c>
      <c r="M118" s="806" t="str">
        <f>IFERROR(IF(B118="","",IF($P$3=$AT$8,'Statement of Marks'!K117,IF($P$3=$AT$9,'Statement of Marks'!Y117,IF($P$3=$AT$10,'Statement of Marks'!AN117,IF($P$3=$AT$11,'Statement of Marks'!BK117,IF($P$3=$AT$12,'Statement of Marks'!CH117,IF($P$3=$AT$13,'Statement of Marks'!DF117,IF($P$3=$AT$14,"",IF($P$3=$AT$15,'Statement of Marks'!EZ117,""))))))))),"")</f>
        <v/>
      </c>
      <c r="N118" s="806" t="str">
        <f>IFERROR(IF(B118="","",IF($P$3=$AT$8,'Statement of Marks'!L117,IF($P$3=$AT$9,'Statement of Marks'!Z117,IF($P$3=$AT$10,'Statement of Marks'!AO117,IF($P$3=$AT$11,'Statement of Marks'!BL117,IF($P$3=$AT$12,'Statement of Marks'!CI117,IF($P$3=$AT$13,'Statement of Marks'!DG117,IF($P$3=$AT$14,"",IF($P$3=$AT$15,'Statement of Marks'!FA117,""))))))))),"")</f>
        <v/>
      </c>
      <c r="O118" s="807" t="str">
        <f t="shared" si="18"/>
        <v/>
      </c>
      <c r="P118" s="806" t="str">
        <f>IFERROR(IF(B118="","",IF($P$3=$AT$8,'Statement of Marks'!N117,IF($P$3=$AT$9,'Statement of Marks'!AB117,IF($P$3=$AT$10,'Statement of Marks'!AQ117,IF($P$3=$AT$11,'Statement of Marks'!BN117,IF($P$3=$AT$12,'Statement of Marks'!CK117,IF($P$3=$AT$13,'Statement of Marks'!DI117,IF($P$3=$AT$14,"",IF($P$3=$AT$15,'Statement of Marks'!FC117,""))))))))),"")</f>
        <v/>
      </c>
      <c r="Q118" s="806" t="str">
        <f>IFERROR(IF(B118="","",IF($P$3=$AT$8,"",IF($P$3=$AT$9,"",IF($P$3=$AT$10,'Statement of Marks'!AR117,IF($P$3=$AT$11,'Statement of Marks'!BO117,IF($P$3=$AT$12,'Statement of Marks'!CL117,IF($P$3=$AT$13,'Statement of Marks'!DJ117,IF($P$3=$AT$14,"",IF($P$3=$AT$15,"",""))))))))),"")</f>
        <v/>
      </c>
      <c r="R118" s="818" t="str">
        <f>IFERROR(IF(B118="","",IF(AND(P118="",Q118="",$P$3=""),"",IF($P$3=$AT$14,'Statement of Marks'!EC117,SUM(P118,Q118)))),"")</f>
        <v/>
      </c>
      <c r="S118" s="817" t="str">
        <f>IFERROR(IF(B118="","",IF($P$3=$AT$14,'Statement of Marks'!ED117,IF(AND(O118="NA",P118="NA",Q118="NA"),"NA",IF(AND(O118="",P118="",Q118=""),"",SUM(O118,P118,Q118))))),"")</f>
        <v/>
      </c>
      <c r="T118" s="806" t="str">
        <f>IFERROR(IF(B118="","",IF($P$3=$AT$8,'Statement of Marks'!P117,IF($P$3=$AT$9,'Statement of Marks'!AD117,IF($P$3=$AT$10,'Statement of Marks'!AU117,IF($P$3=$AT$11,'Statement of Marks'!BR117,IF($P$3=$AT$12,'Statement of Marks'!CO117,IF($P$3=$AT$13,'Statement of Marks'!DM117,IF($P$3=$AT$14,"",IF($P$3=$AT$15,'Statement of Marks'!FD117,""))))))))),"")</f>
        <v/>
      </c>
      <c r="U118" s="806" t="str">
        <f>IFERROR(IF(B118="","",IF($P$3=$AT$8,"",IF($P$3=$AT$9,"",IF($P$3=$AT$10,'Statement of Marks'!AV117,IF($P$3=$AT$11,'Statement of Marks'!BS117,IF($P$3=$AT$12,'Statement of Marks'!CP117,IF($P$3=$AT$13,'Statement of Marks'!DN117,IF($P$3=$AT$14,"",IF($P$3=$AT$15,"",""))))))))),"")</f>
        <v/>
      </c>
      <c r="V118" s="818" t="str">
        <f>IFERROR(IF(B118="","",IF(AND(T118="",U118="",$P$3=""),"",IF($P$3=$AT$14,'Statement of Marks'!EE117,SUM(T118,U118)))),"")</f>
        <v/>
      </c>
      <c r="W118" s="808" t="str">
        <f t="shared" si="19"/>
        <v/>
      </c>
      <c r="X118" s="809">
        <f t="shared" si="20"/>
        <v>0</v>
      </c>
      <c r="Y118" s="809">
        <f t="shared" si="21"/>
        <v>0</v>
      </c>
      <c r="Z118" s="809">
        <f t="shared" si="22"/>
        <v>0</v>
      </c>
      <c r="AA118" s="809" t="str">
        <f t="shared" si="23"/>
        <v/>
      </c>
      <c r="AB118" s="809" t="str">
        <f t="shared" si="24"/>
        <v/>
      </c>
      <c r="AC118" s="809" t="str">
        <f t="shared" si="25"/>
        <v/>
      </c>
      <c r="AD118" s="809" t="str">
        <f t="shared" si="26"/>
        <v/>
      </c>
      <c r="AE118" s="810" t="str">
        <f t="shared" si="27"/>
        <v/>
      </c>
      <c r="AF118" s="811" t="str">
        <f t="shared" si="28"/>
        <v/>
      </c>
      <c r="AG118" s="812" t="str">
        <f t="shared" si="29"/>
        <v/>
      </c>
      <c r="AW118" s="17" t="str">
        <f t="shared" si="30"/>
        <v/>
      </c>
      <c r="AX118" s="17" t="str">
        <f t="shared" si="31"/>
        <v/>
      </c>
      <c r="BM118" s="17" t="str">
        <f>IFERROR(VLOOKUP(B118,'Statement of Marks'!$B$8:'Statement of Marks'!$HI$207,37,0),"")</f>
        <v>A</v>
      </c>
      <c r="BN118" s="17" t="str">
        <f>IFERROR(VLOOKUP(B118,'Statement of Marks'!$B$8:'Statement of Marks'!$HI$207,60,0),"")</f>
        <v>A</v>
      </c>
      <c r="BO118" s="17" t="str">
        <f>IFERROR(VLOOKUP(B118,'Statement of Marks'!$B$8:'Statement of Marks'!$HI$207,83,0),"")</f>
        <v>A</v>
      </c>
      <c r="BP118" s="17" t="str">
        <f>IFERROR(VLOOKUP(B118,'Statement of Marks'!$B$8:'Statement of Marks'!$HI$207,107,0),"")</f>
        <v/>
      </c>
    </row>
    <row r="119" spans="1:68">
      <c r="A119" s="800">
        <f>IF('Statement of Marks'!A118="","",'Statement of Marks'!A118)</f>
        <v>111</v>
      </c>
      <c r="B119" s="801" t="str">
        <f>IF(OR($E$3="",$P$3=""),"",IF('Statement of Marks'!B118="","",'Statement of Marks'!B118))</f>
        <v/>
      </c>
      <c r="C119" s="810" t="str">
        <f>IF(OR($E$3="",$P$3=""),"",IF('Marks Entry'!C118="","",'Marks Entry'!C118))</f>
        <v/>
      </c>
      <c r="D119" s="802" t="str">
        <f>IF(OR($E$3="",$P$3=""),"",IF('Statement of Marks'!C118="","",'Statement of Marks'!C118))</f>
        <v/>
      </c>
      <c r="E119" s="803" t="str">
        <f>IF(OR($E$3="",$P$3=""),"",IF('Statement of Marks'!D118="","",'Statement of Marks'!D118))</f>
        <v/>
      </c>
      <c r="F119" s="804" t="str">
        <f>IF(OR($E$3="",$P$3=""),"",IF('Statement of Marks'!E118="","",'Statement of Marks'!E118))</f>
        <v/>
      </c>
      <c r="G119" s="804" t="str">
        <f>IF(OR($E$3="",$P$3=""),"",IF('Statement of Marks'!F118="","",'Statement of Marks'!F118))</f>
        <v/>
      </c>
      <c r="H119" s="804" t="str">
        <f>IF(OR($E$3="",$P$3=""),"",IF('Statement of Marks'!G118="","",'Statement of Marks'!G118))</f>
        <v/>
      </c>
      <c r="I119" s="805" t="str">
        <f>IF(OR($E$3="",$P$3=""),"",IF('Statement of Marks'!H118="","",'Statement of Marks'!H118))</f>
        <v/>
      </c>
      <c r="J119" s="805" t="str">
        <f>IF(OR($E$3="",$P$3=""),"",IF('Statement of Marks'!I118="","",'Statement of Marks'!I118))</f>
        <v/>
      </c>
      <c r="K119" s="805" t="str">
        <f>IFERROR(IF(B119="","",IF($P$3=$AT$10,IF(AND(BM119="A"),'Marks Entry'!$U$2,IF(AND(BM119="B"),'Marks Entry'!$Y$2,IF(AND(BM119="C"),'Marks Entry'!$AA$2,""))),IF($P$3=$AT$11,IF(AND(BN119="A"),'Marks Entry'!$AC$2,IF(AND(BN119="B"),'Marks Entry'!$AG$2,IF(AND(BN119="C"),'Marks Entry'!$AI$2,""))),IF($P$3=$AT$12,IF(AND(BO119="A"),'Marks Entry'!$AK$2,IF(AND(BO119="B"),'Marks Entry'!$AO$2,IF(AND(BO119="C"),'Marks Entry'!$AQ$2,""))),IF($P$3=$AT$13,IF(AND(BP119="A"),'Marks Entry'!$AS$2,IF(AND(BP119="B"),'Marks Entry'!$AW$2,IF(AND(BP119="C"),'Marks Entry'!$AY$2,""))),"-"))))),"")</f>
        <v/>
      </c>
      <c r="L119" s="806" t="str">
        <f>IFERROR(IF(B119="","",IF($P$3=$AT$8,'Statement of Marks'!J118,IF($P$3=$AT$9,'Statement of Marks'!X118,IF($P$3=$AT$10,'Statement of Marks'!AM118,IF($P$3=$AT$11,'Statement of Marks'!BJ118,IF($P$3=$AT$12,'Statement of Marks'!CG118,IF($P$3=$AT$13,'Statement of Marks'!DE118,IF($P$3=$AT$14,"",IF($P$3=$AT$15,'Statement of Marks'!EY118,""))))))))),"")</f>
        <v/>
      </c>
      <c r="M119" s="806" t="str">
        <f>IFERROR(IF(B119="","",IF($P$3=$AT$8,'Statement of Marks'!K118,IF($P$3=$AT$9,'Statement of Marks'!Y118,IF($P$3=$AT$10,'Statement of Marks'!AN118,IF($P$3=$AT$11,'Statement of Marks'!BK118,IF($P$3=$AT$12,'Statement of Marks'!CH118,IF($P$3=$AT$13,'Statement of Marks'!DF118,IF($P$3=$AT$14,"",IF($P$3=$AT$15,'Statement of Marks'!EZ118,""))))))))),"")</f>
        <v/>
      </c>
      <c r="N119" s="806" t="str">
        <f>IFERROR(IF(B119="","",IF($P$3=$AT$8,'Statement of Marks'!L118,IF($P$3=$AT$9,'Statement of Marks'!Z118,IF($P$3=$AT$10,'Statement of Marks'!AO118,IF($P$3=$AT$11,'Statement of Marks'!BL118,IF($P$3=$AT$12,'Statement of Marks'!CI118,IF($P$3=$AT$13,'Statement of Marks'!DG118,IF($P$3=$AT$14,"",IF($P$3=$AT$15,'Statement of Marks'!FA118,""))))))))),"")</f>
        <v/>
      </c>
      <c r="O119" s="807" t="str">
        <f t="shared" si="18"/>
        <v/>
      </c>
      <c r="P119" s="806" t="str">
        <f>IFERROR(IF(B119="","",IF($P$3=$AT$8,'Statement of Marks'!N118,IF($P$3=$AT$9,'Statement of Marks'!AB118,IF($P$3=$AT$10,'Statement of Marks'!AQ118,IF($P$3=$AT$11,'Statement of Marks'!BN118,IF($P$3=$AT$12,'Statement of Marks'!CK118,IF($P$3=$AT$13,'Statement of Marks'!DI118,IF($P$3=$AT$14,"",IF($P$3=$AT$15,'Statement of Marks'!FC118,""))))))))),"")</f>
        <v/>
      </c>
      <c r="Q119" s="806" t="str">
        <f>IFERROR(IF(B119="","",IF($P$3=$AT$8,"",IF($P$3=$AT$9,"",IF($P$3=$AT$10,'Statement of Marks'!AR118,IF($P$3=$AT$11,'Statement of Marks'!BO118,IF($P$3=$AT$12,'Statement of Marks'!CL118,IF($P$3=$AT$13,'Statement of Marks'!DJ118,IF($P$3=$AT$14,"",IF($P$3=$AT$15,"",""))))))))),"")</f>
        <v/>
      </c>
      <c r="R119" s="818" t="str">
        <f>IFERROR(IF(B119="","",IF(AND(P119="",Q119="",$P$3=""),"",IF($P$3=$AT$14,'Statement of Marks'!EC118,SUM(P119,Q119)))),"")</f>
        <v/>
      </c>
      <c r="S119" s="817" t="str">
        <f>IFERROR(IF(B119="","",IF($P$3=$AT$14,'Statement of Marks'!ED118,IF(AND(O119="NA",P119="NA",Q119="NA"),"NA",IF(AND(O119="",P119="",Q119=""),"",SUM(O119,P119,Q119))))),"")</f>
        <v/>
      </c>
      <c r="T119" s="806" t="str">
        <f>IFERROR(IF(B119="","",IF($P$3=$AT$8,'Statement of Marks'!P118,IF($P$3=$AT$9,'Statement of Marks'!AD118,IF($P$3=$AT$10,'Statement of Marks'!AU118,IF($P$3=$AT$11,'Statement of Marks'!BR118,IF($P$3=$AT$12,'Statement of Marks'!CO118,IF($P$3=$AT$13,'Statement of Marks'!DM118,IF($P$3=$AT$14,"",IF($P$3=$AT$15,'Statement of Marks'!FD118,""))))))))),"")</f>
        <v/>
      </c>
      <c r="U119" s="806" t="str">
        <f>IFERROR(IF(B119="","",IF($P$3=$AT$8,"",IF($P$3=$AT$9,"",IF($P$3=$AT$10,'Statement of Marks'!AV118,IF($P$3=$AT$11,'Statement of Marks'!BS118,IF($P$3=$AT$12,'Statement of Marks'!CP118,IF($P$3=$AT$13,'Statement of Marks'!DN118,IF($P$3=$AT$14,"",IF($P$3=$AT$15,"",""))))))))),"")</f>
        <v/>
      </c>
      <c r="V119" s="818" t="str">
        <f>IFERROR(IF(B119="","",IF(AND(T119="",U119="",$P$3=""),"",IF($P$3=$AT$14,'Statement of Marks'!EE118,SUM(T119,U119)))),"")</f>
        <v/>
      </c>
      <c r="W119" s="808" t="str">
        <f t="shared" si="19"/>
        <v/>
      </c>
      <c r="X119" s="809">
        <f t="shared" si="20"/>
        <v>0</v>
      </c>
      <c r="Y119" s="809">
        <f t="shared" si="21"/>
        <v>0</v>
      </c>
      <c r="Z119" s="809">
        <f t="shared" si="22"/>
        <v>0</v>
      </c>
      <c r="AA119" s="809" t="str">
        <f t="shared" si="23"/>
        <v/>
      </c>
      <c r="AB119" s="809" t="str">
        <f t="shared" si="24"/>
        <v/>
      </c>
      <c r="AC119" s="809" t="str">
        <f t="shared" si="25"/>
        <v/>
      </c>
      <c r="AD119" s="809" t="str">
        <f t="shared" si="26"/>
        <v/>
      </c>
      <c r="AE119" s="810" t="str">
        <f t="shared" si="27"/>
        <v/>
      </c>
      <c r="AF119" s="811" t="str">
        <f t="shared" si="28"/>
        <v/>
      </c>
      <c r="AG119" s="812" t="str">
        <f t="shared" si="29"/>
        <v/>
      </c>
      <c r="AW119" s="17" t="str">
        <f t="shared" si="30"/>
        <v/>
      </c>
      <c r="AX119" s="17" t="str">
        <f t="shared" si="31"/>
        <v/>
      </c>
      <c r="BM119" s="17" t="str">
        <f>IFERROR(VLOOKUP(B119,'Statement of Marks'!$B$8:'Statement of Marks'!$HI$207,37,0),"")</f>
        <v>A</v>
      </c>
      <c r="BN119" s="17" t="str">
        <f>IFERROR(VLOOKUP(B119,'Statement of Marks'!$B$8:'Statement of Marks'!$HI$207,60,0),"")</f>
        <v>A</v>
      </c>
      <c r="BO119" s="17" t="str">
        <f>IFERROR(VLOOKUP(B119,'Statement of Marks'!$B$8:'Statement of Marks'!$HI$207,83,0),"")</f>
        <v>A</v>
      </c>
      <c r="BP119" s="17" t="str">
        <f>IFERROR(VLOOKUP(B119,'Statement of Marks'!$B$8:'Statement of Marks'!$HI$207,107,0),"")</f>
        <v/>
      </c>
    </row>
    <row r="120" spans="1:68">
      <c r="A120" s="800">
        <f>IF('Statement of Marks'!A119="","",'Statement of Marks'!A119)</f>
        <v>112</v>
      </c>
      <c r="B120" s="801" t="str">
        <f>IF(OR($E$3="",$P$3=""),"",IF('Statement of Marks'!B119="","",'Statement of Marks'!B119))</f>
        <v/>
      </c>
      <c r="C120" s="810" t="str">
        <f>IF(OR($E$3="",$P$3=""),"",IF('Marks Entry'!C119="","",'Marks Entry'!C119))</f>
        <v/>
      </c>
      <c r="D120" s="802" t="str">
        <f>IF(OR($E$3="",$P$3=""),"",IF('Statement of Marks'!C119="","",'Statement of Marks'!C119))</f>
        <v/>
      </c>
      <c r="E120" s="803" t="str">
        <f>IF(OR($E$3="",$P$3=""),"",IF('Statement of Marks'!D119="","",'Statement of Marks'!D119))</f>
        <v/>
      </c>
      <c r="F120" s="804" t="str">
        <f>IF(OR($E$3="",$P$3=""),"",IF('Statement of Marks'!E119="","",'Statement of Marks'!E119))</f>
        <v/>
      </c>
      <c r="G120" s="804" t="str">
        <f>IF(OR($E$3="",$P$3=""),"",IF('Statement of Marks'!F119="","",'Statement of Marks'!F119))</f>
        <v/>
      </c>
      <c r="H120" s="804" t="str">
        <f>IF(OR($E$3="",$P$3=""),"",IF('Statement of Marks'!G119="","",'Statement of Marks'!G119))</f>
        <v/>
      </c>
      <c r="I120" s="805" t="str">
        <f>IF(OR($E$3="",$P$3=""),"",IF('Statement of Marks'!H119="","",'Statement of Marks'!H119))</f>
        <v/>
      </c>
      <c r="J120" s="805" t="str">
        <f>IF(OR($E$3="",$P$3=""),"",IF('Statement of Marks'!I119="","",'Statement of Marks'!I119))</f>
        <v/>
      </c>
      <c r="K120" s="805" t="str">
        <f>IFERROR(IF(B120="","",IF($P$3=$AT$10,IF(AND(BM120="A"),'Marks Entry'!$U$2,IF(AND(BM120="B"),'Marks Entry'!$Y$2,IF(AND(BM120="C"),'Marks Entry'!$AA$2,""))),IF($P$3=$AT$11,IF(AND(BN120="A"),'Marks Entry'!$AC$2,IF(AND(BN120="B"),'Marks Entry'!$AG$2,IF(AND(BN120="C"),'Marks Entry'!$AI$2,""))),IF($P$3=$AT$12,IF(AND(BO120="A"),'Marks Entry'!$AK$2,IF(AND(BO120="B"),'Marks Entry'!$AO$2,IF(AND(BO120="C"),'Marks Entry'!$AQ$2,""))),IF($P$3=$AT$13,IF(AND(BP120="A"),'Marks Entry'!$AS$2,IF(AND(BP120="B"),'Marks Entry'!$AW$2,IF(AND(BP120="C"),'Marks Entry'!$AY$2,""))),"-"))))),"")</f>
        <v/>
      </c>
      <c r="L120" s="806" t="str">
        <f>IFERROR(IF(B120="","",IF($P$3=$AT$8,'Statement of Marks'!J119,IF($P$3=$AT$9,'Statement of Marks'!X119,IF($P$3=$AT$10,'Statement of Marks'!AM119,IF($P$3=$AT$11,'Statement of Marks'!BJ119,IF($P$3=$AT$12,'Statement of Marks'!CG119,IF($P$3=$AT$13,'Statement of Marks'!DE119,IF($P$3=$AT$14,"",IF($P$3=$AT$15,'Statement of Marks'!EY119,""))))))))),"")</f>
        <v/>
      </c>
      <c r="M120" s="806" t="str">
        <f>IFERROR(IF(B120="","",IF($P$3=$AT$8,'Statement of Marks'!K119,IF($P$3=$AT$9,'Statement of Marks'!Y119,IF($P$3=$AT$10,'Statement of Marks'!AN119,IF($P$3=$AT$11,'Statement of Marks'!BK119,IF($P$3=$AT$12,'Statement of Marks'!CH119,IF($P$3=$AT$13,'Statement of Marks'!DF119,IF($P$3=$AT$14,"",IF($P$3=$AT$15,'Statement of Marks'!EZ119,""))))))))),"")</f>
        <v/>
      </c>
      <c r="N120" s="806" t="str">
        <f>IFERROR(IF(B120="","",IF($P$3=$AT$8,'Statement of Marks'!L119,IF($P$3=$AT$9,'Statement of Marks'!Z119,IF($P$3=$AT$10,'Statement of Marks'!AO119,IF($P$3=$AT$11,'Statement of Marks'!BL119,IF($P$3=$AT$12,'Statement of Marks'!CI119,IF($P$3=$AT$13,'Statement of Marks'!DG119,IF($P$3=$AT$14,"",IF($P$3=$AT$15,'Statement of Marks'!FA119,""))))))))),"")</f>
        <v/>
      </c>
      <c r="O120" s="807" t="str">
        <f t="shared" si="18"/>
        <v/>
      </c>
      <c r="P120" s="806" t="str">
        <f>IFERROR(IF(B120="","",IF($P$3=$AT$8,'Statement of Marks'!N119,IF($P$3=$AT$9,'Statement of Marks'!AB119,IF($P$3=$AT$10,'Statement of Marks'!AQ119,IF($P$3=$AT$11,'Statement of Marks'!BN119,IF($P$3=$AT$12,'Statement of Marks'!CK119,IF($P$3=$AT$13,'Statement of Marks'!DI119,IF($P$3=$AT$14,"",IF($P$3=$AT$15,'Statement of Marks'!FC119,""))))))))),"")</f>
        <v/>
      </c>
      <c r="Q120" s="806" t="str">
        <f>IFERROR(IF(B120="","",IF($P$3=$AT$8,"",IF($P$3=$AT$9,"",IF($P$3=$AT$10,'Statement of Marks'!AR119,IF($P$3=$AT$11,'Statement of Marks'!BO119,IF($P$3=$AT$12,'Statement of Marks'!CL119,IF($P$3=$AT$13,'Statement of Marks'!DJ119,IF($P$3=$AT$14,"",IF($P$3=$AT$15,"",""))))))))),"")</f>
        <v/>
      </c>
      <c r="R120" s="818" t="str">
        <f>IFERROR(IF(B120="","",IF(AND(P120="",Q120="",$P$3=""),"",IF($P$3=$AT$14,'Statement of Marks'!EC119,SUM(P120,Q120)))),"")</f>
        <v/>
      </c>
      <c r="S120" s="817" t="str">
        <f>IFERROR(IF(B120="","",IF($P$3=$AT$14,'Statement of Marks'!ED119,IF(AND(O120="NA",P120="NA",Q120="NA"),"NA",IF(AND(O120="",P120="",Q120=""),"",SUM(O120,P120,Q120))))),"")</f>
        <v/>
      </c>
      <c r="T120" s="806" t="str">
        <f>IFERROR(IF(B120="","",IF($P$3=$AT$8,'Statement of Marks'!P119,IF($P$3=$AT$9,'Statement of Marks'!AD119,IF($P$3=$AT$10,'Statement of Marks'!AU119,IF($P$3=$AT$11,'Statement of Marks'!BR119,IF($P$3=$AT$12,'Statement of Marks'!CO119,IF($P$3=$AT$13,'Statement of Marks'!DM119,IF($P$3=$AT$14,"",IF($P$3=$AT$15,'Statement of Marks'!FD119,""))))))))),"")</f>
        <v/>
      </c>
      <c r="U120" s="806" t="str">
        <f>IFERROR(IF(B120="","",IF($P$3=$AT$8,"",IF($P$3=$AT$9,"",IF($P$3=$AT$10,'Statement of Marks'!AV119,IF($P$3=$AT$11,'Statement of Marks'!BS119,IF($P$3=$AT$12,'Statement of Marks'!CP119,IF($P$3=$AT$13,'Statement of Marks'!DN119,IF($P$3=$AT$14,"",IF($P$3=$AT$15,"",""))))))))),"")</f>
        <v/>
      </c>
      <c r="V120" s="818" t="str">
        <f>IFERROR(IF(B120="","",IF(AND(T120="",U120="",$P$3=""),"",IF($P$3=$AT$14,'Statement of Marks'!EE119,SUM(T120,U120)))),"")</f>
        <v/>
      </c>
      <c r="W120" s="808" t="str">
        <f t="shared" si="19"/>
        <v/>
      </c>
      <c r="X120" s="809">
        <f t="shared" si="20"/>
        <v>0</v>
      </c>
      <c r="Y120" s="809">
        <f t="shared" si="21"/>
        <v>0</v>
      </c>
      <c r="Z120" s="809">
        <f t="shared" si="22"/>
        <v>0</v>
      </c>
      <c r="AA120" s="809" t="str">
        <f t="shared" si="23"/>
        <v/>
      </c>
      <c r="AB120" s="809" t="str">
        <f t="shared" si="24"/>
        <v/>
      </c>
      <c r="AC120" s="809" t="str">
        <f t="shared" si="25"/>
        <v/>
      </c>
      <c r="AD120" s="809" t="str">
        <f t="shared" si="26"/>
        <v/>
      </c>
      <c r="AE120" s="810" t="str">
        <f t="shared" si="27"/>
        <v/>
      </c>
      <c r="AF120" s="811" t="str">
        <f t="shared" si="28"/>
        <v/>
      </c>
      <c r="AG120" s="812" t="str">
        <f t="shared" si="29"/>
        <v/>
      </c>
      <c r="AW120" s="17" t="str">
        <f t="shared" si="30"/>
        <v/>
      </c>
      <c r="AX120" s="17" t="str">
        <f t="shared" si="31"/>
        <v/>
      </c>
      <c r="BM120" s="17" t="str">
        <f>IFERROR(VLOOKUP(B120,'Statement of Marks'!$B$8:'Statement of Marks'!$HI$207,37,0),"")</f>
        <v>A</v>
      </c>
      <c r="BN120" s="17" t="str">
        <f>IFERROR(VLOOKUP(B120,'Statement of Marks'!$B$8:'Statement of Marks'!$HI$207,60,0),"")</f>
        <v>A</v>
      </c>
      <c r="BO120" s="17" t="str">
        <f>IFERROR(VLOOKUP(B120,'Statement of Marks'!$B$8:'Statement of Marks'!$HI$207,83,0),"")</f>
        <v>A</v>
      </c>
      <c r="BP120" s="17" t="str">
        <f>IFERROR(VLOOKUP(B120,'Statement of Marks'!$B$8:'Statement of Marks'!$HI$207,107,0),"")</f>
        <v/>
      </c>
    </row>
    <row r="121" spans="1:68">
      <c r="A121" s="800">
        <f>IF('Statement of Marks'!A120="","",'Statement of Marks'!A120)</f>
        <v>113</v>
      </c>
      <c r="B121" s="801" t="str">
        <f>IF(OR($E$3="",$P$3=""),"",IF('Statement of Marks'!B120="","",'Statement of Marks'!B120))</f>
        <v/>
      </c>
      <c r="C121" s="810" t="str">
        <f>IF(OR($E$3="",$P$3=""),"",IF('Marks Entry'!C120="","",'Marks Entry'!C120))</f>
        <v/>
      </c>
      <c r="D121" s="802" t="str">
        <f>IF(OR($E$3="",$P$3=""),"",IF('Statement of Marks'!C120="","",'Statement of Marks'!C120))</f>
        <v/>
      </c>
      <c r="E121" s="803" t="str">
        <f>IF(OR($E$3="",$P$3=""),"",IF('Statement of Marks'!D120="","",'Statement of Marks'!D120))</f>
        <v/>
      </c>
      <c r="F121" s="804" t="str">
        <f>IF(OR($E$3="",$P$3=""),"",IF('Statement of Marks'!E120="","",'Statement of Marks'!E120))</f>
        <v/>
      </c>
      <c r="G121" s="804" t="str">
        <f>IF(OR($E$3="",$P$3=""),"",IF('Statement of Marks'!F120="","",'Statement of Marks'!F120))</f>
        <v/>
      </c>
      <c r="H121" s="804" t="str">
        <f>IF(OR($E$3="",$P$3=""),"",IF('Statement of Marks'!G120="","",'Statement of Marks'!G120))</f>
        <v/>
      </c>
      <c r="I121" s="805" t="str">
        <f>IF(OR($E$3="",$P$3=""),"",IF('Statement of Marks'!H120="","",'Statement of Marks'!H120))</f>
        <v/>
      </c>
      <c r="J121" s="805" t="str">
        <f>IF(OR($E$3="",$P$3=""),"",IF('Statement of Marks'!I120="","",'Statement of Marks'!I120))</f>
        <v/>
      </c>
      <c r="K121" s="805" t="str">
        <f>IFERROR(IF(B121="","",IF($P$3=$AT$10,IF(AND(BM121="A"),'Marks Entry'!$U$2,IF(AND(BM121="B"),'Marks Entry'!$Y$2,IF(AND(BM121="C"),'Marks Entry'!$AA$2,""))),IF($P$3=$AT$11,IF(AND(BN121="A"),'Marks Entry'!$AC$2,IF(AND(BN121="B"),'Marks Entry'!$AG$2,IF(AND(BN121="C"),'Marks Entry'!$AI$2,""))),IF($P$3=$AT$12,IF(AND(BO121="A"),'Marks Entry'!$AK$2,IF(AND(BO121="B"),'Marks Entry'!$AO$2,IF(AND(BO121="C"),'Marks Entry'!$AQ$2,""))),IF($P$3=$AT$13,IF(AND(BP121="A"),'Marks Entry'!$AS$2,IF(AND(BP121="B"),'Marks Entry'!$AW$2,IF(AND(BP121="C"),'Marks Entry'!$AY$2,""))),"-"))))),"")</f>
        <v/>
      </c>
      <c r="L121" s="806" t="str">
        <f>IFERROR(IF(B121="","",IF($P$3=$AT$8,'Statement of Marks'!J120,IF($P$3=$AT$9,'Statement of Marks'!X120,IF($P$3=$AT$10,'Statement of Marks'!AM120,IF($P$3=$AT$11,'Statement of Marks'!BJ120,IF($P$3=$AT$12,'Statement of Marks'!CG120,IF($P$3=$AT$13,'Statement of Marks'!DE120,IF($P$3=$AT$14,"",IF($P$3=$AT$15,'Statement of Marks'!EY120,""))))))))),"")</f>
        <v/>
      </c>
      <c r="M121" s="806" t="str">
        <f>IFERROR(IF(B121="","",IF($P$3=$AT$8,'Statement of Marks'!K120,IF($P$3=$AT$9,'Statement of Marks'!Y120,IF($P$3=$AT$10,'Statement of Marks'!AN120,IF($P$3=$AT$11,'Statement of Marks'!BK120,IF($P$3=$AT$12,'Statement of Marks'!CH120,IF($P$3=$AT$13,'Statement of Marks'!DF120,IF($P$3=$AT$14,"",IF($P$3=$AT$15,'Statement of Marks'!EZ120,""))))))))),"")</f>
        <v/>
      </c>
      <c r="N121" s="806" t="str">
        <f>IFERROR(IF(B121="","",IF($P$3=$AT$8,'Statement of Marks'!L120,IF($P$3=$AT$9,'Statement of Marks'!Z120,IF($P$3=$AT$10,'Statement of Marks'!AO120,IF($P$3=$AT$11,'Statement of Marks'!BL120,IF($P$3=$AT$12,'Statement of Marks'!CI120,IF($P$3=$AT$13,'Statement of Marks'!DG120,IF($P$3=$AT$14,"",IF($P$3=$AT$15,'Statement of Marks'!FA120,""))))))))),"")</f>
        <v/>
      </c>
      <c r="O121" s="807" t="str">
        <f t="shared" si="18"/>
        <v/>
      </c>
      <c r="P121" s="806" t="str">
        <f>IFERROR(IF(B121="","",IF($P$3=$AT$8,'Statement of Marks'!N120,IF($P$3=$AT$9,'Statement of Marks'!AB120,IF($P$3=$AT$10,'Statement of Marks'!AQ120,IF($P$3=$AT$11,'Statement of Marks'!BN120,IF($P$3=$AT$12,'Statement of Marks'!CK120,IF($P$3=$AT$13,'Statement of Marks'!DI120,IF($P$3=$AT$14,"",IF($P$3=$AT$15,'Statement of Marks'!FC120,""))))))))),"")</f>
        <v/>
      </c>
      <c r="Q121" s="806" t="str">
        <f>IFERROR(IF(B121="","",IF($P$3=$AT$8,"",IF($P$3=$AT$9,"",IF($P$3=$AT$10,'Statement of Marks'!AR120,IF($P$3=$AT$11,'Statement of Marks'!BO120,IF($P$3=$AT$12,'Statement of Marks'!CL120,IF($P$3=$AT$13,'Statement of Marks'!DJ120,IF($P$3=$AT$14,"",IF($P$3=$AT$15,"",""))))))))),"")</f>
        <v/>
      </c>
      <c r="R121" s="818" t="str">
        <f>IFERROR(IF(B121="","",IF(AND(P121="",Q121="",$P$3=""),"",IF($P$3=$AT$14,'Statement of Marks'!EC120,SUM(P121,Q121)))),"")</f>
        <v/>
      </c>
      <c r="S121" s="817" t="str">
        <f>IFERROR(IF(B121="","",IF($P$3=$AT$14,'Statement of Marks'!ED120,IF(AND(O121="NA",P121="NA",Q121="NA"),"NA",IF(AND(O121="",P121="",Q121=""),"",SUM(O121,P121,Q121))))),"")</f>
        <v/>
      </c>
      <c r="T121" s="806" t="str">
        <f>IFERROR(IF(B121="","",IF($P$3=$AT$8,'Statement of Marks'!P120,IF($P$3=$AT$9,'Statement of Marks'!AD120,IF($P$3=$AT$10,'Statement of Marks'!AU120,IF($P$3=$AT$11,'Statement of Marks'!BR120,IF($P$3=$AT$12,'Statement of Marks'!CO120,IF($P$3=$AT$13,'Statement of Marks'!DM120,IF($P$3=$AT$14,"",IF($P$3=$AT$15,'Statement of Marks'!FD120,""))))))))),"")</f>
        <v/>
      </c>
      <c r="U121" s="806" t="str">
        <f>IFERROR(IF(B121="","",IF($P$3=$AT$8,"",IF($P$3=$AT$9,"",IF($P$3=$AT$10,'Statement of Marks'!AV120,IF($P$3=$AT$11,'Statement of Marks'!BS120,IF($P$3=$AT$12,'Statement of Marks'!CP120,IF($P$3=$AT$13,'Statement of Marks'!DN120,IF($P$3=$AT$14,"",IF($P$3=$AT$15,"",""))))))))),"")</f>
        <v/>
      </c>
      <c r="V121" s="818" t="str">
        <f>IFERROR(IF(B121="","",IF(AND(T121="",U121="",$P$3=""),"",IF($P$3=$AT$14,'Statement of Marks'!EE120,SUM(T121,U121)))),"")</f>
        <v/>
      </c>
      <c r="W121" s="808" t="str">
        <f t="shared" si="19"/>
        <v/>
      </c>
      <c r="X121" s="809">
        <f t="shared" si="20"/>
        <v>0</v>
      </c>
      <c r="Y121" s="809">
        <f t="shared" si="21"/>
        <v>0</v>
      </c>
      <c r="Z121" s="809">
        <f t="shared" si="22"/>
        <v>0</v>
      </c>
      <c r="AA121" s="809" t="str">
        <f t="shared" si="23"/>
        <v/>
      </c>
      <c r="AB121" s="809" t="str">
        <f t="shared" si="24"/>
        <v/>
      </c>
      <c r="AC121" s="809" t="str">
        <f t="shared" si="25"/>
        <v/>
      </c>
      <c r="AD121" s="809" t="str">
        <f t="shared" si="26"/>
        <v/>
      </c>
      <c r="AE121" s="810" t="str">
        <f t="shared" si="27"/>
        <v/>
      </c>
      <c r="AF121" s="811" t="str">
        <f t="shared" si="28"/>
        <v/>
      </c>
      <c r="AG121" s="812" t="str">
        <f t="shared" si="29"/>
        <v/>
      </c>
      <c r="AW121" s="17" t="str">
        <f t="shared" si="30"/>
        <v/>
      </c>
      <c r="AX121" s="17" t="str">
        <f t="shared" si="31"/>
        <v/>
      </c>
      <c r="BM121" s="17" t="str">
        <f>IFERROR(VLOOKUP(B121,'Statement of Marks'!$B$8:'Statement of Marks'!$HI$207,37,0),"")</f>
        <v>A</v>
      </c>
      <c r="BN121" s="17" t="str">
        <f>IFERROR(VLOOKUP(B121,'Statement of Marks'!$B$8:'Statement of Marks'!$HI$207,60,0),"")</f>
        <v>A</v>
      </c>
      <c r="BO121" s="17" t="str">
        <f>IFERROR(VLOOKUP(B121,'Statement of Marks'!$B$8:'Statement of Marks'!$HI$207,83,0),"")</f>
        <v>A</v>
      </c>
      <c r="BP121" s="17" t="str">
        <f>IFERROR(VLOOKUP(B121,'Statement of Marks'!$B$8:'Statement of Marks'!$HI$207,107,0),"")</f>
        <v/>
      </c>
    </row>
    <row r="122" spans="1:68">
      <c r="A122" s="800">
        <f>IF('Statement of Marks'!A121="","",'Statement of Marks'!A121)</f>
        <v>114</v>
      </c>
      <c r="B122" s="801" t="str">
        <f>IF(OR($E$3="",$P$3=""),"",IF('Statement of Marks'!B121="","",'Statement of Marks'!B121))</f>
        <v/>
      </c>
      <c r="C122" s="810" t="str">
        <f>IF(OR($E$3="",$P$3=""),"",IF('Marks Entry'!C121="","",'Marks Entry'!C121))</f>
        <v/>
      </c>
      <c r="D122" s="802" t="str">
        <f>IF(OR($E$3="",$P$3=""),"",IF('Statement of Marks'!C121="","",'Statement of Marks'!C121))</f>
        <v/>
      </c>
      <c r="E122" s="803" t="str">
        <f>IF(OR($E$3="",$P$3=""),"",IF('Statement of Marks'!D121="","",'Statement of Marks'!D121))</f>
        <v/>
      </c>
      <c r="F122" s="804" t="str">
        <f>IF(OR($E$3="",$P$3=""),"",IF('Statement of Marks'!E121="","",'Statement of Marks'!E121))</f>
        <v/>
      </c>
      <c r="G122" s="804" t="str">
        <f>IF(OR($E$3="",$P$3=""),"",IF('Statement of Marks'!F121="","",'Statement of Marks'!F121))</f>
        <v/>
      </c>
      <c r="H122" s="804" t="str">
        <f>IF(OR($E$3="",$P$3=""),"",IF('Statement of Marks'!G121="","",'Statement of Marks'!G121))</f>
        <v/>
      </c>
      <c r="I122" s="805" t="str">
        <f>IF(OR($E$3="",$P$3=""),"",IF('Statement of Marks'!H121="","",'Statement of Marks'!H121))</f>
        <v/>
      </c>
      <c r="J122" s="805" t="str">
        <f>IF(OR($E$3="",$P$3=""),"",IF('Statement of Marks'!I121="","",'Statement of Marks'!I121))</f>
        <v/>
      </c>
      <c r="K122" s="805" t="str">
        <f>IFERROR(IF(B122="","",IF($P$3=$AT$10,IF(AND(BM122="A"),'Marks Entry'!$U$2,IF(AND(BM122="B"),'Marks Entry'!$Y$2,IF(AND(BM122="C"),'Marks Entry'!$AA$2,""))),IF($P$3=$AT$11,IF(AND(BN122="A"),'Marks Entry'!$AC$2,IF(AND(BN122="B"),'Marks Entry'!$AG$2,IF(AND(BN122="C"),'Marks Entry'!$AI$2,""))),IF($P$3=$AT$12,IF(AND(BO122="A"),'Marks Entry'!$AK$2,IF(AND(BO122="B"),'Marks Entry'!$AO$2,IF(AND(BO122="C"),'Marks Entry'!$AQ$2,""))),IF($P$3=$AT$13,IF(AND(BP122="A"),'Marks Entry'!$AS$2,IF(AND(BP122="B"),'Marks Entry'!$AW$2,IF(AND(BP122="C"),'Marks Entry'!$AY$2,""))),"-"))))),"")</f>
        <v/>
      </c>
      <c r="L122" s="806" t="str">
        <f>IFERROR(IF(B122="","",IF($P$3=$AT$8,'Statement of Marks'!J121,IF($P$3=$AT$9,'Statement of Marks'!X121,IF($P$3=$AT$10,'Statement of Marks'!AM121,IF($P$3=$AT$11,'Statement of Marks'!BJ121,IF($P$3=$AT$12,'Statement of Marks'!CG121,IF($P$3=$AT$13,'Statement of Marks'!DE121,IF($P$3=$AT$14,"",IF($P$3=$AT$15,'Statement of Marks'!EY121,""))))))))),"")</f>
        <v/>
      </c>
      <c r="M122" s="806" t="str">
        <f>IFERROR(IF(B122="","",IF($P$3=$AT$8,'Statement of Marks'!K121,IF($P$3=$AT$9,'Statement of Marks'!Y121,IF($P$3=$AT$10,'Statement of Marks'!AN121,IF($P$3=$AT$11,'Statement of Marks'!BK121,IF($P$3=$AT$12,'Statement of Marks'!CH121,IF($P$3=$AT$13,'Statement of Marks'!DF121,IF($P$3=$AT$14,"",IF($P$3=$AT$15,'Statement of Marks'!EZ121,""))))))))),"")</f>
        <v/>
      </c>
      <c r="N122" s="806" t="str">
        <f>IFERROR(IF(B122="","",IF($P$3=$AT$8,'Statement of Marks'!L121,IF($P$3=$AT$9,'Statement of Marks'!Z121,IF($P$3=$AT$10,'Statement of Marks'!AO121,IF($P$3=$AT$11,'Statement of Marks'!BL121,IF($P$3=$AT$12,'Statement of Marks'!CI121,IF($P$3=$AT$13,'Statement of Marks'!DG121,IF($P$3=$AT$14,"",IF($P$3=$AT$15,'Statement of Marks'!FA121,""))))))))),"")</f>
        <v/>
      </c>
      <c r="O122" s="807" t="str">
        <f t="shared" si="18"/>
        <v/>
      </c>
      <c r="P122" s="806" t="str">
        <f>IFERROR(IF(B122="","",IF($P$3=$AT$8,'Statement of Marks'!N121,IF($P$3=$AT$9,'Statement of Marks'!AB121,IF($P$3=$AT$10,'Statement of Marks'!AQ121,IF($P$3=$AT$11,'Statement of Marks'!BN121,IF($P$3=$AT$12,'Statement of Marks'!CK121,IF($P$3=$AT$13,'Statement of Marks'!DI121,IF($P$3=$AT$14,"",IF($P$3=$AT$15,'Statement of Marks'!FC121,""))))))))),"")</f>
        <v/>
      </c>
      <c r="Q122" s="806" t="str">
        <f>IFERROR(IF(B122="","",IF($P$3=$AT$8,"",IF($P$3=$AT$9,"",IF($P$3=$AT$10,'Statement of Marks'!AR121,IF($P$3=$AT$11,'Statement of Marks'!BO121,IF($P$3=$AT$12,'Statement of Marks'!CL121,IF($P$3=$AT$13,'Statement of Marks'!DJ121,IF($P$3=$AT$14,"",IF($P$3=$AT$15,"",""))))))))),"")</f>
        <v/>
      </c>
      <c r="R122" s="818" t="str">
        <f>IFERROR(IF(B122="","",IF(AND(P122="",Q122="",$P$3=""),"",IF($P$3=$AT$14,'Statement of Marks'!EC121,SUM(P122,Q122)))),"")</f>
        <v/>
      </c>
      <c r="S122" s="817" t="str">
        <f>IFERROR(IF(B122="","",IF($P$3=$AT$14,'Statement of Marks'!ED121,IF(AND(O122="NA",P122="NA",Q122="NA"),"NA",IF(AND(O122="",P122="",Q122=""),"",SUM(O122,P122,Q122))))),"")</f>
        <v/>
      </c>
      <c r="T122" s="806" t="str">
        <f>IFERROR(IF(B122="","",IF($P$3=$AT$8,'Statement of Marks'!P121,IF($P$3=$AT$9,'Statement of Marks'!AD121,IF($P$3=$AT$10,'Statement of Marks'!AU121,IF($P$3=$AT$11,'Statement of Marks'!BR121,IF($P$3=$AT$12,'Statement of Marks'!CO121,IF($P$3=$AT$13,'Statement of Marks'!DM121,IF($P$3=$AT$14,"",IF($P$3=$AT$15,'Statement of Marks'!FD121,""))))))))),"")</f>
        <v/>
      </c>
      <c r="U122" s="806" t="str">
        <f>IFERROR(IF(B122="","",IF($P$3=$AT$8,"",IF($P$3=$AT$9,"",IF($P$3=$AT$10,'Statement of Marks'!AV121,IF($P$3=$AT$11,'Statement of Marks'!BS121,IF($P$3=$AT$12,'Statement of Marks'!CP121,IF($P$3=$AT$13,'Statement of Marks'!DN121,IF($P$3=$AT$14,"",IF($P$3=$AT$15,"",""))))))))),"")</f>
        <v/>
      </c>
      <c r="V122" s="818" t="str">
        <f>IFERROR(IF(B122="","",IF(AND(T122="",U122="",$P$3=""),"",IF($P$3=$AT$14,'Statement of Marks'!EE121,SUM(T122,U122)))),"")</f>
        <v/>
      </c>
      <c r="W122" s="808" t="str">
        <f t="shared" si="19"/>
        <v/>
      </c>
      <c r="X122" s="809">
        <f t="shared" si="20"/>
        <v>0</v>
      </c>
      <c r="Y122" s="809">
        <f t="shared" si="21"/>
        <v>0</v>
      </c>
      <c r="Z122" s="809">
        <f t="shared" si="22"/>
        <v>0</v>
      </c>
      <c r="AA122" s="809" t="str">
        <f t="shared" si="23"/>
        <v/>
      </c>
      <c r="AB122" s="809" t="str">
        <f t="shared" si="24"/>
        <v/>
      </c>
      <c r="AC122" s="809" t="str">
        <f t="shared" si="25"/>
        <v/>
      </c>
      <c r="AD122" s="809" t="str">
        <f t="shared" si="26"/>
        <v/>
      </c>
      <c r="AE122" s="810" t="str">
        <f t="shared" si="27"/>
        <v/>
      </c>
      <c r="AF122" s="811" t="str">
        <f t="shared" si="28"/>
        <v/>
      </c>
      <c r="AG122" s="812" t="str">
        <f t="shared" si="29"/>
        <v/>
      </c>
      <c r="AW122" s="17" t="str">
        <f t="shared" si="30"/>
        <v/>
      </c>
      <c r="AX122" s="17" t="str">
        <f t="shared" si="31"/>
        <v/>
      </c>
      <c r="BM122" s="17" t="str">
        <f>IFERROR(VLOOKUP(B122,'Statement of Marks'!$B$8:'Statement of Marks'!$HI$207,37,0),"")</f>
        <v>A</v>
      </c>
      <c r="BN122" s="17" t="str">
        <f>IFERROR(VLOOKUP(B122,'Statement of Marks'!$B$8:'Statement of Marks'!$HI$207,60,0),"")</f>
        <v>A</v>
      </c>
      <c r="BO122" s="17" t="str">
        <f>IFERROR(VLOOKUP(B122,'Statement of Marks'!$B$8:'Statement of Marks'!$HI$207,83,0),"")</f>
        <v>A</v>
      </c>
      <c r="BP122" s="17" t="str">
        <f>IFERROR(VLOOKUP(B122,'Statement of Marks'!$B$8:'Statement of Marks'!$HI$207,107,0),"")</f>
        <v/>
      </c>
    </row>
    <row r="123" spans="1:68">
      <c r="A123" s="800">
        <f>IF('Statement of Marks'!A122="","",'Statement of Marks'!A122)</f>
        <v>115</v>
      </c>
      <c r="B123" s="801" t="str">
        <f>IF(OR($E$3="",$P$3=""),"",IF('Statement of Marks'!B122="","",'Statement of Marks'!B122))</f>
        <v/>
      </c>
      <c r="C123" s="810" t="str">
        <f>IF(OR($E$3="",$P$3=""),"",IF('Marks Entry'!C122="","",'Marks Entry'!C122))</f>
        <v/>
      </c>
      <c r="D123" s="802" t="str">
        <f>IF(OR($E$3="",$P$3=""),"",IF('Statement of Marks'!C122="","",'Statement of Marks'!C122))</f>
        <v/>
      </c>
      <c r="E123" s="803" t="str">
        <f>IF(OR($E$3="",$P$3=""),"",IF('Statement of Marks'!D122="","",'Statement of Marks'!D122))</f>
        <v/>
      </c>
      <c r="F123" s="804" t="str">
        <f>IF(OR($E$3="",$P$3=""),"",IF('Statement of Marks'!E122="","",'Statement of Marks'!E122))</f>
        <v/>
      </c>
      <c r="G123" s="804" t="str">
        <f>IF(OR($E$3="",$P$3=""),"",IF('Statement of Marks'!F122="","",'Statement of Marks'!F122))</f>
        <v/>
      </c>
      <c r="H123" s="804" t="str">
        <f>IF(OR($E$3="",$P$3=""),"",IF('Statement of Marks'!G122="","",'Statement of Marks'!G122))</f>
        <v/>
      </c>
      <c r="I123" s="805" t="str">
        <f>IF(OR($E$3="",$P$3=""),"",IF('Statement of Marks'!H122="","",'Statement of Marks'!H122))</f>
        <v/>
      </c>
      <c r="J123" s="805" t="str">
        <f>IF(OR($E$3="",$P$3=""),"",IF('Statement of Marks'!I122="","",'Statement of Marks'!I122))</f>
        <v/>
      </c>
      <c r="K123" s="805" t="str">
        <f>IFERROR(IF(B123="","",IF($P$3=$AT$10,IF(AND(BM123="A"),'Marks Entry'!$U$2,IF(AND(BM123="B"),'Marks Entry'!$Y$2,IF(AND(BM123="C"),'Marks Entry'!$AA$2,""))),IF($P$3=$AT$11,IF(AND(BN123="A"),'Marks Entry'!$AC$2,IF(AND(BN123="B"),'Marks Entry'!$AG$2,IF(AND(BN123="C"),'Marks Entry'!$AI$2,""))),IF($P$3=$AT$12,IF(AND(BO123="A"),'Marks Entry'!$AK$2,IF(AND(BO123="B"),'Marks Entry'!$AO$2,IF(AND(BO123="C"),'Marks Entry'!$AQ$2,""))),IF($P$3=$AT$13,IF(AND(BP123="A"),'Marks Entry'!$AS$2,IF(AND(BP123="B"),'Marks Entry'!$AW$2,IF(AND(BP123="C"),'Marks Entry'!$AY$2,""))),"-"))))),"")</f>
        <v/>
      </c>
      <c r="L123" s="806" t="str">
        <f>IFERROR(IF(B123="","",IF($P$3=$AT$8,'Statement of Marks'!J122,IF($P$3=$AT$9,'Statement of Marks'!X122,IF($P$3=$AT$10,'Statement of Marks'!AM122,IF($P$3=$AT$11,'Statement of Marks'!BJ122,IF($P$3=$AT$12,'Statement of Marks'!CG122,IF($P$3=$AT$13,'Statement of Marks'!DE122,IF($P$3=$AT$14,"",IF($P$3=$AT$15,'Statement of Marks'!EY122,""))))))))),"")</f>
        <v/>
      </c>
      <c r="M123" s="806" t="str">
        <f>IFERROR(IF(B123="","",IF($P$3=$AT$8,'Statement of Marks'!K122,IF($P$3=$AT$9,'Statement of Marks'!Y122,IF($P$3=$AT$10,'Statement of Marks'!AN122,IF($P$3=$AT$11,'Statement of Marks'!BK122,IF($P$3=$AT$12,'Statement of Marks'!CH122,IF($P$3=$AT$13,'Statement of Marks'!DF122,IF($P$3=$AT$14,"",IF($P$3=$AT$15,'Statement of Marks'!EZ122,""))))))))),"")</f>
        <v/>
      </c>
      <c r="N123" s="806" t="str">
        <f>IFERROR(IF(B123="","",IF($P$3=$AT$8,'Statement of Marks'!L122,IF($P$3=$AT$9,'Statement of Marks'!Z122,IF($P$3=$AT$10,'Statement of Marks'!AO122,IF($P$3=$AT$11,'Statement of Marks'!BL122,IF($P$3=$AT$12,'Statement of Marks'!CI122,IF($P$3=$AT$13,'Statement of Marks'!DG122,IF($P$3=$AT$14,"",IF($P$3=$AT$15,'Statement of Marks'!FA122,""))))))))),"")</f>
        <v/>
      </c>
      <c r="O123" s="807" t="str">
        <f t="shared" si="18"/>
        <v/>
      </c>
      <c r="P123" s="806" t="str">
        <f>IFERROR(IF(B123="","",IF($P$3=$AT$8,'Statement of Marks'!N122,IF($P$3=$AT$9,'Statement of Marks'!AB122,IF($P$3=$AT$10,'Statement of Marks'!AQ122,IF($P$3=$AT$11,'Statement of Marks'!BN122,IF($P$3=$AT$12,'Statement of Marks'!CK122,IF($P$3=$AT$13,'Statement of Marks'!DI122,IF($P$3=$AT$14,"",IF($P$3=$AT$15,'Statement of Marks'!FC122,""))))))))),"")</f>
        <v/>
      </c>
      <c r="Q123" s="806" t="str">
        <f>IFERROR(IF(B123="","",IF($P$3=$AT$8,"",IF($P$3=$AT$9,"",IF($P$3=$AT$10,'Statement of Marks'!AR122,IF($P$3=$AT$11,'Statement of Marks'!BO122,IF($P$3=$AT$12,'Statement of Marks'!CL122,IF($P$3=$AT$13,'Statement of Marks'!DJ122,IF($P$3=$AT$14,"",IF($P$3=$AT$15,"",""))))))))),"")</f>
        <v/>
      </c>
      <c r="R123" s="818" t="str">
        <f>IFERROR(IF(B123="","",IF(AND(P123="",Q123="",$P$3=""),"",IF($P$3=$AT$14,'Statement of Marks'!EC122,SUM(P123,Q123)))),"")</f>
        <v/>
      </c>
      <c r="S123" s="817" t="str">
        <f>IFERROR(IF(B123="","",IF($P$3=$AT$14,'Statement of Marks'!ED122,IF(AND(O123="NA",P123="NA",Q123="NA"),"NA",IF(AND(O123="",P123="",Q123=""),"",SUM(O123,P123,Q123))))),"")</f>
        <v/>
      </c>
      <c r="T123" s="806" t="str">
        <f>IFERROR(IF(B123="","",IF($P$3=$AT$8,'Statement of Marks'!P122,IF($P$3=$AT$9,'Statement of Marks'!AD122,IF($P$3=$AT$10,'Statement of Marks'!AU122,IF($P$3=$AT$11,'Statement of Marks'!BR122,IF($P$3=$AT$12,'Statement of Marks'!CO122,IF($P$3=$AT$13,'Statement of Marks'!DM122,IF($P$3=$AT$14,"",IF($P$3=$AT$15,'Statement of Marks'!FD122,""))))))))),"")</f>
        <v/>
      </c>
      <c r="U123" s="806" t="str">
        <f>IFERROR(IF(B123="","",IF($P$3=$AT$8,"",IF($P$3=$AT$9,"",IF($P$3=$AT$10,'Statement of Marks'!AV122,IF($P$3=$AT$11,'Statement of Marks'!BS122,IF($P$3=$AT$12,'Statement of Marks'!CP122,IF($P$3=$AT$13,'Statement of Marks'!DN122,IF($P$3=$AT$14,"",IF($P$3=$AT$15,"",""))))))))),"")</f>
        <v/>
      </c>
      <c r="V123" s="818" t="str">
        <f>IFERROR(IF(B123="","",IF(AND(T123="",U123="",$P$3=""),"",IF($P$3=$AT$14,'Statement of Marks'!EE122,SUM(T123,U123)))),"")</f>
        <v/>
      </c>
      <c r="W123" s="808" t="str">
        <f t="shared" si="19"/>
        <v/>
      </c>
      <c r="X123" s="809">
        <f t="shared" si="20"/>
        <v>0</v>
      </c>
      <c r="Y123" s="809">
        <f t="shared" si="21"/>
        <v>0</v>
      </c>
      <c r="Z123" s="809">
        <f t="shared" si="22"/>
        <v>0</v>
      </c>
      <c r="AA123" s="809" t="str">
        <f t="shared" si="23"/>
        <v/>
      </c>
      <c r="AB123" s="809" t="str">
        <f t="shared" si="24"/>
        <v/>
      </c>
      <c r="AC123" s="809" t="str">
        <f t="shared" si="25"/>
        <v/>
      </c>
      <c r="AD123" s="809" t="str">
        <f t="shared" si="26"/>
        <v/>
      </c>
      <c r="AE123" s="810" t="str">
        <f t="shared" si="27"/>
        <v/>
      </c>
      <c r="AF123" s="811" t="str">
        <f t="shared" si="28"/>
        <v/>
      </c>
      <c r="AG123" s="812" t="str">
        <f t="shared" si="29"/>
        <v/>
      </c>
      <c r="AW123" s="17" t="str">
        <f t="shared" si="30"/>
        <v/>
      </c>
      <c r="AX123" s="17" t="str">
        <f t="shared" si="31"/>
        <v/>
      </c>
      <c r="BM123" s="17" t="str">
        <f>IFERROR(VLOOKUP(B123,'Statement of Marks'!$B$8:'Statement of Marks'!$HI$207,37,0),"")</f>
        <v>A</v>
      </c>
      <c r="BN123" s="17" t="str">
        <f>IFERROR(VLOOKUP(B123,'Statement of Marks'!$B$8:'Statement of Marks'!$HI$207,60,0),"")</f>
        <v>A</v>
      </c>
      <c r="BO123" s="17" t="str">
        <f>IFERROR(VLOOKUP(B123,'Statement of Marks'!$B$8:'Statement of Marks'!$HI$207,83,0),"")</f>
        <v>A</v>
      </c>
      <c r="BP123" s="17" t="str">
        <f>IFERROR(VLOOKUP(B123,'Statement of Marks'!$B$8:'Statement of Marks'!$HI$207,107,0),"")</f>
        <v/>
      </c>
    </row>
    <row r="124" spans="1:68">
      <c r="A124" s="800">
        <f>IF('Statement of Marks'!A123="","",'Statement of Marks'!A123)</f>
        <v>116</v>
      </c>
      <c r="B124" s="801" t="str">
        <f>IF(OR($E$3="",$P$3=""),"",IF('Statement of Marks'!B123="","",'Statement of Marks'!B123))</f>
        <v/>
      </c>
      <c r="C124" s="810" t="str">
        <f>IF(OR($E$3="",$P$3=""),"",IF('Marks Entry'!C123="","",'Marks Entry'!C123))</f>
        <v/>
      </c>
      <c r="D124" s="802" t="str">
        <f>IF(OR($E$3="",$P$3=""),"",IF('Statement of Marks'!C123="","",'Statement of Marks'!C123))</f>
        <v/>
      </c>
      <c r="E124" s="803" t="str">
        <f>IF(OR($E$3="",$P$3=""),"",IF('Statement of Marks'!D123="","",'Statement of Marks'!D123))</f>
        <v/>
      </c>
      <c r="F124" s="804" t="str">
        <f>IF(OR($E$3="",$P$3=""),"",IF('Statement of Marks'!E123="","",'Statement of Marks'!E123))</f>
        <v/>
      </c>
      <c r="G124" s="804" t="str">
        <f>IF(OR($E$3="",$P$3=""),"",IF('Statement of Marks'!F123="","",'Statement of Marks'!F123))</f>
        <v/>
      </c>
      <c r="H124" s="804" t="str">
        <f>IF(OR($E$3="",$P$3=""),"",IF('Statement of Marks'!G123="","",'Statement of Marks'!G123))</f>
        <v/>
      </c>
      <c r="I124" s="805" t="str">
        <f>IF(OR($E$3="",$P$3=""),"",IF('Statement of Marks'!H123="","",'Statement of Marks'!H123))</f>
        <v/>
      </c>
      <c r="J124" s="805" t="str">
        <f>IF(OR($E$3="",$P$3=""),"",IF('Statement of Marks'!I123="","",'Statement of Marks'!I123))</f>
        <v/>
      </c>
      <c r="K124" s="805" t="str">
        <f>IFERROR(IF(B124="","",IF($P$3=$AT$10,IF(AND(BM124="A"),'Marks Entry'!$U$2,IF(AND(BM124="B"),'Marks Entry'!$Y$2,IF(AND(BM124="C"),'Marks Entry'!$AA$2,""))),IF($P$3=$AT$11,IF(AND(BN124="A"),'Marks Entry'!$AC$2,IF(AND(BN124="B"),'Marks Entry'!$AG$2,IF(AND(BN124="C"),'Marks Entry'!$AI$2,""))),IF($P$3=$AT$12,IF(AND(BO124="A"),'Marks Entry'!$AK$2,IF(AND(BO124="B"),'Marks Entry'!$AO$2,IF(AND(BO124="C"),'Marks Entry'!$AQ$2,""))),IF($P$3=$AT$13,IF(AND(BP124="A"),'Marks Entry'!$AS$2,IF(AND(BP124="B"),'Marks Entry'!$AW$2,IF(AND(BP124="C"),'Marks Entry'!$AY$2,""))),"-"))))),"")</f>
        <v/>
      </c>
      <c r="L124" s="806" t="str">
        <f>IFERROR(IF(B124="","",IF($P$3=$AT$8,'Statement of Marks'!J123,IF($P$3=$AT$9,'Statement of Marks'!X123,IF($P$3=$AT$10,'Statement of Marks'!AM123,IF($P$3=$AT$11,'Statement of Marks'!BJ123,IF($P$3=$AT$12,'Statement of Marks'!CG123,IF($P$3=$AT$13,'Statement of Marks'!DE123,IF($P$3=$AT$14,"",IF($P$3=$AT$15,'Statement of Marks'!EY123,""))))))))),"")</f>
        <v/>
      </c>
      <c r="M124" s="806" t="str">
        <f>IFERROR(IF(B124="","",IF($P$3=$AT$8,'Statement of Marks'!K123,IF($P$3=$AT$9,'Statement of Marks'!Y123,IF($P$3=$AT$10,'Statement of Marks'!AN123,IF($P$3=$AT$11,'Statement of Marks'!BK123,IF($P$3=$AT$12,'Statement of Marks'!CH123,IF($P$3=$AT$13,'Statement of Marks'!DF123,IF($P$3=$AT$14,"",IF($P$3=$AT$15,'Statement of Marks'!EZ123,""))))))))),"")</f>
        <v/>
      </c>
      <c r="N124" s="806" t="str">
        <f>IFERROR(IF(B124="","",IF($P$3=$AT$8,'Statement of Marks'!L123,IF($P$3=$AT$9,'Statement of Marks'!Z123,IF($P$3=$AT$10,'Statement of Marks'!AO123,IF($P$3=$AT$11,'Statement of Marks'!BL123,IF($P$3=$AT$12,'Statement of Marks'!CI123,IF($P$3=$AT$13,'Statement of Marks'!DG123,IF($P$3=$AT$14,"",IF($P$3=$AT$15,'Statement of Marks'!FA123,""))))))))),"")</f>
        <v/>
      </c>
      <c r="O124" s="807" t="str">
        <f t="shared" si="18"/>
        <v/>
      </c>
      <c r="P124" s="806" t="str">
        <f>IFERROR(IF(B124="","",IF($P$3=$AT$8,'Statement of Marks'!N123,IF($P$3=$AT$9,'Statement of Marks'!AB123,IF($P$3=$AT$10,'Statement of Marks'!AQ123,IF($P$3=$AT$11,'Statement of Marks'!BN123,IF($P$3=$AT$12,'Statement of Marks'!CK123,IF($P$3=$AT$13,'Statement of Marks'!DI123,IF($P$3=$AT$14,"",IF($P$3=$AT$15,'Statement of Marks'!FC123,""))))))))),"")</f>
        <v/>
      </c>
      <c r="Q124" s="806" t="str">
        <f>IFERROR(IF(B124="","",IF($P$3=$AT$8,"",IF($P$3=$AT$9,"",IF($P$3=$AT$10,'Statement of Marks'!AR123,IF($P$3=$AT$11,'Statement of Marks'!BO123,IF($P$3=$AT$12,'Statement of Marks'!CL123,IF($P$3=$AT$13,'Statement of Marks'!DJ123,IF($P$3=$AT$14,"",IF($P$3=$AT$15,"",""))))))))),"")</f>
        <v/>
      </c>
      <c r="R124" s="818" t="str">
        <f>IFERROR(IF(B124="","",IF(AND(P124="",Q124="",$P$3=""),"",IF($P$3=$AT$14,'Statement of Marks'!EC123,SUM(P124,Q124)))),"")</f>
        <v/>
      </c>
      <c r="S124" s="817" t="str">
        <f>IFERROR(IF(B124="","",IF($P$3=$AT$14,'Statement of Marks'!ED123,IF(AND(O124="NA",P124="NA",Q124="NA"),"NA",IF(AND(O124="",P124="",Q124=""),"",SUM(O124,P124,Q124))))),"")</f>
        <v/>
      </c>
      <c r="T124" s="806" t="str">
        <f>IFERROR(IF(B124="","",IF($P$3=$AT$8,'Statement of Marks'!P123,IF($P$3=$AT$9,'Statement of Marks'!AD123,IF($P$3=$AT$10,'Statement of Marks'!AU123,IF($P$3=$AT$11,'Statement of Marks'!BR123,IF($P$3=$AT$12,'Statement of Marks'!CO123,IF($P$3=$AT$13,'Statement of Marks'!DM123,IF($P$3=$AT$14,"",IF($P$3=$AT$15,'Statement of Marks'!FD123,""))))))))),"")</f>
        <v/>
      </c>
      <c r="U124" s="806" t="str">
        <f>IFERROR(IF(B124="","",IF($P$3=$AT$8,"",IF($P$3=$AT$9,"",IF($P$3=$AT$10,'Statement of Marks'!AV123,IF($P$3=$AT$11,'Statement of Marks'!BS123,IF($P$3=$AT$12,'Statement of Marks'!CP123,IF($P$3=$AT$13,'Statement of Marks'!DN123,IF($P$3=$AT$14,"",IF($P$3=$AT$15,"",""))))))))),"")</f>
        <v/>
      </c>
      <c r="V124" s="818" t="str">
        <f>IFERROR(IF(B124="","",IF(AND(T124="",U124="",$P$3=""),"",IF($P$3=$AT$14,'Statement of Marks'!EE123,SUM(T124,U124)))),"")</f>
        <v/>
      </c>
      <c r="W124" s="808" t="str">
        <f t="shared" si="19"/>
        <v/>
      </c>
      <c r="X124" s="809">
        <f t="shared" si="20"/>
        <v>0</v>
      </c>
      <c r="Y124" s="809">
        <f t="shared" si="21"/>
        <v>0</v>
      </c>
      <c r="Z124" s="809">
        <f t="shared" si="22"/>
        <v>0</v>
      </c>
      <c r="AA124" s="809" t="str">
        <f t="shared" si="23"/>
        <v/>
      </c>
      <c r="AB124" s="809" t="str">
        <f t="shared" si="24"/>
        <v/>
      </c>
      <c r="AC124" s="809" t="str">
        <f t="shared" si="25"/>
        <v/>
      </c>
      <c r="AD124" s="809" t="str">
        <f t="shared" si="26"/>
        <v/>
      </c>
      <c r="AE124" s="810" t="str">
        <f t="shared" si="27"/>
        <v/>
      </c>
      <c r="AF124" s="811" t="str">
        <f t="shared" si="28"/>
        <v/>
      </c>
      <c r="AG124" s="812" t="str">
        <f t="shared" si="29"/>
        <v/>
      </c>
      <c r="AW124" s="17" t="str">
        <f t="shared" si="30"/>
        <v/>
      </c>
      <c r="AX124" s="17" t="str">
        <f t="shared" si="31"/>
        <v/>
      </c>
      <c r="BM124" s="17" t="str">
        <f>IFERROR(VLOOKUP(B124,'Statement of Marks'!$B$8:'Statement of Marks'!$HI$207,37,0),"")</f>
        <v>A</v>
      </c>
      <c r="BN124" s="17" t="str">
        <f>IFERROR(VLOOKUP(B124,'Statement of Marks'!$B$8:'Statement of Marks'!$HI$207,60,0),"")</f>
        <v>A</v>
      </c>
      <c r="BO124" s="17" t="str">
        <f>IFERROR(VLOOKUP(B124,'Statement of Marks'!$B$8:'Statement of Marks'!$HI$207,83,0),"")</f>
        <v>A</v>
      </c>
      <c r="BP124" s="17" t="str">
        <f>IFERROR(VLOOKUP(B124,'Statement of Marks'!$B$8:'Statement of Marks'!$HI$207,107,0),"")</f>
        <v/>
      </c>
    </row>
    <row r="125" spans="1:68">
      <c r="A125" s="800">
        <f>IF('Statement of Marks'!A124="","",'Statement of Marks'!A124)</f>
        <v>117</v>
      </c>
      <c r="B125" s="801" t="str">
        <f>IF(OR($E$3="",$P$3=""),"",IF('Statement of Marks'!B124="","",'Statement of Marks'!B124))</f>
        <v/>
      </c>
      <c r="C125" s="810" t="str">
        <f>IF(OR($E$3="",$P$3=""),"",IF('Marks Entry'!C124="","",'Marks Entry'!C124))</f>
        <v/>
      </c>
      <c r="D125" s="802" t="str">
        <f>IF(OR($E$3="",$P$3=""),"",IF('Statement of Marks'!C124="","",'Statement of Marks'!C124))</f>
        <v/>
      </c>
      <c r="E125" s="803" t="str">
        <f>IF(OR($E$3="",$P$3=""),"",IF('Statement of Marks'!D124="","",'Statement of Marks'!D124))</f>
        <v/>
      </c>
      <c r="F125" s="804" t="str">
        <f>IF(OR($E$3="",$P$3=""),"",IF('Statement of Marks'!E124="","",'Statement of Marks'!E124))</f>
        <v/>
      </c>
      <c r="G125" s="804" t="str">
        <f>IF(OR($E$3="",$P$3=""),"",IF('Statement of Marks'!F124="","",'Statement of Marks'!F124))</f>
        <v/>
      </c>
      <c r="H125" s="804" t="str">
        <f>IF(OR($E$3="",$P$3=""),"",IF('Statement of Marks'!G124="","",'Statement of Marks'!G124))</f>
        <v/>
      </c>
      <c r="I125" s="805" t="str">
        <f>IF(OR($E$3="",$P$3=""),"",IF('Statement of Marks'!H124="","",'Statement of Marks'!H124))</f>
        <v/>
      </c>
      <c r="J125" s="805" t="str">
        <f>IF(OR($E$3="",$P$3=""),"",IF('Statement of Marks'!I124="","",'Statement of Marks'!I124))</f>
        <v/>
      </c>
      <c r="K125" s="805" t="str">
        <f>IFERROR(IF(B125="","",IF($P$3=$AT$10,IF(AND(BM125="A"),'Marks Entry'!$U$2,IF(AND(BM125="B"),'Marks Entry'!$Y$2,IF(AND(BM125="C"),'Marks Entry'!$AA$2,""))),IF($P$3=$AT$11,IF(AND(BN125="A"),'Marks Entry'!$AC$2,IF(AND(BN125="B"),'Marks Entry'!$AG$2,IF(AND(BN125="C"),'Marks Entry'!$AI$2,""))),IF($P$3=$AT$12,IF(AND(BO125="A"),'Marks Entry'!$AK$2,IF(AND(BO125="B"),'Marks Entry'!$AO$2,IF(AND(BO125="C"),'Marks Entry'!$AQ$2,""))),IF($P$3=$AT$13,IF(AND(BP125="A"),'Marks Entry'!$AS$2,IF(AND(BP125="B"),'Marks Entry'!$AW$2,IF(AND(BP125="C"),'Marks Entry'!$AY$2,""))),"-"))))),"")</f>
        <v/>
      </c>
      <c r="L125" s="806" t="str">
        <f>IFERROR(IF(B125="","",IF($P$3=$AT$8,'Statement of Marks'!J124,IF($P$3=$AT$9,'Statement of Marks'!X124,IF($P$3=$AT$10,'Statement of Marks'!AM124,IF($P$3=$AT$11,'Statement of Marks'!BJ124,IF($P$3=$AT$12,'Statement of Marks'!CG124,IF($P$3=$AT$13,'Statement of Marks'!DE124,IF($P$3=$AT$14,"",IF($P$3=$AT$15,'Statement of Marks'!EY124,""))))))))),"")</f>
        <v/>
      </c>
      <c r="M125" s="806" t="str">
        <f>IFERROR(IF(B125="","",IF($P$3=$AT$8,'Statement of Marks'!K124,IF($P$3=$AT$9,'Statement of Marks'!Y124,IF($P$3=$AT$10,'Statement of Marks'!AN124,IF($P$3=$AT$11,'Statement of Marks'!BK124,IF($P$3=$AT$12,'Statement of Marks'!CH124,IF($P$3=$AT$13,'Statement of Marks'!DF124,IF($P$3=$AT$14,"",IF($P$3=$AT$15,'Statement of Marks'!EZ124,""))))))))),"")</f>
        <v/>
      </c>
      <c r="N125" s="806" t="str">
        <f>IFERROR(IF(B125="","",IF($P$3=$AT$8,'Statement of Marks'!L124,IF($P$3=$AT$9,'Statement of Marks'!Z124,IF($P$3=$AT$10,'Statement of Marks'!AO124,IF($P$3=$AT$11,'Statement of Marks'!BL124,IF($P$3=$AT$12,'Statement of Marks'!CI124,IF($P$3=$AT$13,'Statement of Marks'!DG124,IF($P$3=$AT$14,"",IF($P$3=$AT$15,'Statement of Marks'!FA124,""))))))))),"")</f>
        <v/>
      </c>
      <c r="O125" s="807" t="str">
        <f t="shared" si="18"/>
        <v/>
      </c>
      <c r="P125" s="806" t="str">
        <f>IFERROR(IF(B125="","",IF($P$3=$AT$8,'Statement of Marks'!N124,IF($P$3=$AT$9,'Statement of Marks'!AB124,IF($P$3=$AT$10,'Statement of Marks'!AQ124,IF($P$3=$AT$11,'Statement of Marks'!BN124,IF($P$3=$AT$12,'Statement of Marks'!CK124,IF($P$3=$AT$13,'Statement of Marks'!DI124,IF($P$3=$AT$14,"",IF($P$3=$AT$15,'Statement of Marks'!FC124,""))))))))),"")</f>
        <v/>
      </c>
      <c r="Q125" s="806" t="str">
        <f>IFERROR(IF(B125="","",IF($P$3=$AT$8,"",IF($P$3=$AT$9,"",IF($P$3=$AT$10,'Statement of Marks'!AR124,IF($P$3=$AT$11,'Statement of Marks'!BO124,IF($P$3=$AT$12,'Statement of Marks'!CL124,IF($P$3=$AT$13,'Statement of Marks'!DJ124,IF($P$3=$AT$14,"",IF($P$3=$AT$15,"",""))))))))),"")</f>
        <v/>
      </c>
      <c r="R125" s="818" t="str">
        <f>IFERROR(IF(B125="","",IF(AND(P125="",Q125="",$P$3=""),"",IF($P$3=$AT$14,'Statement of Marks'!EC124,SUM(P125,Q125)))),"")</f>
        <v/>
      </c>
      <c r="S125" s="817" t="str">
        <f>IFERROR(IF(B125="","",IF($P$3=$AT$14,'Statement of Marks'!ED124,IF(AND(O125="NA",P125="NA",Q125="NA"),"NA",IF(AND(O125="",P125="",Q125=""),"",SUM(O125,P125,Q125))))),"")</f>
        <v/>
      </c>
      <c r="T125" s="806" t="str">
        <f>IFERROR(IF(B125="","",IF($P$3=$AT$8,'Statement of Marks'!P124,IF($P$3=$AT$9,'Statement of Marks'!AD124,IF($P$3=$AT$10,'Statement of Marks'!AU124,IF($P$3=$AT$11,'Statement of Marks'!BR124,IF($P$3=$AT$12,'Statement of Marks'!CO124,IF($P$3=$AT$13,'Statement of Marks'!DM124,IF($P$3=$AT$14,"",IF($P$3=$AT$15,'Statement of Marks'!FD124,""))))))))),"")</f>
        <v/>
      </c>
      <c r="U125" s="806" t="str">
        <f>IFERROR(IF(B125="","",IF($P$3=$AT$8,"",IF($P$3=$AT$9,"",IF($P$3=$AT$10,'Statement of Marks'!AV124,IF($P$3=$AT$11,'Statement of Marks'!BS124,IF($P$3=$AT$12,'Statement of Marks'!CP124,IF($P$3=$AT$13,'Statement of Marks'!DN124,IF($P$3=$AT$14,"",IF($P$3=$AT$15,"",""))))))))),"")</f>
        <v/>
      </c>
      <c r="V125" s="818" t="str">
        <f>IFERROR(IF(B125="","",IF(AND(T125="",U125="",$P$3=""),"",IF($P$3=$AT$14,'Statement of Marks'!EE124,SUM(T125,U125)))),"")</f>
        <v/>
      </c>
      <c r="W125" s="808" t="str">
        <f t="shared" si="19"/>
        <v/>
      </c>
      <c r="X125" s="809">
        <f t="shared" si="20"/>
        <v>0</v>
      </c>
      <c r="Y125" s="809">
        <f t="shared" si="21"/>
        <v>0</v>
      </c>
      <c r="Z125" s="809">
        <f t="shared" si="22"/>
        <v>0</v>
      </c>
      <c r="AA125" s="809" t="str">
        <f t="shared" si="23"/>
        <v/>
      </c>
      <c r="AB125" s="809" t="str">
        <f t="shared" si="24"/>
        <v/>
      </c>
      <c r="AC125" s="809" t="str">
        <f t="shared" si="25"/>
        <v/>
      </c>
      <c r="AD125" s="809" t="str">
        <f t="shared" si="26"/>
        <v/>
      </c>
      <c r="AE125" s="810" t="str">
        <f t="shared" si="27"/>
        <v/>
      </c>
      <c r="AF125" s="811" t="str">
        <f t="shared" si="28"/>
        <v/>
      </c>
      <c r="AG125" s="812" t="str">
        <f t="shared" si="29"/>
        <v/>
      </c>
      <c r="AW125" s="17" t="str">
        <f t="shared" si="30"/>
        <v/>
      </c>
      <c r="AX125" s="17" t="str">
        <f t="shared" si="31"/>
        <v/>
      </c>
      <c r="BM125" s="17" t="str">
        <f>IFERROR(VLOOKUP(B125,'Statement of Marks'!$B$8:'Statement of Marks'!$HI$207,37,0),"")</f>
        <v>A</v>
      </c>
      <c r="BN125" s="17" t="str">
        <f>IFERROR(VLOOKUP(B125,'Statement of Marks'!$B$8:'Statement of Marks'!$HI$207,60,0),"")</f>
        <v>A</v>
      </c>
      <c r="BO125" s="17" t="str">
        <f>IFERROR(VLOOKUP(B125,'Statement of Marks'!$B$8:'Statement of Marks'!$HI$207,83,0),"")</f>
        <v>A</v>
      </c>
      <c r="BP125" s="17" t="str">
        <f>IFERROR(VLOOKUP(B125,'Statement of Marks'!$B$8:'Statement of Marks'!$HI$207,107,0),"")</f>
        <v/>
      </c>
    </row>
    <row r="126" spans="1:68">
      <c r="A126" s="800">
        <f>IF('Statement of Marks'!A125="","",'Statement of Marks'!A125)</f>
        <v>118</v>
      </c>
      <c r="B126" s="801" t="str">
        <f>IF(OR($E$3="",$P$3=""),"",IF('Statement of Marks'!B125="","",'Statement of Marks'!B125))</f>
        <v/>
      </c>
      <c r="C126" s="810" t="str">
        <f>IF(OR($E$3="",$P$3=""),"",IF('Marks Entry'!C125="","",'Marks Entry'!C125))</f>
        <v/>
      </c>
      <c r="D126" s="802" t="str">
        <f>IF(OR($E$3="",$P$3=""),"",IF('Statement of Marks'!C125="","",'Statement of Marks'!C125))</f>
        <v/>
      </c>
      <c r="E126" s="803" t="str">
        <f>IF(OR($E$3="",$P$3=""),"",IF('Statement of Marks'!D125="","",'Statement of Marks'!D125))</f>
        <v/>
      </c>
      <c r="F126" s="804" t="str">
        <f>IF(OR($E$3="",$P$3=""),"",IF('Statement of Marks'!E125="","",'Statement of Marks'!E125))</f>
        <v/>
      </c>
      <c r="G126" s="804" t="str">
        <f>IF(OR($E$3="",$P$3=""),"",IF('Statement of Marks'!F125="","",'Statement of Marks'!F125))</f>
        <v/>
      </c>
      <c r="H126" s="804" t="str">
        <f>IF(OR($E$3="",$P$3=""),"",IF('Statement of Marks'!G125="","",'Statement of Marks'!G125))</f>
        <v/>
      </c>
      <c r="I126" s="805" t="str">
        <f>IF(OR($E$3="",$P$3=""),"",IF('Statement of Marks'!H125="","",'Statement of Marks'!H125))</f>
        <v/>
      </c>
      <c r="J126" s="805" t="str">
        <f>IF(OR($E$3="",$P$3=""),"",IF('Statement of Marks'!I125="","",'Statement of Marks'!I125))</f>
        <v/>
      </c>
      <c r="K126" s="805" t="str">
        <f>IFERROR(IF(B126="","",IF($P$3=$AT$10,IF(AND(BM126="A"),'Marks Entry'!$U$2,IF(AND(BM126="B"),'Marks Entry'!$Y$2,IF(AND(BM126="C"),'Marks Entry'!$AA$2,""))),IF($P$3=$AT$11,IF(AND(BN126="A"),'Marks Entry'!$AC$2,IF(AND(BN126="B"),'Marks Entry'!$AG$2,IF(AND(BN126="C"),'Marks Entry'!$AI$2,""))),IF($P$3=$AT$12,IF(AND(BO126="A"),'Marks Entry'!$AK$2,IF(AND(BO126="B"),'Marks Entry'!$AO$2,IF(AND(BO126="C"),'Marks Entry'!$AQ$2,""))),IF($P$3=$AT$13,IF(AND(BP126="A"),'Marks Entry'!$AS$2,IF(AND(BP126="B"),'Marks Entry'!$AW$2,IF(AND(BP126="C"),'Marks Entry'!$AY$2,""))),"-"))))),"")</f>
        <v/>
      </c>
      <c r="L126" s="806" t="str">
        <f>IFERROR(IF(B126="","",IF($P$3=$AT$8,'Statement of Marks'!J125,IF($P$3=$AT$9,'Statement of Marks'!X125,IF($P$3=$AT$10,'Statement of Marks'!AM125,IF($P$3=$AT$11,'Statement of Marks'!BJ125,IF($P$3=$AT$12,'Statement of Marks'!CG125,IF($P$3=$AT$13,'Statement of Marks'!DE125,IF($P$3=$AT$14,"",IF($P$3=$AT$15,'Statement of Marks'!EY125,""))))))))),"")</f>
        <v/>
      </c>
      <c r="M126" s="806" t="str">
        <f>IFERROR(IF(B126="","",IF($P$3=$AT$8,'Statement of Marks'!K125,IF($P$3=$AT$9,'Statement of Marks'!Y125,IF($P$3=$AT$10,'Statement of Marks'!AN125,IF($P$3=$AT$11,'Statement of Marks'!BK125,IF($P$3=$AT$12,'Statement of Marks'!CH125,IF($P$3=$AT$13,'Statement of Marks'!DF125,IF($P$3=$AT$14,"",IF($P$3=$AT$15,'Statement of Marks'!EZ125,""))))))))),"")</f>
        <v/>
      </c>
      <c r="N126" s="806" t="str">
        <f>IFERROR(IF(B126="","",IF($P$3=$AT$8,'Statement of Marks'!L125,IF($P$3=$AT$9,'Statement of Marks'!Z125,IF($P$3=$AT$10,'Statement of Marks'!AO125,IF($P$3=$AT$11,'Statement of Marks'!BL125,IF($P$3=$AT$12,'Statement of Marks'!CI125,IF($P$3=$AT$13,'Statement of Marks'!DG125,IF($P$3=$AT$14,"",IF($P$3=$AT$15,'Statement of Marks'!FA125,""))))))))),"")</f>
        <v/>
      </c>
      <c r="O126" s="807" t="str">
        <f t="shared" si="18"/>
        <v/>
      </c>
      <c r="P126" s="806" t="str">
        <f>IFERROR(IF(B126="","",IF($P$3=$AT$8,'Statement of Marks'!N125,IF($P$3=$AT$9,'Statement of Marks'!AB125,IF($P$3=$AT$10,'Statement of Marks'!AQ125,IF($P$3=$AT$11,'Statement of Marks'!BN125,IF($P$3=$AT$12,'Statement of Marks'!CK125,IF($P$3=$AT$13,'Statement of Marks'!DI125,IF($P$3=$AT$14,"",IF($P$3=$AT$15,'Statement of Marks'!FC125,""))))))))),"")</f>
        <v/>
      </c>
      <c r="Q126" s="806" t="str">
        <f>IFERROR(IF(B126="","",IF($P$3=$AT$8,"",IF($P$3=$AT$9,"",IF($P$3=$AT$10,'Statement of Marks'!AR125,IF($P$3=$AT$11,'Statement of Marks'!BO125,IF($P$3=$AT$12,'Statement of Marks'!CL125,IF($P$3=$AT$13,'Statement of Marks'!DJ125,IF($P$3=$AT$14,"",IF($P$3=$AT$15,"",""))))))))),"")</f>
        <v/>
      </c>
      <c r="R126" s="818" t="str">
        <f>IFERROR(IF(B126="","",IF(AND(P126="",Q126="",$P$3=""),"",IF($P$3=$AT$14,'Statement of Marks'!EC125,SUM(P126,Q126)))),"")</f>
        <v/>
      </c>
      <c r="S126" s="817" t="str">
        <f>IFERROR(IF(B126="","",IF($P$3=$AT$14,'Statement of Marks'!ED125,IF(AND(O126="NA",P126="NA",Q126="NA"),"NA",IF(AND(O126="",P126="",Q126=""),"",SUM(O126,P126,Q126))))),"")</f>
        <v/>
      </c>
      <c r="T126" s="806" t="str">
        <f>IFERROR(IF(B126="","",IF($P$3=$AT$8,'Statement of Marks'!P125,IF($P$3=$AT$9,'Statement of Marks'!AD125,IF($P$3=$AT$10,'Statement of Marks'!AU125,IF($P$3=$AT$11,'Statement of Marks'!BR125,IF($P$3=$AT$12,'Statement of Marks'!CO125,IF($P$3=$AT$13,'Statement of Marks'!DM125,IF($P$3=$AT$14,"",IF($P$3=$AT$15,'Statement of Marks'!FD125,""))))))))),"")</f>
        <v/>
      </c>
      <c r="U126" s="806" t="str">
        <f>IFERROR(IF(B126="","",IF($P$3=$AT$8,"",IF($P$3=$AT$9,"",IF($P$3=$AT$10,'Statement of Marks'!AV125,IF($P$3=$AT$11,'Statement of Marks'!BS125,IF($P$3=$AT$12,'Statement of Marks'!CP125,IF($P$3=$AT$13,'Statement of Marks'!DN125,IF($P$3=$AT$14,"",IF($P$3=$AT$15,"",""))))))))),"")</f>
        <v/>
      </c>
      <c r="V126" s="818" t="str">
        <f>IFERROR(IF(B126="","",IF(AND(T126="",U126="",$P$3=""),"",IF($P$3=$AT$14,'Statement of Marks'!EE125,SUM(T126,U126)))),"")</f>
        <v/>
      </c>
      <c r="W126" s="808" t="str">
        <f t="shared" si="19"/>
        <v/>
      </c>
      <c r="X126" s="809">
        <f t="shared" si="20"/>
        <v>0</v>
      </c>
      <c r="Y126" s="809">
        <f t="shared" si="21"/>
        <v>0</v>
      </c>
      <c r="Z126" s="809">
        <f t="shared" si="22"/>
        <v>0</v>
      </c>
      <c r="AA126" s="809" t="str">
        <f t="shared" si="23"/>
        <v/>
      </c>
      <c r="AB126" s="809" t="str">
        <f t="shared" si="24"/>
        <v/>
      </c>
      <c r="AC126" s="809" t="str">
        <f t="shared" si="25"/>
        <v/>
      </c>
      <c r="AD126" s="809" t="str">
        <f t="shared" si="26"/>
        <v/>
      </c>
      <c r="AE126" s="810" t="str">
        <f t="shared" si="27"/>
        <v/>
      </c>
      <c r="AF126" s="811" t="str">
        <f t="shared" si="28"/>
        <v/>
      </c>
      <c r="AG126" s="812" t="str">
        <f t="shared" si="29"/>
        <v/>
      </c>
      <c r="AW126" s="17" t="str">
        <f t="shared" si="30"/>
        <v/>
      </c>
      <c r="AX126" s="17" t="str">
        <f t="shared" si="31"/>
        <v/>
      </c>
      <c r="BM126" s="17" t="str">
        <f>IFERROR(VLOOKUP(B126,'Statement of Marks'!$B$8:'Statement of Marks'!$HI$207,37,0),"")</f>
        <v>A</v>
      </c>
      <c r="BN126" s="17" t="str">
        <f>IFERROR(VLOOKUP(B126,'Statement of Marks'!$B$8:'Statement of Marks'!$HI$207,60,0),"")</f>
        <v>A</v>
      </c>
      <c r="BO126" s="17" t="str">
        <f>IFERROR(VLOOKUP(B126,'Statement of Marks'!$B$8:'Statement of Marks'!$HI$207,83,0),"")</f>
        <v>A</v>
      </c>
      <c r="BP126" s="17" t="str">
        <f>IFERROR(VLOOKUP(B126,'Statement of Marks'!$B$8:'Statement of Marks'!$HI$207,107,0),"")</f>
        <v/>
      </c>
    </row>
    <row r="127" spans="1:68">
      <c r="A127" s="800">
        <f>IF('Statement of Marks'!A126="","",'Statement of Marks'!A126)</f>
        <v>119</v>
      </c>
      <c r="B127" s="801" t="str">
        <f>IF(OR($E$3="",$P$3=""),"",IF('Statement of Marks'!B126="","",'Statement of Marks'!B126))</f>
        <v/>
      </c>
      <c r="C127" s="810" t="str">
        <f>IF(OR($E$3="",$P$3=""),"",IF('Marks Entry'!C126="","",'Marks Entry'!C126))</f>
        <v/>
      </c>
      <c r="D127" s="802" t="str">
        <f>IF(OR($E$3="",$P$3=""),"",IF('Statement of Marks'!C126="","",'Statement of Marks'!C126))</f>
        <v/>
      </c>
      <c r="E127" s="803" t="str">
        <f>IF(OR($E$3="",$P$3=""),"",IF('Statement of Marks'!D126="","",'Statement of Marks'!D126))</f>
        <v/>
      </c>
      <c r="F127" s="804" t="str">
        <f>IF(OR($E$3="",$P$3=""),"",IF('Statement of Marks'!E126="","",'Statement of Marks'!E126))</f>
        <v/>
      </c>
      <c r="G127" s="804" t="str">
        <f>IF(OR($E$3="",$P$3=""),"",IF('Statement of Marks'!F126="","",'Statement of Marks'!F126))</f>
        <v/>
      </c>
      <c r="H127" s="804" t="str">
        <f>IF(OR($E$3="",$P$3=""),"",IF('Statement of Marks'!G126="","",'Statement of Marks'!G126))</f>
        <v/>
      </c>
      <c r="I127" s="805" t="str">
        <f>IF(OR($E$3="",$P$3=""),"",IF('Statement of Marks'!H126="","",'Statement of Marks'!H126))</f>
        <v/>
      </c>
      <c r="J127" s="805" t="str">
        <f>IF(OR($E$3="",$P$3=""),"",IF('Statement of Marks'!I126="","",'Statement of Marks'!I126))</f>
        <v/>
      </c>
      <c r="K127" s="805" t="str">
        <f>IFERROR(IF(B127="","",IF($P$3=$AT$10,IF(AND(BM127="A"),'Marks Entry'!$U$2,IF(AND(BM127="B"),'Marks Entry'!$Y$2,IF(AND(BM127="C"),'Marks Entry'!$AA$2,""))),IF($P$3=$AT$11,IF(AND(BN127="A"),'Marks Entry'!$AC$2,IF(AND(BN127="B"),'Marks Entry'!$AG$2,IF(AND(BN127="C"),'Marks Entry'!$AI$2,""))),IF($P$3=$AT$12,IF(AND(BO127="A"),'Marks Entry'!$AK$2,IF(AND(BO127="B"),'Marks Entry'!$AO$2,IF(AND(BO127="C"),'Marks Entry'!$AQ$2,""))),IF($P$3=$AT$13,IF(AND(BP127="A"),'Marks Entry'!$AS$2,IF(AND(BP127="B"),'Marks Entry'!$AW$2,IF(AND(BP127="C"),'Marks Entry'!$AY$2,""))),"-"))))),"")</f>
        <v/>
      </c>
      <c r="L127" s="806" t="str">
        <f>IFERROR(IF(B127="","",IF($P$3=$AT$8,'Statement of Marks'!J126,IF($P$3=$AT$9,'Statement of Marks'!X126,IF($P$3=$AT$10,'Statement of Marks'!AM126,IF($P$3=$AT$11,'Statement of Marks'!BJ126,IF($P$3=$AT$12,'Statement of Marks'!CG126,IF($P$3=$AT$13,'Statement of Marks'!DE126,IF($P$3=$AT$14,"",IF($P$3=$AT$15,'Statement of Marks'!EY126,""))))))))),"")</f>
        <v/>
      </c>
      <c r="M127" s="806" t="str">
        <f>IFERROR(IF(B127="","",IF($P$3=$AT$8,'Statement of Marks'!K126,IF($P$3=$AT$9,'Statement of Marks'!Y126,IF($P$3=$AT$10,'Statement of Marks'!AN126,IF($P$3=$AT$11,'Statement of Marks'!BK126,IF($P$3=$AT$12,'Statement of Marks'!CH126,IF($P$3=$AT$13,'Statement of Marks'!DF126,IF($P$3=$AT$14,"",IF($P$3=$AT$15,'Statement of Marks'!EZ126,""))))))))),"")</f>
        <v/>
      </c>
      <c r="N127" s="806" t="str">
        <f>IFERROR(IF(B127="","",IF($P$3=$AT$8,'Statement of Marks'!L126,IF($P$3=$AT$9,'Statement of Marks'!Z126,IF($P$3=$AT$10,'Statement of Marks'!AO126,IF($P$3=$AT$11,'Statement of Marks'!BL126,IF($P$3=$AT$12,'Statement of Marks'!CI126,IF($P$3=$AT$13,'Statement of Marks'!DG126,IF($P$3=$AT$14,"",IF($P$3=$AT$15,'Statement of Marks'!FA126,""))))))))),"")</f>
        <v/>
      </c>
      <c r="O127" s="807" t="str">
        <f t="shared" si="18"/>
        <v/>
      </c>
      <c r="P127" s="806" t="str">
        <f>IFERROR(IF(B127="","",IF($P$3=$AT$8,'Statement of Marks'!N126,IF($P$3=$AT$9,'Statement of Marks'!AB126,IF($P$3=$AT$10,'Statement of Marks'!AQ126,IF($P$3=$AT$11,'Statement of Marks'!BN126,IF($P$3=$AT$12,'Statement of Marks'!CK126,IF($P$3=$AT$13,'Statement of Marks'!DI126,IF($P$3=$AT$14,"",IF($P$3=$AT$15,'Statement of Marks'!FC126,""))))))))),"")</f>
        <v/>
      </c>
      <c r="Q127" s="806" t="str">
        <f>IFERROR(IF(B127="","",IF($P$3=$AT$8,"",IF($P$3=$AT$9,"",IF($P$3=$AT$10,'Statement of Marks'!AR126,IF($P$3=$AT$11,'Statement of Marks'!BO126,IF($P$3=$AT$12,'Statement of Marks'!CL126,IF($P$3=$AT$13,'Statement of Marks'!DJ126,IF($P$3=$AT$14,"",IF($P$3=$AT$15,"",""))))))))),"")</f>
        <v/>
      </c>
      <c r="R127" s="818" t="str">
        <f>IFERROR(IF(B127="","",IF(AND(P127="",Q127="",$P$3=""),"",IF($P$3=$AT$14,'Statement of Marks'!EC126,SUM(P127,Q127)))),"")</f>
        <v/>
      </c>
      <c r="S127" s="817" t="str">
        <f>IFERROR(IF(B127="","",IF($P$3=$AT$14,'Statement of Marks'!ED126,IF(AND(O127="NA",P127="NA",Q127="NA"),"NA",IF(AND(O127="",P127="",Q127=""),"",SUM(O127,P127,Q127))))),"")</f>
        <v/>
      </c>
      <c r="T127" s="806" t="str">
        <f>IFERROR(IF(B127="","",IF($P$3=$AT$8,'Statement of Marks'!P126,IF($P$3=$AT$9,'Statement of Marks'!AD126,IF($P$3=$AT$10,'Statement of Marks'!AU126,IF($P$3=$AT$11,'Statement of Marks'!BR126,IF($P$3=$AT$12,'Statement of Marks'!CO126,IF($P$3=$AT$13,'Statement of Marks'!DM126,IF($P$3=$AT$14,"",IF($P$3=$AT$15,'Statement of Marks'!FD126,""))))))))),"")</f>
        <v/>
      </c>
      <c r="U127" s="806" t="str">
        <f>IFERROR(IF(B127="","",IF($P$3=$AT$8,"",IF($P$3=$AT$9,"",IF($P$3=$AT$10,'Statement of Marks'!AV126,IF($P$3=$AT$11,'Statement of Marks'!BS126,IF($P$3=$AT$12,'Statement of Marks'!CP126,IF($P$3=$AT$13,'Statement of Marks'!DN126,IF($P$3=$AT$14,"",IF($P$3=$AT$15,"",""))))))))),"")</f>
        <v/>
      </c>
      <c r="V127" s="818" t="str">
        <f>IFERROR(IF(B127="","",IF(AND(T127="",U127="",$P$3=""),"",IF($P$3=$AT$14,'Statement of Marks'!EE126,SUM(T127,U127)))),"")</f>
        <v/>
      </c>
      <c r="W127" s="808" t="str">
        <f t="shared" si="19"/>
        <v/>
      </c>
      <c r="X127" s="809">
        <f t="shared" si="20"/>
        <v>0</v>
      </c>
      <c r="Y127" s="809">
        <f t="shared" si="21"/>
        <v>0</v>
      </c>
      <c r="Z127" s="809">
        <f t="shared" si="22"/>
        <v>0</v>
      </c>
      <c r="AA127" s="809" t="str">
        <f t="shared" si="23"/>
        <v/>
      </c>
      <c r="AB127" s="809" t="str">
        <f t="shared" si="24"/>
        <v/>
      </c>
      <c r="AC127" s="809" t="str">
        <f t="shared" si="25"/>
        <v/>
      </c>
      <c r="AD127" s="809" t="str">
        <f t="shared" si="26"/>
        <v/>
      </c>
      <c r="AE127" s="810" t="str">
        <f t="shared" si="27"/>
        <v/>
      </c>
      <c r="AF127" s="811" t="str">
        <f t="shared" si="28"/>
        <v/>
      </c>
      <c r="AG127" s="812" t="str">
        <f t="shared" si="29"/>
        <v/>
      </c>
      <c r="AW127" s="17" t="str">
        <f t="shared" si="30"/>
        <v/>
      </c>
      <c r="AX127" s="17" t="str">
        <f t="shared" si="31"/>
        <v/>
      </c>
      <c r="BM127" s="17" t="str">
        <f>IFERROR(VLOOKUP(B127,'Statement of Marks'!$B$8:'Statement of Marks'!$HI$207,37,0),"")</f>
        <v>A</v>
      </c>
      <c r="BN127" s="17" t="str">
        <f>IFERROR(VLOOKUP(B127,'Statement of Marks'!$B$8:'Statement of Marks'!$HI$207,60,0),"")</f>
        <v>A</v>
      </c>
      <c r="BO127" s="17" t="str">
        <f>IFERROR(VLOOKUP(B127,'Statement of Marks'!$B$8:'Statement of Marks'!$HI$207,83,0),"")</f>
        <v>A</v>
      </c>
      <c r="BP127" s="17" t="str">
        <f>IFERROR(VLOOKUP(B127,'Statement of Marks'!$B$8:'Statement of Marks'!$HI$207,107,0),"")</f>
        <v/>
      </c>
    </row>
    <row r="128" spans="1:68">
      <c r="A128" s="800">
        <f>IF('Statement of Marks'!A127="","",'Statement of Marks'!A127)</f>
        <v>120</v>
      </c>
      <c r="B128" s="801" t="str">
        <f>IF(OR($E$3="",$P$3=""),"",IF('Statement of Marks'!B127="","",'Statement of Marks'!B127))</f>
        <v/>
      </c>
      <c r="C128" s="810" t="str">
        <f>IF(OR($E$3="",$P$3=""),"",IF('Marks Entry'!C127="","",'Marks Entry'!C127))</f>
        <v/>
      </c>
      <c r="D128" s="802" t="str">
        <f>IF(OR($E$3="",$P$3=""),"",IF('Statement of Marks'!C127="","",'Statement of Marks'!C127))</f>
        <v/>
      </c>
      <c r="E128" s="803" t="str">
        <f>IF(OR($E$3="",$P$3=""),"",IF('Statement of Marks'!D127="","",'Statement of Marks'!D127))</f>
        <v/>
      </c>
      <c r="F128" s="804" t="str">
        <f>IF(OR($E$3="",$P$3=""),"",IF('Statement of Marks'!E127="","",'Statement of Marks'!E127))</f>
        <v/>
      </c>
      <c r="G128" s="804" t="str">
        <f>IF(OR($E$3="",$P$3=""),"",IF('Statement of Marks'!F127="","",'Statement of Marks'!F127))</f>
        <v/>
      </c>
      <c r="H128" s="804" t="str">
        <f>IF(OR($E$3="",$P$3=""),"",IF('Statement of Marks'!G127="","",'Statement of Marks'!G127))</f>
        <v/>
      </c>
      <c r="I128" s="805" t="str">
        <f>IF(OR($E$3="",$P$3=""),"",IF('Statement of Marks'!H127="","",'Statement of Marks'!H127))</f>
        <v/>
      </c>
      <c r="J128" s="805" t="str">
        <f>IF(OR($E$3="",$P$3=""),"",IF('Statement of Marks'!I127="","",'Statement of Marks'!I127))</f>
        <v/>
      </c>
      <c r="K128" s="805" t="str">
        <f>IFERROR(IF(B128="","",IF($P$3=$AT$10,IF(AND(BM128="A"),'Marks Entry'!$U$2,IF(AND(BM128="B"),'Marks Entry'!$Y$2,IF(AND(BM128="C"),'Marks Entry'!$AA$2,""))),IF($P$3=$AT$11,IF(AND(BN128="A"),'Marks Entry'!$AC$2,IF(AND(BN128="B"),'Marks Entry'!$AG$2,IF(AND(BN128="C"),'Marks Entry'!$AI$2,""))),IF($P$3=$AT$12,IF(AND(BO128="A"),'Marks Entry'!$AK$2,IF(AND(BO128="B"),'Marks Entry'!$AO$2,IF(AND(BO128="C"),'Marks Entry'!$AQ$2,""))),IF($P$3=$AT$13,IF(AND(BP128="A"),'Marks Entry'!$AS$2,IF(AND(BP128="B"),'Marks Entry'!$AW$2,IF(AND(BP128="C"),'Marks Entry'!$AY$2,""))),"-"))))),"")</f>
        <v/>
      </c>
      <c r="L128" s="806" t="str">
        <f>IFERROR(IF(B128="","",IF($P$3=$AT$8,'Statement of Marks'!J127,IF($P$3=$AT$9,'Statement of Marks'!X127,IF($P$3=$AT$10,'Statement of Marks'!AM127,IF($P$3=$AT$11,'Statement of Marks'!BJ127,IF($P$3=$AT$12,'Statement of Marks'!CG127,IF($P$3=$AT$13,'Statement of Marks'!DE127,IF($P$3=$AT$14,"",IF($P$3=$AT$15,'Statement of Marks'!EY127,""))))))))),"")</f>
        <v/>
      </c>
      <c r="M128" s="806" t="str">
        <f>IFERROR(IF(B128="","",IF($P$3=$AT$8,'Statement of Marks'!K127,IF($P$3=$AT$9,'Statement of Marks'!Y127,IF($P$3=$AT$10,'Statement of Marks'!AN127,IF($P$3=$AT$11,'Statement of Marks'!BK127,IF($P$3=$AT$12,'Statement of Marks'!CH127,IF($P$3=$AT$13,'Statement of Marks'!DF127,IF($P$3=$AT$14,"",IF($P$3=$AT$15,'Statement of Marks'!EZ127,""))))))))),"")</f>
        <v/>
      </c>
      <c r="N128" s="806" t="str">
        <f>IFERROR(IF(B128="","",IF($P$3=$AT$8,'Statement of Marks'!L127,IF($P$3=$AT$9,'Statement of Marks'!Z127,IF($P$3=$AT$10,'Statement of Marks'!AO127,IF($P$3=$AT$11,'Statement of Marks'!BL127,IF($P$3=$AT$12,'Statement of Marks'!CI127,IF($P$3=$AT$13,'Statement of Marks'!DG127,IF($P$3=$AT$14,"",IF($P$3=$AT$15,'Statement of Marks'!FA127,""))))))))),"")</f>
        <v/>
      </c>
      <c r="O128" s="807" t="str">
        <f t="shared" si="18"/>
        <v/>
      </c>
      <c r="P128" s="806" t="str">
        <f>IFERROR(IF(B128="","",IF($P$3=$AT$8,'Statement of Marks'!N127,IF($P$3=$AT$9,'Statement of Marks'!AB127,IF($P$3=$AT$10,'Statement of Marks'!AQ127,IF($P$3=$AT$11,'Statement of Marks'!BN127,IF($P$3=$AT$12,'Statement of Marks'!CK127,IF($P$3=$AT$13,'Statement of Marks'!DI127,IF($P$3=$AT$14,"",IF($P$3=$AT$15,'Statement of Marks'!FC127,""))))))))),"")</f>
        <v/>
      </c>
      <c r="Q128" s="806" t="str">
        <f>IFERROR(IF(B128="","",IF($P$3=$AT$8,"",IF($P$3=$AT$9,"",IF($P$3=$AT$10,'Statement of Marks'!AR127,IF($P$3=$AT$11,'Statement of Marks'!BO127,IF($P$3=$AT$12,'Statement of Marks'!CL127,IF($P$3=$AT$13,'Statement of Marks'!DJ127,IF($P$3=$AT$14,"",IF($P$3=$AT$15,"",""))))))))),"")</f>
        <v/>
      </c>
      <c r="R128" s="818" t="str">
        <f>IFERROR(IF(B128="","",IF(AND(P128="",Q128="",$P$3=""),"",IF($P$3=$AT$14,'Statement of Marks'!EC127,SUM(P128,Q128)))),"")</f>
        <v/>
      </c>
      <c r="S128" s="817" t="str">
        <f>IFERROR(IF(B128="","",IF($P$3=$AT$14,'Statement of Marks'!ED127,IF(AND(O128="NA",P128="NA",Q128="NA"),"NA",IF(AND(O128="",P128="",Q128=""),"",SUM(O128,P128,Q128))))),"")</f>
        <v/>
      </c>
      <c r="T128" s="806" t="str">
        <f>IFERROR(IF(B128="","",IF($P$3=$AT$8,'Statement of Marks'!P127,IF($P$3=$AT$9,'Statement of Marks'!AD127,IF($P$3=$AT$10,'Statement of Marks'!AU127,IF($P$3=$AT$11,'Statement of Marks'!BR127,IF($P$3=$AT$12,'Statement of Marks'!CO127,IF($P$3=$AT$13,'Statement of Marks'!DM127,IF($P$3=$AT$14,"",IF($P$3=$AT$15,'Statement of Marks'!FD127,""))))))))),"")</f>
        <v/>
      </c>
      <c r="U128" s="806" t="str">
        <f>IFERROR(IF(B128="","",IF($P$3=$AT$8,"",IF($P$3=$AT$9,"",IF($P$3=$AT$10,'Statement of Marks'!AV127,IF($P$3=$AT$11,'Statement of Marks'!BS127,IF($P$3=$AT$12,'Statement of Marks'!CP127,IF($P$3=$AT$13,'Statement of Marks'!DN127,IF($P$3=$AT$14,"",IF($P$3=$AT$15,"",""))))))))),"")</f>
        <v/>
      </c>
      <c r="V128" s="818" t="str">
        <f>IFERROR(IF(B128="","",IF(AND(T128="",U128="",$P$3=""),"",IF($P$3=$AT$14,'Statement of Marks'!EE127,SUM(T128,U128)))),"")</f>
        <v/>
      </c>
      <c r="W128" s="808" t="str">
        <f t="shared" si="19"/>
        <v/>
      </c>
      <c r="X128" s="809">
        <f t="shared" si="20"/>
        <v>0</v>
      </c>
      <c r="Y128" s="809">
        <f t="shared" si="21"/>
        <v>0</v>
      </c>
      <c r="Z128" s="809">
        <f t="shared" si="22"/>
        <v>0</v>
      </c>
      <c r="AA128" s="809" t="str">
        <f t="shared" si="23"/>
        <v/>
      </c>
      <c r="AB128" s="809" t="str">
        <f t="shared" si="24"/>
        <v/>
      </c>
      <c r="AC128" s="809" t="str">
        <f t="shared" si="25"/>
        <v/>
      </c>
      <c r="AD128" s="809" t="str">
        <f t="shared" si="26"/>
        <v/>
      </c>
      <c r="AE128" s="810" t="str">
        <f t="shared" si="27"/>
        <v/>
      </c>
      <c r="AF128" s="811" t="str">
        <f t="shared" si="28"/>
        <v/>
      </c>
      <c r="AG128" s="812" t="str">
        <f t="shared" si="29"/>
        <v/>
      </c>
      <c r="AW128" s="17" t="str">
        <f t="shared" si="30"/>
        <v/>
      </c>
      <c r="AX128" s="17" t="str">
        <f t="shared" si="31"/>
        <v/>
      </c>
      <c r="BM128" s="17" t="str">
        <f>IFERROR(VLOOKUP(B128,'Statement of Marks'!$B$8:'Statement of Marks'!$HI$207,37,0),"")</f>
        <v>A</v>
      </c>
      <c r="BN128" s="17" t="str">
        <f>IFERROR(VLOOKUP(B128,'Statement of Marks'!$B$8:'Statement of Marks'!$HI$207,60,0),"")</f>
        <v>A</v>
      </c>
      <c r="BO128" s="17" t="str">
        <f>IFERROR(VLOOKUP(B128,'Statement of Marks'!$B$8:'Statement of Marks'!$HI$207,83,0),"")</f>
        <v>A</v>
      </c>
      <c r="BP128" s="17" t="str">
        <f>IFERROR(VLOOKUP(B128,'Statement of Marks'!$B$8:'Statement of Marks'!$HI$207,107,0),"")</f>
        <v/>
      </c>
    </row>
    <row r="129" spans="1:68">
      <c r="A129" s="800">
        <f>IF('Statement of Marks'!A128="","",'Statement of Marks'!A128)</f>
        <v>121</v>
      </c>
      <c r="B129" s="801" t="str">
        <f>IF(OR($E$3="",$P$3=""),"",IF('Statement of Marks'!B128="","",'Statement of Marks'!B128))</f>
        <v/>
      </c>
      <c r="C129" s="810" t="str">
        <f>IF(OR($E$3="",$P$3=""),"",IF('Marks Entry'!C128="","",'Marks Entry'!C128))</f>
        <v/>
      </c>
      <c r="D129" s="802" t="str">
        <f>IF(OR($E$3="",$P$3=""),"",IF('Statement of Marks'!C128="","",'Statement of Marks'!C128))</f>
        <v/>
      </c>
      <c r="E129" s="803" t="str">
        <f>IF(OR($E$3="",$P$3=""),"",IF('Statement of Marks'!D128="","",'Statement of Marks'!D128))</f>
        <v/>
      </c>
      <c r="F129" s="804" t="str">
        <f>IF(OR($E$3="",$P$3=""),"",IF('Statement of Marks'!E128="","",'Statement of Marks'!E128))</f>
        <v/>
      </c>
      <c r="G129" s="804" t="str">
        <f>IF(OR($E$3="",$P$3=""),"",IF('Statement of Marks'!F128="","",'Statement of Marks'!F128))</f>
        <v/>
      </c>
      <c r="H129" s="804" t="str">
        <f>IF(OR($E$3="",$P$3=""),"",IF('Statement of Marks'!G128="","",'Statement of Marks'!G128))</f>
        <v/>
      </c>
      <c r="I129" s="805" t="str">
        <f>IF(OR($E$3="",$P$3=""),"",IF('Statement of Marks'!H128="","",'Statement of Marks'!H128))</f>
        <v/>
      </c>
      <c r="J129" s="805" t="str">
        <f>IF(OR($E$3="",$P$3=""),"",IF('Statement of Marks'!I128="","",'Statement of Marks'!I128))</f>
        <v/>
      </c>
      <c r="K129" s="805" t="str">
        <f>IFERROR(IF(B129="","",IF($P$3=$AT$10,IF(AND(BM129="A"),'Marks Entry'!$U$2,IF(AND(BM129="B"),'Marks Entry'!$Y$2,IF(AND(BM129="C"),'Marks Entry'!$AA$2,""))),IF($P$3=$AT$11,IF(AND(BN129="A"),'Marks Entry'!$AC$2,IF(AND(BN129="B"),'Marks Entry'!$AG$2,IF(AND(BN129="C"),'Marks Entry'!$AI$2,""))),IF($P$3=$AT$12,IF(AND(BO129="A"),'Marks Entry'!$AK$2,IF(AND(BO129="B"),'Marks Entry'!$AO$2,IF(AND(BO129="C"),'Marks Entry'!$AQ$2,""))),IF($P$3=$AT$13,IF(AND(BP129="A"),'Marks Entry'!$AS$2,IF(AND(BP129="B"),'Marks Entry'!$AW$2,IF(AND(BP129="C"),'Marks Entry'!$AY$2,""))),"-"))))),"")</f>
        <v/>
      </c>
      <c r="L129" s="806" t="str">
        <f>IFERROR(IF(B129="","",IF($P$3=$AT$8,'Statement of Marks'!J128,IF($P$3=$AT$9,'Statement of Marks'!X128,IF($P$3=$AT$10,'Statement of Marks'!AM128,IF($P$3=$AT$11,'Statement of Marks'!BJ128,IF($P$3=$AT$12,'Statement of Marks'!CG128,IF($P$3=$AT$13,'Statement of Marks'!DE128,IF($P$3=$AT$14,"",IF($P$3=$AT$15,'Statement of Marks'!EY128,""))))))))),"")</f>
        <v/>
      </c>
      <c r="M129" s="806" t="str">
        <f>IFERROR(IF(B129="","",IF($P$3=$AT$8,'Statement of Marks'!K128,IF($P$3=$AT$9,'Statement of Marks'!Y128,IF($P$3=$AT$10,'Statement of Marks'!AN128,IF($P$3=$AT$11,'Statement of Marks'!BK128,IF($P$3=$AT$12,'Statement of Marks'!CH128,IF($P$3=$AT$13,'Statement of Marks'!DF128,IF($P$3=$AT$14,"",IF($P$3=$AT$15,'Statement of Marks'!EZ128,""))))))))),"")</f>
        <v/>
      </c>
      <c r="N129" s="806" t="str">
        <f>IFERROR(IF(B129="","",IF($P$3=$AT$8,'Statement of Marks'!L128,IF($P$3=$AT$9,'Statement of Marks'!Z128,IF($P$3=$AT$10,'Statement of Marks'!AO128,IF($P$3=$AT$11,'Statement of Marks'!BL128,IF($P$3=$AT$12,'Statement of Marks'!CI128,IF($P$3=$AT$13,'Statement of Marks'!DG128,IF($P$3=$AT$14,"",IF($P$3=$AT$15,'Statement of Marks'!FA128,""))))))))),"")</f>
        <v/>
      </c>
      <c r="O129" s="807" t="str">
        <f t="shared" si="18"/>
        <v/>
      </c>
      <c r="P129" s="806" t="str">
        <f>IFERROR(IF(B129="","",IF($P$3=$AT$8,'Statement of Marks'!N128,IF($P$3=$AT$9,'Statement of Marks'!AB128,IF($P$3=$AT$10,'Statement of Marks'!AQ128,IF($P$3=$AT$11,'Statement of Marks'!BN128,IF($P$3=$AT$12,'Statement of Marks'!CK128,IF($P$3=$AT$13,'Statement of Marks'!DI128,IF($P$3=$AT$14,"",IF($P$3=$AT$15,'Statement of Marks'!FC128,""))))))))),"")</f>
        <v/>
      </c>
      <c r="Q129" s="806" t="str">
        <f>IFERROR(IF(B129="","",IF($P$3=$AT$8,"",IF($P$3=$AT$9,"",IF($P$3=$AT$10,'Statement of Marks'!AR128,IF($P$3=$AT$11,'Statement of Marks'!BO128,IF($P$3=$AT$12,'Statement of Marks'!CL128,IF($P$3=$AT$13,'Statement of Marks'!DJ128,IF($P$3=$AT$14,"",IF($P$3=$AT$15,"",""))))))))),"")</f>
        <v/>
      </c>
      <c r="R129" s="818" t="str">
        <f>IFERROR(IF(B129="","",IF(AND(P129="",Q129="",$P$3=""),"",IF($P$3=$AT$14,'Statement of Marks'!EC128,SUM(P129,Q129)))),"")</f>
        <v/>
      </c>
      <c r="S129" s="817" t="str">
        <f>IFERROR(IF(B129="","",IF($P$3=$AT$14,'Statement of Marks'!ED128,IF(AND(O129="NA",P129="NA",Q129="NA"),"NA",IF(AND(O129="",P129="",Q129=""),"",SUM(O129,P129,Q129))))),"")</f>
        <v/>
      </c>
      <c r="T129" s="806" t="str">
        <f>IFERROR(IF(B129="","",IF($P$3=$AT$8,'Statement of Marks'!P128,IF($P$3=$AT$9,'Statement of Marks'!AD128,IF($P$3=$AT$10,'Statement of Marks'!AU128,IF($P$3=$AT$11,'Statement of Marks'!BR128,IF($P$3=$AT$12,'Statement of Marks'!CO128,IF($P$3=$AT$13,'Statement of Marks'!DM128,IF($P$3=$AT$14,"",IF($P$3=$AT$15,'Statement of Marks'!FD128,""))))))))),"")</f>
        <v/>
      </c>
      <c r="U129" s="806" t="str">
        <f>IFERROR(IF(B129="","",IF($P$3=$AT$8,"",IF($P$3=$AT$9,"",IF($P$3=$AT$10,'Statement of Marks'!AV128,IF($P$3=$AT$11,'Statement of Marks'!BS128,IF($P$3=$AT$12,'Statement of Marks'!CP128,IF($P$3=$AT$13,'Statement of Marks'!DN128,IF($P$3=$AT$14,"",IF($P$3=$AT$15,"",""))))))))),"")</f>
        <v/>
      </c>
      <c r="V129" s="818" t="str">
        <f>IFERROR(IF(B129="","",IF(AND(T129="",U129="",$P$3=""),"",IF($P$3=$AT$14,'Statement of Marks'!EE128,SUM(T129,U129)))),"")</f>
        <v/>
      </c>
      <c r="W129" s="808" t="str">
        <f t="shared" si="19"/>
        <v/>
      </c>
      <c r="X129" s="809">
        <f t="shared" si="20"/>
        <v>0</v>
      </c>
      <c r="Y129" s="809">
        <f t="shared" si="21"/>
        <v>0</v>
      </c>
      <c r="Z129" s="809">
        <f t="shared" si="22"/>
        <v>0</v>
      </c>
      <c r="AA129" s="809" t="str">
        <f t="shared" si="23"/>
        <v/>
      </c>
      <c r="AB129" s="809" t="str">
        <f t="shared" si="24"/>
        <v/>
      </c>
      <c r="AC129" s="809" t="str">
        <f t="shared" si="25"/>
        <v/>
      </c>
      <c r="AD129" s="809" t="str">
        <f t="shared" si="26"/>
        <v/>
      </c>
      <c r="AE129" s="810" t="str">
        <f t="shared" si="27"/>
        <v/>
      </c>
      <c r="AF129" s="811" t="str">
        <f t="shared" si="28"/>
        <v/>
      </c>
      <c r="AG129" s="812" t="str">
        <f t="shared" si="29"/>
        <v/>
      </c>
      <c r="AW129" s="17" t="str">
        <f t="shared" si="30"/>
        <v/>
      </c>
      <c r="AX129" s="17" t="str">
        <f t="shared" si="31"/>
        <v/>
      </c>
      <c r="BM129" s="17" t="str">
        <f>IFERROR(VLOOKUP(B129,'Statement of Marks'!$B$8:'Statement of Marks'!$HI$207,37,0),"")</f>
        <v>A</v>
      </c>
      <c r="BN129" s="17" t="str">
        <f>IFERROR(VLOOKUP(B129,'Statement of Marks'!$B$8:'Statement of Marks'!$HI$207,60,0),"")</f>
        <v>A</v>
      </c>
      <c r="BO129" s="17" t="str">
        <f>IFERROR(VLOOKUP(B129,'Statement of Marks'!$B$8:'Statement of Marks'!$HI$207,83,0),"")</f>
        <v>A</v>
      </c>
      <c r="BP129" s="17" t="str">
        <f>IFERROR(VLOOKUP(B129,'Statement of Marks'!$B$8:'Statement of Marks'!$HI$207,107,0),"")</f>
        <v/>
      </c>
    </row>
    <row r="130" spans="1:68">
      <c r="A130" s="800">
        <f>IF('Statement of Marks'!A129="","",'Statement of Marks'!A129)</f>
        <v>122</v>
      </c>
      <c r="B130" s="801" t="str">
        <f>IF(OR($E$3="",$P$3=""),"",IF('Statement of Marks'!B129="","",'Statement of Marks'!B129))</f>
        <v/>
      </c>
      <c r="C130" s="810" t="str">
        <f>IF(OR($E$3="",$P$3=""),"",IF('Marks Entry'!C129="","",'Marks Entry'!C129))</f>
        <v/>
      </c>
      <c r="D130" s="802" t="str">
        <f>IF(OR($E$3="",$P$3=""),"",IF('Statement of Marks'!C129="","",'Statement of Marks'!C129))</f>
        <v/>
      </c>
      <c r="E130" s="803" t="str">
        <f>IF(OR($E$3="",$P$3=""),"",IF('Statement of Marks'!D129="","",'Statement of Marks'!D129))</f>
        <v/>
      </c>
      <c r="F130" s="804" t="str">
        <f>IF(OR($E$3="",$P$3=""),"",IF('Statement of Marks'!E129="","",'Statement of Marks'!E129))</f>
        <v/>
      </c>
      <c r="G130" s="804" t="str">
        <f>IF(OR($E$3="",$P$3=""),"",IF('Statement of Marks'!F129="","",'Statement of Marks'!F129))</f>
        <v/>
      </c>
      <c r="H130" s="804" t="str">
        <f>IF(OR($E$3="",$P$3=""),"",IF('Statement of Marks'!G129="","",'Statement of Marks'!G129))</f>
        <v/>
      </c>
      <c r="I130" s="805" t="str">
        <f>IF(OR($E$3="",$P$3=""),"",IF('Statement of Marks'!H129="","",'Statement of Marks'!H129))</f>
        <v/>
      </c>
      <c r="J130" s="805" t="str">
        <f>IF(OR($E$3="",$P$3=""),"",IF('Statement of Marks'!I129="","",'Statement of Marks'!I129))</f>
        <v/>
      </c>
      <c r="K130" s="805" t="str">
        <f>IFERROR(IF(B130="","",IF($P$3=$AT$10,IF(AND(BM130="A"),'Marks Entry'!$U$2,IF(AND(BM130="B"),'Marks Entry'!$Y$2,IF(AND(BM130="C"),'Marks Entry'!$AA$2,""))),IF($P$3=$AT$11,IF(AND(BN130="A"),'Marks Entry'!$AC$2,IF(AND(BN130="B"),'Marks Entry'!$AG$2,IF(AND(BN130="C"),'Marks Entry'!$AI$2,""))),IF($P$3=$AT$12,IF(AND(BO130="A"),'Marks Entry'!$AK$2,IF(AND(BO130="B"),'Marks Entry'!$AO$2,IF(AND(BO130="C"),'Marks Entry'!$AQ$2,""))),IF($P$3=$AT$13,IF(AND(BP130="A"),'Marks Entry'!$AS$2,IF(AND(BP130="B"),'Marks Entry'!$AW$2,IF(AND(BP130="C"),'Marks Entry'!$AY$2,""))),"-"))))),"")</f>
        <v/>
      </c>
      <c r="L130" s="806" t="str">
        <f>IFERROR(IF(B130="","",IF($P$3=$AT$8,'Statement of Marks'!J129,IF($P$3=$AT$9,'Statement of Marks'!X129,IF($P$3=$AT$10,'Statement of Marks'!AM129,IF($P$3=$AT$11,'Statement of Marks'!BJ129,IF($P$3=$AT$12,'Statement of Marks'!CG129,IF($P$3=$AT$13,'Statement of Marks'!DE129,IF($P$3=$AT$14,"",IF($P$3=$AT$15,'Statement of Marks'!EY129,""))))))))),"")</f>
        <v/>
      </c>
      <c r="M130" s="806" t="str">
        <f>IFERROR(IF(B130="","",IF($P$3=$AT$8,'Statement of Marks'!K129,IF($P$3=$AT$9,'Statement of Marks'!Y129,IF($P$3=$AT$10,'Statement of Marks'!AN129,IF($P$3=$AT$11,'Statement of Marks'!BK129,IF($P$3=$AT$12,'Statement of Marks'!CH129,IF($P$3=$AT$13,'Statement of Marks'!DF129,IF($P$3=$AT$14,"",IF($P$3=$AT$15,'Statement of Marks'!EZ129,""))))))))),"")</f>
        <v/>
      </c>
      <c r="N130" s="806" t="str">
        <f>IFERROR(IF(B130="","",IF($P$3=$AT$8,'Statement of Marks'!L129,IF($P$3=$AT$9,'Statement of Marks'!Z129,IF($P$3=$AT$10,'Statement of Marks'!AO129,IF($P$3=$AT$11,'Statement of Marks'!BL129,IF($P$3=$AT$12,'Statement of Marks'!CI129,IF($P$3=$AT$13,'Statement of Marks'!DG129,IF($P$3=$AT$14,"",IF($P$3=$AT$15,'Statement of Marks'!FA129,""))))))))),"")</f>
        <v/>
      </c>
      <c r="O130" s="807" t="str">
        <f t="shared" si="18"/>
        <v/>
      </c>
      <c r="P130" s="806" t="str">
        <f>IFERROR(IF(B130="","",IF($P$3=$AT$8,'Statement of Marks'!N129,IF($P$3=$AT$9,'Statement of Marks'!AB129,IF($P$3=$AT$10,'Statement of Marks'!AQ129,IF($P$3=$AT$11,'Statement of Marks'!BN129,IF($P$3=$AT$12,'Statement of Marks'!CK129,IF($P$3=$AT$13,'Statement of Marks'!DI129,IF($P$3=$AT$14,"",IF($P$3=$AT$15,'Statement of Marks'!FC129,""))))))))),"")</f>
        <v/>
      </c>
      <c r="Q130" s="806" t="str">
        <f>IFERROR(IF(B130="","",IF($P$3=$AT$8,"",IF($P$3=$AT$9,"",IF($P$3=$AT$10,'Statement of Marks'!AR129,IF($P$3=$AT$11,'Statement of Marks'!BO129,IF($P$3=$AT$12,'Statement of Marks'!CL129,IF($P$3=$AT$13,'Statement of Marks'!DJ129,IF($P$3=$AT$14,"",IF($P$3=$AT$15,"",""))))))))),"")</f>
        <v/>
      </c>
      <c r="R130" s="818" t="str">
        <f>IFERROR(IF(B130="","",IF(AND(P130="",Q130="",$P$3=""),"",IF($P$3=$AT$14,'Statement of Marks'!EC129,SUM(P130,Q130)))),"")</f>
        <v/>
      </c>
      <c r="S130" s="817" t="str">
        <f>IFERROR(IF(B130="","",IF($P$3=$AT$14,'Statement of Marks'!ED129,IF(AND(O130="NA",P130="NA",Q130="NA"),"NA",IF(AND(O130="",P130="",Q130=""),"",SUM(O130,P130,Q130))))),"")</f>
        <v/>
      </c>
      <c r="T130" s="806" t="str">
        <f>IFERROR(IF(B130="","",IF($P$3=$AT$8,'Statement of Marks'!P129,IF($P$3=$AT$9,'Statement of Marks'!AD129,IF($P$3=$AT$10,'Statement of Marks'!AU129,IF($P$3=$AT$11,'Statement of Marks'!BR129,IF($P$3=$AT$12,'Statement of Marks'!CO129,IF($P$3=$AT$13,'Statement of Marks'!DM129,IF($P$3=$AT$14,"",IF($P$3=$AT$15,'Statement of Marks'!FD129,""))))))))),"")</f>
        <v/>
      </c>
      <c r="U130" s="806" t="str">
        <f>IFERROR(IF(B130="","",IF($P$3=$AT$8,"",IF($P$3=$AT$9,"",IF($P$3=$AT$10,'Statement of Marks'!AV129,IF($P$3=$AT$11,'Statement of Marks'!BS129,IF($P$3=$AT$12,'Statement of Marks'!CP129,IF($P$3=$AT$13,'Statement of Marks'!DN129,IF($P$3=$AT$14,"",IF($P$3=$AT$15,"",""))))))))),"")</f>
        <v/>
      </c>
      <c r="V130" s="818" t="str">
        <f>IFERROR(IF(B130="","",IF(AND(T130="",U130="",$P$3=""),"",IF($P$3=$AT$14,'Statement of Marks'!EE129,SUM(T130,U130)))),"")</f>
        <v/>
      </c>
      <c r="W130" s="808" t="str">
        <f t="shared" si="19"/>
        <v/>
      </c>
      <c r="X130" s="809">
        <f t="shared" si="20"/>
        <v>0</v>
      </c>
      <c r="Y130" s="809">
        <f t="shared" si="21"/>
        <v>0</v>
      </c>
      <c r="Z130" s="809">
        <f t="shared" si="22"/>
        <v>0</v>
      </c>
      <c r="AA130" s="809" t="str">
        <f t="shared" si="23"/>
        <v/>
      </c>
      <c r="AB130" s="809" t="str">
        <f t="shared" si="24"/>
        <v/>
      </c>
      <c r="AC130" s="809" t="str">
        <f t="shared" si="25"/>
        <v/>
      </c>
      <c r="AD130" s="809" t="str">
        <f t="shared" si="26"/>
        <v/>
      </c>
      <c r="AE130" s="810" t="str">
        <f t="shared" si="27"/>
        <v/>
      </c>
      <c r="AF130" s="811" t="str">
        <f t="shared" si="28"/>
        <v/>
      </c>
      <c r="AG130" s="812" t="str">
        <f t="shared" si="29"/>
        <v/>
      </c>
      <c r="AW130" s="17" t="str">
        <f t="shared" si="30"/>
        <v/>
      </c>
      <c r="AX130" s="17" t="str">
        <f t="shared" si="31"/>
        <v/>
      </c>
      <c r="BM130" s="17" t="str">
        <f>IFERROR(VLOOKUP(B130,'Statement of Marks'!$B$8:'Statement of Marks'!$HI$207,37,0),"")</f>
        <v>A</v>
      </c>
      <c r="BN130" s="17" t="str">
        <f>IFERROR(VLOOKUP(B130,'Statement of Marks'!$B$8:'Statement of Marks'!$HI$207,60,0),"")</f>
        <v>A</v>
      </c>
      <c r="BO130" s="17" t="str">
        <f>IFERROR(VLOOKUP(B130,'Statement of Marks'!$B$8:'Statement of Marks'!$HI$207,83,0),"")</f>
        <v>A</v>
      </c>
      <c r="BP130" s="17" t="str">
        <f>IFERROR(VLOOKUP(B130,'Statement of Marks'!$B$8:'Statement of Marks'!$HI$207,107,0),"")</f>
        <v/>
      </c>
    </row>
    <row r="131" spans="1:68">
      <c r="A131" s="800">
        <f>IF('Statement of Marks'!A130="","",'Statement of Marks'!A130)</f>
        <v>123</v>
      </c>
      <c r="B131" s="801" t="str">
        <f>IF(OR($E$3="",$P$3=""),"",IF('Statement of Marks'!B130="","",'Statement of Marks'!B130))</f>
        <v/>
      </c>
      <c r="C131" s="810" t="str">
        <f>IF(OR($E$3="",$P$3=""),"",IF('Marks Entry'!C130="","",'Marks Entry'!C130))</f>
        <v/>
      </c>
      <c r="D131" s="802" t="str">
        <f>IF(OR($E$3="",$P$3=""),"",IF('Statement of Marks'!C130="","",'Statement of Marks'!C130))</f>
        <v/>
      </c>
      <c r="E131" s="803" t="str">
        <f>IF(OR($E$3="",$P$3=""),"",IF('Statement of Marks'!D130="","",'Statement of Marks'!D130))</f>
        <v/>
      </c>
      <c r="F131" s="804" t="str">
        <f>IF(OR($E$3="",$P$3=""),"",IF('Statement of Marks'!E130="","",'Statement of Marks'!E130))</f>
        <v/>
      </c>
      <c r="G131" s="804" t="str">
        <f>IF(OR($E$3="",$P$3=""),"",IF('Statement of Marks'!F130="","",'Statement of Marks'!F130))</f>
        <v/>
      </c>
      <c r="H131" s="804" t="str">
        <f>IF(OR($E$3="",$P$3=""),"",IF('Statement of Marks'!G130="","",'Statement of Marks'!G130))</f>
        <v/>
      </c>
      <c r="I131" s="805" t="str">
        <f>IF(OR($E$3="",$P$3=""),"",IF('Statement of Marks'!H130="","",'Statement of Marks'!H130))</f>
        <v/>
      </c>
      <c r="J131" s="805" t="str">
        <f>IF(OR($E$3="",$P$3=""),"",IF('Statement of Marks'!I130="","",'Statement of Marks'!I130))</f>
        <v/>
      </c>
      <c r="K131" s="805" t="str">
        <f>IFERROR(IF(B131="","",IF($P$3=$AT$10,IF(AND(BM131="A"),'Marks Entry'!$U$2,IF(AND(BM131="B"),'Marks Entry'!$Y$2,IF(AND(BM131="C"),'Marks Entry'!$AA$2,""))),IF($P$3=$AT$11,IF(AND(BN131="A"),'Marks Entry'!$AC$2,IF(AND(BN131="B"),'Marks Entry'!$AG$2,IF(AND(BN131="C"),'Marks Entry'!$AI$2,""))),IF($P$3=$AT$12,IF(AND(BO131="A"),'Marks Entry'!$AK$2,IF(AND(BO131="B"),'Marks Entry'!$AO$2,IF(AND(BO131="C"),'Marks Entry'!$AQ$2,""))),IF($P$3=$AT$13,IF(AND(BP131="A"),'Marks Entry'!$AS$2,IF(AND(BP131="B"),'Marks Entry'!$AW$2,IF(AND(BP131="C"),'Marks Entry'!$AY$2,""))),"-"))))),"")</f>
        <v/>
      </c>
      <c r="L131" s="806" t="str">
        <f>IFERROR(IF(B131="","",IF($P$3=$AT$8,'Statement of Marks'!J130,IF($P$3=$AT$9,'Statement of Marks'!X130,IF($P$3=$AT$10,'Statement of Marks'!AM130,IF($P$3=$AT$11,'Statement of Marks'!BJ130,IF($P$3=$AT$12,'Statement of Marks'!CG130,IF($P$3=$AT$13,'Statement of Marks'!DE130,IF($P$3=$AT$14,"",IF($P$3=$AT$15,'Statement of Marks'!EY130,""))))))))),"")</f>
        <v/>
      </c>
      <c r="M131" s="806" t="str">
        <f>IFERROR(IF(B131="","",IF($P$3=$AT$8,'Statement of Marks'!K130,IF($P$3=$AT$9,'Statement of Marks'!Y130,IF($P$3=$AT$10,'Statement of Marks'!AN130,IF($P$3=$AT$11,'Statement of Marks'!BK130,IF($P$3=$AT$12,'Statement of Marks'!CH130,IF($P$3=$AT$13,'Statement of Marks'!DF130,IF($P$3=$AT$14,"",IF($P$3=$AT$15,'Statement of Marks'!EZ130,""))))))))),"")</f>
        <v/>
      </c>
      <c r="N131" s="806" t="str">
        <f>IFERROR(IF(B131="","",IF($P$3=$AT$8,'Statement of Marks'!L130,IF($P$3=$AT$9,'Statement of Marks'!Z130,IF($P$3=$AT$10,'Statement of Marks'!AO130,IF($P$3=$AT$11,'Statement of Marks'!BL130,IF($P$3=$AT$12,'Statement of Marks'!CI130,IF($P$3=$AT$13,'Statement of Marks'!DG130,IF($P$3=$AT$14,"",IF($P$3=$AT$15,'Statement of Marks'!FA130,""))))))))),"")</f>
        <v/>
      </c>
      <c r="O131" s="807" t="str">
        <f t="shared" si="18"/>
        <v/>
      </c>
      <c r="P131" s="806" t="str">
        <f>IFERROR(IF(B131="","",IF($P$3=$AT$8,'Statement of Marks'!N130,IF($P$3=$AT$9,'Statement of Marks'!AB130,IF($P$3=$AT$10,'Statement of Marks'!AQ130,IF($P$3=$AT$11,'Statement of Marks'!BN130,IF($P$3=$AT$12,'Statement of Marks'!CK130,IF($P$3=$AT$13,'Statement of Marks'!DI130,IF($P$3=$AT$14,"",IF($P$3=$AT$15,'Statement of Marks'!FC130,""))))))))),"")</f>
        <v/>
      </c>
      <c r="Q131" s="806" t="str">
        <f>IFERROR(IF(B131="","",IF($P$3=$AT$8,"",IF($P$3=$AT$9,"",IF($P$3=$AT$10,'Statement of Marks'!AR130,IF($P$3=$AT$11,'Statement of Marks'!BO130,IF($P$3=$AT$12,'Statement of Marks'!CL130,IF($P$3=$AT$13,'Statement of Marks'!DJ130,IF($P$3=$AT$14,"",IF($P$3=$AT$15,"",""))))))))),"")</f>
        <v/>
      </c>
      <c r="R131" s="818" t="str">
        <f>IFERROR(IF(B131="","",IF(AND(P131="",Q131="",$P$3=""),"",IF($P$3=$AT$14,'Statement of Marks'!EC130,SUM(P131,Q131)))),"")</f>
        <v/>
      </c>
      <c r="S131" s="817" t="str">
        <f>IFERROR(IF(B131="","",IF($P$3=$AT$14,'Statement of Marks'!ED130,IF(AND(O131="NA",P131="NA",Q131="NA"),"NA",IF(AND(O131="",P131="",Q131=""),"",SUM(O131,P131,Q131))))),"")</f>
        <v/>
      </c>
      <c r="T131" s="806" t="str">
        <f>IFERROR(IF(B131="","",IF($P$3=$AT$8,'Statement of Marks'!P130,IF($P$3=$AT$9,'Statement of Marks'!AD130,IF($P$3=$AT$10,'Statement of Marks'!AU130,IF($P$3=$AT$11,'Statement of Marks'!BR130,IF($P$3=$AT$12,'Statement of Marks'!CO130,IF($P$3=$AT$13,'Statement of Marks'!DM130,IF($P$3=$AT$14,"",IF($P$3=$AT$15,'Statement of Marks'!FD130,""))))))))),"")</f>
        <v/>
      </c>
      <c r="U131" s="806" t="str">
        <f>IFERROR(IF(B131="","",IF($P$3=$AT$8,"",IF($P$3=$AT$9,"",IF($P$3=$AT$10,'Statement of Marks'!AV130,IF($P$3=$AT$11,'Statement of Marks'!BS130,IF($P$3=$AT$12,'Statement of Marks'!CP130,IF($P$3=$AT$13,'Statement of Marks'!DN130,IF($P$3=$AT$14,"",IF($P$3=$AT$15,"",""))))))))),"")</f>
        <v/>
      </c>
      <c r="V131" s="818" t="str">
        <f>IFERROR(IF(B131="","",IF(AND(T131="",U131="",$P$3=""),"",IF($P$3=$AT$14,'Statement of Marks'!EE130,SUM(T131,U131)))),"")</f>
        <v/>
      </c>
      <c r="W131" s="808" t="str">
        <f t="shared" si="19"/>
        <v/>
      </c>
      <c r="X131" s="809">
        <f t="shared" si="20"/>
        <v>0</v>
      </c>
      <c r="Y131" s="809">
        <f t="shared" si="21"/>
        <v>0</v>
      </c>
      <c r="Z131" s="809">
        <f t="shared" si="22"/>
        <v>0</v>
      </c>
      <c r="AA131" s="809" t="str">
        <f t="shared" si="23"/>
        <v/>
      </c>
      <c r="AB131" s="809" t="str">
        <f t="shared" si="24"/>
        <v/>
      </c>
      <c r="AC131" s="809" t="str">
        <f t="shared" si="25"/>
        <v/>
      </c>
      <c r="AD131" s="809" t="str">
        <f t="shared" si="26"/>
        <v/>
      </c>
      <c r="AE131" s="810" t="str">
        <f t="shared" si="27"/>
        <v/>
      </c>
      <c r="AF131" s="811" t="str">
        <f t="shared" si="28"/>
        <v/>
      </c>
      <c r="AG131" s="812" t="str">
        <f t="shared" si="29"/>
        <v/>
      </c>
      <c r="AW131" s="17" t="str">
        <f t="shared" si="30"/>
        <v/>
      </c>
      <c r="AX131" s="17" t="str">
        <f t="shared" si="31"/>
        <v/>
      </c>
      <c r="BM131" s="17" t="str">
        <f>IFERROR(VLOOKUP(B131,'Statement of Marks'!$B$8:'Statement of Marks'!$HI$207,37,0),"")</f>
        <v>A</v>
      </c>
      <c r="BN131" s="17" t="str">
        <f>IFERROR(VLOOKUP(B131,'Statement of Marks'!$B$8:'Statement of Marks'!$HI$207,60,0),"")</f>
        <v>A</v>
      </c>
      <c r="BO131" s="17" t="str">
        <f>IFERROR(VLOOKUP(B131,'Statement of Marks'!$B$8:'Statement of Marks'!$HI$207,83,0),"")</f>
        <v>A</v>
      </c>
      <c r="BP131" s="17" t="str">
        <f>IFERROR(VLOOKUP(B131,'Statement of Marks'!$B$8:'Statement of Marks'!$HI$207,107,0),"")</f>
        <v/>
      </c>
    </row>
    <row r="132" spans="1:68">
      <c r="A132" s="800">
        <f>IF('Statement of Marks'!A131="","",'Statement of Marks'!A131)</f>
        <v>124</v>
      </c>
      <c r="B132" s="801" t="str">
        <f>IF(OR($E$3="",$P$3=""),"",IF('Statement of Marks'!B131="","",'Statement of Marks'!B131))</f>
        <v/>
      </c>
      <c r="C132" s="810" t="str">
        <f>IF(OR($E$3="",$P$3=""),"",IF('Marks Entry'!C131="","",'Marks Entry'!C131))</f>
        <v/>
      </c>
      <c r="D132" s="802" t="str">
        <f>IF(OR($E$3="",$P$3=""),"",IF('Statement of Marks'!C131="","",'Statement of Marks'!C131))</f>
        <v/>
      </c>
      <c r="E132" s="803" t="str">
        <f>IF(OR($E$3="",$P$3=""),"",IF('Statement of Marks'!D131="","",'Statement of Marks'!D131))</f>
        <v/>
      </c>
      <c r="F132" s="804" t="str">
        <f>IF(OR($E$3="",$P$3=""),"",IF('Statement of Marks'!E131="","",'Statement of Marks'!E131))</f>
        <v/>
      </c>
      <c r="G132" s="804" t="str">
        <f>IF(OR($E$3="",$P$3=""),"",IF('Statement of Marks'!F131="","",'Statement of Marks'!F131))</f>
        <v/>
      </c>
      <c r="H132" s="804" t="str">
        <f>IF(OR($E$3="",$P$3=""),"",IF('Statement of Marks'!G131="","",'Statement of Marks'!G131))</f>
        <v/>
      </c>
      <c r="I132" s="805" t="str">
        <f>IF(OR($E$3="",$P$3=""),"",IF('Statement of Marks'!H131="","",'Statement of Marks'!H131))</f>
        <v/>
      </c>
      <c r="J132" s="805" t="str">
        <f>IF(OR($E$3="",$P$3=""),"",IF('Statement of Marks'!I131="","",'Statement of Marks'!I131))</f>
        <v/>
      </c>
      <c r="K132" s="805" t="str">
        <f>IFERROR(IF(B132="","",IF($P$3=$AT$10,IF(AND(BM132="A"),'Marks Entry'!$U$2,IF(AND(BM132="B"),'Marks Entry'!$Y$2,IF(AND(BM132="C"),'Marks Entry'!$AA$2,""))),IF($P$3=$AT$11,IF(AND(BN132="A"),'Marks Entry'!$AC$2,IF(AND(BN132="B"),'Marks Entry'!$AG$2,IF(AND(BN132="C"),'Marks Entry'!$AI$2,""))),IF($P$3=$AT$12,IF(AND(BO132="A"),'Marks Entry'!$AK$2,IF(AND(BO132="B"),'Marks Entry'!$AO$2,IF(AND(BO132="C"),'Marks Entry'!$AQ$2,""))),IF($P$3=$AT$13,IF(AND(BP132="A"),'Marks Entry'!$AS$2,IF(AND(BP132="B"),'Marks Entry'!$AW$2,IF(AND(BP132="C"),'Marks Entry'!$AY$2,""))),"-"))))),"")</f>
        <v/>
      </c>
      <c r="L132" s="806" t="str">
        <f>IFERROR(IF(B132="","",IF($P$3=$AT$8,'Statement of Marks'!J131,IF($P$3=$AT$9,'Statement of Marks'!X131,IF($P$3=$AT$10,'Statement of Marks'!AM131,IF($P$3=$AT$11,'Statement of Marks'!BJ131,IF($P$3=$AT$12,'Statement of Marks'!CG131,IF($P$3=$AT$13,'Statement of Marks'!DE131,IF($P$3=$AT$14,"",IF($P$3=$AT$15,'Statement of Marks'!EY131,""))))))))),"")</f>
        <v/>
      </c>
      <c r="M132" s="806" t="str">
        <f>IFERROR(IF(B132="","",IF($P$3=$AT$8,'Statement of Marks'!K131,IF($P$3=$AT$9,'Statement of Marks'!Y131,IF($P$3=$AT$10,'Statement of Marks'!AN131,IF($P$3=$AT$11,'Statement of Marks'!BK131,IF($P$3=$AT$12,'Statement of Marks'!CH131,IF($P$3=$AT$13,'Statement of Marks'!DF131,IF($P$3=$AT$14,"",IF($P$3=$AT$15,'Statement of Marks'!EZ131,""))))))))),"")</f>
        <v/>
      </c>
      <c r="N132" s="806" t="str">
        <f>IFERROR(IF(B132="","",IF($P$3=$AT$8,'Statement of Marks'!L131,IF($P$3=$AT$9,'Statement of Marks'!Z131,IF($P$3=$AT$10,'Statement of Marks'!AO131,IF($P$3=$AT$11,'Statement of Marks'!BL131,IF($P$3=$AT$12,'Statement of Marks'!CI131,IF($P$3=$AT$13,'Statement of Marks'!DG131,IF($P$3=$AT$14,"",IF($P$3=$AT$15,'Statement of Marks'!FA131,""))))))))),"")</f>
        <v/>
      </c>
      <c r="O132" s="807" t="str">
        <f t="shared" si="18"/>
        <v/>
      </c>
      <c r="P132" s="806" t="str">
        <f>IFERROR(IF(B132="","",IF($P$3=$AT$8,'Statement of Marks'!N131,IF($P$3=$AT$9,'Statement of Marks'!AB131,IF($P$3=$AT$10,'Statement of Marks'!AQ131,IF($P$3=$AT$11,'Statement of Marks'!BN131,IF($P$3=$AT$12,'Statement of Marks'!CK131,IF($P$3=$AT$13,'Statement of Marks'!DI131,IF($P$3=$AT$14,"",IF($P$3=$AT$15,'Statement of Marks'!FC131,""))))))))),"")</f>
        <v/>
      </c>
      <c r="Q132" s="806" t="str">
        <f>IFERROR(IF(B132="","",IF($P$3=$AT$8,"",IF($P$3=$AT$9,"",IF($P$3=$AT$10,'Statement of Marks'!AR131,IF($P$3=$AT$11,'Statement of Marks'!BO131,IF($P$3=$AT$12,'Statement of Marks'!CL131,IF($P$3=$AT$13,'Statement of Marks'!DJ131,IF($P$3=$AT$14,"",IF($P$3=$AT$15,"",""))))))))),"")</f>
        <v/>
      </c>
      <c r="R132" s="818" t="str">
        <f>IFERROR(IF(B132="","",IF(AND(P132="",Q132="",$P$3=""),"",IF($P$3=$AT$14,'Statement of Marks'!EC131,SUM(P132,Q132)))),"")</f>
        <v/>
      </c>
      <c r="S132" s="817" t="str">
        <f>IFERROR(IF(B132="","",IF($P$3=$AT$14,'Statement of Marks'!ED131,IF(AND(O132="NA",P132="NA",Q132="NA"),"NA",IF(AND(O132="",P132="",Q132=""),"",SUM(O132,P132,Q132))))),"")</f>
        <v/>
      </c>
      <c r="T132" s="806" t="str">
        <f>IFERROR(IF(B132="","",IF($P$3=$AT$8,'Statement of Marks'!P131,IF($P$3=$AT$9,'Statement of Marks'!AD131,IF($P$3=$AT$10,'Statement of Marks'!AU131,IF($P$3=$AT$11,'Statement of Marks'!BR131,IF($P$3=$AT$12,'Statement of Marks'!CO131,IF($P$3=$AT$13,'Statement of Marks'!DM131,IF($P$3=$AT$14,"",IF($P$3=$AT$15,'Statement of Marks'!FD131,""))))))))),"")</f>
        <v/>
      </c>
      <c r="U132" s="806" t="str">
        <f>IFERROR(IF(B132="","",IF($P$3=$AT$8,"",IF($P$3=$AT$9,"",IF($P$3=$AT$10,'Statement of Marks'!AV131,IF($P$3=$AT$11,'Statement of Marks'!BS131,IF($P$3=$AT$12,'Statement of Marks'!CP131,IF($P$3=$AT$13,'Statement of Marks'!DN131,IF($P$3=$AT$14,"",IF($P$3=$AT$15,"",""))))))))),"")</f>
        <v/>
      </c>
      <c r="V132" s="818" t="str">
        <f>IFERROR(IF(B132="","",IF(AND(T132="",U132="",$P$3=""),"",IF($P$3=$AT$14,'Statement of Marks'!EE131,SUM(T132,U132)))),"")</f>
        <v/>
      </c>
      <c r="W132" s="808" t="str">
        <f t="shared" si="19"/>
        <v/>
      </c>
      <c r="X132" s="809">
        <f t="shared" si="20"/>
        <v>0</v>
      </c>
      <c r="Y132" s="809">
        <f t="shared" si="21"/>
        <v>0</v>
      </c>
      <c r="Z132" s="809">
        <f t="shared" si="22"/>
        <v>0</v>
      </c>
      <c r="AA132" s="809" t="str">
        <f t="shared" si="23"/>
        <v/>
      </c>
      <c r="AB132" s="809" t="str">
        <f t="shared" si="24"/>
        <v/>
      </c>
      <c r="AC132" s="809" t="str">
        <f t="shared" si="25"/>
        <v/>
      </c>
      <c r="AD132" s="809" t="str">
        <f t="shared" si="26"/>
        <v/>
      </c>
      <c r="AE132" s="810" t="str">
        <f t="shared" si="27"/>
        <v/>
      </c>
      <c r="AF132" s="811" t="str">
        <f t="shared" si="28"/>
        <v/>
      </c>
      <c r="AG132" s="812" t="str">
        <f t="shared" si="29"/>
        <v/>
      </c>
      <c r="AW132" s="17" t="str">
        <f t="shared" si="30"/>
        <v/>
      </c>
      <c r="AX132" s="17" t="str">
        <f t="shared" si="31"/>
        <v/>
      </c>
      <c r="BM132" s="17" t="str">
        <f>IFERROR(VLOOKUP(B132,'Statement of Marks'!$B$8:'Statement of Marks'!$HI$207,37,0),"")</f>
        <v>A</v>
      </c>
      <c r="BN132" s="17" t="str">
        <f>IFERROR(VLOOKUP(B132,'Statement of Marks'!$B$8:'Statement of Marks'!$HI$207,60,0),"")</f>
        <v>A</v>
      </c>
      <c r="BO132" s="17" t="str">
        <f>IFERROR(VLOOKUP(B132,'Statement of Marks'!$B$8:'Statement of Marks'!$HI$207,83,0),"")</f>
        <v>A</v>
      </c>
      <c r="BP132" s="17" t="str">
        <f>IFERROR(VLOOKUP(B132,'Statement of Marks'!$B$8:'Statement of Marks'!$HI$207,107,0),"")</f>
        <v/>
      </c>
    </row>
    <row r="133" spans="1:68">
      <c r="A133" s="800">
        <f>IF('Statement of Marks'!A132="","",'Statement of Marks'!A132)</f>
        <v>125</v>
      </c>
      <c r="B133" s="801" t="str">
        <f>IF(OR($E$3="",$P$3=""),"",IF('Statement of Marks'!B132="","",'Statement of Marks'!B132))</f>
        <v/>
      </c>
      <c r="C133" s="810" t="str">
        <f>IF(OR($E$3="",$P$3=""),"",IF('Marks Entry'!C132="","",'Marks Entry'!C132))</f>
        <v/>
      </c>
      <c r="D133" s="802" t="str">
        <f>IF(OR($E$3="",$P$3=""),"",IF('Statement of Marks'!C132="","",'Statement of Marks'!C132))</f>
        <v/>
      </c>
      <c r="E133" s="803" t="str">
        <f>IF(OR($E$3="",$P$3=""),"",IF('Statement of Marks'!D132="","",'Statement of Marks'!D132))</f>
        <v/>
      </c>
      <c r="F133" s="804" t="str">
        <f>IF(OR($E$3="",$P$3=""),"",IF('Statement of Marks'!E132="","",'Statement of Marks'!E132))</f>
        <v/>
      </c>
      <c r="G133" s="804" t="str">
        <f>IF(OR($E$3="",$P$3=""),"",IF('Statement of Marks'!F132="","",'Statement of Marks'!F132))</f>
        <v/>
      </c>
      <c r="H133" s="804" t="str">
        <f>IF(OR($E$3="",$P$3=""),"",IF('Statement of Marks'!G132="","",'Statement of Marks'!G132))</f>
        <v/>
      </c>
      <c r="I133" s="805" t="str">
        <f>IF(OR($E$3="",$P$3=""),"",IF('Statement of Marks'!H132="","",'Statement of Marks'!H132))</f>
        <v/>
      </c>
      <c r="J133" s="805" t="str">
        <f>IF(OR($E$3="",$P$3=""),"",IF('Statement of Marks'!I132="","",'Statement of Marks'!I132))</f>
        <v/>
      </c>
      <c r="K133" s="805" t="str">
        <f>IFERROR(IF(B133="","",IF($P$3=$AT$10,IF(AND(BM133="A"),'Marks Entry'!$U$2,IF(AND(BM133="B"),'Marks Entry'!$Y$2,IF(AND(BM133="C"),'Marks Entry'!$AA$2,""))),IF($P$3=$AT$11,IF(AND(BN133="A"),'Marks Entry'!$AC$2,IF(AND(BN133="B"),'Marks Entry'!$AG$2,IF(AND(BN133="C"),'Marks Entry'!$AI$2,""))),IF($P$3=$AT$12,IF(AND(BO133="A"),'Marks Entry'!$AK$2,IF(AND(BO133="B"),'Marks Entry'!$AO$2,IF(AND(BO133="C"),'Marks Entry'!$AQ$2,""))),IF($P$3=$AT$13,IF(AND(BP133="A"),'Marks Entry'!$AS$2,IF(AND(BP133="B"),'Marks Entry'!$AW$2,IF(AND(BP133="C"),'Marks Entry'!$AY$2,""))),"-"))))),"")</f>
        <v/>
      </c>
      <c r="L133" s="806" t="str">
        <f>IFERROR(IF(B133="","",IF($P$3=$AT$8,'Statement of Marks'!J132,IF($P$3=$AT$9,'Statement of Marks'!X132,IF($P$3=$AT$10,'Statement of Marks'!AM132,IF($P$3=$AT$11,'Statement of Marks'!BJ132,IF($P$3=$AT$12,'Statement of Marks'!CG132,IF($P$3=$AT$13,'Statement of Marks'!DE132,IF($P$3=$AT$14,"",IF($P$3=$AT$15,'Statement of Marks'!EY132,""))))))))),"")</f>
        <v/>
      </c>
      <c r="M133" s="806" t="str">
        <f>IFERROR(IF(B133="","",IF($P$3=$AT$8,'Statement of Marks'!K132,IF($P$3=$AT$9,'Statement of Marks'!Y132,IF($P$3=$AT$10,'Statement of Marks'!AN132,IF($P$3=$AT$11,'Statement of Marks'!BK132,IF($P$3=$AT$12,'Statement of Marks'!CH132,IF($P$3=$AT$13,'Statement of Marks'!DF132,IF($P$3=$AT$14,"",IF($P$3=$AT$15,'Statement of Marks'!EZ132,""))))))))),"")</f>
        <v/>
      </c>
      <c r="N133" s="806" t="str">
        <f>IFERROR(IF(B133="","",IF($P$3=$AT$8,'Statement of Marks'!L132,IF($P$3=$AT$9,'Statement of Marks'!Z132,IF($P$3=$AT$10,'Statement of Marks'!AO132,IF($P$3=$AT$11,'Statement of Marks'!BL132,IF($P$3=$AT$12,'Statement of Marks'!CI132,IF($P$3=$AT$13,'Statement of Marks'!DG132,IF($P$3=$AT$14,"",IF($P$3=$AT$15,'Statement of Marks'!FA132,""))))))))),"")</f>
        <v/>
      </c>
      <c r="O133" s="807" t="str">
        <f t="shared" si="18"/>
        <v/>
      </c>
      <c r="P133" s="806" t="str">
        <f>IFERROR(IF(B133="","",IF($P$3=$AT$8,'Statement of Marks'!N132,IF($P$3=$AT$9,'Statement of Marks'!AB132,IF($P$3=$AT$10,'Statement of Marks'!AQ132,IF($P$3=$AT$11,'Statement of Marks'!BN132,IF($P$3=$AT$12,'Statement of Marks'!CK132,IF($P$3=$AT$13,'Statement of Marks'!DI132,IF($P$3=$AT$14,"",IF($P$3=$AT$15,'Statement of Marks'!FC132,""))))))))),"")</f>
        <v/>
      </c>
      <c r="Q133" s="806" t="str">
        <f>IFERROR(IF(B133="","",IF($P$3=$AT$8,"",IF($P$3=$AT$9,"",IF($P$3=$AT$10,'Statement of Marks'!AR132,IF($P$3=$AT$11,'Statement of Marks'!BO132,IF($P$3=$AT$12,'Statement of Marks'!CL132,IF($P$3=$AT$13,'Statement of Marks'!DJ132,IF($P$3=$AT$14,"",IF($P$3=$AT$15,"",""))))))))),"")</f>
        <v/>
      </c>
      <c r="R133" s="818" t="str">
        <f>IFERROR(IF(B133="","",IF(AND(P133="",Q133="",$P$3=""),"",IF($P$3=$AT$14,'Statement of Marks'!EC132,SUM(P133,Q133)))),"")</f>
        <v/>
      </c>
      <c r="S133" s="817" t="str">
        <f>IFERROR(IF(B133="","",IF($P$3=$AT$14,'Statement of Marks'!ED132,IF(AND(O133="NA",P133="NA",Q133="NA"),"NA",IF(AND(O133="",P133="",Q133=""),"",SUM(O133,P133,Q133))))),"")</f>
        <v/>
      </c>
      <c r="T133" s="806" t="str">
        <f>IFERROR(IF(B133="","",IF($P$3=$AT$8,'Statement of Marks'!P132,IF($P$3=$AT$9,'Statement of Marks'!AD132,IF($P$3=$AT$10,'Statement of Marks'!AU132,IF($P$3=$AT$11,'Statement of Marks'!BR132,IF($P$3=$AT$12,'Statement of Marks'!CO132,IF($P$3=$AT$13,'Statement of Marks'!DM132,IF($P$3=$AT$14,"",IF($P$3=$AT$15,'Statement of Marks'!FD132,""))))))))),"")</f>
        <v/>
      </c>
      <c r="U133" s="806" t="str">
        <f>IFERROR(IF(B133="","",IF($P$3=$AT$8,"",IF($P$3=$AT$9,"",IF($P$3=$AT$10,'Statement of Marks'!AV132,IF($P$3=$AT$11,'Statement of Marks'!BS132,IF($P$3=$AT$12,'Statement of Marks'!CP132,IF($P$3=$AT$13,'Statement of Marks'!DN132,IF($P$3=$AT$14,"",IF($P$3=$AT$15,"",""))))))))),"")</f>
        <v/>
      </c>
      <c r="V133" s="818" t="str">
        <f>IFERROR(IF(B133="","",IF(AND(T133="",U133="",$P$3=""),"",IF($P$3=$AT$14,'Statement of Marks'!EE132,SUM(T133,U133)))),"")</f>
        <v/>
      </c>
      <c r="W133" s="808" t="str">
        <f t="shared" si="19"/>
        <v/>
      </c>
      <c r="X133" s="809">
        <f t="shared" si="20"/>
        <v>0</v>
      </c>
      <c r="Y133" s="809">
        <f t="shared" si="21"/>
        <v>0</v>
      </c>
      <c r="Z133" s="809">
        <f t="shared" si="22"/>
        <v>0</v>
      </c>
      <c r="AA133" s="809" t="str">
        <f t="shared" si="23"/>
        <v/>
      </c>
      <c r="AB133" s="809" t="str">
        <f t="shared" si="24"/>
        <v/>
      </c>
      <c r="AC133" s="809" t="str">
        <f t="shared" si="25"/>
        <v/>
      </c>
      <c r="AD133" s="809" t="str">
        <f t="shared" si="26"/>
        <v/>
      </c>
      <c r="AE133" s="810" t="str">
        <f t="shared" si="27"/>
        <v/>
      </c>
      <c r="AF133" s="811" t="str">
        <f t="shared" si="28"/>
        <v/>
      </c>
      <c r="AG133" s="812" t="str">
        <f t="shared" si="29"/>
        <v/>
      </c>
      <c r="AW133" s="17" t="str">
        <f t="shared" si="30"/>
        <v/>
      </c>
      <c r="AX133" s="17" t="str">
        <f t="shared" si="31"/>
        <v/>
      </c>
      <c r="BM133" s="17" t="str">
        <f>IFERROR(VLOOKUP(B133,'Statement of Marks'!$B$8:'Statement of Marks'!$HI$207,37,0),"")</f>
        <v>A</v>
      </c>
      <c r="BN133" s="17" t="str">
        <f>IFERROR(VLOOKUP(B133,'Statement of Marks'!$B$8:'Statement of Marks'!$HI$207,60,0),"")</f>
        <v>A</v>
      </c>
      <c r="BO133" s="17" t="str">
        <f>IFERROR(VLOOKUP(B133,'Statement of Marks'!$B$8:'Statement of Marks'!$HI$207,83,0),"")</f>
        <v>A</v>
      </c>
      <c r="BP133" s="17" t="str">
        <f>IFERROR(VLOOKUP(B133,'Statement of Marks'!$B$8:'Statement of Marks'!$HI$207,107,0),"")</f>
        <v/>
      </c>
    </row>
    <row r="134" spans="1:68">
      <c r="A134" s="800">
        <f>IF('Statement of Marks'!A133="","",'Statement of Marks'!A133)</f>
        <v>126</v>
      </c>
      <c r="B134" s="801" t="str">
        <f>IF(OR($E$3="",$P$3=""),"",IF('Statement of Marks'!B133="","",'Statement of Marks'!B133))</f>
        <v/>
      </c>
      <c r="C134" s="810" t="str">
        <f>IF(OR($E$3="",$P$3=""),"",IF('Marks Entry'!C133="","",'Marks Entry'!C133))</f>
        <v/>
      </c>
      <c r="D134" s="802" t="str">
        <f>IF(OR($E$3="",$P$3=""),"",IF('Statement of Marks'!C133="","",'Statement of Marks'!C133))</f>
        <v/>
      </c>
      <c r="E134" s="803" t="str">
        <f>IF(OR($E$3="",$P$3=""),"",IF('Statement of Marks'!D133="","",'Statement of Marks'!D133))</f>
        <v/>
      </c>
      <c r="F134" s="804" t="str">
        <f>IF(OR($E$3="",$P$3=""),"",IF('Statement of Marks'!E133="","",'Statement of Marks'!E133))</f>
        <v/>
      </c>
      <c r="G134" s="804" t="str">
        <f>IF(OR($E$3="",$P$3=""),"",IF('Statement of Marks'!F133="","",'Statement of Marks'!F133))</f>
        <v/>
      </c>
      <c r="H134" s="804" t="str">
        <f>IF(OR($E$3="",$P$3=""),"",IF('Statement of Marks'!G133="","",'Statement of Marks'!G133))</f>
        <v/>
      </c>
      <c r="I134" s="805" t="str">
        <f>IF(OR($E$3="",$P$3=""),"",IF('Statement of Marks'!H133="","",'Statement of Marks'!H133))</f>
        <v/>
      </c>
      <c r="J134" s="805" t="str">
        <f>IF(OR($E$3="",$P$3=""),"",IF('Statement of Marks'!I133="","",'Statement of Marks'!I133))</f>
        <v/>
      </c>
      <c r="K134" s="805" t="str">
        <f>IFERROR(IF(B134="","",IF($P$3=$AT$10,IF(AND(BM134="A"),'Marks Entry'!$U$2,IF(AND(BM134="B"),'Marks Entry'!$Y$2,IF(AND(BM134="C"),'Marks Entry'!$AA$2,""))),IF($P$3=$AT$11,IF(AND(BN134="A"),'Marks Entry'!$AC$2,IF(AND(BN134="B"),'Marks Entry'!$AG$2,IF(AND(BN134="C"),'Marks Entry'!$AI$2,""))),IF($P$3=$AT$12,IF(AND(BO134="A"),'Marks Entry'!$AK$2,IF(AND(BO134="B"),'Marks Entry'!$AO$2,IF(AND(BO134="C"),'Marks Entry'!$AQ$2,""))),IF($P$3=$AT$13,IF(AND(BP134="A"),'Marks Entry'!$AS$2,IF(AND(BP134="B"),'Marks Entry'!$AW$2,IF(AND(BP134="C"),'Marks Entry'!$AY$2,""))),"-"))))),"")</f>
        <v/>
      </c>
      <c r="L134" s="806" t="str">
        <f>IFERROR(IF(B134="","",IF($P$3=$AT$8,'Statement of Marks'!J133,IF($P$3=$AT$9,'Statement of Marks'!X133,IF($P$3=$AT$10,'Statement of Marks'!AM133,IF($P$3=$AT$11,'Statement of Marks'!BJ133,IF($P$3=$AT$12,'Statement of Marks'!CG133,IF($P$3=$AT$13,'Statement of Marks'!DE133,IF($P$3=$AT$14,"",IF($P$3=$AT$15,'Statement of Marks'!EY133,""))))))))),"")</f>
        <v/>
      </c>
      <c r="M134" s="806" t="str">
        <f>IFERROR(IF(B134="","",IF($P$3=$AT$8,'Statement of Marks'!K133,IF($P$3=$AT$9,'Statement of Marks'!Y133,IF($P$3=$AT$10,'Statement of Marks'!AN133,IF($P$3=$AT$11,'Statement of Marks'!BK133,IF($P$3=$AT$12,'Statement of Marks'!CH133,IF($P$3=$AT$13,'Statement of Marks'!DF133,IF($P$3=$AT$14,"",IF($P$3=$AT$15,'Statement of Marks'!EZ133,""))))))))),"")</f>
        <v/>
      </c>
      <c r="N134" s="806" t="str">
        <f>IFERROR(IF(B134="","",IF($P$3=$AT$8,'Statement of Marks'!L133,IF($P$3=$AT$9,'Statement of Marks'!Z133,IF($P$3=$AT$10,'Statement of Marks'!AO133,IF($P$3=$AT$11,'Statement of Marks'!BL133,IF($P$3=$AT$12,'Statement of Marks'!CI133,IF($P$3=$AT$13,'Statement of Marks'!DG133,IF($P$3=$AT$14,"",IF($P$3=$AT$15,'Statement of Marks'!FA133,""))))))))),"")</f>
        <v/>
      </c>
      <c r="O134" s="807" t="str">
        <f t="shared" si="18"/>
        <v/>
      </c>
      <c r="P134" s="806" t="str">
        <f>IFERROR(IF(B134="","",IF($P$3=$AT$8,'Statement of Marks'!N133,IF($P$3=$AT$9,'Statement of Marks'!AB133,IF($P$3=$AT$10,'Statement of Marks'!AQ133,IF($P$3=$AT$11,'Statement of Marks'!BN133,IF($P$3=$AT$12,'Statement of Marks'!CK133,IF($P$3=$AT$13,'Statement of Marks'!DI133,IF($P$3=$AT$14,"",IF($P$3=$AT$15,'Statement of Marks'!FC133,""))))))))),"")</f>
        <v/>
      </c>
      <c r="Q134" s="806" t="str">
        <f>IFERROR(IF(B134="","",IF($P$3=$AT$8,"",IF($P$3=$AT$9,"",IF($P$3=$AT$10,'Statement of Marks'!AR133,IF($P$3=$AT$11,'Statement of Marks'!BO133,IF($P$3=$AT$12,'Statement of Marks'!CL133,IF($P$3=$AT$13,'Statement of Marks'!DJ133,IF($P$3=$AT$14,"",IF($P$3=$AT$15,"",""))))))))),"")</f>
        <v/>
      </c>
      <c r="R134" s="818" t="str">
        <f>IFERROR(IF(B134="","",IF(AND(P134="",Q134="",$P$3=""),"",IF($P$3=$AT$14,'Statement of Marks'!EC133,SUM(P134,Q134)))),"")</f>
        <v/>
      </c>
      <c r="S134" s="817" t="str">
        <f>IFERROR(IF(B134="","",IF($P$3=$AT$14,'Statement of Marks'!ED133,IF(AND(O134="NA",P134="NA",Q134="NA"),"NA",IF(AND(O134="",P134="",Q134=""),"",SUM(O134,P134,Q134))))),"")</f>
        <v/>
      </c>
      <c r="T134" s="806" t="str">
        <f>IFERROR(IF(B134="","",IF($P$3=$AT$8,'Statement of Marks'!P133,IF($P$3=$AT$9,'Statement of Marks'!AD133,IF($P$3=$AT$10,'Statement of Marks'!AU133,IF($P$3=$AT$11,'Statement of Marks'!BR133,IF($P$3=$AT$12,'Statement of Marks'!CO133,IF($P$3=$AT$13,'Statement of Marks'!DM133,IF($P$3=$AT$14,"",IF($P$3=$AT$15,'Statement of Marks'!FD133,""))))))))),"")</f>
        <v/>
      </c>
      <c r="U134" s="806" t="str">
        <f>IFERROR(IF(B134="","",IF($P$3=$AT$8,"",IF($P$3=$AT$9,"",IF($P$3=$AT$10,'Statement of Marks'!AV133,IF($P$3=$AT$11,'Statement of Marks'!BS133,IF($P$3=$AT$12,'Statement of Marks'!CP133,IF($P$3=$AT$13,'Statement of Marks'!DN133,IF($P$3=$AT$14,"",IF($P$3=$AT$15,"",""))))))))),"")</f>
        <v/>
      </c>
      <c r="V134" s="818" t="str">
        <f>IFERROR(IF(B134="","",IF(AND(T134="",U134="",$P$3=""),"",IF($P$3=$AT$14,'Statement of Marks'!EE133,SUM(T134,U134)))),"")</f>
        <v/>
      </c>
      <c r="W134" s="808" t="str">
        <f t="shared" si="19"/>
        <v/>
      </c>
      <c r="X134" s="809">
        <f t="shared" si="20"/>
        <v>0</v>
      </c>
      <c r="Y134" s="809">
        <f t="shared" si="21"/>
        <v>0</v>
      </c>
      <c r="Z134" s="809">
        <f t="shared" si="22"/>
        <v>0</v>
      </c>
      <c r="AA134" s="809" t="str">
        <f t="shared" si="23"/>
        <v/>
      </c>
      <c r="AB134" s="809" t="str">
        <f t="shared" si="24"/>
        <v/>
      </c>
      <c r="AC134" s="809" t="str">
        <f t="shared" si="25"/>
        <v/>
      </c>
      <c r="AD134" s="809" t="str">
        <f t="shared" si="26"/>
        <v/>
      </c>
      <c r="AE134" s="810" t="str">
        <f t="shared" si="27"/>
        <v/>
      </c>
      <c r="AF134" s="811" t="str">
        <f t="shared" si="28"/>
        <v/>
      </c>
      <c r="AG134" s="812" t="str">
        <f t="shared" si="29"/>
        <v/>
      </c>
      <c r="AW134" s="17" t="str">
        <f t="shared" si="30"/>
        <v/>
      </c>
      <c r="AX134" s="17" t="str">
        <f t="shared" si="31"/>
        <v/>
      </c>
      <c r="BM134" s="17" t="str">
        <f>IFERROR(VLOOKUP(B134,'Statement of Marks'!$B$8:'Statement of Marks'!$HI$207,37,0),"")</f>
        <v>A</v>
      </c>
      <c r="BN134" s="17" t="str">
        <f>IFERROR(VLOOKUP(B134,'Statement of Marks'!$B$8:'Statement of Marks'!$HI$207,60,0),"")</f>
        <v>A</v>
      </c>
      <c r="BO134" s="17" t="str">
        <f>IFERROR(VLOOKUP(B134,'Statement of Marks'!$B$8:'Statement of Marks'!$HI$207,83,0),"")</f>
        <v>A</v>
      </c>
      <c r="BP134" s="17" t="str">
        <f>IFERROR(VLOOKUP(B134,'Statement of Marks'!$B$8:'Statement of Marks'!$HI$207,107,0),"")</f>
        <v/>
      </c>
    </row>
    <row r="135" spans="1:68">
      <c r="A135" s="800">
        <f>IF('Statement of Marks'!A134="","",'Statement of Marks'!A134)</f>
        <v>127</v>
      </c>
      <c r="B135" s="801" t="str">
        <f>IF(OR($E$3="",$P$3=""),"",IF('Statement of Marks'!B134="","",'Statement of Marks'!B134))</f>
        <v/>
      </c>
      <c r="C135" s="810" t="str">
        <f>IF(OR($E$3="",$P$3=""),"",IF('Marks Entry'!C134="","",'Marks Entry'!C134))</f>
        <v/>
      </c>
      <c r="D135" s="802" t="str">
        <f>IF(OR($E$3="",$P$3=""),"",IF('Statement of Marks'!C134="","",'Statement of Marks'!C134))</f>
        <v/>
      </c>
      <c r="E135" s="803" t="str">
        <f>IF(OR($E$3="",$P$3=""),"",IF('Statement of Marks'!D134="","",'Statement of Marks'!D134))</f>
        <v/>
      </c>
      <c r="F135" s="804" t="str">
        <f>IF(OR($E$3="",$P$3=""),"",IF('Statement of Marks'!E134="","",'Statement of Marks'!E134))</f>
        <v/>
      </c>
      <c r="G135" s="804" t="str">
        <f>IF(OR($E$3="",$P$3=""),"",IF('Statement of Marks'!F134="","",'Statement of Marks'!F134))</f>
        <v/>
      </c>
      <c r="H135" s="804" t="str">
        <f>IF(OR($E$3="",$P$3=""),"",IF('Statement of Marks'!G134="","",'Statement of Marks'!G134))</f>
        <v/>
      </c>
      <c r="I135" s="805" t="str">
        <f>IF(OR($E$3="",$P$3=""),"",IF('Statement of Marks'!H134="","",'Statement of Marks'!H134))</f>
        <v/>
      </c>
      <c r="J135" s="805" t="str">
        <f>IF(OR($E$3="",$P$3=""),"",IF('Statement of Marks'!I134="","",'Statement of Marks'!I134))</f>
        <v/>
      </c>
      <c r="K135" s="805" t="str">
        <f>IFERROR(IF(B135="","",IF($P$3=$AT$10,IF(AND(BM135="A"),'Marks Entry'!$U$2,IF(AND(BM135="B"),'Marks Entry'!$Y$2,IF(AND(BM135="C"),'Marks Entry'!$AA$2,""))),IF($P$3=$AT$11,IF(AND(BN135="A"),'Marks Entry'!$AC$2,IF(AND(BN135="B"),'Marks Entry'!$AG$2,IF(AND(BN135="C"),'Marks Entry'!$AI$2,""))),IF($P$3=$AT$12,IF(AND(BO135="A"),'Marks Entry'!$AK$2,IF(AND(BO135="B"),'Marks Entry'!$AO$2,IF(AND(BO135="C"),'Marks Entry'!$AQ$2,""))),IF($P$3=$AT$13,IF(AND(BP135="A"),'Marks Entry'!$AS$2,IF(AND(BP135="B"),'Marks Entry'!$AW$2,IF(AND(BP135="C"),'Marks Entry'!$AY$2,""))),"-"))))),"")</f>
        <v/>
      </c>
      <c r="L135" s="806" t="str">
        <f>IFERROR(IF(B135="","",IF($P$3=$AT$8,'Statement of Marks'!J134,IF($P$3=$AT$9,'Statement of Marks'!X134,IF($P$3=$AT$10,'Statement of Marks'!AM134,IF($P$3=$AT$11,'Statement of Marks'!BJ134,IF($P$3=$AT$12,'Statement of Marks'!CG134,IF($P$3=$AT$13,'Statement of Marks'!DE134,IF($P$3=$AT$14,"",IF($P$3=$AT$15,'Statement of Marks'!EY134,""))))))))),"")</f>
        <v/>
      </c>
      <c r="M135" s="806" t="str">
        <f>IFERROR(IF(B135="","",IF($P$3=$AT$8,'Statement of Marks'!K134,IF($P$3=$AT$9,'Statement of Marks'!Y134,IF($P$3=$AT$10,'Statement of Marks'!AN134,IF($P$3=$AT$11,'Statement of Marks'!BK134,IF($P$3=$AT$12,'Statement of Marks'!CH134,IF($P$3=$AT$13,'Statement of Marks'!DF134,IF($P$3=$AT$14,"",IF($P$3=$AT$15,'Statement of Marks'!EZ134,""))))))))),"")</f>
        <v/>
      </c>
      <c r="N135" s="806" t="str">
        <f>IFERROR(IF(B135="","",IF($P$3=$AT$8,'Statement of Marks'!L134,IF($P$3=$AT$9,'Statement of Marks'!Z134,IF($P$3=$AT$10,'Statement of Marks'!AO134,IF($P$3=$AT$11,'Statement of Marks'!BL134,IF($P$3=$AT$12,'Statement of Marks'!CI134,IF($P$3=$AT$13,'Statement of Marks'!DG134,IF($P$3=$AT$14,"",IF($P$3=$AT$15,'Statement of Marks'!FA134,""))))))))),"")</f>
        <v/>
      </c>
      <c r="O135" s="807" t="str">
        <f t="shared" si="18"/>
        <v/>
      </c>
      <c r="P135" s="806" t="str">
        <f>IFERROR(IF(B135="","",IF($P$3=$AT$8,'Statement of Marks'!N134,IF($P$3=$AT$9,'Statement of Marks'!AB134,IF($P$3=$AT$10,'Statement of Marks'!AQ134,IF($P$3=$AT$11,'Statement of Marks'!BN134,IF($P$3=$AT$12,'Statement of Marks'!CK134,IF($P$3=$AT$13,'Statement of Marks'!DI134,IF($P$3=$AT$14,"",IF($P$3=$AT$15,'Statement of Marks'!FC134,""))))))))),"")</f>
        <v/>
      </c>
      <c r="Q135" s="806" t="str">
        <f>IFERROR(IF(B135="","",IF($P$3=$AT$8,"",IF($P$3=$AT$9,"",IF($P$3=$AT$10,'Statement of Marks'!AR134,IF($P$3=$AT$11,'Statement of Marks'!BO134,IF($P$3=$AT$12,'Statement of Marks'!CL134,IF($P$3=$AT$13,'Statement of Marks'!DJ134,IF($P$3=$AT$14,"",IF($P$3=$AT$15,"",""))))))))),"")</f>
        <v/>
      </c>
      <c r="R135" s="818" t="str">
        <f>IFERROR(IF(B135="","",IF(AND(P135="",Q135="",$P$3=""),"",IF($P$3=$AT$14,'Statement of Marks'!EC134,SUM(P135,Q135)))),"")</f>
        <v/>
      </c>
      <c r="S135" s="817" t="str">
        <f>IFERROR(IF(B135="","",IF($P$3=$AT$14,'Statement of Marks'!ED134,IF(AND(O135="NA",P135="NA",Q135="NA"),"NA",IF(AND(O135="",P135="",Q135=""),"",SUM(O135,P135,Q135))))),"")</f>
        <v/>
      </c>
      <c r="T135" s="806" t="str">
        <f>IFERROR(IF(B135="","",IF($P$3=$AT$8,'Statement of Marks'!P134,IF($P$3=$AT$9,'Statement of Marks'!AD134,IF($P$3=$AT$10,'Statement of Marks'!AU134,IF($P$3=$AT$11,'Statement of Marks'!BR134,IF($P$3=$AT$12,'Statement of Marks'!CO134,IF($P$3=$AT$13,'Statement of Marks'!DM134,IF($P$3=$AT$14,"",IF($P$3=$AT$15,'Statement of Marks'!FD134,""))))))))),"")</f>
        <v/>
      </c>
      <c r="U135" s="806" t="str">
        <f>IFERROR(IF(B135="","",IF($P$3=$AT$8,"",IF($P$3=$AT$9,"",IF($P$3=$AT$10,'Statement of Marks'!AV134,IF($P$3=$AT$11,'Statement of Marks'!BS134,IF($P$3=$AT$12,'Statement of Marks'!CP134,IF($P$3=$AT$13,'Statement of Marks'!DN134,IF($P$3=$AT$14,"",IF($P$3=$AT$15,"",""))))))))),"")</f>
        <v/>
      </c>
      <c r="V135" s="818" t="str">
        <f>IFERROR(IF(B135="","",IF(AND(T135="",U135="",$P$3=""),"",IF($P$3=$AT$14,'Statement of Marks'!EE134,SUM(T135,U135)))),"")</f>
        <v/>
      </c>
      <c r="W135" s="808" t="str">
        <f t="shared" si="19"/>
        <v/>
      </c>
      <c r="X135" s="809">
        <f t="shared" si="20"/>
        <v>0</v>
      </c>
      <c r="Y135" s="809">
        <f t="shared" si="21"/>
        <v>0</v>
      </c>
      <c r="Z135" s="809">
        <f t="shared" si="22"/>
        <v>0</v>
      </c>
      <c r="AA135" s="809" t="str">
        <f t="shared" si="23"/>
        <v/>
      </c>
      <c r="AB135" s="809" t="str">
        <f t="shared" si="24"/>
        <v/>
      </c>
      <c r="AC135" s="809" t="str">
        <f t="shared" si="25"/>
        <v/>
      </c>
      <c r="AD135" s="809" t="str">
        <f t="shared" si="26"/>
        <v/>
      </c>
      <c r="AE135" s="810" t="str">
        <f t="shared" si="27"/>
        <v/>
      </c>
      <c r="AF135" s="811" t="str">
        <f t="shared" si="28"/>
        <v/>
      </c>
      <c r="AG135" s="812" t="str">
        <f t="shared" si="29"/>
        <v/>
      </c>
      <c r="AW135" s="17" t="str">
        <f t="shared" si="30"/>
        <v/>
      </c>
      <c r="AX135" s="17" t="str">
        <f t="shared" si="31"/>
        <v/>
      </c>
      <c r="BM135" s="17" t="str">
        <f>IFERROR(VLOOKUP(B135,'Statement of Marks'!$B$8:'Statement of Marks'!$HI$207,37,0),"")</f>
        <v>A</v>
      </c>
      <c r="BN135" s="17" t="str">
        <f>IFERROR(VLOOKUP(B135,'Statement of Marks'!$B$8:'Statement of Marks'!$HI$207,60,0),"")</f>
        <v>A</v>
      </c>
      <c r="BO135" s="17" t="str">
        <f>IFERROR(VLOOKUP(B135,'Statement of Marks'!$B$8:'Statement of Marks'!$HI$207,83,0),"")</f>
        <v>A</v>
      </c>
      <c r="BP135" s="17" t="str">
        <f>IFERROR(VLOOKUP(B135,'Statement of Marks'!$B$8:'Statement of Marks'!$HI$207,107,0),"")</f>
        <v/>
      </c>
    </row>
    <row r="136" spans="1:68">
      <c r="A136" s="800">
        <f>IF('Statement of Marks'!A135="","",'Statement of Marks'!A135)</f>
        <v>128</v>
      </c>
      <c r="B136" s="801" t="str">
        <f>IF(OR($E$3="",$P$3=""),"",IF('Statement of Marks'!B135="","",'Statement of Marks'!B135))</f>
        <v/>
      </c>
      <c r="C136" s="810" t="str">
        <f>IF(OR($E$3="",$P$3=""),"",IF('Marks Entry'!C135="","",'Marks Entry'!C135))</f>
        <v/>
      </c>
      <c r="D136" s="802" t="str">
        <f>IF(OR($E$3="",$P$3=""),"",IF('Statement of Marks'!C135="","",'Statement of Marks'!C135))</f>
        <v/>
      </c>
      <c r="E136" s="803" t="str">
        <f>IF(OR($E$3="",$P$3=""),"",IF('Statement of Marks'!D135="","",'Statement of Marks'!D135))</f>
        <v/>
      </c>
      <c r="F136" s="804" t="str">
        <f>IF(OR($E$3="",$P$3=""),"",IF('Statement of Marks'!E135="","",'Statement of Marks'!E135))</f>
        <v/>
      </c>
      <c r="G136" s="804" t="str">
        <f>IF(OR($E$3="",$P$3=""),"",IF('Statement of Marks'!F135="","",'Statement of Marks'!F135))</f>
        <v/>
      </c>
      <c r="H136" s="804" t="str">
        <f>IF(OR($E$3="",$P$3=""),"",IF('Statement of Marks'!G135="","",'Statement of Marks'!G135))</f>
        <v/>
      </c>
      <c r="I136" s="805" t="str">
        <f>IF(OR($E$3="",$P$3=""),"",IF('Statement of Marks'!H135="","",'Statement of Marks'!H135))</f>
        <v/>
      </c>
      <c r="J136" s="805" t="str">
        <f>IF(OR($E$3="",$P$3=""),"",IF('Statement of Marks'!I135="","",'Statement of Marks'!I135))</f>
        <v/>
      </c>
      <c r="K136" s="805" t="str">
        <f>IFERROR(IF(B136="","",IF($P$3=$AT$10,IF(AND(BM136="A"),'Marks Entry'!$U$2,IF(AND(BM136="B"),'Marks Entry'!$Y$2,IF(AND(BM136="C"),'Marks Entry'!$AA$2,""))),IF($P$3=$AT$11,IF(AND(BN136="A"),'Marks Entry'!$AC$2,IF(AND(BN136="B"),'Marks Entry'!$AG$2,IF(AND(BN136="C"),'Marks Entry'!$AI$2,""))),IF($P$3=$AT$12,IF(AND(BO136="A"),'Marks Entry'!$AK$2,IF(AND(BO136="B"),'Marks Entry'!$AO$2,IF(AND(BO136="C"),'Marks Entry'!$AQ$2,""))),IF($P$3=$AT$13,IF(AND(BP136="A"),'Marks Entry'!$AS$2,IF(AND(BP136="B"),'Marks Entry'!$AW$2,IF(AND(BP136="C"),'Marks Entry'!$AY$2,""))),"-"))))),"")</f>
        <v/>
      </c>
      <c r="L136" s="806" t="str">
        <f>IFERROR(IF(B136="","",IF($P$3=$AT$8,'Statement of Marks'!J135,IF($P$3=$AT$9,'Statement of Marks'!X135,IF($P$3=$AT$10,'Statement of Marks'!AM135,IF($P$3=$AT$11,'Statement of Marks'!BJ135,IF($P$3=$AT$12,'Statement of Marks'!CG135,IF($P$3=$AT$13,'Statement of Marks'!DE135,IF($P$3=$AT$14,"",IF($P$3=$AT$15,'Statement of Marks'!EY135,""))))))))),"")</f>
        <v/>
      </c>
      <c r="M136" s="806" t="str">
        <f>IFERROR(IF(B136="","",IF($P$3=$AT$8,'Statement of Marks'!K135,IF($P$3=$AT$9,'Statement of Marks'!Y135,IF($P$3=$AT$10,'Statement of Marks'!AN135,IF($P$3=$AT$11,'Statement of Marks'!BK135,IF($P$3=$AT$12,'Statement of Marks'!CH135,IF($P$3=$AT$13,'Statement of Marks'!DF135,IF($P$3=$AT$14,"",IF($P$3=$AT$15,'Statement of Marks'!EZ135,""))))))))),"")</f>
        <v/>
      </c>
      <c r="N136" s="806" t="str">
        <f>IFERROR(IF(B136="","",IF($P$3=$AT$8,'Statement of Marks'!L135,IF($P$3=$AT$9,'Statement of Marks'!Z135,IF($P$3=$AT$10,'Statement of Marks'!AO135,IF($P$3=$AT$11,'Statement of Marks'!BL135,IF($P$3=$AT$12,'Statement of Marks'!CI135,IF($P$3=$AT$13,'Statement of Marks'!DG135,IF($P$3=$AT$14,"",IF($P$3=$AT$15,'Statement of Marks'!FA135,""))))))))),"")</f>
        <v/>
      </c>
      <c r="O136" s="807" t="str">
        <f t="shared" si="18"/>
        <v/>
      </c>
      <c r="P136" s="806" t="str">
        <f>IFERROR(IF(B136="","",IF($P$3=$AT$8,'Statement of Marks'!N135,IF($P$3=$AT$9,'Statement of Marks'!AB135,IF($P$3=$AT$10,'Statement of Marks'!AQ135,IF($P$3=$AT$11,'Statement of Marks'!BN135,IF($P$3=$AT$12,'Statement of Marks'!CK135,IF($P$3=$AT$13,'Statement of Marks'!DI135,IF($P$3=$AT$14,"",IF($P$3=$AT$15,'Statement of Marks'!FC135,""))))))))),"")</f>
        <v/>
      </c>
      <c r="Q136" s="806" t="str">
        <f>IFERROR(IF(B136="","",IF($P$3=$AT$8,"",IF($P$3=$AT$9,"",IF($P$3=$AT$10,'Statement of Marks'!AR135,IF($P$3=$AT$11,'Statement of Marks'!BO135,IF($P$3=$AT$12,'Statement of Marks'!CL135,IF($P$3=$AT$13,'Statement of Marks'!DJ135,IF($P$3=$AT$14,"",IF($P$3=$AT$15,"",""))))))))),"")</f>
        <v/>
      </c>
      <c r="R136" s="818" t="str">
        <f>IFERROR(IF(B136="","",IF(AND(P136="",Q136="",$P$3=""),"",IF($P$3=$AT$14,'Statement of Marks'!EC135,SUM(P136,Q136)))),"")</f>
        <v/>
      </c>
      <c r="S136" s="817" t="str">
        <f>IFERROR(IF(B136="","",IF($P$3=$AT$14,'Statement of Marks'!ED135,IF(AND(O136="NA",P136="NA",Q136="NA"),"NA",IF(AND(O136="",P136="",Q136=""),"",SUM(O136,P136,Q136))))),"")</f>
        <v/>
      </c>
      <c r="T136" s="806" t="str">
        <f>IFERROR(IF(B136="","",IF($P$3=$AT$8,'Statement of Marks'!P135,IF($P$3=$AT$9,'Statement of Marks'!AD135,IF($P$3=$AT$10,'Statement of Marks'!AU135,IF($P$3=$AT$11,'Statement of Marks'!BR135,IF($P$3=$AT$12,'Statement of Marks'!CO135,IF($P$3=$AT$13,'Statement of Marks'!DM135,IF($P$3=$AT$14,"",IF($P$3=$AT$15,'Statement of Marks'!FD135,""))))))))),"")</f>
        <v/>
      </c>
      <c r="U136" s="806" t="str">
        <f>IFERROR(IF(B136="","",IF($P$3=$AT$8,"",IF($P$3=$AT$9,"",IF($P$3=$AT$10,'Statement of Marks'!AV135,IF($P$3=$AT$11,'Statement of Marks'!BS135,IF($P$3=$AT$12,'Statement of Marks'!CP135,IF($P$3=$AT$13,'Statement of Marks'!DN135,IF($P$3=$AT$14,"",IF($P$3=$AT$15,"",""))))))))),"")</f>
        <v/>
      </c>
      <c r="V136" s="818" t="str">
        <f>IFERROR(IF(B136="","",IF(AND(T136="",U136="",$P$3=""),"",IF($P$3=$AT$14,'Statement of Marks'!EE135,SUM(T136,U136)))),"")</f>
        <v/>
      </c>
      <c r="W136" s="808" t="str">
        <f t="shared" si="19"/>
        <v/>
      </c>
      <c r="X136" s="809">
        <f t="shared" si="20"/>
        <v>0</v>
      </c>
      <c r="Y136" s="809">
        <f t="shared" si="21"/>
        <v>0</v>
      </c>
      <c r="Z136" s="809">
        <f t="shared" si="22"/>
        <v>0</v>
      </c>
      <c r="AA136" s="809" t="str">
        <f t="shared" si="23"/>
        <v/>
      </c>
      <c r="AB136" s="809" t="str">
        <f t="shared" si="24"/>
        <v/>
      </c>
      <c r="AC136" s="809" t="str">
        <f t="shared" si="25"/>
        <v/>
      </c>
      <c r="AD136" s="809" t="str">
        <f t="shared" si="26"/>
        <v/>
      </c>
      <c r="AE136" s="810" t="str">
        <f t="shared" si="27"/>
        <v/>
      </c>
      <c r="AF136" s="811" t="str">
        <f t="shared" si="28"/>
        <v/>
      </c>
      <c r="AG136" s="812" t="str">
        <f t="shared" si="29"/>
        <v/>
      </c>
      <c r="AW136" s="17" t="str">
        <f t="shared" si="30"/>
        <v/>
      </c>
      <c r="AX136" s="17" t="str">
        <f t="shared" si="31"/>
        <v/>
      </c>
      <c r="BM136" s="17" t="str">
        <f>IFERROR(VLOOKUP(B136,'Statement of Marks'!$B$8:'Statement of Marks'!$HI$207,37,0),"")</f>
        <v>A</v>
      </c>
      <c r="BN136" s="17" t="str">
        <f>IFERROR(VLOOKUP(B136,'Statement of Marks'!$B$8:'Statement of Marks'!$HI$207,60,0),"")</f>
        <v>A</v>
      </c>
      <c r="BO136" s="17" t="str">
        <f>IFERROR(VLOOKUP(B136,'Statement of Marks'!$B$8:'Statement of Marks'!$HI$207,83,0),"")</f>
        <v>A</v>
      </c>
      <c r="BP136" s="17" t="str">
        <f>IFERROR(VLOOKUP(B136,'Statement of Marks'!$B$8:'Statement of Marks'!$HI$207,107,0),"")</f>
        <v/>
      </c>
    </row>
    <row r="137" spans="1:68">
      <c r="A137" s="800">
        <f>IF('Statement of Marks'!A136="","",'Statement of Marks'!A136)</f>
        <v>129</v>
      </c>
      <c r="B137" s="801" t="str">
        <f>IF(OR($E$3="",$P$3=""),"",IF('Statement of Marks'!B136="","",'Statement of Marks'!B136))</f>
        <v/>
      </c>
      <c r="C137" s="810" t="str">
        <f>IF(OR($E$3="",$P$3=""),"",IF('Marks Entry'!C136="","",'Marks Entry'!C136))</f>
        <v/>
      </c>
      <c r="D137" s="802" t="str">
        <f>IF(OR($E$3="",$P$3=""),"",IF('Statement of Marks'!C136="","",'Statement of Marks'!C136))</f>
        <v/>
      </c>
      <c r="E137" s="803" t="str">
        <f>IF(OR($E$3="",$P$3=""),"",IF('Statement of Marks'!D136="","",'Statement of Marks'!D136))</f>
        <v/>
      </c>
      <c r="F137" s="804" t="str">
        <f>IF(OR($E$3="",$P$3=""),"",IF('Statement of Marks'!E136="","",'Statement of Marks'!E136))</f>
        <v/>
      </c>
      <c r="G137" s="804" t="str">
        <f>IF(OR($E$3="",$P$3=""),"",IF('Statement of Marks'!F136="","",'Statement of Marks'!F136))</f>
        <v/>
      </c>
      <c r="H137" s="804" t="str">
        <f>IF(OR($E$3="",$P$3=""),"",IF('Statement of Marks'!G136="","",'Statement of Marks'!G136))</f>
        <v/>
      </c>
      <c r="I137" s="805" t="str">
        <f>IF(OR($E$3="",$P$3=""),"",IF('Statement of Marks'!H136="","",'Statement of Marks'!H136))</f>
        <v/>
      </c>
      <c r="J137" s="805" t="str">
        <f>IF(OR($E$3="",$P$3=""),"",IF('Statement of Marks'!I136="","",'Statement of Marks'!I136))</f>
        <v/>
      </c>
      <c r="K137" s="805" t="str">
        <f>IFERROR(IF(B137="","",IF($P$3=$AT$10,IF(AND(BM137="A"),'Marks Entry'!$U$2,IF(AND(BM137="B"),'Marks Entry'!$Y$2,IF(AND(BM137="C"),'Marks Entry'!$AA$2,""))),IF($P$3=$AT$11,IF(AND(BN137="A"),'Marks Entry'!$AC$2,IF(AND(BN137="B"),'Marks Entry'!$AG$2,IF(AND(BN137="C"),'Marks Entry'!$AI$2,""))),IF($P$3=$AT$12,IF(AND(BO137="A"),'Marks Entry'!$AK$2,IF(AND(BO137="B"),'Marks Entry'!$AO$2,IF(AND(BO137="C"),'Marks Entry'!$AQ$2,""))),IF($P$3=$AT$13,IF(AND(BP137="A"),'Marks Entry'!$AS$2,IF(AND(BP137="B"),'Marks Entry'!$AW$2,IF(AND(BP137="C"),'Marks Entry'!$AY$2,""))),"-"))))),"")</f>
        <v/>
      </c>
      <c r="L137" s="806" t="str">
        <f>IFERROR(IF(B137="","",IF($P$3=$AT$8,'Statement of Marks'!J136,IF($P$3=$AT$9,'Statement of Marks'!X136,IF($P$3=$AT$10,'Statement of Marks'!AM136,IF($P$3=$AT$11,'Statement of Marks'!BJ136,IF($P$3=$AT$12,'Statement of Marks'!CG136,IF($P$3=$AT$13,'Statement of Marks'!DE136,IF($P$3=$AT$14,"",IF($P$3=$AT$15,'Statement of Marks'!EY136,""))))))))),"")</f>
        <v/>
      </c>
      <c r="M137" s="806" t="str">
        <f>IFERROR(IF(B137="","",IF($P$3=$AT$8,'Statement of Marks'!K136,IF($P$3=$AT$9,'Statement of Marks'!Y136,IF($P$3=$AT$10,'Statement of Marks'!AN136,IF($P$3=$AT$11,'Statement of Marks'!BK136,IF($P$3=$AT$12,'Statement of Marks'!CH136,IF($P$3=$AT$13,'Statement of Marks'!DF136,IF($P$3=$AT$14,"",IF($P$3=$AT$15,'Statement of Marks'!EZ136,""))))))))),"")</f>
        <v/>
      </c>
      <c r="N137" s="806" t="str">
        <f>IFERROR(IF(B137="","",IF($P$3=$AT$8,'Statement of Marks'!L136,IF($P$3=$AT$9,'Statement of Marks'!Z136,IF($P$3=$AT$10,'Statement of Marks'!AO136,IF($P$3=$AT$11,'Statement of Marks'!BL136,IF($P$3=$AT$12,'Statement of Marks'!CI136,IF($P$3=$AT$13,'Statement of Marks'!DG136,IF($P$3=$AT$14,"",IF($P$3=$AT$15,'Statement of Marks'!FA136,""))))))))),"")</f>
        <v/>
      </c>
      <c r="O137" s="807" t="str">
        <f t="shared" si="18"/>
        <v/>
      </c>
      <c r="P137" s="806" t="str">
        <f>IFERROR(IF(B137="","",IF($P$3=$AT$8,'Statement of Marks'!N136,IF($P$3=$AT$9,'Statement of Marks'!AB136,IF($P$3=$AT$10,'Statement of Marks'!AQ136,IF($P$3=$AT$11,'Statement of Marks'!BN136,IF($P$3=$AT$12,'Statement of Marks'!CK136,IF($P$3=$AT$13,'Statement of Marks'!DI136,IF($P$3=$AT$14,"",IF($P$3=$AT$15,'Statement of Marks'!FC136,""))))))))),"")</f>
        <v/>
      </c>
      <c r="Q137" s="806" t="str">
        <f>IFERROR(IF(B137="","",IF($P$3=$AT$8,"",IF($P$3=$AT$9,"",IF($P$3=$AT$10,'Statement of Marks'!AR136,IF($P$3=$AT$11,'Statement of Marks'!BO136,IF($P$3=$AT$12,'Statement of Marks'!CL136,IF($P$3=$AT$13,'Statement of Marks'!DJ136,IF($P$3=$AT$14,"",IF($P$3=$AT$15,"",""))))))))),"")</f>
        <v/>
      </c>
      <c r="R137" s="818" t="str">
        <f>IFERROR(IF(B137="","",IF(AND(P137="",Q137="",$P$3=""),"",IF($P$3=$AT$14,'Statement of Marks'!EC136,SUM(P137,Q137)))),"")</f>
        <v/>
      </c>
      <c r="S137" s="817" t="str">
        <f>IFERROR(IF(B137="","",IF($P$3=$AT$14,'Statement of Marks'!ED136,IF(AND(O137="NA",P137="NA",Q137="NA"),"NA",IF(AND(O137="",P137="",Q137=""),"",SUM(O137,P137,Q137))))),"")</f>
        <v/>
      </c>
      <c r="T137" s="806" t="str">
        <f>IFERROR(IF(B137="","",IF($P$3=$AT$8,'Statement of Marks'!P136,IF($P$3=$AT$9,'Statement of Marks'!AD136,IF($P$3=$AT$10,'Statement of Marks'!AU136,IF($P$3=$AT$11,'Statement of Marks'!BR136,IF($P$3=$AT$12,'Statement of Marks'!CO136,IF($P$3=$AT$13,'Statement of Marks'!DM136,IF($P$3=$AT$14,"",IF($P$3=$AT$15,'Statement of Marks'!FD136,""))))))))),"")</f>
        <v/>
      </c>
      <c r="U137" s="806" t="str">
        <f>IFERROR(IF(B137="","",IF($P$3=$AT$8,"",IF($P$3=$AT$9,"",IF($P$3=$AT$10,'Statement of Marks'!AV136,IF($P$3=$AT$11,'Statement of Marks'!BS136,IF($P$3=$AT$12,'Statement of Marks'!CP136,IF($P$3=$AT$13,'Statement of Marks'!DN136,IF($P$3=$AT$14,"",IF($P$3=$AT$15,"",""))))))))),"")</f>
        <v/>
      </c>
      <c r="V137" s="818" t="str">
        <f>IFERROR(IF(B137="","",IF(AND(T137="",U137="",$P$3=""),"",IF($P$3=$AT$14,'Statement of Marks'!EE136,SUM(T137,U137)))),"")</f>
        <v/>
      </c>
      <c r="W137" s="808" t="str">
        <f t="shared" si="19"/>
        <v/>
      </c>
      <c r="X137" s="809">
        <f t="shared" si="20"/>
        <v>0</v>
      </c>
      <c r="Y137" s="809">
        <f t="shared" si="21"/>
        <v>0</v>
      </c>
      <c r="Z137" s="809">
        <f t="shared" si="22"/>
        <v>0</v>
      </c>
      <c r="AA137" s="809" t="str">
        <f t="shared" si="23"/>
        <v/>
      </c>
      <c r="AB137" s="809" t="str">
        <f t="shared" si="24"/>
        <v/>
      </c>
      <c r="AC137" s="809" t="str">
        <f t="shared" si="25"/>
        <v/>
      </c>
      <c r="AD137" s="809" t="str">
        <f t="shared" si="26"/>
        <v/>
      </c>
      <c r="AE137" s="810" t="str">
        <f t="shared" si="27"/>
        <v/>
      </c>
      <c r="AF137" s="811" t="str">
        <f t="shared" si="28"/>
        <v/>
      </c>
      <c r="AG137" s="812" t="str">
        <f t="shared" si="29"/>
        <v/>
      </c>
      <c r="AW137" s="17" t="str">
        <f t="shared" si="30"/>
        <v/>
      </c>
      <c r="AX137" s="17" t="str">
        <f t="shared" si="31"/>
        <v/>
      </c>
      <c r="BM137" s="17" t="str">
        <f>IFERROR(VLOOKUP(B137,'Statement of Marks'!$B$8:'Statement of Marks'!$HI$207,37,0),"")</f>
        <v>A</v>
      </c>
      <c r="BN137" s="17" t="str">
        <f>IFERROR(VLOOKUP(B137,'Statement of Marks'!$B$8:'Statement of Marks'!$HI$207,60,0),"")</f>
        <v>A</v>
      </c>
      <c r="BO137" s="17" t="str">
        <f>IFERROR(VLOOKUP(B137,'Statement of Marks'!$B$8:'Statement of Marks'!$HI$207,83,0),"")</f>
        <v>A</v>
      </c>
      <c r="BP137" s="17" t="str">
        <f>IFERROR(VLOOKUP(B137,'Statement of Marks'!$B$8:'Statement of Marks'!$HI$207,107,0),"")</f>
        <v/>
      </c>
    </row>
    <row r="138" spans="1:68">
      <c r="A138" s="800">
        <f>IF('Statement of Marks'!A137="","",'Statement of Marks'!A137)</f>
        <v>130</v>
      </c>
      <c r="B138" s="801" t="str">
        <f>IF(OR($E$3="",$P$3=""),"",IF('Statement of Marks'!B137="","",'Statement of Marks'!B137))</f>
        <v/>
      </c>
      <c r="C138" s="810" t="str">
        <f>IF(OR($E$3="",$P$3=""),"",IF('Marks Entry'!C137="","",'Marks Entry'!C137))</f>
        <v/>
      </c>
      <c r="D138" s="802" t="str">
        <f>IF(OR($E$3="",$P$3=""),"",IF('Statement of Marks'!C137="","",'Statement of Marks'!C137))</f>
        <v/>
      </c>
      <c r="E138" s="803" t="str">
        <f>IF(OR($E$3="",$P$3=""),"",IF('Statement of Marks'!D137="","",'Statement of Marks'!D137))</f>
        <v/>
      </c>
      <c r="F138" s="804" t="str">
        <f>IF(OR($E$3="",$P$3=""),"",IF('Statement of Marks'!E137="","",'Statement of Marks'!E137))</f>
        <v/>
      </c>
      <c r="G138" s="804" t="str">
        <f>IF(OR($E$3="",$P$3=""),"",IF('Statement of Marks'!F137="","",'Statement of Marks'!F137))</f>
        <v/>
      </c>
      <c r="H138" s="804" t="str">
        <f>IF(OR($E$3="",$P$3=""),"",IF('Statement of Marks'!G137="","",'Statement of Marks'!G137))</f>
        <v/>
      </c>
      <c r="I138" s="805" t="str">
        <f>IF(OR($E$3="",$P$3=""),"",IF('Statement of Marks'!H137="","",'Statement of Marks'!H137))</f>
        <v/>
      </c>
      <c r="J138" s="805" t="str">
        <f>IF(OR($E$3="",$P$3=""),"",IF('Statement of Marks'!I137="","",'Statement of Marks'!I137))</f>
        <v/>
      </c>
      <c r="K138" s="805" t="str">
        <f>IFERROR(IF(B138="","",IF($P$3=$AT$10,IF(AND(BM138="A"),'Marks Entry'!$U$2,IF(AND(BM138="B"),'Marks Entry'!$Y$2,IF(AND(BM138="C"),'Marks Entry'!$AA$2,""))),IF($P$3=$AT$11,IF(AND(BN138="A"),'Marks Entry'!$AC$2,IF(AND(BN138="B"),'Marks Entry'!$AG$2,IF(AND(BN138="C"),'Marks Entry'!$AI$2,""))),IF($P$3=$AT$12,IF(AND(BO138="A"),'Marks Entry'!$AK$2,IF(AND(BO138="B"),'Marks Entry'!$AO$2,IF(AND(BO138="C"),'Marks Entry'!$AQ$2,""))),IF($P$3=$AT$13,IF(AND(BP138="A"),'Marks Entry'!$AS$2,IF(AND(BP138="B"),'Marks Entry'!$AW$2,IF(AND(BP138="C"),'Marks Entry'!$AY$2,""))),"-"))))),"")</f>
        <v/>
      </c>
      <c r="L138" s="806" t="str">
        <f>IFERROR(IF(B138="","",IF($P$3=$AT$8,'Statement of Marks'!J137,IF($P$3=$AT$9,'Statement of Marks'!X137,IF($P$3=$AT$10,'Statement of Marks'!AM137,IF($P$3=$AT$11,'Statement of Marks'!BJ137,IF($P$3=$AT$12,'Statement of Marks'!CG137,IF($P$3=$AT$13,'Statement of Marks'!DE137,IF($P$3=$AT$14,"",IF($P$3=$AT$15,'Statement of Marks'!EY137,""))))))))),"")</f>
        <v/>
      </c>
      <c r="M138" s="806" t="str">
        <f>IFERROR(IF(B138="","",IF($P$3=$AT$8,'Statement of Marks'!K137,IF($P$3=$AT$9,'Statement of Marks'!Y137,IF($P$3=$AT$10,'Statement of Marks'!AN137,IF($P$3=$AT$11,'Statement of Marks'!BK137,IF($P$3=$AT$12,'Statement of Marks'!CH137,IF($P$3=$AT$13,'Statement of Marks'!DF137,IF($P$3=$AT$14,"",IF($P$3=$AT$15,'Statement of Marks'!EZ137,""))))))))),"")</f>
        <v/>
      </c>
      <c r="N138" s="806" t="str">
        <f>IFERROR(IF(B138="","",IF($P$3=$AT$8,'Statement of Marks'!L137,IF($P$3=$AT$9,'Statement of Marks'!Z137,IF($P$3=$AT$10,'Statement of Marks'!AO137,IF($P$3=$AT$11,'Statement of Marks'!BL137,IF($P$3=$AT$12,'Statement of Marks'!CI137,IF($P$3=$AT$13,'Statement of Marks'!DG137,IF($P$3=$AT$14,"",IF($P$3=$AT$15,'Statement of Marks'!FA137,""))))))))),"")</f>
        <v/>
      </c>
      <c r="O138" s="807" t="str">
        <f t="shared" ref="O138:O201" si="32">IF(AND(L138="",M138="",N138="",$P$3=""),"",IF(OR($P$3=$AT$14,$P$3=$AT$14),"",IF(B138="","",SUM(L138:N138))))</f>
        <v/>
      </c>
      <c r="P138" s="806" t="str">
        <f>IFERROR(IF(B138="","",IF($P$3=$AT$8,'Statement of Marks'!N137,IF($P$3=$AT$9,'Statement of Marks'!AB137,IF($P$3=$AT$10,'Statement of Marks'!AQ137,IF($P$3=$AT$11,'Statement of Marks'!BN137,IF($P$3=$AT$12,'Statement of Marks'!CK137,IF($P$3=$AT$13,'Statement of Marks'!DI137,IF($P$3=$AT$14,"",IF($P$3=$AT$15,'Statement of Marks'!FC137,""))))))))),"")</f>
        <v/>
      </c>
      <c r="Q138" s="806" t="str">
        <f>IFERROR(IF(B138="","",IF($P$3=$AT$8,"",IF($P$3=$AT$9,"",IF($P$3=$AT$10,'Statement of Marks'!AR137,IF($P$3=$AT$11,'Statement of Marks'!BO137,IF($P$3=$AT$12,'Statement of Marks'!CL137,IF($P$3=$AT$13,'Statement of Marks'!DJ137,IF($P$3=$AT$14,"",IF($P$3=$AT$15,"",""))))))))),"")</f>
        <v/>
      </c>
      <c r="R138" s="818" t="str">
        <f>IFERROR(IF(B138="","",IF(AND(P138="",Q138="",$P$3=""),"",IF($P$3=$AT$14,'Statement of Marks'!EC137,SUM(P138,Q138)))),"")</f>
        <v/>
      </c>
      <c r="S138" s="817" t="str">
        <f>IFERROR(IF(B138="","",IF($P$3=$AT$14,'Statement of Marks'!ED137,IF(AND(O138="NA",P138="NA",Q138="NA"),"NA",IF(AND(O138="",P138="",Q138=""),"",SUM(O138,P138,Q138))))),"")</f>
        <v/>
      </c>
      <c r="T138" s="806" t="str">
        <f>IFERROR(IF(B138="","",IF($P$3=$AT$8,'Statement of Marks'!P137,IF($P$3=$AT$9,'Statement of Marks'!AD137,IF($P$3=$AT$10,'Statement of Marks'!AU137,IF($P$3=$AT$11,'Statement of Marks'!BR137,IF($P$3=$AT$12,'Statement of Marks'!CO137,IF($P$3=$AT$13,'Statement of Marks'!DM137,IF($P$3=$AT$14,"",IF($P$3=$AT$15,'Statement of Marks'!FD137,""))))))))),"")</f>
        <v/>
      </c>
      <c r="U138" s="806" t="str">
        <f>IFERROR(IF(B138="","",IF($P$3=$AT$8,"",IF($P$3=$AT$9,"",IF($P$3=$AT$10,'Statement of Marks'!AV137,IF($P$3=$AT$11,'Statement of Marks'!BS137,IF($P$3=$AT$12,'Statement of Marks'!CP137,IF($P$3=$AT$13,'Statement of Marks'!DN137,IF($P$3=$AT$14,"",IF($P$3=$AT$15,"",""))))))))),"")</f>
        <v/>
      </c>
      <c r="V138" s="818" t="str">
        <f>IFERROR(IF(B138="","",IF(AND(T138="",U138="",$P$3=""),"",IF($P$3=$AT$14,'Statement of Marks'!EE137,SUM(T138,U138)))),"")</f>
        <v/>
      </c>
      <c r="W138" s="808" t="str">
        <f t="shared" ref="W138:W201" si="33">IFERROR(IF(B138="","",IF($P$3="","",IF(OR($P$3=$AT$14),SUM(R138,S138,V138),SUM(S138,V138)))),"")</f>
        <v/>
      </c>
      <c r="X138" s="809">
        <f t="shared" ref="X138:X201" si="34">IFERROR(IF($P$3="","",IF(OR($P$3=$AT$8,$P$3=$AT$9,$P$3=$AT$10,$P$3=$AT$11,$P$3=$AT$12,$P$3=$AT$13,$P$3=$AT$15),COUNTIF(L138:N138,"NA")*$L$7+(COUNTIF(L138:N138,"ML")*$L$7)+(COUNTIF(P138,"ML")*$P$7)+(COUNTIF(T138,"ML")*$T$8)+(COUNTIF(T138,"ML")*$T$7),COUNTIF(R138,"NA")*$R$7+(COUNTIF(R138,"ML")*$R$7)+(COUNTIF(S138,"ML")*$S$7)+(COUNTIF(V138,"ML")*$V$7))),0)</f>
        <v>0</v>
      </c>
      <c r="Y138" s="809">
        <f t="shared" ref="Y138:Y201" si="35">SUM(Q138,U138)</f>
        <v>0</v>
      </c>
      <c r="Z138" s="809">
        <f t="shared" ref="Z138:Z201" si="36">SUM(O138,P138,T138)</f>
        <v>0</v>
      </c>
      <c r="AA138" s="809" t="str">
        <f t="shared" ref="AA138:AA201" si="37">IF(OR($B138="NSO",$B138=0,T138=""),"",IF(AND(Q138="",U138=""),SUM($T$8),SUM($T$7)))</f>
        <v/>
      </c>
      <c r="AB138" s="809" t="str">
        <f t="shared" ref="AB138:AB201" si="38">IF(OR($B138="NSO",$B138=0,U138=""),"",IF(AND(Q138="",U138=""),"",SUM($Q$7+$U$7)-(COUNTIF(Q138,"ML")*$Q$7)-(COUNTIF(U138,"ML")*$U$7)))</f>
        <v/>
      </c>
      <c r="AC138" s="809" t="str">
        <f t="shared" ref="AC138:AC201" si="39">IF(OR($B138="NSO",$B138=0,B138=""),"",IF(AND(Q138="",U138=""),IF(OR($P$3=$AT$8,$P$3=$AT$9,$P$3=$AT$10,$P$3=$AT$11,$P$3=$AT$12,$P$3=$AT$13,$P$3=$AT$15,$P$3=$AT$16,$P$3=$AT$17),IF(AND(L138="NA",N138="NA",M138="NA"),$O$7-X138,IF(AND(P138="ML"),$P$7-X138,IF(AND(T138="ML"),$T$7-X138,$W$7-X138))),IF(AND(R138="NA"),$R$7-X138,IF(AND(S138="ML"),$S$7-X138,IF(AND(V138="ML"),$V$7-X138,$W$7-X138)))),IF(AND(L138="NA",N138="NA",M138="NA"),$O$7-X138,IF(AND(P138="ML"),$P$7-X138,IF(AND(T138="ML"),$T$7-X138,$Z$7-X138)))))</f>
        <v/>
      </c>
      <c r="AD138" s="809" t="str">
        <f t="shared" ref="AD138:AD201" si="40">IF(AND(OR(L138="ab",L138="ml"),OR(M138="ab",M138="ml"),OR(P138="ab",P138="ml"),OR(P138="ab",P138="ml"),OR(S138="ab",S138="ml")),"AB",IF(AND(OR(M138="ab",M138="ml"),OR(N138="ab",N138="ml"),OR(P138="ab",P138="ml"),OR(S138="ab",S138="ml")),"AB",IF(AND(OR(N138="ab",N138="ml"),OR(L138="ab",L138="ml"),OR(P138="ab",P138="ml"),OR(T138="ab",T138="ml")),"AB",IF(AND(OR(P138="ab",P138="ml"),OR(T138="ab",T138="ml"),OR(Q138="ab",Q138="ml"),OR(P138="ab",P138="ml"),OR(T138="ab",T138="ml")),"AB",IF(AND(OR(P138="ab",P138="ml"),OR(M138="ab",M138="ml"),OR(T138="ab",T138="ml"),OR(P138="ab",P138="ml"),OR(U138="ab",U138="ml")),"AB","")))))</f>
        <v/>
      </c>
      <c r="AE138" s="810" t="str">
        <f t="shared" ref="AE138:AE201" si="41">IFERROR(IF(B138="","",IF(OR($P$3=$AT$14),AX138,AW138)),"")</f>
        <v/>
      </c>
      <c r="AF138" s="811" t="str">
        <f t="shared" ref="AF138:AF201" si="42">IF(OR(AE138="",AE138=0,AE138="S",AE138="RE",AE138="F",AE138="AB",B138="NSO"),"",IF(AE138="G","G",IF(W138&gt;=75%*SUM(AB138,AC138),"I",IF(W138&gt;=60%*SUM(AB138,AC138),"I",IF(W138&gt;=48%*SUM(AB138,AC138),"II",IF(W138&gt;=36%*SUM(AB138,AC138),"III",""))))))</f>
        <v/>
      </c>
      <c r="AG138" s="812" t="str">
        <f t="shared" ref="AG138:AG201" si="43">IF(W138="","",IF(OR(AE138="",AE138=0,AE138="RE",AE138="AB"),"",IF(B138="NSO","NSO",IF(AE138="G","By Grace",IF(AE138="S","Supplementary",IF(AE138="F","Fail",IF(W138&gt;=75%*AC138,"D",IF(AE138="FP","Fail in Practical",""))))))))</f>
        <v/>
      </c>
      <c r="AW138" s="17" t="str">
        <f t="shared" ref="AW138:AW201" si="44">IF(B138="","",IF(OR(T138="AB",U138="AB",AD138="AB"),"AB",IF(OR(T138="ML",V138="ML"),"RE",IF(U138="MLP","REP",IF(U138&lt;33%*$U$7,"FP",IF(Q138&lt;33%*$Q$7,"FP",IF(AND(Z138&gt;=36%*AC138,SUM(T138)&gt;=20%*AA138,Y138&gt;=SUM(AB138)*36%),"P",IF(AND(Z138&gt;=34%*AC138,SUM(T138)&gt;=20%*AA138,Y138&gt;=SUM(AB138)*36%),"G",IF(AND(Z138&gt;=31%*AC138,SUM(T138)&gt;=20%*AA138,Y138&gt;=SUM(AB138)*36%),"G",IF(AND(Z138&gt;=25%*AC138,SUM(T138)&gt;=20%*AA138),"S","F"))))))))))</f>
        <v/>
      </c>
      <c r="AX138" s="17" t="str">
        <f t="shared" ref="AX138:AX201" si="45">IF(B138="","",IF(AND(W138&gt;=36%*AC138,SUM(V138)&gt;=20%*$V$7),"P",""))</f>
        <v/>
      </c>
      <c r="BM138" s="17" t="str">
        <f>IFERROR(VLOOKUP(B138,'Statement of Marks'!$B$8:'Statement of Marks'!$HI$207,37,0),"")</f>
        <v>A</v>
      </c>
      <c r="BN138" s="17" t="str">
        <f>IFERROR(VLOOKUP(B138,'Statement of Marks'!$B$8:'Statement of Marks'!$HI$207,60,0),"")</f>
        <v>A</v>
      </c>
      <c r="BO138" s="17" t="str">
        <f>IFERROR(VLOOKUP(B138,'Statement of Marks'!$B$8:'Statement of Marks'!$HI$207,83,0),"")</f>
        <v>A</v>
      </c>
      <c r="BP138" s="17" t="str">
        <f>IFERROR(VLOOKUP(B138,'Statement of Marks'!$B$8:'Statement of Marks'!$HI$207,107,0),"")</f>
        <v/>
      </c>
    </row>
    <row r="139" spans="1:68">
      <c r="A139" s="800">
        <f>IF('Statement of Marks'!A138="","",'Statement of Marks'!A138)</f>
        <v>131</v>
      </c>
      <c r="B139" s="801" t="str">
        <f>IF(OR($E$3="",$P$3=""),"",IF('Statement of Marks'!B138="","",'Statement of Marks'!B138))</f>
        <v/>
      </c>
      <c r="C139" s="810" t="str">
        <f>IF(OR($E$3="",$P$3=""),"",IF('Marks Entry'!C138="","",'Marks Entry'!C138))</f>
        <v/>
      </c>
      <c r="D139" s="802" t="str">
        <f>IF(OR($E$3="",$P$3=""),"",IF('Statement of Marks'!C138="","",'Statement of Marks'!C138))</f>
        <v/>
      </c>
      <c r="E139" s="803" t="str">
        <f>IF(OR($E$3="",$P$3=""),"",IF('Statement of Marks'!D138="","",'Statement of Marks'!D138))</f>
        <v/>
      </c>
      <c r="F139" s="804" t="str">
        <f>IF(OR($E$3="",$P$3=""),"",IF('Statement of Marks'!E138="","",'Statement of Marks'!E138))</f>
        <v/>
      </c>
      <c r="G139" s="804" t="str">
        <f>IF(OR($E$3="",$P$3=""),"",IF('Statement of Marks'!F138="","",'Statement of Marks'!F138))</f>
        <v/>
      </c>
      <c r="H139" s="804" t="str">
        <f>IF(OR($E$3="",$P$3=""),"",IF('Statement of Marks'!G138="","",'Statement of Marks'!G138))</f>
        <v/>
      </c>
      <c r="I139" s="805" t="str">
        <f>IF(OR($E$3="",$P$3=""),"",IF('Statement of Marks'!H138="","",'Statement of Marks'!H138))</f>
        <v/>
      </c>
      <c r="J139" s="805" t="str">
        <f>IF(OR($E$3="",$P$3=""),"",IF('Statement of Marks'!I138="","",'Statement of Marks'!I138))</f>
        <v/>
      </c>
      <c r="K139" s="805" t="str">
        <f>IFERROR(IF(B139="","",IF($P$3=$AT$10,IF(AND(BM139="A"),'Marks Entry'!$U$2,IF(AND(BM139="B"),'Marks Entry'!$Y$2,IF(AND(BM139="C"),'Marks Entry'!$AA$2,""))),IF($P$3=$AT$11,IF(AND(BN139="A"),'Marks Entry'!$AC$2,IF(AND(BN139="B"),'Marks Entry'!$AG$2,IF(AND(BN139="C"),'Marks Entry'!$AI$2,""))),IF($P$3=$AT$12,IF(AND(BO139="A"),'Marks Entry'!$AK$2,IF(AND(BO139="B"),'Marks Entry'!$AO$2,IF(AND(BO139="C"),'Marks Entry'!$AQ$2,""))),IF($P$3=$AT$13,IF(AND(BP139="A"),'Marks Entry'!$AS$2,IF(AND(BP139="B"),'Marks Entry'!$AW$2,IF(AND(BP139="C"),'Marks Entry'!$AY$2,""))),"-"))))),"")</f>
        <v/>
      </c>
      <c r="L139" s="806" t="str">
        <f>IFERROR(IF(B139="","",IF($P$3=$AT$8,'Statement of Marks'!J138,IF($P$3=$AT$9,'Statement of Marks'!X138,IF($P$3=$AT$10,'Statement of Marks'!AM138,IF($P$3=$AT$11,'Statement of Marks'!BJ138,IF($P$3=$AT$12,'Statement of Marks'!CG138,IF($P$3=$AT$13,'Statement of Marks'!DE138,IF($P$3=$AT$14,"",IF($P$3=$AT$15,'Statement of Marks'!EY138,""))))))))),"")</f>
        <v/>
      </c>
      <c r="M139" s="806" t="str">
        <f>IFERROR(IF(B139="","",IF($P$3=$AT$8,'Statement of Marks'!K138,IF($P$3=$AT$9,'Statement of Marks'!Y138,IF($P$3=$AT$10,'Statement of Marks'!AN138,IF($P$3=$AT$11,'Statement of Marks'!BK138,IF($P$3=$AT$12,'Statement of Marks'!CH138,IF($P$3=$AT$13,'Statement of Marks'!DF138,IF($P$3=$AT$14,"",IF($P$3=$AT$15,'Statement of Marks'!EZ138,""))))))))),"")</f>
        <v/>
      </c>
      <c r="N139" s="806" t="str">
        <f>IFERROR(IF(B139="","",IF($P$3=$AT$8,'Statement of Marks'!L138,IF($P$3=$AT$9,'Statement of Marks'!Z138,IF($P$3=$AT$10,'Statement of Marks'!AO138,IF($P$3=$AT$11,'Statement of Marks'!BL138,IF($P$3=$AT$12,'Statement of Marks'!CI138,IF($P$3=$AT$13,'Statement of Marks'!DG138,IF($P$3=$AT$14,"",IF($P$3=$AT$15,'Statement of Marks'!FA138,""))))))))),"")</f>
        <v/>
      </c>
      <c r="O139" s="807" t="str">
        <f t="shared" si="32"/>
        <v/>
      </c>
      <c r="P139" s="806" t="str">
        <f>IFERROR(IF(B139="","",IF($P$3=$AT$8,'Statement of Marks'!N138,IF($P$3=$AT$9,'Statement of Marks'!AB138,IF($P$3=$AT$10,'Statement of Marks'!AQ138,IF($P$3=$AT$11,'Statement of Marks'!BN138,IF($P$3=$AT$12,'Statement of Marks'!CK138,IF($P$3=$AT$13,'Statement of Marks'!DI138,IF($P$3=$AT$14,"",IF($P$3=$AT$15,'Statement of Marks'!FC138,""))))))))),"")</f>
        <v/>
      </c>
      <c r="Q139" s="806" t="str">
        <f>IFERROR(IF(B139="","",IF($P$3=$AT$8,"",IF($P$3=$AT$9,"",IF($P$3=$AT$10,'Statement of Marks'!AR138,IF($P$3=$AT$11,'Statement of Marks'!BO138,IF($P$3=$AT$12,'Statement of Marks'!CL138,IF($P$3=$AT$13,'Statement of Marks'!DJ138,IF($P$3=$AT$14,"",IF($P$3=$AT$15,"",""))))))))),"")</f>
        <v/>
      </c>
      <c r="R139" s="818" t="str">
        <f>IFERROR(IF(B139="","",IF(AND(P139="",Q139="",$P$3=""),"",IF($P$3=$AT$14,'Statement of Marks'!EC138,SUM(P139,Q139)))),"")</f>
        <v/>
      </c>
      <c r="S139" s="817" t="str">
        <f>IFERROR(IF(B139="","",IF($P$3=$AT$14,'Statement of Marks'!ED138,IF(AND(O139="NA",P139="NA",Q139="NA"),"NA",IF(AND(O139="",P139="",Q139=""),"",SUM(O139,P139,Q139))))),"")</f>
        <v/>
      </c>
      <c r="T139" s="806" t="str">
        <f>IFERROR(IF(B139="","",IF($P$3=$AT$8,'Statement of Marks'!P138,IF($P$3=$AT$9,'Statement of Marks'!AD138,IF($P$3=$AT$10,'Statement of Marks'!AU138,IF($P$3=$AT$11,'Statement of Marks'!BR138,IF($P$3=$AT$12,'Statement of Marks'!CO138,IF($P$3=$AT$13,'Statement of Marks'!DM138,IF($P$3=$AT$14,"",IF($P$3=$AT$15,'Statement of Marks'!FD138,""))))))))),"")</f>
        <v/>
      </c>
      <c r="U139" s="806" t="str">
        <f>IFERROR(IF(B139="","",IF($P$3=$AT$8,"",IF($P$3=$AT$9,"",IF($P$3=$AT$10,'Statement of Marks'!AV138,IF($P$3=$AT$11,'Statement of Marks'!BS138,IF($P$3=$AT$12,'Statement of Marks'!CP138,IF($P$3=$AT$13,'Statement of Marks'!DN138,IF($P$3=$AT$14,"",IF($P$3=$AT$15,"",""))))))))),"")</f>
        <v/>
      </c>
      <c r="V139" s="818" t="str">
        <f>IFERROR(IF(B139="","",IF(AND(T139="",U139="",$P$3=""),"",IF($P$3=$AT$14,'Statement of Marks'!EE138,SUM(T139,U139)))),"")</f>
        <v/>
      </c>
      <c r="W139" s="808" t="str">
        <f t="shared" si="33"/>
        <v/>
      </c>
      <c r="X139" s="809">
        <f t="shared" si="34"/>
        <v>0</v>
      </c>
      <c r="Y139" s="809">
        <f t="shared" si="35"/>
        <v>0</v>
      </c>
      <c r="Z139" s="809">
        <f t="shared" si="36"/>
        <v>0</v>
      </c>
      <c r="AA139" s="809" t="str">
        <f t="shared" si="37"/>
        <v/>
      </c>
      <c r="AB139" s="809" t="str">
        <f t="shared" si="38"/>
        <v/>
      </c>
      <c r="AC139" s="809" t="str">
        <f t="shared" si="39"/>
        <v/>
      </c>
      <c r="AD139" s="809" t="str">
        <f t="shared" si="40"/>
        <v/>
      </c>
      <c r="AE139" s="810" t="str">
        <f t="shared" si="41"/>
        <v/>
      </c>
      <c r="AF139" s="811" t="str">
        <f t="shared" si="42"/>
        <v/>
      </c>
      <c r="AG139" s="812" t="str">
        <f t="shared" si="43"/>
        <v/>
      </c>
      <c r="AW139" s="17" t="str">
        <f t="shared" si="44"/>
        <v/>
      </c>
      <c r="AX139" s="17" t="str">
        <f t="shared" si="45"/>
        <v/>
      </c>
      <c r="BM139" s="17" t="str">
        <f>IFERROR(VLOOKUP(B139,'Statement of Marks'!$B$8:'Statement of Marks'!$HI$207,37,0),"")</f>
        <v>A</v>
      </c>
      <c r="BN139" s="17" t="str">
        <f>IFERROR(VLOOKUP(B139,'Statement of Marks'!$B$8:'Statement of Marks'!$HI$207,60,0),"")</f>
        <v>A</v>
      </c>
      <c r="BO139" s="17" t="str">
        <f>IFERROR(VLOOKUP(B139,'Statement of Marks'!$B$8:'Statement of Marks'!$HI$207,83,0),"")</f>
        <v>A</v>
      </c>
      <c r="BP139" s="17" t="str">
        <f>IFERROR(VLOOKUP(B139,'Statement of Marks'!$B$8:'Statement of Marks'!$HI$207,107,0),"")</f>
        <v/>
      </c>
    </row>
    <row r="140" spans="1:68">
      <c r="A140" s="800">
        <f>IF('Statement of Marks'!A139="","",'Statement of Marks'!A139)</f>
        <v>132</v>
      </c>
      <c r="B140" s="801" t="str">
        <f>IF(OR($E$3="",$P$3=""),"",IF('Statement of Marks'!B139="","",'Statement of Marks'!B139))</f>
        <v/>
      </c>
      <c r="C140" s="810" t="str">
        <f>IF(OR($E$3="",$P$3=""),"",IF('Marks Entry'!C139="","",'Marks Entry'!C139))</f>
        <v/>
      </c>
      <c r="D140" s="802" t="str">
        <f>IF(OR($E$3="",$P$3=""),"",IF('Statement of Marks'!C139="","",'Statement of Marks'!C139))</f>
        <v/>
      </c>
      <c r="E140" s="803" t="str">
        <f>IF(OR($E$3="",$P$3=""),"",IF('Statement of Marks'!D139="","",'Statement of Marks'!D139))</f>
        <v/>
      </c>
      <c r="F140" s="804" t="str">
        <f>IF(OR($E$3="",$P$3=""),"",IF('Statement of Marks'!E139="","",'Statement of Marks'!E139))</f>
        <v/>
      </c>
      <c r="G140" s="804" t="str">
        <f>IF(OR($E$3="",$P$3=""),"",IF('Statement of Marks'!F139="","",'Statement of Marks'!F139))</f>
        <v/>
      </c>
      <c r="H140" s="804" t="str">
        <f>IF(OR($E$3="",$P$3=""),"",IF('Statement of Marks'!G139="","",'Statement of Marks'!G139))</f>
        <v/>
      </c>
      <c r="I140" s="805" t="str">
        <f>IF(OR($E$3="",$P$3=""),"",IF('Statement of Marks'!H139="","",'Statement of Marks'!H139))</f>
        <v/>
      </c>
      <c r="J140" s="805" t="str">
        <f>IF(OR($E$3="",$P$3=""),"",IF('Statement of Marks'!I139="","",'Statement of Marks'!I139))</f>
        <v/>
      </c>
      <c r="K140" s="805" t="str">
        <f>IFERROR(IF(B140="","",IF($P$3=$AT$10,IF(AND(BM140="A"),'Marks Entry'!$U$2,IF(AND(BM140="B"),'Marks Entry'!$Y$2,IF(AND(BM140="C"),'Marks Entry'!$AA$2,""))),IF($P$3=$AT$11,IF(AND(BN140="A"),'Marks Entry'!$AC$2,IF(AND(BN140="B"),'Marks Entry'!$AG$2,IF(AND(BN140="C"),'Marks Entry'!$AI$2,""))),IF($P$3=$AT$12,IF(AND(BO140="A"),'Marks Entry'!$AK$2,IF(AND(BO140="B"),'Marks Entry'!$AO$2,IF(AND(BO140="C"),'Marks Entry'!$AQ$2,""))),IF($P$3=$AT$13,IF(AND(BP140="A"),'Marks Entry'!$AS$2,IF(AND(BP140="B"),'Marks Entry'!$AW$2,IF(AND(BP140="C"),'Marks Entry'!$AY$2,""))),"-"))))),"")</f>
        <v/>
      </c>
      <c r="L140" s="806" t="str">
        <f>IFERROR(IF(B140="","",IF($P$3=$AT$8,'Statement of Marks'!J139,IF($P$3=$AT$9,'Statement of Marks'!X139,IF($P$3=$AT$10,'Statement of Marks'!AM139,IF($P$3=$AT$11,'Statement of Marks'!BJ139,IF($P$3=$AT$12,'Statement of Marks'!CG139,IF($P$3=$AT$13,'Statement of Marks'!DE139,IF($P$3=$AT$14,"",IF($P$3=$AT$15,'Statement of Marks'!EY139,""))))))))),"")</f>
        <v/>
      </c>
      <c r="M140" s="806" t="str">
        <f>IFERROR(IF(B140="","",IF($P$3=$AT$8,'Statement of Marks'!K139,IF($P$3=$AT$9,'Statement of Marks'!Y139,IF($P$3=$AT$10,'Statement of Marks'!AN139,IF($P$3=$AT$11,'Statement of Marks'!BK139,IF($P$3=$AT$12,'Statement of Marks'!CH139,IF($P$3=$AT$13,'Statement of Marks'!DF139,IF($P$3=$AT$14,"",IF($P$3=$AT$15,'Statement of Marks'!EZ139,""))))))))),"")</f>
        <v/>
      </c>
      <c r="N140" s="806" t="str">
        <f>IFERROR(IF(B140="","",IF($P$3=$AT$8,'Statement of Marks'!L139,IF($P$3=$AT$9,'Statement of Marks'!Z139,IF($P$3=$AT$10,'Statement of Marks'!AO139,IF($P$3=$AT$11,'Statement of Marks'!BL139,IF($P$3=$AT$12,'Statement of Marks'!CI139,IF($P$3=$AT$13,'Statement of Marks'!DG139,IF($P$3=$AT$14,"",IF($P$3=$AT$15,'Statement of Marks'!FA139,""))))))))),"")</f>
        <v/>
      </c>
      <c r="O140" s="807" t="str">
        <f t="shared" si="32"/>
        <v/>
      </c>
      <c r="P140" s="806" t="str">
        <f>IFERROR(IF(B140="","",IF($P$3=$AT$8,'Statement of Marks'!N139,IF($P$3=$AT$9,'Statement of Marks'!AB139,IF($P$3=$AT$10,'Statement of Marks'!AQ139,IF($P$3=$AT$11,'Statement of Marks'!BN139,IF($P$3=$AT$12,'Statement of Marks'!CK139,IF($P$3=$AT$13,'Statement of Marks'!DI139,IF($P$3=$AT$14,"",IF($P$3=$AT$15,'Statement of Marks'!FC139,""))))))))),"")</f>
        <v/>
      </c>
      <c r="Q140" s="806" t="str">
        <f>IFERROR(IF(B140="","",IF($P$3=$AT$8,"",IF($P$3=$AT$9,"",IF($P$3=$AT$10,'Statement of Marks'!AR139,IF($P$3=$AT$11,'Statement of Marks'!BO139,IF($P$3=$AT$12,'Statement of Marks'!CL139,IF($P$3=$AT$13,'Statement of Marks'!DJ139,IF($P$3=$AT$14,"",IF($P$3=$AT$15,"",""))))))))),"")</f>
        <v/>
      </c>
      <c r="R140" s="818" t="str">
        <f>IFERROR(IF(B140="","",IF(AND(P140="",Q140="",$P$3=""),"",IF($P$3=$AT$14,'Statement of Marks'!EC139,SUM(P140,Q140)))),"")</f>
        <v/>
      </c>
      <c r="S140" s="817" t="str">
        <f>IFERROR(IF(B140="","",IF($P$3=$AT$14,'Statement of Marks'!ED139,IF(AND(O140="NA",P140="NA",Q140="NA"),"NA",IF(AND(O140="",P140="",Q140=""),"",SUM(O140,P140,Q140))))),"")</f>
        <v/>
      </c>
      <c r="T140" s="806" t="str">
        <f>IFERROR(IF(B140="","",IF($P$3=$AT$8,'Statement of Marks'!P139,IF($P$3=$AT$9,'Statement of Marks'!AD139,IF($P$3=$AT$10,'Statement of Marks'!AU139,IF($P$3=$AT$11,'Statement of Marks'!BR139,IF($P$3=$AT$12,'Statement of Marks'!CO139,IF($P$3=$AT$13,'Statement of Marks'!DM139,IF($P$3=$AT$14,"",IF($P$3=$AT$15,'Statement of Marks'!FD139,""))))))))),"")</f>
        <v/>
      </c>
      <c r="U140" s="806" t="str">
        <f>IFERROR(IF(B140="","",IF($P$3=$AT$8,"",IF($P$3=$AT$9,"",IF($P$3=$AT$10,'Statement of Marks'!AV139,IF($P$3=$AT$11,'Statement of Marks'!BS139,IF($P$3=$AT$12,'Statement of Marks'!CP139,IF($P$3=$AT$13,'Statement of Marks'!DN139,IF($P$3=$AT$14,"",IF($P$3=$AT$15,"",""))))))))),"")</f>
        <v/>
      </c>
      <c r="V140" s="818" t="str">
        <f>IFERROR(IF(B140="","",IF(AND(T140="",U140="",$P$3=""),"",IF($P$3=$AT$14,'Statement of Marks'!EE139,SUM(T140,U140)))),"")</f>
        <v/>
      </c>
      <c r="W140" s="808" t="str">
        <f t="shared" si="33"/>
        <v/>
      </c>
      <c r="X140" s="809">
        <f t="shared" si="34"/>
        <v>0</v>
      </c>
      <c r="Y140" s="809">
        <f t="shared" si="35"/>
        <v>0</v>
      </c>
      <c r="Z140" s="809">
        <f t="shared" si="36"/>
        <v>0</v>
      </c>
      <c r="AA140" s="809" t="str">
        <f t="shared" si="37"/>
        <v/>
      </c>
      <c r="AB140" s="809" t="str">
        <f t="shared" si="38"/>
        <v/>
      </c>
      <c r="AC140" s="809" t="str">
        <f t="shared" si="39"/>
        <v/>
      </c>
      <c r="AD140" s="809" t="str">
        <f t="shared" si="40"/>
        <v/>
      </c>
      <c r="AE140" s="810" t="str">
        <f t="shared" si="41"/>
        <v/>
      </c>
      <c r="AF140" s="811" t="str">
        <f t="shared" si="42"/>
        <v/>
      </c>
      <c r="AG140" s="812" t="str">
        <f t="shared" si="43"/>
        <v/>
      </c>
      <c r="AW140" s="17" t="str">
        <f t="shared" si="44"/>
        <v/>
      </c>
      <c r="AX140" s="17" t="str">
        <f t="shared" si="45"/>
        <v/>
      </c>
      <c r="BM140" s="17" t="str">
        <f>IFERROR(VLOOKUP(B140,'Statement of Marks'!$B$8:'Statement of Marks'!$HI$207,37,0),"")</f>
        <v>A</v>
      </c>
      <c r="BN140" s="17" t="str">
        <f>IFERROR(VLOOKUP(B140,'Statement of Marks'!$B$8:'Statement of Marks'!$HI$207,60,0),"")</f>
        <v>A</v>
      </c>
      <c r="BO140" s="17" t="str">
        <f>IFERROR(VLOOKUP(B140,'Statement of Marks'!$B$8:'Statement of Marks'!$HI$207,83,0),"")</f>
        <v>A</v>
      </c>
      <c r="BP140" s="17" t="str">
        <f>IFERROR(VLOOKUP(B140,'Statement of Marks'!$B$8:'Statement of Marks'!$HI$207,107,0),"")</f>
        <v/>
      </c>
    </row>
    <row r="141" spans="1:68">
      <c r="A141" s="800">
        <f>IF('Statement of Marks'!A140="","",'Statement of Marks'!A140)</f>
        <v>133</v>
      </c>
      <c r="B141" s="801" t="str">
        <f>IF(OR($E$3="",$P$3=""),"",IF('Statement of Marks'!B140="","",'Statement of Marks'!B140))</f>
        <v/>
      </c>
      <c r="C141" s="810" t="str">
        <f>IF(OR($E$3="",$P$3=""),"",IF('Marks Entry'!C140="","",'Marks Entry'!C140))</f>
        <v/>
      </c>
      <c r="D141" s="802" t="str">
        <f>IF(OR($E$3="",$P$3=""),"",IF('Statement of Marks'!C140="","",'Statement of Marks'!C140))</f>
        <v/>
      </c>
      <c r="E141" s="803" t="str">
        <f>IF(OR($E$3="",$P$3=""),"",IF('Statement of Marks'!D140="","",'Statement of Marks'!D140))</f>
        <v/>
      </c>
      <c r="F141" s="804" t="str">
        <f>IF(OR($E$3="",$P$3=""),"",IF('Statement of Marks'!E140="","",'Statement of Marks'!E140))</f>
        <v/>
      </c>
      <c r="G141" s="804" t="str">
        <f>IF(OR($E$3="",$P$3=""),"",IF('Statement of Marks'!F140="","",'Statement of Marks'!F140))</f>
        <v/>
      </c>
      <c r="H141" s="804" t="str">
        <f>IF(OR($E$3="",$P$3=""),"",IF('Statement of Marks'!G140="","",'Statement of Marks'!G140))</f>
        <v/>
      </c>
      <c r="I141" s="805" t="str">
        <f>IF(OR($E$3="",$P$3=""),"",IF('Statement of Marks'!H140="","",'Statement of Marks'!H140))</f>
        <v/>
      </c>
      <c r="J141" s="805" t="str">
        <f>IF(OR($E$3="",$P$3=""),"",IF('Statement of Marks'!I140="","",'Statement of Marks'!I140))</f>
        <v/>
      </c>
      <c r="K141" s="805" t="str">
        <f>IFERROR(IF(B141="","",IF($P$3=$AT$10,IF(AND(BM141="A"),'Marks Entry'!$U$2,IF(AND(BM141="B"),'Marks Entry'!$Y$2,IF(AND(BM141="C"),'Marks Entry'!$AA$2,""))),IF($P$3=$AT$11,IF(AND(BN141="A"),'Marks Entry'!$AC$2,IF(AND(BN141="B"),'Marks Entry'!$AG$2,IF(AND(BN141="C"),'Marks Entry'!$AI$2,""))),IF($P$3=$AT$12,IF(AND(BO141="A"),'Marks Entry'!$AK$2,IF(AND(BO141="B"),'Marks Entry'!$AO$2,IF(AND(BO141="C"),'Marks Entry'!$AQ$2,""))),IF($P$3=$AT$13,IF(AND(BP141="A"),'Marks Entry'!$AS$2,IF(AND(BP141="B"),'Marks Entry'!$AW$2,IF(AND(BP141="C"),'Marks Entry'!$AY$2,""))),"-"))))),"")</f>
        <v/>
      </c>
      <c r="L141" s="806" t="str">
        <f>IFERROR(IF(B141="","",IF($P$3=$AT$8,'Statement of Marks'!J140,IF($P$3=$AT$9,'Statement of Marks'!X140,IF($P$3=$AT$10,'Statement of Marks'!AM140,IF($P$3=$AT$11,'Statement of Marks'!BJ140,IF($P$3=$AT$12,'Statement of Marks'!CG140,IF($P$3=$AT$13,'Statement of Marks'!DE140,IF($P$3=$AT$14,"",IF($P$3=$AT$15,'Statement of Marks'!EY140,""))))))))),"")</f>
        <v/>
      </c>
      <c r="M141" s="806" t="str">
        <f>IFERROR(IF(B141="","",IF($P$3=$AT$8,'Statement of Marks'!K140,IF($P$3=$AT$9,'Statement of Marks'!Y140,IF($P$3=$AT$10,'Statement of Marks'!AN140,IF($P$3=$AT$11,'Statement of Marks'!BK140,IF($P$3=$AT$12,'Statement of Marks'!CH140,IF($P$3=$AT$13,'Statement of Marks'!DF140,IF($P$3=$AT$14,"",IF($P$3=$AT$15,'Statement of Marks'!EZ140,""))))))))),"")</f>
        <v/>
      </c>
      <c r="N141" s="806" t="str">
        <f>IFERROR(IF(B141="","",IF($P$3=$AT$8,'Statement of Marks'!L140,IF($P$3=$AT$9,'Statement of Marks'!Z140,IF($P$3=$AT$10,'Statement of Marks'!AO140,IF($P$3=$AT$11,'Statement of Marks'!BL140,IF($P$3=$AT$12,'Statement of Marks'!CI140,IF($P$3=$AT$13,'Statement of Marks'!DG140,IF($P$3=$AT$14,"",IF($P$3=$AT$15,'Statement of Marks'!FA140,""))))))))),"")</f>
        <v/>
      </c>
      <c r="O141" s="807" t="str">
        <f t="shared" si="32"/>
        <v/>
      </c>
      <c r="P141" s="806" t="str">
        <f>IFERROR(IF(B141="","",IF($P$3=$AT$8,'Statement of Marks'!N140,IF($P$3=$AT$9,'Statement of Marks'!AB140,IF($P$3=$AT$10,'Statement of Marks'!AQ140,IF($P$3=$AT$11,'Statement of Marks'!BN140,IF($P$3=$AT$12,'Statement of Marks'!CK140,IF($P$3=$AT$13,'Statement of Marks'!DI140,IF($P$3=$AT$14,"",IF($P$3=$AT$15,'Statement of Marks'!FC140,""))))))))),"")</f>
        <v/>
      </c>
      <c r="Q141" s="806" t="str">
        <f>IFERROR(IF(B141="","",IF($P$3=$AT$8,"",IF($P$3=$AT$9,"",IF($P$3=$AT$10,'Statement of Marks'!AR140,IF($P$3=$AT$11,'Statement of Marks'!BO140,IF($P$3=$AT$12,'Statement of Marks'!CL140,IF($P$3=$AT$13,'Statement of Marks'!DJ140,IF($P$3=$AT$14,"",IF($P$3=$AT$15,"",""))))))))),"")</f>
        <v/>
      </c>
      <c r="R141" s="818" t="str">
        <f>IFERROR(IF(B141="","",IF(AND(P141="",Q141="",$P$3=""),"",IF($P$3=$AT$14,'Statement of Marks'!EC140,SUM(P141,Q141)))),"")</f>
        <v/>
      </c>
      <c r="S141" s="817" t="str">
        <f>IFERROR(IF(B141="","",IF($P$3=$AT$14,'Statement of Marks'!ED140,IF(AND(O141="NA",P141="NA",Q141="NA"),"NA",IF(AND(O141="",P141="",Q141=""),"",SUM(O141,P141,Q141))))),"")</f>
        <v/>
      </c>
      <c r="T141" s="806" t="str">
        <f>IFERROR(IF(B141="","",IF($P$3=$AT$8,'Statement of Marks'!P140,IF($P$3=$AT$9,'Statement of Marks'!AD140,IF($P$3=$AT$10,'Statement of Marks'!AU140,IF($P$3=$AT$11,'Statement of Marks'!BR140,IF($P$3=$AT$12,'Statement of Marks'!CO140,IF($P$3=$AT$13,'Statement of Marks'!DM140,IF($P$3=$AT$14,"",IF($P$3=$AT$15,'Statement of Marks'!FD140,""))))))))),"")</f>
        <v/>
      </c>
      <c r="U141" s="806" t="str">
        <f>IFERROR(IF(B141="","",IF($P$3=$AT$8,"",IF($P$3=$AT$9,"",IF($P$3=$AT$10,'Statement of Marks'!AV140,IF($P$3=$AT$11,'Statement of Marks'!BS140,IF($P$3=$AT$12,'Statement of Marks'!CP140,IF($P$3=$AT$13,'Statement of Marks'!DN140,IF($P$3=$AT$14,"",IF($P$3=$AT$15,"",""))))))))),"")</f>
        <v/>
      </c>
      <c r="V141" s="818" t="str">
        <f>IFERROR(IF(B141="","",IF(AND(T141="",U141="",$P$3=""),"",IF($P$3=$AT$14,'Statement of Marks'!EE140,SUM(T141,U141)))),"")</f>
        <v/>
      </c>
      <c r="W141" s="808" t="str">
        <f t="shared" si="33"/>
        <v/>
      </c>
      <c r="X141" s="809">
        <f t="shared" si="34"/>
        <v>0</v>
      </c>
      <c r="Y141" s="809">
        <f t="shared" si="35"/>
        <v>0</v>
      </c>
      <c r="Z141" s="809">
        <f t="shared" si="36"/>
        <v>0</v>
      </c>
      <c r="AA141" s="809" t="str">
        <f t="shared" si="37"/>
        <v/>
      </c>
      <c r="AB141" s="809" t="str">
        <f t="shared" si="38"/>
        <v/>
      </c>
      <c r="AC141" s="809" t="str">
        <f t="shared" si="39"/>
        <v/>
      </c>
      <c r="AD141" s="809" t="str">
        <f t="shared" si="40"/>
        <v/>
      </c>
      <c r="AE141" s="810" t="str">
        <f t="shared" si="41"/>
        <v/>
      </c>
      <c r="AF141" s="811" t="str">
        <f t="shared" si="42"/>
        <v/>
      </c>
      <c r="AG141" s="812" t="str">
        <f t="shared" si="43"/>
        <v/>
      </c>
      <c r="AW141" s="17" t="str">
        <f t="shared" si="44"/>
        <v/>
      </c>
      <c r="AX141" s="17" t="str">
        <f t="shared" si="45"/>
        <v/>
      </c>
      <c r="BM141" s="17" t="str">
        <f>IFERROR(VLOOKUP(B141,'Statement of Marks'!$B$8:'Statement of Marks'!$HI$207,37,0),"")</f>
        <v>A</v>
      </c>
      <c r="BN141" s="17" t="str">
        <f>IFERROR(VLOOKUP(B141,'Statement of Marks'!$B$8:'Statement of Marks'!$HI$207,60,0),"")</f>
        <v>A</v>
      </c>
      <c r="BO141" s="17" t="str">
        <f>IFERROR(VLOOKUP(B141,'Statement of Marks'!$B$8:'Statement of Marks'!$HI$207,83,0),"")</f>
        <v>A</v>
      </c>
      <c r="BP141" s="17" t="str">
        <f>IFERROR(VLOOKUP(B141,'Statement of Marks'!$B$8:'Statement of Marks'!$HI$207,107,0),"")</f>
        <v/>
      </c>
    </row>
    <row r="142" spans="1:68">
      <c r="A142" s="800">
        <f>IF('Statement of Marks'!A141="","",'Statement of Marks'!A141)</f>
        <v>134</v>
      </c>
      <c r="B142" s="801" t="str">
        <f>IF(OR($E$3="",$P$3=""),"",IF('Statement of Marks'!B141="","",'Statement of Marks'!B141))</f>
        <v/>
      </c>
      <c r="C142" s="810" t="str">
        <f>IF(OR($E$3="",$P$3=""),"",IF('Marks Entry'!C141="","",'Marks Entry'!C141))</f>
        <v/>
      </c>
      <c r="D142" s="802" t="str">
        <f>IF(OR($E$3="",$P$3=""),"",IF('Statement of Marks'!C141="","",'Statement of Marks'!C141))</f>
        <v/>
      </c>
      <c r="E142" s="803" t="str">
        <f>IF(OR($E$3="",$P$3=""),"",IF('Statement of Marks'!D141="","",'Statement of Marks'!D141))</f>
        <v/>
      </c>
      <c r="F142" s="804" t="str">
        <f>IF(OR($E$3="",$P$3=""),"",IF('Statement of Marks'!E141="","",'Statement of Marks'!E141))</f>
        <v/>
      </c>
      <c r="G142" s="804" t="str">
        <f>IF(OR($E$3="",$P$3=""),"",IF('Statement of Marks'!F141="","",'Statement of Marks'!F141))</f>
        <v/>
      </c>
      <c r="H142" s="804" t="str">
        <f>IF(OR($E$3="",$P$3=""),"",IF('Statement of Marks'!G141="","",'Statement of Marks'!G141))</f>
        <v/>
      </c>
      <c r="I142" s="805" t="str">
        <f>IF(OR($E$3="",$P$3=""),"",IF('Statement of Marks'!H141="","",'Statement of Marks'!H141))</f>
        <v/>
      </c>
      <c r="J142" s="805" t="str">
        <f>IF(OR($E$3="",$P$3=""),"",IF('Statement of Marks'!I141="","",'Statement of Marks'!I141))</f>
        <v/>
      </c>
      <c r="K142" s="805" t="str">
        <f>IFERROR(IF(B142="","",IF($P$3=$AT$10,IF(AND(BM142="A"),'Marks Entry'!$U$2,IF(AND(BM142="B"),'Marks Entry'!$Y$2,IF(AND(BM142="C"),'Marks Entry'!$AA$2,""))),IF($P$3=$AT$11,IF(AND(BN142="A"),'Marks Entry'!$AC$2,IF(AND(BN142="B"),'Marks Entry'!$AG$2,IF(AND(BN142="C"),'Marks Entry'!$AI$2,""))),IF($P$3=$AT$12,IF(AND(BO142="A"),'Marks Entry'!$AK$2,IF(AND(BO142="B"),'Marks Entry'!$AO$2,IF(AND(BO142="C"),'Marks Entry'!$AQ$2,""))),IF($P$3=$AT$13,IF(AND(BP142="A"),'Marks Entry'!$AS$2,IF(AND(BP142="B"),'Marks Entry'!$AW$2,IF(AND(BP142="C"),'Marks Entry'!$AY$2,""))),"-"))))),"")</f>
        <v/>
      </c>
      <c r="L142" s="806" t="str">
        <f>IFERROR(IF(B142="","",IF($P$3=$AT$8,'Statement of Marks'!J141,IF($P$3=$AT$9,'Statement of Marks'!X141,IF($P$3=$AT$10,'Statement of Marks'!AM141,IF($P$3=$AT$11,'Statement of Marks'!BJ141,IF($P$3=$AT$12,'Statement of Marks'!CG141,IF($P$3=$AT$13,'Statement of Marks'!DE141,IF($P$3=$AT$14,"",IF($P$3=$AT$15,'Statement of Marks'!EY141,""))))))))),"")</f>
        <v/>
      </c>
      <c r="M142" s="806" t="str">
        <f>IFERROR(IF(B142="","",IF($P$3=$AT$8,'Statement of Marks'!K141,IF($P$3=$AT$9,'Statement of Marks'!Y141,IF($P$3=$AT$10,'Statement of Marks'!AN141,IF($P$3=$AT$11,'Statement of Marks'!BK141,IF($P$3=$AT$12,'Statement of Marks'!CH141,IF($P$3=$AT$13,'Statement of Marks'!DF141,IF($P$3=$AT$14,"",IF($P$3=$AT$15,'Statement of Marks'!EZ141,""))))))))),"")</f>
        <v/>
      </c>
      <c r="N142" s="806" t="str">
        <f>IFERROR(IF(B142="","",IF($P$3=$AT$8,'Statement of Marks'!L141,IF($P$3=$AT$9,'Statement of Marks'!Z141,IF($P$3=$AT$10,'Statement of Marks'!AO141,IF($P$3=$AT$11,'Statement of Marks'!BL141,IF($P$3=$AT$12,'Statement of Marks'!CI141,IF($P$3=$AT$13,'Statement of Marks'!DG141,IF($P$3=$AT$14,"",IF($P$3=$AT$15,'Statement of Marks'!FA141,""))))))))),"")</f>
        <v/>
      </c>
      <c r="O142" s="807" t="str">
        <f t="shared" si="32"/>
        <v/>
      </c>
      <c r="P142" s="806" t="str">
        <f>IFERROR(IF(B142="","",IF($P$3=$AT$8,'Statement of Marks'!N141,IF($P$3=$AT$9,'Statement of Marks'!AB141,IF($P$3=$AT$10,'Statement of Marks'!AQ141,IF($P$3=$AT$11,'Statement of Marks'!BN141,IF($P$3=$AT$12,'Statement of Marks'!CK141,IF($P$3=$AT$13,'Statement of Marks'!DI141,IF($P$3=$AT$14,"",IF($P$3=$AT$15,'Statement of Marks'!FC141,""))))))))),"")</f>
        <v/>
      </c>
      <c r="Q142" s="806" t="str">
        <f>IFERROR(IF(B142="","",IF($P$3=$AT$8,"",IF($P$3=$AT$9,"",IF($P$3=$AT$10,'Statement of Marks'!AR141,IF($P$3=$AT$11,'Statement of Marks'!BO141,IF($P$3=$AT$12,'Statement of Marks'!CL141,IF($P$3=$AT$13,'Statement of Marks'!DJ141,IF($P$3=$AT$14,"",IF($P$3=$AT$15,"",""))))))))),"")</f>
        <v/>
      </c>
      <c r="R142" s="818" t="str">
        <f>IFERROR(IF(B142="","",IF(AND(P142="",Q142="",$P$3=""),"",IF($P$3=$AT$14,'Statement of Marks'!EC141,SUM(P142,Q142)))),"")</f>
        <v/>
      </c>
      <c r="S142" s="817" t="str">
        <f>IFERROR(IF(B142="","",IF($P$3=$AT$14,'Statement of Marks'!ED141,IF(AND(O142="NA",P142="NA",Q142="NA"),"NA",IF(AND(O142="",P142="",Q142=""),"",SUM(O142,P142,Q142))))),"")</f>
        <v/>
      </c>
      <c r="T142" s="806" t="str">
        <f>IFERROR(IF(B142="","",IF($P$3=$AT$8,'Statement of Marks'!P141,IF($P$3=$AT$9,'Statement of Marks'!AD141,IF($P$3=$AT$10,'Statement of Marks'!AU141,IF($P$3=$AT$11,'Statement of Marks'!BR141,IF($P$3=$AT$12,'Statement of Marks'!CO141,IF($P$3=$AT$13,'Statement of Marks'!DM141,IF($P$3=$AT$14,"",IF($P$3=$AT$15,'Statement of Marks'!FD141,""))))))))),"")</f>
        <v/>
      </c>
      <c r="U142" s="806" t="str">
        <f>IFERROR(IF(B142="","",IF($P$3=$AT$8,"",IF($P$3=$AT$9,"",IF($P$3=$AT$10,'Statement of Marks'!AV141,IF($P$3=$AT$11,'Statement of Marks'!BS141,IF($P$3=$AT$12,'Statement of Marks'!CP141,IF($P$3=$AT$13,'Statement of Marks'!DN141,IF($P$3=$AT$14,"",IF($P$3=$AT$15,"",""))))))))),"")</f>
        <v/>
      </c>
      <c r="V142" s="818" t="str">
        <f>IFERROR(IF(B142="","",IF(AND(T142="",U142="",$P$3=""),"",IF($P$3=$AT$14,'Statement of Marks'!EE141,SUM(T142,U142)))),"")</f>
        <v/>
      </c>
      <c r="W142" s="808" t="str">
        <f t="shared" si="33"/>
        <v/>
      </c>
      <c r="X142" s="809">
        <f t="shared" si="34"/>
        <v>0</v>
      </c>
      <c r="Y142" s="809">
        <f t="shared" si="35"/>
        <v>0</v>
      </c>
      <c r="Z142" s="809">
        <f t="shared" si="36"/>
        <v>0</v>
      </c>
      <c r="AA142" s="809" t="str">
        <f t="shared" si="37"/>
        <v/>
      </c>
      <c r="AB142" s="809" t="str">
        <f t="shared" si="38"/>
        <v/>
      </c>
      <c r="AC142" s="809" t="str">
        <f t="shared" si="39"/>
        <v/>
      </c>
      <c r="AD142" s="809" t="str">
        <f t="shared" si="40"/>
        <v/>
      </c>
      <c r="AE142" s="810" t="str">
        <f t="shared" si="41"/>
        <v/>
      </c>
      <c r="AF142" s="811" t="str">
        <f t="shared" si="42"/>
        <v/>
      </c>
      <c r="AG142" s="812" t="str">
        <f t="shared" si="43"/>
        <v/>
      </c>
      <c r="AW142" s="17" t="str">
        <f t="shared" si="44"/>
        <v/>
      </c>
      <c r="AX142" s="17" t="str">
        <f t="shared" si="45"/>
        <v/>
      </c>
      <c r="BM142" s="17" t="str">
        <f>IFERROR(VLOOKUP(B142,'Statement of Marks'!$B$8:'Statement of Marks'!$HI$207,37,0),"")</f>
        <v>A</v>
      </c>
      <c r="BN142" s="17" t="str">
        <f>IFERROR(VLOOKUP(B142,'Statement of Marks'!$B$8:'Statement of Marks'!$HI$207,60,0),"")</f>
        <v>A</v>
      </c>
      <c r="BO142" s="17" t="str">
        <f>IFERROR(VLOOKUP(B142,'Statement of Marks'!$B$8:'Statement of Marks'!$HI$207,83,0),"")</f>
        <v>A</v>
      </c>
      <c r="BP142" s="17" t="str">
        <f>IFERROR(VLOOKUP(B142,'Statement of Marks'!$B$8:'Statement of Marks'!$HI$207,107,0),"")</f>
        <v/>
      </c>
    </row>
    <row r="143" spans="1:68">
      <c r="A143" s="800">
        <f>IF('Statement of Marks'!A142="","",'Statement of Marks'!A142)</f>
        <v>135</v>
      </c>
      <c r="B143" s="801" t="str">
        <f>IF(OR($E$3="",$P$3=""),"",IF('Statement of Marks'!B142="","",'Statement of Marks'!B142))</f>
        <v/>
      </c>
      <c r="C143" s="810" t="str">
        <f>IF(OR($E$3="",$P$3=""),"",IF('Marks Entry'!C142="","",'Marks Entry'!C142))</f>
        <v/>
      </c>
      <c r="D143" s="802" t="str">
        <f>IF(OR($E$3="",$P$3=""),"",IF('Statement of Marks'!C142="","",'Statement of Marks'!C142))</f>
        <v/>
      </c>
      <c r="E143" s="803" t="str">
        <f>IF(OR($E$3="",$P$3=""),"",IF('Statement of Marks'!D142="","",'Statement of Marks'!D142))</f>
        <v/>
      </c>
      <c r="F143" s="804" t="str">
        <f>IF(OR($E$3="",$P$3=""),"",IF('Statement of Marks'!E142="","",'Statement of Marks'!E142))</f>
        <v/>
      </c>
      <c r="G143" s="804" t="str">
        <f>IF(OR($E$3="",$P$3=""),"",IF('Statement of Marks'!F142="","",'Statement of Marks'!F142))</f>
        <v/>
      </c>
      <c r="H143" s="804" t="str">
        <f>IF(OR($E$3="",$P$3=""),"",IF('Statement of Marks'!G142="","",'Statement of Marks'!G142))</f>
        <v/>
      </c>
      <c r="I143" s="805" t="str">
        <f>IF(OR($E$3="",$P$3=""),"",IF('Statement of Marks'!H142="","",'Statement of Marks'!H142))</f>
        <v/>
      </c>
      <c r="J143" s="805" t="str">
        <f>IF(OR($E$3="",$P$3=""),"",IF('Statement of Marks'!I142="","",'Statement of Marks'!I142))</f>
        <v/>
      </c>
      <c r="K143" s="805" t="str">
        <f>IFERROR(IF(B143="","",IF($P$3=$AT$10,IF(AND(BM143="A"),'Marks Entry'!$U$2,IF(AND(BM143="B"),'Marks Entry'!$Y$2,IF(AND(BM143="C"),'Marks Entry'!$AA$2,""))),IF($P$3=$AT$11,IF(AND(BN143="A"),'Marks Entry'!$AC$2,IF(AND(BN143="B"),'Marks Entry'!$AG$2,IF(AND(BN143="C"),'Marks Entry'!$AI$2,""))),IF($P$3=$AT$12,IF(AND(BO143="A"),'Marks Entry'!$AK$2,IF(AND(BO143="B"),'Marks Entry'!$AO$2,IF(AND(BO143="C"),'Marks Entry'!$AQ$2,""))),IF($P$3=$AT$13,IF(AND(BP143="A"),'Marks Entry'!$AS$2,IF(AND(BP143="B"),'Marks Entry'!$AW$2,IF(AND(BP143="C"),'Marks Entry'!$AY$2,""))),"-"))))),"")</f>
        <v/>
      </c>
      <c r="L143" s="806" t="str">
        <f>IFERROR(IF(B143="","",IF($P$3=$AT$8,'Statement of Marks'!J142,IF($P$3=$AT$9,'Statement of Marks'!X142,IF($P$3=$AT$10,'Statement of Marks'!AM142,IF($P$3=$AT$11,'Statement of Marks'!BJ142,IF($P$3=$AT$12,'Statement of Marks'!CG142,IF($P$3=$AT$13,'Statement of Marks'!DE142,IF($P$3=$AT$14,"",IF($P$3=$AT$15,'Statement of Marks'!EY142,""))))))))),"")</f>
        <v/>
      </c>
      <c r="M143" s="806" t="str">
        <f>IFERROR(IF(B143="","",IF($P$3=$AT$8,'Statement of Marks'!K142,IF($P$3=$AT$9,'Statement of Marks'!Y142,IF($P$3=$AT$10,'Statement of Marks'!AN142,IF($P$3=$AT$11,'Statement of Marks'!BK142,IF($P$3=$AT$12,'Statement of Marks'!CH142,IF($P$3=$AT$13,'Statement of Marks'!DF142,IF($P$3=$AT$14,"",IF($P$3=$AT$15,'Statement of Marks'!EZ142,""))))))))),"")</f>
        <v/>
      </c>
      <c r="N143" s="806" t="str">
        <f>IFERROR(IF(B143="","",IF($P$3=$AT$8,'Statement of Marks'!L142,IF($P$3=$AT$9,'Statement of Marks'!Z142,IF($P$3=$AT$10,'Statement of Marks'!AO142,IF($P$3=$AT$11,'Statement of Marks'!BL142,IF($P$3=$AT$12,'Statement of Marks'!CI142,IF($P$3=$AT$13,'Statement of Marks'!DG142,IF($P$3=$AT$14,"",IF($P$3=$AT$15,'Statement of Marks'!FA142,""))))))))),"")</f>
        <v/>
      </c>
      <c r="O143" s="807" t="str">
        <f t="shared" si="32"/>
        <v/>
      </c>
      <c r="P143" s="806" t="str">
        <f>IFERROR(IF(B143="","",IF($P$3=$AT$8,'Statement of Marks'!N142,IF($P$3=$AT$9,'Statement of Marks'!AB142,IF($P$3=$AT$10,'Statement of Marks'!AQ142,IF($P$3=$AT$11,'Statement of Marks'!BN142,IF($P$3=$AT$12,'Statement of Marks'!CK142,IF($P$3=$AT$13,'Statement of Marks'!DI142,IF($P$3=$AT$14,"",IF($P$3=$AT$15,'Statement of Marks'!FC142,""))))))))),"")</f>
        <v/>
      </c>
      <c r="Q143" s="806" t="str">
        <f>IFERROR(IF(B143="","",IF($P$3=$AT$8,"",IF($P$3=$AT$9,"",IF($P$3=$AT$10,'Statement of Marks'!AR142,IF($P$3=$AT$11,'Statement of Marks'!BO142,IF($P$3=$AT$12,'Statement of Marks'!CL142,IF($P$3=$AT$13,'Statement of Marks'!DJ142,IF($P$3=$AT$14,"",IF($P$3=$AT$15,"",""))))))))),"")</f>
        <v/>
      </c>
      <c r="R143" s="818" t="str">
        <f>IFERROR(IF(B143="","",IF(AND(P143="",Q143="",$P$3=""),"",IF($P$3=$AT$14,'Statement of Marks'!EC142,SUM(P143,Q143)))),"")</f>
        <v/>
      </c>
      <c r="S143" s="817" t="str">
        <f>IFERROR(IF(B143="","",IF($P$3=$AT$14,'Statement of Marks'!ED142,IF(AND(O143="NA",P143="NA",Q143="NA"),"NA",IF(AND(O143="",P143="",Q143=""),"",SUM(O143,P143,Q143))))),"")</f>
        <v/>
      </c>
      <c r="T143" s="806" t="str">
        <f>IFERROR(IF(B143="","",IF($P$3=$AT$8,'Statement of Marks'!P142,IF($P$3=$AT$9,'Statement of Marks'!AD142,IF($P$3=$AT$10,'Statement of Marks'!AU142,IF($P$3=$AT$11,'Statement of Marks'!BR142,IF($P$3=$AT$12,'Statement of Marks'!CO142,IF($P$3=$AT$13,'Statement of Marks'!DM142,IF($P$3=$AT$14,"",IF($P$3=$AT$15,'Statement of Marks'!FD142,""))))))))),"")</f>
        <v/>
      </c>
      <c r="U143" s="806" t="str">
        <f>IFERROR(IF(B143="","",IF($P$3=$AT$8,"",IF($P$3=$AT$9,"",IF($P$3=$AT$10,'Statement of Marks'!AV142,IF($P$3=$AT$11,'Statement of Marks'!BS142,IF($P$3=$AT$12,'Statement of Marks'!CP142,IF($P$3=$AT$13,'Statement of Marks'!DN142,IF($P$3=$AT$14,"",IF($P$3=$AT$15,"",""))))))))),"")</f>
        <v/>
      </c>
      <c r="V143" s="818" t="str">
        <f>IFERROR(IF(B143="","",IF(AND(T143="",U143="",$P$3=""),"",IF($P$3=$AT$14,'Statement of Marks'!EE142,SUM(T143,U143)))),"")</f>
        <v/>
      </c>
      <c r="W143" s="808" t="str">
        <f t="shared" si="33"/>
        <v/>
      </c>
      <c r="X143" s="809">
        <f t="shared" si="34"/>
        <v>0</v>
      </c>
      <c r="Y143" s="809">
        <f t="shared" si="35"/>
        <v>0</v>
      </c>
      <c r="Z143" s="809">
        <f t="shared" si="36"/>
        <v>0</v>
      </c>
      <c r="AA143" s="809" t="str">
        <f t="shared" si="37"/>
        <v/>
      </c>
      <c r="AB143" s="809" t="str">
        <f t="shared" si="38"/>
        <v/>
      </c>
      <c r="AC143" s="809" t="str">
        <f t="shared" si="39"/>
        <v/>
      </c>
      <c r="AD143" s="809" t="str">
        <f t="shared" si="40"/>
        <v/>
      </c>
      <c r="AE143" s="810" t="str">
        <f t="shared" si="41"/>
        <v/>
      </c>
      <c r="AF143" s="811" t="str">
        <f t="shared" si="42"/>
        <v/>
      </c>
      <c r="AG143" s="812" t="str">
        <f t="shared" si="43"/>
        <v/>
      </c>
      <c r="AW143" s="17" t="str">
        <f t="shared" si="44"/>
        <v/>
      </c>
      <c r="AX143" s="17" t="str">
        <f t="shared" si="45"/>
        <v/>
      </c>
      <c r="BM143" s="17" t="str">
        <f>IFERROR(VLOOKUP(B143,'Statement of Marks'!$B$8:'Statement of Marks'!$HI$207,37,0),"")</f>
        <v>A</v>
      </c>
      <c r="BN143" s="17" t="str">
        <f>IFERROR(VLOOKUP(B143,'Statement of Marks'!$B$8:'Statement of Marks'!$HI$207,60,0),"")</f>
        <v>A</v>
      </c>
      <c r="BO143" s="17" t="str">
        <f>IFERROR(VLOOKUP(B143,'Statement of Marks'!$B$8:'Statement of Marks'!$HI$207,83,0),"")</f>
        <v>A</v>
      </c>
      <c r="BP143" s="17" t="str">
        <f>IFERROR(VLOOKUP(B143,'Statement of Marks'!$B$8:'Statement of Marks'!$HI$207,107,0),"")</f>
        <v/>
      </c>
    </row>
    <row r="144" spans="1:68">
      <c r="A144" s="800">
        <f>IF('Statement of Marks'!A143="","",'Statement of Marks'!A143)</f>
        <v>136</v>
      </c>
      <c r="B144" s="801" t="str">
        <f>IF(OR($E$3="",$P$3=""),"",IF('Statement of Marks'!B143="","",'Statement of Marks'!B143))</f>
        <v/>
      </c>
      <c r="C144" s="810" t="str">
        <f>IF(OR($E$3="",$P$3=""),"",IF('Marks Entry'!C143="","",'Marks Entry'!C143))</f>
        <v/>
      </c>
      <c r="D144" s="802" t="str">
        <f>IF(OR($E$3="",$P$3=""),"",IF('Statement of Marks'!C143="","",'Statement of Marks'!C143))</f>
        <v/>
      </c>
      <c r="E144" s="803" t="str">
        <f>IF(OR($E$3="",$P$3=""),"",IF('Statement of Marks'!D143="","",'Statement of Marks'!D143))</f>
        <v/>
      </c>
      <c r="F144" s="804" t="str">
        <f>IF(OR($E$3="",$P$3=""),"",IF('Statement of Marks'!E143="","",'Statement of Marks'!E143))</f>
        <v/>
      </c>
      <c r="G144" s="804" t="str">
        <f>IF(OR($E$3="",$P$3=""),"",IF('Statement of Marks'!F143="","",'Statement of Marks'!F143))</f>
        <v/>
      </c>
      <c r="H144" s="804" t="str">
        <f>IF(OR($E$3="",$P$3=""),"",IF('Statement of Marks'!G143="","",'Statement of Marks'!G143))</f>
        <v/>
      </c>
      <c r="I144" s="805" t="str">
        <f>IF(OR($E$3="",$P$3=""),"",IF('Statement of Marks'!H143="","",'Statement of Marks'!H143))</f>
        <v/>
      </c>
      <c r="J144" s="805" t="str">
        <f>IF(OR($E$3="",$P$3=""),"",IF('Statement of Marks'!I143="","",'Statement of Marks'!I143))</f>
        <v/>
      </c>
      <c r="K144" s="805" t="str">
        <f>IFERROR(IF(B144="","",IF($P$3=$AT$10,IF(AND(BM144="A"),'Marks Entry'!$U$2,IF(AND(BM144="B"),'Marks Entry'!$Y$2,IF(AND(BM144="C"),'Marks Entry'!$AA$2,""))),IF($P$3=$AT$11,IF(AND(BN144="A"),'Marks Entry'!$AC$2,IF(AND(BN144="B"),'Marks Entry'!$AG$2,IF(AND(BN144="C"),'Marks Entry'!$AI$2,""))),IF($P$3=$AT$12,IF(AND(BO144="A"),'Marks Entry'!$AK$2,IF(AND(BO144="B"),'Marks Entry'!$AO$2,IF(AND(BO144="C"),'Marks Entry'!$AQ$2,""))),IF($P$3=$AT$13,IF(AND(BP144="A"),'Marks Entry'!$AS$2,IF(AND(BP144="B"),'Marks Entry'!$AW$2,IF(AND(BP144="C"),'Marks Entry'!$AY$2,""))),"-"))))),"")</f>
        <v/>
      </c>
      <c r="L144" s="806" t="str">
        <f>IFERROR(IF(B144="","",IF($P$3=$AT$8,'Statement of Marks'!J143,IF($P$3=$AT$9,'Statement of Marks'!X143,IF($P$3=$AT$10,'Statement of Marks'!AM143,IF($P$3=$AT$11,'Statement of Marks'!BJ143,IF($P$3=$AT$12,'Statement of Marks'!CG143,IF($P$3=$AT$13,'Statement of Marks'!DE143,IF($P$3=$AT$14,"",IF($P$3=$AT$15,'Statement of Marks'!EY143,""))))))))),"")</f>
        <v/>
      </c>
      <c r="M144" s="806" t="str">
        <f>IFERROR(IF(B144="","",IF($P$3=$AT$8,'Statement of Marks'!K143,IF($P$3=$AT$9,'Statement of Marks'!Y143,IF($P$3=$AT$10,'Statement of Marks'!AN143,IF($P$3=$AT$11,'Statement of Marks'!BK143,IF($P$3=$AT$12,'Statement of Marks'!CH143,IF($P$3=$AT$13,'Statement of Marks'!DF143,IF($P$3=$AT$14,"",IF($P$3=$AT$15,'Statement of Marks'!EZ143,""))))))))),"")</f>
        <v/>
      </c>
      <c r="N144" s="806" t="str">
        <f>IFERROR(IF(B144="","",IF($P$3=$AT$8,'Statement of Marks'!L143,IF($P$3=$AT$9,'Statement of Marks'!Z143,IF($P$3=$AT$10,'Statement of Marks'!AO143,IF($P$3=$AT$11,'Statement of Marks'!BL143,IF($P$3=$AT$12,'Statement of Marks'!CI143,IF($P$3=$AT$13,'Statement of Marks'!DG143,IF($P$3=$AT$14,"",IF($P$3=$AT$15,'Statement of Marks'!FA143,""))))))))),"")</f>
        <v/>
      </c>
      <c r="O144" s="807" t="str">
        <f t="shared" si="32"/>
        <v/>
      </c>
      <c r="P144" s="806" t="str">
        <f>IFERROR(IF(B144="","",IF($P$3=$AT$8,'Statement of Marks'!N143,IF($P$3=$AT$9,'Statement of Marks'!AB143,IF($P$3=$AT$10,'Statement of Marks'!AQ143,IF($P$3=$AT$11,'Statement of Marks'!BN143,IF($P$3=$AT$12,'Statement of Marks'!CK143,IF($P$3=$AT$13,'Statement of Marks'!DI143,IF($P$3=$AT$14,"",IF($P$3=$AT$15,'Statement of Marks'!FC143,""))))))))),"")</f>
        <v/>
      </c>
      <c r="Q144" s="806" t="str">
        <f>IFERROR(IF(B144="","",IF($P$3=$AT$8,"",IF($P$3=$AT$9,"",IF($P$3=$AT$10,'Statement of Marks'!AR143,IF($P$3=$AT$11,'Statement of Marks'!BO143,IF($P$3=$AT$12,'Statement of Marks'!CL143,IF($P$3=$AT$13,'Statement of Marks'!DJ143,IF($P$3=$AT$14,"",IF($P$3=$AT$15,"",""))))))))),"")</f>
        <v/>
      </c>
      <c r="R144" s="818" t="str">
        <f>IFERROR(IF(B144="","",IF(AND(P144="",Q144="",$P$3=""),"",IF($P$3=$AT$14,'Statement of Marks'!EC143,SUM(P144,Q144)))),"")</f>
        <v/>
      </c>
      <c r="S144" s="817" t="str">
        <f>IFERROR(IF(B144="","",IF($P$3=$AT$14,'Statement of Marks'!ED143,IF(AND(O144="NA",P144="NA",Q144="NA"),"NA",IF(AND(O144="",P144="",Q144=""),"",SUM(O144,P144,Q144))))),"")</f>
        <v/>
      </c>
      <c r="T144" s="806" t="str">
        <f>IFERROR(IF(B144="","",IF($P$3=$AT$8,'Statement of Marks'!P143,IF($P$3=$AT$9,'Statement of Marks'!AD143,IF($P$3=$AT$10,'Statement of Marks'!AU143,IF($P$3=$AT$11,'Statement of Marks'!BR143,IF($P$3=$AT$12,'Statement of Marks'!CO143,IF($P$3=$AT$13,'Statement of Marks'!DM143,IF($P$3=$AT$14,"",IF($P$3=$AT$15,'Statement of Marks'!FD143,""))))))))),"")</f>
        <v/>
      </c>
      <c r="U144" s="806" t="str">
        <f>IFERROR(IF(B144="","",IF($P$3=$AT$8,"",IF($P$3=$AT$9,"",IF($P$3=$AT$10,'Statement of Marks'!AV143,IF($P$3=$AT$11,'Statement of Marks'!BS143,IF($P$3=$AT$12,'Statement of Marks'!CP143,IF($P$3=$AT$13,'Statement of Marks'!DN143,IF($P$3=$AT$14,"",IF($P$3=$AT$15,"",""))))))))),"")</f>
        <v/>
      </c>
      <c r="V144" s="818" t="str">
        <f>IFERROR(IF(B144="","",IF(AND(T144="",U144="",$P$3=""),"",IF($P$3=$AT$14,'Statement of Marks'!EE143,SUM(T144,U144)))),"")</f>
        <v/>
      </c>
      <c r="W144" s="808" t="str">
        <f t="shared" si="33"/>
        <v/>
      </c>
      <c r="X144" s="809">
        <f t="shared" si="34"/>
        <v>0</v>
      </c>
      <c r="Y144" s="809">
        <f t="shared" si="35"/>
        <v>0</v>
      </c>
      <c r="Z144" s="809">
        <f t="shared" si="36"/>
        <v>0</v>
      </c>
      <c r="AA144" s="809" t="str">
        <f t="shared" si="37"/>
        <v/>
      </c>
      <c r="AB144" s="809" t="str">
        <f t="shared" si="38"/>
        <v/>
      </c>
      <c r="AC144" s="809" t="str">
        <f t="shared" si="39"/>
        <v/>
      </c>
      <c r="AD144" s="809" t="str">
        <f t="shared" si="40"/>
        <v/>
      </c>
      <c r="AE144" s="810" t="str">
        <f t="shared" si="41"/>
        <v/>
      </c>
      <c r="AF144" s="811" t="str">
        <f t="shared" si="42"/>
        <v/>
      </c>
      <c r="AG144" s="812" t="str">
        <f t="shared" si="43"/>
        <v/>
      </c>
      <c r="AW144" s="17" t="str">
        <f t="shared" si="44"/>
        <v/>
      </c>
      <c r="AX144" s="17" t="str">
        <f t="shared" si="45"/>
        <v/>
      </c>
      <c r="BM144" s="17" t="str">
        <f>IFERROR(VLOOKUP(B144,'Statement of Marks'!$B$8:'Statement of Marks'!$HI$207,37,0),"")</f>
        <v>A</v>
      </c>
      <c r="BN144" s="17" t="str">
        <f>IFERROR(VLOOKUP(B144,'Statement of Marks'!$B$8:'Statement of Marks'!$HI$207,60,0),"")</f>
        <v>A</v>
      </c>
      <c r="BO144" s="17" t="str">
        <f>IFERROR(VLOOKUP(B144,'Statement of Marks'!$B$8:'Statement of Marks'!$HI$207,83,0),"")</f>
        <v>A</v>
      </c>
      <c r="BP144" s="17" t="str">
        <f>IFERROR(VLOOKUP(B144,'Statement of Marks'!$B$8:'Statement of Marks'!$HI$207,107,0),"")</f>
        <v/>
      </c>
    </row>
    <row r="145" spans="1:68">
      <c r="A145" s="800">
        <f>IF('Statement of Marks'!A144="","",'Statement of Marks'!A144)</f>
        <v>137</v>
      </c>
      <c r="B145" s="801" t="str">
        <f>IF(OR($E$3="",$P$3=""),"",IF('Statement of Marks'!B144="","",'Statement of Marks'!B144))</f>
        <v/>
      </c>
      <c r="C145" s="810" t="str">
        <f>IF(OR($E$3="",$P$3=""),"",IF('Marks Entry'!C144="","",'Marks Entry'!C144))</f>
        <v/>
      </c>
      <c r="D145" s="802" t="str">
        <f>IF(OR($E$3="",$P$3=""),"",IF('Statement of Marks'!C144="","",'Statement of Marks'!C144))</f>
        <v/>
      </c>
      <c r="E145" s="803" t="str">
        <f>IF(OR($E$3="",$P$3=""),"",IF('Statement of Marks'!D144="","",'Statement of Marks'!D144))</f>
        <v/>
      </c>
      <c r="F145" s="804" t="str">
        <f>IF(OR($E$3="",$P$3=""),"",IF('Statement of Marks'!E144="","",'Statement of Marks'!E144))</f>
        <v/>
      </c>
      <c r="G145" s="804" t="str">
        <f>IF(OR($E$3="",$P$3=""),"",IF('Statement of Marks'!F144="","",'Statement of Marks'!F144))</f>
        <v/>
      </c>
      <c r="H145" s="804" t="str">
        <f>IF(OR($E$3="",$P$3=""),"",IF('Statement of Marks'!G144="","",'Statement of Marks'!G144))</f>
        <v/>
      </c>
      <c r="I145" s="805" t="str">
        <f>IF(OR($E$3="",$P$3=""),"",IF('Statement of Marks'!H144="","",'Statement of Marks'!H144))</f>
        <v/>
      </c>
      <c r="J145" s="805" t="str">
        <f>IF(OR($E$3="",$P$3=""),"",IF('Statement of Marks'!I144="","",'Statement of Marks'!I144))</f>
        <v/>
      </c>
      <c r="K145" s="805" t="str">
        <f>IFERROR(IF(B145="","",IF($P$3=$AT$10,IF(AND(BM145="A"),'Marks Entry'!$U$2,IF(AND(BM145="B"),'Marks Entry'!$Y$2,IF(AND(BM145="C"),'Marks Entry'!$AA$2,""))),IF($P$3=$AT$11,IF(AND(BN145="A"),'Marks Entry'!$AC$2,IF(AND(BN145="B"),'Marks Entry'!$AG$2,IF(AND(BN145="C"),'Marks Entry'!$AI$2,""))),IF($P$3=$AT$12,IF(AND(BO145="A"),'Marks Entry'!$AK$2,IF(AND(BO145="B"),'Marks Entry'!$AO$2,IF(AND(BO145="C"),'Marks Entry'!$AQ$2,""))),IF($P$3=$AT$13,IF(AND(BP145="A"),'Marks Entry'!$AS$2,IF(AND(BP145="B"),'Marks Entry'!$AW$2,IF(AND(BP145="C"),'Marks Entry'!$AY$2,""))),"-"))))),"")</f>
        <v/>
      </c>
      <c r="L145" s="806" t="str">
        <f>IFERROR(IF(B145="","",IF($P$3=$AT$8,'Statement of Marks'!J144,IF($P$3=$AT$9,'Statement of Marks'!X144,IF($P$3=$AT$10,'Statement of Marks'!AM144,IF($P$3=$AT$11,'Statement of Marks'!BJ144,IF($P$3=$AT$12,'Statement of Marks'!CG144,IF($P$3=$AT$13,'Statement of Marks'!DE144,IF($P$3=$AT$14,"",IF($P$3=$AT$15,'Statement of Marks'!EY144,""))))))))),"")</f>
        <v/>
      </c>
      <c r="M145" s="806" t="str">
        <f>IFERROR(IF(B145="","",IF($P$3=$AT$8,'Statement of Marks'!K144,IF($P$3=$AT$9,'Statement of Marks'!Y144,IF($P$3=$AT$10,'Statement of Marks'!AN144,IF($P$3=$AT$11,'Statement of Marks'!BK144,IF($P$3=$AT$12,'Statement of Marks'!CH144,IF($P$3=$AT$13,'Statement of Marks'!DF144,IF($P$3=$AT$14,"",IF($P$3=$AT$15,'Statement of Marks'!EZ144,""))))))))),"")</f>
        <v/>
      </c>
      <c r="N145" s="806" t="str">
        <f>IFERROR(IF(B145="","",IF($P$3=$AT$8,'Statement of Marks'!L144,IF($P$3=$AT$9,'Statement of Marks'!Z144,IF($P$3=$AT$10,'Statement of Marks'!AO144,IF($P$3=$AT$11,'Statement of Marks'!BL144,IF($P$3=$AT$12,'Statement of Marks'!CI144,IF($P$3=$AT$13,'Statement of Marks'!DG144,IF($P$3=$AT$14,"",IF($P$3=$AT$15,'Statement of Marks'!FA144,""))))))))),"")</f>
        <v/>
      </c>
      <c r="O145" s="807" t="str">
        <f t="shared" si="32"/>
        <v/>
      </c>
      <c r="P145" s="806" t="str">
        <f>IFERROR(IF(B145="","",IF($P$3=$AT$8,'Statement of Marks'!N144,IF($P$3=$AT$9,'Statement of Marks'!AB144,IF($P$3=$AT$10,'Statement of Marks'!AQ144,IF($P$3=$AT$11,'Statement of Marks'!BN144,IF($P$3=$AT$12,'Statement of Marks'!CK144,IF($P$3=$AT$13,'Statement of Marks'!DI144,IF($P$3=$AT$14,"",IF($P$3=$AT$15,'Statement of Marks'!FC144,""))))))))),"")</f>
        <v/>
      </c>
      <c r="Q145" s="806" t="str">
        <f>IFERROR(IF(B145="","",IF($P$3=$AT$8,"",IF($P$3=$AT$9,"",IF($P$3=$AT$10,'Statement of Marks'!AR144,IF($P$3=$AT$11,'Statement of Marks'!BO144,IF($P$3=$AT$12,'Statement of Marks'!CL144,IF($P$3=$AT$13,'Statement of Marks'!DJ144,IF($P$3=$AT$14,"",IF($P$3=$AT$15,"",""))))))))),"")</f>
        <v/>
      </c>
      <c r="R145" s="818" t="str">
        <f>IFERROR(IF(B145="","",IF(AND(P145="",Q145="",$P$3=""),"",IF($P$3=$AT$14,'Statement of Marks'!EC144,SUM(P145,Q145)))),"")</f>
        <v/>
      </c>
      <c r="S145" s="817" t="str">
        <f>IFERROR(IF(B145="","",IF($P$3=$AT$14,'Statement of Marks'!ED144,IF(AND(O145="NA",P145="NA",Q145="NA"),"NA",IF(AND(O145="",P145="",Q145=""),"",SUM(O145,P145,Q145))))),"")</f>
        <v/>
      </c>
      <c r="T145" s="806" t="str">
        <f>IFERROR(IF(B145="","",IF($P$3=$AT$8,'Statement of Marks'!P144,IF($P$3=$AT$9,'Statement of Marks'!AD144,IF($P$3=$AT$10,'Statement of Marks'!AU144,IF($P$3=$AT$11,'Statement of Marks'!BR144,IF($P$3=$AT$12,'Statement of Marks'!CO144,IF($P$3=$AT$13,'Statement of Marks'!DM144,IF($P$3=$AT$14,"",IF($P$3=$AT$15,'Statement of Marks'!FD144,""))))))))),"")</f>
        <v/>
      </c>
      <c r="U145" s="806" t="str">
        <f>IFERROR(IF(B145="","",IF($P$3=$AT$8,"",IF($P$3=$AT$9,"",IF($P$3=$AT$10,'Statement of Marks'!AV144,IF($P$3=$AT$11,'Statement of Marks'!BS144,IF($P$3=$AT$12,'Statement of Marks'!CP144,IF($P$3=$AT$13,'Statement of Marks'!DN144,IF($P$3=$AT$14,"",IF($P$3=$AT$15,"",""))))))))),"")</f>
        <v/>
      </c>
      <c r="V145" s="818" t="str">
        <f>IFERROR(IF(B145="","",IF(AND(T145="",U145="",$P$3=""),"",IF($P$3=$AT$14,'Statement of Marks'!EE144,SUM(T145,U145)))),"")</f>
        <v/>
      </c>
      <c r="W145" s="808" t="str">
        <f t="shared" si="33"/>
        <v/>
      </c>
      <c r="X145" s="809">
        <f t="shared" si="34"/>
        <v>0</v>
      </c>
      <c r="Y145" s="809">
        <f t="shared" si="35"/>
        <v>0</v>
      </c>
      <c r="Z145" s="809">
        <f t="shared" si="36"/>
        <v>0</v>
      </c>
      <c r="AA145" s="809" t="str">
        <f t="shared" si="37"/>
        <v/>
      </c>
      <c r="AB145" s="809" t="str">
        <f t="shared" si="38"/>
        <v/>
      </c>
      <c r="AC145" s="809" t="str">
        <f t="shared" si="39"/>
        <v/>
      </c>
      <c r="AD145" s="809" t="str">
        <f t="shared" si="40"/>
        <v/>
      </c>
      <c r="AE145" s="810" t="str">
        <f t="shared" si="41"/>
        <v/>
      </c>
      <c r="AF145" s="811" t="str">
        <f t="shared" si="42"/>
        <v/>
      </c>
      <c r="AG145" s="812" t="str">
        <f t="shared" si="43"/>
        <v/>
      </c>
      <c r="AW145" s="17" t="str">
        <f t="shared" si="44"/>
        <v/>
      </c>
      <c r="AX145" s="17" t="str">
        <f t="shared" si="45"/>
        <v/>
      </c>
      <c r="BM145" s="17" t="str">
        <f>IFERROR(VLOOKUP(B145,'Statement of Marks'!$B$8:'Statement of Marks'!$HI$207,37,0),"")</f>
        <v>A</v>
      </c>
      <c r="BN145" s="17" t="str">
        <f>IFERROR(VLOOKUP(B145,'Statement of Marks'!$B$8:'Statement of Marks'!$HI$207,60,0),"")</f>
        <v>A</v>
      </c>
      <c r="BO145" s="17" t="str">
        <f>IFERROR(VLOOKUP(B145,'Statement of Marks'!$B$8:'Statement of Marks'!$HI$207,83,0),"")</f>
        <v>A</v>
      </c>
      <c r="BP145" s="17" t="str">
        <f>IFERROR(VLOOKUP(B145,'Statement of Marks'!$B$8:'Statement of Marks'!$HI$207,107,0),"")</f>
        <v/>
      </c>
    </row>
    <row r="146" spans="1:68">
      <c r="A146" s="800">
        <f>IF('Statement of Marks'!A145="","",'Statement of Marks'!A145)</f>
        <v>138</v>
      </c>
      <c r="B146" s="801" t="str">
        <f>IF(OR($E$3="",$P$3=""),"",IF('Statement of Marks'!B145="","",'Statement of Marks'!B145))</f>
        <v/>
      </c>
      <c r="C146" s="810" t="str">
        <f>IF(OR($E$3="",$P$3=""),"",IF('Marks Entry'!C145="","",'Marks Entry'!C145))</f>
        <v/>
      </c>
      <c r="D146" s="802" t="str">
        <f>IF(OR($E$3="",$P$3=""),"",IF('Statement of Marks'!C145="","",'Statement of Marks'!C145))</f>
        <v/>
      </c>
      <c r="E146" s="803" t="str">
        <f>IF(OR($E$3="",$P$3=""),"",IF('Statement of Marks'!D145="","",'Statement of Marks'!D145))</f>
        <v/>
      </c>
      <c r="F146" s="804" t="str">
        <f>IF(OR($E$3="",$P$3=""),"",IF('Statement of Marks'!E145="","",'Statement of Marks'!E145))</f>
        <v/>
      </c>
      <c r="G146" s="804" t="str">
        <f>IF(OR($E$3="",$P$3=""),"",IF('Statement of Marks'!F145="","",'Statement of Marks'!F145))</f>
        <v/>
      </c>
      <c r="H146" s="804" t="str">
        <f>IF(OR($E$3="",$P$3=""),"",IF('Statement of Marks'!G145="","",'Statement of Marks'!G145))</f>
        <v/>
      </c>
      <c r="I146" s="805" t="str">
        <f>IF(OR($E$3="",$P$3=""),"",IF('Statement of Marks'!H145="","",'Statement of Marks'!H145))</f>
        <v/>
      </c>
      <c r="J146" s="805" t="str">
        <f>IF(OR($E$3="",$P$3=""),"",IF('Statement of Marks'!I145="","",'Statement of Marks'!I145))</f>
        <v/>
      </c>
      <c r="K146" s="805" t="str">
        <f>IFERROR(IF(B146="","",IF($P$3=$AT$10,IF(AND(BM146="A"),'Marks Entry'!$U$2,IF(AND(BM146="B"),'Marks Entry'!$Y$2,IF(AND(BM146="C"),'Marks Entry'!$AA$2,""))),IF($P$3=$AT$11,IF(AND(BN146="A"),'Marks Entry'!$AC$2,IF(AND(BN146="B"),'Marks Entry'!$AG$2,IF(AND(BN146="C"),'Marks Entry'!$AI$2,""))),IF($P$3=$AT$12,IF(AND(BO146="A"),'Marks Entry'!$AK$2,IF(AND(BO146="B"),'Marks Entry'!$AO$2,IF(AND(BO146="C"),'Marks Entry'!$AQ$2,""))),IF($P$3=$AT$13,IF(AND(BP146="A"),'Marks Entry'!$AS$2,IF(AND(BP146="B"),'Marks Entry'!$AW$2,IF(AND(BP146="C"),'Marks Entry'!$AY$2,""))),"-"))))),"")</f>
        <v/>
      </c>
      <c r="L146" s="806" t="str">
        <f>IFERROR(IF(B146="","",IF($P$3=$AT$8,'Statement of Marks'!J145,IF($P$3=$AT$9,'Statement of Marks'!X145,IF($P$3=$AT$10,'Statement of Marks'!AM145,IF($P$3=$AT$11,'Statement of Marks'!BJ145,IF($P$3=$AT$12,'Statement of Marks'!CG145,IF($P$3=$AT$13,'Statement of Marks'!DE145,IF($P$3=$AT$14,"",IF($P$3=$AT$15,'Statement of Marks'!EY145,""))))))))),"")</f>
        <v/>
      </c>
      <c r="M146" s="806" t="str">
        <f>IFERROR(IF(B146="","",IF($P$3=$AT$8,'Statement of Marks'!K145,IF($P$3=$AT$9,'Statement of Marks'!Y145,IF($P$3=$AT$10,'Statement of Marks'!AN145,IF($P$3=$AT$11,'Statement of Marks'!BK145,IF($P$3=$AT$12,'Statement of Marks'!CH145,IF($P$3=$AT$13,'Statement of Marks'!DF145,IF($P$3=$AT$14,"",IF($P$3=$AT$15,'Statement of Marks'!EZ145,""))))))))),"")</f>
        <v/>
      </c>
      <c r="N146" s="806" t="str">
        <f>IFERROR(IF(B146="","",IF($P$3=$AT$8,'Statement of Marks'!L145,IF($P$3=$AT$9,'Statement of Marks'!Z145,IF($P$3=$AT$10,'Statement of Marks'!AO145,IF($P$3=$AT$11,'Statement of Marks'!BL145,IF($P$3=$AT$12,'Statement of Marks'!CI145,IF($P$3=$AT$13,'Statement of Marks'!DG145,IF($P$3=$AT$14,"",IF($P$3=$AT$15,'Statement of Marks'!FA145,""))))))))),"")</f>
        <v/>
      </c>
      <c r="O146" s="807" t="str">
        <f t="shared" si="32"/>
        <v/>
      </c>
      <c r="P146" s="806" t="str">
        <f>IFERROR(IF(B146="","",IF($P$3=$AT$8,'Statement of Marks'!N145,IF($P$3=$AT$9,'Statement of Marks'!AB145,IF($P$3=$AT$10,'Statement of Marks'!AQ145,IF($P$3=$AT$11,'Statement of Marks'!BN145,IF($P$3=$AT$12,'Statement of Marks'!CK145,IF($P$3=$AT$13,'Statement of Marks'!DI145,IF($P$3=$AT$14,"",IF($P$3=$AT$15,'Statement of Marks'!FC145,""))))))))),"")</f>
        <v/>
      </c>
      <c r="Q146" s="806" t="str">
        <f>IFERROR(IF(B146="","",IF($P$3=$AT$8,"",IF($P$3=$AT$9,"",IF($P$3=$AT$10,'Statement of Marks'!AR145,IF($P$3=$AT$11,'Statement of Marks'!BO145,IF($P$3=$AT$12,'Statement of Marks'!CL145,IF($P$3=$AT$13,'Statement of Marks'!DJ145,IF($P$3=$AT$14,"",IF($P$3=$AT$15,"",""))))))))),"")</f>
        <v/>
      </c>
      <c r="R146" s="818" t="str">
        <f>IFERROR(IF(B146="","",IF(AND(P146="",Q146="",$P$3=""),"",IF($P$3=$AT$14,'Statement of Marks'!EC145,SUM(P146,Q146)))),"")</f>
        <v/>
      </c>
      <c r="S146" s="817" t="str">
        <f>IFERROR(IF(B146="","",IF($P$3=$AT$14,'Statement of Marks'!ED145,IF(AND(O146="NA",P146="NA",Q146="NA"),"NA",IF(AND(O146="",P146="",Q146=""),"",SUM(O146,P146,Q146))))),"")</f>
        <v/>
      </c>
      <c r="T146" s="806" t="str">
        <f>IFERROR(IF(B146="","",IF($P$3=$AT$8,'Statement of Marks'!P145,IF($P$3=$AT$9,'Statement of Marks'!AD145,IF($P$3=$AT$10,'Statement of Marks'!AU145,IF($P$3=$AT$11,'Statement of Marks'!BR145,IF($P$3=$AT$12,'Statement of Marks'!CO145,IF($P$3=$AT$13,'Statement of Marks'!DM145,IF($P$3=$AT$14,"",IF($P$3=$AT$15,'Statement of Marks'!FD145,""))))))))),"")</f>
        <v/>
      </c>
      <c r="U146" s="806" t="str">
        <f>IFERROR(IF(B146="","",IF($P$3=$AT$8,"",IF($P$3=$AT$9,"",IF($P$3=$AT$10,'Statement of Marks'!AV145,IF($P$3=$AT$11,'Statement of Marks'!BS145,IF($P$3=$AT$12,'Statement of Marks'!CP145,IF($P$3=$AT$13,'Statement of Marks'!DN145,IF($P$3=$AT$14,"",IF($P$3=$AT$15,"",""))))))))),"")</f>
        <v/>
      </c>
      <c r="V146" s="818" t="str">
        <f>IFERROR(IF(B146="","",IF(AND(T146="",U146="",$P$3=""),"",IF($P$3=$AT$14,'Statement of Marks'!EE145,SUM(T146,U146)))),"")</f>
        <v/>
      </c>
      <c r="W146" s="808" t="str">
        <f t="shared" si="33"/>
        <v/>
      </c>
      <c r="X146" s="809">
        <f t="shared" si="34"/>
        <v>0</v>
      </c>
      <c r="Y146" s="809">
        <f t="shared" si="35"/>
        <v>0</v>
      </c>
      <c r="Z146" s="809">
        <f t="shared" si="36"/>
        <v>0</v>
      </c>
      <c r="AA146" s="809" t="str">
        <f t="shared" si="37"/>
        <v/>
      </c>
      <c r="AB146" s="809" t="str">
        <f t="shared" si="38"/>
        <v/>
      </c>
      <c r="AC146" s="809" t="str">
        <f t="shared" si="39"/>
        <v/>
      </c>
      <c r="AD146" s="809" t="str">
        <f t="shared" si="40"/>
        <v/>
      </c>
      <c r="AE146" s="810" t="str">
        <f t="shared" si="41"/>
        <v/>
      </c>
      <c r="AF146" s="811" t="str">
        <f t="shared" si="42"/>
        <v/>
      </c>
      <c r="AG146" s="812" t="str">
        <f t="shared" si="43"/>
        <v/>
      </c>
      <c r="AW146" s="17" t="str">
        <f t="shared" si="44"/>
        <v/>
      </c>
      <c r="AX146" s="17" t="str">
        <f t="shared" si="45"/>
        <v/>
      </c>
      <c r="BM146" s="17" t="str">
        <f>IFERROR(VLOOKUP(B146,'Statement of Marks'!$B$8:'Statement of Marks'!$HI$207,37,0),"")</f>
        <v>A</v>
      </c>
      <c r="BN146" s="17" t="str">
        <f>IFERROR(VLOOKUP(B146,'Statement of Marks'!$B$8:'Statement of Marks'!$HI$207,60,0),"")</f>
        <v>A</v>
      </c>
      <c r="BO146" s="17" t="str">
        <f>IFERROR(VLOOKUP(B146,'Statement of Marks'!$B$8:'Statement of Marks'!$HI$207,83,0),"")</f>
        <v>A</v>
      </c>
      <c r="BP146" s="17" t="str">
        <f>IFERROR(VLOOKUP(B146,'Statement of Marks'!$B$8:'Statement of Marks'!$HI$207,107,0),"")</f>
        <v/>
      </c>
    </row>
    <row r="147" spans="1:68">
      <c r="A147" s="800">
        <f>IF('Statement of Marks'!A146="","",'Statement of Marks'!A146)</f>
        <v>139</v>
      </c>
      <c r="B147" s="801" t="str">
        <f>IF(OR($E$3="",$P$3=""),"",IF('Statement of Marks'!B146="","",'Statement of Marks'!B146))</f>
        <v/>
      </c>
      <c r="C147" s="810" t="str">
        <f>IF(OR($E$3="",$P$3=""),"",IF('Marks Entry'!C146="","",'Marks Entry'!C146))</f>
        <v/>
      </c>
      <c r="D147" s="802" t="str">
        <f>IF(OR($E$3="",$P$3=""),"",IF('Statement of Marks'!C146="","",'Statement of Marks'!C146))</f>
        <v/>
      </c>
      <c r="E147" s="803" t="str">
        <f>IF(OR($E$3="",$P$3=""),"",IF('Statement of Marks'!D146="","",'Statement of Marks'!D146))</f>
        <v/>
      </c>
      <c r="F147" s="804" t="str">
        <f>IF(OR($E$3="",$P$3=""),"",IF('Statement of Marks'!E146="","",'Statement of Marks'!E146))</f>
        <v/>
      </c>
      <c r="G147" s="804" t="str">
        <f>IF(OR($E$3="",$P$3=""),"",IF('Statement of Marks'!F146="","",'Statement of Marks'!F146))</f>
        <v/>
      </c>
      <c r="H147" s="804" t="str">
        <f>IF(OR($E$3="",$P$3=""),"",IF('Statement of Marks'!G146="","",'Statement of Marks'!G146))</f>
        <v/>
      </c>
      <c r="I147" s="805" t="str">
        <f>IF(OR($E$3="",$P$3=""),"",IF('Statement of Marks'!H146="","",'Statement of Marks'!H146))</f>
        <v/>
      </c>
      <c r="J147" s="805" t="str">
        <f>IF(OR($E$3="",$P$3=""),"",IF('Statement of Marks'!I146="","",'Statement of Marks'!I146))</f>
        <v/>
      </c>
      <c r="K147" s="805" t="str">
        <f>IFERROR(IF(B147="","",IF($P$3=$AT$10,IF(AND(BM147="A"),'Marks Entry'!$U$2,IF(AND(BM147="B"),'Marks Entry'!$Y$2,IF(AND(BM147="C"),'Marks Entry'!$AA$2,""))),IF($P$3=$AT$11,IF(AND(BN147="A"),'Marks Entry'!$AC$2,IF(AND(BN147="B"),'Marks Entry'!$AG$2,IF(AND(BN147="C"),'Marks Entry'!$AI$2,""))),IF($P$3=$AT$12,IF(AND(BO147="A"),'Marks Entry'!$AK$2,IF(AND(BO147="B"),'Marks Entry'!$AO$2,IF(AND(BO147="C"),'Marks Entry'!$AQ$2,""))),IF($P$3=$AT$13,IF(AND(BP147="A"),'Marks Entry'!$AS$2,IF(AND(BP147="B"),'Marks Entry'!$AW$2,IF(AND(BP147="C"),'Marks Entry'!$AY$2,""))),"-"))))),"")</f>
        <v/>
      </c>
      <c r="L147" s="806" t="str">
        <f>IFERROR(IF(B147="","",IF($P$3=$AT$8,'Statement of Marks'!J146,IF($P$3=$AT$9,'Statement of Marks'!X146,IF($P$3=$AT$10,'Statement of Marks'!AM146,IF($P$3=$AT$11,'Statement of Marks'!BJ146,IF($P$3=$AT$12,'Statement of Marks'!CG146,IF($P$3=$AT$13,'Statement of Marks'!DE146,IF($P$3=$AT$14,"",IF($P$3=$AT$15,'Statement of Marks'!EY146,""))))))))),"")</f>
        <v/>
      </c>
      <c r="M147" s="806" t="str">
        <f>IFERROR(IF(B147="","",IF($P$3=$AT$8,'Statement of Marks'!K146,IF($P$3=$AT$9,'Statement of Marks'!Y146,IF($P$3=$AT$10,'Statement of Marks'!AN146,IF($P$3=$AT$11,'Statement of Marks'!BK146,IF($P$3=$AT$12,'Statement of Marks'!CH146,IF($P$3=$AT$13,'Statement of Marks'!DF146,IF($P$3=$AT$14,"",IF($P$3=$AT$15,'Statement of Marks'!EZ146,""))))))))),"")</f>
        <v/>
      </c>
      <c r="N147" s="806" t="str">
        <f>IFERROR(IF(B147="","",IF($P$3=$AT$8,'Statement of Marks'!L146,IF($P$3=$AT$9,'Statement of Marks'!Z146,IF($P$3=$AT$10,'Statement of Marks'!AO146,IF($P$3=$AT$11,'Statement of Marks'!BL146,IF($P$3=$AT$12,'Statement of Marks'!CI146,IF($P$3=$AT$13,'Statement of Marks'!DG146,IF($P$3=$AT$14,"",IF($P$3=$AT$15,'Statement of Marks'!FA146,""))))))))),"")</f>
        <v/>
      </c>
      <c r="O147" s="807" t="str">
        <f t="shared" si="32"/>
        <v/>
      </c>
      <c r="P147" s="806" t="str">
        <f>IFERROR(IF(B147="","",IF($P$3=$AT$8,'Statement of Marks'!N146,IF($P$3=$AT$9,'Statement of Marks'!AB146,IF($P$3=$AT$10,'Statement of Marks'!AQ146,IF($P$3=$AT$11,'Statement of Marks'!BN146,IF($P$3=$AT$12,'Statement of Marks'!CK146,IF($P$3=$AT$13,'Statement of Marks'!DI146,IF($P$3=$AT$14,"",IF($P$3=$AT$15,'Statement of Marks'!FC146,""))))))))),"")</f>
        <v/>
      </c>
      <c r="Q147" s="806" t="str">
        <f>IFERROR(IF(B147="","",IF($P$3=$AT$8,"",IF($P$3=$AT$9,"",IF($P$3=$AT$10,'Statement of Marks'!AR146,IF($P$3=$AT$11,'Statement of Marks'!BO146,IF($P$3=$AT$12,'Statement of Marks'!CL146,IF($P$3=$AT$13,'Statement of Marks'!DJ146,IF($P$3=$AT$14,"",IF($P$3=$AT$15,"",""))))))))),"")</f>
        <v/>
      </c>
      <c r="R147" s="818" t="str">
        <f>IFERROR(IF(B147="","",IF(AND(P147="",Q147="",$P$3=""),"",IF($P$3=$AT$14,'Statement of Marks'!EC146,SUM(P147,Q147)))),"")</f>
        <v/>
      </c>
      <c r="S147" s="817" t="str">
        <f>IFERROR(IF(B147="","",IF($P$3=$AT$14,'Statement of Marks'!ED146,IF(AND(O147="NA",P147="NA",Q147="NA"),"NA",IF(AND(O147="",P147="",Q147=""),"",SUM(O147,P147,Q147))))),"")</f>
        <v/>
      </c>
      <c r="T147" s="806" t="str">
        <f>IFERROR(IF(B147="","",IF($P$3=$AT$8,'Statement of Marks'!P146,IF($P$3=$AT$9,'Statement of Marks'!AD146,IF($P$3=$AT$10,'Statement of Marks'!AU146,IF($P$3=$AT$11,'Statement of Marks'!BR146,IF($P$3=$AT$12,'Statement of Marks'!CO146,IF($P$3=$AT$13,'Statement of Marks'!DM146,IF($P$3=$AT$14,"",IF($P$3=$AT$15,'Statement of Marks'!FD146,""))))))))),"")</f>
        <v/>
      </c>
      <c r="U147" s="806" t="str">
        <f>IFERROR(IF(B147="","",IF($P$3=$AT$8,"",IF($P$3=$AT$9,"",IF($P$3=$AT$10,'Statement of Marks'!AV146,IF($P$3=$AT$11,'Statement of Marks'!BS146,IF($P$3=$AT$12,'Statement of Marks'!CP146,IF($P$3=$AT$13,'Statement of Marks'!DN146,IF($P$3=$AT$14,"",IF($P$3=$AT$15,"",""))))))))),"")</f>
        <v/>
      </c>
      <c r="V147" s="818" t="str">
        <f>IFERROR(IF(B147="","",IF(AND(T147="",U147="",$P$3=""),"",IF($P$3=$AT$14,'Statement of Marks'!EE146,SUM(T147,U147)))),"")</f>
        <v/>
      </c>
      <c r="W147" s="808" t="str">
        <f t="shared" si="33"/>
        <v/>
      </c>
      <c r="X147" s="809">
        <f t="shared" si="34"/>
        <v>0</v>
      </c>
      <c r="Y147" s="809">
        <f t="shared" si="35"/>
        <v>0</v>
      </c>
      <c r="Z147" s="809">
        <f t="shared" si="36"/>
        <v>0</v>
      </c>
      <c r="AA147" s="809" t="str">
        <f t="shared" si="37"/>
        <v/>
      </c>
      <c r="AB147" s="809" t="str">
        <f t="shared" si="38"/>
        <v/>
      </c>
      <c r="AC147" s="809" t="str">
        <f t="shared" si="39"/>
        <v/>
      </c>
      <c r="AD147" s="809" t="str">
        <f t="shared" si="40"/>
        <v/>
      </c>
      <c r="AE147" s="810" t="str">
        <f t="shared" si="41"/>
        <v/>
      </c>
      <c r="AF147" s="811" t="str">
        <f t="shared" si="42"/>
        <v/>
      </c>
      <c r="AG147" s="812" t="str">
        <f t="shared" si="43"/>
        <v/>
      </c>
      <c r="AW147" s="17" t="str">
        <f t="shared" si="44"/>
        <v/>
      </c>
      <c r="AX147" s="17" t="str">
        <f t="shared" si="45"/>
        <v/>
      </c>
      <c r="BM147" s="17" t="str">
        <f>IFERROR(VLOOKUP(B147,'Statement of Marks'!$B$8:'Statement of Marks'!$HI$207,37,0),"")</f>
        <v>A</v>
      </c>
      <c r="BN147" s="17" t="str">
        <f>IFERROR(VLOOKUP(B147,'Statement of Marks'!$B$8:'Statement of Marks'!$HI$207,60,0),"")</f>
        <v>A</v>
      </c>
      <c r="BO147" s="17" t="str">
        <f>IFERROR(VLOOKUP(B147,'Statement of Marks'!$B$8:'Statement of Marks'!$HI$207,83,0),"")</f>
        <v>A</v>
      </c>
      <c r="BP147" s="17" t="str">
        <f>IFERROR(VLOOKUP(B147,'Statement of Marks'!$B$8:'Statement of Marks'!$HI$207,107,0),"")</f>
        <v/>
      </c>
    </row>
    <row r="148" spans="1:68">
      <c r="A148" s="800">
        <f>IF('Statement of Marks'!A147="","",'Statement of Marks'!A147)</f>
        <v>140</v>
      </c>
      <c r="B148" s="801" t="str">
        <f>IF(OR($E$3="",$P$3=""),"",IF('Statement of Marks'!B147="","",'Statement of Marks'!B147))</f>
        <v/>
      </c>
      <c r="C148" s="810" t="str">
        <f>IF(OR($E$3="",$P$3=""),"",IF('Marks Entry'!C147="","",'Marks Entry'!C147))</f>
        <v/>
      </c>
      <c r="D148" s="802" t="str">
        <f>IF(OR($E$3="",$P$3=""),"",IF('Statement of Marks'!C147="","",'Statement of Marks'!C147))</f>
        <v/>
      </c>
      <c r="E148" s="803" t="str">
        <f>IF(OR($E$3="",$P$3=""),"",IF('Statement of Marks'!D147="","",'Statement of Marks'!D147))</f>
        <v/>
      </c>
      <c r="F148" s="804" t="str">
        <f>IF(OR($E$3="",$P$3=""),"",IF('Statement of Marks'!E147="","",'Statement of Marks'!E147))</f>
        <v/>
      </c>
      <c r="G148" s="804" t="str">
        <f>IF(OR($E$3="",$P$3=""),"",IF('Statement of Marks'!F147="","",'Statement of Marks'!F147))</f>
        <v/>
      </c>
      <c r="H148" s="804" t="str">
        <f>IF(OR($E$3="",$P$3=""),"",IF('Statement of Marks'!G147="","",'Statement of Marks'!G147))</f>
        <v/>
      </c>
      <c r="I148" s="805" t="str">
        <f>IF(OR($E$3="",$P$3=""),"",IF('Statement of Marks'!H147="","",'Statement of Marks'!H147))</f>
        <v/>
      </c>
      <c r="J148" s="805" t="str">
        <f>IF(OR($E$3="",$P$3=""),"",IF('Statement of Marks'!I147="","",'Statement of Marks'!I147))</f>
        <v/>
      </c>
      <c r="K148" s="805" t="str">
        <f>IFERROR(IF(B148="","",IF($P$3=$AT$10,IF(AND(BM148="A"),'Marks Entry'!$U$2,IF(AND(BM148="B"),'Marks Entry'!$Y$2,IF(AND(BM148="C"),'Marks Entry'!$AA$2,""))),IF($P$3=$AT$11,IF(AND(BN148="A"),'Marks Entry'!$AC$2,IF(AND(BN148="B"),'Marks Entry'!$AG$2,IF(AND(BN148="C"),'Marks Entry'!$AI$2,""))),IF($P$3=$AT$12,IF(AND(BO148="A"),'Marks Entry'!$AK$2,IF(AND(BO148="B"),'Marks Entry'!$AO$2,IF(AND(BO148="C"),'Marks Entry'!$AQ$2,""))),IF($P$3=$AT$13,IF(AND(BP148="A"),'Marks Entry'!$AS$2,IF(AND(BP148="B"),'Marks Entry'!$AW$2,IF(AND(BP148="C"),'Marks Entry'!$AY$2,""))),"-"))))),"")</f>
        <v/>
      </c>
      <c r="L148" s="806" t="str">
        <f>IFERROR(IF(B148="","",IF($P$3=$AT$8,'Statement of Marks'!J147,IF($P$3=$AT$9,'Statement of Marks'!X147,IF($P$3=$AT$10,'Statement of Marks'!AM147,IF($P$3=$AT$11,'Statement of Marks'!BJ147,IF($P$3=$AT$12,'Statement of Marks'!CG147,IF($P$3=$AT$13,'Statement of Marks'!DE147,IF($P$3=$AT$14,"",IF($P$3=$AT$15,'Statement of Marks'!EY147,""))))))))),"")</f>
        <v/>
      </c>
      <c r="M148" s="806" t="str">
        <f>IFERROR(IF(B148="","",IF($P$3=$AT$8,'Statement of Marks'!K147,IF($P$3=$AT$9,'Statement of Marks'!Y147,IF($P$3=$AT$10,'Statement of Marks'!AN147,IF($P$3=$AT$11,'Statement of Marks'!BK147,IF($P$3=$AT$12,'Statement of Marks'!CH147,IF($P$3=$AT$13,'Statement of Marks'!DF147,IF($P$3=$AT$14,"",IF($P$3=$AT$15,'Statement of Marks'!EZ147,""))))))))),"")</f>
        <v/>
      </c>
      <c r="N148" s="806" t="str">
        <f>IFERROR(IF(B148="","",IF($P$3=$AT$8,'Statement of Marks'!L147,IF($P$3=$AT$9,'Statement of Marks'!Z147,IF($P$3=$AT$10,'Statement of Marks'!AO147,IF($P$3=$AT$11,'Statement of Marks'!BL147,IF($P$3=$AT$12,'Statement of Marks'!CI147,IF($P$3=$AT$13,'Statement of Marks'!DG147,IF($P$3=$AT$14,"",IF($P$3=$AT$15,'Statement of Marks'!FA147,""))))))))),"")</f>
        <v/>
      </c>
      <c r="O148" s="807" t="str">
        <f t="shared" si="32"/>
        <v/>
      </c>
      <c r="P148" s="806" t="str">
        <f>IFERROR(IF(B148="","",IF($P$3=$AT$8,'Statement of Marks'!N147,IF($P$3=$AT$9,'Statement of Marks'!AB147,IF($P$3=$AT$10,'Statement of Marks'!AQ147,IF($P$3=$AT$11,'Statement of Marks'!BN147,IF($P$3=$AT$12,'Statement of Marks'!CK147,IF($P$3=$AT$13,'Statement of Marks'!DI147,IF($P$3=$AT$14,"",IF($P$3=$AT$15,'Statement of Marks'!FC147,""))))))))),"")</f>
        <v/>
      </c>
      <c r="Q148" s="806" t="str">
        <f>IFERROR(IF(B148="","",IF($P$3=$AT$8,"",IF($P$3=$AT$9,"",IF($P$3=$AT$10,'Statement of Marks'!AR147,IF($P$3=$AT$11,'Statement of Marks'!BO147,IF($P$3=$AT$12,'Statement of Marks'!CL147,IF($P$3=$AT$13,'Statement of Marks'!DJ147,IF($P$3=$AT$14,"",IF($P$3=$AT$15,"",""))))))))),"")</f>
        <v/>
      </c>
      <c r="R148" s="818" t="str">
        <f>IFERROR(IF(B148="","",IF(AND(P148="",Q148="",$P$3=""),"",IF($P$3=$AT$14,'Statement of Marks'!EC147,SUM(P148,Q148)))),"")</f>
        <v/>
      </c>
      <c r="S148" s="817" t="str">
        <f>IFERROR(IF(B148="","",IF($P$3=$AT$14,'Statement of Marks'!ED147,IF(AND(O148="NA",P148="NA",Q148="NA"),"NA",IF(AND(O148="",P148="",Q148=""),"",SUM(O148,P148,Q148))))),"")</f>
        <v/>
      </c>
      <c r="T148" s="806" t="str">
        <f>IFERROR(IF(B148="","",IF($P$3=$AT$8,'Statement of Marks'!P147,IF($P$3=$AT$9,'Statement of Marks'!AD147,IF($P$3=$AT$10,'Statement of Marks'!AU147,IF($P$3=$AT$11,'Statement of Marks'!BR147,IF($P$3=$AT$12,'Statement of Marks'!CO147,IF($P$3=$AT$13,'Statement of Marks'!DM147,IF($P$3=$AT$14,"",IF($P$3=$AT$15,'Statement of Marks'!FD147,""))))))))),"")</f>
        <v/>
      </c>
      <c r="U148" s="806" t="str">
        <f>IFERROR(IF(B148="","",IF($P$3=$AT$8,"",IF($P$3=$AT$9,"",IF($P$3=$AT$10,'Statement of Marks'!AV147,IF($P$3=$AT$11,'Statement of Marks'!BS147,IF($P$3=$AT$12,'Statement of Marks'!CP147,IF($P$3=$AT$13,'Statement of Marks'!DN147,IF($P$3=$AT$14,"",IF($P$3=$AT$15,"",""))))))))),"")</f>
        <v/>
      </c>
      <c r="V148" s="818" t="str">
        <f>IFERROR(IF(B148="","",IF(AND(T148="",U148="",$P$3=""),"",IF($P$3=$AT$14,'Statement of Marks'!EE147,SUM(T148,U148)))),"")</f>
        <v/>
      </c>
      <c r="W148" s="808" t="str">
        <f t="shared" si="33"/>
        <v/>
      </c>
      <c r="X148" s="809">
        <f t="shared" si="34"/>
        <v>0</v>
      </c>
      <c r="Y148" s="809">
        <f t="shared" si="35"/>
        <v>0</v>
      </c>
      <c r="Z148" s="809">
        <f t="shared" si="36"/>
        <v>0</v>
      </c>
      <c r="AA148" s="809" t="str">
        <f t="shared" si="37"/>
        <v/>
      </c>
      <c r="AB148" s="809" t="str">
        <f t="shared" si="38"/>
        <v/>
      </c>
      <c r="AC148" s="809" t="str">
        <f t="shared" si="39"/>
        <v/>
      </c>
      <c r="AD148" s="809" t="str">
        <f t="shared" si="40"/>
        <v/>
      </c>
      <c r="AE148" s="810" t="str">
        <f t="shared" si="41"/>
        <v/>
      </c>
      <c r="AF148" s="811" t="str">
        <f t="shared" si="42"/>
        <v/>
      </c>
      <c r="AG148" s="812" t="str">
        <f t="shared" si="43"/>
        <v/>
      </c>
      <c r="AW148" s="17" t="str">
        <f t="shared" si="44"/>
        <v/>
      </c>
      <c r="AX148" s="17" t="str">
        <f t="shared" si="45"/>
        <v/>
      </c>
      <c r="BM148" s="17" t="str">
        <f>IFERROR(VLOOKUP(B148,'Statement of Marks'!$B$8:'Statement of Marks'!$HI$207,37,0),"")</f>
        <v>A</v>
      </c>
      <c r="BN148" s="17" t="str">
        <f>IFERROR(VLOOKUP(B148,'Statement of Marks'!$B$8:'Statement of Marks'!$HI$207,60,0),"")</f>
        <v>A</v>
      </c>
      <c r="BO148" s="17" t="str">
        <f>IFERROR(VLOOKUP(B148,'Statement of Marks'!$B$8:'Statement of Marks'!$HI$207,83,0),"")</f>
        <v>A</v>
      </c>
      <c r="BP148" s="17" t="str">
        <f>IFERROR(VLOOKUP(B148,'Statement of Marks'!$B$8:'Statement of Marks'!$HI$207,107,0),"")</f>
        <v/>
      </c>
    </row>
    <row r="149" spans="1:68">
      <c r="A149" s="800">
        <f>IF('Statement of Marks'!A148="","",'Statement of Marks'!A148)</f>
        <v>141</v>
      </c>
      <c r="B149" s="801" t="str">
        <f>IF(OR($E$3="",$P$3=""),"",IF('Statement of Marks'!B148="","",'Statement of Marks'!B148))</f>
        <v/>
      </c>
      <c r="C149" s="810" t="str">
        <f>IF(OR($E$3="",$P$3=""),"",IF('Marks Entry'!C148="","",'Marks Entry'!C148))</f>
        <v/>
      </c>
      <c r="D149" s="802" t="str">
        <f>IF(OR($E$3="",$P$3=""),"",IF('Statement of Marks'!C148="","",'Statement of Marks'!C148))</f>
        <v/>
      </c>
      <c r="E149" s="803" t="str">
        <f>IF(OR($E$3="",$P$3=""),"",IF('Statement of Marks'!D148="","",'Statement of Marks'!D148))</f>
        <v/>
      </c>
      <c r="F149" s="804" t="str">
        <f>IF(OR($E$3="",$P$3=""),"",IF('Statement of Marks'!E148="","",'Statement of Marks'!E148))</f>
        <v/>
      </c>
      <c r="G149" s="804" t="str">
        <f>IF(OR($E$3="",$P$3=""),"",IF('Statement of Marks'!F148="","",'Statement of Marks'!F148))</f>
        <v/>
      </c>
      <c r="H149" s="804" t="str">
        <f>IF(OR($E$3="",$P$3=""),"",IF('Statement of Marks'!G148="","",'Statement of Marks'!G148))</f>
        <v/>
      </c>
      <c r="I149" s="805" t="str">
        <f>IF(OR($E$3="",$P$3=""),"",IF('Statement of Marks'!H148="","",'Statement of Marks'!H148))</f>
        <v/>
      </c>
      <c r="J149" s="805" t="str">
        <f>IF(OR($E$3="",$P$3=""),"",IF('Statement of Marks'!I148="","",'Statement of Marks'!I148))</f>
        <v/>
      </c>
      <c r="K149" s="805" t="str">
        <f>IFERROR(IF(B149="","",IF($P$3=$AT$10,IF(AND(BM149="A"),'Marks Entry'!$U$2,IF(AND(BM149="B"),'Marks Entry'!$Y$2,IF(AND(BM149="C"),'Marks Entry'!$AA$2,""))),IF($P$3=$AT$11,IF(AND(BN149="A"),'Marks Entry'!$AC$2,IF(AND(BN149="B"),'Marks Entry'!$AG$2,IF(AND(BN149="C"),'Marks Entry'!$AI$2,""))),IF($P$3=$AT$12,IF(AND(BO149="A"),'Marks Entry'!$AK$2,IF(AND(BO149="B"),'Marks Entry'!$AO$2,IF(AND(BO149="C"),'Marks Entry'!$AQ$2,""))),IF($P$3=$AT$13,IF(AND(BP149="A"),'Marks Entry'!$AS$2,IF(AND(BP149="B"),'Marks Entry'!$AW$2,IF(AND(BP149="C"),'Marks Entry'!$AY$2,""))),"-"))))),"")</f>
        <v/>
      </c>
      <c r="L149" s="806" t="str">
        <f>IFERROR(IF(B149="","",IF($P$3=$AT$8,'Statement of Marks'!J148,IF($P$3=$AT$9,'Statement of Marks'!X148,IF($P$3=$AT$10,'Statement of Marks'!AM148,IF($P$3=$AT$11,'Statement of Marks'!BJ148,IF($P$3=$AT$12,'Statement of Marks'!CG148,IF($P$3=$AT$13,'Statement of Marks'!DE148,IF($P$3=$AT$14,"",IF($P$3=$AT$15,'Statement of Marks'!EY148,""))))))))),"")</f>
        <v/>
      </c>
      <c r="M149" s="806" t="str">
        <f>IFERROR(IF(B149="","",IF($P$3=$AT$8,'Statement of Marks'!K148,IF($P$3=$AT$9,'Statement of Marks'!Y148,IF($P$3=$AT$10,'Statement of Marks'!AN148,IF($P$3=$AT$11,'Statement of Marks'!BK148,IF($P$3=$AT$12,'Statement of Marks'!CH148,IF($P$3=$AT$13,'Statement of Marks'!DF148,IF($P$3=$AT$14,"",IF($P$3=$AT$15,'Statement of Marks'!EZ148,""))))))))),"")</f>
        <v/>
      </c>
      <c r="N149" s="806" t="str">
        <f>IFERROR(IF(B149="","",IF($P$3=$AT$8,'Statement of Marks'!L148,IF($P$3=$AT$9,'Statement of Marks'!Z148,IF($P$3=$AT$10,'Statement of Marks'!AO148,IF($P$3=$AT$11,'Statement of Marks'!BL148,IF($P$3=$AT$12,'Statement of Marks'!CI148,IF($P$3=$AT$13,'Statement of Marks'!DG148,IF($P$3=$AT$14,"",IF($P$3=$AT$15,'Statement of Marks'!FA148,""))))))))),"")</f>
        <v/>
      </c>
      <c r="O149" s="807" t="str">
        <f t="shared" si="32"/>
        <v/>
      </c>
      <c r="P149" s="806" t="str">
        <f>IFERROR(IF(B149="","",IF($P$3=$AT$8,'Statement of Marks'!N148,IF($P$3=$AT$9,'Statement of Marks'!AB148,IF($P$3=$AT$10,'Statement of Marks'!AQ148,IF($P$3=$AT$11,'Statement of Marks'!BN148,IF($P$3=$AT$12,'Statement of Marks'!CK148,IF($P$3=$AT$13,'Statement of Marks'!DI148,IF($P$3=$AT$14,"",IF($P$3=$AT$15,'Statement of Marks'!FC148,""))))))))),"")</f>
        <v/>
      </c>
      <c r="Q149" s="806" t="str">
        <f>IFERROR(IF(B149="","",IF($P$3=$AT$8,"",IF($P$3=$AT$9,"",IF($P$3=$AT$10,'Statement of Marks'!AR148,IF($P$3=$AT$11,'Statement of Marks'!BO148,IF($P$3=$AT$12,'Statement of Marks'!CL148,IF($P$3=$AT$13,'Statement of Marks'!DJ148,IF($P$3=$AT$14,"",IF($P$3=$AT$15,"",""))))))))),"")</f>
        <v/>
      </c>
      <c r="R149" s="818" t="str">
        <f>IFERROR(IF(B149="","",IF(AND(P149="",Q149="",$P$3=""),"",IF($P$3=$AT$14,'Statement of Marks'!EC148,SUM(P149,Q149)))),"")</f>
        <v/>
      </c>
      <c r="S149" s="817" t="str">
        <f>IFERROR(IF(B149="","",IF($P$3=$AT$14,'Statement of Marks'!ED148,IF(AND(O149="NA",P149="NA",Q149="NA"),"NA",IF(AND(O149="",P149="",Q149=""),"",SUM(O149,P149,Q149))))),"")</f>
        <v/>
      </c>
      <c r="T149" s="806" t="str">
        <f>IFERROR(IF(B149="","",IF($P$3=$AT$8,'Statement of Marks'!P148,IF($P$3=$AT$9,'Statement of Marks'!AD148,IF($P$3=$AT$10,'Statement of Marks'!AU148,IF($P$3=$AT$11,'Statement of Marks'!BR148,IF($P$3=$AT$12,'Statement of Marks'!CO148,IF($P$3=$AT$13,'Statement of Marks'!DM148,IF($P$3=$AT$14,"",IF($P$3=$AT$15,'Statement of Marks'!FD148,""))))))))),"")</f>
        <v/>
      </c>
      <c r="U149" s="806" t="str">
        <f>IFERROR(IF(B149="","",IF($P$3=$AT$8,"",IF($P$3=$AT$9,"",IF($P$3=$AT$10,'Statement of Marks'!AV148,IF($P$3=$AT$11,'Statement of Marks'!BS148,IF($P$3=$AT$12,'Statement of Marks'!CP148,IF($P$3=$AT$13,'Statement of Marks'!DN148,IF($P$3=$AT$14,"",IF($P$3=$AT$15,"",""))))))))),"")</f>
        <v/>
      </c>
      <c r="V149" s="818" t="str">
        <f>IFERROR(IF(B149="","",IF(AND(T149="",U149="",$P$3=""),"",IF($P$3=$AT$14,'Statement of Marks'!EE148,SUM(T149,U149)))),"")</f>
        <v/>
      </c>
      <c r="W149" s="808" t="str">
        <f t="shared" si="33"/>
        <v/>
      </c>
      <c r="X149" s="809">
        <f t="shared" si="34"/>
        <v>0</v>
      </c>
      <c r="Y149" s="809">
        <f t="shared" si="35"/>
        <v>0</v>
      </c>
      <c r="Z149" s="809">
        <f t="shared" si="36"/>
        <v>0</v>
      </c>
      <c r="AA149" s="809" t="str">
        <f t="shared" si="37"/>
        <v/>
      </c>
      <c r="AB149" s="809" t="str">
        <f t="shared" si="38"/>
        <v/>
      </c>
      <c r="AC149" s="809" t="str">
        <f t="shared" si="39"/>
        <v/>
      </c>
      <c r="AD149" s="809" t="str">
        <f t="shared" si="40"/>
        <v/>
      </c>
      <c r="AE149" s="810" t="str">
        <f t="shared" si="41"/>
        <v/>
      </c>
      <c r="AF149" s="811" t="str">
        <f t="shared" si="42"/>
        <v/>
      </c>
      <c r="AG149" s="812" t="str">
        <f t="shared" si="43"/>
        <v/>
      </c>
      <c r="AW149" s="17" t="str">
        <f t="shared" si="44"/>
        <v/>
      </c>
      <c r="AX149" s="17" t="str">
        <f t="shared" si="45"/>
        <v/>
      </c>
      <c r="BM149" s="17" t="str">
        <f>IFERROR(VLOOKUP(B149,'Statement of Marks'!$B$8:'Statement of Marks'!$HI$207,37,0),"")</f>
        <v>A</v>
      </c>
      <c r="BN149" s="17" t="str">
        <f>IFERROR(VLOOKUP(B149,'Statement of Marks'!$B$8:'Statement of Marks'!$HI$207,60,0),"")</f>
        <v>A</v>
      </c>
      <c r="BO149" s="17" t="str">
        <f>IFERROR(VLOOKUP(B149,'Statement of Marks'!$B$8:'Statement of Marks'!$HI$207,83,0),"")</f>
        <v>A</v>
      </c>
      <c r="BP149" s="17" t="str">
        <f>IFERROR(VLOOKUP(B149,'Statement of Marks'!$B$8:'Statement of Marks'!$HI$207,107,0),"")</f>
        <v/>
      </c>
    </row>
    <row r="150" spans="1:68">
      <c r="A150" s="800">
        <f>IF('Statement of Marks'!A149="","",'Statement of Marks'!A149)</f>
        <v>142</v>
      </c>
      <c r="B150" s="801" t="str">
        <f>IF(OR($E$3="",$P$3=""),"",IF('Statement of Marks'!B149="","",'Statement of Marks'!B149))</f>
        <v/>
      </c>
      <c r="C150" s="810" t="str">
        <f>IF(OR($E$3="",$P$3=""),"",IF('Marks Entry'!C149="","",'Marks Entry'!C149))</f>
        <v/>
      </c>
      <c r="D150" s="802" t="str">
        <f>IF(OR($E$3="",$P$3=""),"",IF('Statement of Marks'!C149="","",'Statement of Marks'!C149))</f>
        <v/>
      </c>
      <c r="E150" s="803" t="str">
        <f>IF(OR($E$3="",$P$3=""),"",IF('Statement of Marks'!D149="","",'Statement of Marks'!D149))</f>
        <v/>
      </c>
      <c r="F150" s="804" t="str">
        <f>IF(OR($E$3="",$P$3=""),"",IF('Statement of Marks'!E149="","",'Statement of Marks'!E149))</f>
        <v/>
      </c>
      <c r="G150" s="804" t="str">
        <f>IF(OR($E$3="",$P$3=""),"",IF('Statement of Marks'!F149="","",'Statement of Marks'!F149))</f>
        <v/>
      </c>
      <c r="H150" s="804" t="str">
        <f>IF(OR($E$3="",$P$3=""),"",IF('Statement of Marks'!G149="","",'Statement of Marks'!G149))</f>
        <v/>
      </c>
      <c r="I150" s="805" t="str">
        <f>IF(OR($E$3="",$P$3=""),"",IF('Statement of Marks'!H149="","",'Statement of Marks'!H149))</f>
        <v/>
      </c>
      <c r="J150" s="805" t="str">
        <f>IF(OR($E$3="",$P$3=""),"",IF('Statement of Marks'!I149="","",'Statement of Marks'!I149))</f>
        <v/>
      </c>
      <c r="K150" s="805" t="str">
        <f>IFERROR(IF(B150="","",IF($P$3=$AT$10,IF(AND(BM150="A"),'Marks Entry'!$U$2,IF(AND(BM150="B"),'Marks Entry'!$Y$2,IF(AND(BM150="C"),'Marks Entry'!$AA$2,""))),IF($P$3=$AT$11,IF(AND(BN150="A"),'Marks Entry'!$AC$2,IF(AND(BN150="B"),'Marks Entry'!$AG$2,IF(AND(BN150="C"),'Marks Entry'!$AI$2,""))),IF($P$3=$AT$12,IF(AND(BO150="A"),'Marks Entry'!$AK$2,IF(AND(BO150="B"),'Marks Entry'!$AO$2,IF(AND(BO150="C"),'Marks Entry'!$AQ$2,""))),IF($P$3=$AT$13,IF(AND(BP150="A"),'Marks Entry'!$AS$2,IF(AND(BP150="B"),'Marks Entry'!$AW$2,IF(AND(BP150="C"),'Marks Entry'!$AY$2,""))),"-"))))),"")</f>
        <v/>
      </c>
      <c r="L150" s="806" t="str">
        <f>IFERROR(IF(B150="","",IF($P$3=$AT$8,'Statement of Marks'!J149,IF($P$3=$AT$9,'Statement of Marks'!X149,IF($P$3=$AT$10,'Statement of Marks'!AM149,IF($P$3=$AT$11,'Statement of Marks'!BJ149,IF($P$3=$AT$12,'Statement of Marks'!CG149,IF($P$3=$AT$13,'Statement of Marks'!DE149,IF($P$3=$AT$14,"",IF($P$3=$AT$15,'Statement of Marks'!EY149,""))))))))),"")</f>
        <v/>
      </c>
      <c r="M150" s="806" t="str">
        <f>IFERROR(IF(B150="","",IF($P$3=$AT$8,'Statement of Marks'!K149,IF($P$3=$AT$9,'Statement of Marks'!Y149,IF($P$3=$AT$10,'Statement of Marks'!AN149,IF($P$3=$AT$11,'Statement of Marks'!BK149,IF($P$3=$AT$12,'Statement of Marks'!CH149,IF($P$3=$AT$13,'Statement of Marks'!DF149,IF($P$3=$AT$14,"",IF($P$3=$AT$15,'Statement of Marks'!EZ149,""))))))))),"")</f>
        <v/>
      </c>
      <c r="N150" s="806" t="str">
        <f>IFERROR(IF(B150="","",IF($P$3=$AT$8,'Statement of Marks'!L149,IF($P$3=$AT$9,'Statement of Marks'!Z149,IF($P$3=$AT$10,'Statement of Marks'!AO149,IF($P$3=$AT$11,'Statement of Marks'!BL149,IF($P$3=$AT$12,'Statement of Marks'!CI149,IF($P$3=$AT$13,'Statement of Marks'!DG149,IF($P$3=$AT$14,"",IF($P$3=$AT$15,'Statement of Marks'!FA149,""))))))))),"")</f>
        <v/>
      </c>
      <c r="O150" s="807" t="str">
        <f t="shared" si="32"/>
        <v/>
      </c>
      <c r="P150" s="806" t="str">
        <f>IFERROR(IF(B150="","",IF($P$3=$AT$8,'Statement of Marks'!N149,IF($P$3=$AT$9,'Statement of Marks'!AB149,IF($P$3=$AT$10,'Statement of Marks'!AQ149,IF($P$3=$AT$11,'Statement of Marks'!BN149,IF($P$3=$AT$12,'Statement of Marks'!CK149,IF($P$3=$AT$13,'Statement of Marks'!DI149,IF($P$3=$AT$14,"",IF($P$3=$AT$15,'Statement of Marks'!FC149,""))))))))),"")</f>
        <v/>
      </c>
      <c r="Q150" s="806" t="str">
        <f>IFERROR(IF(B150="","",IF($P$3=$AT$8,"",IF($P$3=$AT$9,"",IF($P$3=$AT$10,'Statement of Marks'!AR149,IF($P$3=$AT$11,'Statement of Marks'!BO149,IF($P$3=$AT$12,'Statement of Marks'!CL149,IF($P$3=$AT$13,'Statement of Marks'!DJ149,IF($P$3=$AT$14,"",IF($P$3=$AT$15,"",""))))))))),"")</f>
        <v/>
      </c>
      <c r="R150" s="818" t="str">
        <f>IFERROR(IF(B150="","",IF(AND(P150="",Q150="",$P$3=""),"",IF($P$3=$AT$14,'Statement of Marks'!EC149,SUM(P150,Q150)))),"")</f>
        <v/>
      </c>
      <c r="S150" s="817" t="str">
        <f>IFERROR(IF(B150="","",IF($P$3=$AT$14,'Statement of Marks'!ED149,IF(AND(O150="NA",P150="NA",Q150="NA"),"NA",IF(AND(O150="",P150="",Q150=""),"",SUM(O150,P150,Q150))))),"")</f>
        <v/>
      </c>
      <c r="T150" s="806" t="str">
        <f>IFERROR(IF(B150="","",IF($P$3=$AT$8,'Statement of Marks'!P149,IF($P$3=$AT$9,'Statement of Marks'!AD149,IF($P$3=$AT$10,'Statement of Marks'!AU149,IF($P$3=$AT$11,'Statement of Marks'!BR149,IF($P$3=$AT$12,'Statement of Marks'!CO149,IF($P$3=$AT$13,'Statement of Marks'!DM149,IF($P$3=$AT$14,"",IF($P$3=$AT$15,'Statement of Marks'!FD149,""))))))))),"")</f>
        <v/>
      </c>
      <c r="U150" s="806" t="str">
        <f>IFERROR(IF(B150="","",IF($P$3=$AT$8,"",IF($P$3=$AT$9,"",IF($P$3=$AT$10,'Statement of Marks'!AV149,IF($P$3=$AT$11,'Statement of Marks'!BS149,IF($P$3=$AT$12,'Statement of Marks'!CP149,IF($P$3=$AT$13,'Statement of Marks'!DN149,IF($P$3=$AT$14,"",IF($P$3=$AT$15,"",""))))))))),"")</f>
        <v/>
      </c>
      <c r="V150" s="818" t="str">
        <f>IFERROR(IF(B150="","",IF(AND(T150="",U150="",$P$3=""),"",IF($P$3=$AT$14,'Statement of Marks'!EE149,SUM(T150,U150)))),"")</f>
        <v/>
      </c>
      <c r="W150" s="808" t="str">
        <f t="shared" si="33"/>
        <v/>
      </c>
      <c r="X150" s="809">
        <f t="shared" si="34"/>
        <v>0</v>
      </c>
      <c r="Y150" s="809">
        <f t="shared" si="35"/>
        <v>0</v>
      </c>
      <c r="Z150" s="809">
        <f t="shared" si="36"/>
        <v>0</v>
      </c>
      <c r="AA150" s="809" t="str">
        <f t="shared" si="37"/>
        <v/>
      </c>
      <c r="AB150" s="809" t="str">
        <f t="shared" si="38"/>
        <v/>
      </c>
      <c r="AC150" s="809" t="str">
        <f t="shared" si="39"/>
        <v/>
      </c>
      <c r="AD150" s="809" t="str">
        <f t="shared" si="40"/>
        <v/>
      </c>
      <c r="AE150" s="810" t="str">
        <f t="shared" si="41"/>
        <v/>
      </c>
      <c r="AF150" s="811" t="str">
        <f t="shared" si="42"/>
        <v/>
      </c>
      <c r="AG150" s="812" t="str">
        <f t="shared" si="43"/>
        <v/>
      </c>
      <c r="AW150" s="17" t="str">
        <f t="shared" si="44"/>
        <v/>
      </c>
      <c r="AX150" s="17" t="str">
        <f t="shared" si="45"/>
        <v/>
      </c>
      <c r="BM150" s="17" t="str">
        <f>IFERROR(VLOOKUP(B150,'Statement of Marks'!$B$8:'Statement of Marks'!$HI$207,37,0),"")</f>
        <v>A</v>
      </c>
      <c r="BN150" s="17" t="str">
        <f>IFERROR(VLOOKUP(B150,'Statement of Marks'!$B$8:'Statement of Marks'!$HI$207,60,0),"")</f>
        <v>A</v>
      </c>
      <c r="BO150" s="17" t="str">
        <f>IFERROR(VLOOKUP(B150,'Statement of Marks'!$B$8:'Statement of Marks'!$HI$207,83,0),"")</f>
        <v>A</v>
      </c>
      <c r="BP150" s="17" t="str">
        <f>IFERROR(VLOOKUP(B150,'Statement of Marks'!$B$8:'Statement of Marks'!$HI$207,107,0),"")</f>
        <v/>
      </c>
    </row>
    <row r="151" spans="1:68">
      <c r="A151" s="800">
        <f>IF('Statement of Marks'!A150="","",'Statement of Marks'!A150)</f>
        <v>143</v>
      </c>
      <c r="B151" s="801" t="str">
        <f>IF(OR($E$3="",$P$3=""),"",IF('Statement of Marks'!B150="","",'Statement of Marks'!B150))</f>
        <v/>
      </c>
      <c r="C151" s="810" t="str">
        <f>IF(OR($E$3="",$P$3=""),"",IF('Marks Entry'!C150="","",'Marks Entry'!C150))</f>
        <v/>
      </c>
      <c r="D151" s="802" t="str">
        <f>IF(OR($E$3="",$P$3=""),"",IF('Statement of Marks'!C150="","",'Statement of Marks'!C150))</f>
        <v/>
      </c>
      <c r="E151" s="803" t="str">
        <f>IF(OR($E$3="",$P$3=""),"",IF('Statement of Marks'!D150="","",'Statement of Marks'!D150))</f>
        <v/>
      </c>
      <c r="F151" s="804" t="str">
        <f>IF(OR($E$3="",$P$3=""),"",IF('Statement of Marks'!E150="","",'Statement of Marks'!E150))</f>
        <v/>
      </c>
      <c r="G151" s="804" t="str">
        <f>IF(OR($E$3="",$P$3=""),"",IF('Statement of Marks'!F150="","",'Statement of Marks'!F150))</f>
        <v/>
      </c>
      <c r="H151" s="804" t="str">
        <f>IF(OR($E$3="",$P$3=""),"",IF('Statement of Marks'!G150="","",'Statement of Marks'!G150))</f>
        <v/>
      </c>
      <c r="I151" s="805" t="str">
        <f>IF(OR($E$3="",$P$3=""),"",IF('Statement of Marks'!H150="","",'Statement of Marks'!H150))</f>
        <v/>
      </c>
      <c r="J151" s="805" t="str">
        <f>IF(OR($E$3="",$P$3=""),"",IF('Statement of Marks'!I150="","",'Statement of Marks'!I150))</f>
        <v/>
      </c>
      <c r="K151" s="805" t="str">
        <f>IFERROR(IF(B151="","",IF($P$3=$AT$10,IF(AND(BM151="A"),'Marks Entry'!$U$2,IF(AND(BM151="B"),'Marks Entry'!$Y$2,IF(AND(BM151="C"),'Marks Entry'!$AA$2,""))),IF($P$3=$AT$11,IF(AND(BN151="A"),'Marks Entry'!$AC$2,IF(AND(BN151="B"),'Marks Entry'!$AG$2,IF(AND(BN151="C"),'Marks Entry'!$AI$2,""))),IF($P$3=$AT$12,IF(AND(BO151="A"),'Marks Entry'!$AK$2,IF(AND(BO151="B"),'Marks Entry'!$AO$2,IF(AND(BO151="C"),'Marks Entry'!$AQ$2,""))),IF($P$3=$AT$13,IF(AND(BP151="A"),'Marks Entry'!$AS$2,IF(AND(BP151="B"),'Marks Entry'!$AW$2,IF(AND(BP151="C"),'Marks Entry'!$AY$2,""))),"-"))))),"")</f>
        <v/>
      </c>
      <c r="L151" s="806" t="str">
        <f>IFERROR(IF(B151="","",IF($P$3=$AT$8,'Statement of Marks'!J150,IF($P$3=$AT$9,'Statement of Marks'!X150,IF($P$3=$AT$10,'Statement of Marks'!AM150,IF($P$3=$AT$11,'Statement of Marks'!BJ150,IF($P$3=$AT$12,'Statement of Marks'!CG150,IF($P$3=$AT$13,'Statement of Marks'!DE150,IF($P$3=$AT$14,"",IF($P$3=$AT$15,'Statement of Marks'!EY150,""))))))))),"")</f>
        <v/>
      </c>
      <c r="M151" s="806" t="str">
        <f>IFERROR(IF(B151="","",IF($P$3=$AT$8,'Statement of Marks'!K150,IF($P$3=$AT$9,'Statement of Marks'!Y150,IF($P$3=$AT$10,'Statement of Marks'!AN150,IF($P$3=$AT$11,'Statement of Marks'!BK150,IF($P$3=$AT$12,'Statement of Marks'!CH150,IF($P$3=$AT$13,'Statement of Marks'!DF150,IF($P$3=$AT$14,"",IF($P$3=$AT$15,'Statement of Marks'!EZ150,""))))))))),"")</f>
        <v/>
      </c>
      <c r="N151" s="806" t="str">
        <f>IFERROR(IF(B151="","",IF($P$3=$AT$8,'Statement of Marks'!L150,IF($P$3=$AT$9,'Statement of Marks'!Z150,IF($P$3=$AT$10,'Statement of Marks'!AO150,IF($P$3=$AT$11,'Statement of Marks'!BL150,IF($P$3=$AT$12,'Statement of Marks'!CI150,IF($P$3=$AT$13,'Statement of Marks'!DG150,IF($P$3=$AT$14,"",IF($P$3=$AT$15,'Statement of Marks'!FA150,""))))))))),"")</f>
        <v/>
      </c>
      <c r="O151" s="807" t="str">
        <f t="shared" si="32"/>
        <v/>
      </c>
      <c r="P151" s="806" t="str">
        <f>IFERROR(IF(B151="","",IF($P$3=$AT$8,'Statement of Marks'!N150,IF($P$3=$AT$9,'Statement of Marks'!AB150,IF($P$3=$AT$10,'Statement of Marks'!AQ150,IF($P$3=$AT$11,'Statement of Marks'!BN150,IF($P$3=$AT$12,'Statement of Marks'!CK150,IF($P$3=$AT$13,'Statement of Marks'!DI150,IF($P$3=$AT$14,"",IF($P$3=$AT$15,'Statement of Marks'!FC150,""))))))))),"")</f>
        <v/>
      </c>
      <c r="Q151" s="806" t="str">
        <f>IFERROR(IF(B151="","",IF($P$3=$AT$8,"",IF($P$3=$AT$9,"",IF($P$3=$AT$10,'Statement of Marks'!AR150,IF($P$3=$AT$11,'Statement of Marks'!BO150,IF($P$3=$AT$12,'Statement of Marks'!CL150,IF($P$3=$AT$13,'Statement of Marks'!DJ150,IF($P$3=$AT$14,"",IF($P$3=$AT$15,"",""))))))))),"")</f>
        <v/>
      </c>
      <c r="R151" s="818" t="str">
        <f>IFERROR(IF(B151="","",IF(AND(P151="",Q151="",$P$3=""),"",IF($P$3=$AT$14,'Statement of Marks'!EC150,SUM(P151,Q151)))),"")</f>
        <v/>
      </c>
      <c r="S151" s="817" t="str">
        <f>IFERROR(IF(B151="","",IF($P$3=$AT$14,'Statement of Marks'!ED150,IF(AND(O151="NA",P151="NA",Q151="NA"),"NA",IF(AND(O151="",P151="",Q151=""),"",SUM(O151,P151,Q151))))),"")</f>
        <v/>
      </c>
      <c r="T151" s="806" t="str">
        <f>IFERROR(IF(B151="","",IF($P$3=$AT$8,'Statement of Marks'!P150,IF($P$3=$AT$9,'Statement of Marks'!AD150,IF($P$3=$AT$10,'Statement of Marks'!AU150,IF($P$3=$AT$11,'Statement of Marks'!BR150,IF($P$3=$AT$12,'Statement of Marks'!CO150,IF($P$3=$AT$13,'Statement of Marks'!DM150,IF($P$3=$AT$14,"",IF($P$3=$AT$15,'Statement of Marks'!FD150,""))))))))),"")</f>
        <v/>
      </c>
      <c r="U151" s="806" t="str">
        <f>IFERROR(IF(B151="","",IF($P$3=$AT$8,"",IF($P$3=$AT$9,"",IF($P$3=$AT$10,'Statement of Marks'!AV150,IF($P$3=$AT$11,'Statement of Marks'!BS150,IF($P$3=$AT$12,'Statement of Marks'!CP150,IF($P$3=$AT$13,'Statement of Marks'!DN150,IF($P$3=$AT$14,"",IF($P$3=$AT$15,"",""))))))))),"")</f>
        <v/>
      </c>
      <c r="V151" s="818" t="str">
        <f>IFERROR(IF(B151="","",IF(AND(T151="",U151="",$P$3=""),"",IF($P$3=$AT$14,'Statement of Marks'!EE150,SUM(T151,U151)))),"")</f>
        <v/>
      </c>
      <c r="W151" s="808" t="str">
        <f t="shared" si="33"/>
        <v/>
      </c>
      <c r="X151" s="809">
        <f t="shared" si="34"/>
        <v>0</v>
      </c>
      <c r="Y151" s="809">
        <f t="shared" si="35"/>
        <v>0</v>
      </c>
      <c r="Z151" s="809">
        <f t="shared" si="36"/>
        <v>0</v>
      </c>
      <c r="AA151" s="809" t="str">
        <f t="shared" si="37"/>
        <v/>
      </c>
      <c r="AB151" s="809" t="str">
        <f t="shared" si="38"/>
        <v/>
      </c>
      <c r="AC151" s="809" t="str">
        <f t="shared" si="39"/>
        <v/>
      </c>
      <c r="AD151" s="809" t="str">
        <f t="shared" si="40"/>
        <v/>
      </c>
      <c r="AE151" s="810" t="str">
        <f t="shared" si="41"/>
        <v/>
      </c>
      <c r="AF151" s="811" t="str">
        <f t="shared" si="42"/>
        <v/>
      </c>
      <c r="AG151" s="812" t="str">
        <f t="shared" si="43"/>
        <v/>
      </c>
      <c r="AW151" s="17" t="str">
        <f t="shared" si="44"/>
        <v/>
      </c>
      <c r="AX151" s="17" t="str">
        <f t="shared" si="45"/>
        <v/>
      </c>
      <c r="BM151" s="17" t="str">
        <f>IFERROR(VLOOKUP(B151,'Statement of Marks'!$B$8:'Statement of Marks'!$HI$207,37,0),"")</f>
        <v>A</v>
      </c>
      <c r="BN151" s="17" t="str">
        <f>IFERROR(VLOOKUP(B151,'Statement of Marks'!$B$8:'Statement of Marks'!$HI$207,60,0),"")</f>
        <v>A</v>
      </c>
      <c r="BO151" s="17" t="str">
        <f>IFERROR(VLOOKUP(B151,'Statement of Marks'!$B$8:'Statement of Marks'!$HI$207,83,0),"")</f>
        <v>A</v>
      </c>
      <c r="BP151" s="17" t="str">
        <f>IFERROR(VLOOKUP(B151,'Statement of Marks'!$B$8:'Statement of Marks'!$HI$207,107,0),"")</f>
        <v/>
      </c>
    </row>
    <row r="152" spans="1:68">
      <c r="A152" s="800">
        <f>IF('Statement of Marks'!A151="","",'Statement of Marks'!A151)</f>
        <v>144</v>
      </c>
      <c r="B152" s="801" t="str">
        <f>IF(OR($E$3="",$P$3=""),"",IF('Statement of Marks'!B151="","",'Statement of Marks'!B151))</f>
        <v/>
      </c>
      <c r="C152" s="810" t="str">
        <f>IF(OR($E$3="",$P$3=""),"",IF('Marks Entry'!C151="","",'Marks Entry'!C151))</f>
        <v/>
      </c>
      <c r="D152" s="802" t="str">
        <f>IF(OR($E$3="",$P$3=""),"",IF('Statement of Marks'!C151="","",'Statement of Marks'!C151))</f>
        <v/>
      </c>
      <c r="E152" s="803" t="str">
        <f>IF(OR($E$3="",$P$3=""),"",IF('Statement of Marks'!D151="","",'Statement of Marks'!D151))</f>
        <v/>
      </c>
      <c r="F152" s="804" t="str">
        <f>IF(OR($E$3="",$P$3=""),"",IF('Statement of Marks'!E151="","",'Statement of Marks'!E151))</f>
        <v/>
      </c>
      <c r="G152" s="804" t="str">
        <f>IF(OR($E$3="",$P$3=""),"",IF('Statement of Marks'!F151="","",'Statement of Marks'!F151))</f>
        <v/>
      </c>
      <c r="H152" s="804" t="str">
        <f>IF(OR($E$3="",$P$3=""),"",IF('Statement of Marks'!G151="","",'Statement of Marks'!G151))</f>
        <v/>
      </c>
      <c r="I152" s="805" t="str">
        <f>IF(OR($E$3="",$P$3=""),"",IF('Statement of Marks'!H151="","",'Statement of Marks'!H151))</f>
        <v/>
      </c>
      <c r="J152" s="805" t="str">
        <f>IF(OR($E$3="",$P$3=""),"",IF('Statement of Marks'!I151="","",'Statement of Marks'!I151))</f>
        <v/>
      </c>
      <c r="K152" s="805" t="str">
        <f>IFERROR(IF(B152="","",IF($P$3=$AT$10,IF(AND(BM152="A"),'Marks Entry'!$U$2,IF(AND(BM152="B"),'Marks Entry'!$Y$2,IF(AND(BM152="C"),'Marks Entry'!$AA$2,""))),IF($P$3=$AT$11,IF(AND(BN152="A"),'Marks Entry'!$AC$2,IF(AND(BN152="B"),'Marks Entry'!$AG$2,IF(AND(BN152="C"),'Marks Entry'!$AI$2,""))),IF($P$3=$AT$12,IF(AND(BO152="A"),'Marks Entry'!$AK$2,IF(AND(BO152="B"),'Marks Entry'!$AO$2,IF(AND(BO152="C"),'Marks Entry'!$AQ$2,""))),IF($P$3=$AT$13,IF(AND(BP152="A"),'Marks Entry'!$AS$2,IF(AND(BP152="B"),'Marks Entry'!$AW$2,IF(AND(BP152="C"),'Marks Entry'!$AY$2,""))),"-"))))),"")</f>
        <v/>
      </c>
      <c r="L152" s="806" t="str">
        <f>IFERROR(IF(B152="","",IF($P$3=$AT$8,'Statement of Marks'!J151,IF($P$3=$AT$9,'Statement of Marks'!X151,IF($P$3=$AT$10,'Statement of Marks'!AM151,IF($P$3=$AT$11,'Statement of Marks'!BJ151,IF($P$3=$AT$12,'Statement of Marks'!CG151,IF($P$3=$AT$13,'Statement of Marks'!DE151,IF($P$3=$AT$14,"",IF($P$3=$AT$15,'Statement of Marks'!EY151,""))))))))),"")</f>
        <v/>
      </c>
      <c r="M152" s="806" t="str">
        <f>IFERROR(IF(B152="","",IF($P$3=$AT$8,'Statement of Marks'!K151,IF($P$3=$AT$9,'Statement of Marks'!Y151,IF($P$3=$AT$10,'Statement of Marks'!AN151,IF($P$3=$AT$11,'Statement of Marks'!BK151,IF($P$3=$AT$12,'Statement of Marks'!CH151,IF($P$3=$AT$13,'Statement of Marks'!DF151,IF($P$3=$AT$14,"",IF($P$3=$AT$15,'Statement of Marks'!EZ151,""))))))))),"")</f>
        <v/>
      </c>
      <c r="N152" s="806" t="str">
        <f>IFERROR(IF(B152="","",IF($P$3=$AT$8,'Statement of Marks'!L151,IF($P$3=$AT$9,'Statement of Marks'!Z151,IF($P$3=$AT$10,'Statement of Marks'!AO151,IF($P$3=$AT$11,'Statement of Marks'!BL151,IF($P$3=$AT$12,'Statement of Marks'!CI151,IF($P$3=$AT$13,'Statement of Marks'!DG151,IF($P$3=$AT$14,"",IF($P$3=$AT$15,'Statement of Marks'!FA151,""))))))))),"")</f>
        <v/>
      </c>
      <c r="O152" s="807" t="str">
        <f t="shared" si="32"/>
        <v/>
      </c>
      <c r="P152" s="806" t="str">
        <f>IFERROR(IF(B152="","",IF($P$3=$AT$8,'Statement of Marks'!N151,IF($P$3=$AT$9,'Statement of Marks'!AB151,IF($P$3=$AT$10,'Statement of Marks'!AQ151,IF($P$3=$AT$11,'Statement of Marks'!BN151,IF($P$3=$AT$12,'Statement of Marks'!CK151,IF($P$3=$AT$13,'Statement of Marks'!DI151,IF($P$3=$AT$14,"",IF($P$3=$AT$15,'Statement of Marks'!FC151,""))))))))),"")</f>
        <v/>
      </c>
      <c r="Q152" s="806" t="str">
        <f>IFERROR(IF(B152="","",IF($P$3=$AT$8,"",IF($P$3=$AT$9,"",IF($P$3=$AT$10,'Statement of Marks'!AR151,IF($P$3=$AT$11,'Statement of Marks'!BO151,IF($P$3=$AT$12,'Statement of Marks'!CL151,IF($P$3=$AT$13,'Statement of Marks'!DJ151,IF($P$3=$AT$14,"",IF($P$3=$AT$15,"",""))))))))),"")</f>
        <v/>
      </c>
      <c r="R152" s="818" t="str">
        <f>IFERROR(IF(B152="","",IF(AND(P152="",Q152="",$P$3=""),"",IF($P$3=$AT$14,'Statement of Marks'!EC151,SUM(P152,Q152)))),"")</f>
        <v/>
      </c>
      <c r="S152" s="817" t="str">
        <f>IFERROR(IF(B152="","",IF($P$3=$AT$14,'Statement of Marks'!ED151,IF(AND(O152="NA",P152="NA",Q152="NA"),"NA",IF(AND(O152="",P152="",Q152=""),"",SUM(O152,P152,Q152))))),"")</f>
        <v/>
      </c>
      <c r="T152" s="806" t="str">
        <f>IFERROR(IF(B152="","",IF($P$3=$AT$8,'Statement of Marks'!P151,IF($P$3=$AT$9,'Statement of Marks'!AD151,IF($P$3=$AT$10,'Statement of Marks'!AU151,IF($P$3=$AT$11,'Statement of Marks'!BR151,IF($P$3=$AT$12,'Statement of Marks'!CO151,IF($P$3=$AT$13,'Statement of Marks'!DM151,IF($P$3=$AT$14,"",IF($P$3=$AT$15,'Statement of Marks'!FD151,""))))))))),"")</f>
        <v/>
      </c>
      <c r="U152" s="806" t="str">
        <f>IFERROR(IF(B152="","",IF($P$3=$AT$8,"",IF($P$3=$AT$9,"",IF($P$3=$AT$10,'Statement of Marks'!AV151,IF($P$3=$AT$11,'Statement of Marks'!BS151,IF($P$3=$AT$12,'Statement of Marks'!CP151,IF($P$3=$AT$13,'Statement of Marks'!DN151,IF($P$3=$AT$14,"",IF($P$3=$AT$15,"",""))))))))),"")</f>
        <v/>
      </c>
      <c r="V152" s="818" t="str">
        <f>IFERROR(IF(B152="","",IF(AND(T152="",U152="",$P$3=""),"",IF($P$3=$AT$14,'Statement of Marks'!EE151,SUM(T152,U152)))),"")</f>
        <v/>
      </c>
      <c r="W152" s="808" t="str">
        <f t="shared" si="33"/>
        <v/>
      </c>
      <c r="X152" s="809">
        <f t="shared" si="34"/>
        <v>0</v>
      </c>
      <c r="Y152" s="809">
        <f t="shared" si="35"/>
        <v>0</v>
      </c>
      <c r="Z152" s="809">
        <f t="shared" si="36"/>
        <v>0</v>
      </c>
      <c r="AA152" s="809" t="str">
        <f t="shared" si="37"/>
        <v/>
      </c>
      <c r="AB152" s="809" t="str">
        <f t="shared" si="38"/>
        <v/>
      </c>
      <c r="AC152" s="809" t="str">
        <f t="shared" si="39"/>
        <v/>
      </c>
      <c r="AD152" s="809" t="str">
        <f t="shared" si="40"/>
        <v/>
      </c>
      <c r="AE152" s="810" t="str">
        <f t="shared" si="41"/>
        <v/>
      </c>
      <c r="AF152" s="811" t="str">
        <f t="shared" si="42"/>
        <v/>
      </c>
      <c r="AG152" s="812" t="str">
        <f t="shared" si="43"/>
        <v/>
      </c>
      <c r="AW152" s="17" t="str">
        <f t="shared" si="44"/>
        <v/>
      </c>
      <c r="AX152" s="17" t="str">
        <f t="shared" si="45"/>
        <v/>
      </c>
      <c r="BM152" s="17" t="str">
        <f>IFERROR(VLOOKUP(B152,'Statement of Marks'!$B$8:'Statement of Marks'!$HI$207,37,0),"")</f>
        <v>A</v>
      </c>
      <c r="BN152" s="17" t="str">
        <f>IFERROR(VLOOKUP(B152,'Statement of Marks'!$B$8:'Statement of Marks'!$HI$207,60,0),"")</f>
        <v>A</v>
      </c>
      <c r="BO152" s="17" t="str">
        <f>IFERROR(VLOOKUP(B152,'Statement of Marks'!$B$8:'Statement of Marks'!$HI$207,83,0),"")</f>
        <v>A</v>
      </c>
      <c r="BP152" s="17" t="str">
        <f>IFERROR(VLOOKUP(B152,'Statement of Marks'!$B$8:'Statement of Marks'!$HI$207,107,0),"")</f>
        <v/>
      </c>
    </row>
    <row r="153" spans="1:68">
      <c r="A153" s="800">
        <f>IF('Statement of Marks'!A152="","",'Statement of Marks'!A152)</f>
        <v>145</v>
      </c>
      <c r="B153" s="801" t="str">
        <f>IF(OR($E$3="",$P$3=""),"",IF('Statement of Marks'!B152="","",'Statement of Marks'!B152))</f>
        <v/>
      </c>
      <c r="C153" s="810" t="str">
        <f>IF(OR($E$3="",$P$3=""),"",IF('Marks Entry'!C152="","",'Marks Entry'!C152))</f>
        <v/>
      </c>
      <c r="D153" s="802" t="str">
        <f>IF(OR($E$3="",$P$3=""),"",IF('Statement of Marks'!C152="","",'Statement of Marks'!C152))</f>
        <v/>
      </c>
      <c r="E153" s="803" t="str">
        <f>IF(OR($E$3="",$P$3=""),"",IF('Statement of Marks'!D152="","",'Statement of Marks'!D152))</f>
        <v/>
      </c>
      <c r="F153" s="804" t="str">
        <f>IF(OR($E$3="",$P$3=""),"",IF('Statement of Marks'!E152="","",'Statement of Marks'!E152))</f>
        <v/>
      </c>
      <c r="G153" s="804" t="str">
        <f>IF(OR($E$3="",$P$3=""),"",IF('Statement of Marks'!F152="","",'Statement of Marks'!F152))</f>
        <v/>
      </c>
      <c r="H153" s="804" t="str">
        <f>IF(OR($E$3="",$P$3=""),"",IF('Statement of Marks'!G152="","",'Statement of Marks'!G152))</f>
        <v/>
      </c>
      <c r="I153" s="805" t="str">
        <f>IF(OR($E$3="",$P$3=""),"",IF('Statement of Marks'!H152="","",'Statement of Marks'!H152))</f>
        <v/>
      </c>
      <c r="J153" s="805" t="str">
        <f>IF(OR($E$3="",$P$3=""),"",IF('Statement of Marks'!I152="","",'Statement of Marks'!I152))</f>
        <v/>
      </c>
      <c r="K153" s="805" t="str">
        <f>IFERROR(IF(B153="","",IF($P$3=$AT$10,IF(AND(BM153="A"),'Marks Entry'!$U$2,IF(AND(BM153="B"),'Marks Entry'!$Y$2,IF(AND(BM153="C"),'Marks Entry'!$AA$2,""))),IF($P$3=$AT$11,IF(AND(BN153="A"),'Marks Entry'!$AC$2,IF(AND(BN153="B"),'Marks Entry'!$AG$2,IF(AND(BN153="C"),'Marks Entry'!$AI$2,""))),IF($P$3=$AT$12,IF(AND(BO153="A"),'Marks Entry'!$AK$2,IF(AND(BO153="B"),'Marks Entry'!$AO$2,IF(AND(BO153="C"),'Marks Entry'!$AQ$2,""))),IF($P$3=$AT$13,IF(AND(BP153="A"),'Marks Entry'!$AS$2,IF(AND(BP153="B"),'Marks Entry'!$AW$2,IF(AND(BP153="C"),'Marks Entry'!$AY$2,""))),"-"))))),"")</f>
        <v/>
      </c>
      <c r="L153" s="806" t="str">
        <f>IFERROR(IF(B153="","",IF($P$3=$AT$8,'Statement of Marks'!J152,IF($P$3=$AT$9,'Statement of Marks'!X152,IF($P$3=$AT$10,'Statement of Marks'!AM152,IF($P$3=$AT$11,'Statement of Marks'!BJ152,IF($P$3=$AT$12,'Statement of Marks'!CG152,IF($P$3=$AT$13,'Statement of Marks'!DE152,IF($P$3=$AT$14,"",IF($P$3=$AT$15,'Statement of Marks'!EY152,""))))))))),"")</f>
        <v/>
      </c>
      <c r="M153" s="806" t="str">
        <f>IFERROR(IF(B153="","",IF($P$3=$AT$8,'Statement of Marks'!K152,IF($P$3=$AT$9,'Statement of Marks'!Y152,IF($P$3=$AT$10,'Statement of Marks'!AN152,IF($P$3=$AT$11,'Statement of Marks'!BK152,IF($P$3=$AT$12,'Statement of Marks'!CH152,IF($P$3=$AT$13,'Statement of Marks'!DF152,IF($P$3=$AT$14,"",IF($P$3=$AT$15,'Statement of Marks'!EZ152,""))))))))),"")</f>
        <v/>
      </c>
      <c r="N153" s="806" t="str">
        <f>IFERROR(IF(B153="","",IF($P$3=$AT$8,'Statement of Marks'!L152,IF($P$3=$AT$9,'Statement of Marks'!Z152,IF($P$3=$AT$10,'Statement of Marks'!AO152,IF($P$3=$AT$11,'Statement of Marks'!BL152,IF($P$3=$AT$12,'Statement of Marks'!CI152,IF($P$3=$AT$13,'Statement of Marks'!DG152,IF($P$3=$AT$14,"",IF($P$3=$AT$15,'Statement of Marks'!FA152,""))))))))),"")</f>
        <v/>
      </c>
      <c r="O153" s="807" t="str">
        <f t="shared" si="32"/>
        <v/>
      </c>
      <c r="P153" s="806" t="str">
        <f>IFERROR(IF(B153="","",IF($P$3=$AT$8,'Statement of Marks'!N152,IF($P$3=$AT$9,'Statement of Marks'!AB152,IF($P$3=$AT$10,'Statement of Marks'!AQ152,IF($P$3=$AT$11,'Statement of Marks'!BN152,IF($P$3=$AT$12,'Statement of Marks'!CK152,IF($P$3=$AT$13,'Statement of Marks'!DI152,IF($P$3=$AT$14,"",IF($P$3=$AT$15,'Statement of Marks'!FC152,""))))))))),"")</f>
        <v/>
      </c>
      <c r="Q153" s="806" t="str">
        <f>IFERROR(IF(B153="","",IF($P$3=$AT$8,"",IF($P$3=$AT$9,"",IF($P$3=$AT$10,'Statement of Marks'!AR152,IF($P$3=$AT$11,'Statement of Marks'!BO152,IF($P$3=$AT$12,'Statement of Marks'!CL152,IF($P$3=$AT$13,'Statement of Marks'!DJ152,IF($P$3=$AT$14,"",IF($P$3=$AT$15,"",""))))))))),"")</f>
        <v/>
      </c>
      <c r="R153" s="818" t="str">
        <f>IFERROR(IF(B153="","",IF(AND(P153="",Q153="",$P$3=""),"",IF($P$3=$AT$14,'Statement of Marks'!EC152,SUM(P153,Q153)))),"")</f>
        <v/>
      </c>
      <c r="S153" s="817" t="str">
        <f>IFERROR(IF(B153="","",IF($P$3=$AT$14,'Statement of Marks'!ED152,IF(AND(O153="NA",P153="NA",Q153="NA"),"NA",IF(AND(O153="",P153="",Q153=""),"",SUM(O153,P153,Q153))))),"")</f>
        <v/>
      </c>
      <c r="T153" s="806" t="str">
        <f>IFERROR(IF(B153="","",IF($P$3=$AT$8,'Statement of Marks'!P152,IF($P$3=$AT$9,'Statement of Marks'!AD152,IF($P$3=$AT$10,'Statement of Marks'!AU152,IF($P$3=$AT$11,'Statement of Marks'!BR152,IF($P$3=$AT$12,'Statement of Marks'!CO152,IF($P$3=$AT$13,'Statement of Marks'!DM152,IF($P$3=$AT$14,"",IF($P$3=$AT$15,'Statement of Marks'!FD152,""))))))))),"")</f>
        <v/>
      </c>
      <c r="U153" s="806" t="str">
        <f>IFERROR(IF(B153="","",IF($P$3=$AT$8,"",IF($P$3=$AT$9,"",IF($P$3=$AT$10,'Statement of Marks'!AV152,IF($P$3=$AT$11,'Statement of Marks'!BS152,IF($P$3=$AT$12,'Statement of Marks'!CP152,IF($P$3=$AT$13,'Statement of Marks'!DN152,IF($P$3=$AT$14,"",IF($P$3=$AT$15,"",""))))))))),"")</f>
        <v/>
      </c>
      <c r="V153" s="818" t="str">
        <f>IFERROR(IF(B153="","",IF(AND(T153="",U153="",$P$3=""),"",IF($P$3=$AT$14,'Statement of Marks'!EE152,SUM(T153,U153)))),"")</f>
        <v/>
      </c>
      <c r="W153" s="808" t="str">
        <f t="shared" si="33"/>
        <v/>
      </c>
      <c r="X153" s="809">
        <f t="shared" si="34"/>
        <v>0</v>
      </c>
      <c r="Y153" s="809">
        <f t="shared" si="35"/>
        <v>0</v>
      </c>
      <c r="Z153" s="809">
        <f t="shared" si="36"/>
        <v>0</v>
      </c>
      <c r="AA153" s="809" t="str">
        <f t="shared" si="37"/>
        <v/>
      </c>
      <c r="AB153" s="809" t="str">
        <f t="shared" si="38"/>
        <v/>
      </c>
      <c r="AC153" s="809" t="str">
        <f t="shared" si="39"/>
        <v/>
      </c>
      <c r="AD153" s="809" t="str">
        <f t="shared" si="40"/>
        <v/>
      </c>
      <c r="AE153" s="810" t="str">
        <f t="shared" si="41"/>
        <v/>
      </c>
      <c r="AF153" s="811" t="str">
        <f t="shared" si="42"/>
        <v/>
      </c>
      <c r="AG153" s="812" t="str">
        <f t="shared" si="43"/>
        <v/>
      </c>
      <c r="AW153" s="17" t="str">
        <f t="shared" si="44"/>
        <v/>
      </c>
      <c r="AX153" s="17" t="str">
        <f t="shared" si="45"/>
        <v/>
      </c>
      <c r="BM153" s="17" t="str">
        <f>IFERROR(VLOOKUP(B153,'Statement of Marks'!$B$8:'Statement of Marks'!$HI$207,37,0),"")</f>
        <v>A</v>
      </c>
      <c r="BN153" s="17" t="str">
        <f>IFERROR(VLOOKUP(B153,'Statement of Marks'!$B$8:'Statement of Marks'!$HI$207,60,0),"")</f>
        <v>A</v>
      </c>
      <c r="BO153" s="17" t="str">
        <f>IFERROR(VLOOKUP(B153,'Statement of Marks'!$B$8:'Statement of Marks'!$HI$207,83,0),"")</f>
        <v>A</v>
      </c>
      <c r="BP153" s="17" t="str">
        <f>IFERROR(VLOOKUP(B153,'Statement of Marks'!$B$8:'Statement of Marks'!$HI$207,107,0),"")</f>
        <v/>
      </c>
    </row>
    <row r="154" spans="1:68">
      <c r="A154" s="800">
        <f>IF('Statement of Marks'!A153="","",'Statement of Marks'!A153)</f>
        <v>146</v>
      </c>
      <c r="B154" s="801" t="str">
        <f>IF(OR($E$3="",$P$3=""),"",IF('Statement of Marks'!B153="","",'Statement of Marks'!B153))</f>
        <v/>
      </c>
      <c r="C154" s="810" t="str">
        <f>IF(OR($E$3="",$P$3=""),"",IF('Marks Entry'!C153="","",'Marks Entry'!C153))</f>
        <v/>
      </c>
      <c r="D154" s="802" t="str">
        <f>IF(OR($E$3="",$P$3=""),"",IF('Statement of Marks'!C153="","",'Statement of Marks'!C153))</f>
        <v/>
      </c>
      <c r="E154" s="803" t="str">
        <f>IF(OR($E$3="",$P$3=""),"",IF('Statement of Marks'!D153="","",'Statement of Marks'!D153))</f>
        <v/>
      </c>
      <c r="F154" s="804" t="str">
        <f>IF(OR($E$3="",$P$3=""),"",IF('Statement of Marks'!E153="","",'Statement of Marks'!E153))</f>
        <v/>
      </c>
      <c r="G154" s="804" t="str">
        <f>IF(OR($E$3="",$P$3=""),"",IF('Statement of Marks'!F153="","",'Statement of Marks'!F153))</f>
        <v/>
      </c>
      <c r="H154" s="804" t="str">
        <f>IF(OR($E$3="",$P$3=""),"",IF('Statement of Marks'!G153="","",'Statement of Marks'!G153))</f>
        <v/>
      </c>
      <c r="I154" s="805" t="str">
        <f>IF(OR($E$3="",$P$3=""),"",IF('Statement of Marks'!H153="","",'Statement of Marks'!H153))</f>
        <v/>
      </c>
      <c r="J154" s="805" t="str">
        <f>IF(OR($E$3="",$P$3=""),"",IF('Statement of Marks'!I153="","",'Statement of Marks'!I153))</f>
        <v/>
      </c>
      <c r="K154" s="805" t="str">
        <f>IFERROR(IF(B154="","",IF($P$3=$AT$10,IF(AND(BM154="A"),'Marks Entry'!$U$2,IF(AND(BM154="B"),'Marks Entry'!$Y$2,IF(AND(BM154="C"),'Marks Entry'!$AA$2,""))),IF($P$3=$AT$11,IF(AND(BN154="A"),'Marks Entry'!$AC$2,IF(AND(BN154="B"),'Marks Entry'!$AG$2,IF(AND(BN154="C"),'Marks Entry'!$AI$2,""))),IF($P$3=$AT$12,IF(AND(BO154="A"),'Marks Entry'!$AK$2,IF(AND(BO154="B"),'Marks Entry'!$AO$2,IF(AND(BO154="C"),'Marks Entry'!$AQ$2,""))),IF($P$3=$AT$13,IF(AND(BP154="A"),'Marks Entry'!$AS$2,IF(AND(BP154="B"),'Marks Entry'!$AW$2,IF(AND(BP154="C"),'Marks Entry'!$AY$2,""))),"-"))))),"")</f>
        <v/>
      </c>
      <c r="L154" s="806" t="str">
        <f>IFERROR(IF(B154="","",IF($P$3=$AT$8,'Statement of Marks'!J153,IF($P$3=$AT$9,'Statement of Marks'!X153,IF($P$3=$AT$10,'Statement of Marks'!AM153,IF($P$3=$AT$11,'Statement of Marks'!BJ153,IF($P$3=$AT$12,'Statement of Marks'!CG153,IF($P$3=$AT$13,'Statement of Marks'!DE153,IF($P$3=$AT$14,"",IF($P$3=$AT$15,'Statement of Marks'!EY153,""))))))))),"")</f>
        <v/>
      </c>
      <c r="M154" s="806" t="str">
        <f>IFERROR(IF(B154="","",IF($P$3=$AT$8,'Statement of Marks'!K153,IF($P$3=$AT$9,'Statement of Marks'!Y153,IF($P$3=$AT$10,'Statement of Marks'!AN153,IF($P$3=$AT$11,'Statement of Marks'!BK153,IF($P$3=$AT$12,'Statement of Marks'!CH153,IF($P$3=$AT$13,'Statement of Marks'!DF153,IF($P$3=$AT$14,"",IF($P$3=$AT$15,'Statement of Marks'!EZ153,""))))))))),"")</f>
        <v/>
      </c>
      <c r="N154" s="806" t="str">
        <f>IFERROR(IF(B154="","",IF($P$3=$AT$8,'Statement of Marks'!L153,IF($P$3=$AT$9,'Statement of Marks'!Z153,IF($P$3=$AT$10,'Statement of Marks'!AO153,IF($P$3=$AT$11,'Statement of Marks'!BL153,IF($P$3=$AT$12,'Statement of Marks'!CI153,IF($P$3=$AT$13,'Statement of Marks'!DG153,IF($P$3=$AT$14,"",IF($P$3=$AT$15,'Statement of Marks'!FA153,""))))))))),"")</f>
        <v/>
      </c>
      <c r="O154" s="807" t="str">
        <f t="shared" si="32"/>
        <v/>
      </c>
      <c r="P154" s="806" t="str">
        <f>IFERROR(IF(B154="","",IF($P$3=$AT$8,'Statement of Marks'!N153,IF($P$3=$AT$9,'Statement of Marks'!AB153,IF($P$3=$AT$10,'Statement of Marks'!AQ153,IF($P$3=$AT$11,'Statement of Marks'!BN153,IF($P$3=$AT$12,'Statement of Marks'!CK153,IF($P$3=$AT$13,'Statement of Marks'!DI153,IF($P$3=$AT$14,"",IF($P$3=$AT$15,'Statement of Marks'!FC153,""))))))))),"")</f>
        <v/>
      </c>
      <c r="Q154" s="806" t="str">
        <f>IFERROR(IF(B154="","",IF($P$3=$AT$8,"",IF($P$3=$AT$9,"",IF($P$3=$AT$10,'Statement of Marks'!AR153,IF($P$3=$AT$11,'Statement of Marks'!BO153,IF($P$3=$AT$12,'Statement of Marks'!CL153,IF($P$3=$AT$13,'Statement of Marks'!DJ153,IF($P$3=$AT$14,"",IF($P$3=$AT$15,"",""))))))))),"")</f>
        <v/>
      </c>
      <c r="R154" s="818" t="str">
        <f>IFERROR(IF(B154="","",IF(AND(P154="",Q154="",$P$3=""),"",IF($P$3=$AT$14,'Statement of Marks'!EC153,SUM(P154,Q154)))),"")</f>
        <v/>
      </c>
      <c r="S154" s="817" t="str">
        <f>IFERROR(IF(B154="","",IF($P$3=$AT$14,'Statement of Marks'!ED153,IF(AND(O154="NA",P154="NA",Q154="NA"),"NA",IF(AND(O154="",P154="",Q154=""),"",SUM(O154,P154,Q154))))),"")</f>
        <v/>
      </c>
      <c r="T154" s="806" t="str">
        <f>IFERROR(IF(B154="","",IF($P$3=$AT$8,'Statement of Marks'!P153,IF($P$3=$AT$9,'Statement of Marks'!AD153,IF($P$3=$AT$10,'Statement of Marks'!AU153,IF($P$3=$AT$11,'Statement of Marks'!BR153,IF($P$3=$AT$12,'Statement of Marks'!CO153,IF($P$3=$AT$13,'Statement of Marks'!DM153,IF($P$3=$AT$14,"",IF($P$3=$AT$15,'Statement of Marks'!FD153,""))))))))),"")</f>
        <v/>
      </c>
      <c r="U154" s="806" t="str">
        <f>IFERROR(IF(B154="","",IF($P$3=$AT$8,"",IF($P$3=$AT$9,"",IF($P$3=$AT$10,'Statement of Marks'!AV153,IF($P$3=$AT$11,'Statement of Marks'!BS153,IF($P$3=$AT$12,'Statement of Marks'!CP153,IF($P$3=$AT$13,'Statement of Marks'!DN153,IF($P$3=$AT$14,"",IF($P$3=$AT$15,"",""))))))))),"")</f>
        <v/>
      </c>
      <c r="V154" s="818" t="str">
        <f>IFERROR(IF(B154="","",IF(AND(T154="",U154="",$P$3=""),"",IF($P$3=$AT$14,'Statement of Marks'!EE153,SUM(T154,U154)))),"")</f>
        <v/>
      </c>
      <c r="W154" s="808" t="str">
        <f t="shared" si="33"/>
        <v/>
      </c>
      <c r="X154" s="809">
        <f t="shared" si="34"/>
        <v>0</v>
      </c>
      <c r="Y154" s="809">
        <f t="shared" si="35"/>
        <v>0</v>
      </c>
      <c r="Z154" s="809">
        <f t="shared" si="36"/>
        <v>0</v>
      </c>
      <c r="AA154" s="809" t="str">
        <f t="shared" si="37"/>
        <v/>
      </c>
      <c r="AB154" s="809" t="str">
        <f t="shared" si="38"/>
        <v/>
      </c>
      <c r="AC154" s="809" t="str">
        <f t="shared" si="39"/>
        <v/>
      </c>
      <c r="AD154" s="809" t="str">
        <f t="shared" si="40"/>
        <v/>
      </c>
      <c r="AE154" s="810" t="str">
        <f t="shared" si="41"/>
        <v/>
      </c>
      <c r="AF154" s="811" t="str">
        <f t="shared" si="42"/>
        <v/>
      </c>
      <c r="AG154" s="812" t="str">
        <f t="shared" si="43"/>
        <v/>
      </c>
      <c r="AW154" s="17" t="str">
        <f t="shared" si="44"/>
        <v/>
      </c>
      <c r="AX154" s="17" t="str">
        <f t="shared" si="45"/>
        <v/>
      </c>
      <c r="BM154" s="17" t="str">
        <f>IFERROR(VLOOKUP(B154,'Statement of Marks'!$B$8:'Statement of Marks'!$HI$207,37,0),"")</f>
        <v>A</v>
      </c>
      <c r="BN154" s="17" t="str">
        <f>IFERROR(VLOOKUP(B154,'Statement of Marks'!$B$8:'Statement of Marks'!$HI$207,60,0),"")</f>
        <v>A</v>
      </c>
      <c r="BO154" s="17" t="str">
        <f>IFERROR(VLOOKUP(B154,'Statement of Marks'!$B$8:'Statement of Marks'!$HI$207,83,0),"")</f>
        <v>A</v>
      </c>
      <c r="BP154" s="17" t="str">
        <f>IFERROR(VLOOKUP(B154,'Statement of Marks'!$B$8:'Statement of Marks'!$HI$207,107,0),"")</f>
        <v/>
      </c>
    </row>
    <row r="155" spans="1:68">
      <c r="A155" s="800">
        <f>IF('Statement of Marks'!A154="","",'Statement of Marks'!A154)</f>
        <v>147</v>
      </c>
      <c r="B155" s="801" t="str">
        <f>IF(OR($E$3="",$P$3=""),"",IF('Statement of Marks'!B154="","",'Statement of Marks'!B154))</f>
        <v/>
      </c>
      <c r="C155" s="810" t="str">
        <f>IF(OR($E$3="",$P$3=""),"",IF('Marks Entry'!C154="","",'Marks Entry'!C154))</f>
        <v/>
      </c>
      <c r="D155" s="802" t="str">
        <f>IF(OR($E$3="",$P$3=""),"",IF('Statement of Marks'!C154="","",'Statement of Marks'!C154))</f>
        <v/>
      </c>
      <c r="E155" s="803" t="str">
        <f>IF(OR($E$3="",$P$3=""),"",IF('Statement of Marks'!D154="","",'Statement of Marks'!D154))</f>
        <v/>
      </c>
      <c r="F155" s="804" t="str">
        <f>IF(OR($E$3="",$P$3=""),"",IF('Statement of Marks'!E154="","",'Statement of Marks'!E154))</f>
        <v/>
      </c>
      <c r="G155" s="804" t="str">
        <f>IF(OR($E$3="",$P$3=""),"",IF('Statement of Marks'!F154="","",'Statement of Marks'!F154))</f>
        <v/>
      </c>
      <c r="H155" s="804" t="str">
        <f>IF(OR($E$3="",$P$3=""),"",IF('Statement of Marks'!G154="","",'Statement of Marks'!G154))</f>
        <v/>
      </c>
      <c r="I155" s="805" t="str">
        <f>IF(OR($E$3="",$P$3=""),"",IF('Statement of Marks'!H154="","",'Statement of Marks'!H154))</f>
        <v/>
      </c>
      <c r="J155" s="805" t="str">
        <f>IF(OR($E$3="",$P$3=""),"",IF('Statement of Marks'!I154="","",'Statement of Marks'!I154))</f>
        <v/>
      </c>
      <c r="K155" s="805" t="str">
        <f>IFERROR(IF(B155="","",IF($P$3=$AT$10,IF(AND(BM155="A"),'Marks Entry'!$U$2,IF(AND(BM155="B"),'Marks Entry'!$Y$2,IF(AND(BM155="C"),'Marks Entry'!$AA$2,""))),IF($P$3=$AT$11,IF(AND(BN155="A"),'Marks Entry'!$AC$2,IF(AND(BN155="B"),'Marks Entry'!$AG$2,IF(AND(BN155="C"),'Marks Entry'!$AI$2,""))),IF($P$3=$AT$12,IF(AND(BO155="A"),'Marks Entry'!$AK$2,IF(AND(BO155="B"),'Marks Entry'!$AO$2,IF(AND(BO155="C"),'Marks Entry'!$AQ$2,""))),IF($P$3=$AT$13,IF(AND(BP155="A"),'Marks Entry'!$AS$2,IF(AND(BP155="B"),'Marks Entry'!$AW$2,IF(AND(BP155="C"),'Marks Entry'!$AY$2,""))),"-"))))),"")</f>
        <v/>
      </c>
      <c r="L155" s="806" t="str">
        <f>IFERROR(IF(B155="","",IF($P$3=$AT$8,'Statement of Marks'!J154,IF($P$3=$AT$9,'Statement of Marks'!X154,IF($P$3=$AT$10,'Statement of Marks'!AM154,IF($P$3=$AT$11,'Statement of Marks'!BJ154,IF($P$3=$AT$12,'Statement of Marks'!CG154,IF($P$3=$AT$13,'Statement of Marks'!DE154,IF($P$3=$AT$14,"",IF($P$3=$AT$15,'Statement of Marks'!EY154,""))))))))),"")</f>
        <v/>
      </c>
      <c r="M155" s="806" t="str">
        <f>IFERROR(IF(B155="","",IF($P$3=$AT$8,'Statement of Marks'!K154,IF($P$3=$AT$9,'Statement of Marks'!Y154,IF($P$3=$AT$10,'Statement of Marks'!AN154,IF($P$3=$AT$11,'Statement of Marks'!BK154,IF($P$3=$AT$12,'Statement of Marks'!CH154,IF($P$3=$AT$13,'Statement of Marks'!DF154,IF($P$3=$AT$14,"",IF($P$3=$AT$15,'Statement of Marks'!EZ154,""))))))))),"")</f>
        <v/>
      </c>
      <c r="N155" s="806" t="str">
        <f>IFERROR(IF(B155="","",IF($P$3=$AT$8,'Statement of Marks'!L154,IF($P$3=$AT$9,'Statement of Marks'!Z154,IF($P$3=$AT$10,'Statement of Marks'!AO154,IF($P$3=$AT$11,'Statement of Marks'!BL154,IF($P$3=$AT$12,'Statement of Marks'!CI154,IF($P$3=$AT$13,'Statement of Marks'!DG154,IF($P$3=$AT$14,"",IF($P$3=$AT$15,'Statement of Marks'!FA154,""))))))))),"")</f>
        <v/>
      </c>
      <c r="O155" s="807" t="str">
        <f t="shared" si="32"/>
        <v/>
      </c>
      <c r="P155" s="806" t="str">
        <f>IFERROR(IF(B155="","",IF($P$3=$AT$8,'Statement of Marks'!N154,IF($P$3=$AT$9,'Statement of Marks'!AB154,IF($P$3=$AT$10,'Statement of Marks'!AQ154,IF($P$3=$AT$11,'Statement of Marks'!BN154,IF($P$3=$AT$12,'Statement of Marks'!CK154,IF($P$3=$AT$13,'Statement of Marks'!DI154,IF($P$3=$AT$14,"",IF($P$3=$AT$15,'Statement of Marks'!FC154,""))))))))),"")</f>
        <v/>
      </c>
      <c r="Q155" s="806" t="str">
        <f>IFERROR(IF(B155="","",IF($P$3=$AT$8,"",IF($P$3=$AT$9,"",IF($P$3=$AT$10,'Statement of Marks'!AR154,IF($P$3=$AT$11,'Statement of Marks'!BO154,IF($P$3=$AT$12,'Statement of Marks'!CL154,IF($P$3=$AT$13,'Statement of Marks'!DJ154,IF($P$3=$AT$14,"",IF($P$3=$AT$15,"",""))))))))),"")</f>
        <v/>
      </c>
      <c r="R155" s="818" t="str">
        <f>IFERROR(IF(B155="","",IF(AND(P155="",Q155="",$P$3=""),"",IF($P$3=$AT$14,'Statement of Marks'!EC154,SUM(P155,Q155)))),"")</f>
        <v/>
      </c>
      <c r="S155" s="817" t="str">
        <f>IFERROR(IF(B155="","",IF($P$3=$AT$14,'Statement of Marks'!ED154,IF(AND(O155="NA",P155="NA",Q155="NA"),"NA",IF(AND(O155="",P155="",Q155=""),"",SUM(O155,P155,Q155))))),"")</f>
        <v/>
      </c>
      <c r="T155" s="806" t="str">
        <f>IFERROR(IF(B155="","",IF($P$3=$AT$8,'Statement of Marks'!P154,IF($P$3=$AT$9,'Statement of Marks'!AD154,IF($P$3=$AT$10,'Statement of Marks'!AU154,IF($P$3=$AT$11,'Statement of Marks'!BR154,IF($P$3=$AT$12,'Statement of Marks'!CO154,IF($P$3=$AT$13,'Statement of Marks'!DM154,IF($P$3=$AT$14,"",IF($P$3=$AT$15,'Statement of Marks'!FD154,""))))))))),"")</f>
        <v/>
      </c>
      <c r="U155" s="806" t="str">
        <f>IFERROR(IF(B155="","",IF($P$3=$AT$8,"",IF($P$3=$AT$9,"",IF($P$3=$AT$10,'Statement of Marks'!AV154,IF($P$3=$AT$11,'Statement of Marks'!BS154,IF($P$3=$AT$12,'Statement of Marks'!CP154,IF($P$3=$AT$13,'Statement of Marks'!DN154,IF($P$3=$AT$14,"",IF($P$3=$AT$15,"",""))))))))),"")</f>
        <v/>
      </c>
      <c r="V155" s="818" t="str">
        <f>IFERROR(IF(B155="","",IF(AND(T155="",U155="",$P$3=""),"",IF($P$3=$AT$14,'Statement of Marks'!EE154,SUM(T155,U155)))),"")</f>
        <v/>
      </c>
      <c r="W155" s="808" t="str">
        <f t="shared" si="33"/>
        <v/>
      </c>
      <c r="X155" s="809">
        <f t="shared" si="34"/>
        <v>0</v>
      </c>
      <c r="Y155" s="809">
        <f t="shared" si="35"/>
        <v>0</v>
      </c>
      <c r="Z155" s="809">
        <f t="shared" si="36"/>
        <v>0</v>
      </c>
      <c r="AA155" s="809" t="str">
        <f t="shared" si="37"/>
        <v/>
      </c>
      <c r="AB155" s="809" t="str">
        <f t="shared" si="38"/>
        <v/>
      </c>
      <c r="AC155" s="809" t="str">
        <f t="shared" si="39"/>
        <v/>
      </c>
      <c r="AD155" s="809" t="str">
        <f t="shared" si="40"/>
        <v/>
      </c>
      <c r="AE155" s="810" t="str">
        <f t="shared" si="41"/>
        <v/>
      </c>
      <c r="AF155" s="811" t="str">
        <f t="shared" si="42"/>
        <v/>
      </c>
      <c r="AG155" s="812" t="str">
        <f t="shared" si="43"/>
        <v/>
      </c>
      <c r="AW155" s="17" t="str">
        <f t="shared" si="44"/>
        <v/>
      </c>
      <c r="AX155" s="17" t="str">
        <f t="shared" si="45"/>
        <v/>
      </c>
      <c r="BM155" s="17" t="str">
        <f>IFERROR(VLOOKUP(B155,'Statement of Marks'!$B$8:'Statement of Marks'!$HI$207,37,0),"")</f>
        <v>A</v>
      </c>
      <c r="BN155" s="17" t="str">
        <f>IFERROR(VLOOKUP(B155,'Statement of Marks'!$B$8:'Statement of Marks'!$HI$207,60,0),"")</f>
        <v>A</v>
      </c>
      <c r="BO155" s="17" t="str">
        <f>IFERROR(VLOOKUP(B155,'Statement of Marks'!$B$8:'Statement of Marks'!$HI$207,83,0),"")</f>
        <v>A</v>
      </c>
      <c r="BP155" s="17" t="str">
        <f>IFERROR(VLOOKUP(B155,'Statement of Marks'!$B$8:'Statement of Marks'!$HI$207,107,0),"")</f>
        <v/>
      </c>
    </row>
    <row r="156" spans="1:68">
      <c r="A156" s="800">
        <f>IF('Statement of Marks'!A155="","",'Statement of Marks'!A155)</f>
        <v>148</v>
      </c>
      <c r="B156" s="801" t="str">
        <f>IF(OR($E$3="",$P$3=""),"",IF('Statement of Marks'!B155="","",'Statement of Marks'!B155))</f>
        <v/>
      </c>
      <c r="C156" s="810" t="str">
        <f>IF(OR($E$3="",$P$3=""),"",IF('Marks Entry'!C155="","",'Marks Entry'!C155))</f>
        <v/>
      </c>
      <c r="D156" s="802" t="str">
        <f>IF(OR($E$3="",$P$3=""),"",IF('Statement of Marks'!C155="","",'Statement of Marks'!C155))</f>
        <v/>
      </c>
      <c r="E156" s="803" t="str">
        <f>IF(OR($E$3="",$P$3=""),"",IF('Statement of Marks'!D155="","",'Statement of Marks'!D155))</f>
        <v/>
      </c>
      <c r="F156" s="804" t="str">
        <f>IF(OR($E$3="",$P$3=""),"",IF('Statement of Marks'!E155="","",'Statement of Marks'!E155))</f>
        <v/>
      </c>
      <c r="G156" s="804" t="str">
        <f>IF(OR($E$3="",$P$3=""),"",IF('Statement of Marks'!F155="","",'Statement of Marks'!F155))</f>
        <v/>
      </c>
      <c r="H156" s="804" t="str">
        <f>IF(OR($E$3="",$P$3=""),"",IF('Statement of Marks'!G155="","",'Statement of Marks'!G155))</f>
        <v/>
      </c>
      <c r="I156" s="805" t="str">
        <f>IF(OR($E$3="",$P$3=""),"",IF('Statement of Marks'!H155="","",'Statement of Marks'!H155))</f>
        <v/>
      </c>
      <c r="J156" s="805" t="str">
        <f>IF(OR($E$3="",$P$3=""),"",IF('Statement of Marks'!I155="","",'Statement of Marks'!I155))</f>
        <v/>
      </c>
      <c r="K156" s="805" t="str">
        <f>IFERROR(IF(B156="","",IF($P$3=$AT$10,IF(AND(BM156="A"),'Marks Entry'!$U$2,IF(AND(BM156="B"),'Marks Entry'!$Y$2,IF(AND(BM156="C"),'Marks Entry'!$AA$2,""))),IF($P$3=$AT$11,IF(AND(BN156="A"),'Marks Entry'!$AC$2,IF(AND(BN156="B"),'Marks Entry'!$AG$2,IF(AND(BN156="C"),'Marks Entry'!$AI$2,""))),IF($P$3=$AT$12,IF(AND(BO156="A"),'Marks Entry'!$AK$2,IF(AND(BO156="B"),'Marks Entry'!$AO$2,IF(AND(BO156="C"),'Marks Entry'!$AQ$2,""))),IF($P$3=$AT$13,IF(AND(BP156="A"),'Marks Entry'!$AS$2,IF(AND(BP156="B"),'Marks Entry'!$AW$2,IF(AND(BP156="C"),'Marks Entry'!$AY$2,""))),"-"))))),"")</f>
        <v/>
      </c>
      <c r="L156" s="806" t="str">
        <f>IFERROR(IF(B156="","",IF($P$3=$AT$8,'Statement of Marks'!J155,IF($P$3=$AT$9,'Statement of Marks'!X155,IF($P$3=$AT$10,'Statement of Marks'!AM155,IF($P$3=$AT$11,'Statement of Marks'!BJ155,IF($P$3=$AT$12,'Statement of Marks'!CG155,IF($P$3=$AT$13,'Statement of Marks'!DE155,IF($P$3=$AT$14,"",IF($P$3=$AT$15,'Statement of Marks'!EY155,""))))))))),"")</f>
        <v/>
      </c>
      <c r="M156" s="806" t="str">
        <f>IFERROR(IF(B156="","",IF($P$3=$AT$8,'Statement of Marks'!K155,IF($P$3=$AT$9,'Statement of Marks'!Y155,IF($P$3=$AT$10,'Statement of Marks'!AN155,IF($P$3=$AT$11,'Statement of Marks'!BK155,IF($P$3=$AT$12,'Statement of Marks'!CH155,IF($P$3=$AT$13,'Statement of Marks'!DF155,IF($P$3=$AT$14,"",IF($P$3=$AT$15,'Statement of Marks'!EZ155,""))))))))),"")</f>
        <v/>
      </c>
      <c r="N156" s="806" t="str">
        <f>IFERROR(IF(B156="","",IF($P$3=$AT$8,'Statement of Marks'!L155,IF($P$3=$AT$9,'Statement of Marks'!Z155,IF($P$3=$AT$10,'Statement of Marks'!AO155,IF($P$3=$AT$11,'Statement of Marks'!BL155,IF($P$3=$AT$12,'Statement of Marks'!CI155,IF($P$3=$AT$13,'Statement of Marks'!DG155,IF($P$3=$AT$14,"",IF($P$3=$AT$15,'Statement of Marks'!FA155,""))))))))),"")</f>
        <v/>
      </c>
      <c r="O156" s="807" t="str">
        <f t="shared" si="32"/>
        <v/>
      </c>
      <c r="P156" s="806" t="str">
        <f>IFERROR(IF(B156="","",IF($P$3=$AT$8,'Statement of Marks'!N155,IF($P$3=$AT$9,'Statement of Marks'!AB155,IF($P$3=$AT$10,'Statement of Marks'!AQ155,IF($P$3=$AT$11,'Statement of Marks'!BN155,IF($P$3=$AT$12,'Statement of Marks'!CK155,IF($P$3=$AT$13,'Statement of Marks'!DI155,IF($P$3=$AT$14,"",IF($P$3=$AT$15,'Statement of Marks'!FC155,""))))))))),"")</f>
        <v/>
      </c>
      <c r="Q156" s="806" t="str">
        <f>IFERROR(IF(B156="","",IF($P$3=$AT$8,"",IF($P$3=$AT$9,"",IF($P$3=$AT$10,'Statement of Marks'!AR155,IF($P$3=$AT$11,'Statement of Marks'!BO155,IF($P$3=$AT$12,'Statement of Marks'!CL155,IF($P$3=$AT$13,'Statement of Marks'!DJ155,IF($P$3=$AT$14,"",IF($P$3=$AT$15,"",""))))))))),"")</f>
        <v/>
      </c>
      <c r="R156" s="818" t="str">
        <f>IFERROR(IF(B156="","",IF(AND(P156="",Q156="",$P$3=""),"",IF($P$3=$AT$14,'Statement of Marks'!EC155,SUM(P156,Q156)))),"")</f>
        <v/>
      </c>
      <c r="S156" s="817" t="str">
        <f>IFERROR(IF(B156="","",IF($P$3=$AT$14,'Statement of Marks'!ED155,IF(AND(O156="NA",P156="NA",Q156="NA"),"NA",IF(AND(O156="",P156="",Q156=""),"",SUM(O156,P156,Q156))))),"")</f>
        <v/>
      </c>
      <c r="T156" s="806" t="str">
        <f>IFERROR(IF(B156="","",IF($P$3=$AT$8,'Statement of Marks'!P155,IF($P$3=$AT$9,'Statement of Marks'!AD155,IF($P$3=$AT$10,'Statement of Marks'!AU155,IF($P$3=$AT$11,'Statement of Marks'!BR155,IF($P$3=$AT$12,'Statement of Marks'!CO155,IF($P$3=$AT$13,'Statement of Marks'!DM155,IF($P$3=$AT$14,"",IF($P$3=$AT$15,'Statement of Marks'!FD155,""))))))))),"")</f>
        <v/>
      </c>
      <c r="U156" s="806" t="str">
        <f>IFERROR(IF(B156="","",IF($P$3=$AT$8,"",IF($P$3=$AT$9,"",IF($P$3=$AT$10,'Statement of Marks'!AV155,IF($P$3=$AT$11,'Statement of Marks'!BS155,IF($P$3=$AT$12,'Statement of Marks'!CP155,IF($P$3=$AT$13,'Statement of Marks'!DN155,IF($P$3=$AT$14,"",IF($P$3=$AT$15,"",""))))))))),"")</f>
        <v/>
      </c>
      <c r="V156" s="818" t="str">
        <f>IFERROR(IF(B156="","",IF(AND(T156="",U156="",$P$3=""),"",IF($P$3=$AT$14,'Statement of Marks'!EE155,SUM(T156,U156)))),"")</f>
        <v/>
      </c>
      <c r="W156" s="808" t="str">
        <f t="shared" si="33"/>
        <v/>
      </c>
      <c r="X156" s="809">
        <f t="shared" si="34"/>
        <v>0</v>
      </c>
      <c r="Y156" s="809">
        <f t="shared" si="35"/>
        <v>0</v>
      </c>
      <c r="Z156" s="809">
        <f t="shared" si="36"/>
        <v>0</v>
      </c>
      <c r="AA156" s="809" t="str">
        <f t="shared" si="37"/>
        <v/>
      </c>
      <c r="AB156" s="809" t="str">
        <f t="shared" si="38"/>
        <v/>
      </c>
      <c r="AC156" s="809" t="str">
        <f t="shared" si="39"/>
        <v/>
      </c>
      <c r="AD156" s="809" t="str">
        <f t="shared" si="40"/>
        <v/>
      </c>
      <c r="AE156" s="810" t="str">
        <f t="shared" si="41"/>
        <v/>
      </c>
      <c r="AF156" s="811" t="str">
        <f t="shared" si="42"/>
        <v/>
      </c>
      <c r="AG156" s="812" t="str">
        <f t="shared" si="43"/>
        <v/>
      </c>
      <c r="AW156" s="17" t="str">
        <f t="shared" si="44"/>
        <v/>
      </c>
      <c r="AX156" s="17" t="str">
        <f t="shared" si="45"/>
        <v/>
      </c>
      <c r="BM156" s="17" t="str">
        <f>IFERROR(VLOOKUP(B156,'Statement of Marks'!$B$8:'Statement of Marks'!$HI$207,37,0),"")</f>
        <v>A</v>
      </c>
      <c r="BN156" s="17" t="str">
        <f>IFERROR(VLOOKUP(B156,'Statement of Marks'!$B$8:'Statement of Marks'!$HI$207,60,0),"")</f>
        <v>A</v>
      </c>
      <c r="BO156" s="17" t="str">
        <f>IFERROR(VLOOKUP(B156,'Statement of Marks'!$B$8:'Statement of Marks'!$HI$207,83,0),"")</f>
        <v>A</v>
      </c>
      <c r="BP156" s="17" t="str">
        <f>IFERROR(VLOOKUP(B156,'Statement of Marks'!$B$8:'Statement of Marks'!$HI$207,107,0),"")</f>
        <v/>
      </c>
    </row>
    <row r="157" spans="1:68">
      <c r="A157" s="800">
        <f>IF('Statement of Marks'!A156="","",'Statement of Marks'!A156)</f>
        <v>149</v>
      </c>
      <c r="B157" s="801" t="str">
        <f>IF(OR($E$3="",$P$3=""),"",IF('Statement of Marks'!B156="","",'Statement of Marks'!B156))</f>
        <v/>
      </c>
      <c r="C157" s="810" t="str">
        <f>IF(OR($E$3="",$P$3=""),"",IF('Marks Entry'!C156="","",'Marks Entry'!C156))</f>
        <v/>
      </c>
      <c r="D157" s="802" t="str">
        <f>IF(OR($E$3="",$P$3=""),"",IF('Statement of Marks'!C156="","",'Statement of Marks'!C156))</f>
        <v/>
      </c>
      <c r="E157" s="803" t="str">
        <f>IF(OR($E$3="",$P$3=""),"",IF('Statement of Marks'!D156="","",'Statement of Marks'!D156))</f>
        <v/>
      </c>
      <c r="F157" s="804" t="str">
        <f>IF(OR($E$3="",$P$3=""),"",IF('Statement of Marks'!E156="","",'Statement of Marks'!E156))</f>
        <v/>
      </c>
      <c r="G157" s="804" t="str">
        <f>IF(OR($E$3="",$P$3=""),"",IF('Statement of Marks'!F156="","",'Statement of Marks'!F156))</f>
        <v/>
      </c>
      <c r="H157" s="804" t="str">
        <f>IF(OR($E$3="",$P$3=""),"",IF('Statement of Marks'!G156="","",'Statement of Marks'!G156))</f>
        <v/>
      </c>
      <c r="I157" s="805" t="str">
        <f>IF(OR($E$3="",$P$3=""),"",IF('Statement of Marks'!H156="","",'Statement of Marks'!H156))</f>
        <v/>
      </c>
      <c r="J157" s="805" t="str">
        <f>IF(OR($E$3="",$P$3=""),"",IF('Statement of Marks'!I156="","",'Statement of Marks'!I156))</f>
        <v/>
      </c>
      <c r="K157" s="805" t="str">
        <f>IFERROR(IF(B157="","",IF($P$3=$AT$10,IF(AND(BM157="A"),'Marks Entry'!$U$2,IF(AND(BM157="B"),'Marks Entry'!$Y$2,IF(AND(BM157="C"),'Marks Entry'!$AA$2,""))),IF($P$3=$AT$11,IF(AND(BN157="A"),'Marks Entry'!$AC$2,IF(AND(BN157="B"),'Marks Entry'!$AG$2,IF(AND(BN157="C"),'Marks Entry'!$AI$2,""))),IF($P$3=$AT$12,IF(AND(BO157="A"),'Marks Entry'!$AK$2,IF(AND(BO157="B"),'Marks Entry'!$AO$2,IF(AND(BO157="C"),'Marks Entry'!$AQ$2,""))),IF($P$3=$AT$13,IF(AND(BP157="A"),'Marks Entry'!$AS$2,IF(AND(BP157="B"),'Marks Entry'!$AW$2,IF(AND(BP157="C"),'Marks Entry'!$AY$2,""))),"-"))))),"")</f>
        <v/>
      </c>
      <c r="L157" s="806" t="str">
        <f>IFERROR(IF(B157="","",IF($P$3=$AT$8,'Statement of Marks'!J156,IF($P$3=$AT$9,'Statement of Marks'!X156,IF($P$3=$AT$10,'Statement of Marks'!AM156,IF($P$3=$AT$11,'Statement of Marks'!BJ156,IF($P$3=$AT$12,'Statement of Marks'!CG156,IF($P$3=$AT$13,'Statement of Marks'!DE156,IF($P$3=$AT$14,"",IF($P$3=$AT$15,'Statement of Marks'!EY156,""))))))))),"")</f>
        <v/>
      </c>
      <c r="M157" s="806" t="str">
        <f>IFERROR(IF(B157="","",IF($P$3=$AT$8,'Statement of Marks'!K156,IF($P$3=$AT$9,'Statement of Marks'!Y156,IF($P$3=$AT$10,'Statement of Marks'!AN156,IF($P$3=$AT$11,'Statement of Marks'!BK156,IF($P$3=$AT$12,'Statement of Marks'!CH156,IF($P$3=$AT$13,'Statement of Marks'!DF156,IF($P$3=$AT$14,"",IF($P$3=$AT$15,'Statement of Marks'!EZ156,""))))))))),"")</f>
        <v/>
      </c>
      <c r="N157" s="806" t="str">
        <f>IFERROR(IF(B157="","",IF($P$3=$AT$8,'Statement of Marks'!L156,IF($P$3=$AT$9,'Statement of Marks'!Z156,IF($P$3=$AT$10,'Statement of Marks'!AO156,IF($P$3=$AT$11,'Statement of Marks'!BL156,IF($P$3=$AT$12,'Statement of Marks'!CI156,IF($P$3=$AT$13,'Statement of Marks'!DG156,IF($P$3=$AT$14,"",IF($P$3=$AT$15,'Statement of Marks'!FA156,""))))))))),"")</f>
        <v/>
      </c>
      <c r="O157" s="807" t="str">
        <f t="shared" si="32"/>
        <v/>
      </c>
      <c r="P157" s="806" t="str">
        <f>IFERROR(IF(B157="","",IF($P$3=$AT$8,'Statement of Marks'!N156,IF($P$3=$AT$9,'Statement of Marks'!AB156,IF($P$3=$AT$10,'Statement of Marks'!AQ156,IF($P$3=$AT$11,'Statement of Marks'!BN156,IF($P$3=$AT$12,'Statement of Marks'!CK156,IF($P$3=$AT$13,'Statement of Marks'!DI156,IF($P$3=$AT$14,"",IF($P$3=$AT$15,'Statement of Marks'!FC156,""))))))))),"")</f>
        <v/>
      </c>
      <c r="Q157" s="806" t="str">
        <f>IFERROR(IF(B157="","",IF($P$3=$AT$8,"",IF($P$3=$AT$9,"",IF($P$3=$AT$10,'Statement of Marks'!AR156,IF($P$3=$AT$11,'Statement of Marks'!BO156,IF($P$3=$AT$12,'Statement of Marks'!CL156,IF($P$3=$AT$13,'Statement of Marks'!DJ156,IF($P$3=$AT$14,"",IF($P$3=$AT$15,"",""))))))))),"")</f>
        <v/>
      </c>
      <c r="R157" s="818" t="str">
        <f>IFERROR(IF(B157="","",IF(AND(P157="",Q157="",$P$3=""),"",IF($P$3=$AT$14,'Statement of Marks'!EC156,SUM(P157,Q157)))),"")</f>
        <v/>
      </c>
      <c r="S157" s="817" t="str">
        <f>IFERROR(IF(B157="","",IF($P$3=$AT$14,'Statement of Marks'!ED156,IF(AND(O157="NA",P157="NA",Q157="NA"),"NA",IF(AND(O157="",P157="",Q157=""),"",SUM(O157,P157,Q157))))),"")</f>
        <v/>
      </c>
      <c r="T157" s="806" t="str">
        <f>IFERROR(IF(B157="","",IF($P$3=$AT$8,'Statement of Marks'!P156,IF($P$3=$AT$9,'Statement of Marks'!AD156,IF($P$3=$AT$10,'Statement of Marks'!AU156,IF($P$3=$AT$11,'Statement of Marks'!BR156,IF($P$3=$AT$12,'Statement of Marks'!CO156,IF($P$3=$AT$13,'Statement of Marks'!DM156,IF($P$3=$AT$14,"",IF($P$3=$AT$15,'Statement of Marks'!FD156,""))))))))),"")</f>
        <v/>
      </c>
      <c r="U157" s="806" t="str">
        <f>IFERROR(IF(B157="","",IF($P$3=$AT$8,"",IF($P$3=$AT$9,"",IF($P$3=$AT$10,'Statement of Marks'!AV156,IF($P$3=$AT$11,'Statement of Marks'!BS156,IF($P$3=$AT$12,'Statement of Marks'!CP156,IF($P$3=$AT$13,'Statement of Marks'!DN156,IF($P$3=$AT$14,"",IF($P$3=$AT$15,"",""))))))))),"")</f>
        <v/>
      </c>
      <c r="V157" s="818" t="str">
        <f>IFERROR(IF(B157="","",IF(AND(T157="",U157="",$P$3=""),"",IF($P$3=$AT$14,'Statement of Marks'!EE156,SUM(T157,U157)))),"")</f>
        <v/>
      </c>
      <c r="W157" s="808" t="str">
        <f t="shared" si="33"/>
        <v/>
      </c>
      <c r="X157" s="809">
        <f t="shared" si="34"/>
        <v>0</v>
      </c>
      <c r="Y157" s="809">
        <f t="shared" si="35"/>
        <v>0</v>
      </c>
      <c r="Z157" s="809">
        <f t="shared" si="36"/>
        <v>0</v>
      </c>
      <c r="AA157" s="809" t="str">
        <f t="shared" si="37"/>
        <v/>
      </c>
      <c r="AB157" s="809" t="str">
        <f t="shared" si="38"/>
        <v/>
      </c>
      <c r="AC157" s="809" t="str">
        <f t="shared" si="39"/>
        <v/>
      </c>
      <c r="AD157" s="809" t="str">
        <f t="shared" si="40"/>
        <v/>
      </c>
      <c r="AE157" s="810" t="str">
        <f t="shared" si="41"/>
        <v/>
      </c>
      <c r="AF157" s="811" t="str">
        <f t="shared" si="42"/>
        <v/>
      </c>
      <c r="AG157" s="812" t="str">
        <f t="shared" si="43"/>
        <v/>
      </c>
      <c r="AW157" s="17" t="str">
        <f t="shared" si="44"/>
        <v/>
      </c>
      <c r="AX157" s="17" t="str">
        <f t="shared" si="45"/>
        <v/>
      </c>
      <c r="BM157" s="17" t="str">
        <f>IFERROR(VLOOKUP(B157,'Statement of Marks'!$B$8:'Statement of Marks'!$HI$207,37,0),"")</f>
        <v>A</v>
      </c>
      <c r="BN157" s="17" t="str">
        <f>IFERROR(VLOOKUP(B157,'Statement of Marks'!$B$8:'Statement of Marks'!$HI$207,60,0),"")</f>
        <v>A</v>
      </c>
      <c r="BO157" s="17" t="str">
        <f>IFERROR(VLOOKUP(B157,'Statement of Marks'!$B$8:'Statement of Marks'!$HI$207,83,0),"")</f>
        <v>A</v>
      </c>
      <c r="BP157" s="17" t="str">
        <f>IFERROR(VLOOKUP(B157,'Statement of Marks'!$B$8:'Statement of Marks'!$HI$207,107,0),"")</f>
        <v/>
      </c>
    </row>
    <row r="158" spans="1:68">
      <c r="A158" s="800">
        <f>IF('Statement of Marks'!A157="","",'Statement of Marks'!A157)</f>
        <v>150</v>
      </c>
      <c r="B158" s="801" t="str">
        <f>IF(OR($E$3="",$P$3=""),"",IF('Statement of Marks'!B157="","",'Statement of Marks'!B157))</f>
        <v/>
      </c>
      <c r="C158" s="810" t="str">
        <f>IF(OR($E$3="",$P$3=""),"",IF('Marks Entry'!C157="","",'Marks Entry'!C157))</f>
        <v/>
      </c>
      <c r="D158" s="802" t="str">
        <f>IF(OR($E$3="",$P$3=""),"",IF('Statement of Marks'!C157="","",'Statement of Marks'!C157))</f>
        <v/>
      </c>
      <c r="E158" s="803" t="str">
        <f>IF(OR($E$3="",$P$3=""),"",IF('Statement of Marks'!D157="","",'Statement of Marks'!D157))</f>
        <v/>
      </c>
      <c r="F158" s="804" t="str">
        <f>IF(OR($E$3="",$P$3=""),"",IF('Statement of Marks'!E157="","",'Statement of Marks'!E157))</f>
        <v/>
      </c>
      <c r="G158" s="804" t="str">
        <f>IF(OR($E$3="",$P$3=""),"",IF('Statement of Marks'!F157="","",'Statement of Marks'!F157))</f>
        <v/>
      </c>
      <c r="H158" s="804" t="str">
        <f>IF(OR($E$3="",$P$3=""),"",IF('Statement of Marks'!G157="","",'Statement of Marks'!G157))</f>
        <v/>
      </c>
      <c r="I158" s="805" t="str">
        <f>IF(OR($E$3="",$P$3=""),"",IF('Statement of Marks'!H157="","",'Statement of Marks'!H157))</f>
        <v/>
      </c>
      <c r="J158" s="805" t="str">
        <f>IF(OR($E$3="",$P$3=""),"",IF('Statement of Marks'!I157="","",'Statement of Marks'!I157))</f>
        <v/>
      </c>
      <c r="K158" s="805" t="str">
        <f>IFERROR(IF(B158="","",IF($P$3=$AT$10,IF(AND(BM158="A"),'Marks Entry'!$U$2,IF(AND(BM158="B"),'Marks Entry'!$Y$2,IF(AND(BM158="C"),'Marks Entry'!$AA$2,""))),IF($P$3=$AT$11,IF(AND(BN158="A"),'Marks Entry'!$AC$2,IF(AND(BN158="B"),'Marks Entry'!$AG$2,IF(AND(BN158="C"),'Marks Entry'!$AI$2,""))),IF($P$3=$AT$12,IF(AND(BO158="A"),'Marks Entry'!$AK$2,IF(AND(BO158="B"),'Marks Entry'!$AO$2,IF(AND(BO158="C"),'Marks Entry'!$AQ$2,""))),IF($P$3=$AT$13,IF(AND(BP158="A"),'Marks Entry'!$AS$2,IF(AND(BP158="B"),'Marks Entry'!$AW$2,IF(AND(BP158="C"),'Marks Entry'!$AY$2,""))),"-"))))),"")</f>
        <v/>
      </c>
      <c r="L158" s="806" t="str">
        <f>IFERROR(IF(B158="","",IF($P$3=$AT$8,'Statement of Marks'!J157,IF($P$3=$AT$9,'Statement of Marks'!X157,IF($P$3=$AT$10,'Statement of Marks'!AM157,IF($P$3=$AT$11,'Statement of Marks'!BJ157,IF($P$3=$AT$12,'Statement of Marks'!CG157,IF($P$3=$AT$13,'Statement of Marks'!DE157,IF($P$3=$AT$14,"",IF($P$3=$AT$15,'Statement of Marks'!EY157,""))))))))),"")</f>
        <v/>
      </c>
      <c r="M158" s="806" t="str">
        <f>IFERROR(IF(B158="","",IF($P$3=$AT$8,'Statement of Marks'!K157,IF($P$3=$AT$9,'Statement of Marks'!Y157,IF($P$3=$AT$10,'Statement of Marks'!AN157,IF($P$3=$AT$11,'Statement of Marks'!BK157,IF($P$3=$AT$12,'Statement of Marks'!CH157,IF($P$3=$AT$13,'Statement of Marks'!DF157,IF($P$3=$AT$14,"",IF($P$3=$AT$15,'Statement of Marks'!EZ157,""))))))))),"")</f>
        <v/>
      </c>
      <c r="N158" s="806" t="str">
        <f>IFERROR(IF(B158="","",IF($P$3=$AT$8,'Statement of Marks'!L157,IF($P$3=$AT$9,'Statement of Marks'!Z157,IF($P$3=$AT$10,'Statement of Marks'!AO157,IF($P$3=$AT$11,'Statement of Marks'!BL157,IF($P$3=$AT$12,'Statement of Marks'!CI157,IF($P$3=$AT$13,'Statement of Marks'!DG157,IF($P$3=$AT$14,"",IF($P$3=$AT$15,'Statement of Marks'!FA157,""))))))))),"")</f>
        <v/>
      </c>
      <c r="O158" s="807" t="str">
        <f t="shared" si="32"/>
        <v/>
      </c>
      <c r="P158" s="806" t="str">
        <f>IFERROR(IF(B158="","",IF($P$3=$AT$8,'Statement of Marks'!N157,IF($P$3=$AT$9,'Statement of Marks'!AB157,IF($P$3=$AT$10,'Statement of Marks'!AQ157,IF($P$3=$AT$11,'Statement of Marks'!BN157,IF($P$3=$AT$12,'Statement of Marks'!CK157,IF($P$3=$AT$13,'Statement of Marks'!DI157,IF($P$3=$AT$14,"",IF($P$3=$AT$15,'Statement of Marks'!FC157,""))))))))),"")</f>
        <v/>
      </c>
      <c r="Q158" s="806" t="str">
        <f>IFERROR(IF(B158="","",IF($P$3=$AT$8,"",IF($P$3=$AT$9,"",IF($P$3=$AT$10,'Statement of Marks'!AR157,IF($P$3=$AT$11,'Statement of Marks'!BO157,IF($P$3=$AT$12,'Statement of Marks'!CL157,IF($P$3=$AT$13,'Statement of Marks'!DJ157,IF($P$3=$AT$14,"",IF($P$3=$AT$15,"",""))))))))),"")</f>
        <v/>
      </c>
      <c r="R158" s="818" t="str">
        <f>IFERROR(IF(B158="","",IF(AND(P158="",Q158="",$P$3=""),"",IF($P$3=$AT$14,'Statement of Marks'!EC157,SUM(P158,Q158)))),"")</f>
        <v/>
      </c>
      <c r="S158" s="817" t="str">
        <f>IFERROR(IF(B158="","",IF($P$3=$AT$14,'Statement of Marks'!ED157,IF(AND(O158="NA",P158="NA",Q158="NA"),"NA",IF(AND(O158="",P158="",Q158=""),"",SUM(O158,P158,Q158))))),"")</f>
        <v/>
      </c>
      <c r="T158" s="806" t="str">
        <f>IFERROR(IF(B158="","",IF($P$3=$AT$8,'Statement of Marks'!P157,IF($P$3=$AT$9,'Statement of Marks'!AD157,IF($P$3=$AT$10,'Statement of Marks'!AU157,IF($P$3=$AT$11,'Statement of Marks'!BR157,IF($P$3=$AT$12,'Statement of Marks'!CO157,IF($P$3=$AT$13,'Statement of Marks'!DM157,IF($P$3=$AT$14,"",IF($P$3=$AT$15,'Statement of Marks'!FD157,""))))))))),"")</f>
        <v/>
      </c>
      <c r="U158" s="806" t="str">
        <f>IFERROR(IF(B158="","",IF($P$3=$AT$8,"",IF($P$3=$AT$9,"",IF($P$3=$AT$10,'Statement of Marks'!AV157,IF($P$3=$AT$11,'Statement of Marks'!BS157,IF($P$3=$AT$12,'Statement of Marks'!CP157,IF($P$3=$AT$13,'Statement of Marks'!DN157,IF($P$3=$AT$14,"",IF($P$3=$AT$15,"",""))))))))),"")</f>
        <v/>
      </c>
      <c r="V158" s="818" t="str">
        <f>IFERROR(IF(B158="","",IF(AND(T158="",U158="",$P$3=""),"",IF($P$3=$AT$14,'Statement of Marks'!EE157,SUM(T158,U158)))),"")</f>
        <v/>
      </c>
      <c r="W158" s="808" t="str">
        <f t="shared" si="33"/>
        <v/>
      </c>
      <c r="X158" s="809">
        <f t="shared" si="34"/>
        <v>0</v>
      </c>
      <c r="Y158" s="809">
        <f t="shared" si="35"/>
        <v>0</v>
      </c>
      <c r="Z158" s="809">
        <f t="shared" si="36"/>
        <v>0</v>
      </c>
      <c r="AA158" s="809" t="str">
        <f t="shared" si="37"/>
        <v/>
      </c>
      <c r="AB158" s="809" t="str">
        <f t="shared" si="38"/>
        <v/>
      </c>
      <c r="AC158" s="809" t="str">
        <f t="shared" si="39"/>
        <v/>
      </c>
      <c r="AD158" s="809" t="str">
        <f t="shared" si="40"/>
        <v/>
      </c>
      <c r="AE158" s="810" t="str">
        <f t="shared" si="41"/>
        <v/>
      </c>
      <c r="AF158" s="811" t="str">
        <f t="shared" si="42"/>
        <v/>
      </c>
      <c r="AG158" s="812" t="str">
        <f t="shared" si="43"/>
        <v/>
      </c>
      <c r="AW158" s="17" t="str">
        <f t="shared" si="44"/>
        <v/>
      </c>
      <c r="AX158" s="17" t="str">
        <f t="shared" si="45"/>
        <v/>
      </c>
      <c r="BM158" s="17" t="str">
        <f>IFERROR(VLOOKUP(B158,'Statement of Marks'!$B$8:'Statement of Marks'!$HI$207,37,0),"")</f>
        <v>A</v>
      </c>
      <c r="BN158" s="17" t="str">
        <f>IFERROR(VLOOKUP(B158,'Statement of Marks'!$B$8:'Statement of Marks'!$HI$207,60,0),"")</f>
        <v>A</v>
      </c>
      <c r="BO158" s="17" t="str">
        <f>IFERROR(VLOOKUP(B158,'Statement of Marks'!$B$8:'Statement of Marks'!$HI$207,83,0),"")</f>
        <v>A</v>
      </c>
      <c r="BP158" s="17" t="str">
        <f>IFERROR(VLOOKUP(B158,'Statement of Marks'!$B$8:'Statement of Marks'!$HI$207,107,0),"")</f>
        <v/>
      </c>
    </row>
    <row r="159" spans="1:68">
      <c r="A159" s="800">
        <f>IF('Statement of Marks'!A158="","",'Statement of Marks'!A158)</f>
        <v>151</v>
      </c>
      <c r="B159" s="801" t="str">
        <f>IF(OR($E$3="",$P$3=""),"",IF('Statement of Marks'!B158="","",'Statement of Marks'!B158))</f>
        <v/>
      </c>
      <c r="C159" s="810" t="str">
        <f>IF(OR($E$3="",$P$3=""),"",IF('Marks Entry'!C158="","",'Marks Entry'!C158))</f>
        <v/>
      </c>
      <c r="D159" s="802" t="str">
        <f>IF(OR($E$3="",$P$3=""),"",IF('Statement of Marks'!C158="","",'Statement of Marks'!C158))</f>
        <v/>
      </c>
      <c r="E159" s="803" t="str">
        <f>IF(OR($E$3="",$P$3=""),"",IF('Statement of Marks'!D158="","",'Statement of Marks'!D158))</f>
        <v/>
      </c>
      <c r="F159" s="804" t="str">
        <f>IF(OR($E$3="",$P$3=""),"",IF('Statement of Marks'!E158="","",'Statement of Marks'!E158))</f>
        <v/>
      </c>
      <c r="G159" s="804" t="str">
        <f>IF(OR($E$3="",$P$3=""),"",IF('Statement of Marks'!F158="","",'Statement of Marks'!F158))</f>
        <v/>
      </c>
      <c r="H159" s="804" t="str">
        <f>IF(OR($E$3="",$P$3=""),"",IF('Statement of Marks'!G158="","",'Statement of Marks'!G158))</f>
        <v/>
      </c>
      <c r="I159" s="805" t="str">
        <f>IF(OR($E$3="",$P$3=""),"",IF('Statement of Marks'!H158="","",'Statement of Marks'!H158))</f>
        <v/>
      </c>
      <c r="J159" s="805" t="str">
        <f>IF(OR($E$3="",$P$3=""),"",IF('Statement of Marks'!I158="","",'Statement of Marks'!I158))</f>
        <v/>
      </c>
      <c r="K159" s="805" t="str">
        <f>IFERROR(IF(B159="","",IF($P$3=$AT$10,IF(AND(BM159="A"),'Marks Entry'!$U$2,IF(AND(BM159="B"),'Marks Entry'!$Y$2,IF(AND(BM159="C"),'Marks Entry'!$AA$2,""))),IF($P$3=$AT$11,IF(AND(BN159="A"),'Marks Entry'!$AC$2,IF(AND(BN159="B"),'Marks Entry'!$AG$2,IF(AND(BN159="C"),'Marks Entry'!$AI$2,""))),IF($P$3=$AT$12,IF(AND(BO159="A"),'Marks Entry'!$AK$2,IF(AND(BO159="B"),'Marks Entry'!$AO$2,IF(AND(BO159="C"),'Marks Entry'!$AQ$2,""))),IF($P$3=$AT$13,IF(AND(BP159="A"),'Marks Entry'!$AS$2,IF(AND(BP159="B"),'Marks Entry'!$AW$2,IF(AND(BP159="C"),'Marks Entry'!$AY$2,""))),"-"))))),"")</f>
        <v/>
      </c>
      <c r="L159" s="806" t="str">
        <f>IFERROR(IF(B159="","",IF($P$3=$AT$8,'Statement of Marks'!J158,IF($P$3=$AT$9,'Statement of Marks'!X158,IF($P$3=$AT$10,'Statement of Marks'!AM158,IF($P$3=$AT$11,'Statement of Marks'!BJ158,IF($P$3=$AT$12,'Statement of Marks'!CG158,IF($P$3=$AT$13,'Statement of Marks'!DE158,IF($P$3=$AT$14,"",IF($P$3=$AT$15,'Statement of Marks'!EY158,""))))))))),"")</f>
        <v/>
      </c>
      <c r="M159" s="806" t="str">
        <f>IFERROR(IF(B159="","",IF($P$3=$AT$8,'Statement of Marks'!K158,IF($P$3=$AT$9,'Statement of Marks'!Y158,IF($P$3=$AT$10,'Statement of Marks'!AN158,IF($P$3=$AT$11,'Statement of Marks'!BK158,IF($P$3=$AT$12,'Statement of Marks'!CH158,IF($P$3=$AT$13,'Statement of Marks'!DF158,IF($P$3=$AT$14,"",IF($P$3=$AT$15,'Statement of Marks'!EZ158,""))))))))),"")</f>
        <v/>
      </c>
      <c r="N159" s="806" t="str">
        <f>IFERROR(IF(B159="","",IF($P$3=$AT$8,'Statement of Marks'!L158,IF($P$3=$AT$9,'Statement of Marks'!Z158,IF($P$3=$AT$10,'Statement of Marks'!AO158,IF($P$3=$AT$11,'Statement of Marks'!BL158,IF($P$3=$AT$12,'Statement of Marks'!CI158,IF($P$3=$AT$13,'Statement of Marks'!DG158,IF($P$3=$AT$14,"",IF($P$3=$AT$15,'Statement of Marks'!FA158,""))))))))),"")</f>
        <v/>
      </c>
      <c r="O159" s="807" t="str">
        <f t="shared" si="32"/>
        <v/>
      </c>
      <c r="P159" s="806" t="str">
        <f>IFERROR(IF(B159="","",IF($P$3=$AT$8,'Statement of Marks'!N158,IF($P$3=$AT$9,'Statement of Marks'!AB158,IF($P$3=$AT$10,'Statement of Marks'!AQ158,IF($P$3=$AT$11,'Statement of Marks'!BN158,IF($P$3=$AT$12,'Statement of Marks'!CK158,IF($P$3=$AT$13,'Statement of Marks'!DI158,IF($P$3=$AT$14,"",IF($P$3=$AT$15,'Statement of Marks'!FC158,""))))))))),"")</f>
        <v/>
      </c>
      <c r="Q159" s="806" t="str">
        <f>IFERROR(IF(B159="","",IF($P$3=$AT$8,"",IF($P$3=$AT$9,"",IF($P$3=$AT$10,'Statement of Marks'!AR158,IF($P$3=$AT$11,'Statement of Marks'!BO158,IF($P$3=$AT$12,'Statement of Marks'!CL158,IF($P$3=$AT$13,'Statement of Marks'!DJ158,IF($P$3=$AT$14,"",IF($P$3=$AT$15,"",""))))))))),"")</f>
        <v/>
      </c>
      <c r="R159" s="818" t="str">
        <f>IFERROR(IF(B159="","",IF(AND(P159="",Q159="",$P$3=""),"",IF($P$3=$AT$14,'Statement of Marks'!EC158,SUM(P159,Q159)))),"")</f>
        <v/>
      </c>
      <c r="S159" s="817" t="str">
        <f>IFERROR(IF(B159="","",IF($P$3=$AT$14,'Statement of Marks'!ED158,IF(AND(O159="NA",P159="NA",Q159="NA"),"NA",IF(AND(O159="",P159="",Q159=""),"",SUM(O159,P159,Q159))))),"")</f>
        <v/>
      </c>
      <c r="T159" s="806" t="str">
        <f>IFERROR(IF(B159="","",IF($P$3=$AT$8,'Statement of Marks'!P158,IF($P$3=$AT$9,'Statement of Marks'!AD158,IF($P$3=$AT$10,'Statement of Marks'!AU158,IF($P$3=$AT$11,'Statement of Marks'!BR158,IF($P$3=$AT$12,'Statement of Marks'!CO158,IF($P$3=$AT$13,'Statement of Marks'!DM158,IF($P$3=$AT$14,"",IF($P$3=$AT$15,'Statement of Marks'!FD158,""))))))))),"")</f>
        <v/>
      </c>
      <c r="U159" s="806" t="str">
        <f>IFERROR(IF(B159="","",IF($P$3=$AT$8,"",IF($P$3=$AT$9,"",IF($P$3=$AT$10,'Statement of Marks'!AV158,IF($P$3=$AT$11,'Statement of Marks'!BS158,IF($P$3=$AT$12,'Statement of Marks'!CP158,IF($P$3=$AT$13,'Statement of Marks'!DN158,IF($P$3=$AT$14,"",IF($P$3=$AT$15,"",""))))))))),"")</f>
        <v/>
      </c>
      <c r="V159" s="818" t="str">
        <f>IFERROR(IF(B159="","",IF(AND(T159="",U159="",$P$3=""),"",IF($P$3=$AT$14,'Statement of Marks'!EE158,SUM(T159,U159)))),"")</f>
        <v/>
      </c>
      <c r="W159" s="808" t="str">
        <f t="shared" si="33"/>
        <v/>
      </c>
      <c r="X159" s="809">
        <f t="shared" si="34"/>
        <v>0</v>
      </c>
      <c r="Y159" s="809">
        <f t="shared" si="35"/>
        <v>0</v>
      </c>
      <c r="Z159" s="809">
        <f t="shared" si="36"/>
        <v>0</v>
      </c>
      <c r="AA159" s="809" t="str">
        <f t="shared" si="37"/>
        <v/>
      </c>
      <c r="AB159" s="809" t="str">
        <f t="shared" si="38"/>
        <v/>
      </c>
      <c r="AC159" s="809" t="str">
        <f t="shared" si="39"/>
        <v/>
      </c>
      <c r="AD159" s="809" t="str">
        <f t="shared" si="40"/>
        <v/>
      </c>
      <c r="AE159" s="810" t="str">
        <f t="shared" si="41"/>
        <v/>
      </c>
      <c r="AF159" s="811" t="str">
        <f t="shared" si="42"/>
        <v/>
      </c>
      <c r="AG159" s="812" t="str">
        <f t="shared" si="43"/>
        <v/>
      </c>
      <c r="AW159" s="17" t="str">
        <f t="shared" si="44"/>
        <v/>
      </c>
      <c r="AX159" s="17" t="str">
        <f t="shared" si="45"/>
        <v/>
      </c>
      <c r="BM159" s="17" t="str">
        <f>IFERROR(VLOOKUP(B159,'Statement of Marks'!$B$8:'Statement of Marks'!$HI$207,37,0),"")</f>
        <v>A</v>
      </c>
      <c r="BN159" s="17" t="str">
        <f>IFERROR(VLOOKUP(B159,'Statement of Marks'!$B$8:'Statement of Marks'!$HI$207,60,0),"")</f>
        <v>A</v>
      </c>
      <c r="BO159" s="17" t="str">
        <f>IFERROR(VLOOKUP(B159,'Statement of Marks'!$B$8:'Statement of Marks'!$HI$207,83,0),"")</f>
        <v>A</v>
      </c>
      <c r="BP159" s="17" t="str">
        <f>IFERROR(VLOOKUP(B159,'Statement of Marks'!$B$8:'Statement of Marks'!$HI$207,107,0),"")</f>
        <v/>
      </c>
    </row>
    <row r="160" spans="1:68">
      <c r="A160" s="800">
        <f>IF('Statement of Marks'!A159="","",'Statement of Marks'!A159)</f>
        <v>152</v>
      </c>
      <c r="B160" s="801" t="str">
        <f>IF(OR($E$3="",$P$3=""),"",IF('Statement of Marks'!B159="","",'Statement of Marks'!B159))</f>
        <v/>
      </c>
      <c r="C160" s="810" t="str">
        <f>IF(OR($E$3="",$P$3=""),"",IF('Marks Entry'!C159="","",'Marks Entry'!C159))</f>
        <v/>
      </c>
      <c r="D160" s="802" t="str">
        <f>IF(OR($E$3="",$P$3=""),"",IF('Statement of Marks'!C159="","",'Statement of Marks'!C159))</f>
        <v/>
      </c>
      <c r="E160" s="803" t="str">
        <f>IF(OR($E$3="",$P$3=""),"",IF('Statement of Marks'!D159="","",'Statement of Marks'!D159))</f>
        <v/>
      </c>
      <c r="F160" s="804" t="str">
        <f>IF(OR($E$3="",$P$3=""),"",IF('Statement of Marks'!E159="","",'Statement of Marks'!E159))</f>
        <v/>
      </c>
      <c r="G160" s="804" t="str">
        <f>IF(OR($E$3="",$P$3=""),"",IF('Statement of Marks'!F159="","",'Statement of Marks'!F159))</f>
        <v/>
      </c>
      <c r="H160" s="804" t="str">
        <f>IF(OR($E$3="",$P$3=""),"",IF('Statement of Marks'!G159="","",'Statement of Marks'!G159))</f>
        <v/>
      </c>
      <c r="I160" s="805" t="str">
        <f>IF(OR($E$3="",$P$3=""),"",IF('Statement of Marks'!H159="","",'Statement of Marks'!H159))</f>
        <v/>
      </c>
      <c r="J160" s="805" t="str">
        <f>IF(OR($E$3="",$P$3=""),"",IF('Statement of Marks'!I159="","",'Statement of Marks'!I159))</f>
        <v/>
      </c>
      <c r="K160" s="805" t="str">
        <f>IFERROR(IF(B160="","",IF($P$3=$AT$10,IF(AND(BM160="A"),'Marks Entry'!$U$2,IF(AND(BM160="B"),'Marks Entry'!$Y$2,IF(AND(BM160="C"),'Marks Entry'!$AA$2,""))),IF($P$3=$AT$11,IF(AND(BN160="A"),'Marks Entry'!$AC$2,IF(AND(BN160="B"),'Marks Entry'!$AG$2,IF(AND(BN160="C"),'Marks Entry'!$AI$2,""))),IF($P$3=$AT$12,IF(AND(BO160="A"),'Marks Entry'!$AK$2,IF(AND(BO160="B"),'Marks Entry'!$AO$2,IF(AND(BO160="C"),'Marks Entry'!$AQ$2,""))),IF($P$3=$AT$13,IF(AND(BP160="A"),'Marks Entry'!$AS$2,IF(AND(BP160="B"),'Marks Entry'!$AW$2,IF(AND(BP160="C"),'Marks Entry'!$AY$2,""))),"-"))))),"")</f>
        <v/>
      </c>
      <c r="L160" s="806" t="str">
        <f>IFERROR(IF(B160="","",IF($P$3=$AT$8,'Statement of Marks'!J159,IF($P$3=$AT$9,'Statement of Marks'!X159,IF($P$3=$AT$10,'Statement of Marks'!AM159,IF($P$3=$AT$11,'Statement of Marks'!BJ159,IF($P$3=$AT$12,'Statement of Marks'!CG159,IF($P$3=$AT$13,'Statement of Marks'!DE159,IF($P$3=$AT$14,"",IF($P$3=$AT$15,'Statement of Marks'!EY159,""))))))))),"")</f>
        <v/>
      </c>
      <c r="M160" s="806" t="str">
        <f>IFERROR(IF(B160="","",IF($P$3=$AT$8,'Statement of Marks'!K159,IF($P$3=$AT$9,'Statement of Marks'!Y159,IF($P$3=$AT$10,'Statement of Marks'!AN159,IF($P$3=$AT$11,'Statement of Marks'!BK159,IF($P$3=$AT$12,'Statement of Marks'!CH159,IF($P$3=$AT$13,'Statement of Marks'!DF159,IF($P$3=$AT$14,"",IF($P$3=$AT$15,'Statement of Marks'!EZ159,""))))))))),"")</f>
        <v/>
      </c>
      <c r="N160" s="806" t="str">
        <f>IFERROR(IF(B160="","",IF($P$3=$AT$8,'Statement of Marks'!L159,IF($P$3=$AT$9,'Statement of Marks'!Z159,IF($P$3=$AT$10,'Statement of Marks'!AO159,IF($P$3=$AT$11,'Statement of Marks'!BL159,IF($P$3=$AT$12,'Statement of Marks'!CI159,IF($P$3=$AT$13,'Statement of Marks'!DG159,IF($P$3=$AT$14,"",IF($P$3=$AT$15,'Statement of Marks'!FA159,""))))))))),"")</f>
        <v/>
      </c>
      <c r="O160" s="807" t="str">
        <f t="shared" si="32"/>
        <v/>
      </c>
      <c r="P160" s="806" t="str">
        <f>IFERROR(IF(B160="","",IF($P$3=$AT$8,'Statement of Marks'!N159,IF($P$3=$AT$9,'Statement of Marks'!AB159,IF($P$3=$AT$10,'Statement of Marks'!AQ159,IF($P$3=$AT$11,'Statement of Marks'!BN159,IF($P$3=$AT$12,'Statement of Marks'!CK159,IF($P$3=$AT$13,'Statement of Marks'!DI159,IF($P$3=$AT$14,"",IF($P$3=$AT$15,'Statement of Marks'!FC159,""))))))))),"")</f>
        <v/>
      </c>
      <c r="Q160" s="806" t="str">
        <f>IFERROR(IF(B160="","",IF($P$3=$AT$8,"",IF($P$3=$AT$9,"",IF($P$3=$AT$10,'Statement of Marks'!AR159,IF($P$3=$AT$11,'Statement of Marks'!BO159,IF($P$3=$AT$12,'Statement of Marks'!CL159,IF($P$3=$AT$13,'Statement of Marks'!DJ159,IF($P$3=$AT$14,"",IF($P$3=$AT$15,"",""))))))))),"")</f>
        <v/>
      </c>
      <c r="R160" s="818" t="str">
        <f>IFERROR(IF(B160="","",IF(AND(P160="",Q160="",$P$3=""),"",IF($P$3=$AT$14,'Statement of Marks'!EC159,SUM(P160,Q160)))),"")</f>
        <v/>
      </c>
      <c r="S160" s="817" t="str">
        <f>IFERROR(IF(B160="","",IF($P$3=$AT$14,'Statement of Marks'!ED159,IF(AND(O160="NA",P160="NA",Q160="NA"),"NA",IF(AND(O160="",P160="",Q160=""),"",SUM(O160,P160,Q160))))),"")</f>
        <v/>
      </c>
      <c r="T160" s="806" t="str">
        <f>IFERROR(IF(B160="","",IF($P$3=$AT$8,'Statement of Marks'!P159,IF($P$3=$AT$9,'Statement of Marks'!AD159,IF($P$3=$AT$10,'Statement of Marks'!AU159,IF($P$3=$AT$11,'Statement of Marks'!BR159,IF($P$3=$AT$12,'Statement of Marks'!CO159,IF($P$3=$AT$13,'Statement of Marks'!DM159,IF($P$3=$AT$14,"",IF($P$3=$AT$15,'Statement of Marks'!FD159,""))))))))),"")</f>
        <v/>
      </c>
      <c r="U160" s="806" t="str">
        <f>IFERROR(IF(B160="","",IF($P$3=$AT$8,"",IF($P$3=$AT$9,"",IF($P$3=$AT$10,'Statement of Marks'!AV159,IF($P$3=$AT$11,'Statement of Marks'!BS159,IF($P$3=$AT$12,'Statement of Marks'!CP159,IF($P$3=$AT$13,'Statement of Marks'!DN159,IF($P$3=$AT$14,"",IF($P$3=$AT$15,"",""))))))))),"")</f>
        <v/>
      </c>
      <c r="V160" s="818" t="str">
        <f>IFERROR(IF(B160="","",IF(AND(T160="",U160="",$P$3=""),"",IF($P$3=$AT$14,'Statement of Marks'!EE159,SUM(T160,U160)))),"")</f>
        <v/>
      </c>
      <c r="W160" s="808" t="str">
        <f t="shared" si="33"/>
        <v/>
      </c>
      <c r="X160" s="809">
        <f t="shared" si="34"/>
        <v>0</v>
      </c>
      <c r="Y160" s="809">
        <f t="shared" si="35"/>
        <v>0</v>
      </c>
      <c r="Z160" s="809">
        <f t="shared" si="36"/>
        <v>0</v>
      </c>
      <c r="AA160" s="809" t="str">
        <f t="shared" si="37"/>
        <v/>
      </c>
      <c r="AB160" s="809" t="str">
        <f t="shared" si="38"/>
        <v/>
      </c>
      <c r="AC160" s="809" t="str">
        <f t="shared" si="39"/>
        <v/>
      </c>
      <c r="AD160" s="809" t="str">
        <f t="shared" si="40"/>
        <v/>
      </c>
      <c r="AE160" s="810" t="str">
        <f t="shared" si="41"/>
        <v/>
      </c>
      <c r="AF160" s="811" t="str">
        <f t="shared" si="42"/>
        <v/>
      </c>
      <c r="AG160" s="812" t="str">
        <f t="shared" si="43"/>
        <v/>
      </c>
      <c r="AW160" s="17" t="str">
        <f t="shared" si="44"/>
        <v/>
      </c>
      <c r="AX160" s="17" t="str">
        <f t="shared" si="45"/>
        <v/>
      </c>
      <c r="BM160" s="17" t="str">
        <f>IFERROR(VLOOKUP(B160,'Statement of Marks'!$B$8:'Statement of Marks'!$HI$207,37,0),"")</f>
        <v>A</v>
      </c>
      <c r="BN160" s="17" t="str">
        <f>IFERROR(VLOOKUP(B160,'Statement of Marks'!$B$8:'Statement of Marks'!$HI$207,60,0),"")</f>
        <v>A</v>
      </c>
      <c r="BO160" s="17" t="str">
        <f>IFERROR(VLOOKUP(B160,'Statement of Marks'!$B$8:'Statement of Marks'!$HI$207,83,0),"")</f>
        <v>A</v>
      </c>
      <c r="BP160" s="17" t="str">
        <f>IFERROR(VLOOKUP(B160,'Statement of Marks'!$B$8:'Statement of Marks'!$HI$207,107,0),"")</f>
        <v/>
      </c>
    </row>
    <row r="161" spans="1:68">
      <c r="A161" s="800">
        <f>IF('Statement of Marks'!A160="","",'Statement of Marks'!A160)</f>
        <v>153</v>
      </c>
      <c r="B161" s="801" t="str">
        <f>IF(OR($E$3="",$P$3=""),"",IF('Statement of Marks'!B160="","",'Statement of Marks'!B160))</f>
        <v/>
      </c>
      <c r="C161" s="810" t="str">
        <f>IF(OR($E$3="",$P$3=""),"",IF('Marks Entry'!C160="","",'Marks Entry'!C160))</f>
        <v/>
      </c>
      <c r="D161" s="802" t="str">
        <f>IF(OR($E$3="",$P$3=""),"",IF('Statement of Marks'!C160="","",'Statement of Marks'!C160))</f>
        <v/>
      </c>
      <c r="E161" s="803" t="str">
        <f>IF(OR($E$3="",$P$3=""),"",IF('Statement of Marks'!D160="","",'Statement of Marks'!D160))</f>
        <v/>
      </c>
      <c r="F161" s="804" t="str">
        <f>IF(OR($E$3="",$P$3=""),"",IF('Statement of Marks'!E160="","",'Statement of Marks'!E160))</f>
        <v/>
      </c>
      <c r="G161" s="804" t="str">
        <f>IF(OR($E$3="",$P$3=""),"",IF('Statement of Marks'!F160="","",'Statement of Marks'!F160))</f>
        <v/>
      </c>
      <c r="H161" s="804" t="str">
        <f>IF(OR($E$3="",$P$3=""),"",IF('Statement of Marks'!G160="","",'Statement of Marks'!G160))</f>
        <v/>
      </c>
      <c r="I161" s="805" t="str">
        <f>IF(OR($E$3="",$P$3=""),"",IF('Statement of Marks'!H160="","",'Statement of Marks'!H160))</f>
        <v/>
      </c>
      <c r="J161" s="805" t="str">
        <f>IF(OR($E$3="",$P$3=""),"",IF('Statement of Marks'!I160="","",'Statement of Marks'!I160))</f>
        <v/>
      </c>
      <c r="K161" s="805" t="str">
        <f>IFERROR(IF(B161="","",IF($P$3=$AT$10,IF(AND(BM161="A"),'Marks Entry'!$U$2,IF(AND(BM161="B"),'Marks Entry'!$Y$2,IF(AND(BM161="C"),'Marks Entry'!$AA$2,""))),IF($P$3=$AT$11,IF(AND(BN161="A"),'Marks Entry'!$AC$2,IF(AND(BN161="B"),'Marks Entry'!$AG$2,IF(AND(BN161="C"),'Marks Entry'!$AI$2,""))),IF($P$3=$AT$12,IF(AND(BO161="A"),'Marks Entry'!$AK$2,IF(AND(BO161="B"),'Marks Entry'!$AO$2,IF(AND(BO161="C"),'Marks Entry'!$AQ$2,""))),IF($P$3=$AT$13,IF(AND(BP161="A"),'Marks Entry'!$AS$2,IF(AND(BP161="B"),'Marks Entry'!$AW$2,IF(AND(BP161="C"),'Marks Entry'!$AY$2,""))),"-"))))),"")</f>
        <v/>
      </c>
      <c r="L161" s="806" t="str">
        <f>IFERROR(IF(B161="","",IF($P$3=$AT$8,'Statement of Marks'!J160,IF($P$3=$AT$9,'Statement of Marks'!X160,IF($P$3=$AT$10,'Statement of Marks'!AM160,IF($P$3=$AT$11,'Statement of Marks'!BJ160,IF($P$3=$AT$12,'Statement of Marks'!CG160,IF($P$3=$AT$13,'Statement of Marks'!DE160,IF($P$3=$AT$14,"",IF($P$3=$AT$15,'Statement of Marks'!EY160,""))))))))),"")</f>
        <v/>
      </c>
      <c r="M161" s="806" t="str">
        <f>IFERROR(IF(B161="","",IF($P$3=$AT$8,'Statement of Marks'!K160,IF($P$3=$AT$9,'Statement of Marks'!Y160,IF($P$3=$AT$10,'Statement of Marks'!AN160,IF($P$3=$AT$11,'Statement of Marks'!BK160,IF($P$3=$AT$12,'Statement of Marks'!CH160,IF($P$3=$AT$13,'Statement of Marks'!DF160,IF($P$3=$AT$14,"",IF($P$3=$AT$15,'Statement of Marks'!EZ160,""))))))))),"")</f>
        <v/>
      </c>
      <c r="N161" s="806" t="str">
        <f>IFERROR(IF(B161="","",IF($P$3=$AT$8,'Statement of Marks'!L160,IF($P$3=$AT$9,'Statement of Marks'!Z160,IF($P$3=$AT$10,'Statement of Marks'!AO160,IF($P$3=$AT$11,'Statement of Marks'!BL160,IF($P$3=$AT$12,'Statement of Marks'!CI160,IF($P$3=$AT$13,'Statement of Marks'!DG160,IF($P$3=$AT$14,"",IF($P$3=$AT$15,'Statement of Marks'!FA160,""))))))))),"")</f>
        <v/>
      </c>
      <c r="O161" s="807" t="str">
        <f t="shared" si="32"/>
        <v/>
      </c>
      <c r="P161" s="806" t="str">
        <f>IFERROR(IF(B161="","",IF($P$3=$AT$8,'Statement of Marks'!N160,IF($P$3=$AT$9,'Statement of Marks'!AB160,IF($P$3=$AT$10,'Statement of Marks'!AQ160,IF($P$3=$AT$11,'Statement of Marks'!BN160,IF($P$3=$AT$12,'Statement of Marks'!CK160,IF($P$3=$AT$13,'Statement of Marks'!DI160,IF($P$3=$AT$14,"",IF($P$3=$AT$15,'Statement of Marks'!FC160,""))))))))),"")</f>
        <v/>
      </c>
      <c r="Q161" s="806" t="str">
        <f>IFERROR(IF(B161="","",IF($P$3=$AT$8,"",IF($P$3=$AT$9,"",IF($P$3=$AT$10,'Statement of Marks'!AR160,IF($P$3=$AT$11,'Statement of Marks'!BO160,IF($P$3=$AT$12,'Statement of Marks'!CL160,IF($P$3=$AT$13,'Statement of Marks'!DJ160,IF($P$3=$AT$14,"",IF($P$3=$AT$15,"",""))))))))),"")</f>
        <v/>
      </c>
      <c r="R161" s="818" t="str">
        <f>IFERROR(IF(B161="","",IF(AND(P161="",Q161="",$P$3=""),"",IF($P$3=$AT$14,'Statement of Marks'!EC160,SUM(P161,Q161)))),"")</f>
        <v/>
      </c>
      <c r="S161" s="817" t="str">
        <f>IFERROR(IF(B161="","",IF($P$3=$AT$14,'Statement of Marks'!ED160,IF(AND(O161="NA",P161="NA",Q161="NA"),"NA",IF(AND(O161="",P161="",Q161=""),"",SUM(O161,P161,Q161))))),"")</f>
        <v/>
      </c>
      <c r="T161" s="806" t="str">
        <f>IFERROR(IF(B161="","",IF($P$3=$AT$8,'Statement of Marks'!P160,IF($P$3=$AT$9,'Statement of Marks'!AD160,IF($P$3=$AT$10,'Statement of Marks'!AU160,IF($P$3=$AT$11,'Statement of Marks'!BR160,IF($P$3=$AT$12,'Statement of Marks'!CO160,IF($P$3=$AT$13,'Statement of Marks'!DM160,IF($P$3=$AT$14,"",IF($P$3=$AT$15,'Statement of Marks'!FD160,""))))))))),"")</f>
        <v/>
      </c>
      <c r="U161" s="806" t="str">
        <f>IFERROR(IF(B161="","",IF($P$3=$AT$8,"",IF($P$3=$AT$9,"",IF($P$3=$AT$10,'Statement of Marks'!AV160,IF($P$3=$AT$11,'Statement of Marks'!BS160,IF($P$3=$AT$12,'Statement of Marks'!CP160,IF($P$3=$AT$13,'Statement of Marks'!DN160,IF($P$3=$AT$14,"",IF($P$3=$AT$15,"",""))))))))),"")</f>
        <v/>
      </c>
      <c r="V161" s="818" t="str">
        <f>IFERROR(IF(B161="","",IF(AND(T161="",U161="",$P$3=""),"",IF($P$3=$AT$14,'Statement of Marks'!EE160,SUM(T161,U161)))),"")</f>
        <v/>
      </c>
      <c r="W161" s="808" t="str">
        <f t="shared" si="33"/>
        <v/>
      </c>
      <c r="X161" s="809">
        <f t="shared" si="34"/>
        <v>0</v>
      </c>
      <c r="Y161" s="809">
        <f t="shared" si="35"/>
        <v>0</v>
      </c>
      <c r="Z161" s="809">
        <f t="shared" si="36"/>
        <v>0</v>
      </c>
      <c r="AA161" s="809" t="str">
        <f t="shared" si="37"/>
        <v/>
      </c>
      <c r="AB161" s="809" t="str">
        <f t="shared" si="38"/>
        <v/>
      </c>
      <c r="AC161" s="809" t="str">
        <f t="shared" si="39"/>
        <v/>
      </c>
      <c r="AD161" s="809" t="str">
        <f t="shared" si="40"/>
        <v/>
      </c>
      <c r="AE161" s="810" t="str">
        <f t="shared" si="41"/>
        <v/>
      </c>
      <c r="AF161" s="811" t="str">
        <f t="shared" si="42"/>
        <v/>
      </c>
      <c r="AG161" s="812" t="str">
        <f t="shared" si="43"/>
        <v/>
      </c>
      <c r="AW161" s="17" t="str">
        <f t="shared" si="44"/>
        <v/>
      </c>
      <c r="AX161" s="17" t="str">
        <f t="shared" si="45"/>
        <v/>
      </c>
      <c r="BM161" s="17" t="str">
        <f>IFERROR(VLOOKUP(B161,'Statement of Marks'!$B$8:'Statement of Marks'!$HI$207,37,0),"")</f>
        <v>A</v>
      </c>
      <c r="BN161" s="17" t="str">
        <f>IFERROR(VLOOKUP(B161,'Statement of Marks'!$B$8:'Statement of Marks'!$HI$207,60,0),"")</f>
        <v>A</v>
      </c>
      <c r="BO161" s="17" t="str">
        <f>IFERROR(VLOOKUP(B161,'Statement of Marks'!$B$8:'Statement of Marks'!$HI$207,83,0),"")</f>
        <v>A</v>
      </c>
      <c r="BP161" s="17" t="str">
        <f>IFERROR(VLOOKUP(B161,'Statement of Marks'!$B$8:'Statement of Marks'!$HI$207,107,0),"")</f>
        <v/>
      </c>
    </row>
    <row r="162" spans="1:68">
      <c r="A162" s="800">
        <f>IF('Statement of Marks'!A161="","",'Statement of Marks'!A161)</f>
        <v>154</v>
      </c>
      <c r="B162" s="801" t="str">
        <f>IF(OR($E$3="",$P$3=""),"",IF('Statement of Marks'!B161="","",'Statement of Marks'!B161))</f>
        <v/>
      </c>
      <c r="C162" s="810" t="str">
        <f>IF(OR($E$3="",$P$3=""),"",IF('Marks Entry'!C161="","",'Marks Entry'!C161))</f>
        <v/>
      </c>
      <c r="D162" s="802" t="str">
        <f>IF(OR($E$3="",$P$3=""),"",IF('Statement of Marks'!C161="","",'Statement of Marks'!C161))</f>
        <v/>
      </c>
      <c r="E162" s="803" t="str">
        <f>IF(OR($E$3="",$P$3=""),"",IF('Statement of Marks'!D161="","",'Statement of Marks'!D161))</f>
        <v/>
      </c>
      <c r="F162" s="804" t="str">
        <f>IF(OR($E$3="",$P$3=""),"",IF('Statement of Marks'!E161="","",'Statement of Marks'!E161))</f>
        <v/>
      </c>
      <c r="G162" s="804" t="str">
        <f>IF(OR($E$3="",$P$3=""),"",IF('Statement of Marks'!F161="","",'Statement of Marks'!F161))</f>
        <v/>
      </c>
      <c r="H162" s="804" t="str">
        <f>IF(OR($E$3="",$P$3=""),"",IF('Statement of Marks'!G161="","",'Statement of Marks'!G161))</f>
        <v/>
      </c>
      <c r="I162" s="805" t="str">
        <f>IF(OR($E$3="",$P$3=""),"",IF('Statement of Marks'!H161="","",'Statement of Marks'!H161))</f>
        <v/>
      </c>
      <c r="J162" s="805" t="str">
        <f>IF(OR($E$3="",$P$3=""),"",IF('Statement of Marks'!I161="","",'Statement of Marks'!I161))</f>
        <v/>
      </c>
      <c r="K162" s="805" t="str">
        <f>IFERROR(IF(B162="","",IF($P$3=$AT$10,IF(AND(BM162="A"),'Marks Entry'!$U$2,IF(AND(BM162="B"),'Marks Entry'!$Y$2,IF(AND(BM162="C"),'Marks Entry'!$AA$2,""))),IF($P$3=$AT$11,IF(AND(BN162="A"),'Marks Entry'!$AC$2,IF(AND(BN162="B"),'Marks Entry'!$AG$2,IF(AND(BN162="C"),'Marks Entry'!$AI$2,""))),IF($P$3=$AT$12,IF(AND(BO162="A"),'Marks Entry'!$AK$2,IF(AND(BO162="B"),'Marks Entry'!$AO$2,IF(AND(BO162="C"),'Marks Entry'!$AQ$2,""))),IF($P$3=$AT$13,IF(AND(BP162="A"),'Marks Entry'!$AS$2,IF(AND(BP162="B"),'Marks Entry'!$AW$2,IF(AND(BP162="C"),'Marks Entry'!$AY$2,""))),"-"))))),"")</f>
        <v/>
      </c>
      <c r="L162" s="806" t="str">
        <f>IFERROR(IF(B162="","",IF($P$3=$AT$8,'Statement of Marks'!J161,IF($P$3=$AT$9,'Statement of Marks'!X161,IF($P$3=$AT$10,'Statement of Marks'!AM161,IF($P$3=$AT$11,'Statement of Marks'!BJ161,IF($P$3=$AT$12,'Statement of Marks'!CG161,IF($P$3=$AT$13,'Statement of Marks'!DE161,IF($P$3=$AT$14,"",IF($P$3=$AT$15,'Statement of Marks'!EY161,""))))))))),"")</f>
        <v/>
      </c>
      <c r="M162" s="806" t="str">
        <f>IFERROR(IF(B162="","",IF($P$3=$AT$8,'Statement of Marks'!K161,IF($P$3=$AT$9,'Statement of Marks'!Y161,IF($P$3=$AT$10,'Statement of Marks'!AN161,IF($P$3=$AT$11,'Statement of Marks'!BK161,IF($P$3=$AT$12,'Statement of Marks'!CH161,IF($P$3=$AT$13,'Statement of Marks'!DF161,IF($P$3=$AT$14,"",IF($P$3=$AT$15,'Statement of Marks'!EZ161,""))))))))),"")</f>
        <v/>
      </c>
      <c r="N162" s="806" t="str">
        <f>IFERROR(IF(B162="","",IF($P$3=$AT$8,'Statement of Marks'!L161,IF($P$3=$AT$9,'Statement of Marks'!Z161,IF($P$3=$AT$10,'Statement of Marks'!AO161,IF($P$3=$AT$11,'Statement of Marks'!BL161,IF($P$3=$AT$12,'Statement of Marks'!CI161,IF($P$3=$AT$13,'Statement of Marks'!DG161,IF($P$3=$AT$14,"",IF($P$3=$AT$15,'Statement of Marks'!FA161,""))))))))),"")</f>
        <v/>
      </c>
      <c r="O162" s="807" t="str">
        <f t="shared" si="32"/>
        <v/>
      </c>
      <c r="P162" s="806" t="str">
        <f>IFERROR(IF(B162="","",IF($P$3=$AT$8,'Statement of Marks'!N161,IF($P$3=$AT$9,'Statement of Marks'!AB161,IF($P$3=$AT$10,'Statement of Marks'!AQ161,IF($P$3=$AT$11,'Statement of Marks'!BN161,IF($P$3=$AT$12,'Statement of Marks'!CK161,IF($P$3=$AT$13,'Statement of Marks'!DI161,IF($P$3=$AT$14,"",IF($P$3=$AT$15,'Statement of Marks'!FC161,""))))))))),"")</f>
        <v/>
      </c>
      <c r="Q162" s="806" t="str">
        <f>IFERROR(IF(B162="","",IF($P$3=$AT$8,"",IF($P$3=$AT$9,"",IF($P$3=$AT$10,'Statement of Marks'!AR161,IF($P$3=$AT$11,'Statement of Marks'!BO161,IF($P$3=$AT$12,'Statement of Marks'!CL161,IF($P$3=$AT$13,'Statement of Marks'!DJ161,IF($P$3=$AT$14,"",IF($P$3=$AT$15,"",""))))))))),"")</f>
        <v/>
      </c>
      <c r="R162" s="818" t="str">
        <f>IFERROR(IF(B162="","",IF(AND(P162="",Q162="",$P$3=""),"",IF($P$3=$AT$14,'Statement of Marks'!EC161,SUM(P162,Q162)))),"")</f>
        <v/>
      </c>
      <c r="S162" s="817" t="str">
        <f>IFERROR(IF(B162="","",IF($P$3=$AT$14,'Statement of Marks'!ED161,IF(AND(O162="NA",P162="NA",Q162="NA"),"NA",IF(AND(O162="",P162="",Q162=""),"",SUM(O162,P162,Q162))))),"")</f>
        <v/>
      </c>
      <c r="T162" s="806" t="str">
        <f>IFERROR(IF(B162="","",IF($P$3=$AT$8,'Statement of Marks'!P161,IF($P$3=$AT$9,'Statement of Marks'!AD161,IF($P$3=$AT$10,'Statement of Marks'!AU161,IF($P$3=$AT$11,'Statement of Marks'!BR161,IF($P$3=$AT$12,'Statement of Marks'!CO161,IF($P$3=$AT$13,'Statement of Marks'!DM161,IF($P$3=$AT$14,"",IF($P$3=$AT$15,'Statement of Marks'!FD161,""))))))))),"")</f>
        <v/>
      </c>
      <c r="U162" s="806" t="str">
        <f>IFERROR(IF(B162="","",IF($P$3=$AT$8,"",IF($P$3=$AT$9,"",IF($P$3=$AT$10,'Statement of Marks'!AV161,IF($P$3=$AT$11,'Statement of Marks'!BS161,IF($P$3=$AT$12,'Statement of Marks'!CP161,IF($P$3=$AT$13,'Statement of Marks'!DN161,IF($P$3=$AT$14,"",IF($P$3=$AT$15,"",""))))))))),"")</f>
        <v/>
      </c>
      <c r="V162" s="818" t="str">
        <f>IFERROR(IF(B162="","",IF(AND(T162="",U162="",$P$3=""),"",IF($P$3=$AT$14,'Statement of Marks'!EE161,SUM(T162,U162)))),"")</f>
        <v/>
      </c>
      <c r="W162" s="808" t="str">
        <f t="shared" si="33"/>
        <v/>
      </c>
      <c r="X162" s="809">
        <f t="shared" si="34"/>
        <v>0</v>
      </c>
      <c r="Y162" s="809">
        <f t="shared" si="35"/>
        <v>0</v>
      </c>
      <c r="Z162" s="809">
        <f t="shared" si="36"/>
        <v>0</v>
      </c>
      <c r="AA162" s="809" t="str">
        <f t="shared" si="37"/>
        <v/>
      </c>
      <c r="AB162" s="809" t="str">
        <f t="shared" si="38"/>
        <v/>
      </c>
      <c r="AC162" s="809" t="str">
        <f t="shared" si="39"/>
        <v/>
      </c>
      <c r="AD162" s="809" t="str">
        <f t="shared" si="40"/>
        <v/>
      </c>
      <c r="AE162" s="810" t="str">
        <f t="shared" si="41"/>
        <v/>
      </c>
      <c r="AF162" s="811" t="str">
        <f t="shared" si="42"/>
        <v/>
      </c>
      <c r="AG162" s="812" t="str">
        <f t="shared" si="43"/>
        <v/>
      </c>
      <c r="AW162" s="17" t="str">
        <f t="shared" si="44"/>
        <v/>
      </c>
      <c r="AX162" s="17" t="str">
        <f t="shared" si="45"/>
        <v/>
      </c>
      <c r="BM162" s="17" t="str">
        <f>IFERROR(VLOOKUP(B162,'Statement of Marks'!$B$8:'Statement of Marks'!$HI$207,37,0),"")</f>
        <v>A</v>
      </c>
      <c r="BN162" s="17" t="str">
        <f>IFERROR(VLOOKUP(B162,'Statement of Marks'!$B$8:'Statement of Marks'!$HI$207,60,0),"")</f>
        <v>A</v>
      </c>
      <c r="BO162" s="17" t="str">
        <f>IFERROR(VLOOKUP(B162,'Statement of Marks'!$B$8:'Statement of Marks'!$HI$207,83,0),"")</f>
        <v>A</v>
      </c>
      <c r="BP162" s="17" t="str">
        <f>IFERROR(VLOOKUP(B162,'Statement of Marks'!$B$8:'Statement of Marks'!$HI$207,107,0),"")</f>
        <v/>
      </c>
    </row>
    <row r="163" spans="1:68">
      <c r="A163" s="800">
        <f>IF('Statement of Marks'!A162="","",'Statement of Marks'!A162)</f>
        <v>155</v>
      </c>
      <c r="B163" s="801" t="str">
        <f>IF(OR($E$3="",$P$3=""),"",IF('Statement of Marks'!B162="","",'Statement of Marks'!B162))</f>
        <v/>
      </c>
      <c r="C163" s="810" t="str">
        <f>IF(OR($E$3="",$P$3=""),"",IF('Marks Entry'!C162="","",'Marks Entry'!C162))</f>
        <v/>
      </c>
      <c r="D163" s="802" t="str">
        <f>IF(OR($E$3="",$P$3=""),"",IF('Statement of Marks'!C162="","",'Statement of Marks'!C162))</f>
        <v/>
      </c>
      <c r="E163" s="803" t="str">
        <f>IF(OR($E$3="",$P$3=""),"",IF('Statement of Marks'!D162="","",'Statement of Marks'!D162))</f>
        <v/>
      </c>
      <c r="F163" s="804" t="str">
        <f>IF(OR($E$3="",$P$3=""),"",IF('Statement of Marks'!E162="","",'Statement of Marks'!E162))</f>
        <v/>
      </c>
      <c r="G163" s="804" t="str">
        <f>IF(OR($E$3="",$P$3=""),"",IF('Statement of Marks'!F162="","",'Statement of Marks'!F162))</f>
        <v/>
      </c>
      <c r="H163" s="804" t="str">
        <f>IF(OR($E$3="",$P$3=""),"",IF('Statement of Marks'!G162="","",'Statement of Marks'!G162))</f>
        <v/>
      </c>
      <c r="I163" s="805" t="str">
        <f>IF(OR($E$3="",$P$3=""),"",IF('Statement of Marks'!H162="","",'Statement of Marks'!H162))</f>
        <v/>
      </c>
      <c r="J163" s="805" t="str">
        <f>IF(OR($E$3="",$P$3=""),"",IF('Statement of Marks'!I162="","",'Statement of Marks'!I162))</f>
        <v/>
      </c>
      <c r="K163" s="805" t="str">
        <f>IFERROR(IF(B163="","",IF($P$3=$AT$10,IF(AND(BM163="A"),'Marks Entry'!$U$2,IF(AND(BM163="B"),'Marks Entry'!$Y$2,IF(AND(BM163="C"),'Marks Entry'!$AA$2,""))),IF($P$3=$AT$11,IF(AND(BN163="A"),'Marks Entry'!$AC$2,IF(AND(BN163="B"),'Marks Entry'!$AG$2,IF(AND(BN163="C"),'Marks Entry'!$AI$2,""))),IF($P$3=$AT$12,IF(AND(BO163="A"),'Marks Entry'!$AK$2,IF(AND(BO163="B"),'Marks Entry'!$AO$2,IF(AND(BO163="C"),'Marks Entry'!$AQ$2,""))),IF($P$3=$AT$13,IF(AND(BP163="A"),'Marks Entry'!$AS$2,IF(AND(BP163="B"),'Marks Entry'!$AW$2,IF(AND(BP163="C"),'Marks Entry'!$AY$2,""))),"-"))))),"")</f>
        <v/>
      </c>
      <c r="L163" s="806" t="str">
        <f>IFERROR(IF(B163="","",IF($P$3=$AT$8,'Statement of Marks'!J162,IF($P$3=$AT$9,'Statement of Marks'!X162,IF($P$3=$AT$10,'Statement of Marks'!AM162,IF($P$3=$AT$11,'Statement of Marks'!BJ162,IF($P$3=$AT$12,'Statement of Marks'!CG162,IF($P$3=$AT$13,'Statement of Marks'!DE162,IF($P$3=$AT$14,"",IF($P$3=$AT$15,'Statement of Marks'!EY162,""))))))))),"")</f>
        <v/>
      </c>
      <c r="M163" s="806" t="str">
        <f>IFERROR(IF(B163="","",IF($P$3=$AT$8,'Statement of Marks'!K162,IF($P$3=$AT$9,'Statement of Marks'!Y162,IF($P$3=$AT$10,'Statement of Marks'!AN162,IF($P$3=$AT$11,'Statement of Marks'!BK162,IF($P$3=$AT$12,'Statement of Marks'!CH162,IF($P$3=$AT$13,'Statement of Marks'!DF162,IF($P$3=$AT$14,"",IF($P$3=$AT$15,'Statement of Marks'!EZ162,""))))))))),"")</f>
        <v/>
      </c>
      <c r="N163" s="806" t="str">
        <f>IFERROR(IF(B163="","",IF($P$3=$AT$8,'Statement of Marks'!L162,IF($P$3=$AT$9,'Statement of Marks'!Z162,IF($P$3=$AT$10,'Statement of Marks'!AO162,IF($P$3=$AT$11,'Statement of Marks'!BL162,IF($P$3=$AT$12,'Statement of Marks'!CI162,IF($P$3=$AT$13,'Statement of Marks'!DG162,IF($P$3=$AT$14,"",IF($P$3=$AT$15,'Statement of Marks'!FA162,""))))))))),"")</f>
        <v/>
      </c>
      <c r="O163" s="807" t="str">
        <f t="shared" si="32"/>
        <v/>
      </c>
      <c r="P163" s="806" t="str">
        <f>IFERROR(IF(B163="","",IF($P$3=$AT$8,'Statement of Marks'!N162,IF($P$3=$AT$9,'Statement of Marks'!AB162,IF($P$3=$AT$10,'Statement of Marks'!AQ162,IF($P$3=$AT$11,'Statement of Marks'!BN162,IF($P$3=$AT$12,'Statement of Marks'!CK162,IF($P$3=$AT$13,'Statement of Marks'!DI162,IF($P$3=$AT$14,"",IF($P$3=$AT$15,'Statement of Marks'!FC162,""))))))))),"")</f>
        <v/>
      </c>
      <c r="Q163" s="806" t="str">
        <f>IFERROR(IF(B163="","",IF($P$3=$AT$8,"",IF($P$3=$AT$9,"",IF($P$3=$AT$10,'Statement of Marks'!AR162,IF($P$3=$AT$11,'Statement of Marks'!BO162,IF($P$3=$AT$12,'Statement of Marks'!CL162,IF($P$3=$AT$13,'Statement of Marks'!DJ162,IF($P$3=$AT$14,"",IF($P$3=$AT$15,"",""))))))))),"")</f>
        <v/>
      </c>
      <c r="R163" s="818" t="str">
        <f>IFERROR(IF(B163="","",IF(AND(P163="",Q163="",$P$3=""),"",IF($P$3=$AT$14,'Statement of Marks'!EC162,SUM(P163,Q163)))),"")</f>
        <v/>
      </c>
      <c r="S163" s="817" t="str">
        <f>IFERROR(IF(B163="","",IF($P$3=$AT$14,'Statement of Marks'!ED162,IF(AND(O163="NA",P163="NA",Q163="NA"),"NA",IF(AND(O163="",P163="",Q163=""),"",SUM(O163,P163,Q163))))),"")</f>
        <v/>
      </c>
      <c r="T163" s="806" t="str">
        <f>IFERROR(IF(B163="","",IF($P$3=$AT$8,'Statement of Marks'!P162,IF($P$3=$AT$9,'Statement of Marks'!AD162,IF($P$3=$AT$10,'Statement of Marks'!AU162,IF($P$3=$AT$11,'Statement of Marks'!BR162,IF($P$3=$AT$12,'Statement of Marks'!CO162,IF($P$3=$AT$13,'Statement of Marks'!DM162,IF($P$3=$AT$14,"",IF($P$3=$AT$15,'Statement of Marks'!FD162,""))))))))),"")</f>
        <v/>
      </c>
      <c r="U163" s="806" t="str">
        <f>IFERROR(IF(B163="","",IF($P$3=$AT$8,"",IF($P$3=$AT$9,"",IF($P$3=$AT$10,'Statement of Marks'!AV162,IF($P$3=$AT$11,'Statement of Marks'!BS162,IF($P$3=$AT$12,'Statement of Marks'!CP162,IF($P$3=$AT$13,'Statement of Marks'!DN162,IF($P$3=$AT$14,"",IF($P$3=$AT$15,"",""))))))))),"")</f>
        <v/>
      </c>
      <c r="V163" s="818" t="str">
        <f>IFERROR(IF(B163="","",IF(AND(T163="",U163="",$P$3=""),"",IF($P$3=$AT$14,'Statement of Marks'!EE162,SUM(T163,U163)))),"")</f>
        <v/>
      </c>
      <c r="W163" s="808" t="str">
        <f t="shared" si="33"/>
        <v/>
      </c>
      <c r="X163" s="809">
        <f t="shared" si="34"/>
        <v>0</v>
      </c>
      <c r="Y163" s="809">
        <f t="shared" si="35"/>
        <v>0</v>
      </c>
      <c r="Z163" s="809">
        <f t="shared" si="36"/>
        <v>0</v>
      </c>
      <c r="AA163" s="809" t="str">
        <f t="shared" si="37"/>
        <v/>
      </c>
      <c r="AB163" s="809" t="str">
        <f t="shared" si="38"/>
        <v/>
      </c>
      <c r="AC163" s="809" t="str">
        <f t="shared" si="39"/>
        <v/>
      </c>
      <c r="AD163" s="809" t="str">
        <f t="shared" si="40"/>
        <v/>
      </c>
      <c r="AE163" s="810" t="str">
        <f t="shared" si="41"/>
        <v/>
      </c>
      <c r="AF163" s="811" t="str">
        <f t="shared" si="42"/>
        <v/>
      </c>
      <c r="AG163" s="812" t="str">
        <f t="shared" si="43"/>
        <v/>
      </c>
      <c r="AW163" s="17" t="str">
        <f t="shared" si="44"/>
        <v/>
      </c>
      <c r="AX163" s="17" t="str">
        <f t="shared" si="45"/>
        <v/>
      </c>
      <c r="BM163" s="17" t="str">
        <f>IFERROR(VLOOKUP(B163,'Statement of Marks'!$B$8:'Statement of Marks'!$HI$207,37,0),"")</f>
        <v>A</v>
      </c>
      <c r="BN163" s="17" t="str">
        <f>IFERROR(VLOOKUP(B163,'Statement of Marks'!$B$8:'Statement of Marks'!$HI$207,60,0),"")</f>
        <v>A</v>
      </c>
      <c r="BO163" s="17" t="str">
        <f>IFERROR(VLOOKUP(B163,'Statement of Marks'!$B$8:'Statement of Marks'!$HI$207,83,0),"")</f>
        <v>A</v>
      </c>
      <c r="BP163" s="17" t="str">
        <f>IFERROR(VLOOKUP(B163,'Statement of Marks'!$B$8:'Statement of Marks'!$HI$207,107,0),"")</f>
        <v/>
      </c>
    </row>
    <row r="164" spans="1:68">
      <c r="A164" s="800">
        <f>IF('Statement of Marks'!A163="","",'Statement of Marks'!A163)</f>
        <v>156</v>
      </c>
      <c r="B164" s="801" t="str">
        <f>IF(OR($E$3="",$P$3=""),"",IF('Statement of Marks'!B163="","",'Statement of Marks'!B163))</f>
        <v/>
      </c>
      <c r="C164" s="810" t="str">
        <f>IF(OR($E$3="",$P$3=""),"",IF('Marks Entry'!C163="","",'Marks Entry'!C163))</f>
        <v/>
      </c>
      <c r="D164" s="802" t="str">
        <f>IF(OR($E$3="",$P$3=""),"",IF('Statement of Marks'!C163="","",'Statement of Marks'!C163))</f>
        <v/>
      </c>
      <c r="E164" s="803" t="str">
        <f>IF(OR($E$3="",$P$3=""),"",IF('Statement of Marks'!D163="","",'Statement of Marks'!D163))</f>
        <v/>
      </c>
      <c r="F164" s="804" t="str">
        <f>IF(OR($E$3="",$P$3=""),"",IF('Statement of Marks'!E163="","",'Statement of Marks'!E163))</f>
        <v/>
      </c>
      <c r="G164" s="804" t="str">
        <f>IF(OR($E$3="",$P$3=""),"",IF('Statement of Marks'!F163="","",'Statement of Marks'!F163))</f>
        <v/>
      </c>
      <c r="H164" s="804" t="str">
        <f>IF(OR($E$3="",$P$3=""),"",IF('Statement of Marks'!G163="","",'Statement of Marks'!G163))</f>
        <v/>
      </c>
      <c r="I164" s="805" t="str">
        <f>IF(OR($E$3="",$P$3=""),"",IF('Statement of Marks'!H163="","",'Statement of Marks'!H163))</f>
        <v/>
      </c>
      <c r="J164" s="805" t="str">
        <f>IF(OR($E$3="",$P$3=""),"",IF('Statement of Marks'!I163="","",'Statement of Marks'!I163))</f>
        <v/>
      </c>
      <c r="K164" s="805" t="str">
        <f>IFERROR(IF(B164="","",IF($P$3=$AT$10,IF(AND(BM164="A"),'Marks Entry'!$U$2,IF(AND(BM164="B"),'Marks Entry'!$Y$2,IF(AND(BM164="C"),'Marks Entry'!$AA$2,""))),IF($P$3=$AT$11,IF(AND(BN164="A"),'Marks Entry'!$AC$2,IF(AND(BN164="B"),'Marks Entry'!$AG$2,IF(AND(BN164="C"),'Marks Entry'!$AI$2,""))),IF($P$3=$AT$12,IF(AND(BO164="A"),'Marks Entry'!$AK$2,IF(AND(BO164="B"),'Marks Entry'!$AO$2,IF(AND(BO164="C"),'Marks Entry'!$AQ$2,""))),IF($P$3=$AT$13,IF(AND(BP164="A"),'Marks Entry'!$AS$2,IF(AND(BP164="B"),'Marks Entry'!$AW$2,IF(AND(BP164="C"),'Marks Entry'!$AY$2,""))),"-"))))),"")</f>
        <v/>
      </c>
      <c r="L164" s="806" t="str">
        <f>IFERROR(IF(B164="","",IF($P$3=$AT$8,'Statement of Marks'!J163,IF($P$3=$AT$9,'Statement of Marks'!X163,IF($P$3=$AT$10,'Statement of Marks'!AM163,IF($P$3=$AT$11,'Statement of Marks'!BJ163,IF($P$3=$AT$12,'Statement of Marks'!CG163,IF($P$3=$AT$13,'Statement of Marks'!DE163,IF($P$3=$AT$14,"",IF($P$3=$AT$15,'Statement of Marks'!EY163,""))))))))),"")</f>
        <v/>
      </c>
      <c r="M164" s="806" t="str">
        <f>IFERROR(IF(B164="","",IF($P$3=$AT$8,'Statement of Marks'!K163,IF($P$3=$AT$9,'Statement of Marks'!Y163,IF($P$3=$AT$10,'Statement of Marks'!AN163,IF($P$3=$AT$11,'Statement of Marks'!BK163,IF($P$3=$AT$12,'Statement of Marks'!CH163,IF($P$3=$AT$13,'Statement of Marks'!DF163,IF($P$3=$AT$14,"",IF($P$3=$AT$15,'Statement of Marks'!EZ163,""))))))))),"")</f>
        <v/>
      </c>
      <c r="N164" s="806" t="str">
        <f>IFERROR(IF(B164="","",IF($P$3=$AT$8,'Statement of Marks'!L163,IF($P$3=$AT$9,'Statement of Marks'!Z163,IF($P$3=$AT$10,'Statement of Marks'!AO163,IF($P$3=$AT$11,'Statement of Marks'!BL163,IF($P$3=$AT$12,'Statement of Marks'!CI163,IF($P$3=$AT$13,'Statement of Marks'!DG163,IF($P$3=$AT$14,"",IF($P$3=$AT$15,'Statement of Marks'!FA163,""))))))))),"")</f>
        <v/>
      </c>
      <c r="O164" s="807" t="str">
        <f t="shared" si="32"/>
        <v/>
      </c>
      <c r="P164" s="806" t="str">
        <f>IFERROR(IF(B164="","",IF($P$3=$AT$8,'Statement of Marks'!N163,IF($P$3=$AT$9,'Statement of Marks'!AB163,IF($P$3=$AT$10,'Statement of Marks'!AQ163,IF($P$3=$AT$11,'Statement of Marks'!BN163,IF($P$3=$AT$12,'Statement of Marks'!CK163,IF($P$3=$AT$13,'Statement of Marks'!DI163,IF($P$3=$AT$14,"",IF($P$3=$AT$15,'Statement of Marks'!FC163,""))))))))),"")</f>
        <v/>
      </c>
      <c r="Q164" s="806" t="str">
        <f>IFERROR(IF(B164="","",IF($P$3=$AT$8,"",IF($P$3=$AT$9,"",IF($P$3=$AT$10,'Statement of Marks'!AR163,IF($P$3=$AT$11,'Statement of Marks'!BO163,IF($P$3=$AT$12,'Statement of Marks'!CL163,IF($P$3=$AT$13,'Statement of Marks'!DJ163,IF($P$3=$AT$14,"",IF($P$3=$AT$15,"",""))))))))),"")</f>
        <v/>
      </c>
      <c r="R164" s="818" t="str">
        <f>IFERROR(IF(B164="","",IF(AND(P164="",Q164="",$P$3=""),"",IF($P$3=$AT$14,'Statement of Marks'!EC163,SUM(P164,Q164)))),"")</f>
        <v/>
      </c>
      <c r="S164" s="817" t="str">
        <f>IFERROR(IF(B164="","",IF($P$3=$AT$14,'Statement of Marks'!ED163,IF(AND(O164="NA",P164="NA",Q164="NA"),"NA",IF(AND(O164="",P164="",Q164=""),"",SUM(O164,P164,Q164))))),"")</f>
        <v/>
      </c>
      <c r="T164" s="806" t="str">
        <f>IFERROR(IF(B164="","",IF($P$3=$AT$8,'Statement of Marks'!P163,IF($P$3=$AT$9,'Statement of Marks'!AD163,IF($P$3=$AT$10,'Statement of Marks'!AU163,IF($P$3=$AT$11,'Statement of Marks'!BR163,IF($P$3=$AT$12,'Statement of Marks'!CO163,IF($P$3=$AT$13,'Statement of Marks'!DM163,IF($P$3=$AT$14,"",IF($P$3=$AT$15,'Statement of Marks'!FD163,""))))))))),"")</f>
        <v/>
      </c>
      <c r="U164" s="806" t="str">
        <f>IFERROR(IF(B164="","",IF($P$3=$AT$8,"",IF($P$3=$AT$9,"",IF($P$3=$AT$10,'Statement of Marks'!AV163,IF($P$3=$AT$11,'Statement of Marks'!BS163,IF($P$3=$AT$12,'Statement of Marks'!CP163,IF($P$3=$AT$13,'Statement of Marks'!DN163,IF($P$3=$AT$14,"",IF($P$3=$AT$15,"",""))))))))),"")</f>
        <v/>
      </c>
      <c r="V164" s="818" t="str">
        <f>IFERROR(IF(B164="","",IF(AND(T164="",U164="",$P$3=""),"",IF($P$3=$AT$14,'Statement of Marks'!EE163,SUM(T164,U164)))),"")</f>
        <v/>
      </c>
      <c r="W164" s="808" t="str">
        <f t="shared" si="33"/>
        <v/>
      </c>
      <c r="X164" s="809">
        <f t="shared" si="34"/>
        <v>0</v>
      </c>
      <c r="Y164" s="809">
        <f t="shared" si="35"/>
        <v>0</v>
      </c>
      <c r="Z164" s="809">
        <f t="shared" si="36"/>
        <v>0</v>
      </c>
      <c r="AA164" s="809" t="str">
        <f t="shared" si="37"/>
        <v/>
      </c>
      <c r="AB164" s="809" t="str">
        <f t="shared" si="38"/>
        <v/>
      </c>
      <c r="AC164" s="809" t="str">
        <f t="shared" si="39"/>
        <v/>
      </c>
      <c r="AD164" s="809" t="str">
        <f t="shared" si="40"/>
        <v/>
      </c>
      <c r="AE164" s="810" t="str">
        <f t="shared" si="41"/>
        <v/>
      </c>
      <c r="AF164" s="811" t="str">
        <f t="shared" si="42"/>
        <v/>
      </c>
      <c r="AG164" s="812" t="str">
        <f t="shared" si="43"/>
        <v/>
      </c>
      <c r="AW164" s="17" t="str">
        <f t="shared" si="44"/>
        <v/>
      </c>
      <c r="AX164" s="17" t="str">
        <f t="shared" si="45"/>
        <v/>
      </c>
      <c r="BM164" s="17" t="str">
        <f>IFERROR(VLOOKUP(B164,'Statement of Marks'!$B$8:'Statement of Marks'!$HI$207,37,0),"")</f>
        <v>A</v>
      </c>
      <c r="BN164" s="17" t="str">
        <f>IFERROR(VLOOKUP(B164,'Statement of Marks'!$B$8:'Statement of Marks'!$HI$207,60,0),"")</f>
        <v>A</v>
      </c>
      <c r="BO164" s="17" t="str">
        <f>IFERROR(VLOOKUP(B164,'Statement of Marks'!$B$8:'Statement of Marks'!$HI$207,83,0),"")</f>
        <v>A</v>
      </c>
      <c r="BP164" s="17" t="str">
        <f>IFERROR(VLOOKUP(B164,'Statement of Marks'!$B$8:'Statement of Marks'!$HI$207,107,0),"")</f>
        <v/>
      </c>
    </row>
    <row r="165" spans="1:68">
      <c r="A165" s="800">
        <f>IF('Statement of Marks'!A164="","",'Statement of Marks'!A164)</f>
        <v>157</v>
      </c>
      <c r="B165" s="801" t="str">
        <f>IF(OR($E$3="",$P$3=""),"",IF('Statement of Marks'!B164="","",'Statement of Marks'!B164))</f>
        <v/>
      </c>
      <c r="C165" s="810" t="str">
        <f>IF(OR($E$3="",$P$3=""),"",IF('Marks Entry'!C164="","",'Marks Entry'!C164))</f>
        <v/>
      </c>
      <c r="D165" s="802" t="str">
        <f>IF(OR($E$3="",$P$3=""),"",IF('Statement of Marks'!C164="","",'Statement of Marks'!C164))</f>
        <v/>
      </c>
      <c r="E165" s="803" t="str">
        <f>IF(OR($E$3="",$P$3=""),"",IF('Statement of Marks'!D164="","",'Statement of Marks'!D164))</f>
        <v/>
      </c>
      <c r="F165" s="804" t="str">
        <f>IF(OR($E$3="",$P$3=""),"",IF('Statement of Marks'!E164="","",'Statement of Marks'!E164))</f>
        <v/>
      </c>
      <c r="G165" s="804" t="str">
        <f>IF(OR($E$3="",$P$3=""),"",IF('Statement of Marks'!F164="","",'Statement of Marks'!F164))</f>
        <v/>
      </c>
      <c r="H165" s="804" t="str">
        <f>IF(OR($E$3="",$P$3=""),"",IF('Statement of Marks'!G164="","",'Statement of Marks'!G164))</f>
        <v/>
      </c>
      <c r="I165" s="805" t="str">
        <f>IF(OR($E$3="",$P$3=""),"",IF('Statement of Marks'!H164="","",'Statement of Marks'!H164))</f>
        <v/>
      </c>
      <c r="J165" s="805" t="str">
        <f>IF(OR($E$3="",$P$3=""),"",IF('Statement of Marks'!I164="","",'Statement of Marks'!I164))</f>
        <v/>
      </c>
      <c r="K165" s="805" t="str">
        <f>IFERROR(IF(B165="","",IF($P$3=$AT$10,IF(AND(BM165="A"),'Marks Entry'!$U$2,IF(AND(BM165="B"),'Marks Entry'!$Y$2,IF(AND(BM165="C"),'Marks Entry'!$AA$2,""))),IF($P$3=$AT$11,IF(AND(BN165="A"),'Marks Entry'!$AC$2,IF(AND(BN165="B"),'Marks Entry'!$AG$2,IF(AND(BN165="C"),'Marks Entry'!$AI$2,""))),IF($P$3=$AT$12,IF(AND(BO165="A"),'Marks Entry'!$AK$2,IF(AND(BO165="B"),'Marks Entry'!$AO$2,IF(AND(BO165="C"),'Marks Entry'!$AQ$2,""))),IF($P$3=$AT$13,IF(AND(BP165="A"),'Marks Entry'!$AS$2,IF(AND(BP165="B"),'Marks Entry'!$AW$2,IF(AND(BP165="C"),'Marks Entry'!$AY$2,""))),"-"))))),"")</f>
        <v/>
      </c>
      <c r="L165" s="806" t="str">
        <f>IFERROR(IF(B165="","",IF($P$3=$AT$8,'Statement of Marks'!J164,IF($P$3=$AT$9,'Statement of Marks'!X164,IF($P$3=$AT$10,'Statement of Marks'!AM164,IF($P$3=$AT$11,'Statement of Marks'!BJ164,IF($P$3=$AT$12,'Statement of Marks'!CG164,IF($P$3=$AT$13,'Statement of Marks'!DE164,IF($P$3=$AT$14,"",IF($P$3=$AT$15,'Statement of Marks'!EY164,""))))))))),"")</f>
        <v/>
      </c>
      <c r="M165" s="806" t="str">
        <f>IFERROR(IF(B165="","",IF($P$3=$AT$8,'Statement of Marks'!K164,IF($P$3=$AT$9,'Statement of Marks'!Y164,IF($P$3=$AT$10,'Statement of Marks'!AN164,IF($P$3=$AT$11,'Statement of Marks'!BK164,IF($P$3=$AT$12,'Statement of Marks'!CH164,IF($P$3=$AT$13,'Statement of Marks'!DF164,IF($P$3=$AT$14,"",IF($P$3=$AT$15,'Statement of Marks'!EZ164,""))))))))),"")</f>
        <v/>
      </c>
      <c r="N165" s="806" t="str">
        <f>IFERROR(IF(B165="","",IF($P$3=$AT$8,'Statement of Marks'!L164,IF($P$3=$AT$9,'Statement of Marks'!Z164,IF($P$3=$AT$10,'Statement of Marks'!AO164,IF($P$3=$AT$11,'Statement of Marks'!BL164,IF($P$3=$AT$12,'Statement of Marks'!CI164,IF($P$3=$AT$13,'Statement of Marks'!DG164,IF($P$3=$AT$14,"",IF($P$3=$AT$15,'Statement of Marks'!FA164,""))))))))),"")</f>
        <v/>
      </c>
      <c r="O165" s="807" t="str">
        <f t="shared" si="32"/>
        <v/>
      </c>
      <c r="P165" s="806" t="str">
        <f>IFERROR(IF(B165="","",IF($P$3=$AT$8,'Statement of Marks'!N164,IF($P$3=$AT$9,'Statement of Marks'!AB164,IF($P$3=$AT$10,'Statement of Marks'!AQ164,IF($P$3=$AT$11,'Statement of Marks'!BN164,IF($P$3=$AT$12,'Statement of Marks'!CK164,IF($P$3=$AT$13,'Statement of Marks'!DI164,IF($P$3=$AT$14,"",IF($P$3=$AT$15,'Statement of Marks'!FC164,""))))))))),"")</f>
        <v/>
      </c>
      <c r="Q165" s="806" t="str">
        <f>IFERROR(IF(B165="","",IF($P$3=$AT$8,"",IF($P$3=$AT$9,"",IF($P$3=$AT$10,'Statement of Marks'!AR164,IF($P$3=$AT$11,'Statement of Marks'!BO164,IF($P$3=$AT$12,'Statement of Marks'!CL164,IF($P$3=$AT$13,'Statement of Marks'!DJ164,IF($P$3=$AT$14,"",IF($P$3=$AT$15,"",""))))))))),"")</f>
        <v/>
      </c>
      <c r="R165" s="818" t="str">
        <f>IFERROR(IF(B165="","",IF(AND(P165="",Q165="",$P$3=""),"",IF($P$3=$AT$14,'Statement of Marks'!EC164,SUM(P165,Q165)))),"")</f>
        <v/>
      </c>
      <c r="S165" s="817" t="str">
        <f>IFERROR(IF(B165="","",IF($P$3=$AT$14,'Statement of Marks'!ED164,IF(AND(O165="NA",P165="NA",Q165="NA"),"NA",IF(AND(O165="",P165="",Q165=""),"",SUM(O165,P165,Q165))))),"")</f>
        <v/>
      </c>
      <c r="T165" s="806" t="str">
        <f>IFERROR(IF(B165="","",IF($P$3=$AT$8,'Statement of Marks'!P164,IF($P$3=$AT$9,'Statement of Marks'!AD164,IF($P$3=$AT$10,'Statement of Marks'!AU164,IF($P$3=$AT$11,'Statement of Marks'!BR164,IF($P$3=$AT$12,'Statement of Marks'!CO164,IF($P$3=$AT$13,'Statement of Marks'!DM164,IF($P$3=$AT$14,"",IF($P$3=$AT$15,'Statement of Marks'!FD164,""))))))))),"")</f>
        <v/>
      </c>
      <c r="U165" s="806" t="str">
        <f>IFERROR(IF(B165="","",IF($P$3=$AT$8,"",IF($P$3=$AT$9,"",IF($P$3=$AT$10,'Statement of Marks'!AV164,IF($P$3=$AT$11,'Statement of Marks'!BS164,IF($P$3=$AT$12,'Statement of Marks'!CP164,IF($P$3=$AT$13,'Statement of Marks'!DN164,IF($P$3=$AT$14,"",IF($P$3=$AT$15,"",""))))))))),"")</f>
        <v/>
      </c>
      <c r="V165" s="818" t="str">
        <f>IFERROR(IF(B165="","",IF(AND(T165="",U165="",$P$3=""),"",IF($P$3=$AT$14,'Statement of Marks'!EE164,SUM(T165,U165)))),"")</f>
        <v/>
      </c>
      <c r="W165" s="808" t="str">
        <f t="shared" si="33"/>
        <v/>
      </c>
      <c r="X165" s="809">
        <f t="shared" si="34"/>
        <v>0</v>
      </c>
      <c r="Y165" s="809">
        <f t="shared" si="35"/>
        <v>0</v>
      </c>
      <c r="Z165" s="809">
        <f t="shared" si="36"/>
        <v>0</v>
      </c>
      <c r="AA165" s="809" t="str">
        <f t="shared" si="37"/>
        <v/>
      </c>
      <c r="AB165" s="809" t="str">
        <f t="shared" si="38"/>
        <v/>
      </c>
      <c r="AC165" s="809" t="str">
        <f t="shared" si="39"/>
        <v/>
      </c>
      <c r="AD165" s="809" t="str">
        <f t="shared" si="40"/>
        <v/>
      </c>
      <c r="AE165" s="810" t="str">
        <f t="shared" si="41"/>
        <v/>
      </c>
      <c r="AF165" s="811" t="str">
        <f t="shared" si="42"/>
        <v/>
      </c>
      <c r="AG165" s="812" t="str">
        <f t="shared" si="43"/>
        <v/>
      </c>
      <c r="AW165" s="17" t="str">
        <f t="shared" si="44"/>
        <v/>
      </c>
      <c r="AX165" s="17" t="str">
        <f t="shared" si="45"/>
        <v/>
      </c>
      <c r="BM165" s="17" t="str">
        <f>IFERROR(VLOOKUP(B165,'Statement of Marks'!$B$8:'Statement of Marks'!$HI$207,37,0),"")</f>
        <v>A</v>
      </c>
      <c r="BN165" s="17" t="str">
        <f>IFERROR(VLOOKUP(B165,'Statement of Marks'!$B$8:'Statement of Marks'!$HI$207,60,0),"")</f>
        <v>A</v>
      </c>
      <c r="BO165" s="17" t="str">
        <f>IFERROR(VLOOKUP(B165,'Statement of Marks'!$B$8:'Statement of Marks'!$HI$207,83,0),"")</f>
        <v>A</v>
      </c>
      <c r="BP165" s="17" t="str">
        <f>IFERROR(VLOOKUP(B165,'Statement of Marks'!$B$8:'Statement of Marks'!$HI$207,107,0),"")</f>
        <v/>
      </c>
    </row>
    <row r="166" spans="1:68">
      <c r="A166" s="800">
        <f>IF('Statement of Marks'!A165="","",'Statement of Marks'!A165)</f>
        <v>158</v>
      </c>
      <c r="B166" s="801" t="str">
        <f>IF(OR($E$3="",$P$3=""),"",IF('Statement of Marks'!B165="","",'Statement of Marks'!B165))</f>
        <v/>
      </c>
      <c r="C166" s="810" t="str">
        <f>IF(OR($E$3="",$P$3=""),"",IF('Marks Entry'!C165="","",'Marks Entry'!C165))</f>
        <v/>
      </c>
      <c r="D166" s="802" t="str">
        <f>IF(OR($E$3="",$P$3=""),"",IF('Statement of Marks'!C165="","",'Statement of Marks'!C165))</f>
        <v/>
      </c>
      <c r="E166" s="803" t="str">
        <f>IF(OR($E$3="",$P$3=""),"",IF('Statement of Marks'!D165="","",'Statement of Marks'!D165))</f>
        <v/>
      </c>
      <c r="F166" s="804" t="str">
        <f>IF(OR($E$3="",$P$3=""),"",IF('Statement of Marks'!E165="","",'Statement of Marks'!E165))</f>
        <v/>
      </c>
      <c r="G166" s="804" t="str">
        <f>IF(OR($E$3="",$P$3=""),"",IF('Statement of Marks'!F165="","",'Statement of Marks'!F165))</f>
        <v/>
      </c>
      <c r="H166" s="804" t="str">
        <f>IF(OR($E$3="",$P$3=""),"",IF('Statement of Marks'!G165="","",'Statement of Marks'!G165))</f>
        <v/>
      </c>
      <c r="I166" s="805" t="str">
        <f>IF(OR($E$3="",$P$3=""),"",IF('Statement of Marks'!H165="","",'Statement of Marks'!H165))</f>
        <v/>
      </c>
      <c r="J166" s="805" t="str">
        <f>IF(OR($E$3="",$P$3=""),"",IF('Statement of Marks'!I165="","",'Statement of Marks'!I165))</f>
        <v/>
      </c>
      <c r="K166" s="805" t="str">
        <f>IFERROR(IF(B166="","",IF($P$3=$AT$10,IF(AND(BM166="A"),'Marks Entry'!$U$2,IF(AND(BM166="B"),'Marks Entry'!$Y$2,IF(AND(BM166="C"),'Marks Entry'!$AA$2,""))),IF($P$3=$AT$11,IF(AND(BN166="A"),'Marks Entry'!$AC$2,IF(AND(BN166="B"),'Marks Entry'!$AG$2,IF(AND(BN166="C"),'Marks Entry'!$AI$2,""))),IF($P$3=$AT$12,IF(AND(BO166="A"),'Marks Entry'!$AK$2,IF(AND(BO166="B"),'Marks Entry'!$AO$2,IF(AND(BO166="C"),'Marks Entry'!$AQ$2,""))),IF($P$3=$AT$13,IF(AND(BP166="A"),'Marks Entry'!$AS$2,IF(AND(BP166="B"),'Marks Entry'!$AW$2,IF(AND(BP166="C"),'Marks Entry'!$AY$2,""))),"-"))))),"")</f>
        <v/>
      </c>
      <c r="L166" s="806" t="str">
        <f>IFERROR(IF(B166="","",IF($P$3=$AT$8,'Statement of Marks'!J165,IF($P$3=$AT$9,'Statement of Marks'!X165,IF($P$3=$AT$10,'Statement of Marks'!AM165,IF($P$3=$AT$11,'Statement of Marks'!BJ165,IF($P$3=$AT$12,'Statement of Marks'!CG165,IF($P$3=$AT$13,'Statement of Marks'!DE165,IF($P$3=$AT$14,"",IF($P$3=$AT$15,'Statement of Marks'!EY165,""))))))))),"")</f>
        <v/>
      </c>
      <c r="M166" s="806" t="str">
        <f>IFERROR(IF(B166="","",IF($P$3=$AT$8,'Statement of Marks'!K165,IF($P$3=$AT$9,'Statement of Marks'!Y165,IF($P$3=$AT$10,'Statement of Marks'!AN165,IF($P$3=$AT$11,'Statement of Marks'!BK165,IF($P$3=$AT$12,'Statement of Marks'!CH165,IF($P$3=$AT$13,'Statement of Marks'!DF165,IF($P$3=$AT$14,"",IF($P$3=$AT$15,'Statement of Marks'!EZ165,""))))))))),"")</f>
        <v/>
      </c>
      <c r="N166" s="806" t="str">
        <f>IFERROR(IF(B166="","",IF($P$3=$AT$8,'Statement of Marks'!L165,IF($P$3=$AT$9,'Statement of Marks'!Z165,IF($P$3=$AT$10,'Statement of Marks'!AO165,IF($P$3=$AT$11,'Statement of Marks'!BL165,IF($P$3=$AT$12,'Statement of Marks'!CI165,IF($P$3=$AT$13,'Statement of Marks'!DG165,IF($P$3=$AT$14,"",IF($P$3=$AT$15,'Statement of Marks'!FA165,""))))))))),"")</f>
        <v/>
      </c>
      <c r="O166" s="807" t="str">
        <f t="shared" si="32"/>
        <v/>
      </c>
      <c r="P166" s="806" t="str">
        <f>IFERROR(IF(B166="","",IF($P$3=$AT$8,'Statement of Marks'!N165,IF($P$3=$AT$9,'Statement of Marks'!AB165,IF($P$3=$AT$10,'Statement of Marks'!AQ165,IF($P$3=$AT$11,'Statement of Marks'!BN165,IF($P$3=$AT$12,'Statement of Marks'!CK165,IF($P$3=$AT$13,'Statement of Marks'!DI165,IF($P$3=$AT$14,"",IF($P$3=$AT$15,'Statement of Marks'!FC165,""))))))))),"")</f>
        <v/>
      </c>
      <c r="Q166" s="806" t="str">
        <f>IFERROR(IF(B166="","",IF($P$3=$AT$8,"",IF($P$3=$AT$9,"",IF($P$3=$AT$10,'Statement of Marks'!AR165,IF($P$3=$AT$11,'Statement of Marks'!BO165,IF($P$3=$AT$12,'Statement of Marks'!CL165,IF($P$3=$AT$13,'Statement of Marks'!DJ165,IF($P$3=$AT$14,"",IF($P$3=$AT$15,"",""))))))))),"")</f>
        <v/>
      </c>
      <c r="R166" s="818" t="str">
        <f>IFERROR(IF(B166="","",IF(AND(P166="",Q166="",$P$3=""),"",IF($P$3=$AT$14,'Statement of Marks'!EC165,SUM(P166,Q166)))),"")</f>
        <v/>
      </c>
      <c r="S166" s="817" t="str">
        <f>IFERROR(IF(B166="","",IF($P$3=$AT$14,'Statement of Marks'!ED165,IF(AND(O166="NA",P166="NA",Q166="NA"),"NA",IF(AND(O166="",P166="",Q166=""),"",SUM(O166,P166,Q166))))),"")</f>
        <v/>
      </c>
      <c r="T166" s="806" t="str">
        <f>IFERROR(IF(B166="","",IF($P$3=$AT$8,'Statement of Marks'!P165,IF($P$3=$AT$9,'Statement of Marks'!AD165,IF($P$3=$AT$10,'Statement of Marks'!AU165,IF($P$3=$AT$11,'Statement of Marks'!BR165,IF($P$3=$AT$12,'Statement of Marks'!CO165,IF($P$3=$AT$13,'Statement of Marks'!DM165,IF($P$3=$AT$14,"",IF($P$3=$AT$15,'Statement of Marks'!FD165,""))))))))),"")</f>
        <v/>
      </c>
      <c r="U166" s="806" t="str">
        <f>IFERROR(IF(B166="","",IF($P$3=$AT$8,"",IF($P$3=$AT$9,"",IF($P$3=$AT$10,'Statement of Marks'!AV165,IF($P$3=$AT$11,'Statement of Marks'!BS165,IF($P$3=$AT$12,'Statement of Marks'!CP165,IF($P$3=$AT$13,'Statement of Marks'!DN165,IF($P$3=$AT$14,"",IF($P$3=$AT$15,"",""))))))))),"")</f>
        <v/>
      </c>
      <c r="V166" s="818" t="str">
        <f>IFERROR(IF(B166="","",IF(AND(T166="",U166="",$P$3=""),"",IF($P$3=$AT$14,'Statement of Marks'!EE165,SUM(T166,U166)))),"")</f>
        <v/>
      </c>
      <c r="W166" s="808" t="str">
        <f t="shared" si="33"/>
        <v/>
      </c>
      <c r="X166" s="809">
        <f t="shared" si="34"/>
        <v>0</v>
      </c>
      <c r="Y166" s="809">
        <f t="shared" si="35"/>
        <v>0</v>
      </c>
      <c r="Z166" s="809">
        <f t="shared" si="36"/>
        <v>0</v>
      </c>
      <c r="AA166" s="809" t="str">
        <f t="shared" si="37"/>
        <v/>
      </c>
      <c r="AB166" s="809" t="str">
        <f t="shared" si="38"/>
        <v/>
      </c>
      <c r="AC166" s="809" t="str">
        <f t="shared" si="39"/>
        <v/>
      </c>
      <c r="AD166" s="809" t="str">
        <f t="shared" si="40"/>
        <v/>
      </c>
      <c r="AE166" s="810" t="str">
        <f t="shared" si="41"/>
        <v/>
      </c>
      <c r="AF166" s="811" t="str">
        <f t="shared" si="42"/>
        <v/>
      </c>
      <c r="AG166" s="812" t="str">
        <f t="shared" si="43"/>
        <v/>
      </c>
      <c r="AW166" s="17" t="str">
        <f t="shared" si="44"/>
        <v/>
      </c>
      <c r="AX166" s="17" t="str">
        <f t="shared" si="45"/>
        <v/>
      </c>
      <c r="BM166" s="17" t="str">
        <f>IFERROR(VLOOKUP(B166,'Statement of Marks'!$B$8:'Statement of Marks'!$HI$207,37,0),"")</f>
        <v>A</v>
      </c>
      <c r="BN166" s="17" t="str">
        <f>IFERROR(VLOOKUP(B166,'Statement of Marks'!$B$8:'Statement of Marks'!$HI$207,60,0),"")</f>
        <v>A</v>
      </c>
      <c r="BO166" s="17" t="str">
        <f>IFERROR(VLOOKUP(B166,'Statement of Marks'!$B$8:'Statement of Marks'!$HI$207,83,0),"")</f>
        <v>A</v>
      </c>
      <c r="BP166" s="17" t="str">
        <f>IFERROR(VLOOKUP(B166,'Statement of Marks'!$B$8:'Statement of Marks'!$HI$207,107,0),"")</f>
        <v/>
      </c>
    </row>
    <row r="167" spans="1:68">
      <c r="A167" s="800">
        <f>IF('Statement of Marks'!A166="","",'Statement of Marks'!A166)</f>
        <v>159</v>
      </c>
      <c r="B167" s="801" t="str">
        <f>IF(OR($E$3="",$P$3=""),"",IF('Statement of Marks'!B166="","",'Statement of Marks'!B166))</f>
        <v/>
      </c>
      <c r="C167" s="810" t="str">
        <f>IF(OR($E$3="",$P$3=""),"",IF('Marks Entry'!C166="","",'Marks Entry'!C166))</f>
        <v/>
      </c>
      <c r="D167" s="802" t="str">
        <f>IF(OR($E$3="",$P$3=""),"",IF('Statement of Marks'!C166="","",'Statement of Marks'!C166))</f>
        <v/>
      </c>
      <c r="E167" s="803" t="str">
        <f>IF(OR($E$3="",$P$3=""),"",IF('Statement of Marks'!D166="","",'Statement of Marks'!D166))</f>
        <v/>
      </c>
      <c r="F167" s="804" t="str">
        <f>IF(OR($E$3="",$P$3=""),"",IF('Statement of Marks'!E166="","",'Statement of Marks'!E166))</f>
        <v/>
      </c>
      <c r="G167" s="804" t="str">
        <f>IF(OR($E$3="",$P$3=""),"",IF('Statement of Marks'!F166="","",'Statement of Marks'!F166))</f>
        <v/>
      </c>
      <c r="H167" s="804" t="str">
        <f>IF(OR($E$3="",$P$3=""),"",IF('Statement of Marks'!G166="","",'Statement of Marks'!G166))</f>
        <v/>
      </c>
      <c r="I167" s="805" t="str">
        <f>IF(OR($E$3="",$P$3=""),"",IF('Statement of Marks'!H166="","",'Statement of Marks'!H166))</f>
        <v/>
      </c>
      <c r="J167" s="805" t="str">
        <f>IF(OR($E$3="",$P$3=""),"",IF('Statement of Marks'!I166="","",'Statement of Marks'!I166))</f>
        <v/>
      </c>
      <c r="K167" s="805" t="str">
        <f>IFERROR(IF(B167="","",IF($P$3=$AT$10,IF(AND(BM167="A"),'Marks Entry'!$U$2,IF(AND(BM167="B"),'Marks Entry'!$Y$2,IF(AND(BM167="C"),'Marks Entry'!$AA$2,""))),IF($P$3=$AT$11,IF(AND(BN167="A"),'Marks Entry'!$AC$2,IF(AND(BN167="B"),'Marks Entry'!$AG$2,IF(AND(BN167="C"),'Marks Entry'!$AI$2,""))),IF($P$3=$AT$12,IF(AND(BO167="A"),'Marks Entry'!$AK$2,IF(AND(BO167="B"),'Marks Entry'!$AO$2,IF(AND(BO167="C"),'Marks Entry'!$AQ$2,""))),IF($P$3=$AT$13,IF(AND(BP167="A"),'Marks Entry'!$AS$2,IF(AND(BP167="B"),'Marks Entry'!$AW$2,IF(AND(BP167="C"),'Marks Entry'!$AY$2,""))),"-"))))),"")</f>
        <v/>
      </c>
      <c r="L167" s="806" t="str">
        <f>IFERROR(IF(B167="","",IF($P$3=$AT$8,'Statement of Marks'!J166,IF($P$3=$AT$9,'Statement of Marks'!X166,IF($P$3=$AT$10,'Statement of Marks'!AM166,IF($P$3=$AT$11,'Statement of Marks'!BJ166,IF($P$3=$AT$12,'Statement of Marks'!CG166,IF($P$3=$AT$13,'Statement of Marks'!DE166,IF($P$3=$AT$14,"",IF($P$3=$AT$15,'Statement of Marks'!EY166,""))))))))),"")</f>
        <v/>
      </c>
      <c r="M167" s="806" t="str">
        <f>IFERROR(IF(B167="","",IF($P$3=$AT$8,'Statement of Marks'!K166,IF($P$3=$AT$9,'Statement of Marks'!Y166,IF($P$3=$AT$10,'Statement of Marks'!AN166,IF($P$3=$AT$11,'Statement of Marks'!BK166,IF($P$3=$AT$12,'Statement of Marks'!CH166,IF($P$3=$AT$13,'Statement of Marks'!DF166,IF($P$3=$AT$14,"",IF($P$3=$AT$15,'Statement of Marks'!EZ166,""))))))))),"")</f>
        <v/>
      </c>
      <c r="N167" s="806" t="str">
        <f>IFERROR(IF(B167="","",IF($P$3=$AT$8,'Statement of Marks'!L166,IF($P$3=$AT$9,'Statement of Marks'!Z166,IF($P$3=$AT$10,'Statement of Marks'!AO166,IF($P$3=$AT$11,'Statement of Marks'!BL166,IF($P$3=$AT$12,'Statement of Marks'!CI166,IF($P$3=$AT$13,'Statement of Marks'!DG166,IF($P$3=$AT$14,"",IF($P$3=$AT$15,'Statement of Marks'!FA166,""))))))))),"")</f>
        <v/>
      </c>
      <c r="O167" s="807" t="str">
        <f t="shared" si="32"/>
        <v/>
      </c>
      <c r="P167" s="806" t="str">
        <f>IFERROR(IF(B167="","",IF($P$3=$AT$8,'Statement of Marks'!N166,IF($P$3=$AT$9,'Statement of Marks'!AB166,IF($P$3=$AT$10,'Statement of Marks'!AQ166,IF($P$3=$AT$11,'Statement of Marks'!BN166,IF($P$3=$AT$12,'Statement of Marks'!CK166,IF($P$3=$AT$13,'Statement of Marks'!DI166,IF($P$3=$AT$14,"",IF($P$3=$AT$15,'Statement of Marks'!FC166,""))))))))),"")</f>
        <v/>
      </c>
      <c r="Q167" s="806" t="str">
        <f>IFERROR(IF(B167="","",IF($P$3=$AT$8,"",IF($P$3=$AT$9,"",IF($P$3=$AT$10,'Statement of Marks'!AR166,IF($P$3=$AT$11,'Statement of Marks'!BO166,IF($P$3=$AT$12,'Statement of Marks'!CL166,IF($P$3=$AT$13,'Statement of Marks'!DJ166,IF($P$3=$AT$14,"",IF($P$3=$AT$15,"",""))))))))),"")</f>
        <v/>
      </c>
      <c r="R167" s="818" t="str">
        <f>IFERROR(IF(B167="","",IF(AND(P167="",Q167="",$P$3=""),"",IF($P$3=$AT$14,'Statement of Marks'!EC166,SUM(P167,Q167)))),"")</f>
        <v/>
      </c>
      <c r="S167" s="817" t="str">
        <f>IFERROR(IF(B167="","",IF($P$3=$AT$14,'Statement of Marks'!ED166,IF(AND(O167="NA",P167="NA",Q167="NA"),"NA",IF(AND(O167="",P167="",Q167=""),"",SUM(O167,P167,Q167))))),"")</f>
        <v/>
      </c>
      <c r="T167" s="806" t="str">
        <f>IFERROR(IF(B167="","",IF($P$3=$AT$8,'Statement of Marks'!P166,IF($P$3=$AT$9,'Statement of Marks'!AD166,IF($P$3=$AT$10,'Statement of Marks'!AU166,IF($P$3=$AT$11,'Statement of Marks'!BR166,IF($P$3=$AT$12,'Statement of Marks'!CO166,IF($P$3=$AT$13,'Statement of Marks'!DM166,IF($P$3=$AT$14,"",IF($P$3=$AT$15,'Statement of Marks'!FD166,""))))))))),"")</f>
        <v/>
      </c>
      <c r="U167" s="806" t="str">
        <f>IFERROR(IF(B167="","",IF($P$3=$AT$8,"",IF($P$3=$AT$9,"",IF($P$3=$AT$10,'Statement of Marks'!AV166,IF($P$3=$AT$11,'Statement of Marks'!BS166,IF($P$3=$AT$12,'Statement of Marks'!CP166,IF($P$3=$AT$13,'Statement of Marks'!DN166,IF($P$3=$AT$14,"",IF($P$3=$AT$15,"",""))))))))),"")</f>
        <v/>
      </c>
      <c r="V167" s="818" t="str">
        <f>IFERROR(IF(B167="","",IF(AND(T167="",U167="",$P$3=""),"",IF($P$3=$AT$14,'Statement of Marks'!EE166,SUM(T167,U167)))),"")</f>
        <v/>
      </c>
      <c r="W167" s="808" t="str">
        <f t="shared" si="33"/>
        <v/>
      </c>
      <c r="X167" s="809">
        <f t="shared" si="34"/>
        <v>0</v>
      </c>
      <c r="Y167" s="809">
        <f t="shared" si="35"/>
        <v>0</v>
      </c>
      <c r="Z167" s="809">
        <f t="shared" si="36"/>
        <v>0</v>
      </c>
      <c r="AA167" s="809" t="str">
        <f t="shared" si="37"/>
        <v/>
      </c>
      <c r="AB167" s="809" t="str">
        <f t="shared" si="38"/>
        <v/>
      </c>
      <c r="AC167" s="809" t="str">
        <f t="shared" si="39"/>
        <v/>
      </c>
      <c r="AD167" s="809" t="str">
        <f t="shared" si="40"/>
        <v/>
      </c>
      <c r="AE167" s="810" t="str">
        <f t="shared" si="41"/>
        <v/>
      </c>
      <c r="AF167" s="811" t="str">
        <f t="shared" si="42"/>
        <v/>
      </c>
      <c r="AG167" s="812" t="str">
        <f t="shared" si="43"/>
        <v/>
      </c>
      <c r="AW167" s="17" t="str">
        <f t="shared" si="44"/>
        <v/>
      </c>
      <c r="AX167" s="17" t="str">
        <f t="shared" si="45"/>
        <v/>
      </c>
      <c r="BM167" s="17" t="str">
        <f>IFERROR(VLOOKUP(B167,'Statement of Marks'!$B$8:'Statement of Marks'!$HI$207,37,0),"")</f>
        <v>A</v>
      </c>
      <c r="BN167" s="17" t="str">
        <f>IFERROR(VLOOKUP(B167,'Statement of Marks'!$B$8:'Statement of Marks'!$HI$207,60,0),"")</f>
        <v>A</v>
      </c>
      <c r="BO167" s="17" t="str">
        <f>IFERROR(VLOOKUP(B167,'Statement of Marks'!$B$8:'Statement of Marks'!$HI$207,83,0),"")</f>
        <v>A</v>
      </c>
      <c r="BP167" s="17" t="str">
        <f>IFERROR(VLOOKUP(B167,'Statement of Marks'!$B$8:'Statement of Marks'!$HI$207,107,0),"")</f>
        <v/>
      </c>
    </row>
    <row r="168" spans="1:68">
      <c r="A168" s="800">
        <f>IF('Statement of Marks'!A167="","",'Statement of Marks'!A167)</f>
        <v>160</v>
      </c>
      <c r="B168" s="801" t="str">
        <f>IF(OR($E$3="",$P$3=""),"",IF('Statement of Marks'!B167="","",'Statement of Marks'!B167))</f>
        <v/>
      </c>
      <c r="C168" s="810" t="str">
        <f>IF(OR($E$3="",$P$3=""),"",IF('Marks Entry'!C167="","",'Marks Entry'!C167))</f>
        <v/>
      </c>
      <c r="D168" s="802" t="str">
        <f>IF(OR($E$3="",$P$3=""),"",IF('Statement of Marks'!C167="","",'Statement of Marks'!C167))</f>
        <v/>
      </c>
      <c r="E168" s="803" t="str">
        <f>IF(OR($E$3="",$P$3=""),"",IF('Statement of Marks'!D167="","",'Statement of Marks'!D167))</f>
        <v/>
      </c>
      <c r="F168" s="804" t="str">
        <f>IF(OR($E$3="",$P$3=""),"",IF('Statement of Marks'!E167="","",'Statement of Marks'!E167))</f>
        <v/>
      </c>
      <c r="G168" s="804" t="str">
        <f>IF(OR($E$3="",$P$3=""),"",IF('Statement of Marks'!F167="","",'Statement of Marks'!F167))</f>
        <v/>
      </c>
      <c r="H168" s="804" t="str">
        <f>IF(OR($E$3="",$P$3=""),"",IF('Statement of Marks'!G167="","",'Statement of Marks'!G167))</f>
        <v/>
      </c>
      <c r="I168" s="805" t="str">
        <f>IF(OR($E$3="",$P$3=""),"",IF('Statement of Marks'!H167="","",'Statement of Marks'!H167))</f>
        <v/>
      </c>
      <c r="J168" s="805" t="str">
        <f>IF(OR($E$3="",$P$3=""),"",IF('Statement of Marks'!I167="","",'Statement of Marks'!I167))</f>
        <v/>
      </c>
      <c r="K168" s="805" t="str">
        <f>IFERROR(IF(B168="","",IF($P$3=$AT$10,IF(AND(BM168="A"),'Marks Entry'!$U$2,IF(AND(BM168="B"),'Marks Entry'!$Y$2,IF(AND(BM168="C"),'Marks Entry'!$AA$2,""))),IF($P$3=$AT$11,IF(AND(BN168="A"),'Marks Entry'!$AC$2,IF(AND(BN168="B"),'Marks Entry'!$AG$2,IF(AND(BN168="C"),'Marks Entry'!$AI$2,""))),IF($P$3=$AT$12,IF(AND(BO168="A"),'Marks Entry'!$AK$2,IF(AND(BO168="B"),'Marks Entry'!$AO$2,IF(AND(BO168="C"),'Marks Entry'!$AQ$2,""))),IF($P$3=$AT$13,IF(AND(BP168="A"),'Marks Entry'!$AS$2,IF(AND(BP168="B"),'Marks Entry'!$AW$2,IF(AND(BP168="C"),'Marks Entry'!$AY$2,""))),"-"))))),"")</f>
        <v/>
      </c>
      <c r="L168" s="806" t="str">
        <f>IFERROR(IF(B168="","",IF($P$3=$AT$8,'Statement of Marks'!J167,IF($P$3=$AT$9,'Statement of Marks'!X167,IF($P$3=$AT$10,'Statement of Marks'!AM167,IF($P$3=$AT$11,'Statement of Marks'!BJ167,IF($P$3=$AT$12,'Statement of Marks'!CG167,IF($P$3=$AT$13,'Statement of Marks'!DE167,IF($P$3=$AT$14,"",IF($P$3=$AT$15,'Statement of Marks'!EY167,""))))))))),"")</f>
        <v/>
      </c>
      <c r="M168" s="806" t="str">
        <f>IFERROR(IF(B168="","",IF($P$3=$AT$8,'Statement of Marks'!K167,IF($P$3=$AT$9,'Statement of Marks'!Y167,IF($P$3=$AT$10,'Statement of Marks'!AN167,IF($P$3=$AT$11,'Statement of Marks'!BK167,IF($P$3=$AT$12,'Statement of Marks'!CH167,IF($P$3=$AT$13,'Statement of Marks'!DF167,IF($P$3=$AT$14,"",IF($P$3=$AT$15,'Statement of Marks'!EZ167,""))))))))),"")</f>
        <v/>
      </c>
      <c r="N168" s="806" t="str">
        <f>IFERROR(IF(B168="","",IF($P$3=$AT$8,'Statement of Marks'!L167,IF($P$3=$AT$9,'Statement of Marks'!Z167,IF($P$3=$AT$10,'Statement of Marks'!AO167,IF($P$3=$AT$11,'Statement of Marks'!BL167,IF($P$3=$AT$12,'Statement of Marks'!CI167,IF($P$3=$AT$13,'Statement of Marks'!DG167,IF($P$3=$AT$14,"",IF($P$3=$AT$15,'Statement of Marks'!FA167,""))))))))),"")</f>
        <v/>
      </c>
      <c r="O168" s="807" t="str">
        <f t="shared" si="32"/>
        <v/>
      </c>
      <c r="P168" s="806" t="str">
        <f>IFERROR(IF(B168="","",IF($P$3=$AT$8,'Statement of Marks'!N167,IF($P$3=$AT$9,'Statement of Marks'!AB167,IF($P$3=$AT$10,'Statement of Marks'!AQ167,IF($P$3=$AT$11,'Statement of Marks'!BN167,IF($P$3=$AT$12,'Statement of Marks'!CK167,IF($P$3=$AT$13,'Statement of Marks'!DI167,IF($P$3=$AT$14,"",IF($P$3=$AT$15,'Statement of Marks'!FC167,""))))))))),"")</f>
        <v/>
      </c>
      <c r="Q168" s="806" t="str">
        <f>IFERROR(IF(B168="","",IF($P$3=$AT$8,"",IF($P$3=$AT$9,"",IF($P$3=$AT$10,'Statement of Marks'!AR167,IF($P$3=$AT$11,'Statement of Marks'!BO167,IF($P$3=$AT$12,'Statement of Marks'!CL167,IF($P$3=$AT$13,'Statement of Marks'!DJ167,IF($P$3=$AT$14,"",IF($P$3=$AT$15,"",""))))))))),"")</f>
        <v/>
      </c>
      <c r="R168" s="818" t="str">
        <f>IFERROR(IF(B168="","",IF(AND(P168="",Q168="",$P$3=""),"",IF($P$3=$AT$14,'Statement of Marks'!EC167,SUM(P168,Q168)))),"")</f>
        <v/>
      </c>
      <c r="S168" s="817" t="str">
        <f>IFERROR(IF(B168="","",IF($P$3=$AT$14,'Statement of Marks'!ED167,IF(AND(O168="NA",P168="NA",Q168="NA"),"NA",IF(AND(O168="",P168="",Q168=""),"",SUM(O168,P168,Q168))))),"")</f>
        <v/>
      </c>
      <c r="T168" s="806" t="str">
        <f>IFERROR(IF(B168="","",IF($P$3=$AT$8,'Statement of Marks'!P167,IF($P$3=$AT$9,'Statement of Marks'!AD167,IF($P$3=$AT$10,'Statement of Marks'!AU167,IF($P$3=$AT$11,'Statement of Marks'!BR167,IF($P$3=$AT$12,'Statement of Marks'!CO167,IF($P$3=$AT$13,'Statement of Marks'!DM167,IF($P$3=$AT$14,"",IF($P$3=$AT$15,'Statement of Marks'!FD167,""))))))))),"")</f>
        <v/>
      </c>
      <c r="U168" s="806" t="str">
        <f>IFERROR(IF(B168="","",IF($P$3=$AT$8,"",IF($P$3=$AT$9,"",IF($P$3=$AT$10,'Statement of Marks'!AV167,IF($P$3=$AT$11,'Statement of Marks'!BS167,IF($P$3=$AT$12,'Statement of Marks'!CP167,IF($P$3=$AT$13,'Statement of Marks'!DN167,IF($P$3=$AT$14,"",IF($P$3=$AT$15,"",""))))))))),"")</f>
        <v/>
      </c>
      <c r="V168" s="818" t="str">
        <f>IFERROR(IF(B168="","",IF(AND(T168="",U168="",$P$3=""),"",IF($P$3=$AT$14,'Statement of Marks'!EE167,SUM(T168,U168)))),"")</f>
        <v/>
      </c>
      <c r="W168" s="808" t="str">
        <f t="shared" si="33"/>
        <v/>
      </c>
      <c r="X168" s="809">
        <f t="shared" si="34"/>
        <v>0</v>
      </c>
      <c r="Y168" s="809">
        <f t="shared" si="35"/>
        <v>0</v>
      </c>
      <c r="Z168" s="809">
        <f t="shared" si="36"/>
        <v>0</v>
      </c>
      <c r="AA168" s="809" t="str">
        <f t="shared" si="37"/>
        <v/>
      </c>
      <c r="AB168" s="809" t="str">
        <f t="shared" si="38"/>
        <v/>
      </c>
      <c r="AC168" s="809" t="str">
        <f t="shared" si="39"/>
        <v/>
      </c>
      <c r="AD168" s="809" t="str">
        <f t="shared" si="40"/>
        <v/>
      </c>
      <c r="AE168" s="810" t="str">
        <f t="shared" si="41"/>
        <v/>
      </c>
      <c r="AF168" s="811" t="str">
        <f t="shared" si="42"/>
        <v/>
      </c>
      <c r="AG168" s="812" t="str">
        <f t="shared" si="43"/>
        <v/>
      </c>
      <c r="AW168" s="17" t="str">
        <f t="shared" si="44"/>
        <v/>
      </c>
      <c r="AX168" s="17" t="str">
        <f t="shared" si="45"/>
        <v/>
      </c>
      <c r="BM168" s="17" t="str">
        <f>IFERROR(VLOOKUP(B168,'Statement of Marks'!$B$8:'Statement of Marks'!$HI$207,37,0),"")</f>
        <v>A</v>
      </c>
      <c r="BN168" s="17" t="str">
        <f>IFERROR(VLOOKUP(B168,'Statement of Marks'!$B$8:'Statement of Marks'!$HI$207,60,0),"")</f>
        <v>A</v>
      </c>
      <c r="BO168" s="17" t="str">
        <f>IFERROR(VLOOKUP(B168,'Statement of Marks'!$B$8:'Statement of Marks'!$HI$207,83,0),"")</f>
        <v>A</v>
      </c>
      <c r="BP168" s="17" t="str">
        <f>IFERROR(VLOOKUP(B168,'Statement of Marks'!$B$8:'Statement of Marks'!$HI$207,107,0),"")</f>
        <v/>
      </c>
    </row>
    <row r="169" spans="1:68">
      <c r="A169" s="800">
        <f>IF('Statement of Marks'!A168="","",'Statement of Marks'!A168)</f>
        <v>161</v>
      </c>
      <c r="B169" s="801" t="str">
        <f>IF(OR($E$3="",$P$3=""),"",IF('Statement of Marks'!B168="","",'Statement of Marks'!B168))</f>
        <v/>
      </c>
      <c r="C169" s="810" t="str">
        <f>IF(OR($E$3="",$P$3=""),"",IF('Marks Entry'!C168="","",'Marks Entry'!C168))</f>
        <v/>
      </c>
      <c r="D169" s="802" t="str">
        <f>IF(OR($E$3="",$P$3=""),"",IF('Statement of Marks'!C168="","",'Statement of Marks'!C168))</f>
        <v/>
      </c>
      <c r="E169" s="803" t="str">
        <f>IF(OR($E$3="",$P$3=""),"",IF('Statement of Marks'!D168="","",'Statement of Marks'!D168))</f>
        <v/>
      </c>
      <c r="F169" s="804" t="str">
        <f>IF(OR($E$3="",$P$3=""),"",IF('Statement of Marks'!E168="","",'Statement of Marks'!E168))</f>
        <v/>
      </c>
      <c r="G169" s="804" t="str">
        <f>IF(OR($E$3="",$P$3=""),"",IF('Statement of Marks'!F168="","",'Statement of Marks'!F168))</f>
        <v/>
      </c>
      <c r="H169" s="804" t="str">
        <f>IF(OR($E$3="",$P$3=""),"",IF('Statement of Marks'!G168="","",'Statement of Marks'!G168))</f>
        <v/>
      </c>
      <c r="I169" s="805" t="str">
        <f>IF(OR($E$3="",$P$3=""),"",IF('Statement of Marks'!H168="","",'Statement of Marks'!H168))</f>
        <v/>
      </c>
      <c r="J169" s="805" t="str">
        <f>IF(OR($E$3="",$P$3=""),"",IF('Statement of Marks'!I168="","",'Statement of Marks'!I168))</f>
        <v/>
      </c>
      <c r="K169" s="805" t="str">
        <f>IFERROR(IF(B169="","",IF($P$3=$AT$10,IF(AND(BM169="A"),'Marks Entry'!$U$2,IF(AND(BM169="B"),'Marks Entry'!$Y$2,IF(AND(BM169="C"),'Marks Entry'!$AA$2,""))),IF($P$3=$AT$11,IF(AND(BN169="A"),'Marks Entry'!$AC$2,IF(AND(BN169="B"),'Marks Entry'!$AG$2,IF(AND(BN169="C"),'Marks Entry'!$AI$2,""))),IF($P$3=$AT$12,IF(AND(BO169="A"),'Marks Entry'!$AK$2,IF(AND(BO169="B"),'Marks Entry'!$AO$2,IF(AND(BO169="C"),'Marks Entry'!$AQ$2,""))),IF($P$3=$AT$13,IF(AND(BP169="A"),'Marks Entry'!$AS$2,IF(AND(BP169="B"),'Marks Entry'!$AW$2,IF(AND(BP169="C"),'Marks Entry'!$AY$2,""))),"-"))))),"")</f>
        <v/>
      </c>
      <c r="L169" s="806" t="str">
        <f>IFERROR(IF(B169="","",IF($P$3=$AT$8,'Statement of Marks'!J168,IF($P$3=$AT$9,'Statement of Marks'!X168,IF($P$3=$AT$10,'Statement of Marks'!AM168,IF($P$3=$AT$11,'Statement of Marks'!BJ168,IF($P$3=$AT$12,'Statement of Marks'!CG168,IF($P$3=$AT$13,'Statement of Marks'!DE168,IF($P$3=$AT$14,"",IF($P$3=$AT$15,'Statement of Marks'!EY168,""))))))))),"")</f>
        <v/>
      </c>
      <c r="M169" s="806" t="str">
        <f>IFERROR(IF(B169="","",IF($P$3=$AT$8,'Statement of Marks'!K168,IF($P$3=$AT$9,'Statement of Marks'!Y168,IF($P$3=$AT$10,'Statement of Marks'!AN168,IF($P$3=$AT$11,'Statement of Marks'!BK168,IF($P$3=$AT$12,'Statement of Marks'!CH168,IF($P$3=$AT$13,'Statement of Marks'!DF168,IF($P$3=$AT$14,"",IF($P$3=$AT$15,'Statement of Marks'!EZ168,""))))))))),"")</f>
        <v/>
      </c>
      <c r="N169" s="806" t="str">
        <f>IFERROR(IF(B169="","",IF($P$3=$AT$8,'Statement of Marks'!L168,IF($P$3=$AT$9,'Statement of Marks'!Z168,IF($P$3=$AT$10,'Statement of Marks'!AO168,IF($P$3=$AT$11,'Statement of Marks'!BL168,IF($P$3=$AT$12,'Statement of Marks'!CI168,IF($P$3=$AT$13,'Statement of Marks'!DG168,IF($P$3=$AT$14,"",IF($P$3=$AT$15,'Statement of Marks'!FA168,""))))))))),"")</f>
        <v/>
      </c>
      <c r="O169" s="807" t="str">
        <f t="shared" si="32"/>
        <v/>
      </c>
      <c r="P169" s="806" t="str">
        <f>IFERROR(IF(B169="","",IF($P$3=$AT$8,'Statement of Marks'!N168,IF($P$3=$AT$9,'Statement of Marks'!AB168,IF($P$3=$AT$10,'Statement of Marks'!AQ168,IF($P$3=$AT$11,'Statement of Marks'!BN168,IF($P$3=$AT$12,'Statement of Marks'!CK168,IF($P$3=$AT$13,'Statement of Marks'!DI168,IF($P$3=$AT$14,"",IF($P$3=$AT$15,'Statement of Marks'!FC168,""))))))))),"")</f>
        <v/>
      </c>
      <c r="Q169" s="806" t="str">
        <f>IFERROR(IF(B169="","",IF($P$3=$AT$8,"",IF($P$3=$AT$9,"",IF($P$3=$AT$10,'Statement of Marks'!AR168,IF($P$3=$AT$11,'Statement of Marks'!BO168,IF($P$3=$AT$12,'Statement of Marks'!CL168,IF($P$3=$AT$13,'Statement of Marks'!DJ168,IF($P$3=$AT$14,"",IF($P$3=$AT$15,"",""))))))))),"")</f>
        <v/>
      </c>
      <c r="R169" s="818" t="str">
        <f>IFERROR(IF(B169="","",IF(AND(P169="",Q169="",$P$3=""),"",IF($P$3=$AT$14,'Statement of Marks'!EC168,SUM(P169,Q169)))),"")</f>
        <v/>
      </c>
      <c r="S169" s="817" t="str">
        <f>IFERROR(IF(B169="","",IF($P$3=$AT$14,'Statement of Marks'!ED168,IF(AND(O169="NA",P169="NA",Q169="NA"),"NA",IF(AND(O169="",P169="",Q169=""),"",SUM(O169,P169,Q169))))),"")</f>
        <v/>
      </c>
      <c r="T169" s="806" t="str">
        <f>IFERROR(IF(B169="","",IF($P$3=$AT$8,'Statement of Marks'!P168,IF($P$3=$AT$9,'Statement of Marks'!AD168,IF($P$3=$AT$10,'Statement of Marks'!AU168,IF($P$3=$AT$11,'Statement of Marks'!BR168,IF($P$3=$AT$12,'Statement of Marks'!CO168,IF($P$3=$AT$13,'Statement of Marks'!DM168,IF($P$3=$AT$14,"",IF($P$3=$AT$15,'Statement of Marks'!FD168,""))))))))),"")</f>
        <v/>
      </c>
      <c r="U169" s="806" t="str">
        <f>IFERROR(IF(B169="","",IF($P$3=$AT$8,"",IF($P$3=$AT$9,"",IF($P$3=$AT$10,'Statement of Marks'!AV168,IF($P$3=$AT$11,'Statement of Marks'!BS168,IF($P$3=$AT$12,'Statement of Marks'!CP168,IF($P$3=$AT$13,'Statement of Marks'!DN168,IF($P$3=$AT$14,"",IF($P$3=$AT$15,"",""))))))))),"")</f>
        <v/>
      </c>
      <c r="V169" s="818" t="str">
        <f>IFERROR(IF(B169="","",IF(AND(T169="",U169="",$P$3=""),"",IF($P$3=$AT$14,'Statement of Marks'!EE168,SUM(T169,U169)))),"")</f>
        <v/>
      </c>
      <c r="W169" s="808" t="str">
        <f t="shared" si="33"/>
        <v/>
      </c>
      <c r="X169" s="809">
        <f t="shared" si="34"/>
        <v>0</v>
      </c>
      <c r="Y169" s="809">
        <f t="shared" si="35"/>
        <v>0</v>
      </c>
      <c r="Z169" s="809">
        <f t="shared" si="36"/>
        <v>0</v>
      </c>
      <c r="AA169" s="809" t="str">
        <f t="shared" si="37"/>
        <v/>
      </c>
      <c r="AB169" s="809" t="str">
        <f t="shared" si="38"/>
        <v/>
      </c>
      <c r="AC169" s="809" t="str">
        <f t="shared" si="39"/>
        <v/>
      </c>
      <c r="AD169" s="809" t="str">
        <f t="shared" si="40"/>
        <v/>
      </c>
      <c r="AE169" s="810" t="str">
        <f t="shared" si="41"/>
        <v/>
      </c>
      <c r="AF169" s="811" t="str">
        <f t="shared" si="42"/>
        <v/>
      </c>
      <c r="AG169" s="812" t="str">
        <f t="shared" si="43"/>
        <v/>
      </c>
      <c r="AW169" s="17" t="str">
        <f t="shared" si="44"/>
        <v/>
      </c>
      <c r="AX169" s="17" t="str">
        <f t="shared" si="45"/>
        <v/>
      </c>
      <c r="BM169" s="17" t="str">
        <f>IFERROR(VLOOKUP(B169,'Statement of Marks'!$B$8:'Statement of Marks'!$HI$207,37,0),"")</f>
        <v>A</v>
      </c>
      <c r="BN169" s="17" t="str">
        <f>IFERROR(VLOOKUP(B169,'Statement of Marks'!$B$8:'Statement of Marks'!$HI$207,60,0),"")</f>
        <v>A</v>
      </c>
      <c r="BO169" s="17" t="str">
        <f>IFERROR(VLOOKUP(B169,'Statement of Marks'!$B$8:'Statement of Marks'!$HI$207,83,0),"")</f>
        <v>A</v>
      </c>
      <c r="BP169" s="17" t="str">
        <f>IFERROR(VLOOKUP(B169,'Statement of Marks'!$B$8:'Statement of Marks'!$HI$207,107,0),"")</f>
        <v/>
      </c>
    </row>
    <row r="170" spans="1:68">
      <c r="A170" s="800">
        <f>IF('Statement of Marks'!A169="","",'Statement of Marks'!A169)</f>
        <v>162</v>
      </c>
      <c r="B170" s="801" t="str">
        <f>IF(OR($E$3="",$P$3=""),"",IF('Statement of Marks'!B169="","",'Statement of Marks'!B169))</f>
        <v/>
      </c>
      <c r="C170" s="810" t="str">
        <f>IF(OR($E$3="",$P$3=""),"",IF('Marks Entry'!C169="","",'Marks Entry'!C169))</f>
        <v/>
      </c>
      <c r="D170" s="802" t="str">
        <f>IF(OR($E$3="",$P$3=""),"",IF('Statement of Marks'!C169="","",'Statement of Marks'!C169))</f>
        <v/>
      </c>
      <c r="E170" s="803" t="str">
        <f>IF(OR($E$3="",$P$3=""),"",IF('Statement of Marks'!D169="","",'Statement of Marks'!D169))</f>
        <v/>
      </c>
      <c r="F170" s="804" t="str">
        <f>IF(OR($E$3="",$P$3=""),"",IF('Statement of Marks'!E169="","",'Statement of Marks'!E169))</f>
        <v/>
      </c>
      <c r="G170" s="804" t="str">
        <f>IF(OR($E$3="",$P$3=""),"",IF('Statement of Marks'!F169="","",'Statement of Marks'!F169))</f>
        <v/>
      </c>
      <c r="H170" s="804" t="str">
        <f>IF(OR($E$3="",$P$3=""),"",IF('Statement of Marks'!G169="","",'Statement of Marks'!G169))</f>
        <v/>
      </c>
      <c r="I170" s="805" t="str">
        <f>IF(OR($E$3="",$P$3=""),"",IF('Statement of Marks'!H169="","",'Statement of Marks'!H169))</f>
        <v/>
      </c>
      <c r="J170" s="805" t="str">
        <f>IF(OR($E$3="",$P$3=""),"",IF('Statement of Marks'!I169="","",'Statement of Marks'!I169))</f>
        <v/>
      </c>
      <c r="K170" s="805" t="str">
        <f>IFERROR(IF(B170="","",IF($P$3=$AT$10,IF(AND(BM170="A"),'Marks Entry'!$U$2,IF(AND(BM170="B"),'Marks Entry'!$Y$2,IF(AND(BM170="C"),'Marks Entry'!$AA$2,""))),IF($P$3=$AT$11,IF(AND(BN170="A"),'Marks Entry'!$AC$2,IF(AND(BN170="B"),'Marks Entry'!$AG$2,IF(AND(BN170="C"),'Marks Entry'!$AI$2,""))),IF($P$3=$AT$12,IF(AND(BO170="A"),'Marks Entry'!$AK$2,IF(AND(BO170="B"),'Marks Entry'!$AO$2,IF(AND(BO170="C"),'Marks Entry'!$AQ$2,""))),IF($P$3=$AT$13,IF(AND(BP170="A"),'Marks Entry'!$AS$2,IF(AND(BP170="B"),'Marks Entry'!$AW$2,IF(AND(BP170="C"),'Marks Entry'!$AY$2,""))),"-"))))),"")</f>
        <v/>
      </c>
      <c r="L170" s="806" t="str">
        <f>IFERROR(IF(B170="","",IF($P$3=$AT$8,'Statement of Marks'!J169,IF($P$3=$AT$9,'Statement of Marks'!X169,IF($P$3=$AT$10,'Statement of Marks'!AM169,IF($P$3=$AT$11,'Statement of Marks'!BJ169,IF($P$3=$AT$12,'Statement of Marks'!CG169,IF($P$3=$AT$13,'Statement of Marks'!DE169,IF($P$3=$AT$14,"",IF($P$3=$AT$15,'Statement of Marks'!EY169,""))))))))),"")</f>
        <v/>
      </c>
      <c r="M170" s="806" t="str">
        <f>IFERROR(IF(B170="","",IF($P$3=$AT$8,'Statement of Marks'!K169,IF($P$3=$AT$9,'Statement of Marks'!Y169,IF($P$3=$AT$10,'Statement of Marks'!AN169,IF($P$3=$AT$11,'Statement of Marks'!BK169,IF($P$3=$AT$12,'Statement of Marks'!CH169,IF($P$3=$AT$13,'Statement of Marks'!DF169,IF($P$3=$AT$14,"",IF($P$3=$AT$15,'Statement of Marks'!EZ169,""))))))))),"")</f>
        <v/>
      </c>
      <c r="N170" s="806" t="str">
        <f>IFERROR(IF(B170="","",IF($P$3=$AT$8,'Statement of Marks'!L169,IF($P$3=$AT$9,'Statement of Marks'!Z169,IF($P$3=$AT$10,'Statement of Marks'!AO169,IF($P$3=$AT$11,'Statement of Marks'!BL169,IF($P$3=$AT$12,'Statement of Marks'!CI169,IF($P$3=$AT$13,'Statement of Marks'!DG169,IF($P$3=$AT$14,"",IF($P$3=$AT$15,'Statement of Marks'!FA169,""))))))))),"")</f>
        <v/>
      </c>
      <c r="O170" s="807" t="str">
        <f t="shared" si="32"/>
        <v/>
      </c>
      <c r="P170" s="806" t="str">
        <f>IFERROR(IF(B170="","",IF($P$3=$AT$8,'Statement of Marks'!N169,IF($P$3=$AT$9,'Statement of Marks'!AB169,IF($P$3=$AT$10,'Statement of Marks'!AQ169,IF($P$3=$AT$11,'Statement of Marks'!BN169,IF($P$3=$AT$12,'Statement of Marks'!CK169,IF($P$3=$AT$13,'Statement of Marks'!DI169,IF($P$3=$AT$14,"",IF($P$3=$AT$15,'Statement of Marks'!FC169,""))))))))),"")</f>
        <v/>
      </c>
      <c r="Q170" s="806" t="str">
        <f>IFERROR(IF(B170="","",IF($P$3=$AT$8,"",IF($P$3=$AT$9,"",IF($P$3=$AT$10,'Statement of Marks'!AR169,IF($P$3=$AT$11,'Statement of Marks'!BO169,IF($P$3=$AT$12,'Statement of Marks'!CL169,IF($P$3=$AT$13,'Statement of Marks'!DJ169,IF($P$3=$AT$14,"",IF($P$3=$AT$15,"",""))))))))),"")</f>
        <v/>
      </c>
      <c r="R170" s="818" t="str">
        <f>IFERROR(IF(B170="","",IF(AND(P170="",Q170="",$P$3=""),"",IF($P$3=$AT$14,'Statement of Marks'!EC169,SUM(P170,Q170)))),"")</f>
        <v/>
      </c>
      <c r="S170" s="817" t="str">
        <f>IFERROR(IF(B170="","",IF($P$3=$AT$14,'Statement of Marks'!ED169,IF(AND(O170="NA",P170="NA",Q170="NA"),"NA",IF(AND(O170="",P170="",Q170=""),"",SUM(O170,P170,Q170))))),"")</f>
        <v/>
      </c>
      <c r="T170" s="806" t="str">
        <f>IFERROR(IF(B170="","",IF($P$3=$AT$8,'Statement of Marks'!P169,IF($P$3=$AT$9,'Statement of Marks'!AD169,IF($P$3=$AT$10,'Statement of Marks'!AU169,IF($P$3=$AT$11,'Statement of Marks'!BR169,IF($P$3=$AT$12,'Statement of Marks'!CO169,IF($P$3=$AT$13,'Statement of Marks'!DM169,IF($P$3=$AT$14,"",IF($P$3=$AT$15,'Statement of Marks'!FD169,""))))))))),"")</f>
        <v/>
      </c>
      <c r="U170" s="806" t="str">
        <f>IFERROR(IF(B170="","",IF($P$3=$AT$8,"",IF($P$3=$AT$9,"",IF($P$3=$AT$10,'Statement of Marks'!AV169,IF($P$3=$AT$11,'Statement of Marks'!BS169,IF($P$3=$AT$12,'Statement of Marks'!CP169,IF($P$3=$AT$13,'Statement of Marks'!DN169,IF($P$3=$AT$14,"",IF($P$3=$AT$15,"",""))))))))),"")</f>
        <v/>
      </c>
      <c r="V170" s="818" t="str">
        <f>IFERROR(IF(B170="","",IF(AND(T170="",U170="",$P$3=""),"",IF($P$3=$AT$14,'Statement of Marks'!EE169,SUM(T170,U170)))),"")</f>
        <v/>
      </c>
      <c r="W170" s="808" t="str">
        <f t="shared" si="33"/>
        <v/>
      </c>
      <c r="X170" s="809">
        <f t="shared" si="34"/>
        <v>0</v>
      </c>
      <c r="Y170" s="809">
        <f t="shared" si="35"/>
        <v>0</v>
      </c>
      <c r="Z170" s="809">
        <f t="shared" si="36"/>
        <v>0</v>
      </c>
      <c r="AA170" s="809" t="str">
        <f t="shared" si="37"/>
        <v/>
      </c>
      <c r="AB170" s="809" t="str">
        <f t="shared" si="38"/>
        <v/>
      </c>
      <c r="AC170" s="809" t="str">
        <f t="shared" si="39"/>
        <v/>
      </c>
      <c r="AD170" s="809" t="str">
        <f t="shared" si="40"/>
        <v/>
      </c>
      <c r="AE170" s="810" t="str">
        <f t="shared" si="41"/>
        <v/>
      </c>
      <c r="AF170" s="811" t="str">
        <f t="shared" si="42"/>
        <v/>
      </c>
      <c r="AG170" s="812" t="str">
        <f t="shared" si="43"/>
        <v/>
      </c>
      <c r="AW170" s="17" t="str">
        <f t="shared" si="44"/>
        <v/>
      </c>
      <c r="AX170" s="17" t="str">
        <f t="shared" si="45"/>
        <v/>
      </c>
      <c r="BM170" s="17" t="str">
        <f>IFERROR(VLOOKUP(B170,'Statement of Marks'!$B$8:'Statement of Marks'!$HI$207,37,0),"")</f>
        <v>A</v>
      </c>
      <c r="BN170" s="17" t="str">
        <f>IFERROR(VLOOKUP(B170,'Statement of Marks'!$B$8:'Statement of Marks'!$HI$207,60,0),"")</f>
        <v>A</v>
      </c>
      <c r="BO170" s="17" t="str">
        <f>IFERROR(VLOOKUP(B170,'Statement of Marks'!$B$8:'Statement of Marks'!$HI$207,83,0),"")</f>
        <v>A</v>
      </c>
      <c r="BP170" s="17" t="str">
        <f>IFERROR(VLOOKUP(B170,'Statement of Marks'!$B$8:'Statement of Marks'!$HI$207,107,0),"")</f>
        <v/>
      </c>
    </row>
    <row r="171" spans="1:68">
      <c r="A171" s="800">
        <f>IF('Statement of Marks'!A170="","",'Statement of Marks'!A170)</f>
        <v>163</v>
      </c>
      <c r="B171" s="801" t="str">
        <f>IF(OR($E$3="",$P$3=""),"",IF('Statement of Marks'!B170="","",'Statement of Marks'!B170))</f>
        <v/>
      </c>
      <c r="C171" s="810" t="str">
        <f>IF(OR($E$3="",$P$3=""),"",IF('Marks Entry'!C170="","",'Marks Entry'!C170))</f>
        <v/>
      </c>
      <c r="D171" s="802" t="str">
        <f>IF(OR($E$3="",$P$3=""),"",IF('Statement of Marks'!C170="","",'Statement of Marks'!C170))</f>
        <v/>
      </c>
      <c r="E171" s="803" t="str">
        <f>IF(OR($E$3="",$P$3=""),"",IF('Statement of Marks'!D170="","",'Statement of Marks'!D170))</f>
        <v/>
      </c>
      <c r="F171" s="804" t="str">
        <f>IF(OR($E$3="",$P$3=""),"",IF('Statement of Marks'!E170="","",'Statement of Marks'!E170))</f>
        <v/>
      </c>
      <c r="G171" s="804" t="str">
        <f>IF(OR($E$3="",$P$3=""),"",IF('Statement of Marks'!F170="","",'Statement of Marks'!F170))</f>
        <v/>
      </c>
      <c r="H171" s="804" t="str">
        <f>IF(OR($E$3="",$P$3=""),"",IF('Statement of Marks'!G170="","",'Statement of Marks'!G170))</f>
        <v/>
      </c>
      <c r="I171" s="805" t="str">
        <f>IF(OR($E$3="",$P$3=""),"",IF('Statement of Marks'!H170="","",'Statement of Marks'!H170))</f>
        <v/>
      </c>
      <c r="J171" s="805" t="str">
        <f>IF(OR($E$3="",$P$3=""),"",IF('Statement of Marks'!I170="","",'Statement of Marks'!I170))</f>
        <v/>
      </c>
      <c r="K171" s="805" t="str">
        <f>IFERROR(IF(B171="","",IF($P$3=$AT$10,IF(AND(BM171="A"),'Marks Entry'!$U$2,IF(AND(BM171="B"),'Marks Entry'!$Y$2,IF(AND(BM171="C"),'Marks Entry'!$AA$2,""))),IF($P$3=$AT$11,IF(AND(BN171="A"),'Marks Entry'!$AC$2,IF(AND(BN171="B"),'Marks Entry'!$AG$2,IF(AND(BN171="C"),'Marks Entry'!$AI$2,""))),IF($P$3=$AT$12,IF(AND(BO171="A"),'Marks Entry'!$AK$2,IF(AND(BO171="B"),'Marks Entry'!$AO$2,IF(AND(BO171="C"),'Marks Entry'!$AQ$2,""))),IF($P$3=$AT$13,IF(AND(BP171="A"),'Marks Entry'!$AS$2,IF(AND(BP171="B"),'Marks Entry'!$AW$2,IF(AND(BP171="C"),'Marks Entry'!$AY$2,""))),"-"))))),"")</f>
        <v/>
      </c>
      <c r="L171" s="806" t="str">
        <f>IFERROR(IF(B171="","",IF($P$3=$AT$8,'Statement of Marks'!J170,IF($P$3=$AT$9,'Statement of Marks'!X170,IF($P$3=$AT$10,'Statement of Marks'!AM170,IF($P$3=$AT$11,'Statement of Marks'!BJ170,IF($P$3=$AT$12,'Statement of Marks'!CG170,IF($P$3=$AT$13,'Statement of Marks'!DE170,IF($P$3=$AT$14,"",IF($P$3=$AT$15,'Statement of Marks'!EY170,""))))))))),"")</f>
        <v/>
      </c>
      <c r="M171" s="806" t="str">
        <f>IFERROR(IF(B171="","",IF($P$3=$AT$8,'Statement of Marks'!K170,IF($P$3=$AT$9,'Statement of Marks'!Y170,IF($P$3=$AT$10,'Statement of Marks'!AN170,IF($P$3=$AT$11,'Statement of Marks'!BK170,IF($P$3=$AT$12,'Statement of Marks'!CH170,IF($P$3=$AT$13,'Statement of Marks'!DF170,IF($P$3=$AT$14,"",IF($P$3=$AT$15,'Statement of Marks'!EZ170,""))))))))),"")</f>
        <v/>
      </c>
      <c r="N171" s="806" t="str">
        <f>IFERROR(IF(B171="","",IF($P$3=$AT$8,'Statement of Marks'!L170,IF($P$3=$AT$9,'Statement of Marks'!Z170,IF($P$3=$AT$10,'Statement of Marks'!AO170,IF($P$3=$AT$11,'Statement of Marks'!BL170,IF($P$3=$AT$12,'Statement of Marks'!CI170,IF($P$3=$AT$13,'Statement of Marks'!DG170,IF($P$3=$AT$14,"",IF($P$3=$AT$15,'Statement of Marks'!FA170,""))))))))),"")</f>
        <v/>
      </c>
      <c r="O171" s="807" t="str">
        <f t="shared" si="32"/>
        <v/>
      </c>
      <c r="P171" s="806" t="str">
        <f>IFERROR(IF(B171="","",IF($P$3=$AT$8,'Statement of Marks'!N170,IF($P$3=$AT$9,'Statement of Marks'!AB170,IF($P$3=$AT$10,'Statement of Marks'!AQ170,IF($P$3=$AT$11,'Statement of Marks'!BN170,IF($P$3=$AT$12,'Statement of Marks'!CK170,IF($P$3=$AT$13,'Statement of Marks'!DI170,IF($P$3=$AT$14,"",IF($P$3=$AT$15,'Statement of Marks'!FC170,""))))))))),"")</f>
        <v/>
      </c>
      <c r="Q171" s="806" t="str">
        <f>IFERROR(IF(B171="","",IF($P$3=$AT$8,"",IF($P$3=$AT$9,"",IF($P$3=$AT$10,'Statement of Marks'!AR170,IF($P$3=$AT$11,'Statement of Marks'!BO170,IF($P$3=$AT$12,'Statement of Marks'!CL170,IF($P$3=$AT$13,'Statement of Marks'!DJ170,IF($P$3=$AT$14,"",IF($P$3=$AT$15,"",""))))))))),"")</f>
        <v/>
      </c>
      <c r="R171" s="818" t="str">
        <f>IFERROR(IF(B171="","",IF(AND(P171="",Q171="",$P$3=""),"",IF($P$3=$AT$14,'Statement of Marks'!EC170,SUM(P171,Q171)))),"")</f>
        <v/>
      </c>
      <c r="S171" s="817" t="str">
        <f>IFERROR(IF(B171="","",IF($P$3=$AT$14,'Statement of Marks'!ED170,IF(AND(O171="NA",P171="NA",Q171="NA"),"NA",IF(AND(O171="",P171="",Q171=""),"",SUM(O171,P171,Q171))))),"")</f>
        <v/>
      </c>
      <c r="T171" s="806" t="str">
        <f>IFERROR(IF(B171="","",IF($P$3=$AT$8,'Statement of Marks'!P170,IF($P$3=$AT$9,'Statement of Marks'!AD170,IF($P$3=$AT$10,'Statement of Marks'!AU170,IF($P$3=$AT$11,'Statement of Marks'!BR170,IF($P$3=$AT$12,'Statement of Marks'!CO170,IF($P$3=$AT$13,'Statement of Marks'!DM170,IF($P$3=$AT$14,"",IF($P$3=$AT$15,'Statement of Marks'!FD170,""))))))))),"")</f>
        <v/>
      </c>
      <c r="U171" s="806" t="str">
        <f>IFERROR(IF(B171="","",IF($P$3=$AT$8,"",IF($P$3=$AT$9,"",IF($P$3=$AT$10,'Statement of Marks'!AV170,IF($P$3=$AT$11,'Statement of Marks'!BS170,IF($P$3=$AT$12,'Statement of Marks'!CP170,IF($P$3=$AT$13,'Statement of Marks'!DN170,IF($P$3=$AT$14,"",IF($P$3=$AT$15,"",""))))))))),"")</f>
        <v/>
      </c>
      <c r="V171" s="818" t="str">
        <f>IFERROR(IF(B171="","",IF(AND(T171="",U171="",$P$3=""),"",IF($P$3=$AT$14,'Statement of Marks'!EE170,SUM(T171,U171)))),"")</f>
        <v/>
      </c>
      <c r="W171" s="808" t="str">
        <f t="shared" si="33"/>
        <v/>
      </c>
      <c r="X171" s="809">
        <f t="shared" si="34"/>
        <v>0</v>
      </c>
      <c r="Y171" s="809">
        <f t="shared" si="35"/>
        <v>0</v>
      </c>
      <c r="Z171" s="809">
        <f t="shared" si="36"/>
        <v>0</v>
      </c>
      <c r="AA171" s="809" t="str">
        <f t="shared" si="37"/>
        <v/>
      </c>
      <c r="AB171" s="809" t="str">
        <f t="shared" si="38"/>
        <v/>
      </c>
      <c r="AC171" s="809" t="str">
        <f t="shared" si="39"/>
        <v/>
      </c>
      <c r="AD171" s="809" t="str">
        <f t="shared" si="40"/>
        <v/>
      </c>
      <c r="AE171" s="810" t="str">
        <f t="shared" si="41"/>
        <v/>
      </c>
      <c r="AF171" s="811" t="str">
        <f t="shared" si="42"/>
        <v/>
      </c>
      <c r="AG171" s="812" t="str">
        <f t="shared" si="43"/>
        <v/>
      </c>
      <c r="AW171" s="17" t="str">
        <f t="shared" si="44"/>
        <v/>
      </c>
      <c r="AX171" s="17" t="str">
        <f t="shared" si="45"/>
        <v/>
      </c>
      <c r="BM171" s="17" t="str">
        <f>IFERROR(VLOOKUP(B171,'Statement of Marks'!$B$8:'Statement of Marks'!$HI$207,37,0),"")</f>
        <v>A</v>
      </c>
      <c r="BN171" s="17" t="str">
        <f>IFERROR(VLOOKUP(B171,'Statement of Marks'!$B$8:'Statement of Marks'!$HI$207,60,0),"")</f>
        <v>A</v>
      </c>
      <c r="BO171" s="17" t="str">
        <f>IFERROR(VLOOKUP(B171,'Statement of Marks'!$B$8:'Statement of Marks'!$HI$207,83,0),"")</f>
        <v>A</v>
      </c>
      <c r="BP171" s="17" t="str">
        <f>IFERROR(VLOOKUP(B171,'Statement of Marks'!$B$8:'Statement of Marks'!$HI$207,107,0),"")</f>
        <v/>
      </c>
    </row>
    <row r="172" spans="1:68">
      <c r="A172" s="800">
        <f>IF('Statement of Marks'!A171="","",'Statement of Marks'!A171)</f>
        <v>164</v>
      </c>
      <c r="B172" s="801" t="str">
        <f>IF(OR($E$3="",$P$3=""),"",IF('Statement of Marks'!B171="","",'Statement of Marks'!B171))</f>
        <v/>
      </c>
      <c r="C172" s="810" t="str">
        <f>IF(OR($E$3="",$P$3=""),"",IF('Marks Entry'!C171="","",'Marks Entry'!C171))</f>
        <v/>
      </c>
      <c r="D172" s="802" t="str">
        <f>IF(OR($E$3="",$P$3=""),"",IF('Statement of Marks'!C171="","",'Statement of Marks'!C171))</f>
        <v/>
      </c>
      <c r="E172" s="803" t="str">
        <f>IF(OR($E$3="",$P$3=""),"",IF('Statement of Marks'!D171="","",'Statement of Marks'!D171))</f>
        <v/>
      </c>
      <c r="F172" s="804" t="str">
        <f>IF(OR($E$3="",$P$3=""),"",IF('Statement of Marks'!E171="","",'Statement of Marks'!E171))</f>
        <v/>
      </c>
      <c r="G172" s="804" t="str">
        <f>IF(OR($E$3="",$P$3=""),"",IF('Statement of Marks'!F171="","",'Statement of Marks'!F171))</f>
        <v/>
      </c>
      <c r="H172" s="804" t="str">
        <f>IF(OR($E$3="",$P$3=""),"",IF('Statement of Marks'!G171="","",'Statement of Marks'!G171))</f>
        <v/>
      </c>
      <c r="I172" s="805" t="str">
        <f>IF(OR($E$3="",$P$3=""),"",IF('Statement of Marks'!H171="","",'Statement of Marks'!H171))</f>
        <v/>
      </c>
      <c r="J172" s="805" t="str">
        <f>IF(OR($E$3="",$P$3=""),"",IF('Statement of Marks'!I171="","",'Statement of Marks'!I171))</f>
        <v/>
      </c>
      <c r="K172" s="805" t="str">
        <f>IFERROR(IF(B172="","",IF($P$3=$AT$10,IF(AND(BM172="A"),'Marks Entry'!$U$2,IF(AND(BM172="B"),'Marks Entry'!$Y$2,IF(AND(BM172="C"),'Marks Entry'!$AA$2,""))),IF($P$3=$AT$11,IF(AND(BN172="A"),'Marks Entry'!$AC$2,IF(AND(BN172="B"),'Marks Entry'!$AG$2,IF(AND(BN172="C"),'Marks Entry'!$AI$2,""))),IF($P$3=$AT$12,IF(AND(BO172="A"),'Marks Entry'!$AK$2,IF(AND(BO172="B"),'Marks Entry'!$AO$2,IF(AND(BO172="C"),'Marks Entry'!$AQ$2,""))),IF($P$3=$AT$13,IF(AND(BP172="A"),'Marks Entry'!$AS$2,IF(AND(BP172="B"),'Marks Entry'!$AW$2,IF(AND(BP172="C"),'Marks Entry'!$AY$2,""))),"-"))))),"")</f>
        <v/>
      </c>
      <c r="L172" s="806" t="str">
        <f>IFERROR(IF(B172="","",IF($P$3=$AT$8,'Statement of Marks'!J171,IF($P$3=$AT$9,'Statement of Marks'!X171,IF($P$3=$AT$10,'Statement of Marks'!AM171,IF($P$3=$AT$11,'Statement of Marks'!BJ171,IF($P$3=$AT$12,'Statement of Marks'!CG171,IF($P$3=$AT$13,'Statement of Marks'!DE171,IF($P$3=$AT$14,"",IF($P$3=$AT$15,'Statement of Marks'!EY171,""))))))))),"")</f>
        <v/>
      </c>
      <c r="M172" s="806" t="str">
        <f>IFERROR(IF(B172="","",IF($P$3=$AT$8,'Statement of Marks'!K171,IF($P$3=$AT$9,'Statement of Marks'!Y171,IF($P$3=$AT$10,'Statement of Marks'!AN171,IF($P$3=$AT$11,'Statement of Marks'!BK171,IF($P$3=$AT$12,'Statement of Marks'!CH171,IF($P$3=$AT$13,'Statement of Marks'!DF171,IF($P$3=$AT$14,"",IF($P$3=$AT$15,'Statement of Marks'!EZ171,""))))))))),"")</f>
        <v/>
      </c>
      <c r="N172" s="806" t="str">
        <f>IFERROR(IF(B172="","",IF($P$3=$AT$8,'Statement of Marks'!L171,IF($P$3=$AT$9,'Statement of Marks'!Z171,IF($P$3=$AT$10,'Statement of Marks'!AO171,IF($P$3=$AT$11,'Statement of Marks'!BL171,IF($P$3=$AT$12,'Statement of Marks'!CI171,IF($P$3=$AT$13,'Statement of Marks'!DG171,IF($P$3=$AT$14,"",IF($P$3=$AT$15,'Statement of Marks'!FA171,""))))))))),"")</f>
        <v/>
      </c>
      <c r="O172" s="807" t="str">
        <f t="shared" si="32"/>
        <v/>
      </c>
      <c r="P172" s="806" t="str">
        <f>IFERROR(IF(B172="","",IF($P$3=$AT$8,'Statement of Marks'!N171,IF($P$3=$AT$9,'Statement of Marks'!AB171,IF($P$3=$AT$10,'Statement of Marks'!AQ171,IF($P$3=$AT$11,'Statement of Marks'!BN171,IF($P$3=$AT$12,'Statement of Marks'!CK171,IF($P$3=$AT$13,'Statement of Marks'!DI171,IF($P$3=$AT$14,"",IF($P$3=$AT$15,'Statement of Marks'!FC171,""))))))))),"")</f>
        <v/>
      </c>
      <c r="Q172" s="806" t="str">
        <f>IFERROR(IF(B172="","",IF($P$3=$AT$8,"",IF($P$3=$AT$9,"",IF($P$3=$AT$10,'Statement of Marks'!AR171,IF($P$3=$AT$11,'Statement of Marks'!BO171,IF($P$3=$AT$12,'Statement of Marks'!CL171,IF($P$3=$AT$13,'Statement of Marks'!DJ171,IF($P$3=$AT$14,"",IF($P$3=$AT$15,"",""))))))))),"")</f>
        <v/>
      </c>
      <c r="R172" s="818" t="str">
        <f>IFERROR(IF(B172="","",IF(AND(P172="",Q172="",$P$3=""),"",IF($P$3=$AT$14,'Statement of Marks'!EC171,SUM(P172,Q172)))),"")</f>
        <v/>
      </c>
      <c r="S172" s="817" t="str">
        <f>IFERROR(IF(B172="","",IF($P$3=$AT$14,'Statement of Marks'!ED171,IF(AND(O172="NA",P172="NA",Q172="NA"),"NA",IF(AND(O172="",P172="",Q172=""),"",SUM(O172,P172,Q172))))),"")</f>
        <v/>
      </c>
      <c r="T172" s="806" t="str">
        <f>IFERROR(IF(B172="","",IF($P$3=$AT$8,'Statement of Marks'!P171,IF($P$3=$AT$9,'Statement of Marks'!AD171,IF($P$3=$AT$10,'Statement of Marks'!AU171,IF($P$3=$AT$11,'Statement of Marks'!BR171,IF($P$3=$AT$12,'Statement of Marks'!CO171,IF($P$3=$AT$13,'Statement of Marks'!DM171,IF($P$3=$AT$14,"",IF($P$3=$AT$15,'Statement of Marks'!FD171,""))))))))),"")</f>
        <v/>
      </c>
      <c r="U172" s="806" t="str">
        <f>IFERROR(IF(B172="","",IF($P$3=$AT$8,"",IF($P$3=$AT$9,"",IF($P$3=$AT$10,'Statement of Marks'!AV171,IF($P$3=$AT$11,'Statement of Marks'!BS171,IF($P$3=$AT$12,'Statement of Marks'!CP171,IF($P$3=$AT$13,'Statement of Marks'!DN171,IF($P$3=$AT$14,"",IF($P$3=$AT$15,"",""))))))))),"")</f>
        <v/>
      </c>
      <c r="V172" s="818" t="str">
        <f>IFERROR(IF(B172="","",IF(AND(T172="",U172="",$P$3=""),"",IF($P$3=$AT$14,'Statement of Marks'!EE171,SUM(T172,U172)))),"")</f>
        <v/>
      </c>
      <c r="W172" s="808" t="str">
        <f t="shared" si="33"/>
        <v/>
      </c>
      <c r="X172" s="809">
        <f t="shared" si="34"/>
        <v>0</v>
      </c>
      <c r="Y172" s="809">
        <f t="shared" si="35"/>
        <v>0</v>
      </c>
      <c r="Z172" s="809">
        <f t="shared" si="36"/>
        <v>0</v>
      </c>
      <c r="AA172" s="809" t="str">
        <f t="shared" si="37"/>
        <v/>
      </c>
      <c r="AB172" s="809" t="str">
        <f t="shared" si="38"/>
        <v/>
      </c>
      <c r="AC172" s="809" t="str">
        <f t="shared" si="39"/>
        <v/>
      </c>
      <c r="AD172" s="809" t="str">
        <f t="shared" si="40"/>
        <v/>
      </c>
      <c r="AE172" s="810" t="str">
        <f t="shared" si="41"/>
        <v/>
      </c>
      <c r="AF172" s="811" t="str">
        <f t="shared" si="42"/>
        <v/>
      </c>
      <c r="AG172" s="812" t="str">
        <f t="shared" si="43"/>
        <v/>
      </c>
      <c r="AW172" s="17" t="str">
        <f t="shared" si="44"/>
        <v/>
      </c>
      <c r="AX172" s="17" t="str">
        <f t="shared" si="45"/>
        <v/>
      </c>
      <c r="BM172" s="17" t="str">
        <f>IFERROR(VLOOKUP(B172,'Statement of Marks'!$B$8:'Statement of Marks'!$HI$207,37,0),"")</f>
        <v>A</v>
      </c>
      <c r="BN172" s="17" t="str">
        <f>IFERROR(VLOOKUP(B172,'Statement of Marks'!$B$8:'Statement of Marks'!$HI$207,60,0),"")</f>
        <v>A</v>
      </c>
      <c r="BO172" s="17" t="str">
        <f>IFERROR(VLOOKUP(B172,'Statement of Marks'!$B$8:'Statement of Marks'!$HI$207,83,0),"")</f>
        <v>A</v>
      </c>
      <c r="BP172" s="17" t="str">
        <f>IFERROR(VLOOKUP(B172,'Statement of Marks'!$B$8:'Statement of Marks'!$HI$207,107,0),"")</f>
        <v/>
      </c>
    </row>
    <row r="173" spans="1:68">
      <c r="A173" s="800">
        <f>IF('Statement of Marks'!A172="","",'Statement of Marks'!A172)</f>
        <v>165</v>
      </c>
      <c r="B173" s="801" t="str">
        <f>IF(OR($E$3="",$P$3=""),"",IF('Statement of Marks'!B172="","",'Statement of Marks'!B172))</f>
        <v/>
      </c>
      <c r="C173" s="810" t="str">
        <f>IF(OR($E$3="",$P$3=""),"",IF('Marks Entry'!C172="","",'Marks Entry'!C172))</f>
        <v/>
      </c>
      <c r="D173" s="802" t="str">
        <f>IF(OR($E$3="",$P$3=""),"",IF('Statement of Marks'!C172="","",'Statement of Marks'!C172))</f>
        <v/>
      </c>
      <c r="E173" s="803" t="str">
        <f>IF(OR($E$3="",$P$3=""),"",IF('Statement of Marks'!D172="","",'Statement of Marks'!D172))</f>
        <v/>
      </c>
      <c r="F173" s="804" t="str">
        <f>IF(OR($E$3="",$P$3=""),"",IF('Statement of Marks'!E172="","",'Statement of Marks'!E172))</f>
        <v/>
      </c>
      <c r="G173" s="804" t="str">
        <f>IF(OR($E$3="",$P$3=""),"",IF('Statement of Marks'!F172="","",'Statement of Marks'!F172))</f>
        <v/>
      </c>
      <c r="H173" s="804" t="str">
        <f>IF(OR($E$3="",$P$3=""),"",IF('Statement of Marks'!G172="","",'Statement of Marks'!G172))</f>
        <v/>
      </c>
      <c r="I173" s="805" t="str">
        <f>IF(OR($E$3="",$P$3=""),"",IF('Statement of Marks'!H172="","",'Statement of Marks'!H172))</f>
        <v/>
      </c>
      <c r="J173" s="805" t="str">
        <f>IF(OR($E$3="",$P$3=""),"",IF('Statement of Marks'!I172="","",'Statement of Marks'!I172))</f>
        <v/>
      </c>
      <c r="K173" s="805" t="str">
        <f>IFERROR(IF(B173="","",IF($P$3=$AT$10,IF(AND(BM173="A"),'Marks Entry'!$U$2,IF(AND(BM173="B"),'Marks Entry'!$Y$2,IF(AND(BM173="C"),'Marks Entry'!$AA$2,""))),IF($P$3=$AT$11,IF(AND(BN173="A"),'Marks Entry'!$AC$2,IF(AND(BN173="B"),'Marks Entry'!$AG$2,IF(AND(BN173="C"),'Marks Entry'!$AI$2,""))),IF($P$3=$AT$12,IF(AND(BO173="A"),'Marks Entry'!$AK$2,IF(AND(BO173="B"),'Marks Entry'!$AO$2,IF(AND(BO173="C"),'Marks Entry'!$AQ$2,""))),IF($P$3=$AT$13,IF(AND(BP173="A"),'Marks Entry'!$AS$2,IF(AND(BP173="B"),'Marks Entry'!$AW$2,IF(AND(BP173="C"),'Marks Entry'!$AY$2,""))),"-"))))),"")</f>
        <v/>
      </c>
      <c r="L173" s="806" t="str">
        <f>IFERROR(IF(B173="","",IF($P$3=$AT$8,'Statement of Marks'!J172,IF($P$3=$AT$9,'Statement of Marks'!X172,IF($P$3=$AT$10,'Statement of Marks'!AM172,IF($P$3=$AT$11,'Statement of Marks'!BJ172,IF($P$3=$AT$12,'Statement of Marks'!CG172,IF($P$3=$AT$13,'Statement of Marks'!DE172,IF($P$3=$AT$14,"",IF($P$3=$AT$15,'Statement of Marks'!EY172,""))))))))),"")</f>
        <v/>
      </c>
      <c r="M173" s="806" t="str">
        <f>IFERROR(IF(B173="","",IF($P$3=$AT$8,'Statement of Marks'!K172,IF($P$3=$AT$9,'Statement of Marks'!Y172,IF($P$3=$AT$10,'Statement of Marks'!AN172,IF($P$3=$AT$11,'Statement of Marks'!BK172,IF($P$3=$AT$12,'Statement of Marks'!CH172,IF($P$3=$AT$13,'Statement of Marks'!DF172,IF($P$3=$AT$14,"",IF($P$3=$AT$15,'Statement of Marks'!EZ172,""))))))))),"")</f>
        <v/>
      </c>
      <c r="N173" s="806" t="str">
        <f>IFERROR(IF(B173="","",IF($P$3=$AT$8,'Statement of Marks'!L172,IF($P$3=$AT$9,'Statement of Marks'!Z172,IF($P$3=$AT$10,'Statement of Marks'!AO172,IF($P$3=$AT$11,'Statement of Marks'!BL172,IF($P$3=$AT$12,'Statement of Marks'!CI172,IF($P$3=$AT$13,'Statement of Marks'!DG172,IF($P$3=$AT$14,"",IF($P$3=$AT$15,'Statement of Marks'!FA172,""))))))))),"")</f>
        <v/>
      </c>
      <c r="O173" s="807" t="str">
        <f t="shared" si="32"/>
        <v/>
      </c>
      <c r="P173" s="806" t="str">
        <f>IFERROR(IF(B173="","",IF($P$3=$AT$8,'Statement of Marks'!N172,IF($P$3=$AT$9,'Statement of Marks'!AB172,IF($P$3=$AT$10,'Statement of Marks'!AQ172,IF($P$3=$AT$11,'Statement of Marks'!BN172,IF($P$3=$AT$12,'Statement of Marks'!CK172,IF($P$3=$AT$13,'Statement of Marks'!DI172,IF($P$3=$AT$14,"",IF($P$3=$AT$15,'Statement of Marks'!FC172,""))))))))),"")</f>
        <v/>
      </c>
      <c r="Q173" s="806" t="str">
        <f>IFERROR(IF(B173="","",IF($P$3=$AT$8,"",IF($P$3=$AT$9,"",IF($P$3=$AT$10,'Statement of Marks'!AR172,IF($P$3=$AT$11,'Statement of Marks'!BO172,IF($P$3=$AT$12,'Statement of Marks'!CL172,IF($P$3=$AT$13,'Statement of Marks'!DJ172,IF($P$3=$AT$14,"",IF($P$3=$AT$15,"",""))))))))),"")</f>
        <v/>
      </c>
      <c r="R173" s="818" t="str">
        <f>IFERROR(IF(B173="","",IF(AND(P173="",Q173="",$P$3=""),"",IF($P$3=$AT$14,'Statement of Marks'!EC172,SUM(P173,Q173)))),"")</f>
        <v/>
      </c>
      <c r="S173" s="817" t="str">
        <f>IFERROR(IF(B173="","",IF($P$3=$AT$14,'Statement of Marks'!ED172,IF(AND(O173="NA",P173="NA",Q173="NA"),"NA",IF(AND(O173="",P173="",Q173=""),"",SUM(O173,P173,Q173))))),"")</f>
        <v/>
      </c>
      <c r="T173" s="806" t="str">
        <f>IFERROR(IF(B173="","",IF($P$3=$AT$8,'Statement of Marks'!P172,IF($P$3=$AT$9,'Statement of Marks'!AD172,IF($P$3=$AT$10,'Statement of Marks'!AU172,IF($P$3=$AT$11,'Statement of Marks'!BR172,IF($P$3=$AT$12,'Statement of Marks'!CO172,IF($P$3=$AT$13,'Statement of Marks'!DM172,IF($P$3=$AT$14,"",IF($P$3=$AT$15,'Statement of Marks'!FD172,""))))))))),"")</f>
        <v/>
      </c>
      <c r="U173" s="806" t="str">
        <f>IFERROR(IF(B173="","",IF($P$3=$AT$8,"",IF($P$3=$AT$9,"",IF($P$3=$AT$10,'Statement of Marks'!AV172,IF($P$3=$AT$11,'Statement of Marks'!BS172,IF($P$3=$AT$12,'Statement of Marks'!CP172,IF($P$3=$AT$13,'Statement of Marks'!DN172,IF($P$3=$AT$14,"",IF($P$3=$AT$15,"",""))))))))),"")</f>
        <v/>
      </c>
      <c r="V173" s="818" t="str">
        <f>IFERROR(IF(B173="","",IF(AND(T173="",U173="",$P$3=""),"",IF($P$3=$AT$14,'Statement of Marks'!EE172,SUM(T173,U173)))),"")</f>
        <v/>
      </c>
      <c r="W173" s="808" t="str">
        <f t="shared" si="33"/>
        <v/>
      </c>
      <c r="X173" s="809">
        <f t="shared" si="34"/>
        <v>0</v>
      </c>
      <c r="Y173" s="809">
        <f t="shared" si="35"/>
        <v>0</v>
      </c>
      <c r="Z173" s="809">
        <f t="shared" si="36"/>
        <v>0</v>
      </c>
      <c r="AA173" s="809" t="str">
        <f t="shared" si="37"/>
        <v/>
      </c>
      <c r="AB173" s="809" t="str">
        <f t="shared" si="38"/>
        <v/>
      </c>
      <c r="AC173" s="809" t="str">
        <f t="shared" si="39"/>
        <v/>
      </c>
      <c r="AD173" s="809" t="str">
        <f t="shared" si="40"/>
        <v/>
      </c>
      <c r="AE173" s="810" t="str">
        <f t="shared" si="41"/>
        <v/>
      </c>
      <c r="AF173" s="811" t="str">
        <f t="shared" si="42"/>
        <v/>
      </c>
      <c r="AG173" s="812" t="str">
        <f t="shared" si="43"/>
        <v/>
      </c>
      <c r="AW173" s="17" t="str">
        <f t="shared" si="44"/>
        <v/>
      </c>
      <c r="AX173" s="17" t="str">
        <f t="shared" si="45"/>
        <v/>
      </c>
      <c r="BM173" s="17" t="str">
        <f>IFERROR(VLOOKUP(B173,'Statement of Marks'!$B$8:'Statement of Marks'!$HI$207,37,0),"")</f>
        <v>A</v>
      </c>
      <c r="BN173" s="17" t="str">
        <f>IFERROR(VLOOKUP(B173,'Statement of Marks'!$B$8:'Statement of Marks'!$HI$207,60,0),"")</f>
        <v>A</v>
      </c>
      <c r="BO173" s="17" t="str">
        <f>IFERROR(VLOOKUP(B173,'Statement of Marks'!$B$8:'Statement of Marks'!$HI$207,83,0),"")</f>
        <v>A</v>
      </c>
      <c r="BP173" s="17" t="str">
        <f>IFERROR(VLOOKUP(B173,'Statement of Marks'!$B$8:'Statement of Marks'!$HI$207,107,0),"")</f>
        <v/>
      </c>
    </row>
    <row r="174" spans="1:68">
      <c r="A174" s="800">
        <f>IF('Statement of Marks'!A173="","",'Statement of Marks'!A173)</f>
        <v>166</v>
      </c>
      <c r="B174" s="801" t="str">
        <f>IF(OR($E$3="",$P$3=""),"",IF('Statement of Marks'!B173="","",'Statement of Marks'!B173))</f>
        <v/>
      </c>
      <c r="C174" s="810" t="str">
        <f>IF(OR($E$3="",$P$3=""),"",IF('Marks Entry'!C173="","",'Marks Entry'!C173))</f>
        <v/>
      </c>
      <c r="D174" s="802" t="str">
        <f>IF(OR($E$3="",$P$3=""),"",IF('Statement of Marks'!C173="","",'Statement of Marks'!C173))</f>
        <v/>
      </c>
      <c r="E174" s="803" t="str">
        <f>IF(OR($E$3="",$P$3=""),"",IF('Statement of Marks'!D173="","",'Statement of Marks'!D173))</f>
        <v/>
      </c>
      <c r="F174" s="804" t="str">
        <f>IF(OR($E$3="",$P$3=""),"",IF('Statement of Marks'!E173="","",'Statement of Marks'!E173))</f>
        <v/>
      </c>
      <c r="G174" s="804" t="str">
        <f>IF(OR($E$3="",$P$3=""),"",IF('Statement of Marks'!F173="","",'Statement of Marks'!F173))</f>
        <v/>
      </c>
      <c r="H174" s="804" t="str">
        <f>IF(OR($E$3="",$P$3=""),"",IF('Statement of Marks'!G173="","",'Statement of Marks'!G173))</f>
        <v/>
      </c>
      <c r="I174" s="805" t="str">
        <f>IF(OR($E$3="",$P$3=""),"",IF('Statement of Marks'!H173="","",'Statement of Marks'!H173))</f>
        <v/>
      </c>
      <c r="J174" s="805" t="str">
        <f>IF(OR($E$3="",$P$3=""),"",IF('Statement of Marks'!I173="","",'Statement of Marks'!I173))</f>
        <v/>
      </c>
      <c r="K174" s="805" t="str">
        <f>IFERROR(IF(B174="","",IF($P$3=$AT$10,IF(AND(BM174="A"),'Marks Entry'!$U$2,IF(AND(BM174="B"),'Marks Entry'!$Y$2,IF(AND(BM174="C"),'Marks Entry'!$AA$2,""))),IF($P$3=$AT$11,IF(AND(BN174="A"),'Marks Entry'!$AC$2,IF(AND(BN174="B"),'Marks Entry'!$AG$2,IF(AND(BN174="C"),'Marks Entry'!$AI$2,""))),IF($P$3=$AT$12,IF(AND(BO174="A"),'Marks Entry'!$AK$2,IF(AND(BO174="B"),'Marks Entry'!$AO$2,IF(AND(BO174="C"),'Marks Entry'!$AQ$2,""))),IF($P$3=$AT$13,IF(AND(BP174="A"),'Marks Entry'!$AS$2,IF(AND(BP174="B"),'Marks Entry'!$AW$2,IF(AND(BP174="C"),'Marks Entry'!$AY$2,""))),"-"))))),"")</f>
        <v/>
      </c>
      <c r="L174" s="806" t="str">
        <f>IFERROR(IF(B174="","",IF($P$3=$AT$8,'Statement of Marks'!J173,IF($P$3=$AT$9,'Statement of Marks'!X173,IF($P$3=$AT$10,'Statement of Marks'!AM173,IF($P$3=$AT$11,'Statement of Marks'!BJ173,IF($P$3=$AT$12,'Statement of Marks'!CG173,IF($P$3=$AT$13,'Statement of Marks'!DE173,IF($P$3=$AT$14,"",IF($P$3=$AT$15,'Statement of Marks'!EY173,""))))))))),"")</f>
        <v/>
      </c>
      <c r="M174" s="806" t="str">
        <f>IFERROR(IF(B174="","",IF($P$3=$AT$8,'Statement of Marks'!K173,IF($P$3=$AT$9,'Statement of Marks'!Y173,IF($P$3=$AT$10,'Statement of Marks'!AN173,IF($P$3=$AT$11,'Statement of Marks'!BK173,IF($P$3=$AT$12,'Statement of Marks'!CH173,IF($P$3=$AT$13,'Statement of Marks'!DF173,IF($P$3=$AT$14,"",IF($P$3=$AT$15,'Statement of Marks'!EZ173,""))))))))),"")</f>
        <v/>
      </c>
      <c r="N174" s="806" t="str">
        <f>IFERROR(IF(B174="","",IF($P$3=$AT$8,'Statement of Marks'!L173,IF($P$3=$AT$9,'Statement of Marks'!Z173,IF($P$3=$AT$10,'Statement of Marks'!AO173,IF($P$3=$AT$11,'Statement of Marks'!BL173,IF($P$3=$AT$12,'Statement of Marks'!CI173,IF($P$3=$AT$13,'Statement of Marks'!DG173,IF($P$3=$AT$14,"",IF($P$3=$AT$15,'Statement of Marks'!FA173,""))))))))),"")</f>
        <v/>
      </c>
      <c r="O174" s="807" t="str">
        <f t="shared" si="32"/>
        <v/>
      </c>
      <c r="P174" s="806" t="str">
        <f>IFERROR(IF(B174="","",IF($P$3=$AT$8,'Statement of Marks'!N173,IF($P$3=$AT$9,'Statement of Marks'!AB173,IF($P$3=$AT$10,'Statement of Marks'!AQ173,IF($P$3=$AT$11,'Statement of Marks'!BN173,IF($P$3=$AT$12,'Statement of Marks'!CK173,IF($P$3=$AT$13,'Statement of Marks'!DI173,IF($P$3=$AT$14,"",IF($P$3=$AT$15,'Statement of Marks'!FC173,""))))))))),"")</f>
        <v/>
      </c>
      <c r="Q174" s="806" t="str">
        <f>IFERROR(IF(B174="","",IF($P$3=$AT$8,"",IF($P$3=$AT$9,"",IF($P$3=$AT$10,'Statement of Marks'!AR173,IF($P$3=$AT$11,'Statement of Marks'!BO173,IF($P$3=$AT$12,'Statement of Marks'!CL173,IF($P$3=$AT$13,'Statement of Marks'!DJ173,IF($P$3=$AT$14,"",IF($P$3=$AT$15,"",""))))))))),"")</f>
        <v/>
      </c>
      <c r="R174" s="818" t="str">
        <f>IFERROR(IF(B174="","",IF(AND(P174="",Q174="",$P$3=""),"",IF($P$3=$AT$14,'Statement of Marks'!EC173,SUM(P174,Q174)))),"")</f>
        <v/>
      </c>
      <c r="S174" s="817" t="str">
        <f>IFERROR(IF(B174="","",IF($P$3=$AT$14,'Statement of Marks'!ED173,IF(AND(O174="NA",P174="NA",Q174="NA"),"NA",IF(AND(O174="",P174="",Q174=""),"",SUM(O174,P174,Q174))))),"")</f>
        <v/>
      </c>
      <c r="T174" s="806" t="str">
        <f>IFERROR(IF(B174="","",IF($P$3=$AT$8,'Statement of Marks'!P173,IF($P$3=$AT$9,'Statement of Marks'!AD173,IF($P$3=$AT$10,'Statement of Marks'!AU173,IF($P$3=$AT$11,'Statement of Marks'!BR173,IF($P$3=$AT$12,'Statement of Marks'!CO173,IF($P$3=$AT$13,'Statement of Marks'!DM173,IF($P$3=$AT$14,"",IF($P$3=$AT$15,'Statement of Marks'!FD173,""))))))))),"")</f>
        <v/>
      </c>
      <c r="U174" s="806" t="str">
        <f>IFERROR(IF(B174="","",IF($P$3=$AT$8,"",IF($P$3=$AT$9,"",IF($P$3=$AT$10,'Statement of Marks'!AV173,IF($P$3=$AT$11,'Statement of Marks'!BS173,IF($P$3=$AT$12,'Statement of Marks'!CP173,IF($P$3=$AT$13,'Statement of Marks'!DN173,IF($P$3=$AT$14,"",IF($P$3=$AT$15,"",""))))))))),"")</f>
        <v/>
      </c>
      <c r="V174" s="818" t="str">
        <f>IFERROR(IF(B174="","",IF(AND(T174="",U174="",$P$3=""),"",IF($P$3=$AT$14,'Statement of Marks'!EE173,SUM(T174,U174)))),"")</f>
        <v/>
      </c>
      <c r="W174" s="808" t="str">
        <f t="shared" si="33"/>
        <v/>
      </c>
      <c r="X174" s="809">
        <f t="shared" si="34"/>
        <v>0</v>
      </c>
      <c r="Y174" s="809">
        <f t="shared" si="35"/>
        <v>0</v>
      </c>
      <c r="Z174" s="809">
        <f t="shared" si="36"/>
        <v>0</v>
      </c>
      <c r="AA174" s="809" t="str">
        <f t="shared" si="37"/>
        <v/>
      </c>
      <c r="AB174" s="809" t="str">
        <f t="shared" si="38"/>
        <v/>
      </c>
      <c r="AC174" s="809" t="str">
        <f t="shared" si="39"/>
        <v/>
      </c>
      <c r="AD174" s="809" t="str">
        <f t="shared" si="40"/>
        <v/>
      </c>
      <c r="AE174" s="810" t="str">
        <f t="shared" si="41"/>
        <v/>
      </c>
      <c r="AF174" s="811" t="str">
        <f t="shared" si="42"/>
        <v/>
      </c>
      <c r="AG174" s="812" t="str">
        <f t="shared" si="43"/>
        <v/>
      </c>
      <c r="AW174" s="17" t="str">
        <f t="shared" si="44"/>
        <v/>
      </c>
      <c r="AX174" s="17" t="str">
        <f t="shared" si="45"/>
        <v/>
      </c>
      <c r="BM174" s="17" t="str">
        <f>IFERROR(VLOOKUP(B174,'Statement of Marks'!$B$8:'Statement of Marks'!$HI$207,37,0),"")</f>
        <v>A</v>
      </c>
      <c r="BN174" s="17" t="str">
        <f>IFERROR(VLOOKUP(B174,'Statement of Marks'!$B$8:'Statement of Marks'!$HI$207,60,0),"")</f>
        <v>A</v>
      </c>
      <c r="BO174" s="17" t="str">
        <f>IFERROR(VLOOKUP(B174,'Statement of Marks'!$B$8:'Statement of Marks'!$HI$207,83,0),"")</f>
        <v>A</v>
      </c>
      <c r="BP174" s="17" t="str">
        <f>IFERROR(VLOOKUP(B174,'Statement of Marks'!$B$8:'Statement of Marks'!$HI$207,107,0),"")</f>
        <v/>
      </c>
    </row>
    <row r="175" spans="1:68">
      <c r="A175" s="800">
        <f>IF('Statement of Marks'!A174="","",'Statement of Marks'!A174)</f>
        <v>167</v>
      </c>
      <c r="B175" s="801" t="str">
        <f>IF(OR($E$3="",$P$3=""),"",IF('Statement of Marks'!B174="","",'Statement of Marks'!B174))</f>
        <v/>
      </c>
      <c r="C175" s="810" t="str">
        <f>IF(OR($E$3="",$P$3=""),"",IF('Marks Entry'!C174="","",'Marks Entry'!C174))</f>
        <v/>
      </c>
      <c r="D175" s="802" t="str">
        <f>IF(OR($E$3="",$P$3=""),"",IF('Statement of Marks'!C174="","",'Statement of Marks'!C174))</f>
        <v/>
      </c>
      <c r="E175" s="803" t="str">
        <f>IF(OR($E$3="",$P$3=""),"",IF('Statement of Marks'!D174="","",'Statement of Marks'!D174))</f>
        <v/>
      </c>
      <c r="F175" s="804" t="str">
        <f>IF(OR($E$3="",$P$3=""),"",IF('Statement of Marks'!E174="","",'Statement of Marks'!E174))</f>
        <v/>
      </c>
      <c r="G175" s="804" t="str">
        <f>IF(OR($E$3="",$P$3=""),"",IF('Statement of Marks'!F174="","",'Statement of Marks'!F174))</f>
        <v/>
      </c>
      <c r="H175" s="804" t="str">
        <f>IF(OR($E$3="",$P$3=""),"",IF('Statement of Marks'!G174="","",'Statement of Marks'!G174))</f>
        <v/>
      </c>
      <c r="I175" s="805" t="str">
        <f>IF(OR($E$3="",$P$3=""),"",IF('Statement of Marks'!H174="","",'Statement of Marks'!H174))</f>
        <v/>
      </c>
      <c r="J175" s="805" t="str">
        <f>IF(OR($E$3="",$P$3=""),"",IF('Statement of Marks'!I174="","",'Statement of Marks'!I174))</f>
        <v/>
      </c>
      <c r="K175" s="805" t="str">
        <f>IFERROR(IF(B175="","",IF($P$3=$AT$10,IF(AND(BM175="A"),'Marks Entry'!$U$2,IF(AND(BM175="B"),'Marks Entry'!$Y$2,IF(AND(BM175="C"),'Marks Entry'!$AA$2,""))),IF($P$3=$AT$11,IF(AND(BN175="A"),'Marks Entry'!$AC$2,IF(AND(BN175="B"),'Marks Entry'!$AG$2,IF(AND(BN175="C"),'Marks Entry'!$AI$2,""))),IF($P$3=$AT$12,IF(AND(BO175="A"),'Marks Entry'!$AK$2,IF(AND(BO175="B"),'Marks Entry'!$AO$2,IF(AND(BO175="C"),'Marks Entry'!$AQ$2,""))),IF($P$3=$AT$13,IF(AND(BP175="A"),'Marks Entry'!$AS$2,IF(AND(BP175="B"),'Marks Entry'!$AW$2,IF(AND(BP175="C"),'Marks Entry'!$AY$2,""))),"-"))))),"")</f>
        <v/>
      </c>
      <c r="L175" s="806" t="str">
        <f>IFERROR(IF(B175="","",IF($P$3=$AT$8,'Statement of Marks'!J174,IF($P$3=$AT$9,'Statement of Marks'!X174,IF($P$3=$AT$10,'Statement of Marks'!AM174,IF($P$3=$AT$11,'Statement of Marks'!BJ174,IF($P$3=$AT$12,'Statement of Marks'!CG174,IF($P$3=$AT$13,'Statement of Marks'!DE174,IF($P$3=$AT$14,"",IF($P$3=$AT$15,'Statement of Marks'!EY174,""))))))))),"")</f>
        <v/>
      </c>
      <c r="M175" s="806" t="str">
        <f>IFERROR(IF(B175="","",IF($P$3=$AT$8,'Statement of Marks'!K174,IF($P$3=$AT$9,'Statement of Marks'!Y174,IF($P$3=$AT$10,'Statement of Marks'!AN174,IF($P$3=$AT$11,'Statement of Marks'!BK174,IF($P$3=$AT$12,'Statement of Marks'!CH174,IF($P$3=$AT$13,'Statement of Marks'!DF174,IF($P$3=$AT$14,"",IF($P$3=$AT$15,'Statement of Marks'!EZ174,""))))))))),"")</f>
        <v/>
      </c>
      <c r="N175" s="806" t="str">
        <f>IFERROR(IF(B175="","",IF($P$3=$AT$8,'Statement of Marks'!L174,IF($P$3=$AT$9,'Statement of Marks'!Z174,IF($P$3=$AT$10,'Statement of Marks'!AO174,IF($P$3=$AT$11,'Statement of Marks'!BL174,IF($P$3=$AT$12,'Statement of Marks'!CI174,IF($P$3=$AT$13,'Statement of Marks'!DG174,IF($P$3=$AT$14,"",IF($P$3=$AT$15,'Statement of Marks'!FA174,""))))))))),"")</f>
        <v/>
      </c>
      <c r="O175" s="807" t="str">
        <f t="shared" si="32"/>
        <v/>
      </c>
      <c r="P175" s="806" t="str">
        <f>IFERROR(IF(B175="","",IF($P$3=$AT$8,'Statement of Marks'!N174,IF($P$3=$AT$9,'Statement of Marks'!AB174,IF($P$3=$AT$10,'Statement of Marks'!AQ174,IF($P$3=$AT$11,'Statement of Marks'!BN174,IF($P$3=$AT$12,'Statement of Marks'!CK174,IF($P$3=$AT$13,'Statement of Marks'!DI174,IF($P$3=$AT$14,"",IF($P$3=$AT$15,'Statement of Marks'!FC174,""))))))))),"")</f>
        <v/>
      </c>
      <c r="Q175" s="806" t="str">
        <f>IFERROR(IF(B175="","",IF($P$3=$AT$8,"",IF($P$3=$AT$9,"",IF($P$3=$AT$10,'Statement of Marks'!AR174,IF($P$3=$AT$11,'Statement of Marks'!BO174,IF($P$3=$AT$12,'Statement of Marks'!CL174,IF($P$3=$AT$13,'Statement of Marks'!DJ174,IF($P$3=$AT$14,"",IF($P$3=$AT$15,"",""))))))))),"")</f>
        <v/>
      </c>
      <c r="R175" s="818" t="str">
        <f>IFERROR(IF(B175="","",IF(AND(P175="",Q175="",$P$3=""),"",IF($P$3=$AT$14,'Statement of Marks'!EC174,SUM(P175,Q175)))),"")</f>
        <v/>
      </c>
      <c r="S175" s="817" t="str">
        <f>IFERROR(IF(B175="","",IF($P$3=$AT$14,'Statement of Marks'!ED174,IF(AND(O175="NA",P175="NA",Q175="NA"),"NA",IF(AND(O175="",P175="",Q175=""),"",SUM(O175,P175,Q175))))),"")</f>
        <v/>
      </c>
      <c r="T175" s="806" t="str">
        <f>IFERROR(IF(B175="","",IF($P$3=$AT$8,'Statement of Marks'!P174,IF($P$3=$AT$9,'Statement of Marks'!AD174,IF($P$3=$AT$10,'Statement of Marks'!AU174,IF($P$3=$AT$11,'Statement of Marks'!BR174,IF($P$3=$AT$12,'Statement of Marks'!CO174,IF($P$3=$AT$13,'Statement of Marks'!DM174,IF($P$3=$AT$14,"",IF($P$3=$AT$15,'Statement of Marks'!FD174,""))))))))),"")</f>
        <v/>
      </c>
      <c r="U175" s="806" t="str">
        <f>IFERROR(IF(B175="","",IF($P$3=$AT$8,"",IF($P$3=$AT$9,"",IF($P$3=$AT$10,'Statement of Marks'!AV174,IF($P$3=$AT$11,'Statement of Marks'!BS174,IF($P$3=$AT$12,'Statement of Marks'!CP174,IF($P$3=$AT$13,'Statement of Marks'!DN174,IF($P$3=$AT$14,"",IF($P$3=$AT$15,"",""))))))))),"")</f>
        <v/>
      </c>
      <c r="V175" s="818" t="str">
        <f>IFERROR(IF(B175="","",IF(AND(T175="",U175="",$P$3=""),"",IF($P$3=$AT$14,'Statement of Marks'!EE174,SUM(T175,U175)))),"")</f>
        <v/>
      </c>
      <c r="W175" s="808" t="str">
        <f t="shared" si="33"/>
        <v/>
      </c>
      <c r="X175" s="809">
        <f t="shared" si="34"/>
        <v>0</v>
      </c>
      <c r="Y175" s="809">
        <f t="shared" si="35"/>
        <v>0</v>
      </c>
      <c r="Z175" s="809">
        <f t="shared" si="36"/>
        <v>0</v>
      </c>
      <c r="AA175" s="809" t="str">
        <f t="shared" si="37"/>
        <v/>
      </c>
      <c r="AB175" s="809" t="str">
        <f t="shared" si="38"/>
        <v/>
      </c>
      <c r="AC175" s="809" t="str">
        <f t="shared" si="39"/>
        <v/>
      </c>
      <c r="AD175" s="809" t="str">
        <f t="shared" si="40"/>
        <v/>
      </c>
      <c r="AE175" s="810" t="str">
        <f t="shared" si="41"/>
        <v/>
      </c>
      <c r="AF175" s="811" t="str">
        <f t="shared" si="42"/>
        <v/>
      </c>
      <c r="AG175" s="812" t="str">
        <f t="shared" si="43"/>
        <v/>
      </c>
      <c r="AW175" s="17" t="str">
        <f t="shared" si="44"/>
        <v/>
      </c>
      <c r="AX175" s="17" t="str">
        <f t="shared" si="45"/>
        <v/>
      </c>
      <c r="BM175" s="17" t="str">
        <f>IFERROR(VLOOKUP(B175,'Statement of Marks'!$B$8:'Statement of Marks'!$HI$207,37,0),"")</f>
        <v>A</v>
      </c>
      <c r="BN175" s="17" t="str">
        <f>IFERROR(VLOOKUP(B175,'Statement of Marks'!$B$8:'Statement of Marks'!$HI$207,60,0),"")</f>
        <v>A</v>
      </c>
      <c r="BO175" s="17" t="str">
        <f>IFERROR(VLOOKUP(B175,'Statement of Marks'!$B$8:'Statement of Marks'!$HI$207,83,0),"")</f>
        <v>A</v>
      </c>
      <c r="BP175" s="17" t="str">
        <f>IFERROR(VLOOKUP(B175,'Statement of Marks'!$B$8:'Statement of Marks'!$HI$207,107,0),"")</f>
        <v/>
      </c>
    </row>
    <row r="176" spans="1:68">
      <c r="A176" s="800">
        <f>IF('Statement of Marks'!A175="","",'Statement of Marks'!A175)</f>
        <v>168</v>
      </c>
      <c r="B176" s="801" t="str">
        <f>IF(OR($E$3="",$P$3=""),"",IF('Statement of Marks'!B175="","",'Statement of Marks'!B175))</f>
        <v/>
      </c>
      <c r="C176" s="810" t="str">
        <f>IF(OR($E$3="",$P$3=""),"",IF('Marks Entry'!C175="","",'Marks Entry'!C175))</f>
        <v/>
      </c>
      <c r="D176" s="802" t="str">
        <f>IF(OR($E$3="",$P$3=""),"",IF('Statement of Marks'!C175="","",'Statement of Marks'!C175))</f>
        <v/>
      </c>
      <c r="E176" s="803" t="str">
        <f>IF(OR($E$3="",$P$3=""),"",IF('Statement of Marks'!D175="","",'Statement of Marks'!D175))</f>
        <v/>
      </c>
      <c r="F176" s="804" t="str">
        <f>IF(OR($E$3="",$P$3=""),"",IF('Statement of Marks'!E175="","",'Statement of Marks'!E175))</f>
        <v/>
      </c>
      <c r="G176" s="804" t="str">
        <f>IF(OR($E$3="",$P$3=""),"",IF('Statement of Marks'!F175="","",'Statement of Marks'!F175))</f>
        <v/>
      </c>
      <c r="H176" s="804" t="str">
        <f>IF(OR($E$3="",$P$3=""),"",IF('Statement of Marks'!G175="","",'Statement of Marks'!G175))</f>
        <v/>
      </c>
      <c r="I176" s="805" t="str">
        <f>IF(OR($E$3="",$P$3=""),"",IF('Statement of Marks'!H175="","",'Statement of Marks'!H175))</f>
        <v/>
      </c>
      <c r="J176" s="805" t="str">
        <f>IF(OR($E$3="",$P$3=""),"",IF('Statement of Marks'!I175="","",'Statement of Marks'!I175))</f>
        <v/>
      </c>
      <c r="K176" s="805" t="str">
        <f>IFERROR(IF(B176="","",IF($P$3=$AT$10,IF(AND(BM176="A"),'Marks Entry'!$U$2,IF(AND(BM176="B"),'Marks Entry'!$Y$2,IF(AND(BM176="C"),'Marks Entry'!$AA$2,""))),IF($P$3=$AT$11,IF(AND(BN176="A"),'Marks Entry'!$AC$2,IF(AND(BN176="B"),'Marks Entry'!$AG$2,IF(AND(BN176="C"),'Marks Entry'!$AI$2,""))),IF($P$3=$AT$12,IF(AND(BO176="A"),'Marks Entry'!$AK$2,IF(AND(BO176="B"),'Marks Entry'!$AO$2,IF(AND(BO176="C"),'Marks Entry'!$AQ$2,""))),IF($P$3=$AT$13,IF(AND(BP176="A"),'Marks Entry'!$AS$2,IF(AND(BP176="B"),'Marks Entry'!$AW$2,IF(AND(BP176="C"),'Marks Entry'!$AY$2,""))),"-"))))),"")</f>
        <v/>
      </c>
      <c r="L176" s="806" t="str">
        <f>IFERROR(IF(B176="","",IF($P$3=$AT$8,'Statement of Marks'!J175,IF($P$3=$AT$9,'Statement of Marks'!X175,IF($P$3=$AT$10,'Statement of Marks'!AM175,IF($P$3=$AT$11,'Statement of Marks'!BJ175,IF($P$3=$AT$12,'Statement of Marks'!CG175,IF($P$3=$AT$13,'Statement of Marks'!DE175,IF($P$3=$AT$14,"",IF($P$3=$AT$15,'Statement of Marks'!EY175,""))))))))),"")</f>
        <v/>
      </c>
      <c r="M176" s="806" t="str">
        <f>IFERROR(IF(B176="","",IF($P$3=$AT$8,'Statement of Marks'!K175,IF($P$3=$AT$9,'Statement of Marks'!Y175,IF($P$3=$AT$10,'Statement of Marks'!AN175,IF($P$3=$AT$11,'Statement of Marks'!BK175,IF($P$3=$AT$12,'Statement of Marks'!CH175,IF($P$3=$AT$13,'Statement of Marks'!DF175,IF($P$3=$AT$14,"",IF($P$3=$AT$15,'Statement of Marks'!EZ175,""))))))))),"")</f>
        <v/>
      </c>
      <c r="N176" s="806" t="str">
        <f>IFERROR(IF(B176="","",IF($P$3=$AT$8,'Statement of Marks'!L175,IF($P$3=$AT$9,'Statement of Marks'!Z175,IF($P$3=$AT$10,'Statement of Marks'!AO175,IF($P$3=$AT$11,'Statement of Marks'!BL175,IF($P$3=$AT$12,'Statement of Marks'!CI175,IF($P$3=$AT$13,'Statement of Marks'!DG175,IF($P$3=$AT$14,"",IF($P$3=$AT$15,'Statement of Marks'!FA175,""))))))))),"")</f>
        <v/>
      </c>
      <c r="O176" s="807" t="str">
        <f t="shared" si="32"/>
        <v/>
      </c>
      <c r="P176" s="806" t="str">
        <f>IFERROR(IF(B176="","",IF($P$3=$AT$8,'Statement of Marks'!N175,IF($P$3=$AT$9,'Statement of Marks'!AB175,IF($P$3=$AT$10,'Statement of Marks'!AQ175,IF($P$3=$AT$11,'Statement of Marks'!BN175,IF($P$3=$AT$12,'Statement of Marks'!CK175,IF($P$3=$AT$13,'Statement of Marks'!DI175,IF($P$3=$AT$14,"",IF($P$3=$AT$15,'Statement of Marks'!FC175,""))))))))),"")</f>
        <v/>
      </c>
      <c r="Q176" s="806" t="str">
        <f>IFERROR(IF(B176="","",IF($P$3=$AT$8,"",IF($P$3=$AT$9,"",IF($P$3=$AT$10,'Statement of Marks'!AR175,IF($P$3=$AT$11,'Statement of Marks'!BO175,IF($P$3=$AT$12,'Statement of Marks'!CL175,IF($P$3=$AT$13,'Statement of Marks'!DJ175,IF($P$3=$AT$14,"",IF($P$3=$AT$15,"",""))))))))),"")</f>
        <v/>
      </c>
      <c r="R176" s="818" t="str">
        <f>IFERROR(IF(B176="","",IF(AND(P176="",Q176="",$P$3=""),"",IF($P$3=$AT$14,'Statement of Marks'!EC175,SUM(P176,Q176)))),"")</f>
        <v/>
      </c>
      <c r="S176" s="817" t="str">
        <f>IFERROR(IF(B176="","",IF($P$3=$AT$14,'Statement of Marks'!ED175,IF(AND(O176="NA",P176="NA",Q176="NA"),"NA",IF(AND(O176="",P176="",Q176=""),"",SUM(O176,P176,Q176))))),"")</f>
        <v/>
      </c>
      <c r="T176" s="806" t="str">
        <f>IFERROR(IF(B176="","",IF($P$3=$AT$8,'Statement of Marks'!P175,IF($P$3=$AT$9,'Statement of Marks'!AD175,IF($P$3=$AT$10,'Statement of Marks'!AU175,IF($P$3=$AT$11,'Statement of Marks'!BR175,IF($P$3=$AT$12,'Statement of Marks'!CO175,IF($P$3=$AT$13,'Statement of Marks'!DM175,IF($P$3=$AT$14,"",IF($P$3=$AT$15,'Statement of Marks'!FD175,""))))))))),"")</f>
        <v/>
      </c>
      <c r="U176" s="806" t="str">
        <f>IFERROR(IF(B176="","",IF($P$3=$AT$8,"",IF($P$3=$AT$9,"",IF($P$3=$AT$10,'Statement of Marks'!AV175,IF($P$3=$AT$11,'Statement of Marks'!BS175,IF($P$3=$AT$12,'Statement of Marks'!CP175,IF($P$3=$AT$13,'Statement of Marks'!DN175,IF($P$3=$AT$14,"",IF($P$3=$AT$15,"",""))))))))),"")</f>
        <v/>
      </c>
      <c r="V176" s="818" t="str">
        <f>IFERROR(IF(B176="","",IF(AND(T176="",U176="",$P$3=""),"",IF($P$3=$AT$14,'Statement of Marks'!EE175,SUM(T176,U176)))),"")</f>
        <v/>
      </c>
      <c r="W176" s="808" t="str">
        <f t="shared" si="33"/>
        <v/>
      </c>
      <c r="X176" s="809">
        <f t="shared" si="34"/>
        <v>0</v>
      </c>
      <c r="Y176" s="809">
        <f t="shared" si="35"/>
        <v>0</v>
      </c>
      <c r="Z176" s="809">
        <f t="shared" si="36"/>
        <v>0</v>
      </c>
      <c r="AA176" s="809" t="str">
        <f t="shared" si="37"/>
        <v/>
      </c>
      <c r="AB176" s="809" t="str">
        <f t="shared" si="38"/>
        <v/>
      </c>
      <c r="AC176" s="809" t="str">
        <f t="shared" si="39"/>
        <v/>
      </c>
      <c r="AD176" s="809" t="str">
        <f t="shared" si="40"/>
        <v/>
      </c>
      <c r="AE176" s="810" t="str">
        <f t="shared" si="41"/>
        <v/>
      </c>
      <c r="AF176" s="811" t="str">
        <f t="shared" si="42"/>
        <v/>
      </c>
      <c r="AG176" s="812" t="str">
        <f t="shared" si="43"/>
        <v/>
      </c>
      <c r="AW176" s="17" t="str">
        <f t="shared" si="44"/>
        <v/>
      </c>
      <c r="AX176" s="17" t="str">
        <f t="shared" si="45"/>
        <v/>
      </c>
      <c r="BM176" s="17" t="str">
        <f>IFERROR(VLOOKUP(B176,'Statement of Marks'!$B$8:'Statement of Marks'!$HI$207,37,0),"")</f>
        <v>A</v>
      </c>
      <c r="BN176" s="17" t="str">
        <f>IFERROR(VLOOKUP(B176,'Statement of Marks'!$B$8:'Statement of Marks'!$HI$207,60,0),"")</f>
        <v>A</v>
      </c>
      <c r="BO176" s="17" t="str">
        <f>IFERROR(VLOOKUP(B176,'Statement of Marks'!$B$8:'Statement of Marks'!$HI$207,83,0),"")</f>
        <v>A</v>
      </c>
      <c r="BP176" s="17" t="str">
        <f>IFERROR(VLOOKUP(B176,'Statement of Marks'!$B$8:'Statement of Marks'!$HI$207,107,0),"")</f>
        <v/>
      </c>
    </row>
    <row r="177" spans="1:68">
      <c r="A177" s="800">
        <f>IF('Statement of Marks'!A176="","",'Statement of Marks'!A176)</f>
        <v>169</v>
      </c>
      <c r="B177" s="801" t="str">
        <f>IF(OR($E$3="",$P$3=""),"",IF('Statement of Marks'!B176="","",'Statement of Marks'!B176))</f>
        <v/>
      </c>
      <c r="C177" s="810" t="str">
        <f>IF(OR($E$3="",$P$3=""),"",IF('Marks Entry'!C176="","",'Marks Entry'!C176))</f>
        <v/>
      </c>
      <c r="D177" s="802" t="str">
        <f>IF(OR($E$3="",$P$3=""),"",IF('Statement of Marks'!C176="","",'Statement of Marks'!C176))</f>
        <v/>
      </c>
      <c r="E177" s="803" t="str">
        <f>IF(OR($E$3="",$P$3=""),"",IF('Statement of Marks'!D176="","",'Statement of Marks'!D176))</f>
        <v/>
      </c>
      <c r="F177" s="804" t="str">
        <f>IF(OR($E$3="",$P$3=""),"",IF('Statement of Marks'!E176="","",'Statement of Marks'!E176))</f>
        <v/>
      </c>
      <c r="G177" s="804" t="str">
        <f>IF(OR($E$3="",$P$3=""),"",IF('Statement of Marks'!F176="","",'Statement of Marks'!F176))</f>
        <v/>
      </c>
      <c r="H177" s="804" t="str">
        <f>IF(OR($E$3="",$P$3=""),"",IF('Statement of Marks'!G176="","",'Statement of Marks'!G176))</f>
        <v/>
      </c>
      <c r="I177" s="805" t="str">
        <f>IF(OR($E$3="",$P$3=""),"",IF('Statement of Marks'!H176="","",'Statement of Marks'!H176))</f>
        <v/>
      </c>
      <c r="J177" s="805" t="str">
        <f>IF(OR($E$3="",$P$3=""),"",IF('Statement of Marks'!I176="","",'Statement of Marks'!I176))</f>
        <v/>
      </c>
      <c r="K177" s="805" t="str">
        <f>IFERROR(IF(B177="","",IF($P$3=$AT$10,IF(AND(BM177="A"),'Marks Entry'!$U$2,IF(AND(BM177="B"),'Marks Entry'!$Y$2,IF(AND(BM177="C"),'Marks Entry'!$AA$2,""))),IF($P$3=$AT$11,IF(AND(BN177="A"),'Marks Entry'!$AC$2,IF(AND(BN177="B"),'Marks Entry'!$AG$2,IF(AND(BN177="C"),'Marks Entry'!$AI$2,""))),IF($P$3=$AT$12,IF(AND(BO177="A"),'Marks Entry'!$AK$2,IF(AND(BO177="B"),'Marks Entry'!$AO$2,IF(AND(BO177="C"),'Marks Entry'!$AQ$2,""))),IF($P$3=$AT$13,IF(AND(BP177="A"),'Marks Entry'!$AS$2,IF(AND(BP177="B"),'Marks Entry'!$AW$2,IF(AND(BP177="C"),'Marks Entry'!$AY$2,""))),"-"))))),"")</f>
        <v/>
      </c>
      <c r="L177" s="806" t="str">
        <f>IFERROR(IF(B177="","",IF($P$3=$AT$8,'Statement of Marks'!J176,IF($P$3=$AT$9,'Statement of Marks'!X176,IF($P$3=$AT$10,'Statement of Marks'!AM176,IF($P$3=$AT$11,'Statement of Marks'!BJ176,IF($P$3=$AT$12,'Statement of Marks'!CG176,IF($P$3=$AT$13,'Statement of Marks'!DE176,IF($P$3=$AT$14,"",IF($P$3=$AT$15,'Statement of Marks'!EY176,""))))))))),"")</f>
        <v/>
      </c>
      <c r="M177" s="806" t="str">
        <f>IFERROR(IF(B177="","",IF($P$3=$AT$8,'Statement of Marks'!K176,IF($P$3=$AT$9,'Statement of Marks'!Y176,IF($P$3=$AT$10,'Statement of Marks'!AN176,IF($P$3=$AT$11,'Statement of Marks'!BK176,IF($P$3=$AT$12,'Statement of Marks'!CH176,IF($P$3=$AT$13,'Statement of Marks'!DF176,IF($P$3=$AT$14,"",IF($P$3=$AT$15,'Statement of Marks'!EZ176,""))))))))),"")</f>
        <v/>
      </c>
      <c r="N177" s="806" t="str">
        <f>IFERROR(IF(B177="","",IF($P$3=$AT$8,'Statement of Marks'!L176,IF($P$3=$AT$9,'Statement of Marks'!Z176,IF($P$3=$AT$10,'Statement of Marks'!AO176,IF($P$3=$AT$11,'Statement of Marks'!BL176,IF($P$3=$AT$12,'Statement of Marks'!CI176,IF($P$3=$AT$13,'Statement of Marks'!DG176,IF($P$3=$AT$14,"",IF($P$3=$AT$15,'Statement of Marks'!FA176,""))))))))),"")</f>
        <v/>
      </c>
      <c r="O177" s="807" t="str">
        <f t="shared" si="32"/>
        <v/>
      </c>
      <c r="P177" s="806" t="str">
        <f>IFERROR(IF(B177="","",IF($P$3=$AT$8,'Statement of Marks'!N176,IF($P$3=$AT$9,'Statement of Marks'!AB176,IF($P$3=$AT$10,'Statement of Marks'!AQ176,IF($P$3=$AT$11,'Statement of Marks'!BN176,IF($P$3=$AT$12,'Statement of Marks'!CK176,IF($P$3=$AT$13,'Statement of Marks'!DI176,IF($P$3=$AT$14,"",IF($P$3=$AT$15,'Statement of Marks'!FC176,""))))))))),"")</f>
        <v/>
      </c>
      <c r="Q177" s="806" t="str">
        <f>IFERROR(IF(B177="","",IF($P$3=$AT$8,"",IF($P$3=$AT$9,"",IF($P$3=$AT$10,'Statement of Marks'!AR176,IF($P$3=$AT$11,'Statement of Marks'!BO176,IF($P$3=$AT$12,'Statement of Marks'!CL176,IF($P$3=$AT$13,'Statement of Marks'!DJ176,IF($P$3=$AT$14,"",IF($P$3=$AT$15,"",""))))))))),"")</f>
        <v/>
      </c>
      <c r="R177" s="818" t="str">
        <f>IFERROR(IF(B177="","",IF(AND(P177="",Q177="",$P$3=""),"",IF($P$3=$AT$14,'Statement of Marks'!EC176,SUM(P177,Q177)))),"")</f>
        <v/>
      </c>
      <c r="S177" s="817" t="str">
        <f>IFERROR(IF(B177="","",IF($P$3=$AT$14,'Statement of Marks'!ED176,IF(AND(O177="NA",P177="NA",Q177="NA"),"NA",IF(AND(O177="",P177="",Q177=""),"",SUM(O177,P177,Q177))))),"")</f>
        <v/>
      </c>
      <c r="T177" s="806" t="str">
        <f>IFERROR(IF(B177="","",IF($P$3=$AT$8,'Statement of Marks'!P176,IF($P$3=$AT$9,'Statement of Marks'!AD176,IF($P$3=$AT$10,'Statement of Marks'!AU176,IF($P$3=$AT$11,'Statement of Marks'!BR176,IF($P$3=$AT$12,'Statement of Marks'!CO176,IF($P$3=$AT$13,'Statement of Marks'!DM176,IF($P$3=$AT$14,"",IF($P$3=$AT$15,'Statement of Marks'!FD176,""))))))))),"")</f>
        <v/>
      </c>
      <c r="U177" s="806" t="str">
        <f>IFERROR(IF(B177="","",IF($P$3=$AT$8,"",IF($P$3=$AT$9,"",IF($P$3=$AT$10,'Statement of Marks'!AV176,IF($P$3=$AT$11,'Statement of Marks'!BS176,IF($P$3=$AT$12,'Statement of Marks'!CP176,IF($P$3=$AT$13,'Statement of Marks'!DN176,IF($P$3=$AT$14,"",IF($P$3=$AT$15,"",""))))))))),"")</f>
        <v/>
      </c>
      <c r="V177" s="818" t="str">
        <f>IFERROR(IF(B177="","",IF(AND(T177="",U177="",$P$3=""),"",IF($P$3=$AT$14,'Statement of Marks'!EE176,SUM(T177,U177)))),"")</f>
        <v/>
      </c>
      <c r="W177" s="808" t="str">
        <f t="shared" si="33"/>
        <v/>
      </c>
      <c r="X177" s="809">
        <f t="shared" si="34"/>
        <v>0</v>
      </c>
      <c r="Y177" s="809">
        <f t="shared" si="35"/>
        <v>0</v>
      </c>
      <c r="Z177" s="809">
        <f t="shared" si="36"/>
        <v>0</v>
      </c>
      <c r="AA177" s="809" t="str">
        <f t="shared" si="37"/>
        <v/>
      </c>
      <c r="AB177" s="809" t="str">
        <f t="shared" si="38"/>
        <v/>
      </c>
      <c r="AC177" s="809" t="str">
        <f t="shared" si="39"/>
        <v/>
      </c>
      <c r="AD177" s="809" t="str">
        <f t="shared" si="40"/>
        <v/>
      </c>
      <c r="AE177" s="810" t="str">
        <f t="shared" si="41"/>
        <v/>
      </c>
      <c r="AF177" s="811" t="str">
        <f t="shared" si="42"/>
        <v/>
      </c>
      <c r="AG177" s="812" t="str">
        <f t="shared" si="43"/>
        <v/>
      </c>
      <c r="AW177" s="17" t="str">
        <f t="shared" si="44"/>
        <v/>
      </c>
      <c r="AX177" s="17" t="str">
        <f t="shared" si="45"/>
        <v/>
      </c>
      <c r="BM177" s="17" t="str">
        <f>IFERROR(VLOOKUP(B177,'Statement of Marks'!$B$8:'Statement of Marks'!$HI$207,37,0),"")</f>
        <v>A</v>
      </c>
      <c r="BN177" s="17" t="str">
        <f>IFERROR(VLOOKUP(B177,'Statement of Marks'!$B$8:'Statement of Marks'!$HI$207,60,0),"")</f>
        <v>A</v>
      </c>
      <c r="BO177" s="17" t="str">
        <f>IFERROR(VLOOKUP(B177,'Statement of Marks'!$B$8:'Statement of Marks'!$HI$207,83,0),"")</f>
        <v>A</v>
      </c>
      <c r="BP177" s="17" t="str">
        <f>IFERROR(VLOOKUP(B177,'Statement of Marks'!$B$8:'Statement of Marks'!$HI$207,107,0),"")</f>
        <v/>
      </c>
    </row>
    <row r="178" spans="1:68">
      <c r="A178" s="800">
        <f>IF('Statement of Marks'!A177="","",'Statement of Marks'!A177)</f>
        <v>170</v>
      </c>
      <c r="B178" s="801" t="str">
        <f>IF(OR($E$3="",$P$3=""),"",IF('Statement of Marks'!B177="","",'Statement of Marks'!B177))</f>
        <v/>
      </c>
      <c r="C178" s="810" t="str">
        <f>IF(OR($E$3="",$P$3=""),"",IF('Marks Entry'!C177="","",'Marks Entry'!C177))</f>
        <v/>
      </c>
      <c r="D178" s="802" t="str">
        <f>IF(OR($E$3="",$P$3=""),"",IF('Statement of Marks'!C177="","",'Statement of Marks'!C177))</f>
        <v/>
      </c>
      <c r="E178" s="803" t="str">
        <f>IF(OR($E$3="",$P$3=""),"",IF('Statement of Marks'!D177="","",'Statement of Marks'!D177))</f>
        <v/>
      </c>
      <c r="F178" s="804" t="str">
        <f>IF(OR($E$3="",$P$3=""),"",IF('Statement of Marks'!E177="","",'Statement of Marks'!E177))</f>
        <v/>
      </c>
      <c r="G178" s="804" t="str">
        <f>IF(OR($E$3="",$P$3=""),"",IF('Statement of Marks'!F177="","",'Statement of Marks'!F177))</f>
        <v/>
      </c>
      <c r="H178" s="804" t="str">
        <f>IF(OR($E$3="",$P$3=""),"",IF('Statement of Marks'!G177="","",'Statement of Marks'!G177))</f>
        <v/>
      </c>
      <c r="I178" s="805" t="str">
        <f>IF(OR($E$3="",$P$3=""),"",IF('Statement of Marks'!H177="","",'Statement of Marks'!H177))</f>
        <v/>
      </c>
      <c r="J178" s="805" t="str">
        <f>IF(OR($E$3="",$P$3=""),"",IF('Statement of Marks'!I177="","",'Statement of Marks'!I177))</f>
        <v/>
      </c>
      <c r="K178" s="805" t="str">
        <f>IFERROR(IF(B178="","",IF($P$3=$AT$10,IF(AND(BM178="A"),'Marks Entry'!$U$2,IF(AND(BM178="B"),'Marks Entry'!$Y$2,IF(AND(BM178="C"),'Marks Entry'!$AA$2,""))),IF($P$3=$AT$11,IF(AND(BN178="A"),'Marks Entry'!$AC$2,IF(AND(BN178="B"),'Marks Entry'!$AG$2,IF(AND(BN178="C"),'Marks Entry'!$AI$2,""))),IF($P$3=$AT$12,IF(AND(BO178="A"),'Marks Entry'!$AK$2,IF(AND(BO178="B"),'Marks Entry'!$AO$2,IF(AND(BO178="C"),'Marks Entry'!$AQ$2,""))),IF($P$3=$AT$13,IF(AND(BP178="A"),'Marks Entry'!$AS$2,IF(AND(BP178="B"),'Marks Entry'!$AW$2,IF(AND(BP178="C"),'Marks Entry'!$AY$2,""))),"-"))))),"")</f>
        <v/>
      </c>
      <c r="L178" s="806" t="str">
        <f>IFERROR(IF(B178="","",IF($P$3=$AT$8,'Statement of Marks'!J177,IF($P$3=$AT$9,'Statement of Marks'!X177,IF($P$3=$AT$10,'Statement of Marks'!AM177,IF($P$3=$AT$11,'Statement of Marks'!BJ177,IF($P$3=$AT$12,'Statement of Marks'!CG177,IF($P$3=$AT$13,'Statement of Marks'!DE177,IF($P$3=$AT$14,"",IF($P$3=$AT$15,'Statement of Marks'!EY177,""))))))))),"")</f>
        <v/>
      </c>
      <c r="M178" s="806" t="str">
        <f>IFERROR(IF(B178="","",IF($P$3=$AT$8,'Statement of Marks'!K177,IF($P$3=$AT$9,'Statement of Marks'!Y177,IF($P$3=$AT$10,'Statement of Marks'!AN177,IF($P$3=$AT$11,'Statement of Marks'!BK177,IF($P$3=$AT$12,'Statement of Marks'!CH177,IF($P$3=$AT$13,'Statement of Marks'!DF177,IF($P$3=$AT$14,"",IF($P$3=$AT$15,'Statement of Marks'!EZ177,""))))))))),"")</f>
        <v/>
      </c>
      <c r="N178" s="806" t="str">
        <f>IFERROR(IF(B178="","",IF($P$3=$AT$8,'Statement of Marks'!L177,IF($P$3=$AT$9,'Statement of Marks'!Z177,IF($P$3=$AT$10,'Statement of Marks'!AO177,IF($P$3=$AT$11,'Statement of Marks'!BL177,IF($P$3=$AT$12,'Statement of Marks'!CI177,IF($P$3=$AT$13,'Statement of Marks'!DG177,IF($P$3=$AT$14,"",IF($P$3=$AT$15,'Statement of Marks'!FA177,""))))))))),"")</f>
        <v/>
      </c>
      <c r="O178" s="807" t="str">
        <f t="shared" si="32"/>
        <v/>
      </c>
      <c r="P178" s="806" t="str">
        <f>IFERROR(IF(B178="","",IF($P$3=$AT$8,'Statement of Marks'!N177,IF($P$3=$AT$9,'Statement of Marks'!AB177,IF($P$3=$AT$10,'Statement of Marks'!AQ177,IF($P$3=$AT$11,'Statement of Marks'!BN177,IF($P$3=$AT$12,'Statement of Marks'!CK177,IF($P$3=$AT$13,'Statement of Marks'!DI177,IF($P$3=$AT$14,"",IF($P$3=$AT$15,'Statement of Marks'!FC177,""))))))))),"")</f>
        <v/>
      </c>
      <c r="Q178" s="806" t="str">
        <f>IFERROR(IF(B178="","",IF($P$3=$AT$8,"",IF($P$3=$AT$9,"",IF($P$3=$AT$10,'Statement of Marks'!AR177,IF($P$3=$AT$11,'Statement of Marks'!BO177,IF($P$3=$AT$12,'Statement of Marks'!CL177,IF($P$3=$AT$13,'Statement of Marks'!DJ177,IF($P$3=$AT$14,"",IF($P$3=$AT$15,"",""))))))))),"")</f>
        <v/>
      </c>
      <c r="R178" s="818" t="str">
        <f>IFERROR(IF(B178="","",IF(AND(P178="",Q178="",$P$3=""),"",IF($P$3=$AT$14,'Statement of Marks'!EC177,SUM(P178,Q178)))),"")</f>
        <v/>
      </c>
      <c r="S178" s="817" t="str">
        <f>IFERROR(IF(B178="","",IF($P$3=$AT$14,'Statement of Marks'!ED177,IF(AND(O178="NA",P178="NA",Q178="NA"),"NA",IF(AND(O178="",P178="",Q178=""),"",SUM(O178,P178,Q178))))),"")</f>
        <v/>
      </c>
      <c r="T178" s="806" t="str">
        <f>IFERROR(IF(B178="","",IF($P$3=$AT$8,'Statement of Marks'!P177,IF($P$3=$AT$9,'Statement of Marks'!AD177,IF($P$3=$AT$10,'Statement of Marks'!AU177,IF($P$3=$AT$11,'Statement of Marks'!BR177,IF($P$3=$AT$12,'Statement of Marks'!CO177,IF($P$3=$AT$13,'Statement of Marks'!DM177,IF($P$3=$AT$14,"",IF($P$3=$AT$15,'Statement of Marks'!FD177,""))))))))),"")</f>
        <v/>
      </c>
      <c r="U178" s="806" t="str">
        <f>IFERROR(IF(B178="","",IF($P$3=$AT$8,"",IF($P$3=$AT$9,"",IF($P$3=$AT$10,'Statement of Marks'!AV177,IF($P$3=$AT$11,'Statement of Marks'!BS177,IF($P$3=$AT$12,'Statement of Marks'!CP177,IF($P$3=$AT$13,'Statement of Marks'!DN177,IF($P$3=$AT$14,"",IF($P$3=$AT$15,"",""))))))))),"")</f>
        <v/>
      </c>
      <c r="V178" s="818" t="str">
        <f>IFERROR(IF(B178="","",IF(AND(T178="",U178="",$P$3=""),"",IF($P$3=$AT$14,'Statement of Marks'!EE177,SUM(T178,U178)))),"")</f>
        <v/>
      </c>
      <c r="W178" s="808" t="str">
        <f t="shared" si="33"/>
        <v/>
      </c>
      <c r="X178" s="809">
        <f t="shared" si="34"/>
        <v>0</v>
      </c>
      <c r="Y178" s="809">
        <f t="shared" si="35"/>
        <v>0</v>
      </c>
      <c r="Z178" s="809">
        <f t="shared" si="36"/>
        <v>0</v>
      </c>
      <c r="AA178" s="809" t="str">
        <f t="shared" si="37"/>
        <v/>
      </c>
      <c r="AB178" s="809" t="str">
        <f t="shared" si="38"/>
        <v/>
      </c>
      <c r="AC178" s="809" t="str">
        <f t="shared" si="39"/>
        <v/>
      </c>
      <c r="AD178" s="809" t="str">
        <f t="shared" si="40"/>
        <v/>
      </c>
      <c r="AE178" s="810" t="str">
        <f t="shared" si="41"/>
        <v/>
      </c>
      <c r="AF178" s="811" t="str">
        <f t="shared" si="42"/>
        <v/>
      </c>
      <c r="AG178" s="812" t="str">
        <f t="shared" si="43"/>
        <v/>
      </c>
      <c r="AW178" s="17" t="str">
        <f t="shared" si="44"/>
        <v/>
      </c>
      <c r="AX178" s="17" t="str">
        <f t="shared" si="45"/>
        <v/>
      </c>
      <c r="BM178" s="17" t="str">
        <f>IFERROR(VLOOKUP(B178,'Statement of Marks'!$B$8:'Statement of Marks'!$HI$207,37,0),"")</f>
        <v>A</v>
      </c>
      <c r="BN178" s="17" t="str">
        <f>IFERROR(VLOOKUP(B178,'Statement of Marks'!$B$8:'Statement of Marks'!$HI$207,60,0),"")</f>
        <v>A</v>
      </c>
      <c r="BO178" s="17" t="str">
        <f>IFERROR(VLOOKUP(B178,'Statement of Marks'!$B$8:'Statement of Marks'!$HI$207,83,0),"")</f>
        <v>A</v>
      </c>
      <c r="BP178" s="17" t="str">
        <f>IFERROR(VLOOKUP(B178,'Statement of Marks'!$B$8:'Statement of Marks'!$HI$207,107,0),"")</f>
        <v/>
      </c>
    </row>
    <row r="179" spans="1:68">
      <c r="A179" s="800">
        <f>IF('Statement of Marks'!A178="","",'Statement of Marks'!A178)</f>
        <v>171</v>
      </c>
      <c r="B179" s="801" t="str">
        <f>IF(OR($E$3="",$P$3=""),"",IF('Statement of Marks'!B178="","",'Statement of Marks'!B178))</f>
        <v/>
      </c>
      <c r="C179" s="810" t="str">
        <f>IF(OR($E$3="",$P$3=""),"",IF('Marks Entry'!C178="","",'Marks Entry'!C178))</f>
        <v/>
      </c>
      <c r="D179" s="802" t="str">
        <f>IF(OR($E$3="",$P$3=""),"",IF('Statement of Marks'!C178="","",'Statement of Marks'!C178))</f>
        <v/>
      </c>
      <c r="E179" s="803" t="str">
        <f>IF(OR($E$3="",$P$3=""),"",IF('Statement of Marks'!D178="","",'Statement of Marks'!D178))</f>
        <v/>
      </c>
      <c r="F179" s="804" t="str">
        <f>IF(OR($E$3="",$P$3=""),"",IF('Statement of Marks'!E178="","",'Statement of Marks'!E178))</f>
        <v/>
      </c>
      <c r="G179" s="804" t="str">
        <f>IF(OR($E$3="",$P$3=""),"",IF('Statement of Marks'!F178="","",'Statement of Marks'!F178))</f>
        <v/>
      </c>
      <c r="H179" s="804" t="str">
        <f>IF(OR($E$3="",$P$3=""),"",IF('Statement of Marks'!G178="","",'Statement of Marks'!G178))</f>
        <v/>
      </c>
      <c r="I179" s="805" t="str">
        <f>IF(OR($E$3="",$P$3=""),"",IF('Statement of Marks'!H178="","",'Statement of Marks'!H178))</f>
        <v/>
      </c>
      <c r="J179" s="805" t="str">
        <f>IF(OR($E$3="",$P$3=""),"",IF('Statement of Marks'!I178="","",'Statement of Marks'!I178))</f>
        <v/>
      </c>
      <c r="K179" s="805" t="str">
        <f>IFERROR(IF(B179="","",IF($P$3=$AT$10,IF(AND(BM179="A"),'Marks Entry'!$U$2,IF(AND(BM179="B"),'Marks Entry'!$Y$2,IF(AND(BM179="C"),'Marks Entry'!$AA$2,""))),IF($P$3=$AT$11,IF(AND(BN179="A"),'Marks Entry'!$AC$2,IF(AND(BN179="B"),'Marks Entry'!$AG$2,IF(AND(BN179="C"),'Marks Entry'!$AI$2,""))),IF($P$3=$AT$12,IF(AND(BO179="A"),'Marks Entry'!$AK$2,IF(AND(BO179="B"),'Marks Entry'!$AO$2,IF(AND(BO179="C"),'Marks Entry'!$AQ$2,""))),IF($P$3=$AT$13,IF(AND(BP179="A"),'Marks Entry'!$AS$2,IF(AND(BP179="B"),'Marks Entry'!$AW$2,IF(AND(BP179="C"),'Marks Entry'!$AY$2,""))),"-"))))),"")</f>
        <v/>
      </c>
      <c r="L179" s="806" t="str">
        <f>IFERROR(IF(B179="","",IF($P$3=$AT$8,'Statement of Marks'!J178,IF($P$3=$AT$9,'Statement of Marks'!X178,IF($P$3=$AT$10,'Statement of Marks'!AM178,IF($P$3=$AT$11,'Statement of Marks'!BJ178,IF($P$3=$AT$12,'Statement of Marks'!CG178,IF($P$3=$AT$13,'Statement of Marks'!DE178,IF($P$3=$AT$14,"",IF($P$3=$AT$15,'Statement of Marks'!EY178,""))))))))),"")</f>
        <v/>
      </c>
      <c r="M179" s="806" t="str">
        <f>IFERROR(IF(B179="","",IF($P$3=$AT$8,'Statement of Marks'!K178,IF($P$3=$AT$9,'Statement of Marks'!Y178,IF($P$3=$AT$10,'Statement of Marks'!AN178,IF($P$3=$AT$11,'Statement of Marks'!BK178,IF($P$3=$AT$12,'Statement of Marks'!CH178,IF($P$3=$AT$13,'Statement of Marks'!DF178,IF($P$3=$AT$14,"",IF($P$3=$AT$15,'Statement of Marks'!EZ178,""))))))))),"")</f>
        <v/>
      </c>
      <c r="N179" s="806" t="str">
        <f>IFERROR(IF(B179="","",IF($P$3=$AT$8,'Statement of Marks'!L178,IF($P$3=$AT$9,'Statement of Marks'!Z178,IF($P$3=$AT$10,'Statement of Marks'!AO178,IF($P$3=$AT$11,'Statement of Marks'!BL178,IF($P$3=$AT$12,'Statement of Marks'!CI178,IF($P$3=$AT$13,'Statement of Marks'!DG178,IF($P$3=$AT$14,"",IF($P$3=$AT$15,'Statement of Marks'!FA178,""))))))))),"")</f>
        <v/>
      </c>
      <c r="O179" s="807" t="str">
        <f t="shared" si="32"/>
        <v/>
      </c>
      <c r="P179" s="806" t="str">
        <f>IFERROR(IF(B179="","",IF($P$3=$AT$8,'Statement of Marks'!N178,IF($P$3=$AT$9,'Statement of Marks'!AB178,IF($P$3=$AT$10,'Statement of Marks'!AQ178,IF($P$3=$AT$11,'Statement of Marks'!BN178,IF($P$3=$AT$12,'Statement of Marks'!CK178,IF($P$3=$AT$13,'Statement of Marks'!DI178,IF($P$3=$AT$14,"",IF($P$3=$AT$15,'Statement of Marks'!FC178,""))))))))),"")</f>
        <v/>
      </c>
      <c r="Q179" s="806" t="str">
        <f>IFERROR(IF(B179="","",IF($P$3=$AT$8,"",IF($P$3=$AT$9,"",IF($P$3=$AT$10,'Statement of Marks'!AR178,IF($P$3=$AT$11,'Statement of Marks'!BO178,IF($P$3=$AT$12,'Statement of Marks'!CL178,IF($P$3=$AT$13,'Statement of Marks'!DJ178,IF($P$3=$AT$14,"",IF($P$3=$AT$15,"",""))))))))),"")</f>
        <v/>
      </c>
      <c r="R179" s="818" t="str">
        <f>IFERROR(IF(B179="","",IF(AND(P179="",Q179="",$P$3=""),"",IF($P$3=$AT$14,'Statement of Marks'!EC178,SUM(P179,Q179)))),"")</f>
        <v/>
      </c>
      <c r="S179" s="817" t="str">
        <f>IFERROR(IF(B179="","",IF($P$3=$AT$14,'Statement of Marks'!ED178,IF(AND(O179="NA",P179="NA",Q179="NA"),"NA",IF(AND(O179="",P179="",Q179=""),"",SUM(O179,P179,Q179))))),"")</f>
        <v/>
      </c>
      <c r="T179" s="806" t="str">
        <f>IFERROR(IF(B179="","",IF($P$3=$AT$8,'Statement of Marks'!P178,IF($P$3=$AT$9,'Statement of Marks'!AD178,IF($P$3=$AT$10,'Statement of Marks'!AU178,IF($P$3=$AT$11,'Statement of Marks'!BR178,IF($P$3=$AT$12,'Statement of Marks'!CO178,IF($P$3=$AT$13,'Statement of Marks'!DM178,IF($P$3=$AT$14,"",IF($P$3=$AT$15,'Statement of Marks'!FD178,""))))))))),"")</f>
        <v/>
      </c>
      <c r="U179" s="806" t="str">
        <f>IFERROR(IF(B179="","",IF($P$3=$AT$8,"",IF($P$3=$AT$9,"",IF($P$3=$AT$10,'Statement of Marks'!AV178,IF($P$3=$AT$11,'Statement of Marks'!BS178,IF($P$3=$AT$12,'Statement of Marks'!CP178,IF($P$3=$AT$13,'Statement of Marks'!DN178,IF($P$3=$AT$14,"",IF($P$3=$AT$15,"",""))))))))),"")</f>
        <v/>
      </c>
      <c r="V179" s="818" t="str">
        <f>IFERROR(IF(B179="","",IF(AND(T179="",U179="",$P$3=""),"",IF($P$3=$AT$14,'Statement of Marks'!EE178,SUM(T179,U179)))),"")</f>
        <v/>
      </c>
      <c r="W179" s="808" t="str">
        <f t="shared" si="33"/>
        <v/>
      </c>
      <c r="X179" s="809">
        <f t="shared" si="34"/>
        <v>0</v>
      </c>
      <c r="Y179" s="809">
        <f t="shared" si="35"/>
        <v>0</v>
      </c>
      <c r="Z179" s="809">
        <f t="shared" si="36"/>
        <v>0</v>
      </c>
      <c r="AA179" s="809" t="str">
        <f t="shared" si="37"/>
        <v/>
      </c>
      <c r="AB179" s="809" t="str">
        <f t="shared" si="38"/>
        <v/>
      </c>
      <c r="AC179" s="809" t="str">
        <f t="shared" si="39"/>
        <v/>
      </c>
      <c r="AD179" s="809" t="str">
        <f t="shared" si="40"/>
        <v/>
      </c>
      <c r="AE179" s="810" t="str">
        <f t="shared" si="41"/>
        <v/>
      </c>
      <c r="AF179" s="811" t="str">
        <f t="shared" si="42"/>
        <v/>
      </c>
      <c r="AG179" s="812" t="str">
        <f t="shared" si="43"/>
        <v/>
      </c>
      <c r="AW179" s="17" t="str">
        <f t="shared" si="44"/>
        <v/>
      </c>
      <c r="AX179" s="17" t="str">
        <f t="shared" si="45"/>
        <v/>
      </c>
      <c r="BM179" s="17" t="str">
        <f>IFERROR(VLOOKUP(B179,'Statement of Marks'!$B$8:'Statement of Marks'!$HI$207,37,0),"")</f>
        <v>A</v>
      </c>
      <c r="BN179" s="17" t="str">
        <f>IFERROR(VLOOKUP(B179,'Statement of Marks'!$B$8:'Statement of Marks'!$HI$207,60,0),"")</f>
        <v>A</v>
      </c>
      <c r="BO179" s="17" t="str">
        <f>IFERROR(VLOOKUP(B179,'Statement of Marks'!$B$8:'Statement of Marks'!$HI$207,83,0),"")</f>
        <v>A</v>
      </c>
      <c r="BP179" s="17" t="str">
        <f>IFERROR(VLOOKUP(B179,'Statement of Marks'!$B$8:'Statement of Marks'!$HI$207,107,0),"")</f>
        <v/>
      </c>
    </row>
    <row r="180" spans="1:68">
      <c r="A180" s="800">
        <f>IF('Statement of Marks'!A179="","",'Statement of Marks'!A179)</f>
        <v>172</v>
      </c>
      <c r="B180" s="801" t="str">
        <f>IF(OR($E$3="",$P$3=""),"",IF('Statement of Marks'!B179="","",'Statement of Marks'!B179))</f>
        <v/>
      </c>
      <c r="C180" s="810" t="str">
        <f>IF(OR($E$3="",$P$3=""),"",IF('Marks Entry'!C179="","",'Marks Entry'!C179))</f>
        <v/>
      </c>
      <c r="D180" s="802" t="str">
        <f>IF(OR($E$3="",$P$3=""),"",IF('Statement of Marks'!C179="","",'Statement of Marks'!C179))</f>
        <v/>
      </c>
      <c r="E180" s="803" t="str">
        <f>IF(OR($E$3="",$P$3=""),"",IF('Statement of Marks'!D179="","",'Statement of Marks'!D179))</f>
        <v/>
      </c>
      <c r="F180" s="804" t="str">
        <f>IF(OR($E$3="",$P$3=""),"",IF('Statement of Marks'!E179="","",'Statement of Marks'!E179))</f>
        <v/>
      </c>
      <c r="G180" s="804" t="str">
        <f>IF(OR($E$3="",$P$3=""),"",IF('Statement of Marks'!F179="","",'Statement of Marks'!F179))</f>
        <v/>
      </c>
      <c r="H180" s="804" t="str">
        <f>IF(OR($E$3="",$P$3=""),"",IF('Statement of Marks'!G179="","",'Statement of Marks'!G179))</f>
        <v/>
      </c>
      <c r="I180" s="805" t="str">
        <f>IF(OR($E$3="",$P$3=""),"",IF('Statement of Marks'!H179="","",'Statement of Marks'!H179))</f>
        <v/>
      </c>
      <c r="J180" s="805" t="str">
        <f>IF(OR($E$3="",$P$3=""),"",IF('Statement of Marks'!I179="","",'Statement of Marks'!I179))</f>
        <v/>
      </c>
      <c r="K180" s="805" t="str">
        <f>IFERROR(IF(B180="","",IF($P$3=$AT$10,IF(AND(BM180="A"),'Marks Entry'!$U$2,IF(AND(BM180="B"),'Marks Entry'!$Y$2,IF(AND(BM180="C"),'Marks Entry'!$AA$2,""))),IF($P$3=$AT$11,IF(AND(BN180="A"),'Marks Entry'!$AC$2,IF(AND(BN180="B"),'Marks Entry'!$AG$2,IF(AND(BN180="C"),'Marks Entry'!$AI$2,""))),IF($P$3=$AT$12,IF(AND(BO180="A"),'Marks Entry'!$AK$2,IF(AND(BO180="B"),'Marks Entry'!$AO$2,IF(AND(BO180="C"),'Marks Entry'!$AQ$2,""))),IF($P$3=$AT$13,IF(AND(BP180="A"),'Marks Entry'!$AS$2,IF(AND(BP180="B"),'Marks Entry'!$AW$2,IF(AND(BP180="C"),'Marks Entry'!$AY$2,""))),"-"))))),"")</f>
        <v/>
      </c>
      <c r="L180" s="806" t="str">
        <f>IFERROR(IF(B180="","",IF($P$3=$AT$8,'Statement of Marks'!J179,IF($P$3=$AT$9,'Statement of Marks'!X179,IF($P$3=$AT$10,'Statement of Marks'!AM179,IF($P$3=$AT$11,'Statement of Marks'!BJ179,IF($P$3=$AT$12,'Statement of Marks'!CG179,IF($P$3=$AT$13,'Statement of Marks'!DE179,IF($P$3=$AT$14,"",IF($P$3=$AT$15,'Statement of Marks'!EY179,""))))))))),"")</f>
        <v/>
      </c>
      <c r="M180" s="806" t="str">
        <f>IFERROR(IF(B180="","",IF($P$3=$AT$8,'Statement of Marks'!K179,IF($P$3=$AT$9,'Statement of Marks'!Y179,IF($P$3=$AT$10,'Statement of Marks'!AN179,IF($P$3=$AT$11,'Statement of Marks'!BK179,IF($P$3=$AT$12,'Statement of Marks'!CH179,IF($P$3=$AT$13,'Statement of Marks'!DF179,IF($P$3=$AT$14,"",IF($P$3=$AT$15,'Statement of Marks'!EZ179,""))))))))),"")</f>
        <v/>
      </c>
      <c r="N180" s="806" t="str">
        <f>IFERROR(IF(B180="","",IF($P$3=$AT$8,'Statement of Marks'!L179,IF($P$3=$AT$9,'Statement of Marks'!Z179,IF($P$3=$AT$10,'Statement of Marks'!AO179,IF($P$3=$AT$11,'Statement of Marks'!BL179,IF($P$3=$AT$12,'Statement of Marks'!CI179,IF($P$3=$AT$13,'Statement of Marks'!DG179,IF($P$3=$AT$14,"",IF($P$3=$AT$15,'Statement of Marks'!FA179,""))))))))),"")</f>
        <v/>
      </c>
      <c r="O180" s="807" t="str">
        <f t="shared" si="32"/>
        <v/>
      </c>
      <c r="P180" s="806" t="str">
        <f>IFERROR(IF(B180="","",IF($P$3=$AT$8,'Statement of Marks'!N179,IF($P$3=$AT$9,'Statement of Marks'!AB179,IF($P$3=$AT$10,'Statement of Marks'!AQ179,IF($P$3=$AT$11,'Statement of Marks'!BN179,IF($P$3=$AT$12,'Statement of Marks'!CK179,IF($P$3=$AT$13,'Statement of Marks'!DI179,IF($P$3=$AT$14,"",IF($P$3=$AT$15,'Statement of Marks'!FC179,""))))))))),"")</f>
        <v/>
      </c>
      <c r="Q180" s="806" t="str">
        <f>IFERROR(IF(B180="","",IF($P$3=$AT$8,"",IF($P$3=$AT$9,"",IF($P$3=$AT$10,'Statement of Marks'!AR179,IF($P$3=$AT$11,'Statement of Marks'!BO179,IF($P$3=$AT$12,'Statement of Marks'!CL179,IF($P$3=$AT$13,'Statement of Marks'!DJ179,IF($P$3=$AT$14,"",IF($P$3=$AT$15,"",""))))))))),"")</f>
        <v/>
      </c>
      <c r="R180" s="818" t="str">
        <f>IFERROR(IF(B180="","",IF(AND(P180="",Q180="",$P$3=""),"",IF($P$3=$AT$14,'Statement of Marks'!EC179,SUM(P180,Q180)))),"")</f>
        <v/>
      </c>
      <c r="S180" s="817" t="str">
        <f>IFERROR(IF(B180="","",IF($P$3=$AT$14,'Statement of Marks'!ED179,IF(AND(O180="NA",P180="NA",Q180="NA"),"NA",IF(AND(O180="",P180="",Q180=""),"",SUM(O180,P180,Q180))))),"")</f>
        <v/>
      </c>
      <c r="T180" s="806" t="str">
        <f>IFERROR(IF(B180="","",IF($P$3=$AT$8,'Statement of Marks'!P179,IF($P$3=$AT$9,'Statement of Marks'!AD179,IF($P$3=$AT$10,'Statement of Marks'!AU179,IF($P$3=$AT$11,'Statement of Marks'!BR179,IF($P$3=$AT$12,'Statement of Marks'!CO179,IF($P$3=$AT$13,'Statement of Marks'!DM179,IF($P$3=$AT$14,"",IF($P$3=$AT$15,'Statement of Marks'!FD179,""))))))))),"")</f>
        <v/>
      </c>
      <c r="U180" s="806" t="str">
        <f>IFERROR(IF(B180="","",IF($P$3=$AT$8,"",IF($P$3=$AT$9,"",IF($P$3=$AT$10,'Statement of Marks'!AV179,IF($P$3=$AT$11,'Statement of Marks'!BS179,IF($P$3=$AT$12,'Statement of Marks'!CP179,IF($P$3=$AT$13,'Statement of Marks'!DN179,IF($P$3=$AT$14,"",IF($P$3=$AT$15,"",""))))))))),"")</f>
        <v/>
      </c>
      <c r="V180" s="818" t="str">
        <f>IFERROR(IF(B180="","",IF(AND(T180="",U180="",$P$3=""),"",IF($P$3=$AT$14,'Statement of Marks'!EE179,SUM(T180,U180)))),"")</f>
        <v/>
      </c>
      <c r="W180" s="808" t="str">
        <f t="shared" si="33"/>
        <v/>
      </c>
      <c r="X180" s="809">
        <f t="shared" si="34"/>
        <v>0</v>
      </c>
      <c r="Y180" s="809">
        <f t="shared" si="35"/>
        <v>0</v>
      </c>
      <c r="Z180" s="809">
        <f t="shared" si="36"/>
        <v>0</v>
      </c>
      <c r="AA180" s="809" t="str">
        <f t="shared" si="37"/>
        <v/>
      </c>
      <c r="AB180" s="809" t="str">
        <f t="shared" si="38"/>
        <v/>
      </c>
      <c r="AC180" s="809" t="str">
        <f t="shared" si="39"/>
        <v/>
      </c>
      <c r="AD180" s="809" t="str">
        <f t="shared" si="40"/>
        <v/>
      </c>
      <c r="AE180" s="810" t="str">
        <f t="shared" si="41"/>
        <v/>
      </c>
      <c r="AF180" s="811" t="str">
        <f t="shared" si="42"/>
        <v/>
      </c>
      <c r="AG180" s="812" t="str">
        <f t="shared" si="43"/>
        <v/>
      </c>
      <c r="AW180" s="17" t="str">
        <f t="shared" si="44"/>
        <v/>
      </c>
      <c r="AX180" s="17" t="str">
        <f t="shared" si="45"/>
        <v/>
      </c>
      <c r="BM180" s="17" t="str">
        <f>IFERROR(VLOOKUP(B180,'Statement of Marks'!$B$8:'Statement of Marks'!$HI$207,37,0),"")</f>
        <v>A</v>
      </c>
      <c r="BN180" s="17" t="str">
        <f>IFERROR(VLOOKUP(B180,'Statement of Marks'!$B$8:'Statement of Marks'!$HI$207,60,0),"")</f>
        <v>A</v>
      </c>
      <c r="BO180" s="17" t="str">
        <f>IFERROR(VLOOKUP(B180,'Statement of Marks'!$B$8:'Statement of Marks'!$HI$207,83,0),"")</f>
        <v>A</v>
      </c>
      <c r="BP180" s="17" t="str">
        <f>IFERROR(VLOOKUP(B180,'Statement of Marks'!$B$8:'Statement of Marks'!$HI$207,107,0),"")</f>
        <v/>
      </c>
    </row>
    <row r="181" spans="1:68">
      <c r="A181" s="800">
        <f>IF('Statement of Marks'!A180="","",'Statement of Marks'!A180)</f>
        <v>173</v>
      </c>
      <c r="B181" s="801" t="str">
        <f>IF(OR($E$3="",$P$3=""),"",IF('Statement of Marks'!B180="","",'Statement of Marks'!B180))</f>
        <v/>
      </c>
      <c r="C181" s="810" t="str">
        <f>IF(OR($E$3="",$P$3=""),"",IF('Marks Entry'!C180="","",'Marks Entry'!C180))</f>
        <v/>
      </c>
      <c r="D181" s="802" t="str">
        <f>IF(OR($E$3="",$P$3=""),"",IF('Statement of Marks'!C180="","",'Statement of Marks'!C180))</f>
        <v/>
      </c>
      <c r="E181" s="803" t="str">
        <f>IF(OR($E$3="",$P$3=""),"",IF('Statement of Marks'!D180="","",'Statement of Marks'!D180))</f>
        <v/>
      </c>
      <c r="F181" s="804" t="str">
        <f>IF(OR($E$3="",$P$3=""),"",IF('Statement of Marks'!E180="","",'Statement of Marks'!E180))</f>
        <v/>
      </c>
      <c r="G181" s="804" t="str">
        <f>IF(OR($E$3="",$P$3=""),"",IF('Statement of Marks'!F180="","",'Statement of Marks'!F180))</f>
        <v/>
      </c>
      <c r="H181" s="804" t="str">
        <f>IF(OR($E$3="",$P$3=""),"",IF('Statement of Marks'!G180="","",'Statement of Marks'!G180))</f>
        <v/>
      </c>
      <c r="I181" s="805" t="str">
        <f>IF(OR($E$3="",$P$3=""),"",IF('Statement of Marks'!H180="","",'Statement of Marks'!H180))</f>
        <v/>
      </c>
      <c r="J181" s="805" t="str">
        <f>IF(OR($E$3="",$P$3=""),"",IF('Statement of Marks'!I180="","",'Statement of Marks'!I180))</f>
        <v/>
      </c>
      <c r="K181" s="805" t="str">
        <f>IFERROR(IF(B181="","",IF($P$3=$AT$10,IF(AND(BM181="A"),'Marks Entry'!$U$2,IF(AND(BM181="B"),'Marks Entry'!$Y$2,IF(AND(BM181="C"),'Marks Entry'!$AA$2,""))),IF($P$3=$AT$11,IF(AND(BN181="A"),'Marks Entry'!$AC$2,IF(AND(BN181="B"),'Marks Entry'!$AG$2,IF(AND(BN181="C"),'Marks Entry'!$AI$2,""))),IF($P$3=$AT$12,IF(AND(BO181="A"),'Marks Entry'!$AK$2,IF(AND(BO181="B"),'Marks Entry'!$AO$2,IF(AND(BO181="C"),'Marks Entry'!$AQ$2,""))),IF($P$3=$AT$13,IF(AND(BP181="A"),'Marks Entry'!$AS$2,IF(AND(BP181="B"),'Marks Entry'!$AW$2,IF(AND(BP181="C"),'Marks Entry'!$AY$2,""))),"-"))))),"")</f>
        <v/>
      </c>
      <c r="L181" s="806" t="str">
        <f>IFERROR(IF(B181="","",IF($P$3=$AT$8,'Statement of Marks'!J180,IF($P$3=$AT$9,'Statement of Marks'!X180,IF($P$3=$AT$10,'Statement of Marks'!AM180,IF($P$3=$AT$11,'Statement of Marks'!BJ180,IF($P$3=$AT$12,'Statement of Marks'!CG180,IF($P$3=$AT$13,'Statement of Marks'!DE180,IF($P$3=$AT$14,"",IF($P$3=$AT$15,'Statement of Marks'!EY180,""))))))))),"")</f>
        <v/>
      </c>
      <c r="M181" s="806" t="str">
        <f>IFERROR(IF(B181="","",IF($P$3=$AT$8,'Statement of Marks'!K180,IF($P$3=$AT$9,'Statement of Marks'!Y180,IF($P$3=$AT$10,'Statement of Marks'!AN180,IF($P$3=$AT$11,'Statement of Marks'!BK180,IF($P$3=$AT$12,'Statement of Marks'!CH180,IF($P$3=$AT$13,'Statement of Marks'!DF180,IF($P$3=$AT$14,"",IF($P$3=$AT$15,'Statement of Marks'!EZ180,""))))))))),"")</f>
        <v/>
      </c>
      <c r="N181" s="806" t="str">
        <f>IFERROR(IF(B181="","",IF($P$3=$AT$8,'Statement of Marks'!L180,IF($P$3=$AT$9,'Statement of Marks'!Z180,IF($P$3=$AT$10,'Statement of Marks'!AO180,IF($P$3=$AT$11,'Statement of Marks'!BL180,IF($P$3=$AT$12,'Statement of Marks'!CI180,IF($P$3=$AT$13,'Statement of Marks'!DG180,IF($P$3=$AT$14,"",IF($P$3=$AT$15,'Statement of Marks'!FA180,""))))))))),"")</f>
        <v/>
      </c>
      <c r="O181" s="807" t="str">
        <f t="shared" si="32"/>
        <v/>
      </c>
      <c r="P181" s="806" t="str">
        <f>IFERROR(IF(B181="","",IF($P$3=$AT$8,'Statement of Marks'!N180,IF($P$3=$AT$9,'Statement of Marks'!AB180,IF($P$3=$AT$10,'Statement of Marks'!AQ180,IF($P$3=$AT$11,'Statement of Marks'!BN180,IF($P$3=$AT$12,'Statement of Marks'!CK180,IF($P$3=$AT$13,'Statement of Marks'!DI180,IF($P$3=$AT$14,"",IF($P$3=$AT$15,'Statement of Marks'!FC180,""))))))))),"")</f>
        <v/>
      </c>
      <c r="Q181" s="806" t="str">
        <f>IFERROR(IF(B181="","",IF($P$3=$AT$8,"",IF($P$3=$AT$9,"",IF($P$3=$AT$10,'Statement of Marks'!AR180,IF($P$3=$AT$11,'Statement of Marks'!BO180,IF($P$3=$AT$12,'Statement of Marks'!CL180,IF($P$3=$AT$13,'Statement of Marks'!DJ180,IF($P$3=$AT$14,"",IF($P$3=$AT$15,"",""))))))))),"")</f>
        <v/>
      </c>
      <c r="R181" s="818" t="str">
        <f>IFERROR(IF(B181="","",IF(AND(P181="",Q181="",$P$3=""),"",IF($P$3=$AT$14,'Statement of Marks'!EC180,SUM(P181,Q181)))),"")</f>
        <v/>
      </c>
      <c r="S181" s="817" t="str">
        <f>IFERROR(IF(B181="","",IF($P$3=$AT$14,'Statement of Marks'!ED180,IF(AND(O181="NA",P181="NA",Q181="NA"),"NA",IF(AND(O181="",P181="",Q181=""),"",SUM(O181,P181,Q181))))),"")</f>
        <v/>
      </c>
      <c r="T181" s="806" t="str">
        <f>IFERROR(IF(B181="","",IF($P$3=$AT$8,'Statement of Marks'!P180,IF($P$3=$AT$9,'Statement of Marks'!AD180,IF($P$3=$AT$10,'Statement of Marks'!AU180,IF($P$3=$AT$11,'Statement of Marks'!BR180,IF($P$3=$AT$12,'Statement of Marks'!CO180,IF($P$3=$AT$13,'Statement of Marks'!DM180,IF($P$3=$AT$14,"",IF($P$3=$AT$15,'Statement of Marks'!FD180,""))))))))),"")</f>
        <v/>
      </c>
      <c r="U181" s="806" t="str">
        <f>IFERROR(IF(B181="","",IF($P$3=$AT$8,"",IF($P$3=$AT$9,"",IF($P$3=$AT$10,'Statement of Marks'!AV180,IF($P$3=$AT$11,'Statement of Marks'!BS180,IF($P$3=$AT$12,'Statement of Marks'!CP180,IF($P$3=$AT$13,'Statement of Marks'!DN180,IF($P$3=$AT$14,"",IF($P$3=$AT$15,"",""))))))))),"")</f>
        <v/>
      </c>
      <c r="V181" s="818" t="str">
        <f>IFERROR(IF(B181="","",IF(AND(T181="",U181="",$P$3=""),"",IF($P$3=$AT$14,'Statement of Marks'!EE180,SUM(T181,U181)))),"")</f>
        <v/>
      </c>
      <c r="W181" s="808" t="str">
        <f t="shared" si="33"/>
        <v/>
      </c>
      <c r="X181" s="809">
        <f t="shared" si="34"/>
        <v>0</v>
      </c>
      <c r="Y181" s="809">
        <f t="shared" si="35"/>
        <v>0</v>
      </c>
      <c r="Z181" s="809">
        <f t="shared" si="36"/>
        <v>0</v>
      </c>
      <c r="AA181" s="809" t="str">
        <f t="shared" si="37"/>
        <v/>
      </c>
      <c r="AB181" s="809" t="str">
        <f t="shared" si="38"/>
        <v/>
      </c>
      <c r="AC181" s="809" t="str">
        <f t="shared" si="39"/>
        <v/>
      </c>
      <c r="AD181" s="809" t="str">
        <f t="shared" si="40"/>
        <v/>
      </c>
      <c r="AE181" s="810" t="str">
        <f t="shared" si="41"/>
        <v/>
      </c>
      <c r="AF181" s="811" t="str">
        <f t="shared" si="42"/>
        <v/>
      </c>
      <c r="AG181" s="812" t="str">
        <f t="shared" si="43"/>
        <v/>
      </c>
      <c r="AW181" s="17" t="str">
        <f t="shared" si="44"/>
        <v/>
      </c>
      <c r="AX181" s="17" t="str">
        <f t="shared" si="45"/>
        <v/>
      </c>
      <c r="BM181" s="17" t="str">
        <f>IFERROR(VLOOKUP(B181,'Statement of Marks'!$B$8:'Statement of Marks'!$HI$207,37,0),"")</f>
        <v>A</v>
      </c>
      <c r="BN181" s="17" t="str">
        <f>IFERROR(VLOOKUP(B181,'Statement of Marks'!$B$8:'Statement of Marks'!$HI$207,60,0),"")</f>
        <v>A</v>
      </c>
      <c r="BO181" s="17" t="str">
        <f>IFERROR(VLOOKUP(B181,'Statement of Marks'!$B$8:'Statement of Marks'!$HI$207,83,0),"")</f>
        <v>A</v>
      </c>
      <c r="BP181" s="17" t="str">
        <f>IFERROR(VLOOKUP(B181,'Statement of Marks'!$B$8:'Statement of Marks'!$HI$207,107,0),"")</f>
        <v/>
      </c>
    </row>
    <row r="182" spans="1:68">
      <c r="A182" s="800">
        <f>IF('Statement of Marks'!A181="","",'Statement of Marks'!A181)</f>
        <v>174</v>
      </c>
      <c r="B182" s="801" t="str">
        <f>IF(OR($E$3="",$P$3=""),"",IF('Statement of Marks'!B181="","",'Statement of Marks'!B181))</f>
        <v/>
      </c>
      <c r="C182" s="810" t="str">
        <f>IF(OR($E$3="",$P$3=""),"",IF('Marks Entry'!C181="","",'Marks Entry'!C181))</f>
        <v/>
      </c>
      <c r="D182" s="802" t="str">
        <f>IF(OR($E$3="",$P$3=""),"",IF('Statement of Marks'!C181="","",'Statement of Marks'!C181))</f>
        <v/>
      </c>
      <c r="E182" s="803" t="str">
        <f>IF(OR($E$3="",$P$3=""),"",IF('Statement of Marks'!D181="","",'Statement of Marks'!D181))</f>
        <v/>
      </c>
      <c r="F182" s="804" t="str">
        <f>IF(OR($E$3="",$P$3=""),"",IF('Statement of Marks'!E181="","",'Statement of Marks'!E181))</f>
        <v/>
      </c>
      <c r="G182" s="804" t="str">
        <f>IF(OR($E$3="",$P$3=""),"",IF('Statement of Marks'!F181="","",'Statement of Marks'!F181))</f>
        <v/>
      </c>
      <c r="H182" s="804" t="str">
        <f>IF(OR($E$3="",$P$3=""),"",IF('Statement of Marks'!G181="","",'Statement of Marks'!G181))</f>
        <v/>
      </c>
      <c r="I182" s="805" t="str">
        <f>IF(OR($E$3="",$P$3=""),"",IF('Statement of Marks'!H181="","",'Statement of Marks'!H181))</f>
        <v/>
      </c>
      <c r="J182" s="805" t="str">
        <f>IF(OR($E$3="",$P$3=""),"",IF('Statement of Marks'!I181="","",'Statement of Marks'!I181))</f>
        <v/>
      </c>
      <c r="K182" s="805" t="str">
        <f>IFERROR(IF(B182="","",IF($P$3=$AT$10,IF(AND(BM182="A"),'Marks Entry'!$U$2,IF(AND(BM182="B"),'Marks Entry'!$Y$2,IF(AND(BM182="C"),'Marks Entry'!$AA$2,""))),IF($P$3=$AT$11,IF(AND(BN182="A"),'Marks Entry'!$AC$2,IF(AND(BN182="B"),'Marks Entry'!$AG$2,IF(AND(BN182="C"),'Marks Entry'!$AI$2,""))),IF($P$3=$AT$12,IF(AND(BO182="A"),'Marks Entry'!$AK$2,IF(AND(BO182="B"),'Marks Entry'!$AO$2,IF(AND(BO182="C"),'Marks Entry'!$AQ$2,""))),IF($P$3=$AT$13,IF(AND(BP182="A"),'Marks Entry'!$AS$2,IF(AND(BP182="B"),'Marks Entry'!$AW$2,IF(AND(BP182="C"),'Marks Entry'!$AY$2,""))),"-"))))),"")</f>
        <v/>
      </c>
      <c r="L182" s="806" t="str">
        <f>IFERROR(IF(B182="","",IF($P$3=$AT$8,'Statement of Marks'!J181,IF($P$3=$AT$9,'Statement of Marks'!X181,IF($P$3=$AT$10,'Statement of Marks'!AM181,IF($P$3=$AT$11,'Statement of Marks'!BJ181,IF($P$3=$AT$12,'Statement of Marks'!CG181,IF($P$3=$AT$13,'Statement of Marks'!DE181,IF($P$3=$AT$14,"",IF($P$3=$AT$15,'Statement of Marks'!EY181,""))))))))),"")</f>
        <v/>
      </c>
      <c r="M182" s="806" t="str">
        <f>IFERROR(IF(B182="","",IF($P$3=$AT$8,'Statement of Marks'!K181,IF($P$3=$AT$9,'Statement of Marks'!Y181,IF($P$3=$AT$10,'Statement of Marks'!AN181,IF($P$3=$AT$11,'Statement of Marks'!BK181,IF($P$3=$AT$12,'Statement of Marks'!CH181,IF($P$3=$AT$13,'Statement of Marks'!DF181,IF($P$3=$AT$14,"",IF($P$3=$AT$15,'Statement of Marks'!EZ181,""))))))))),"")</f>
        <v/>
      </c>
      <c r="N182" s="806" t="str">
        <f>IFERROR(IF(B182="","",IF($P$3=$AT$8,'Statement of Marks'!L181,IF($P$3=$AT$9,'Statement of Marks'!Z181,IF($P$3=$AT$10,'Statement of Marks'!AO181,IF($P$3=$AT$11,'Statement of Marks'!BL181,IF($P$3=$AT$12,'Statement of Marks'!CI181,IF($P$3=$AT$13,'Statement of Marks'!DG181,IF($P$3=$AT$14,"",IF($P$3=$AT$15,'Statement of Marks'!FA181,""))))))))),"")</f>
        <v/>
      </c>
      <c r="O182" s="807" t="str">
        <f t="shared" si="32"/>
        <v/>
      </c>
      <c r="P182" s="806" t="str">
        <f>IFERROR(IF(B182="","",IF($P$3=$AT$8,'Statement of Marks'!N181,IF($P$3=$AT$9,'Statement of Marks'!AB181,IF($P$3=$AT$10,'Statement of Marks'!AQ181,IF($P$3=$AT$11,'Statement of Marks'!BN181,IF($P$3=$AT$12,'Statement of Marks'!CK181,IF($P$3=$AT$13,'Statement of Marks'!DI181,IF($P$3=$AT$14,"",IF($P$3=$AT$15,'Statement of Marks'!FC181,""))))))))),"")</f>
        <v/>
      </c>
      <c r="Q182" s="806" t="str">
        <f>IFERROR(IF(B182="","",IF($P$3=$AT$8,"",IF($P$3=$AT$9,"",IF($P$3=$AT$10,'Statement of Marks'!AR181,IF($P$3=$AT$11,'Statement of Marks'!BO181,IF($P$3=$AT$12,'Statement of Marks'!CL181,IF($P$3=$AT$13,'Statement of Marks'!DJ181,IF($P$3=$AT$14,"",IF($P$3=$AT$15,"",""))))))))),"")</f>
        <v/>
      </c>
      <c r="R182" s="818" t="str">
        <f>IFERROR(IF(B182="","",IF(AND(P182="",Q182="",$P$3=""),"",IF($P$3=$AT$14,'Statement of Marks'!EC181,SUM(P182,Q182)))),"")</f>
        <v/>
      </c>
      <c r="S182" s="817" t="str">
        <f>IFERROR(IF(B182="","",IF($P$3=$AT$14,'Statement of Marks'!ED181,IF(AND(O182="NA",P182="NA",Q182="NA"),"NA",IF(AND(O182="",P182="",Q182=""),"",SUM(O182,P182,Q182))))),"")</f>
        <v/>
      </c>
      <c r="T182" s="806" t="str">
        <f>IFERROR(IF(B182="","",IF($P$3=$AT$8,'Statement of Marks'!P181,IF($P$3=$AT$9,'Statement of Marks'!AD181,IF($P$3=$AT$10,'Statement of Marks'!AU181,IF($P$3=$AT$11,'Statement of Marks'!BR181,IF($P$3=$AT$12,'Statement of Marks'!CO181,IF($P$3=$AT$13,'Statement of Marks'!DM181,IF($P$3=$AT$14,"",IF($P$3=$AT$15,'Statement of Marks'!FD181,""))))))))),"")</f>
        <v/>
      </c>
      <c r="U182" s="806" t="str">
        <f>IFERROR(IF(B182="","",IF($P$3=$AT$8,"",IF($P$3=$AT$9,"",IF($P$3=$AT$10,'Statement of Marks'!AV181,IF($P$3=$AT$11,'Statement of Marks'!BS181,IF($P$3=$AT$12,'Statement of Marks'!CP181,IF($P$3=$AT$13,'Statement of Marks'!DN181,IF($P$3=$AT$14,"",IF($P$3=$AT$15,"",""))))))))),"")</f>
        <v/>
      </c>
      <c r="V182" s="818" t="str">
        <f>IFERROR(IF(B182="","",IF(AND(T182="",U182="",$P$3=""),"",IF($P$3=$AT$14,'Statement of Marks'!EE181,SUM(T182,U182)))),"")</f>
        <v/>
      </c>
      <c r="W182" s="808" t="str">
        <f t="shared" si="33"/>
        <v/>
      </c>
      <c r="X182" s="809">
        <f t="shared" si="34"/>
        <v>0</v>
      </c>
      <c r="Y182" s="809">
        <f t="shared" si="35"/>
        <v>0</v>
      </c>
      <c r="Z182" s="809">
        <f t="shared" si="36"/>
        <v>0</v>
      </c>
      <c r="AA182" s="809" t="str">
        <f t="shared" si="37"/>
        <v/>
      </c>
      <c r="AB182" s="809" t="str">
        <f t="shared" si="38"/>
        <v/>
      </c>
      <c r="AC182" s="809" t="str">
        <f t="shared" si="39"/>
        <v/>
      </c>
      <c r="AD182" s="809" t="str">
        <f t="shared" si="40"/>
        <v/>
      </c>
      <c r="AE182" s="810" t="str">
        <f t="shared" si="41"/>
        <v/>
      </c>
      <c r="AF182" s="811" t="str">
        <f t="shared" si="42"/>
        <v/>
      </c>
      <c r="AG182" s="812" t="str">
        <f t="shared" si="43"/>
        <v/>
      </c>
      <c r="AW182" s="17" t="str">
        <f t="shared" si="44"/>
        <v/>
      </c>
      <c r="AX182" s="17" t="str">
        <f t="shared" si="45"/>
        <v/>
      </c>
      <c r="BM182" s="17" t="str">
        <f>IFERROR(VLOOKUP(B182,'Statement of Marks'!$B$8:'Statement of Marks'!$HI$207,37,0),"")</f>
        <v>A</v>
      </c>
      <c r="BN182" s="17" t="str">
        <f>IFERROR(VLOOKUP(B182,'Statement of Marks'!$B$8:'Statement of Marks'!$HI$207,60,0),"")</f>
        <v>A</v>
      </c>
      <c r="BO182" s="17" t="str">
        <f>IFERROR(VLOOKUP(B182,'Statement of Marks'!$B$8:'Statement of Marks'!$HI$207,83,0),"")</f>
        <v>A</v>
      </c>
      <c r="BP182" s="17" t="str">
        <f>IFERROR(VLOOKUP(B182,'Statement of Marks'!$B$8:'Statement of Marks'!$HI$207,107,0),"")</f>
        <v/>
      </c>
    </row>
    <row r="183" spans="1:68">
      <c r="A183" s="800">
        <f>IF('Statement of Marks'!A182="","",'Statement of Marks'!A182)</f>
        <v>175</v>
      </c>
      <c r="B183" s="801" t="str">
        <f>IF(OR($E$3="",$P$3=""),"",IF('Statement of Marks'!B182="","",'Statement of Marks'!B182))</f>
        <v/>
      </c>
      <c r="C183" s="810" t="str">
        <f>IF(OR($E$3="",$P$3=""),"",IF('Marks Entry'!C182="","",'Marks Entry'!C182))</f>
        <v/>
      </c>
      <c r="D183" s="802" t="str">
        <f>IF(OR($E$3="",$P$3=""),"",IF('Statement of Marks'!C182="","",'Statement of Marks'!C182))</f>
        <v/>
      </c>
      <c r="E183" s="803" t="str">
        <f>IF(OR($E$3="",$P$3=""),"",IF('Statement of Marks'!D182="","",'Statement of Marks'!D182))</f>
        <v/>
      </c>
      <c r="F183" s="804" t="str">
        <f>IF(OR($E$3="",$P$3=""),"",IF('Statement of Marks'!E182="","",'Statement of Marks'!E182))</f>
        <v/>
      </c>
      <c r="G183" s="804" t="str">
        <f>IF(OR($E$3="",$P$3=""),"",IF('Statement of Marks'!F182="","",'Statement of Marks'!F182))</f>
        <v/>
      </c>
      <c r="H183" s="804" t="str">
        <f>IF(OR($E$3="",$P$3=""),"",IF('Statement of Marks'!G182="","",'Statement of Marks'!G182))</f>
        <v/>
      </c>
      <c r="I183" s="805" t="str">
        <f>IF(OR($E$3="",$P$3=""),"",IF('Statement of Marks'!H182="","",'Statement of Marks'!H182))</f>
        <v/>
      </c>
      <c r="J183" s="805" t="str">
        <f>IF(OR($E$3="",$P$3=""),"",IF('Statement of Marks'!I182="","",'Statement of Marks'!I182))</f>
        <v/>
      </c>
      <c r="K183" s="805" t="str">
        <f>IFERROR(IF(B183="","",IF($P$3=$AT$10,IF(AND(BM183="A"),'Marks Entry'!$U$2,IF(AND(BM183="B"),'Marks Entry'!$Y$2,IF(AND(BM183="C"),'Marks Entry'!$AA$2,""))),IF($P$3=$AT$11,IF(AND(BN183="A"),'Marks Entry'!$AC$2,IF(AND(BN183="B"),'Marks Entry'!$AG$2,IF(AND(BN183="C"),'Marks Entry'!$AI$2,""))),IF($P$3=$AT$12,IF(AND(BO183="A"),'Marks Entry'!$AK$2,IF(AND(BO183="B"),'Marks Entry'!$AO$2,IF(AND(BO183="C"),'Marks Entry'!$AQ$2,""))),IF($P$3=$AT$13,IF(AND(BP183="A"),'Marks Entry'!$AS$2,IF(AND(BP183="B"),'Marks Entry'!$AW$2,IF(AND(BP183="C"),'Marks Entry'!$AY$2,""))),"-"))))),"")</f>
        <v/>
      </c>
      <c r="L183" s="806" t="str">
        <f>IFERROR(IF(B183="","",IF($P$3=$AT$8,'Statement of Marks'!J182,IF($P$3=$AT$9,'Statement of Marks'!X182,IF($P$3=$AT$10,'Statement of Marks'!AM182,IF($P$3=$AT$11,'Statement of Marks'!BJ182,IF($P$3=$AT$12,'Statement of Marks'!CG182,IF($P$3=$AT$13,'Statement of Marks'!DE182,IF($P$3=$AT$14,"",IF($P$3=$AT$15,'Statement of Marks'!EY182,""))))))))),"")</f>
        <v/>
      </c>
      <c r="M183" s="806" t="str">
        <f>IFERROR(IF(B183="","",IF($P$3=$AT$8,'Statement of Marks'!K182,IF($P$3=$AT$9,'Statement of Marks'!Y182,IF($P$3=$AT$10,'Statement of Marks'!AN182,IF($P$3=$AT$11,'Statement of Marks'!BK182,IF($P$3=$AT$12,'Statement of Marks'!CH182,IF($P$3=$AT$13,'Statement of Marks'!DF182,IF($P$3=$AT$14,"",IF($P$3=$AT$15,'Statement of Marks'!EZ182,""))))))))),"")</f>
        <v/>
      </c>
      <c r="N183" s="806" t="str">
        <f>IFERROR(IF(B183="","",IF($P$3=$AT$8,'Statement of Marks'!L182,IF($P$3=$AT$9,'Statement of Marks'!Z182,IF($P$3=$AT$10,'Statement of Marks'!AO182,IF($P$3=$AT$11,'Statement of Marks'!BL182,IF($P$3=$AT$12,'Statement of Marks'!CI182,IF($P$3=$AT$13,'Statement of Marks'!DG182,IF($P$3=$AT$14,"",IF($P$3=$AT$15,'Statement of Marks'!FA182,""))))))))),"")</f>
        <v/>
      </c>
      <c r="O183" s="807" t="str">
        <f t="shared" si="32"/>
        <v/>
      </c>
      <c r="P183" s="806" t="str">
        <f>IFERROR(IF(B183="","",IF($P$3=$AT$8,'Statement of Marks'!N182,IF($P$3=$AT$9,'Statement of Marks'!AB182,IF($P$3=$AT$10,'Statement of Marks'!AQ182,IF($P$3=$AT$11,'Statement of Marks'!BN182,IF($P$3=$AT$12,'Statement of Marks'!CK182,IF($P$3=$AT$13,'Statement of Marks'!DI182,IF($P$3=$AT$14,"",IF($P$3=$AT$15,'Statement of Marks'!FC182,""))))))))),"")</f>
        <v/>
      </c>
      <c r="Q183" s="806" t="str">
        <f>IFERROR(IF(B183="","",IF($P$3=$AT$8,"",IF($P$3=$AT$9,"",IF($P$3=$AT$10,'Statement of Marks'!AR182,IF($P$3=$AT$11,'Statement of Marks'!BO182,IF($P$3=$AT$12,'Statement of Marks'!CL182,IF($P$3=$AT$13,'Statement of Marks'!DJ182,IF($P$3=$AT$14,"",IF($P$3=$AT$15,"",""))))))))),"")</f>
        <v/>
      </c>
      <c r="R183" s="818" t="str">
        <f>IFERROR(IF(B183="","",IF(AND(P183="",Q183="",$P$3=""),"",IF($P$3=$AT$14,'Statement of Marks'!EC182,SUM(P183,Q183)))),"")</f>
        <v/>
      </c>
      <c r="S183" s="817" t="str">
        <f>IFERROR(IF(B183="","",IF($P$3=$AT$14,'Statement of Marks'!ED182,IF(AND(O183="NA",P183="NA",Q183="NA"),"NA",IF(AND(O183="",P183="",Q183=""),"",SUM(O183,P183,Q183))))),"")</f>
        <v/>
      </c>
      <c r="T183" s="806" t="str">
        <f>IFERROR(IF(B183="","",IF($P$3=$AT$8,'Statement of Marks'!P182,IF($P$3=$AT$9,'Statement of Marks'!AD182,IF($P$3=$AT$10,'Statement of Marks'!AU182,IF($P$3=$AT$11,'Statement of Marks'!BR182,IF($P$3=$AT$12,'Statement of Marks'!CO182,IF($P$3=$AT$13,'Statement of Marks'!DM182,IF($P$3=$AT$14,"",IF($P$3=$AT$15,'Statement of Marks'!FD182,""))))))))),"")</f>
        <v/>
      </c>
      <c r="U183" s="806" t="str">
        <f>IFERROR(IF(B183="","",IF($P$3=$AT$8,"",IF($P$3=$AT$9,"",IF($P$3=$AT$10,'Statement of Marks'!AV182,IF($P$3=$AT$11,'Statement of Marks'!BS182,IF($P$3=$AT$12,'Statement of Marks'!CP182,IF($P$3=$AT$13,'Statement of Marks'!DN182,IF($P$3=$AT$14,"",IF($P$3=$AT$15,"",""))))))))),"")</f>
        <v/>
      </c>
      <c r="V183" s="818" t="str">
        <f>IFERROR(IF(B183="","",IF(AND(T183="",U183="",$P$3=""),"",IF($P$3=$AT$14,'Statement of Marks'!EE182,SUM(T183,U183)))),"")</f>
        <v/>
      </c>
      <c r="W183" s="808" t="str">
        <f t="shared" si="33"/>
        <v/>
      </c>
      <c r="X183" s="809">
        <f t="shared" si="34"/>
        <v>0</v>
      </c>
      <c r="Y183" s="809">
        <f t="shared" si="35"/>
        <v>0</v>
      </c>
      <c r="Z183" s="809">
        <f t="shared" si="36"/>
        <v>0</v>
      </c>
      <c r="AA183" s="809" t="str">
        <f t="shared" si="37"/>
        <v/>
      </c>
      <c r="AB183" s="809" t="str">
        <f t="shared" si="38"/>
        <v/>
      </c>
      <c r="AC183" s="809" t="str">
        <f t="shared" si="39"/>
        <v/>
      </c>
      <c r="AD183" s="809" t="str">
        <f t="shared" si="40"/>
        <v/>
      </c>
      <c r="AE183" s="810" t="str">
        <f t="shared" si="41"/>
        <v/>
      </c>
      <c r="AF183" s="811" t="str">
        <f t="shared" si="42"/>
        <v/>
      </c>
      <c r="AG183" s="812" t="str">
        <f t="shared" si="43"/>
        <v/>
      </c>
      <c r="AW183" s="17" t="str">
        <f t="shared" si="44"/>
        <v/>
      </c>
      <c r="AX183" s="17" t="str">
        <f t="shared" si="45"/>
        <v/>
      </c>
      <c r="BM183" s="17" t="str">
        <f>IFERROR(VLOOKUP(B183,'Statement of Marks'!$B$8:'Statement of Marks'!$HI$207,37,0),"")</f>
        <v>A</v>
      </c>
      <c r="BN183" s="17" t="str">
        <f>IFERROR(VLOOKUP(B183,'Statement of Marks'!$B$8:'Statement of Marks'!$HI$207,60,0),"")</f>
        <v>A</v>
      </c>
      <c r="BO183" s="17" t="str">
        <f>IFERROR(VLOOKUP(B183,'Statement of Marks'!$B$8:'Statement of Marks'!$HI$207,83,0),"")</f>
        <v>A</v>
      </c>
      <c r="BP183" s="17" t="str">
        <f>IFERROR(VLOOKUP(B183,'Statement of Marks'!$B$8:'Statement of Marks'!$HI$207,107,0),"")</f>
        <v/>
      </c>
    </row>
    <row r="184" spans="1:68">
      <c r="A184" s="800">
        <f>IF('Statement of Marks'!A183="","",'Statement of Marks'!A183)</f>
        <v>176</v>
      </c>
      <c r="B184" s="801" t="str">
        <f>IF(OR($E$3="",$P$3=""),"",IF('Statement of Marks'!B183="","",'Statement of Marks'!B183))</f>
        <v/>
      </c>
      <c r="C184" s="810" t="str">
        <f>IF(OR($E$3="",$P$3=""),"",IF('Marks Entry'!C183="","",'Marks Entry'!C183))</f>
        <v/>
      </c>
      <c r="D184" s="802" t="str">
        <f>IF(OR($E$3="",$P$3=""),"",IF('Statement of Marks'!C183="","",'Statement of Marks'!C183))</f>
        <v/>
      </c>
      <c r="E184" s="803" t="str">
        <f>IF(OR($E$3="",$P$3=""),"",IF('Statement of Marks'!D183="","",'Statement of Marks'!D183))</f>
        <v/>
      </c>
      <c r="F184" s="804" t="str">
        <f>IF(OR($E$3="",$P$3=""),"",IF('Statement of Marks'!E183="","",'Statement of Marks'!E183))</f>
        <v/>
      </c>
      <c r="G184" s="804" t="str">
        <f>IF(OR($E$3="",$P$3=""),"",IF('Statement of Marks'!F183="","",'Statement of Marks'!F183))</f>
        <v/>
      </c>
      <c r="H184" s="804" t="str">
        <f>IF(OR($E$3="",$P$3=""),"",IF('Statement of Marks'!G183="","",'Statement of Marks'!G183))</f>
        <v/>
      </c>
      <c r="I184" s="805" t="str">
        <f>IF(OR($E$3="",$P$3=""),"",IF('Statement of Marks'!H183="","",'Statement of Marks'!H183))</f>
        <v/>
      </c>
      <c r="J184" s="805" t="str">
        <f>IF(OR($E$3="",$P$3=""),"",IF('Statement of Marks'!I183="","",'Statement of Marks'!I183))</f>
        <v/>
      </c>
      <c r="K184" s="805" t="str">
        <f>IFERROR(IF(B184="","",IF($P$3=$AT$10,IF(AND(BM184="A"),'Marks Entry'!$U$2,IF(AND(BM184="B"),'Marks Entry'!$Y$2,IF(AND(BM184="C"),'Marks Entry'!$AA$2,""))),IF($P$3=$AT$11,IF(AND(BN184="A"),'Marks Entry'!$AC$2,IF(AND(BN184="B"),'Marks Entry'!$AG$2,IF(AND(BN184="C"),'Marks Entry'!$AI$2,""))),IF($P$3=$AT$12,IF(AND(BO184="A"),'Marks Entry'!$AK$2,IF(AND(BO184="B"),'Marks Entry'!$AO$2,IF(AND(BO184="C"),'Marks Entry'!$AQ$2,""))),IF($P$3=$AT$13,IF(AND(BP184="A"),'Marks Entry'!$AS$2,IF(AND(BP184="B"),'Marks Entry'!$AW$2,IF(AND(BP184="C"),'Marks Entry'!$AY$2,""))),"-"))))),"")</f>
        <v/>
      </c>
      <c r="L184" s="806" t="str">
        <f>IFERROR(IF(B184="","",IF($P$3=$AT$8,'Statement of Marks'!J183,IF($P$3=$AT$9,'Statement of Marks'!X183,IF($P$3=$AT$10,'Statement of Marks'!AM183,IF($P$3=$AT$11,'Statement of Marks'!BJ183,IF($P$3=$AT$12,'Statement of Marks'!CG183,IF($P$3=$AT$13,'Statement of Marks'!DE183,IF($P$3=$AT$14,"",IF($P$3=$AT$15,'Statement of Marks'!EY183,""))))))))),"")</f>
        <v/>
      </c>
      <c r="M184" s="806" t="str">
        <f>IFERROR(IF(B184="","",IF($P$3=$AT$8,'Statement of Marks'!K183,IF($P$3=$AT$9,'Statement of Marks'!Y183,IF($P$3=$AT$10,'Statement of Marks'!AN183,IF($P$3=$AT$11,'Statement of Marks'!BK183,IF($P$3=$AT$12,'Statement of Marks'!CH183,IF($P$3=$AT$13,'Statement of Marks'!DF183,IF($P$3=$AT$14,"",IF($P$3=$AT$15,'Statement of Marks'!EZ183,""))))))))),"")</f>
        <v/>
      </c>
      <c r="N184" s="806" t="str">
        <f>IFERROR(IF(B184="","",IF($P$3=$AT$8,'Statement of Marks'!L183,IF($P$3=$AT$9,'Statement of Marks'!Z183,IF($P$3=$AT$10,'Statement of Marks'!AO183,IF($P$3=$AT$11,'Statement of Marks'!BL183,IF($P$3=$AT$12,'Statement of Marks'!CI183,IF($P$3=$AT$13,'Statement of Marks'!DG183,IF($P$3=$AT$14,"",IF($P$3=$AT$15,'Statement of Marks'!FA183,""))))))))),"")</f>
        <v/>
      </c>
      <c r="O184" s="807" t="str">
        <f t="shared" si="32"/>
        <v/>
      </c>
      <c r="P184" s="806" t="str">
        <f>IFERROR(IF(B184="","",IF($P$3=$AT$8,'Statement of Marks'!N183,IF($P$3=$AT$9,'Statement of Marks'!AB183,IF($P$3=$AT$10,'Statement of Marks'!AQ183,IF($P$3=$AT$11,'Statement of Marks'!BN183,IF($P$3=$AT$12,'Statement of Marks'!CK183,IF($P$3=$AT$13,'Statement of Marks'!DI183,IF($P$3=$AT$14,"",IF($P$3=$AT$15,'Statement of Marks'!FC183,""))))))))),"")</f>
        <v/>
      </c>
      <c r="Q184" s="806" t="str">
        <f>IFERROR(IF(B184="","",IF($P$3=$AT$8,"",IF($P$3=$AT$9,"",IF($P$3=$AT$10,'Statement of Marks'!AR183,IF($P$3=$AT$11,'Statement of Marks'!BO183,IF($P$3=$AT$12,'Statement of Marks'!CL183,IF($P$3=$AT$13,'Statement of Marks'!DJ183,IF($P$3=$AT$14,"",IF($P$3=$AT$15,"",""))))))))),"")</f>
        <v/>
      </c>
      <c r="R184" s="818" t="str">
        <f>IFERROR(IF(B184="","",IF(AND(P184="",Q184="",$P$3=""),"",IF($P$3=$AT$14,'Statement of Marks'!EC183,SUM(P184,Q184)))),"")</f>
        <v/>
      </c>
      <c r="S184" s="817" t="str">
        <f>IFERROR(IF(B184="","",IF($P$3=$AT$14,'Statement of Marks'!ED183,IF(AND(O184="NA",P184="NA",Q184="NA"),"NA",IF(AND(O184="",P184="",Q184=""),"",SUM(O184,P184,Q184))))),"")</f>
        <v/>
      </c>
      <c r="T184" s="806" t="str">
        <f>IFERROR(IF(B184="","",IF($P$3=$AT$8,'Statement of Marks'!P183,IF($P$3=$AT$9,'Statement of Marks'!AD183,IF($P$3=$AT$10,'Statement of Marks'!AU183,IF($P$3=$AT$11,'Statement of Marks'!BR183,IF($P$3=$AT$12,'Statement of Marks'!CO183,IF($P$3=$AT$13,'Statement of Marks'!DM183,IF($P$3=$AT$14,"",IF($P$3=$AT$15,'Statement of Marks'!FD183,""))))))))),"")</f>
        <v/>
      </c>
      <c r="U184" s="806" t="str">
        <f>IFERROR(IF(B184="","",IF($P$3=$AT$8,"",IF($P$3=$AT$9,"",IF($P$3=$AT$10,'Statement of Marks'!AV183,IF($P$3=$AT$11,'Statement of Marks'!BS183,IF($P$3=$AT$12,'Statement of Marks'!CP183,IF($P$3=$AT$13,'Statement of Marks'!DN183,IF($P$3=$AT$14,"",IF($P$3=$AT$15,"",""))))))))),"")</f>
        <v/>
      </c>
      <c r="V184" s="818" t="str">
        <f>IFERROR(IF(B184="","",IF(AND(T184="",U184="",$P$3=""),"",IF($P$3=$AT$14,'Statement of Marks'!EE183,SUM(T184,U184)))),"")</f>
        <v/>
      </c>
      <c r="W184" s="808" t="str">
        <f t="shared" si="33"/>
        <v/>
      </c>
      <c r="X184" s="809">
        <f t="shared" si="34"/>
        <v>0</v>
      </c>
      <c r="Y184" s="809">
        <f t="shared" si="35"/>
        <v>0</v>
      </c>
      <c r="Z184" s="809">
        <f t="shared" si="36"/>
        <v>0</v>
      </c>
      <c r="AA184" s="809" t="str">
        <f t="shared" si="37"/>
        <v/>
      </c>
      <c r="AB184" s="809" t="str">
        <f t="shared" si="38"/>
        <v/>
      </c>
      <c r="AC184" s="809" t="str">
        <f t="shared" si="39"/>
        <v/>
      </c>
      <c r="AD184" s="809" t="str">
        <f t="shared" si="40"/>
        <v/>
      </c>
      <c r="AE184" s="810" t="str">
        <f t="shared" si="41"/>
        <v/>
      </c>
      <c r="AF184" s="811" t="str">
        <f t="shared" si="42"/>
        <v/>
      </c>
      <c r="AG184" s="812" t="str">
        <f t="shared" si="43"/>
        <v/>
      </c>
      <c r="AW184" s="17" t="str">
        <f t="shared" si="44"/>
        <v/>
      </c>
      <c r="AX184" s="17" t="str">
        <f t="shared" si="45"/>
        <v/>
      </c>
      <c r="BM184" s="17" t="str">
        <f>IFERROR(VLOOKUP(B184,'Statement of Marks'!$B$8:'Statement of Marks'!$HI$207,37,0),"")</f>
        <v>A</v>
      </c>
      <c r="BN184" s="17" t="str">
        <f>IFERROR(VLOOKUP(B184,'Statement of Marks'!$B$8:'Statement of Marks'!$HI$207,60,0),"")</f>
        <v>A</v>
      </c>
      <c r="BO184" s="17" t="str">
        <f>IFERROR(VLOOKUP(B184,'Statement of Marks'!$B$8:'Statement of Marks'!$HI$207,83,0),"")</f>
        <v>A</v>
      </c>
      <c r="BP184" s="17" t="str">
        <f>IFERROR(VLOOKUP(B184,'Statement of Marks'!$B$8:'Statement of Marks'!$HI$207,107,0),"")</f>
        <v/>
      </c>
    </row>
    <row r="185" spans="1:68">
      <c r="A185" s="800">
        <f>IF('Statement of Marks'!A184="","",'Statement of Marks'!A184)</f>
        <v>177</v>
      </c>
      <c r="B185" s="801" t="str">
        <f>IF(OR($E$3="",$P$3=""),"",IF('Statement of Marks'!B184="","",'Statement of Marks'!B184))</f>
        <v/>
      </c>
      <c r="C185" s="810" t="str">
        <f>IF(OR($E$3="",$P$3=""),"",IF('Marks Entry'!C184="","",'Marks Entry'!C184))</f>
        <v/>
      </c>
      <c r="D185" s="802" t="str">
        <f>IF(OR($E$3="",$P$3=""),"",IF('Statement of Marks'!C184="","",'Statement of Marks'!C184))</f>
        <v/>
      </c>
      <c r="E185" s="803" t="str">
        <f>IF(OR($E$3="",$P$3=""),"",IF('Statement of Marks'!D184="","",'Statement of Marks'!D184))</f>
        <v/>
      </c>
      <c r="F185" s="804" t="str">
        <f>IF(OR($E$3="",$P$3=""),"",IF('Statement of Marks'!E184="","",'Statement of Marks'!E184))</f>
        <v/>
      </c>
      <c r="G185" s="804" t="str">
        <f>IF(OR($E$3="",$P$3=""),"",IF('Statement of Marks'!F184="","",'Statement of Marks'!F184))</f>
        <v/>
      </c>
      <c r="H185" s="804" t="str">
        <f>IF(OR($E$3="",$P$3=""),"",IF('Statement of Marks'!G184="","",'Statement of Marks'!G184))</f>
        <v/>
      </c>
      <c r="I185" s="805" t="str">
        <f>IF(OR($E$3="",$P$3=""),"",IF('Statement of Marks'!H184="","",'Statement of Marks'!H184))</f>
        <v/>
      </c>
      <c r="J185" s="805" t="str">
        <f>IF(OR($E$3="",$P$3=""),"",IF('Statement of Marks'!I184="","",'Statement of Marks'!I184))</f>
        <v/>
      </c>
      <c r="K185" s="805" t="str">
        <f>IFERROR(IF(B185="","",IF($P$3=$AT$10,IF(AND(BM185="A"),'Marks Entry'!$U$2,IF(AND(BM185="B"),'Marks Entry'!$Y$2,IF(AND(BM185="C"),'Marks Entry'!$AA$2,""))),IF($P$3=$AT$11,IF(AND(BN185="A"),'Marks Entry'!$AC$2,IF(AND(BN185="B"),'Marks Entry'!$AG$2,IF(AND(BN185="C"),'Marks Entry'!$AI$2,""))),IF($P$3=$AT$12,IF(AND(BO185="A"),'Marks Entry'!$AK$2,IF(AND(BO185="B"),'Marks Entry'!$AO$2,IF(AND(BO185="C"),'Marks Entry'!$AQ$2,""))),IF($P$3=$AT$13,IF(AND(BP185="A"),'Marks Entry'!$AS$2,IF(AND(BP185="B"),'Marks Entry'!$AW$2,IF(AND(BP185="C"),'Marks Entry'!$AY$2,""))),"-"))))),"")</f>
        <v/>
      </c>
      <c r="L185" s="806" t="str">
        <f>IFERROR(IF(B185="","",IF($P$3=$AT$8,'Statement of Marks'!J184,IF($P$3=$AT$9,'Statement of Marks'!X184,IF($P$3=$AT$10,'Statement of Marks'!AM184,IF($P$3=$AT$11,'Statement of Marks'!BJ184,IF($P$3=$AT$12,'Statement of Marks'!CG184,IF($P$3=$AT$13,'Statement of Marks'!DE184,IF($P$3=$AT$14,"",IF($P$3=$AT$15,'Statement of Marks'!EY184,""))))))))),"")</f>
        <v/>
      </c>
      <c r="M185" s="806" t="str">
        <f>IFERROR(IF(B185="","",IF($P$3=$AT$8,'Statement of Marks'!K184,IF($P$3=$AT$9,'Statement of Marks'!Y184,IF($P$3=$AT$10,'Statement of Marks'!AN184,IF($P$3=$AT$11,'Statement of Marks'!BK184,IF($P$3=$AT$12,'Statement of Marks'!CH184,IF($P$3=$AT$13,'Statement of Marks'!DF184,IF($P$3=$AT$14,"",IF($P$3=$AT$15,'Statement of Marks'!EZ184,""))))))))),"")</f>
        <v/>
      </c>
      <c r="N185" s="806" t="str">
        <f>IFERROR(IF(B185="","",IF($P$3=$AT$8,'Statement of Marks'!L184,IF($P$3=$AT$9,'Statement of Marks'!Z184,IF($P$3=$AT$10,'Statement of Marks'!AO184,IF($P$3=$AT$11,'Statement of Marks'!BL184,IF($P$3=$AT$12,'Statement of Marks'!CI184,IF($P$3=$AT$13,'Statement of Marks'!DG184,IF($P$3=$AT$14,"",IF($P$3=$AT$15,'Statement of Marks'!FA184,""))))))))),"")</f>
        <v/>
      </c>
      <c r="O185" s="807" t="str">
        <f t="shared" si="32"/>
        <v/>
      </c>
      <c r="P185" s="806" t="str">
        <f>IFERROR(IF(B185="","",IF($P$3=$AT$8,'Statement of Marks'!N184,IF($P$3=$AT$9,'Statement of Marks'!AB184,IF($P$3=$AT$10,'Statement of Marks'!AQ184,IF($P$3=$AT$11,'Statement of Marks'!BN184,IF($P$3=$AT$12,'Statement of Marks'!CK184,IF($P$3=$AT$13,'Statement of Marks'!DI184,IF($P$3=$AT$14,"",IF($P$3=$AT$15,'Statement of Marks'!FC184,""))))))))),"")</f>
        <v/>
      </c>
      <c r="Q185" s="806" t="str">
        <f>IFERROR(IF(B185="","",IF($P$3=$AT$8,"",IF($P$3=$AT$9,"",IF($P$3=$AT$10,'Statement of Marks'!AR184,IF($P$3=$AT$11,'Statement of Marks'!BO184,IF($P$3=$AT$12,'Statement of Marks'!CL184,IF($P$3=$AT$13,'Statement of Marks'!DJ184,IF($P$3=$AT$14,"",IF($P$3=$AT$15,"",""))))))))),"")</f>
        <v/>
      </c>
      <c r="R185" s="818" t="str">
        <f>IFERROR(IF(B185="","",IF(AND(P185="",Q185="",$P$3=""),"",IF($P$3=$AT$14,'Statement of Marks'!EC184,SUM(P185,Q185)))),"")</f>
        <v/>
      </c>
      <c r="S185" s="817" t="str">
        <f>IFERROR(IF(B185="","",IF($P$3=$AT$14,'Statement of Marks'!ED184,IF(AND(O185="NA",P185="NA",Q185="NA"),"NA",IF(AND(O185="",P185="",Q185=""),"",SUM(O185,P185,Q185))))),"")</f>
        <v/>
      </c>
      <c r="T185" s="806" t="str">
        <f>IFERROR(IF(B185="","",IF($P$3=$AT$8,'Statement of Marks'!P184,IF($P$3=$AT$9,'Statement of Marks'!AD184,IF($P$3=$AT$10,'Statement of Marks'!AU184,IF($P$3=$AT$11,'Statement of Marks'!BR184,IF($P$3=$AT$12,'Statement of Marks'!CO184,IF($P$3=$AT$13,'Statement of Marks'!DM184,IF($P$3=$AT$14,"",IF($P$3=$AT$15,'Statement of Marks'!FD184,""))))))))),"")</f>
        <v/>
      </c>
      <c r="U185" s="806" t="str">
        <f>IFERROR(IF(B185="","",IF($P$3=$AT$8,"",IF($P$3=$AT$9,"",IF($P$3=$AT$10,'Statement of Marks'!AV184,IF($P$3=$AT$11,'Statement of Marks'!BS184,IF($P$3=$AT$12,'Statement of Marks'!CP184,IF($P$3=$AT$13,'Statement of Marks'!DN184,IF($P$3=$AT$14,"",IF($P$3=$AT$15,"",""))))))))),"")</f>
        <v/>
      </c>
      <c r="V185" s="818" t="str">
        <f>IFERROR(IF(B185="","",IF(AND(T185="",U185="",$P$3=""),"",IF($P$3=$AT$14,'Statement of Marks'!EE184,SUM(T185,U185)))),"")</f>
        <v/>
      </c>
      <c r="W185" s="808" t="str">
        <f t="shared" si="33"/>
        <v/>
      </c>
      <c r="X185" s="809">
        <f t="shared" si="34"/>
        <v>0</v>
      </c>
      <c r="Y185" s="809">
        <f t="shared" si="35"/>
        <v>0</v>
      </c>
      <c r="Z185" s="809">
        <f t="shared" si="36"/>
        <v>0</v>
      </c>
      <c r="AA185" s="809" t="str">
        <f t="shared" si="37"/>
        <v/>
      </c>
      <c r="AB185" s="809" t="str">
        <f t="shared" si="38"/>
        <v/>
      </c>
      <c r="AC185" s="809" t="str">
        <f t="shared" si="39"/>
        <v/>
      </c>
      <c r="AD185" s="809" t="str">
        <f t="shared" si="40"/>
        <v/>
      </c>
      <c r="AE185" s="810" t="str">
        <f t="shared" si="41"/>
        <v/>
      </c>
      <c r="AF185" s="811" t="str">
        <f t="shared" si="42"/>
        <v/>
      </c>
      <c r="AG185" s="812" t="str">
        <f t="shared" si="43"/>
        <v/>
      </c>
      <c r="AW185" s="17" t="str">
        <f t="shared" si="44"/>
        <v/>
      </c>
      <c r="AX185" s="17" t="str">
        <f t="shared" si="45"/>
        <v/>
      </c>
      <c r="BM185" s="17" t="str">
        <f>IFERROR(VLOOKUP(B185,'Statement of Marks'!$B$8:'Statement of Marks'!$HI$207,37,0),"")</f>
        <v>A</v>
      </c>
      <c r="BN185" s="17" t="str">
        <f>IFERROR(VLOOKUP(B185,'Statement of Marks'!$B$8:'Statement of Marks'!$HI$207,60,0),"")</f>
        <v>A</v>
      </c>
      <c r="BO185" s="17" t="str">
        <f>IFERROR(VLOOKUP(B185,'Statement of Marks'!$B$8:'Statement of Marks'!$HI$207,83,0),"")</f>
        <v>A</v>
      </c>
      <c r="BP185" s="17" t="str">
        <f>IFERROR(VLOOKUP(B185,'Statement of Marks'!$B$8:'Statement of Marks'!$HI$207,107,0),"")</f>
        <v/>
      </c>
    </row>
    <row r="186" spans="1:68">
      <c r="A186" s="800">
        <f>IF('Statement of Marks'!A185="","",'Statement of Marks'!A185)</f>
        <v>178</v>
      </c>
      <c r="B186" s="801" t="str">
        <f>IF(OR($E$3="",$P$3=""),"",IF('Statement of Marks'!B185="","",'Statement of Marks'!B185))</f>
        <v/>
      </c>
      <c r="C186" s="810" t="str">
        <f>IF(OR($E$3="",$P$3=""),"",IF('Marks Entry'!C185="","",'Marks Entry'!C185))</f>
        <v/>
      </c>
      <c r="D186" s="802" t="str">
        <f>IF(OR($E$3="",$P$3=""),"",IF('Statement of Marks'!C185="","",'Statement of Marks'!C185))</f>
        <v/>
      </c>
      <c r="E186" s="803" t="str">
        <f>IF(OR($E$3="",$P$3=""),"",IF('Statement of Marks'!D185="","",'Statement of Marks'!D185))</f>
        <v/>
      </c>
      <c r="F186" s="804" t="str">
        <f>IF(OR($E$3="",$P$3=""),"",IF('Statement of Marks'!E185="","",'Statement of Marks'!E185))</f>
        <v/>
      </c>
      <c r="G186" s="804" t="str">
        <f>IF(OR($E$3="",$P$3=""),"",IF('Statement of Marks'!F185="","",'Statement of Marks'!F185))</f>
        <v/>
      </c>
      <c r="H186" s="804" t="str">
        <f>IF(OR($E$3="",$P$3=""),"",IF('Statement of Marks'!G185="","",'Statement of Marks'!G185))</f>
        <v/>
      </c>
      <c r="I186" s="805" t="str">
        <f>IF(OR($E$3="",$P$3=""),"",IF('Statement of Marks'!H185="","",'Statement of Marks'!H185))</f>
        <v/>
      </c>
      <c r="J186" s="805" t="str">
        <f>IF(OR($E$3="",$P$3=""),"",IF('Statement of Marks'!I185="","",'Statement of Marks'!I185))</f>
        <v/>
      </c>
      <c r="K186" s="805" t="str">
        <f>IFERROR(IF(B186="","",IF($P$3=$AT$10,IF(AND(BM186="A"),'Marks Entry'!$U$2,IF(AND(BM186="B"),'Marks Entry'!$Y$2,IF(AND(BM186="C"),'Marks Entry'!$AA$2,""))),IF($P$3=$AT$11,IF(AND(BN186="A"),'Marks Entry'!$AC$2,IF(AND(BN186="B"),'Marks Entry'!$AG$2,IF(AND(BN186="C"),'Marks Entry'!$AI$2,""))),IF($P$3=$AT$12,IF(AND(BO186="A"),'Marks Entry'!$AK$2,IF(AND(BO186="B"),'Marks Entry'!$AO$2,IF(AND(BO186="C"),'Marks Entry'!$AQ$2,""))),IF($P$3=$AT$13,IF(AND(BP186="A"),'Marks Entry'!$AS$2,IF(AND(BP186="B"),'Marks Entry'!$AW$2,IF(AND(BP186="C"),'Marks Entry'!$AY$2,""))),"-"))))),"")</f>
        <v/>
      </c>
      <c r="L186" s="806" t="str">
        <f>IFERROR(IF(B186="","",IF($P$3=$AT$8,'Statement of Marks'!J185,IF($P$3=$AT$9,'Statement of Marks'!X185,IF($P$3=$AT$10,'Statement of Marks'!AM185,IF($P$3=$AT$11,'Statement of Marks'!BJ185,IF($P$3=$AT$12,'Statement of Marks'!CG185,IF($P$3=$AT$13,'Statement of Marks'!DE185,IF($P$3=$AT$14,"",IF($P$3=$AT$15,'Statement of Marks'!EY185,""))))))))),"")</f>
        <v/>
      </c>
      <c r="M186" s="806" t="str">
        <f>IFERROR(IF(B186="","",IF($P$3=$AT$8,'Statement of Marks'!K185,IF($P$3=$AT$9,'Statement of Marks'!Y185,IF($P$3=$AT$10,'Statement of Marks'!AN185,IF($P$3=$AT$11,'Statement of Marks'!BK185,IF($P$3=$AT$12,'Statement of Marks'!CH185,IF($P$3=$AT$13,'Statement of Marks'!DF185,IF($P$3=$AT$14,"",IF($P$3=$AT$15,'Statement of Marks'!EZ185,""))))))))),"")</f>
        <v/>
      </c>
      <c r="N186" s="806" t="str">
        <f>IFERROR(IF(B186="","",IF($P$3=$AT$8,'Statement of Marks'!L185,IF($P$3=$AT$9,'Statement of Marks'!Z185,IF($P$3=$AT$10,'Statement of Marks'!AO185,IF($P$3=$AT$11,'Statement of Marks'!BL185,IF($P$3=$AT$12,'Statement of Marks'!CI185,IF($P$3=$AT$13,'Statement of Marks'!DG185,IF($P$3=$AT$14,"",IF($P$3=$AT$15,'Statement of Marks'!FA185,""))))))))),"")</f>
        <v/>
      </c>
      <c r="O186" s="807" t="str">
        <f t="shared" si="32"/>
        <v/>
      </c>
      <c r="P186" s="806" t="str">
        <f>IFERROR(IF(B186="","",IF($P$3=$AT$8,'Statement of Marks'!N185,IF($P$3=$AT$9,'Statement of Marks'!AB185,IF($P$3=$AT$10,'Statement of Marks'!AQ185,IF($P$3=$AT$11,'Statement of Marks'!BN185,IF($P$3=$AT$12,'Statement of Marks'!CK185,IF($P$3=$AT$13,'Statement of Marks'!DI185,IF($P$3=$AT$14,"",IF($P$3=$AT$15,'Statement of Marks'!FC185,""))))))))),"")</f>
        <v/>
      </c>
      <c r="Q186" s="806" t="str">
        <f>IFERROR(IF(B186="","",IF($P$3=$AT$8,"",IF($P$3=$AT$9,"",IF($P$3=$AT$10,'Statement of Marks'!AR185,IF($P$3=$AT$11,'Statement of Marks'!BO185,IF($P$3=$AT$12,'Statement of Marks'!CL185,IF($P$3=$AT$13,'Statement of Marks'!DJ185,IF($P$3=$AT$14,"",IF($P$3=$AT$15,"",""))))))))),"")</f>
        <v/>
      </c>
      <c r="R186" s="818" t="str">
        <f>IFERROR(IF(B186="","",IF(AND(P186="",Q186="",$P$3=""),"",IF($P$3=$AT$14,'Statement of Marks'!EC185,SUM(P186,Q186)))),"")</f>
        <v/>
      </c>
      <c r="S186" s="817" t="str">
        <f>IFERROR(IF(B186="","",IF($P$3=$AT$14,'Statement of Marks'!ED185,IF(AND(O186="NA",P186="NA",Q186="NA"),"NA",IF(AND(O186="",P186="",Q186=""),"",SUM(O186,P186,Q186))))),"")</f>
        <v/>
      </c>
      <c r="T186" s="806" t="str">
        <f>IFERROR(IF(B186="","",IF($P$3=$AT$8,'Statement of Marks'!P185,IF($P$3=$AT$9,'Statement of Marks'!AD185,IF($P$3=$AT$10,'Statement of Marks'!AU185,IF($P$3=$AT$11,'Statement of Marks'!BR185,IF($P$3=$AT$12,'Statement of Marks'!CO185,IF($P$3=$AT$13,'Statement of Marks'!DM185,IF($P$3=$AT$14,"",IF($P$3=$AT$15,'Statement of Marks'!FD185,""))))))))),"")</f>
        <v/>
      </c>
      <c r="U186" s="806" t="str">
        <f>IFERROR(IF(B186="","",IF($P$3=$AT$8,"",IF($P$3=$AT$9,"",IF($P$3=$AT$10,'Statement of Marks'!AV185,IF($P$3=$AT$11,'Statement of Marks'!BS185,IF($P$3=$AT$12,'Statement of Marks'!CP185,IF($P$3=$AT$13,'Statement of Marks'!DN185,IF($P$3=$AT$14,"",IF($P$3=$AT$15,"",""))))))))),"")</f>
        <v/>
      </c>
      <c r="V186" s="818" t="str">
        <f>IFERROR(IF(B186="","",IF(AND(T186="",U186="",$P$3=""),"",IF($P$3=$AT$14,'Statement of Marks'!EE185,SUM(T186,U186)))),"")</f>
        <v/>
      </c>
      <c r="W186" s="808" t="str">
        <f t="shared" si="33"/>
        <v/>
      </c>
      <c r="X186" s="809">
        <f t="shared" si="34"/>
        <v>0</v>
      </c>
      <c r="Y186" s="809">
        <f t="shared" si="35"/>
        <v>0</v>
      </c>
      <c r="Z186" s="809">
        <f t="shared" si="36"/>
        <v>0</v>
      </c>
      <c r="AA186" s="809" t="str">
        <f t="shared" si="37"/>
        <v/>
      </c>
      <c r="AB186" s="809" t="str">
        <f t="shared" si="38"/>
        <v/>
      </c>
      <c r="AC186" s="809" t="str">
        <f t="shared" si="39"/>
        <v/>
      </c>
      <c r="AD186" s="809" t="str">
        <f t="shared" si="40"/>
        <v/>
      </c>
      <c r="AE186" s="810" t="str">
        <f t="shared" si="41"/>
        <v/>
      </c>
      <c r="AF186" s="811" t="str">
        <f t="shared" si="42"/>
        <v/>
      </c>
      <c r="AG186" s="812" t="str">
        <f t="shared" si="43"/>
        <v/>
      </c>
      <c r="AW186" s="17" t="str">
        <f t="shared" si="44"/>
        <v/>
      </c>
      <c r="AX186" s="17" t="str">
        <f t="shared" si="45"/>
        <v/>
      </c>
      <c r="BM186" s="17" t="str">
        <f>IFERROR(VLOOKUP(B186,'Statement of Marks'!$B$8:'Statement of Marks'!$HI$207,37,0),"")</f>
        <v>A</v>
      </c>
      <c r="BN186" s="17" t="str">
        <f>IFERROR(VLOOKUP(B186,'Statement of Marks'!$B$8:'Statement of Marks'!$HI$207,60,0),"")</f>
        <v>A</v>
      </c>
      <c r="BO186" s="17" t="str">
        <f>IFERROR(VLOOKUP(B186,'Statement of Marks'!$B$8:'Statement of Marks'!$HI$207,83,0),"")</f>
        <v>A</v>
      </c>
      <c r="BP186" s="17" t="str">
        <f>IFERROR(VLOOKUP(B186,'Statement of Marks'!$B$8:'Statement of Marks'!$HI$207,107,0),"")</f>
        <v/>
      </c>
    </row>
    <row r="187" spans="1:68">
      <c r="A187" s="800">
        <f>IF('Statement of Marks'!A186="","",'Statement of Marks'!A186)</f>
        <v>179</v>
      </c>
      <c r="B187" s="801" t="str">
        <f>IF(OR($E$3="",$P$3=""),"",IF('Statement of Marks'!B186="","",'Statement of Marks'!B186))</f>
        <v/>
      </c>
      <c r="C187" s="810" t="str">
        <f>IF(OR($E$3="",$P$3=""),"",IF('Marks Entry'!C186="","",'Marks Entry'!C186))</f>
        <v/>
      </c>
      <c r="D187" s="802" t="str">
        <f>IF(OR($E$3="",$P$3=""),"",IF('Statement of Marks'!C186="","",'Statement of Marks'!C186))</f>
        <v/>
      </c>
      <c r="E187" s="803" t="str">
        <f>IF(OR($E$3="",$P$3=""),"",IF('Statement of Marks'!D186="","",'Statement of Marks'!D186))</f>
        <v/>
      </c>
      <c r="F187" s="804" t="str">
        <f>IF(OR($E$3="",$P$3=""),"",IF('Statement of Marks'!E186="","",'Statement of Marks'!E186))</f>
        <v/>
      </c>
      <c r="G187" s="804" t="str">
        <f>IF(OR($E$3="",$P$3=""),"",IF('Statement of Marks'!F186="","",'Statement of Marks'!F186))</f>
        <v/>
      </c>
      <c r="H187" s="804" t="str">
        <f>IF(OR($E$3="",$P$3=""),"",IF('Statement of Marks'!G186="","",'Statement of Marks'!G186))</f>
        <v/>
      </c>
      <c r="I187" s="805" t="str">
        <f>IF(OR($E$3="",$P$3=""),"",IF('Statement of Marks'!H186="","",'Statement of Marks'!H186))</f>
        <v/>
      </c>
      <c r="J187" s="805" t="str">
        <f>IF(OR($E$3="",$P$3=""),"",IF('Statement of Marks'!I186="","",'Statement of Marks'!I186))</f>
        <v/>
      </c>
      <c r="K187" s="805" t="str">
        <f>IFERROR(IF(B187="","",IF($P$3=$AT$10,IF(AND(BM187="A"),'Marks Entry'!$U$2,IF(AND(BM187="B"),'Marks Entry'!$Y$2,IF(AND(BM187="C"),'Marks Entry'!$AA$2,""))),IF($P$3=$AT$11,IF(AND(BN187="A"),'Marks Entry'!$AC$2,IF(AND(BN187="B"),'Marks Entry'!$AG$2,IF(AND(BN187="C"),'Marks Entry'!$AI$2,""))),IF($P$3=$AT$12,IF(AND(BO187="A"),'Marks Entry'!$AK$2,IF(AND(BO187="B"),'Marks Entry'!$AO$2,IF(AND(BO187="C"),'Marks Entry'!$AQ$2,""))),IF($P$3=$AT$13,IF(AND(BP187="A"),'Marks Entry'!$AS$2,IF(AND(BP187="B"),'Marks Entry'!$AW$2,IF(AND(BP187="C"),'Marks Entry'!$AY$2,""))),"-"))))),"")</f>
        <v/>
      </c>
      <c r="L187" s="806" t="str">
        <f>IFERROR(IF(B187="","",IF($P$3=$AT$8,'Statement of Marks'!J186,IF($P$3=$AT$9,'Statement of Marks'!X186,IF($P$3=$AT$10,'Statement of Marks'!AM186,IF($P$3=$AT$11,'Statement of Marks'!BJ186,IF($P$3=$AT$12,'Statement of Marks'!CG186,IF($P$3=$AT$13,'Statement of Marks'!DE186,IF($P$3=$AT$14,"",IF($P$3=$AT$15,'Statement of Marks'!EY186,""))))))))),"")</f>
        <v/>
      </c>
      <c r="M187" s="806" t="str">
        <f>IFERROR(IF(B187="","",IF($P$3=$AT$8,'Statement of Marks'!K186,IF($P$3=$AT$9,'Statement of Marks'!Y186,IF($P$3=$AT$10,'Statement of Marks'!AN186,IF($P$3=$AT$11,'Statement of Marks'!BK186,IF($P$3=$AT$12,'Statement of Marks'!CH186,IF($P$3=$AT$13,'Statement of Marks'!DF186,IF($P$3=$AT$14,"",IF($P$3=$AT$15,'Statement of Marks'!EZ186,""))))))))),"")</f>
        <v/>
      </c>
      <c r="N187" s="806" t="str">
        <f>IFERROR(IF(B187="","",IF($P$3=$AT$8,'Statement of Marks'!L186,IF($P$3=$AT$9,'Statement of Marks'!Z186,IF($P$3=$AT$10,'Statement of Marks'!AO186,IF($P$3=$AT$11,'Statement of Marks'!BL186,IF($P$3=$AT$12,'Statement of Marks'!CI186,IF($P$3=$AT$13,'Statement of Marks'!DG186,IF($P$3=$AT$14,"",IF($P$3=$AT$15,'Statement of Marks'!FA186,""))))))))),"")</f>
        <v/>
      </c>
      <c r="O187" s="807" t="str">
        <f t="shared" si="32"/>
        <v/>
      </c>
      <c r="P187" s="806" t="str">
        <f>IFERROR(IF(B187="","",IF($P$3=$AT$8,'Statement of Marks'!N186,IF($P$3=$AT$9,'Statement of Marks'!AB186,IF($P$3=$AT$10,'Statement of Marks'!AQ186,IF($P$3=$AT$11,'Statement of Marks'!BN186,IF($P$3=$AT$12,'Statement of Marks'!CK186,IF($P$3=$AT$13,'Statement of Marks'!DI186,IF($P$3=$AT$14,"",IF($P$3=$AT$15,'Statement of Marks'!FC186,""))))))))),"")</f>
        <v/>
      </c>
      <c r="Q187" s="806" t="str">
        <f>IFERROR(IF(B187="","",IF($P$3=$AT$8,"",IF($P$3=$AT$9,"",IF($P$3=$AT$10,'Statement of Marks'!AR186,IF($P$3=$AT$11,'Statement of Marks'!BO186,IF($P$3=$AT$12,'Statement of Marks'!CL186,IF($P$3=$AT$13,'Statement of Marks'!DJ186,IF($P$3=$AT$14,"",IF($P$3=$AT$15,"",""))))))))),"")</f>
        <v/>
      </c>
      <c r="R187" s="818" t="str">
        <f>IFERROR(IF(B187="","",IF(AND(P187="",Q187="",$P$3=""),"",IF($P$3=$AT$14,'Statement of Marks'!EC186,SUM(P187,Q187)))),"")</f>
        <v/>
      </c>
      <c r="S187" s="817" t="str">
        <f>IFERROR(IF(B187="","",IF($P$3=$AT$14,'Statement of Marks'!ED186,IF(AND(O187="NA",P187="NA",Q187="NA"),"NA",IF(AND(O187="",P187="",Q187=""),"",SUM(O187,P187,Q187))))),"")</f>
        <v/>
      </c>
      <c r="T187" s="806" t="str">
        <f>IFERROR(IF(B187="","",IF($P$3=$AT$8,'Statement of Marks'!P186,IF($P$3=$AT$9,'Statement of Marks'!AD186,IF($P$3=$AT$10,'Statement of Marks'!AU186,IF($P$3=$AT$11,'Statement of Marks'!BR186,IF($P$3=$AT$12,'Statement of Marks'!CO186,IF($P$3=$AT$13,'Statement of Marks'!DM186,IF($P$3=$AT$14,"",IF($P$3=$AT$15,'Statement of Marks'!FD186,""))))))))),"")</f>
        <v/>
      </c>
      <c r="U187" s="806" t="str">
        <f>IFERROR(IF(B187="","",IF($P$3=$AT$8,"",IF($P$3=$AT$9,"",IF($P$3=$AT$10,'Statement of Marks'!AV186,IF($P$3=$AT$11,'Statement of Marks'!BS186,IF($P$3=$AT$12,'Statement of Marks'!CP186,IF($P$3=$AT$13,'Statement of Marks'!DN186,IF($P$3=$AT$14,"",IF($P$3=$AT$15,"",""))))))))),"")</f>
        <v/>
      </c>
      <c r="V187" s="818" t="str">
        <f>IFERROR(IF(B187="","",IF(AND(T187="",U187="",$P$3=""),"",IF($P$3=$AT$14,'Statement of Marks'!EE186,SUM(T187,U187)))),"")</f>
        <v/>
      </c>
      <c r="W187" s="808" t="str">
        <f t="shared" si="33"/>
        <v/>
      </c>
      <c r="X187" s="809">
        <f t="shared" si="34"/>
        <v>0</v>
      </c>
      <c r="Y187" s="809">
        <f t="shared" si="35"/>
        <v>0</v>
      </c>
      <c r="Z187" s="809">
        <f t="shared" si="36"/>
        <v>0</v>
      </c>
      <c r="AA187" s="809" t="str">
        <f t="shared" si="37"/>
        <v/>
      </c>
      <c r="AB187" s="809" t="str">
        <f t="shared" si="38"/>
        <v/>
      </c>
      <c r="AC187" s="809" t="str">
        <f t="shared" si="39"/>
        <v/>
      </c>
      <c r="AD187" s="809" t="str">
        <f t="shared" si="40"/>
        <v/>
      </c>
      <c r="AE187" s="810" t="str">
        <f t="shared" si="41"/>
        <v/>
      </c>
      <c r="AF187" s="811" t="str">
        <f t="shared" si="42"/>
        <v/>
      </c>
      <c r="AG187" s="812" t="str">
        <f t="shared" si="43"/>
        <v/>
      </c>
      <c r="AW187" s="17" t="str">
        <f t="shared" si="44"/>
        <v/>
      </c>
      <c r="AX187" s="17" t="str">
        <f t="shared" si="45"/>
        <v/>
      </c>
      <c r="BM187" s="17" t="str">
        <f>IFERROR(VLOOKUP(B187,'Statement of Marks'!$B$8:'Statement of Marks'!$HI$207,37,0),"")</f>
        <v>A</v>
      </c>
      <c r="BN187" s="17" t="str">
        <f>IFERROR(VLOOKUP(B187,'Statement of Marks'!$B$8:'Statement of Marks'!$HI$207,60,0),"")</f>
        <v>A</v>
      </c>
      <c r="BO187" s="17" t="str">
        <f>IFERROR(VLOOKUP(B187,'Statement of Marks'!$B$8:'Statement of Marks'!$HI$207,83,0),"")</f>
        <v>A</v>
      </c>
      <c r="BP187" s="17" t="str">
        <f>IFERROR(VLOOKUP(B187,'Statement of Marks'!$B$8:'Statement of Marks'!$HI$207,107,0),"")</f>
        <v/>
      </c>
    </row>
    <row r="188" spans="1:68">
      <c r="A188" s="800">
        <f>IF('Statement of Marks'!A187="","",'Statement of Marks'!A187)</f>
        <v>180</v>
      </c>
      <c r="B188" s="801" t="str">
        <f>IF(OR($E$3="",$P$3=""),"",IF('Statement of Marks'!B187="","",'Statement of Marks'!B187))</f>
        <v/>
      </c>
      <c r="C188" s="810" t="str">
        <f>IF(OR($E$3="",$P$3=""),"",IF('Marks Entry'!C187="","",'Marks Entry'!C187))</f>
        <v/>
      </c>
      <c r="D188" s="802" t="str">
        <f>IF(OR($E$3="",$P$3=""),"",IF('Statement of Marks'!C187="","",'Statement of Marks'!C187))</f>
        <v/>
      </c>
      <c r="E188" s="803" t="str">
        <f>IF(OR($E$3="",$P$3=""),"",IF('Statement of Marks'!D187="","",'Statement of Marks'!D187))</f>
        <v/>
      </c>
      <c r="F188" s="804" t="str">
        <f>IF(OR($E$3="",$P$3=""),"",IF('Statement of Marks'!E187="","",'Statement of Marks'!E187))</f>
        <v/>
      </c>
      <c r="G188" s="804" t="str">
        <f>IF(OR($E$3="",$P$3=""),"",IF('Statement of Marks'!F187="","",'Statement of Marks'!F187))</f>
        <v/>
      </c>
      <c r="H188" s="804" t="str">
        <f>IF(OR($E$3="",$P$3=""),"",IF('Statement of Marks'!G187="","",'Statement of Marks'!G187))</f>
        <v/>
      </c>
      <c r="I188" s="805" t="str">
        <f>IF(OR($E$3="",$P$3=""),"",IF('Statement of Marks'!H187="","",'Statement of Marks'!H187))</f>
        <v/>
      </c>
      <c r="J188" s="805" t="str">
        <f>IF(OR($E$3="",$P$3=""),"",IF('Statement of Marks'!I187="","",'Statement of Marks'!I187))</f>
        <v/>
      </c>
      <c r="K188" s="805" t="str">
        <f>IFERROR(IF(B188="","",IF($P$3=$AT$10,IF(AND(BM188="A"),'Marks Entry'!$U$2,IF(AND(BM188="B"),'Marks Entry'!$Y$2,IF(AND(BM188="C"),'Marks Entry'!$AA$2,""))),IF($P$3=$AT$11,IF(AND(BN188="A"),'Marks Entry'!$AC$2,IF(AND(BN188="B"),'Marks Entry'!$AG$2,IF(AND(BN188="C"),'Marks Entry'!$AI$2,""))),IF($P$3=$AT$12,IF(AND(BO188="A"),'Marks Entry'!$AK$2,IF(AND(BO188="B"),'Marks Entry'!$AO$2,IF(AND(BO188="C"),'Marks Entry'!$AQ$2,""))),IF($P$3=$AT$13,IF(AND(BP188="A"),'Marks Entry'!$AS$2,IF(AND(BP188="B"),'Marks Entry'!$AW$2,IF(AND(BP188="C"),'Marks Entry'!$AY$2,""))),"-"))))),"")</f>
        <v/>
      </c>
      <c r="L188" s="806" t="str">
        <f>IFERROR(IF(B188="","",IF($P$3=$AT$8,'Statement of Marks'!J187,IF($P$3=$AT$9,'Statement of Marks'!X187,IF($P$3=$AT$10,'Statement of Marks'!AM187,IF($P$3=$AT$11,'Statement of Marks'!BJ187,IF($P$3=$AT$12,'Statement of Marks'!CG187,IF($P$3=$AT$13,'Statement of Marks'!DE187,IF($P$3=$AT$14,"",IF($P$3=$AT$15,'Statement of Marks'!EY187,""))))))))),"")</f>
        <v/>
      </c>
      <c r="M188" s="806" t="str">
        <f>IFERROR(IF(B188="","",IF($P$3=$AT$8,'Statement of Marks'!K187,IF($P$3=$AT$9,'Statement of Marks'!Y187,IF($P$3=$AT$10,'Statement of Marks'!AN187,IF($P$3=$AT$11,'Statement of Marks'!BK187,IF($P$3=$AT$12,'Statement of Marks'!CH187,IF($P$3=$AT$13,'Statement of Marks'!DF187,IF($P$3=$AT$14,"",IF($P$3=$AT$15,'Statement of Marks'!EZ187,""))))))))),"")</f>
        <v/>
      </c>
      <c r="N188" s="806" t="str">
        <f>IFERROR(IF(B188="","",IF($P$3=$AT$8,'Statement of Marks'!L187,IF($P$3=$AT$9,'Statement of Marks'!Z187,IF($P$3=$AT$10,'Statement of Marks'!AO187,IF($P$3=$AT$11,'Statement of Marks'!BL187,IF($P$3=$AT$12,'Statement of Marks'!CI187,IF($P$3=$AT$13,'Statement of Marks'!DG187,IF($P$3=$AT$14,"",IF($P$3=$AT$15,'Statement of Marks'!FA187,""))))))))),"")</f>
        <v/>
      </c>
      <c r="O188" s="807" t="str">
        <f t="shared" si="32"/>
        <v/>
      </c>
      <c r="P188" s="806" t="str">
        <f>IFERROR(IF(B188="","",IF($P$3=$AT$8,'Statement of Marks'!N187,IF($P$3=$AT$9,'Statement of Marks'!AB187,IF($P$3=$AT$10,'Statement of Marks'!AQ187,IF($P$3=$AT$11,'Statement of Marks'!BN187,IF($P$3=$AT$12,'Statement of Marks'!CK187,IF($P$3=$AT$13,'Statement of Marks'!DI187,IF($P$3=$AT$14,"",IF($P$3=$AT$15,'Statement of Marks'!FC187,""))))))))),"")</f>
        <v/>
      </c>
      <c r="Q188" s="806" t="str">
        <f>IFERROR(IF(B188="","",IF($P$3=$AT$8,"",IF($P$3=$AT$9,"",IF($P$3=$AT$10,'Statement of Marks'!AR187,IF($P$3=$AT$11,'Statement of Marks'!BO187,IF($P$3=$AT$12,'Statement of Marks'!CL187,IF($P$3=$AT$13,'Statement of Marks'!DJ187,IF($P$3=$AT$14,"",IF($P$3=$AT$15,"",""))))))))),"")</f>
        <v/>
      </c>
      <c r="R188" s="818" t="str">
        <f>IFERROR(IF(B188="","",IF(AND(P188="",Q188="",$P$3=""),"",IF($P$3=$AT$14,'Statement of Marks'!EC187,SUM(P188,Q188)))),"")</f>
        <v/>
      </c>
      <c r="S188" s="817" t="str">
        <f>IFERROR(IF(B188="","",IF($P$3=$AT$14,'Statement of Marks'!ED187,IF(AND(O188="NA",P188="NA",Q188="NA"),"NA",IF(AND(O188="",P188="",Q188=""),"",SUM(O188,P188,Q188))))),"")</f>
        <v/>
      </c>
      <c r="T188" s="806" t="str">
        <f>IFERROR(IF(B188="","",IF($P$3=$AT$8,'Statement of Marks'!P187,IF($P$3=$AT$9,'Statement of Marks'!AD187,IF($P$3=$AT$10,'Statement of Marks'!AU187,IF($P$3=$AT$11,'Statement of Marks'!BR187,IF($P$3=$AT$12,'Statement of Marks'!CO187,IF($P$3=$AT$13,'Statement of Marks'!DM187,IF($P$3=$AT$14,"",IF($P$3=$AT$15,'Statement of Marks'!FD187,""))))))))),"")</f>
        <v/>
      </c>
      <c r="U188" s="806" t="str">
        <f>IFERROR(IF(B188="","",IF($P$3=$AT$8,"",IF($P$3=$AT$9,"",IF($P$3=$AT$10,'Statement of Marks'!AV187,IF($P$3=$AT$11,'Statement of Marks'!BS187,IF($P$3=$AT$12,'Statement of Marks'!CP187,IF($P$3=$AT$13,'Statement of Marks'!DN187,IF($P$3=$AT$14,"",IF($P$3=$AT$15,"",""))))))))),"")</f>
        <v/>
      </c>
      <c r="V188" s="818" t="str">
        <f>IFERROR(IF(B188="","",IF(AND(T188="",U188="",$P$3=""),"",IF($P$3=$AT$14,'Statement of Marks'!EE187,SUM(T188,U188)))),"")</f>
        <v/>
      </c>
      <c r="W188" s="808" t="str">
        <f t="shared" si="33"/>
        <v/>
      </c>
      <c r="X188" s="809">
        <f t="shared" si="34"/>
        <v>0</v>
      </c>
      <c r="Y188" s="809">
        <f t="shared" si="35"/>
        <v>0</v>
      </c>
      <c r="Z188" s="809">
        <f t="shared" si="36"/>
        <v>0</v>
      </c>
      <c r="AA188" s="809" t="str">
        <f t="shared" si="37"/>
        <v/>
      </c>
      <c r="AB188" s="809" t="str">
        <f t="shared" si="38"/>
        <v/>
      </c>
      <c r="AC188" s="809" t="str">
        <f t="shared" si="39"/>
        <v/>
      </c>
      <c r="AD188" s="809" t="str">
        <f t="shared" si="40"/>
        <v/>
      </c>
      <c r="AE188" s="810" t="str">
        <f t="shared" si="41"/>
        <v/>
      </c>
      <c r="AF188" s="811" t="str">
        <f t="shared" si="42"/>
        <v/>
      </c>
      <c r="AG188" s="812" t="str">
        <f t="shared" si="43"/>
        <v/>
      </c>
      <c r="AW188" s="17" t="str">
        <f t="shared" si="44"/>
        <v/>
      </c>
      <c r="AX188" s="17" t="str">
        <f t="shared" si="45"/>
        <v/>
      </c>
      <c r="BM188" s="17" t="str">
        <f>IFERROR(VLOOKUP(B188,'Statement of Marks'!$B$8:'Statement of Marks'!$HI$207,37,0),"")</f>
        <v>A</v>
      </c>
      <c r="BN188" s="17" t="str">
        <f>IFERROR(VLOOKUP(B188,'Statement of Marks'!$B$8:'Statement of Marks'!$HI$207,60,0),"")</f>
        <v>A</v>
      </c>
      <c r="BO188" s="17" t="str">
        <f>IFERROR(VLOOKUP(B188,'Statement of Marks'!$B$8:'Statement of Marks'!$HI$207,83,0),"")</f>
        <v>A</v>
      </c>
      <c r="BP188" s="17" t="str">
        <f>IFERROR(VLOOKUP(B188,'Statement of Marks'!$B$8:'Statement of Marks'!$HI$207,107,0),"")</f>
        <v/>
      </c>
    </row>
    <row r="189" spans="1:68">
      <c r="A189" s="800">
        <f>IF('Statement of Marks'!A188="","",'Statement of Marks'!A188)</f>
        <v>181</v>
      </c>
      <c r="B189" s="801" t="str">
        <f>IF(OR($E$3="",$P$3=""),"",IF('Statement of Marks'!B188="","",'Statement of Marks'!B188))</f>
        <v/>
      </c>
      <c r="C189" s="810" t="str">
        <f>IF(OR($E$3="",$P$3=""),"",IF('Marks Entry'!C188="","",'Marks Entry'!C188))</f>
        <v/>
      </c>
      <c r="D189" s="802" t="str">
        <f>IF(OR($E$3="",$P$3=""),"",IF('Statement of Marks'!C188="","",'Statement of Marks'!C188))</f>
        <v/>
      </c>
      <c r="E189" s="803" t="str">
        <f>IF(OR($E$3="",$P$3=""),"",IF('Statement of Marks'!D188="","",'Statement of Marks'!D188))</f>
        <v/>
      </c>
      <c r="F189" s="804" t="str">
        <f>IF(OR($E$3="",$P$3=""),"",IF('Statement of Marks'!E188="","",'Statement of Marks'!E188))</f>
        <v/>
      </c>
      <c r="G189" s="804" t="str">
        <f>IF(OR($E$3="",$P$3=""),"",IF('Statement of Marks'!F188="","",'Statement of Marks'!F188))</f>
        <v/>
      </c>
      <c r="H189" s="804" t="str">
        <f>IF(OR($E$3="",$P$3=""),"",IF('Statement of Marks'!G188="","",'Statement of Marks'!G188))</f>
        <v/>
      </c>
      <c r="I189" s="805" t="str">
        <f>IF(OR($E$3="",$P$3=""),"",IF('Statement of Marks'!H188="","",'Statement of Marks'!H188))</f>
        <v/>
      </c>
      <c r="J189" s="805" t="str">
        <f>IF(OR($E$3="",$P$3=""),"",IF('Statement of Marks'!I188="","",'Statement of Marks'!I188))</f>
        <v/>
      </c>
      <c r="K189" s="805" t="str">
        <f>IFERROR(IF(B189="","",IF($P$3=$AT$10,IF(AND(BM189="A"),'Marks Entry'!$U$2,IF(AND(BM189="B"),'Marks Entry'!$Y$2,IF(AND(BM189="C"),'Marks Entry'!$AA$2,""))),IF($P$3=$AT$11,IF(AND(BN189="A"),'Marks Entry'!$AC$2,IF(AND(BN189="B"),'Marks Entry'!$AG$2,IF(AND(BN189="C"),'Marks Entry'!$AI$2,""))),IF($P$3=$AT$12,IF(AND(BO189="A"),'Marks Entry'!$AK$2,IF(AND(BO189="B"),'Marks Entry'!$AO$2,IF(AND(BO189="C"),'Marks Entry'!$AQ$2,""))),IF($P$3=$AT$13,IF(AND(BP189="A"),'Marks Entry'!$AS$2,IF(AND(BP189="B"),'Marks Entry'!$AW$2,IF(AND(BP189="C"),'Marks Entry'!$AY$2,""))),"-"))))),"")</f>
        <v/>
      </c>
      <c r="L189" s="806" t="str">
        <f>IFERROR(IF(B189="","",IF($P$3=$AT$8,'Statement of Marks'!J188,IF($P$3=$AT$9,'Statement of Marks'!X188,IF($P$3=$AT$10,'Statement of Marks'!AM188,IF($P$3=$AT$11,'Statement of Marks'!BJ188,IF($P$3=$AT$12,'Statement of Marks'!CG188,IF($P$3=$AT$13,'Statement of Marks'!DE188,IF($P$3=$AT$14,"",IF($P$3=$AT$15,'Statement of Marks'!EY188,""))))))))),"")</f>
        <v/>
      </c>
      <c r="M189" s="806" t="str">
        <f>IFERROR(IF(B189="","",IF($P$3=$AT$8,'Statement of Marks'!K188,IF($P$3=$AT$9,'Statement of Marks'!Y188,IF($P$3=$AT$10,'Statement of Marks'!AN188,IF($P$3=$AT$11,'Statement of Marks'!BK188,IF($P$3=$AT$12,'Statement of Marks'!CH188,IF($P$3=$AT$13,'Statement of Marks'!DF188,IF($P$3=$AT$14,"",IF($P$3=$AT$15,'Statement of Marks'!EZ188,""))))))))),"")</f>
        <v/>
      </c>
      <c r="N189" s="806" t="str">
        <f>IFERROR(IF(B189="","",IF($P$3=$AT$8,'Statement of Marks'!L188,IF($P$3=$AT$9,'Statement of Marks'!Z188,IF($P$3=$AT$10,'Statement of Marks'!AO188,IF($P$3=$AT$11,'Statement of Marks'!BL188,IF($P$3=$AT$12,'Statement of Marks'!CI188,IF($P$3=$AT$13,'Statement of Marks'!DG188,IF($P$3=$AT$14,"",IF($P$3=$AT$15,'Statement of Marks'!FA188,""))))))))),"")</f>
        <v/>
      </c>
      <c r="O189" s="807" t="str">
        <f t="shared" si="32"/>
        <v/>
      </c>
      <c r="P189" s="806" t="str">
        <f>IFERROR(IF(B189="","",IF($P$3=$AT$8,'Statement of Marks'!N188,IF($P$3=$AT$9,'Statement of Marks'!AB188,IF($P$3=$AT$10,'Statement of Marks'!AQ188,IF($P$3=$AT$11,'Statement of Marks'!BN188,IF($P$3=$AT$12,'Statement of Marks'!CK188,IF($P$3=$AT$13,'Statement of Marks'!DI188,IF($P$3=$AT$14,"",IF($P$3=$AT$15,'Statement of Marks'!FC188,""))))))))),"")</f>
        <v/>
      </c>
      <c r="Q189" s="806" t="str">
        <f>IFERROR(IF(B189="","",IF($P$3=$AT$8,"",IF($P$3=$AT$9,"",IF($P$3=$AT$10,'Statement of Marks'!AR188,IF($P$3=$AT$11,'Statement of Marks'!BO188,IF($P$3=$AT$12,'Statement of Marks'!CL188,IF($P$3=$AT$13,'Statement of Marks'!DJ188,IF($P$3=$AT$14,"",IF($P$3=$AT$15,"",""))))))))),"")</f>
        <v/>
      </c>
      <c r="R189" s="818" t="str">
        <f>IFERROR(IF(B189="","",IF(AND(P189="",Q189="",$P$3=""),"",IF($P$3=$AT$14,'Statement of Marks'!EC188,SUM(P189,Q189)))),"")</f>
        <v/>
      </c>
      <c r="S189" s="817" t="str">
        <f>IFERROR(IF(B189="","",IF($P$3=$AT$14,'Statement of Marks'!ED188,IF(AND(O189="NA",P189="NA",Q189="NA"),"NA",IF(AND(O189="",P189="",Q189=""),"",SUM(O189,P189,Q189))))),"")</f>
        <v/>
      </c>
      <c r="T189" s="806" t="str">
        <f>IFERROR(IF(B189="","",IF($P$3=$AT$8,'Statement of Marks'!P188,IF($P$3=$AT$9,'Statement of Marks'!AD188,IF($P$3=$AT$10,'Statement of Marks'!AU188,IF($P$3=$AT$11,'Statement of Marks'!BR188,IF($P$3=$AT$12,'Statement of Marks'!CO188,IF($P$3=$AT$13,'Statement of Marks'!DM188,IF($P$3=$AT$14,"",IF($P$3=$AT$15,'Statement of Marks'!FD188,""))))))))),"")</f>
        <v/>
      </c>
      <c r="U189" s="806" t="str">
        <f>IFERROR(IF(B189="","",IF($P$3=$AT$8,"",IF($P$3=$AT$9,"",IF($P$3=$AT$10,'Statement of Marks'!AV188,IF($P$3=$AT$11,'Statement of Marks'!BS188,IF($P$3=$AT$12,'Statement of Marks'!CP188,IF($P$3=$AT$13,'Statement of Marks'!DN188,IF($P$3=$AT$14,"",IF($P$3=$AT$15,"",""))))))))),"")</f>
        <v/>
      </c>
      <c r="V189" s="818" t="str">
        <f>IFERROR(IF(B189="","",IF(AND(T189="",U189="",$P$3=""),"",IF($P$3=$AT$14,'Statement of Marks'!EE188,SUM(T189,U189)))),"")</f>
        <v/>
      </c>
      <c r="W189" s="808" t="str">
        <f t="shared" si="33"/>
        <v/>
      </c>
      <c r="X189" s="809">
        <f t="shared" si="34"/>
        <v>0</v>
      </c>
      <c r="Y189" s="809">
        <f t="shared" si="35"/>
        <v>0</v>
      </c>
      <c r="Z189" s="809">
        <f t="shared" si="36"/>
        <v>0</v>
      </c>
      <c r="AA189" s="809" t="str">
        <f t="shared" si="37"/>
        <v/>
      </c>
      <c r="AB189" s="809" t="str">
        <f t="shared" si="38"/>
        <v/>
      </c>
      <c r="AC189" s="809" t="str">
        <f t="shared" si="39"/>
        <v/>
      </c>
      <c r="AD189" s="809" t="str">
        <f t="shared" si="40"/>
        <v/>
      </c>
      <c r="AE189" s="810" t="str">
        <f t="shared" si="41"/>
        <v/>
      </c>
      <c r="AF189" s="811" t="str">
        <f t="shared" si="42"/>
        <v/>
      </c>
      <c r="AG189" s="812" t="str">
        <f t="shared" si="43"/>
        <v/>
      </c>
      <c r="AW189" s="17" t="str">
        <f t="shared" si="44"/>
        <v/>
      </c>
      <c r="AX189" s="17" t="str">
        <f t="shared" si="45"/>
        <v/>
      </c>
      <c r="BM189" s="17" t="str">
        <f>IFERROR(VLOOKUP(B189,'Statement of Marks'!$B$8:'Statement of Marks'!$HI$207,37,0),"")</f>
        <v>A</v>
      </c>
      <c r="BN189" s="17" t="str">
        <f>IFERROR(VLOOKUP(B189,'Statement of Marks'!$B$8:'Statement of Marks'!$HI$207,60,0),"")</f>
        <v>A</v>
      </c>
      <c r="BO189" s="17" t="str">
        <f>IFERROR(VLOOKUP(B189,'Statement of Marks'!$B$8:'Statement of Marks'!$HI$207,83,0),"")</f>
        <v>A</v>
      </c>
      <c r="BP189" s="17" t="str">
        <f>IFERROR(VLOOKUP(B189,'Statement of Marks'!$B$8:'Statement of Marks'!$HI$207,107,0),"")</f>
        <v/>
      </c>
    </row>
    <row r="190" spans="1:68">
      <c r="A190" s="800">
        <f>IF('Statement of Marks'!A189="","",'Statement of Marks'!A189)</f>
        <v>182</v>
      </c>
      <c r="B190" s="801" t="str">
        <f>IF(OR($E$3="",$P$3=""),"",IF('Statement of Marks'!B189="","",'Statement of Marks'!B189))</f>
        <v/>
      </c>
      <c r="C190" s="810" t="str">
        <f>IF(OR($E$3="",$P$3=""),"",IF('Marks Entry'!C189="","",'Marks Entry'!C189))</f>
        <v/>
      </c>
      <c r="D190" s="802" t="str">
        <f>IF(OR($E$3="",$P$3=""),"",IF('Statement of Marks'!C189="","",'Statement of Marks'!C189))</f>
        <v/>
      </c>
      <c r="E190" s="803" t="str">
        <f>IF(OR($E$3="",$P$3=""),"",IF('Statement of Marks'!D189="","",'Statement of Marks'!D189))</f>
        <v/>
      </c>
      <c r="F190" s="804" t="str">
        <f>IF(OR($E$3="",$P$3=""),"",IF('Statement of Marks'!E189="","",'Statement of Marks'!E189))</f>
        <v/>
      </c>
      <c r="G190" s="804" t="str">
        <f>IF(OR($E$3="",$P$3=""),"",IF('Statement of Marks'!F189="","",'Statement of Marks'!F189))</f>
        <v/>
      </c>
      <c r="H190" s="804" t="str">
        <f>IF(OR($E$3="",$P$3=""),"",IF('Statement of Marks'!G189="","",'Statement of Marks'!G189))</f>
        <v/>
      </c>
      <c r="I190" s="805" t="str">
        <f>IF(OR($E$3="",$P$3=""),"",IF('Statement of Marks'!H189="","",'Statement of Marks'!H189))</f>
        <v/>
      </c>
      <c r="J190" s="805" t="str">
        <f>IF(OR($E$3="",$P$3=""),"",IF('Statement of Marks'!I189="","",'Statement of Marks'!I189))</f>
        <v/>
      </c>
      <c r="K190" s="805" t="str">
        <f>IFERROR(IF(B190="","",IF($P$3=$AT$10,IF(AND(BM190="A"),'Marks Entry'!$U$2,IF(AND(BM190="B"),'Marks Entry'!$Y$2,IF(AND(BM190="C"),'Marks Entry'!$AA$2,""))),IF($P$3=$AT$11,IF(AND(BN190="A"),'Marks Entry'!$AC$2,IF(AND(BN190="B"),'Marks Entry'!$AG$2,IF(AND(BN190="C"),'Marks Entry'!$AI$2,""))),IF($P$3=$AT$12,IF(AND(BO190="A"),'Marks Entry'!$AK$2,IF(AND(BO190="B"),'Marks Entry'!$AO$2,IF(AND(BO190="C"),'Marks Entry'!$AQ$2,""))),IF($P$3=$AT$13,IF(AND(BP190="A"),'Marks Entry'!$AS$2,IF(AND(BP190="B"),'Marks Entry'!$AW$2,IF(AND(BP190="C"),'Marks Entry'!$AY$2,""))),"-"))))),"")</f>
        <v/>
      </c>
      <c r="L190" s="806" t="str">
        <f>IFERROR(IF(B190="","",IF($P$3=$AT$8,'Statement of Marks'!J189,IF($P$3=$AT$9,'Statement of Marks'!X189,IF($P$3=$AT$10,'Statement of Marks'!AM189,IF($P$3=$AT$11,'Statement of Marks'!BJ189,IF($P$3=$AT$12,'Statement of Marks'!CG189,IF($P$3=$AT$13,'Statement of Marks'!DE189,IF($P$3=$AT$14,"",IF($P$3=$AT$15,'Statement of Marks'!EY189,""))))))))),"")</f>
        <v/>
      </c>
      <c r="M190" s="806" t="str">
        <f>IFERROR(IF(B190="","",IF($P$3=$AT$8,'Statement of Marks'!K189,IF($P$3=$AT$9,'Statement of Marks'!Y189,IF($P$3=$AT$10,'Statement of Marks'!AN189,IF($P$3=$AT$11,'Statement of Marks'!BK189,IF($P$3=$AT$12,'Statement of Marks'!CH189,IF($P$3=$AT$13,'Statement of Marks'!DF189,IF($P$3=$AT$14,"",IF($P$3=$AT$15,'Statement of Marks'!EZ189,""))))))))),"")</f>
        <v/>
      </c>
      <c r="N190" s="806" t="str">
        <f>IFERROR(IF(B190="","",IF($P$3=$AT$8,'Statement of Marks'!L189,IF($P$3=$AT$9,'Statement of Marks'!Z189,IF($P$3=$AT$10,'Statement of Marks'!AO189,IF($P$3=$AT$11,'Statement of Marks'!BL189,IF($P$3=$AT$12,'Statement of Marks'!CI189,IF($P$3=$AT$13,'Statement of Marks'!DG189,IF($P$3=$AT$14,"",IF($P$3=$AT$15,'Statement of Marks'!FA189,""))))))))),"")</f>
        <v/>
      </c>
      <c r="O190" s="807" t="str">
        <f t="shared" si="32"/>
        <v/>
      </c>
      <c r="P190" s="806" t="str">
        <f>IFERROR(IF(B190="","",IF($P$3=$AT$8,'Statement of Marks'!N189,IF($P$3=$AT$9,'Statement of Marks'!AB189,IF($P$3=$AT$10,'Statement of Marks'!AQ189,IF($P$3=$AT$11,'Statement of Marks'!BN189,IF($P$3=$AT$12,'Statement of Marks'!CK189,IF($P$3=$AT$13,'Statement of Marks'!DI189,IF($P$3=$AT$14,"",IF($P$3=$AT$15,'Statement of Marks'!FC189,""))))))))),"")</f>
        <v/>
      </c>
      <c r="Q190" s="806" t="str">
        <f>IFERROR(IF(B190="","",IF($P$3=$AT$8,"",IF($P$3=$AT$9,"",IF($P$3=$AT$10,'Statement of Marks'!AR189,IF($P$3=$AT$11,'Statement of Marks'!BO189,IF($P$3=$AT$12,'Statement of Marks'!CL189,IF($P$3=$AT$13,'Statement of Marks'!DJ189,IF($P$3=$AT$14,"",IF($P$3=$AT$15,"",""))))))))),"")</f>
        <v/>
      </c>
      <c r="R190" s="818" t="str">
        <f>IFERROR(IF(B190="","",IF(AND(P190="",Q190="",$P$3=""),"",IF($P$3=$AT$14,'Statement of Marks'!EC189,SUM(P190,Q190)))),"")</f>
        <v/>
      </c>
      <c r="S190" s="817" t="str">
        <f>IFERROR(IF(B190="","",IF($P$3=$AT$14,'Statement of Marks'!ED189,IF(AND(O190="NA",P190="NA",Q190="NA"),"NA",IF(AND(O190="",P190="",Q190=""),"",SUM(O190,P190,Q190))))),"")</f>
        <v/>
      </c>
      <c r="T190" s="806" t="str">
        <f>IFERROR(IF(B190="","",IF($P$3=$AT$8,'Statement of Marks'!P189,IF($P$3=$AT$9,'Statement of Marks'!AD189,IF($P$3=$AT$10,'Statement of Marks'!AU189,IF($P$3=$AT$11,'Statement of Marks'!BR189,IF($P$3=$AT$12,'Statement of Marks'!CO189,IF($P$3=$AT$13,'Statement of Marks'!DM189,IF($P$3=$AT$14,"",IF($P$3=$AT$15,'Statement of Marks'!FD189,""))))))))),"")</f>
        <v/>
      </c>
      <c r="U190" s="806" t="str">
        <f>IFERROR(IF(B190="","",IF($P$3=$AT$8,"",IF($P$3=$AT$9,"",IF($P$3=$AT$10,'Statement of Marks'!AV189,IF($P$3=$AT$11,'Statement of Marks'!BS189,IF($P$3=$AT$12,'Statement of Marks'!CP189,IF($P$3=$AT$13,'Statement of Marks'!DN189,IF($P$3=$AT$14,"",IF($P$3=$AT$15,"",""))))))))),"")</f>
        <v/>
      </c>
      <c r="V190" s="818" t="str">
        <f>IFERROR(IF(B190="","",IF(AND(T190="",U190="",$P$3=""),"",IF($P$3=$AT$14,'Statement of Marks'!EE189,SUM(T190,U190)))),"")</f>
        <v/>
      </c>
      <c r="W190" s="808" t="str">
        <f t="shared" si="33"/>
        <v/>
      </c>
      <c r="X190" s="809">
        <f t="shared" si="34"/>
        <v>0</v>
      </c>
      <c r="Y190" s="809">
        <f t="shared" si="35"/>
        <v>0</v>
      </c>
      <c r="Z190" s="809">
        <f t="shared" si="36"/>
        <v>0</v>
      </c>
      <c r="AA190" s="809" t="str">
        <f t="shared" si="37"/>
        <v/>
      </c>
      <c r="AB190" s="809" t="str">
        <f t="shared" si="38"/>
        <v/>
      </c>
      <c r="AC190" s="809" t="str">
        <f t="shared" si="39"/>
        <v/>
      </c>
      <c r="AD190" s="809" t="str">
        <f t="shared" si="40"/>
        <v/>
      </c>
      <c r="AE190" s="810" t="str">
        <f t="shared" si="41"/>
        <v/>
      </c>
      <c r="AF190" s="811" t="str">
        <f t="shared" si="42"/>
        <v/>
      </c>
      <c r="AG190" s="812" t="str">
        <f t="shared" si="43"/>
        <v/>
      </c>
      <c r="AW190" s="17" t="str">
        <f t="shared" si="44"/>
        <v/>
      </c>
      <c r="AX190" s="17" t="str">
        <f t="shared" si="45"/>
        <v/>
      </c>
      <c r="BM190" s="17" t="str">
        <f>IFERROR(VLOOKUP(B190,'Statement of Marks'!$B$8:'Statement of Marks'!$HI$207,37,0),"")</f>
        <v>A</v>
      </c>
      <c r="BN190" s="17" t="str">
        <f>IFERROR(VLOOKUP(B190,'Statement of Marks'!$B$8:'Statement of Marks'!$HI$207,60,0),"")</f>
        <v>A</v>
      </c>
      <c r="BO190" s="17" t="str">
        <f>IFERROR(VLOOKUP(B190,'Statement of Marks'!$B$8:'Statement of Marks'!$HI$207,83,0),"")</f>
        <v>A</v>
      </c>
      <c r="BP190" s="17" t="str">
        <f>IFERROR(VLOOKUP(B190,'Statement of Marks'!$B$8:'Statement of Marks'!$HI$207,107,0),"")</f>
        <v/>
      </c>
    </row>
    <row r="191" spans="1:68">
      <c r="A191" s="800">
        <f>IF('Statement of Marks'!A190="","",'Statement of Marks'!A190)</f>
        <v>183</v>
      </c>
      <c r="B191" s="801" t="str">
        <f>IF(OR($E$3="",$P$3=""),"",IF('Statement of Marks'!B190="","",'Statement of Marks'!B190))</f>
        <v/>
      </c>
      <c r="C191" s="810" t="str">
        <f>IF(OR($E$3="",$P$3=""),"",IF('Marks Entry'!C190="","",'Marks Entry'!C190))</f>
        <v/>
      </c>
      <c r="D191" s="802" t="str">
        <f>IF(OR($E$3="",$P$3=""),"",IF('Statement of Marks'!C190="","",'Statement of Marks'!C190))</f>
        <v/>
      </c>
      <c r="E191" s="803" t="str">
        <f>IF(OR($E$3="",$P$3=""),"",IF('Statement of Marks'!D190="","",'Statement of Marks'!D190))</f>
        <v/>
      </c>
      <c r="F191" s="804" t="str">
        <f>IF(OR($E$3="",$P$3=""),"",IF('Statement of Marks'!E190="","",'Statement of Marks'!E190))</f>
        <v/>
      </c>
      <c r="G191" s="804" t="str">
        <f>IF(OR($E$3="",$P$3=""),"",IF('Statement of Marks'!F190="","",'Statement of Marks'!F190))</f>
        <v/>
      </c>
      <c r="H191" s="804" t="str">
        <f>IF(OR($E$3="",$P$3=""),"",IF('Statement of Marks'!G190="","",'Statement of Marks'!G190))</f>
        <v/>
      </c>
      <c r="I191" s="805" t="str">
        <f>IF(OR($E$3="",$P$3=""),"",IF('Statement of Marks'!H190="","",'Statement of Marks'!H190))</f>
        <v/>
      </c>
      <c r="J191" s="805" t="str">
        <f>IF(OR($E$3="",$P$3=""),"",IF('Statement of Marks'!I190="","",'Statement of Marks'!I190))</f>
        <v/>
      </c>
      <c r="K191" s="805" t="str">
        <f>IFERROR(IF(B191="","",IF($P$3=$AT$10,IF(AND(BM191="A"),'Marks Entry'!$U$2,IF(AND(BM191="B"),'Marks Entry'!$Y$2,IF(AND(BM191="C"),'Marks Entry'!$AA$2,""))),IF($P$3=$AT$11,IF(AND(BN191="A"),'Marks Entry'!$AC$2,IF(AND(BN191="B"),'Marks Entry'!$AG$2,IF(AND(BN191="C"),'Marks Entry'!$AI$2,""))),IF($P$3=$AT$12,IF(AND(BO191="A"),'Marks Entry'!$AK$2,IF(AND(BO191="B"),'Marks Entry'!$AO$2,IF(AND(BO191="C"),'Marks Entry'!$AQ$2,""))),IF($P$3=$AT$13,IF(AND(BP191="A"),'Marks Entry'!$AS$2,IF(AND(BP191="B"),'Marks Entry'!$AW$2,IF(AND(BP191="C"),'Marks Entry'!$AY$2,""))),"-"))))),"")</f>
        <v/>
      </c>
      <c r="L191" s="806" t="str">
        <f>IFERROR(IF(B191="","",IF($P$3=$AT$8,'Statement of Marks'!J190,IF($P$3=$AT$9,'Statement of Marks'!X190,IF($P$3=$AT$10,'Statement of Marks'!AM190,IF($P$3=$AT$11,'Statement of Marks'!BJ190,IF($P$3=$AT$12,'Statement of Marks'!CG190,IF($P$3=$AT$13,'Statement of Marks'!DE190,IF($P$3=$AT$14,"",IF($P$3=$AT$15,'Statement of Marks'!EY190,""))))))))),"")</f>
        <v/>
      </c>
      <c r="M191" s="806" t="str">
        <f>IFERROR(IF(B191="","",IF($P$3=$AT$8,'Statement of Marks'!K190,IF($P$3=$AT$9,'Statement of Marks'!Y190,IF($P$3=$AT$10,'Statement of Marks'!AN190,IF($P$3=$AT$11,'Statement of Marks'!BK190,IF($P$3=$AT$12,'Statement of Marks'!CH190,IF($P$3=$AT$13,'Statement of Marks'!DF190,IF($P$3=$AT$14,"",IF($P$3=$AT$15,'Statement of Marks'!EZ190,""))))))))),"")</f>
        <v/>
      </c>
      <c r="N191" s="806" t="str">
        <f>IFERROR(IF(B191="","",IF($P$3=$AT$8,'Statement of Marks'!L190,IF($P$3=$AT$9,'Statement of Marks'!Z190,IF($P$3=$AT$10,'Statement of Marks'!AO190,IF($P$3=$AT$11,'Statement of Marks'!BL190,IF($P$3=$AT$12,'Statement of Marks'!CI190,IF($P$3=$AT$13,'Statement of Marks'!DG190,IF($P$3=$AT$14,"",IF($P$3=$AT$15,'Statement of Marks'!FA190,""))))))))),"")</f>
        <v/>
      </c>
      <c r="O191" s="807" t="str">
        <f t="shared" si="32"/>
        <v/>
      </c>
      <c r="P191" s="806" t="str">
        <f>IFERROR(IF(B191="","",IF($P$3=$AT$8,'Statement of Marks'!N190,IF($P$3=$AT$9,'Statement of Marks'!AB190,IF($P$3=$AT$10,'Statement of Marks'!AQ190,IF($P$3=$AT$11,'Statement of Marks'!BN190,IF($P$3=$AT$12,'Statement of Marks'!CK190,IF($P$3=$AT$13,'Statement of Marks'!DI190,IF($P$3=$AT$14,"",IF($P$3=$AT$15,'Statement of Marks'!FC190,""))))))))),"")</f>
        <v/>
      </c>
      <c r="Q191" s="806" t="str">
        <f>IFERROR(IF(B191="","",IF($P$3=$AT$8,"",IF($P$3=$AT$9,"",IF($P$3=$AT$10,'Statement of Marks'!AR190,IF($P$3=$AT$11,'Statement of Marks'!BO190,IF($P$3=$AT$12,'Statement of Marks'!CL190,IF($P$3=$AT$13,'Statement of Marks'!DJ190,IF($P$3=$AT$14,"",IF($P$3=$AT$15,"",""))))))))),"")</f>
        <v/>
      </c>
      <c r="R191" s="818" t="str">
        <f>IFERROR(IF(B191="","",IF(AND(P191="",Q191="",$P$3=""),"",IF($P$3=$AT$14,'Statement of Marks'!EC190,SUM(P191,Q191)))),"")</f>
        <v/>
      </c>
      <c r="S191" s="817" t="str">
        <f>IFERROR(IF(B191="","",IF($P$3=$AT$14,'Statement of Marks'!ED190,IF(AND(O191="NA",P191="NA",Q191="NA"),"NA",IF(AND(O191="",P191="",Q191=""),"",SUM(O191,P191,Q191))))),"")</f>
        <v/>
      </c>
      <c r="T191" s="806" t="str">
        <f>IFERROR(IF(B191="","",IF($P$3=$AT$8,'Statement of Marks'!P190,IF($P$3=$AT$9,'Statement of Marks'!AD190,IF($P$3=$AT$10,'Statement of Marks'!AU190,IF($P$3=$AT$11,'Statement of Marks'!BR190,IF($P$3=$AT$12,'Statement of Marks'!CO190,IF($P$3=$AT$13,'Statement of Marks'!DM190,IF($P$3=$AT$14,"",IF($P$3=$AT$15,'Statement of Marks'!FD190,""))))))))),"")</f>
        <v/>
      </c>
      <c r="U191" s="806" t="str">
        <f>IFERROR(IF(B191="","",IF($P$3=$AT$8,"",IF($P$3=$AT$9,"",IF($P$3=$AT$10,'Statement of Marks'!AV190,IF($P$3=$AT$11,'Statement of Marks'!BS190,IF($P$3=$AT$12,'Statement of Marks'!CP190,IF($P$3=$AT$13,'Statement of Marks'!DN190,IF($P$3=$AT$14,"",IF($P$3=$AT$15,"",""))))))))),"")</f>
        <v/>
      </c>
      <c r="V191" s="818" t="str">
        <f>IFERROR(IF(B191="","",IF(AND(T191="",U191="",$P$3=""),"",IF($P$3=$AT$14,'Statement of Marks'!EE190,SUM(T191,U191)))),"")</f>
        <v/>
      </c>
      <c r="W191" s="808" t="str">
        <f t="shared" si="33"/>
        <v/>
      </c>
      <c r="X191" s="809">
        <f t="shared" si="34"/>
        <v>0</v>
      </c>
      <c r="Y191" s="809">
        <f t="shared" si="35"/>
        <v>0</v>
      </c>
      <c r="Z191" s="809">
        <f t="shared" si="36"/>
        <v>0</v>
      </c>
      <c r="AA191" s="809" t="str">
        <f t="shared" si="37"/>
        <v/>
      </c>
      <c r="AB191" s="809" t="str">
        <f t="shared" si="38"/>
        <v/>
      </c>
      <c r="AC191" s="809" t="str">
        <f t="shared" si="39"/>
        <v/>
      </c>
      <c r="AD191" s="809" t="str">
        <f t="shared" si="40"/>
        <v/>
      </c>
      <c r="AE191" s="810" t="str">
        <f t="shared" si="41"/>
        <v/>
      </c>
      <c r="AF191" s="811" t="str">
        <f t="shared" si="42"/>
        <v/>
      </c>
      <c r="AG191" s="812" t="str">
        <f t="shared" si="43"/>
        <v/>
      </c>
      <c r="AW191" s="17" t="str">
        <f t="shared" si="44"/>
        <v/>
      </c>
      <c r="AX191" s="17" t="str">
        <f t="shared" si="45"/>
        <v/>
      </c>
      <c r="BM191" s="17" t="str">
        <f>IFERROR(VLOOKUP(B191,'Statement of Marks'!$B$8:'Statement of Marks'!$HI$207,37,0),"")</f>
        <v>A</v>
      </c>
      <c r="BN191" s="17" t="str">
        <f>IFERROR(VLOOKUP(B191,'Statement of Marks'!$B$8:'Statement of Marks'!$HI$207,60,0),"")</f>
        <v>A</v>
      </c>
      <c r="BO191" s="17" t="str">
        <f>IFERROR(VLOOKUP(B191,'Statement of Marks'!$B$8:'Statement of Marks'!$HI$207,83,0),"")</f>
        <v>A</v>
      </c>
      <c r="BP191" s="17" t="str">
        <f>IFERROR(VLOOKUP(B191,'Statement of Marks'!$B$8:'Statement of Marks'!$HI$207,107,0),"")</f>
        <v/>
      </c>
    </row>
    <row r="192" spans="1:68">
      <c r="A192" s="800">
        <f>IF('Statement of Marks'!A191="","",'Statement of Marks'!A191)</f>
        <v>184</v>
      </c>
      <c r="B192" s="801" t="str">
        <f>IF(OR($E$3="",$P$3=""),"",IF('Statement of Marks'!B191="","",'Statement of Marks'!B191))</f>
        <v/>
      </c>
      <c r="C192" s="810" t="str">
        <f>IF(OR($E$3="",$P$3=""),"",IF('Marks Entry'!C191="","",'Marks Entry'!C191))</f>
        <v/>
      </c>
      <c r="D192" s="802" t="str">
        <f>IF(OR($E$3="",$P$3=""),"",IF('Statement of Marks'!C191="","",'Statement of Marks'!C191))</f>
        <v/>
      </c>
      <c r="E192" s="803" t="str">
        <f>IF(OR($E$3="",$P$3=""),"",IF('Statement of Marks'!D191="","",'Statement of Marks'!D191))</f>
        <v/>
      </c>
      <c r="F192" s="804" t="str">
        <f>IF(OR($E$3="",$P$3=""),"",IF('Statement of Marks'!E191="","",'Statement of Marks'!E191))</f>
        <v/>
      </c>
      <c r="G192" s="804" t="str">
        <f>IF(OR($E$3="",$P$3=""),"",IF('Statement of Marks'!F191="","",'Statement of Marks'!F191))</f>
        <v/>
      </c>
      <c r="H192" s="804" t="str">
        <f>IF(OR($E$3="",$P$3=""),"",IF('Statement of Marks'!G191="","",'Statement of Marks'!G191))</f>
        <v/>
      </c>
      <c r="I192" s="805" t="str">
        <f>IF(OR($E$3="",$P$3=""),"",IF('Statement of Marks'!H191="","",'Statement of Marks'!H191))</f>
        <v/>
      </c>
      <c r="J192" s="805" t="str">
        <f>IF(OR($E$3="",$P$3=""),"",IF('Statement of Marks'!I191="","",'Statement of Marks'!I191))</f>
        <v/>
      </c>
      <c r="K192" s="805" t="str">
        <f>IFERROR(IF(B192="","",IF($P$3=$AT$10,IF(AND(BM192="A"),'Marks Entry'!$U$2,IF(AND(BM192="B"),'Marks Entry'!$Y$2,IF(AND(BM192="C"),'Marks Entry'!$AA$2,""))),IF($P$3=$AT$11,IF(AND(BN192="A"),'Marks Entry'!$AC$2,IF(AND(BN192="B"),'Marks Entry'!$AG$2,IF(AND(BN192="C"),'Marks Entry'!$AI$2,""))),IF($P$3=$AT$12,IF(AND(BO192="A"),'Marks Entry'!$AK$2,IF(AND(BO192="B"),'Marks Entry'!$AO$2,IF(AND(BO192="C"),'Marks Entry'!$AQ$2,""))),IF($P$3=$AT$13,IF(AND(BP192="A"),'Marks Entry'!$AS$2,IF(AND(BP192="B"),'Marks Entry'!$AW$2,IF(AND(BP192="C"),'Marks Entry'!$AY$2,""))),"-"))))),"")</f>
        <v/>
      </c>
      <c r="L192" s="806" t="str">
        <f>IFERROR(IF(B192="","",IF($P$3=$AT$8,'Statement of Marks'!J191,IF($P$3=$AT$9,'Statement of Marks'!X191,IF($P$3=$AT$10,'Statement of Marks'!AM191,IF($P$3=$AT$11,'Statement of Marks'!BJ191,IF($P$3=$AT$12,'Statement of Marks'!CG191,IF($P$3=$AT$13,'Statement of Marks'!DE191,IF($P$3=$AT$14,"",IF($P$3=$AT$15,'Statement of Marks'!EY191,""))))))))),"")</f>
        <v/>
      </c>
      <c r="M192" s="806" t="str">
        <f>IFERROR(IF(B192="","",IF($P$3=$AT$8,'Statement of Marks'!K191,IF($P$3=$AT$9,'Statement of Marks'!Y191,IF($P$3=$AT$10,'Statement of Marks'!AN191,IF($P$3=$AT$11,'Statement of Marks'!BK191,IF($P$3=$AT$12,'Statement of Marks'!CH191,IF($P$3=$AT$13,'Statement of Marks'!DF191,IF($P$3=$AT$14,"",IF($P$3=$AT$15,'Statement of Marks'!EZ191,""))))))))),"")</f>
        <v/>
      </c>
      <c r="N192" s="806" t="str">
        <f>IFERROR(IF(B192="","",IF($P$3=$AT$8,'Statement of Marks'!L191,IF($P$3=$AT$9,'Statement of Marks'!Z191,IF($P$3=$AT$10,'Statement of Marks'!AO191,IF($P$3=$AT$11,'Statement of Marks'!BL191,IF($P$3=$AT$12,'Statement of Marks'!CI191,IF($P$3=$AT$13,'Statement of Marks'!DG191,IF($P$3=$AT$14,"",IF($P$3=$AT$15,'Statement of Marks'!FA191,""))))))))),"")</f>
        <v/>
      </c>
      <c r="O192" s="807" t="str">
        <f t="shared" si="32"/>
        <v/>
      </c>
      <c r="P192" s="806" t="str">
        <f>IFERROR(IF(B192="","",IF($P$3=$AT$8,'Statement of Marks'!N191,IF($P$3=$AT$9,'Statement of Marks'!AB191,IF($P$3=$AT$10,'Statement of Marks'!AQ191,IF($P$3=$AT$11,'Statement of Marks'!BN191,IF($P$3=$AT$12,'Statement of Marks'!CK191,IF($P$3=$AT$13,'Statement of Marks'!DI191,IF($P$3=$AT$14,"",IF($P$3=$AT$15,'Statement of Marks'!FC191,""))))))))),"")</f>
        <v/>
      </c>
      <c r="Q192" s="806" t="str">
        <f>IFERROR(IF(B192="","",IF($P$3=$AT$8,"",IF($P$3=$AT$9,"",IF($P$3=$AT$10,'Statement of Marks'!AR191,IF($P$3=$AT$11,'Statement of Marks'!BO191,IF($P$3=$AT$12,'Statement of Marks'!CL191,IF($P$3=$AT$13,'Statement of Marks'!DJ191,IF($P$3=$AT$14,"",IF($P$3=$AT$15,"",""))))))))),"")</f>
        <v/>
      </c>
      <c r="R192" s="818" t="str">
        <f>IFERROR(IF(B192="","",IF(AND(P192="",Q192="",$P$3=""),"",IF($P$3=$AT$14,'Statement of Marks'!EC191,SUM(P192,Q192)))),"")</f>
        <v/>
      </c>
      <c r="S192" s="817" t="str">
        <f>IFERROR(IF(B192="","",IF($P$3=$AT$14,'Statement of Marks'!ED191,IF(AND(O192="NA",P192="NA",Q192="NA"),"NA",IF(AND(O192="",P192="",Q192=""),"",SUM(O192,P192,Q192))))),"")</f>
        <v/>
      </c>
      <c r="T192" s="806" t="str">
        <f>IFERROR(IF(B192="","",IF($P$3=$AT$8,'Statement of Marks'!P191,IF($P$3=$AT$9,'Statement of Marks'!AD191,IF($P$3=$AT$10,'Statement of Marks'!AU191,IF($P$3=$AT$11,'Statement of Marks'!BR191,IF($P$3=$AT$12,'Statement of Marks'!CO191,IF($P$3=$AT$13,'Statement of Marks'!DM191,IF($P$3=$AT$14,"",IF($P$3=$AT$15,'Statement of Marks'!FD191,""))))))))),"")</f>
        <v/>
      </c>
      <c r="U192" s="806" t="str">
        <f>IFERROR(IF(B192="","",IF($P$3=$AT$8,"",IF($P$3=$AT$9,"",IF($P$3=$AT$10,'Statement of Marks'!AV191,IF($P$3=$AT$11,'Statement of Marks'!BS191,IF($P$3=$AT$12,'Statement of Marks'!CP191,IF($P$3=$AT$13,'Statement of Marks'!DN191,IF($P$3=$AT$14,"",IF($P$3=$AT$15,"",""))))))))),"")</f>
        <v/>
      </c>
      <c r="V192" s="818" t="str">
        <f>IFERROR(IF(B192="","",IF(AND(T192="",U192="",$P$3=""),"",IF($P$3=$AT$14,'Statement of Marks'!EE191,SUM(T192,U192)))),"")</f>
        <v/>
      </c>
      <c r="W192" s="808" t="str">
        <f t="shared" si="33"/>
        <v/>
      </c>
      <c r="X192" s="809">
        <f t="shared" si="34"/>
        <v>0</v>
      </c>
      <c r="Y192" s="809">
        <f t="shared" si="35"/>
        <v>0</v>
      </c>
      <c r="Z192" s="809">
        <f t="shared" si="36"/>
        <v>0</v>
      </c>
      <c r="AA192" s="809" t="str">
        <f t="shared" si="37"/>
        <v/>
      </c>
      <c r="AB192" s="809" t="str">
        <f t="shared" si="38"/>
        <v/>
      </c>
      <c r="AC192" s="809" t="str">
        <f t="shared" si="39"/>
        <v/>
      </c>
      <c r="AD192" s="809" t="str">
        <f t="shared" si="40"/>
        <v/>
      </c>
      <c r="AE192" s="810" t="str">
        <f t="shared" si="41"/>
        <v/>
      </c>
      <c r="AF192" s="811" t="str">
        <f t="shared" si="42"/>
        <v/>
      </c>
      <c r="AG192" s="812" t="str">
        <f t="shared" si="43"/>
        <v/>
      </c>
      <c r="AW192" s="17" t="str">
        <f t="shared" si="44"/>
        <v/>
      </c>
      <c r="AX192" s="17" t="str">
        <f t="shared" si="45"/>
        <v/>
      </c>
      <c r="BM192" s="17" t="str">
        <f>IFERROR(VLOOKUP(B192,'Statement of Marks'!$B$8:'Statement of Marks'!$HI$207,37,0),"")</f>
        <v>A</v>
      </c>
      <c r="BN192" s="17" t="str">
        <f>IFERROR(VLOOKUP(B192,'Statement of Marks'!$B$8:'Statement of Marks'!$HI$207,60,0),"")</f>
        <v>A</v>
      </c>
      <c r="BO192" s="17" t="str">
        <f>IFERROR(VLOOKUP(B192,'Statement of Marks'!$B$8:'Statement of Marks'!$HI$207,83,0),"")</f>
        <v>A</v>
      </c>
      <c r="BP192" s="17" t="str">
        <f>IFERROR(VLOOKUP(B192,'Statement of Marks'!$B$8:'Statement of Marks'!$HI$207,107,0),"")</f>
        <v/>
      </c>
    </row>
    <row r="193" spans="1:68">
      <c r="A193" s="800">
        <f>IF('Statement of Marks'!A192="","",'Statement of Marks'!A192)</f>
        <v>185</v>
      </c>
      <c r="B193" s="801" t="str">
        <f>IF(OR($E$3="",$P$3=""),"",IF('Statement of Marks'!B192="","",'Statement of Marks'!B192))</f>
        <v/>
      </c>
      <c r="C193" s="810" t="str">
        <f>IF(OR($E$3="",$P$3=""),"",IF('Marks Entry'!C192="","",'Marks Entry'!C192))</f>
        <v/>
      </c>
      <c r="D193" s="802" t="str">
        <f>IF(OR($E$3="",$P$3=""),"",IF('Statement of Marks'!C192="","",'Statement of Marks'!C192))</f>
        <v/>
      </c>
      <c r="E193" s="803" t="str">
        <f>IF(OR($E$3="",$P$3=""),"",IF('Statement of Marks'!D192="","",'Statement of Marks'!D192))</f>
        <v/>
      </c>
      <c r="F193" s="804" t="str">
        <f>IF(OR($E$3="",$P$3=""),"",IF('Statement of Marks'!E192="","",'Statement of Marks'!E192))</f>
        <v/>
      </c>
      <c r="G193" s="804" t="str">
        <f>IF(OR($E$3="",$P$3=""),"",IF('Statement of Marks'!F192="","",'Statement of Marks'!F192))</f>
        <v/>
      </c>
      <c r="H193" s="804" t="str">
        <f>IF(OR($E$3="",$P$3=""),"",IF('Statement of Marks'!G192="","",'Statement of Marks'!G192))</f>
        <v/>
      </c>
      <c r="I193" s="805" t="str">
        <f>IF(OR($E$3="",$P$3=""),"",IF('Statement of Marks'!H192="","",'Statement of Marks'!H192))</f>
        <v/>
      </c>
      <c r="J193" s="805" t="str">
        <f>IF(OR($E$3="",$P$3=""),"",IF('Statement of Marks'!I192="","",'Statement of Marks'!I192))</f>
        <v/>
      </c>
      <c r="K193" s="805" t="str">
        <f>IFERROR(IF(B193="","",IF($P$3=$AT$10,IF(AND(BM193="A"),'Marks Entry'!$U$2,IF(AND(BM193="B"),'Marks Entry'!$Y$2,IF(AND(BM193="C"),'Marks Entry'!$AA$2,""))),IF($P$3=$AT$11,IF(AND(BN193="A"),'Marks Entry'!$AC$2,IF(AND(BN193="B"),'Marks Entry'!$AG$2,IF(AND(BN193="C"),'Marks Entry'!$AI$2,""))),IF($P$3=$AT$12,IF(AND(BO193="A"),'Marks Entry'!$AK$2,IF(AND(BO193="B"),'Marks Entry'!$AO$2,IF(AND(BO193="C"),'Marks Entry'!$AQ$2,""))),IF($P$3=$AT$13,IF(AND(BP193="A"),'Marks Entry'!$AS$2,IF(AND(BP193="B"),'Marks Entry'!$AW$2,IF(AND(BP193="C"),'Marks Entry'!$AY$2,""))),"-"))))),"")</f>
        <v/>
      </c>
      <c r="L193" s="806" t="str">
        <f>IFERROR(IF(B193="","",IF($P$3=$AT$8,'Statement of Marks'!J192,IF($P$3=$AT$9,'Statement of Marks'!X192,IF($P$3=$AT$10,'Statement of Marks'!AM192,IF($P$3=$AT$11,'Statement of Marks'!BJ192,IF($P$3=$AT$12,'Statement of Marks'!CG192,IF($P$3=$AT$13,'Statement of Marks'!DE192,IF($P$3=$AT$14,"",IF($P$3=$AT$15,'Statement of Marks'!EY192,""))))))))),"")</f>
        <v/>
      </c>
      <c r="M193" s="806" t="str">
        <f>IFERROR(IF(B193="","",IF($P$3=$AT$8,'Statement of Marks'!K192,IF($P$3=$AT$9,'Statement of Marks'!Y192,IF($P$3=$AT$10,'Statement of Marks'!AN192,IF($P$3=$AT$11,'Statement of Marks'!BK192,IF($P$3=$AT$12,'Statement of Marks'!CH192,IF($P$3=$AT$13,'Statement of Marks'!DF192,IF($P$3=$AT$14,"",IF($P$3=$AT$15,'Statement of Marks'!EZ192,""))))))))),"")</f>
        <v/>
      </c>
      <c r="N193" s="806" t="str">
        <f>IFERROR(IF(B193="","",IF($P$3=$AT$8,'Statement of Marks'!L192,IF($P$3=$AT$9,'Statement of Marks'!Z192,IF($P$3=$AT$10,'Statement of Marks'!AO192,IF($P$3=$AT$11,'Statement of Marks'!BL192,IF($P$3=$AT$12,'Statement of Marks'!CI192,IF($P$3=$AT$13,'Statement of Marks'!DG192,IF($P$3=$AT$14,"",IF($P$3=$AT$15,'Statement of Marks'!FA192,""))))))))),"")</f>
        <v/>
      </c>
      <c r="O193" s="807" t="str">
        <f t="shared" si="32"/>
        <v/>
      </c>
      <c r="P193" s="806" t="str">
        <f>IFERROR(IF(B193="","",IF($P$3=$AT$8,'Statement of Marks'!N192,IF($P$3=$AT$9,'Statement of Marks'!AB192,IF($P$3=$AT$10,'Statement of Marks'!AQ192,IF($P$3=$AT$11,'Statement of Marks'!BN192,IF($P$3=$AT$12,'Statement of Marks'!CK192,IF($P$3=$AT$13,'Statement of Marks'!DI192,IF($P$3=$AT$14,"",IF($P$3=$AT$15,'Statement of Marks'!FC192,""))))))))),"")</f>
        <v/>
      </c>
      <c r="Q193" s="806" t="str">
        <f>IFERROR(IF(B193="","",IF($P$3=$AT$8,"",IF($P$3=$AT$9,"",IF($P$3=$AT$10,'Statement of Marks'!AR192,IF($P$3=$AT$11,'Statement of Marks'!BO192,IF($P$3=$AT$12,'Statement of Marks'!CL192,IF($P$3=$AT$13,'Statement of Marks'!DJ192,IF($P$3=$AT$14,"",IF($P$3=$AT$15,"",""))))))))),"")</f>
        <v/>
      </c>
      <c r="R193" s="818" t="str">
        <f>IFERROR(IF(B193="","",IF(AND(P193="",Q193="",$P$3=""),"",IF($P$3=$AT$14,'Statement of Marks'!EC192,SUM(P193,Q193)))),"")</f>
        <v/>
      </c>
      <c r="S193" s="817" t="str">
        <f>IFERROR(IF(B193="","",IF($P$3=$AT$14,'Statement of Marks'!ED192,IF(AND(O193="NA",P193="NA",Q193="NA"),"NA",IF(AND(O193="",P193="",Q193=""),"",SUM(O193,P193,Q193))))),"")</f>
        <v/>
      </c>
      <c r="T193" s="806" t="str">
        <f>IFERROR(IF(B193="","",IF($P$3=$AT$8,'Statement of Marks'!P192,IF($P$3=$AT$9,'Statement of Marks'!AD192,IF($P$3=$AT$10,'Statement of Marks'!AU192,IF($P$3=$AT$11,'Statement of Marks'!BR192,IF($P$3=$AT$12,'Statement of Marks'!CO192,IF($P$3=$AT$13,'Statement of Marks'!DM192,IF($P$3=$AT$14,"",IF($P$3=$AT$15,'Statement of Marks'!FD192,""))))))))),"")</f>
        <v/>
      </c>
      <c r="U193" s="806" t="str">
        <f>IFERROR(IF(B193="","",IF($P$3=$AT$8,"",IF($P$3=$AT$9,"",IF($P$3=$AT$10,'Statement of Marks'!AV192,IF($P$3=$AT$11,'Statement of Marks'!BS192,IF($P$3=$AT$12,'Statement of Marks'!CP192,IF($P$3=$AT$13,'Statement of Marks'!DN192,IF($P$3=$AT$14,"",IF($P$3=$AT$15,"",""))))))))),"")</f>
        <v/>
      </c>
      <c r="V193" s="818" t="str">
        <f>IFERROR(IF(B193="","",IF(AND(T193="",U193="",$P$3=""),"",IF($P$3=$AT$14,'Statement of Marks'!EE192,SUM(T193,U193)))),"")</f>
        <v/>
      </c>
      <c r="W193" s="808" t="str">
        <f t="shared" si="33"/>
        <v/>
      </c>
      <c r="X193" s="809">
        <f t="shared" si="34"/>
        <v>0</v>
      </c>
      <c r="Y193" s="809">
        <f t="shared" si="35"/>
        <v>0</v>
      </c>
      <c r="Z193" s="809">
        <f t="shared" si="36"/>
        <v>0</v>
      </c>
      <c r="AA193" s="809" t="str">
        <f t="shared" si="37"/>
        <v/>
      </c>
      <c r="AB193" s="809" t="str">
        <f t="shared" si="38"/>
        <v/>
      </c>
      <c r="AC193" s="809" t="str">
        <f t="shared" si="39"/>
        <v/>
      </c>
      <c r="AD193" s="809" t="str">
        <f t="shared" si="40"/>
        <v/>
      </c>
      <c r="AE193" s="810" t="str">
        <f t="shared" si="41"/>
        <v/>
      </c>
      <c r="AF193" s="811" t="str">
        <f t="shared" si="42"/>
        <v/>
      </c>
      <c r="AG193" s="812" t="str">
        <f t="shared" si="43"/>
        <v/>
      </c>
      <c r="AW193" s="17" t="str">
        <f t="shared" si="44"/>
        <v/>
      </c>
      <c r="AX193" s="17" t="str">
        <f t="shared" si="45"/>
        <v/>
      </c>
      <c r="BM193" s="17" t="str">
        <f>IFERROR(VLOOKUP(B193,'Statement of Marks'!$B$8:'Statement of Marks'!$HI$207,37,0),"")</f>
        <v>A</v>
      </c>
      <c r="BN193" s="17" t="str">
        <f>IFERROR(VLOOKUP(B193,'Statement of Marks'!$B$8:'Statement of Marks'!$HI$207,60,0),"")</f>
        <v>A</v>
      </c>
      <c r="BO193" s="17" t="str">
        <f>IFERROR(VLOOKUP(B193,'Statement of Marks'!$B$8:'Statement of Marks'!$HI$207,83,0),"")</f>
        <v>A</v>
      </c>
      <c r="BP193" s="17" t="str">
        <f>IFERROR(VLOOKUP(B193,'Statement of Marks'!$B$8:'Statement of Marks'!$HI$207,107,0),"")</f>
        <v/>
      </c>
    </row>
    <row r="194" spans="1:68">
      <c r="A194" s="800">
        <f>IF('Statement of Marks'!A193="","",'Statement of Marks'!A193)</f>
        <v>186</v>
      </c>
      <c r="B194" s="801" t="str">
        <f>IF(OR($E$3="",$P$3=""),"",IF('Statement of Marks'!B193="","",'Statement of Marks'!B193))</f>
        <v/>
      </c>
      <c r="C194" s="810" t="str">
        <f>IF(OR($E$3="",$P$3=""),"",IF('Marks Entry'!C193="","",'Marks Entry'!C193))</f>
        <v/>
      </c>
      <c r="D194" s="802" t="str">
        <f>IF(OR($E$3="",$P$3=""),"",IF('Statement of Marks'!C193="","",'Statement of Marks'!C193))</f>
        <v/>
      </c>
      <c r="E194" s="803" t="str">
        <f>IF(OR($E$3="",$P$3=""),"",IF('Statement of Marks'!D193="","",'Statement of Marks'!D193))</f>
        <v/>
      </c>
      <c r="F194" s="804" t="str">
        <f>IF(OR($E$3="",$P$3=""),"",IF('Statement of Marks'!E193="","",'Statement of Marks'!E193))</f>
        <v/>
      </c>
      <c r="G194" s="804" t="str">
        <f>IF(OR($E$3="",$P$3=""),"",IF('Statement of Marks'!F193="","",'Statement of Marks'!F193))</f>
        <v/>
      </c>
      <c r="H194" s="804" t="str">
        <f>IF(OR($E$3="",$P$3=""),"",IF('Statement of Marks'!G193="","",'Statement of Marks'!G193))</f>
        <v/>
      </c>
      <c r="I194" s="805" t="str">
        <f>IF(OR($E$3="",$P$3=""),"",IF('Statement of Marks'!H193="","",'Statement of Marks'!H193))</f>
        <v/>
      </c>
      <c r="J194" s="805" t="str">
        <f>IF(OR($E$3="",$P$3=""),"",IF('Statement of Marks'!I193="","",'Statement of Marks'!I193))</f>
        <v/>
      </c>
      <c r="K194" s="805" t="str">
        <f>IFERROR(IF(B194="","",IF($P$3=$AT$10,IF(AND(BM194="A"),'Marks Entry'!$U$2,IF(AND(BM194="B"),'Marks Entry'!$Y$2,IF(AND(BM194="C"),'Marks Entry'!$AA$2,""))),IF($P$3=$AT$11,IF(AND(BN194="A"),'Marks Entry'!$AC$2,IF(AND(BN194="B"),'Marks Entry'!$AG$2,IF(AND(BN194="C"),'Marks Entry'!$AI$2,""))),IF($P$3=$AT$12,IF(AND(BO194="A"),'Marks Entry'!$AK$2,IF(AND(BO194="B"),'Marks Entry'!$AO$2,IF(AND(BO194="C"),'Marks Entry'!$AQ$2,""))),IF($P$3=$AT$13,IF(AND(BP194="A"),'Marks Entry'!$AS$2,IF(AND(BP194="B"),'Marks Entry'!$AW$2,IF(AND(BP194="C"),'Marks Entry'!$AY$2,""))),"-"))))),"")</f>
        <v/>
      </c>
      <c r="L194" s="806" t="str">
        <f>IFERROR(IF(B194="","",IF($P$3=$AT$8,'Statement of Marks'!J193,IF($P$3=$AT$9,'Statement of Marks'!X193,IF($P$3=$AT$10,'Statement of Marks'!AM193,IF($P$3=$AT$11,'Statement of Marks'!BJ193,IF($P$3=$AT$12,'Statement of Marks'!CG193,IF($P$3=$AT$13,'Statement of Marks'!DE193,IF($P$3=$AT$14,"",IF($P$3=$AT$15,'Statement of Marks'!EY193,""))))))))),"")</f>
        <v/>
      </c>
      <c r="M194" s="806" t="str">
        <f>IFERROR(IF(B194="","",IF($P$3=$AT$8,'Statement of Marks'!K193,IF($P$3=$AT$9,'Statement of Marks'!Y193,IF($P$3=$AT$10,'Statement of Marks'!AN193,IF($P$3=$AT$11,'Statement of Marks'!BK193,IF($P$3=$AT$12,'Statement of Marks'!CH193,IF($P$3=$AT$13,'Statement of Marks'!DF193,IF($P$3=$AT$14,"",IF($P$3=$AT$15,'Statement of Marks'!EZ193,""))))))))),"")</f>
        <v/>
      </c>
      <c r="N194" s="806" t="str">
        <f>IFERROR(IF(B194="","",IF($P$3=$AT$8,'Statement of Marks'!L193,IF($P$3=$AT$9,'Statement of Marks'!Z193,IF($P$3=$AT$10,'Statement of Marks'!AO193,IF($P$3=$AT$11,'Statement of Marks'!BL193,IF($P$3=$AT$12,'Statement of Marks'!CI193,IF($P$3=$AT$13,'Statement of Marks'!DG193,IF($P$3=$AT$14,"",IF($P$3=$AT$15,'Statement of Marks'!FA193,""))))))))),"")</f>
        <v/>
      </c>
      <c r="O194" s="807" t="str">
        <f t="shared" si="32"/>
        <v/>
      </c>
      <c r="P194" s="806" t="str">
        <f>IFERROR(IF(B194="","",IF($P$3=$AT$8,'Statement of Marks'!N193,IF($P$3=$AT$9,'Statement of Marks'!AB193,IF($P$3=$AT$10,'Statement of Marks'!AQ193,IF($P$3=$AT$11,'Statement of Marks'!BN193,IF($P$3=$AT$12,'Statement of Marks'!CK193,IF($P$3=$AT$13,'Statement of Marks'!DI193,IF($P$3=$AT$14,"",IF($P$3=$AT$15,'Statement of Marks'!FC193,""))))))))),"")</f>
        <v/>
      </c>
      <c r="Q194" s="806" t="str">
        <f>IFERROR(IF(B194="","",IF($P$3=$AT$8,"",IF($P$3=$AT$9,"",IF($P$3=$AT$10,'Statement of Marks'!AR193,IF($P$3=$AT$11,'Statement of Marks'!BO193,IF($P$3=$AT$12,'Statement of Marks'!CL193,IF($P$3=$AT$13,'Statement of Marks'!DJ193,IF($P$3=$AT$14,"",IF($P$3=$AT$15,"",""))))))))),"")</f>
        <v/>
      </c>
      <c r="R194" s="818" t="str">
        <f>IFERROR(IF(B194="","",IF(AND(P194="",Q194="",$P$3=""),"",IF($P$3=$AT$14,'Statement of Marks'!EC193,SUM(P194,Q194)))),"")</f>
        <v/>
      </c>
      <c r="S194" s="817" t="str">
        <f>IFERROR(IF(B194="","",IF($P$3=$AT$14,'Statement of Marks'!ED193,IF(AND(O194="NA",P194="NA",Q194="NA"),"NA",IF(AND(O194="",P194="",Q194=""),"",SUM(O194,P194,Q194))))),"")</f>
        <v/>
      </c>
      <c r="T194" s="806" t="str">
        <f>IFERROR(IF(B194="","",IF($P$3=$AT$8,'Statement of Marks'!P193,IF($P$3=$AT$9,'Statement of Marks'!AD193,IF($P$3=$AT$10,'Statement of Marks'!AU193,IF($P$3=$AT$11,'Statement of Marks'!BR193,IF($P$3=$AT$12,'Statement of Marks'!CO193,IF($P$3=$AT$13,'Statement of Marks'!DM193,IF($P$3=$AT$14,"",IF($P$3=$AT$15,'Statement of Marks'!FD193,""))))))))),"")</f>
        <v/>
      </c>
      <c r="U194" s="806" t="str">
        <f>IFERROR(IF(B194="","",IF($P$3=$AT$8,"",IF($P$3=$AT$9,"",IF($P$3=$AT$10,'Statement of Marks'!AV193,IF($P$3=$AT$11,'Statement of Marks'!BS193,IF($P$3=$AT$12,'Statement of Marks'!CP193,IF($P$3=$AT$13,'Statement of Marks'!DN193,IF($P$3=$AT$14,"",IF($P$3=$AT$15,"",""))))))))),"")</f>
        <v/>
      </c>
      <c r="V194" s="818" t="str">
        <f>IFERROR(IF(B194="","",IF(AND(T194="",U194="",$P$3=""),"",IF($P$3=$AT$14,'Statement of Marks'!EE193,SUM(T194,U194)))),"")</f>
        <v/>
      </c>
      <c r="W194" s="808" t="str">
        <f t="shared" si="33"/>
        <v/>
      </c>
      <c r="X194" s="809">
        <f t="shared" si="34"/>
        <v>0</v>
      </c>
      <c r="Y194" s="809">
        <f t="shared" si="35"/>
        <v>0</v>
      </c>
      <c r="Z194" s="809">
        <f t="shared" si="36"/>
        <v>0</v>
      </c>
      <c r="AA194" s="809" t="str">
        <f t="shared" si="37"/>
        <v/>
      </c>
      <c r="AB194" s="809" t="str">
        <f t="shared" si="38"/>
        <v/>
      </c>
      <c r="AC194" s="809" t="str">
        <f t="shared" si="39"/>
        <v/>
      </c>
      <c r="AD194" s="809" t="str">
        <f t="shared" si="40"/>
        <v/>
      </c>
      <c r="AE194" s="810" t="str">
        <f t="shared" si="41"/>
        <v/>
      </c>
      <c r="AF194" s="811" t="str">
        <f t="shared" si="42"/>
        <v/>
      </c>
      <c r="AG194" s="812" t="str">
        <f t="shared" si="43"/>
        <v/>
      </c>
      <c r="AW194" s="17" t="str">
        <f t="shared" si="44"/>
        <v/>
      </c>
      <c r="AX194" s="17" t="str">
        <f t="shared" si="45"/>
        <v/>
      </c>
      <c r="BM194" s="17" t="str">
        <f>IFERROR(VLOOKUP(B194,'Statement of Marks'!$B$8:'Statement of Marks'!$HI$207,37,0),"")</f>
        <v>A</v>
      </c>
      <c r="BN194" s="17" t="str">
        <f>IFERROR(VLOOKUP(B194,'Statement of Marks'!$B$8:'Statement of Marks'!$HI$207,60,0),"")</f>
        <v>A</v>
      </c>
      <c r="BO194" s="17" t="str">
        <f>IFERROR(VLOOKUP(B194,'Statement of Marks'!$B$8:'Statement of Marks'!$HI$207,83,0),"")</f>
        <v>A</v>
      </c>
      <c r="BP194" s="17" t="str">
        <f>IFERROR(VLOOKUP(B194,'Statement of Marks'!$B$8:'Statement of Marks'!$HI$207,107,0),"")</f>
        <v/>
      </c>
    </row>
    <row r="195" spans="1:68">
      <c r="A195" s="800">
        <f>IF('Statement of Marks'!A194="","",'Statement of Marks'!A194)</f>
        <v>187</v>
      </c>
      <c r="B195" s="801" t="str">
        <f>IF(OR($E$3="",$P$3=""),"",IF('Statement of Marks'!B194="","",'Statement of Marks'!B194))</f>
        <v/>
      </c>
      <c r="C195" s="810" t="str">
        <f>IF(OR($E$3="",$P$3=""),"",IF('Marks Entry'!C194="","",'Marks Entry'!C194))</f>
        <v/>
      </c>
      <c r="D195" s="802" t="str">
        <f>IF(OR($E$3="",$P$3=""),"",IF('Statement of Marks'!C194="","",'Statement of Marks'!C194))</f>
        <v/>
      </c>
      <c r="E195" s="803" t="str">
        <f>IF(OR($E$3="",$P$3=""),"",IF('Statement of Marks'!D194="","",'Statement of Marks'!D194))</f>
        <v/>
      </c>
      <c r="F195" s="804" t="str">
        <f>IF(OR($E$3="",$P$3=""),"",IF('Statement of Marks'!E194="","",'Statement of Marks'!E194))</f>
        <v/>
      </c>
      <c r="G195" s="804" t="str">
        <f>IF(OR($E$3="",$P$3=""),"",IF('Statement of Marks'!F194="","",'Statement of Marks'!F194))</f>
        <v/>
      </c>
      <c r="H195" s="804" t="str">
        <f>IF(OR($E$3="",$P$3=""),"",IF('Statement of Marks'!G194="","",'Statement of Marks'!G194))</f>
        <v/>
      </c>
      <c r="I195" s="805" t="str">
        <f>IF(OR($E$3="",$P$3=""),"",IF('Statement of Marks'!H194="","",'Statement of Marks'!H194))</f>
        <v/>
      </c>
      <c r="J195" s="805" t="str">
        <f>IF(OR($E$3="",$P$3=""),"",IF('Statement of Marks'!I194="","",'Statement of Marks'!I194))</f>
        <v/>
      </c>
      <c r="K195" s="805" t="str">
        <f>IFERROR(IF(B195="","",IF($P$3=$AT$10,IF(AND(BM195="A"),'Marks Entry'!$U$2,IF(AND(BM195="B"),'Marks Entry'!$Y$2,IF(AND(BM195="C"),'Marks Entry'!$AA$2,""))),IF($P$3=$AT$11,IF(AND(BN195="A"),'Marks Entry'!$AC$2,IF(AND(BN195="B"),'Marks Entry'!$AG$2,IF(AND(BN195="C"),'Marks Entry'!$AI$2,""))),IF($P$3=$AT$12,IF(AND(BO195="A"),'Marks Entry'!$AK$2,IF(AND(BO195="B"),'Marks Entry'!$AO$2,IF(AND(BO195="C"),'Marks Entry'!$AQ$2,""))),IF($P$3=$AT$13,IF(AND(BP195="A"),'Marks Entry'!$AS$2,IF(AND(BP195="B"),'Marks Entry'!$AW$2,IF(AND(BP195="C"),'Marks Entry'!$AY$2,""))),"-"))))),"")</f>
        <v/>
      </c>
      <c r="L195" s="806" t="str">
        <f>IFERROR(IF(B195="","",IF($P$3=$AT$8,'Statement of Marks'!J194,IF($P$3=$AT$9,'Statement of Marks'!X194,IF($P$3=$AT$10,'Statement of Marks'!AM194,IF($P$3=$AT$11,'Statement of Marks'!BJ194,IF($P$3=$AT$12,'Statement of Marks'!CG194,IF($P$3=$AT$13,'Statement of Marks'!DE194,IF($P$3=$AT$14,"",IF($P$3=$AT$15,'Statement of Marks'!EY194,""))))))))),"")</f>
        <v/>
      </c>
      <c r="M195" s="806" t="str">
        <f>IFERROR(IF(B195="","",IF($P$3=$AT$8,'Statement of Marks'!K194,IF($P$3=$AT$9,'Statement of Marks'!Y194,IF($P$3=$AT$10,'Statement of Marks'!AN194,IF($P$3=$AT$11,'Statement of Marks'!BK194,IF($P$3=$AT$12,'Statement of Marks'!CH194,IF($P$3=$AT$13,'Statement of Marks'!DF194,IF($P$3=$AT$14,"",IF($P$3=$AT$15,'Statement of Marks'!EZ194,""))))))))),"")</f>
        <v/>
      </c>
      <c r="N195" s="806" t="str">
        <f>IFERROR(IF(B195="","",IF($P$3=$AT$8,'Statement of Marks'!L194,IF($P$3=$AT$9,'Statement of Marks'!Z194,IF($P$3=$AT$10,'Statement of Marks'!AO194,IF($P$3=$AT$11,'Statement of Marks'!BL194,IF($P$3=$AT$12,'Statement of Marks'!CI194,IF($P$3=$AT$13,'Statement of Marks'!DG194,IF($P$3=$AT$14,"",IF($P$3=$AT$15,'Statement of Marks'!FA194,""))))))))),"")</f>
        <v/>
      </c>
      <c r="O195" s="807" t="str">
        <f t="shared" si="32"/>
        <v/>
      </c>
      <c r="P195" s="806" t="str">
        <f>IFERROR(IF(B195="","",IF($P$3=$AT$8,'Statement of Marks'!N194,IF($P$3=$AT$9,'Statement of Marks'!AB194,IF($P$3=$AT$10,'Statement of Marks'!AQ194,IF($P$3=$AT$11,'Statement of Marks'!BN194,IF($P$3=$AT$12,'Statement of Marks'!CK194,IF($P$3=$AT$13,'Statement of Marks'!DI194,IF($P$3=$AT$14,"",IF($P$3=$AT$15,'Statement of Marks'!FC194,""))))))))),"")</f>
        <v/>
      </c>
      <c r="Q195" s="806" t="str">
        <f>IFERROR(IF(B195="","",IF($P$3=$AT$8,"",IF($P$3=$AT$9,"",IF($P$3=$AT$10,'Statement of Marks'!AR194,IF($P$3=$AT$11,'Statement of Marks'!BO194,IF($P$3=$AT$12,'Statement of Marks'!CL194,IF($P$3=$AT$13,'Statement of Marks'!DJ194,IF($P$3=$AT$14,"",IF($P$3=$AT$15,"",""))))))))),"")</f>
        <v/>
      </c>
      <c r="R195" s="818" t="str">
        <f>IFERROR(IF(B195="","",IF(AND(P195="",Q195="",$P$3=""),"",IF($P$3=$AT$14,'Statement of Marks'!EC194,SUM(P195,Q195)))),"")</f>
        <v/>
      </c>
      <c r="S195" s="817" t="str">
        <f>IFERROR(IF(B195="","",IF($P$3=$AT$14,'Statement of Marks'!ED194,IF(AND(O195="NA",P195="NA",Q195="NA"),"NA",IF(AND(O195="",P195="",Q195=""),"",SUM(O195,P195,Q195))))),"")</f>
        <v/>
      </c>
      <c r="T195" s="806" t="str">
        <f>IFERROR(IF(B195="","",IF($P$3=$AT$8,'Statement of Marks'!P194,IF($P$3=$AT$9,'Statement of Marks'!AD194,IF($P$3=$AT$10,'Statement of Marks'!AU194,IF($P$3=$AT$11,'Statement of Marks'!BR194,IF($P$3=$AT$12,'Statement of Marks'!CO194,IF($P$3=$AT$13,'Statement of Marks'!DM194,IF($P$3=$AT$14,"",IF($P$3=$AT$15,'Statement of Marks'!FD194,""))))))))),"")</f>
        <v/>
      </c>
      <c r="U195" s="806" t="str">
        <f>IFERROR(IF(B195="","",IF($P$3=$AT$8,"",IF($P$3=$AT$9,"",IF($P$3=$AT$10,'Statement of Marks'!AV194,IF($P$3=$AT$11,'Statement of Marks'!BS194,IF($P$3=$AT$12,'Statement of Marks'!CP194,IF($P$3=$AT$13,'Statement of Marks'!DN194,IF($P$3=$AT$14,"",IF($P$3=$AT$15,"",""))))))))),"")</f>
        <v/>
      </c>
      <c r="V195" s="818" t="str">
        <f>IFERROR(IF(B195="","",IF(AND(T195="",U195="",$P$3=""),"",IF($P$3=$AT$14,'Statement of Marks'!EE194,SUM(T195,U195)))),"")</f>
        <v/>
      </c>
      <c r="W195" s="808" t="str">
        <f t="shared" si="33"/>
        <v/>
      </c>
      <c r="X195" s="809">
        <f t="shared" si="34"/>
        <v>0</v>
      </c>
      <c r="Y195" s="809">
        <f t="shared" si="35"/>
        <v>0</v>
      </c>
      <c r="Z195" s="809">
        <f t="shared" si="36"/>
        <v>0</v>
      </c>
      <c r="AA195" s="809" t="str">
        <f t="shared" si="37"/>
        <v/>
      </c>
      <c r="AB195" s="809" t="str">
        <f t="shared" si="38"/>
        <v/>
      </c>
      <c r="AC195" s="809" t="str">
        <f t="shared" si="39"/>
        <v/>
      </c>
      <c r="AD195" s="809" t="str">
        <f t="shared" si="40"/>
        <v/>
      </c>
      <c r="AE195" s="810" t="str">
        <f t="shared" si="41"/>
        <v/>
      </c>
      <c r="AF195" s="811" t="str">
        <f t="shared" si="42"/>
        <v/>
      </c>
      <c r="AG195" s="812" t="str">
        <f t="shared" si="43"/>
        <v/>
      </c>
      <c r="AW195" s="17" t="str">
        <f t="shared" si="44"/>
        <v/>
      </c>
      <c r="AX195" s="17" t="str">
        <f t="shared" si="45"/>
        <v/>
      </c>
      <c r="BM195" s="17" t="str">
        <f>IFERROR(VLOOKUP(B195,'Statement of Marks'!$B$8:'Statement of Marks'!$HI$207,37,0),"")</f>
        <v>A</v>
      </c>
      <c r="BN195" s="17" t="str">
        <f>IFERROR(VLOOKUP(B195,'Statement of Marks'!$B$8:'Statement of Marks'!$HI$207,60,0),"")</f>
        <v>A</v>
      </c>
      <c r="BO195" s="17" t="str">
        <f>IFERROR(VLOOKUP(B195,'Statement of Marks'!$B$8:'Statement of Marks'!$HI$207,83,0),"")</f>
        <v>A</v>
      </c>
      <c r="BP195" s="17" t="str">
        <f>IFERROR(VLOOKUP(B195,'Statement of Marks'!$B$8:'Statement of Marks'!$HI$207,107,0),"")</f>
        <v/>
      </c>
    </row>
    <row r="196" spans="1:68">
      <c r="A196" s="800">
        <f>IF('Statement of Marks'!A195="","",'Statement of Marks'!A195)</f>
        <v>188</v>
      </c>
      <c r="B196" s="801" t="str">
        <f>IF(OR($E$3="",$P$3=""),"",IF('Statement of Marks'!B195="","",'Statement of Marks'!B195))</f>
        <v/>
      </c>
      <c r="C196" s="810" t="str">
        <f>IF(OR($E$3="",$P$3=""),"",IF('Marks Entry'!C195="","",'Marks Entry'!C195))</f>
        <v/>
      </c>
      <c r="D196" s="802" t="str">
        <f>IF(OR($E$3="",$P$3=""),"",IF('Statement of Marks'!C195="","",'Statement of Marks'!C195))</f>
        <v/>
      </c>
      <c r="E196" s="803" t="str">
        <f>IF(OR($E$3="",$P$3=""),"",IF('Statement of Marks'!D195="","",'Statement of Marks'!D195))</f>
        <v/>
      </c>
      <c r="F196" s="804" t="str">
        <f>IF(OR($E$3="",$P$3=""),"",IF('Statement of Marks'!E195="","",'Statement of Marks'!E195))</f>
        <v/>
      </c>
      <c r="G196" s="804" t="str">
        <f>IF(OR($E$3="",$P$3=""),"",IF('Statement of Marks'!F195="","",'Statement of Marks'!F195))</f>
        <v/>
      </c>
      <c r="H196" s="804" t="str">
        <f>IF(OR($E$3="",$P$3=""),"",IF('Statement of Marks'!G195="","",'Statement of Marks'!G195))</f>
        <v/>
      </c>
      <c r="I196" s="805" t="str">
        <f>IF(OR($E$3="",$P$3=""),"",IF('Statement of Marks'!H195="","",'Statement of Marks'!H195))</f>
        <v/>
      </c>
      <c r="J196" s="805" t="str">
        <f>IF(OR($E$3="",$P$3=""),"",IF('Statement of Marks'!I195="","",'Statement of Marks'!I195))</f>
        <v/>
      </c>
      <c r="K196" s="805" t="str">
        <f>IFERROR(IF(B196="","",IF($P$3=$AT$10,IF(AND(BM196="A"),'Marks Entry'!$U$2,IF(AND(BM196="B"),'Marks Entry'!$Y$2,IF(AND(BM196="C"),'Marks Entry'!$AA$2,""))),IF($P$3=$AT$11,IF(AND(BN196="A"),'Marks Entry'!$AC$2,IF(AND(BN196="B"),'Marks Entry'!$AG$2,IF(AND(BN196="C"),'Marks Entry'!$AI$2,""))),IF($P$3=$AT$12,IF(AND(BO196="A"),'Marks Entry'!$AK$2,IF(AND(BO196="B"),'Marks Entry'!$AO$2,IF(AND(BO196="C"),'Marks Entry'!$AQ$2,""))),IF($P$3=$AT$13,IF(AND(BP196="A"),'Marks Entry'!$AS$2,IF(AND(BP196="B"),'Marks Entry'!$AW$2,IF(AND(BP196="C"),'Marks Entry'!$AY$2,""))),"-"))))),"")</f>
        <v/>
      </c>
      <c r="L196" s="806" t="str">
        <f>IFERROR(IF(B196="","",IF($P$3=$AT$8,'Statement of Marks'!J195,IF($P$3=$AT$9,'Statement of Marks'!X195,IF($P$3=$AT$10,'Statement of Marks'!AM195,IF($P$3=$AT$11,'Statement of Marks'!BJ195,IF($P$3=$AT$12,'Statement of Marks'!CG195,IF($P$3=$AT$13,'Statement of Marks'!DE195,IF($P$3=$AT$14,"",IF($P$3=$AT$15,'Statement of Marks'!EY195,""))))))))),"")</f>
        <v/>
      </c>
      <c r="M196" s="806" t="str">
        <f>IFERROR(IF(B196="","",IF($P$3=$AT$8,'Statement of Marks'!K195,IF($P$3=$AT$9,'Statement of Marks'!Y195,IF($P$3=$AT$10,'Statement of Marks'!AN195,IF($P$3=$AT$11,'Statement of Marks'!BK195,IF($P$3=$AT$12,'Statement of Marks'!CH195,IF($P$3=$AT$13,'Statement of Marks'!DF195,IF($P$3=$AT$14,"",IF($P$3=$AT$15,'Statement of Marks'!EZ195,""))))))))),"")</f>
        <v/>
      </c>
      <c r="N196" s="806" t="str">
        <f>IFERROR(IF(B196="","",IF($P$3=$AT$8,'Statement of Marks'!L195,IF($P$3=$AT$9,'Statement of Marks'!Z195,IF($P$3=$AT$10,'Statement of Marks'!AO195,IF($P$3=$AT$11,'Statement of Marks'!BL195,IF($P$3=$AT$12,'Statement of Marks'!CI195,IF($P$3=$AT$13,'Statement of Marks'!DG195,IF($P$3=$AT$14,"",IF($P$3=$AT$15,'Statement of Marks'!FA195,""))))))))),"")</f>
        <v/>
      </c>
      <c r="O196" s="807" t="str">
        <f t="shared" si="32"/>
        <v/>
      </c>
      <c r="P196" s="806" t="str">
        <f>IFERROR(IF(B196="","",IF($P$3=$AT$8,'Statement of Marks'!N195,IF($P$3=$AT$9,'Statement of Marks'!AB195,IF($P$3=$AT$10,'Statement of Marks'!AQ195,IF($P$3=$AT$11,'Statement of Marks'!BN195,IF($P$3=$AT$12,'Statement of Marks'!CK195,IF($P$3=$AT$13,'Statement of Marks'!DI195,IF($P$3=$AT$14,"",IF($P$3=$AT$15,'Statement of Marks'!FC195,""))))))))),"")</f>
        <v/>
      </c>
      <c r="Q196" s="806" t="str">
        <f>IFERROR(IF(B196="","",IF($P$3=$AT$8,"",IF($P$3=$AT$9,"",IF($P$3=$AT$10,'Statement of Marks'!AR195,IF($P$3=$AT$11,'Statement of Marks'!BO195,IF($P$3=$AT$12,'Statement of Marks'!CL195,IF($P$3=$AT$13,'Statement of Marks'!DJ195,IF($P$3=$AT$14,"",IF($P$3=$AT$15,"",""))))))))),"")</f>
        <v/>
      </c>
      <c r="R196" s="818" t="str">
        <f>IFERROR(IF(B196="","",IF(AND(P196="",Q196="",$P$3=""),"",IF($P$3=$AT$14,'Statement of Marks'!EC195,SUM(P196,Q196)))),"")</f>
        <v/>
      </c>
      <c r="S196" s="817" t="str">
        <f>IFERROR(IF(B196="","",IF($P$3=$AT$14,'Statement of Marks'!ED195,IF(AND(O196="NA",P196="NA",Q196="NA"),"NA",IF(AND(O196="",P196="",Q196=""),"",SUM(O196,P196,Q196))))),"")</f>
        <v/>
      </c>
      <c r="T196" s="806" t="str">
        <f>IFERROR(IF(B196="","",IF($P$3=$AT$8,'Statement of Marks'!P195,IF($P$3=$AT$9,'Statement of Marks'!AD195,IF($P$3=$AT$10,'Statement of Marks'!AU195,IF($P$3=$AT$11,'Statement of Marks'!BR195,IF($P$3=$AT$12,'Statement of Marks'!CO195,IF($P$3=$AT$13,'Statement of Marks'!DM195,IF($P$3=$AT$14,"",IF($P$3=$AT$15,'Statement of Marks'!FD195,""))))))))),"")</f>
        <v/>
      </c>
      <c r="U196" s="806" t="str">
        <f>IFERROR(IF(B196="","",IF($P$3=$AT$8,"",IF($P$3=$AT$9,"",IF($P$3=$AT$10,'Statement of Marks'!AV195,IF($P$3=$AT$11,'Statement of Marks'!BS195,IF($P$3=$AT$12,'Statement of Marks'!CP195,IF($P$3=$AT$13,'Statement of Marks'!DN195,IF($P$3=$AT$14,"",IF($P$3=$AT$15,"",""))))))))),"")</f>
        <v/>
      </c>
      <c r="V196" s="818" t="str">
        <f>IFERROR(IF(B196="","",IF(AND(T196="",U196="",$P$3=""),"",IF($P$3=$AT$14,'Statement of Marks'!EE195,SUM(T196,U196)))),"")</f>
        <v/>
      </c>
      <c r="W196" s="808" t="str">
        <f t="shared" si="33"/>
        <v/>
      </c>
      <c r="X196" s="809">
        <f t="shared" si="34"/>
        <v>0</v>
      </c>
      <c r="Y196" s="809">
        <f t="shared" si="35"/>
        <v>0</v>
      </c>
      <c r="Z196" s="809">
        <f t="shared" si="36"/>
        <v>0</v>
      </c>
      <c r="AA196" s="809" t="str">
        <f t="shared" si="37"/>
        <v/>
      </c>
      <c r="AB196" s="809" t="str">
        <f t="shared" si="38"/>
        <v/>
      </c>
      <c r="AC196" s="809" t="str">
        <f t="shared" si="39"/>
        <v/>
      </c>
      <c r="AD196" s="809" t="str">
        <f t="shared" si="40"/>
        <v/>
      </c>
      <c r="AE196" s="810" t="str">
        <f t="shared" si="41"/>
        <v/>
      </c>
      <c r="AF196" s="811" t="str">
        <f t="shared" si="42"/>
        <v/>
      </c>
      <c r="AG196" s="812" t="str">
        <f t="shared" si="43"/>
        <v/>
      </c>
      <c r="AW196" s="17" t="str">
        <f t="shared" si="44"/>
        <v/>
      </c>
      <c r="AX196" s="17" t="str">
        <f t="shared" si="45"/>
        <v/>
      </c>
      <c r="BM196" s="17" t="str">
        <f>IFERROR(VLOOKUP(B196,'Statement of Marks'!$B$8:'Statement of Marks'!$HI$207,37,0),"")</f>
        <v>A</v>
      </c>
      <c r="BN196" s="17" t="str">
        <f>IFERROR(VLOOKUP(B196,'Statement of Marks'!$B$8:'Statement of Marks'!$HI$207,60,0),"")</f>
        <v>A</v>
      </c>
      <c r="BO196" s="17" t="str">
        <f>IFERROR(VLOOKUP(B196,'Statement of Marks'!$B$8:'Statement of Marks'!$HI$207,83,0),"")</f>
        <v>A</v>
      </c>
      <c r="BP196" s="17" t="str">
        <f>IFERROR(VLOOKUP(B196,'Statement of Marks'!$B$8:'Statement of Marks'!$HI$207,107,0),"")</f>
        <v/>
      </c>
    </row>
    <row r="197" spans="1:68">
      <c r="A197" s="800">
        <f>IF('Statement of Marks'!A196="","",'Statement of Marks'!A196)</f>
        <v>189</v>
      </c>
      <c r="B197" s="801" t="str">
        <f>IF(OR($E$3="",$P$3=""),"",IF('Statement of Marks'!B196="","",'Statement of Marks'!B196))</f>
        <v/>
      </c>
      <c r="C197" s="810" t="str">
        <f>IF(OR($E$3="",$P$3=""),"",IF('Marks Entry'!C196="","",'Marks Entry'!C196))</f>
        <v/>
      </c>
      <c r="D197" s="802" t="str">
        <f>IF(OR($E$3="",$P$3=""),"",IF('Statement of Marks'!C196="","",'Statement of Marks'!C196))</f>
        <v/>
      </c>
      <c r="E197" s="803" t="str">
        <f>IF(OR($E$3="",$P$3=""),"",IF('Statement of Marks'!D196="","",'Statement of Marks'!D196))</f>
        <v/>
      </c>
      <c r="F197" s="804" t="str">
        <f>IF(OR($E$3="",$P$3=""),"",IF('Statement of Marks'!E196="","",'Statement of Marks'!E196))</f>
        <v/>
      </c>
      <c r="G197" s="804" t="str">
        <f>IF(OR($E$3="",$P$3=""),"",IF('Statement of Marks'!F196="","",'Statement of Marks'!F196))</f>
        <v/>
      </c>
      <c r="H197" s="804" t="str">
        <f>IF(OR($E$3="",$P$3=""),"",IF('Statement of Marks'!G196="","",'Statement of Marks'!G196))</f>
        <v/>
      </c>
      <c r="I197" s="805" t="str">
        <f>IF(OR($E$3="",$P$3=""),"",IF('Statement of Marks'!H196="","",'Statement of Marks'!H196))</f>
        <v/>
      </c>
      <c r="J197" s="805" t="str">
        <f>IF(OR($E$3="",$P$3=""),"",IF('Statement of Marks'!I196="","",'Statement of Marks'!I196))</f>
        <v/>
      </c>
      <c r="K197" s="805" t="str">
        <f>IFERROR(IF(B197="","",IF($P$3=$AT$10,IF(AND(BM197="A"),'Marks Entry'!$U$2,IF(AND(BM197="B"),'Marks Entry'!$Y$2,IF(AND(BM197="C"),'Marks Entry'!$AA$2,""))),IF($P$3=$AT$11,IF(AND(BN197="A"),'Marks Entry'!$AC$2,IF(AND(BN197="B"),'Marks Entry'!$AG$2,IF(AND(BN197="C"),'Marks Entry'!$AI$2,""))),IF($P$3=$AT$12,IF(AND(BO197="A"),'Marks Entry'!$AK$2,IF(AND(BO197="B"),'Marks Entry'!$AO$2,IF(AND(BO197="C"),'Marks Entry'!$AQ$2,""))),IF($P$3=$AT$13,IF(AND(BP197="A"),'Marks Entry'!$AS$2,IF(AND(BP197="B"),'Marks Entry'!$AW$2,IF(AND(BP197="C"),'Marks Entry'!$AY$2,""))),"-"))))),"")</f>
        <v/>
      </c>
      <c r="L197" s="806" t="str">
        <f>IFERROR(IF(B197="","",IF($P$3=$AT$8,'Statement of Marks'!J196,IF($P$3=$AT$9,'Statement of Marks'!X196,IF($P$3=$AT$10,'Statement of Marks'!AM196,IF($P$3=$AT$11,'Statement of Marks'!BJ196,IF($P$3=$AT$12,'Statement of Marks'!CG196,IF($P$3=$AT$13,'Statement of Marks'!DE196,IF($P$3=$AT$14,"",IF($P$3=$AT$15,'Statement of Marks'!EY196,""))))))))),"")</f>
        <v/>
      </c>
      <c r="M197" s="806" t="str">
        <f>IFERROR(IF(B197="","",IF($P$3=$AT$8,'Statement of Marks'!K196,IF($P$3=$AT$9,'Statement of Marks'!Y196,IF($P$3=$AT$10,'Statement of Marks'!AN196,IF($P$3=$AT$11,'Statement of Marks'!BK196,IF($P$3=$AT$12,'Statement of Marks'!CH196,IF($P$3=$AT$13,'Statement of Marks'!DF196,IF($P$3=$AT$14,"",IF($P$3=$AT$15,'Statement of Marks'!EZ196,""))))))))),"")</f>
        <v/>
      </c>
      <c r="N197" s="806" t="str">
        <f>IFERROR(IF(B197="","",IF($P$3=$AT$8,'Statement of Marks'!L196,IF($P$3=$AT$9,'Statement of Marks'!Z196,IF($P$3=$AT$10,'Statement of Marks'!AO196,IF($P$3=$AT$11,'Statement of Marks'!BL196,IF($P$3=$AT$12,'Statement of Marks'!CI196,IF($P$3=$AT$13,'Statement of Marks'!DG196,IF($P$3=$AT$14,"",IF($P$3=$AT$15,'Statement of Marks'!FA196,""))))))))),"")</f>
        <v/>
      </c>
      <c r="O197" s="807" t="str">
        <f t="shared" si="32"/>
        <v/>
      </c>
      <c r="P197" s="806" t="str">
        <f>IFERROR(IF(B197="","",IF($P$3=$AT$8,'Statement of Marks'!N196,IF($P$3=$AT$9,'Statement of Marks'!AB196,IF($P$3=$AT$10,'Statement of Marks'!AQ196,IF($P$3=$AT$11,'Statement of Marks'!BN196,IF($P$3=$AT$12,'Statement of Marks'!CK196,IF($P$3=$AT$13,'Statement of Marks'!DI196,IF($P$3=$AT$14,"",IF($P$3=$AT$15,'Statement of Marks'!FC196,""))))))))),"")</f>
        <v/>
      </c>
      <c r="Q197" s="806" t="str">
        <f>IFERROR(IF(B197="","",IF($P$3=$AT$8,"",IF($P$3=$AT$9,"",IF($P$3=$AT$10,'Statement of Marks'!AR196,IF($P$3=$AT$11,'Statement of Marks'!BO196,IF($P$3=$AT$12,'Statement of Marks'!CL196,IF($P$3=$AT$13,'Statement of Marks'!DJ196,IF($P$3=$AT$14,"",IF($P$3=$AT$15,"",""))))))))),"")</f>
        <v/>
      </c>
      <c r="R197" s="818" t="str">
        <f>IFERROR(IF(B197="","",IF(AND(P197="",Q197="",$P$3=""),"",IF($P$3=$AT$14,'Statement of Marks'!EC196,SUM(P197,Q197)))),"")</f>
        <v/>
      </c>
      <c r="S197" s="817" t="str">
        <f>IFERROR(IF(B197="","",IF($P$3=$AT$14,'Statement of Marks'!ED196,IF(AND(O197="NA",P197="NA",Q197="NA"),"NA",IF(AND(O197="",P197="",Q197=""),"",SUM(O197,P197,Q197))))),"")</f>
        <v/>
      </c>
      <c r="T197" s="806" t="str">
        <f>IFERROR(IF(B197="","",IF($P$3=$AT$8,'Statement of Marks'!P196,IF($P$3=$AT$9,'Statement of Marks'!AD196,IF($P$3=$AT$10,'Statement of Marks'!AU196,IF($P$3=$AT$11,'Statement of Marks'!BR196,IF($P$3=$AT$12,'Statement of Marks'!CO196,IF($P$3=$AT$13,'Statement of Marks'!DM196,IF($P$3=$AT$14,"",IF($P$3=$AT$15,'Statement of Marks'!FD196,""))))))))),"")</f>
        <v/>
      </c>
      <c r="U197" s="806" t="str">
        <f>IFERROR(IF(B197="","",IF($P$3=$AT$8,"",IF($P$3=$AT$9,"",IF($P$3=$AT$10,'Statement of Marks'!AV196,IF($P$3=$AT$11,'Statement of Marks'!BS196,IF($P$3=$AT$12,'Statement of Marks'!CP196,IF($P$3=$AT$13,'Statement of Marks'!DN196,IF($P$3=$AT$14,"",IF($P$3=$AT$15,"",""))))))))),"")</f>
        <v/>
      </c>
      <c r="V197" s="818" t="str">
        <f>IFERROR(IF(B197="","",IF(AND(T197="",U197="",$P$3=""),"",IF($P$3=$AT$14,'Statement of Marks'!EE196,SUM(T197,U197)))),"")</f>
        <v/>
      </c>
      <c r="W197" s="808" t="str">
        <f t="shared" si="33"/>
        <v/>
      </c>
      <c r="X197" s="809">
        <f t="shared" si="34"/>
        <v>0</v>
      </c>
      <c r="Y197" s="809">
        <f t="shared" si="35"/>
        <v>0</v>
      </c>
      <c r="Z197" s="809">
        <f t="shared" si="36"/>
        <v>0</v>
      </c>
      <c r="AA197" s="809" t="str">
        <f t="shared" si="37"/>
        <v/>
      </c>
      <c r="AB197" s="809" t="str">
        <f t="shared" si="38"/>
        <v/>
      </c>
      <c r="AC197" s="809" t="str">
        <f t="shared" si="39"/>
        <v/>
      </c>
      <c r="AD197" s="809" t="str">
        <f t="shared" si="40"/>
        <v/>
      </c>
      <c r="AE197" s="810" t="str">
        <f t="shared" si="41"/>
        <v/>
      </c>
      <c r="AF197" s="811" t="str">
        <f t="shared" si="42"/>
        <v/>
      </c>
      <c r="AG197" s="812" t="str">
        <f t="shared" si="43"/>
        <v/>
      </c>
      <c r="AW197" s="17" t="str">
        <f t="shared" si="44"/>
        <v/>
      </c>
      <c r="AX197" s="17" t="str">
        <f t="shared" si="45"/>
        <v/>
      </c>
      <c r="BM197" s="17" t="str">
        <f>IFERROR(VLOOKUP(B197,'Statement of Marks'!$B$8:'Statement of Marks'!$HI$207,37,0),"")</f>
        <v>A</v>
      </c>
      <c r="BN197" s="17" t="str">
        <f>IFERROR(VLOOKUP(B197,'Statement of Marks'!$B$8:'Statement of Marks'!$HI$207,60,0),"")</f>
        <v>A</v>
      </c>
      <c r="BO197" s="17" t="str">
        <f>IFERROR(VLOOKUP(B197,'Statement of Marks'!$B$8:'Statement of Marks'!$HI$207,83,0),"")</f>
        <v>A</v>
      </c>
      <c r="BP197" s="17" t="str">
        <f>IFERROR(VLOOKUP(B197,'Statement of Marks'!$B$8:'Statement of Marks'!$HI$207,107,0),"")</f>
        <v/>
      </c>
    </row>
    <row r="198" spans="1:68">
      <c r="A198" s="800">
        <f>IF('Statement of Marks'!A197="","",'Statement of Marks'!A197)</f>
        <v>190</v>
      </c>
      <c r="B198" s="801" t="str">
        <f>IF(OR($E$3="",$P$3=""),"",IF('Statement of Marks'!B197="","",'Statement of Marks'!B197))</f>
        <v/>
      </c>
      <c r="C198" s="810" t="str">
        <f>IF(OR($E$3="",$P$3=""),"",IF('Marks Entry'!C197="","",'Marks Entry'!C197))</f>
        <v/>
      </c>
      <c r="D198" s="802" t="str">
        <f>IF(OR($E$3="",$P$3=""),"",IF('Statement of Marks'!C197="","",'Statement of Marks'!C197))</f>
        <v/>
      </c>
      <c r="E198" s="803" t="str">
        <f>IF(OR($E$3="",$P$3=""),"",IF('Statement of Marks'!D197="","",'Statement of Marks'!D197))</f>
        <v/>
      </c>
      <c r="F198" s="804" t="str">
        <f>IF(OR($E$3="",$P$3=""),"",IF('Statement of Marks'!E197="","",'Statement of Marks'!E197))</f>
        <v/>
      </c>
      <c r="G198" s="804" t="str">
        <f>IF(OR($E$3="",$P$3=""),"",IF('Statement of Marks'!F197="","",'Statement of Marks'!F197))</f>
        <v/>
      </c>
      <c r="H198" s="804" t="str">
        <f>IF(OR($E$3="",$P$3=""),"",IF('Statement of Marks'!G197="","",'Statement of Marks'!G197))</f>
        <v/>
      </c>
      <c r="I198" s="805" t="str">
        <f>IF(OR($E$3="",$P$3=""),"",IF('Statement of Marks'!H197="","",'Statement of Marks'!H197))</f>
        <v/>
      </c>
      <c r="J198" s="805" t="str">
        <f>IF(OR($E$3="",$P$3=""),"",IF('Statement of Marks'!I197="","",'Statement of Marks'!I197))</f>
        <v/>
      </c>
      <c r="K198" s="805" t="str">
        <f>IFERROR(IF(B198="","",IF($P$3=$AT$10,IF(AND(BM198="A"),'Marks Entry'!$U$2,IF(AND(BM198="B"),'Marks Entry'!$Y$2,IF(AND(BM198="C"),'Marks Entry'!$AA$2,""))),IF($P$3=$AT$11,IF(AND(BN198="A"),'Marks Entry'!$AC$2,IF(AND(BN198="B"),'Marks Entry'!$AG$2,IF(AND(BN198="C"),'Marks Entry'!$AI$2,""))),IF($P$3=$AT$12,IF(AND(BO198="A"),'Marks Entry'!$AK$2,IF(AND(BO198="B"),'Marks Entry'!$AO$2,IF(AND(BO198="C"),'Marks Entry'!$AQ$2,""))),IF($P$3=$AT$13,IF(AND(BP198="A"),'Marks Entry'!$AS$2,IF(AND(BP198="B"),'Marks Entry'!$AW$2,IF(AND(BP198="C"),'Marks Entry'!$AY$2,""))),"-"))))),"")</f>
        <v/>
      </c>
      <c r="L198" s="806" t="str">
        <f>IFERROR(IF(B198="","",IF($P$3=$AT$8,'Statement of Marks'!J197,IF($P$3=$AT$9,'Statement of Marks'!X197,IF($P$3=$AT$10,'Statement of Marks'!AM197,IF($P$3=$AT$11,'Statement of Marks'!BJ197,IF($P$3=$AT$12,'Statement of Marks'!CG197,IF($P$3=$AT$13,'Statement of Marks'!DE197,IF($P$3=$AT$14,"",IF($P$3=$AT$15,'Statement of Marks'!EY197,""))))))))),"")</f>
        <v/>
      </c>
      <c r="M198" s="806" t="str">
        <f>IFERROR(IF(B198="","",IF($P$3=$AT$8,'Statement of Marks'!K197,IF($P$3=$AT$9,'Statement of Marks'!Y197,IF($P$3=$AT$10,'Statement of Marks'!AN197,IF($P$3=$AT$11,'Statement of Marks'!BK197,IF($P$3=$AT$12,'Statement of Marks'!CH197,IF($P$3=$AT$13,'Statement of Marks'!DF197,IF($P$3=$AT$14,"",IF($P$3=$AT$15,'Statement of Marks'!EZ197,""))))))))),"")</f>
        <v/>
      </c>
      <c r="N198" s="806" t="str">
        <f>IFERROR(IF(B198="","",IF($P$3=$AT$8,'Statement of Marks'!L197,IF($P$3=$AT$9,'Statement of Marks'!Z197,IF($P$3=$AT$10,'Statement of Marks'!AO197,IF($P$3=$AT$11,'Statement of Marks'!BL197,IF($P$3=$AT$12,'Statement of Marks'!CI197,IF($P$3=$AT$13,'Statement of Marks'!DG197,IF($P$3=$AT$14,"",IF($P$3=$AT$15,'Statement of Marks'!FA197,""))))))))),"")</f>
        <v/>
      </c>
      <c r="O198" s="807" t="str">
        <f t="shared" si="32"/>
        <v/>
      </c>
      <c r="P198" s="806" t="str">
        <f>IFERROR(IF(B198="","",IF($P$3=$AT$8,'Statement of Marks'!N197,IF($P$3=$AT$9,'Statement of Marks'!AB197,IF($P$3=$AT$10,'Statement of Marks'!AQ197,IF($P$3=$AT$11,'Statement of Marks'!BN197,IF($P$3=$AT$12,'Statement of Marks'!CK197,IF($P$3=$AT$13,'Statement of Marks'!DI197,IF($P$3=$AT$14,"",IF($P$3=$AT$15,'Statement of Marks'!FC197,""))))))))),"")</f>
        <v/>
      </c>
      <c r="Q198" s="806" t="str">
        <f>IFERROR(IF(B198="","",IF($P$3=$AT$8,"",IF($P$3=$AT$9,"",IF($P$3=$AT$10,'Statement of Marks'!AR197,IF($P$3=$AT$11,'Statement of Marks'!BO197,IF($P$3=$AT$12,'Statement of Marks'!CL197,IF($P$3=$AT$13,'Statement of Marks'!DJ197,IF($P$3=$AT$14,"",IF($P$3=$AT$15,"",""))))))))),"")</f>
        <v/>
      </c>
      <c r="R198" s="818" t="str">
        <f>IFERROR(IF(B198="","",IF(AND(P198="",Q198="",$P$3=""),"",IF($P$3=$AT$14,'Statement of Marks'!EC197,SUM(P198,Q198)))),"")</f>
        <v/>
      </c>
      <c r="S198" s="817" t="str">
        <f>IFERROR(IF(B198="","",IF($P$3=$AT$14,'Statement of Marks'!ED197,IF(AND(O198="NA",P198="NA",Q198="NA"),"NA",IF(AND(O198="",P198="",Q198=""),"",SUM(O198,P198,Q198))))),"")</f>
        <v/>
      </c>
      <c r="T198" s="806" t="str">
        <f>IFERROR(IF(B198="","",IF($P$3=$AT$8,'Statement of Marks'!P197,IF($P$3=$AT$9,'Statement of Marks'!AD197,IF($P$3=$AT$10,'Statement of Marks'!AU197,IF($P$3=$AT$11,'Statement of Marks'!BR197,IF($P$3=$AT$12,'Statement of Marks'!CO197,IF($P$3=$AT$13,'Statement of Marks'!DM197,IF($P$3=$AT$14,"",IF($P$3=$AT$15,'Statement of Marks'!FD197,""))))))))),"")</f>
        <v/>
      </c>
      <c r="U198" s="806" t="str">
        <f>IFERROR(IF(B198="","",IF($P$3=$AT$8,"",IF($P$3=$AT$9,"",IF($P$3=$AT$10,'Statement of Marks'!AV197,IF($P$3=$AT$11,'Statement of Marks'!BS197,IF($P$3=$AT$12,'Statement of Marks'!CP197,IF($P$3=$AT$13,'Statement of Marks'!DN197,IF($P$3=$AT$14,"",IF($P$3=$AT$15,"",""))))))))),"")</f>
        <v/>
      </c>
      <c r="V198" s="818" t="str">
        <f>IFERROR(IF(B198="","",IF(AND(T198="",U198="",$P$3=""),"",IF($P$3=$AT$14,'Statement of Marks'!EE197,SUM(T198,U198)))),"")</f>
        <v/>
      </c>
      <c r="W198" s="808" t="str">
        <f t="shared" si="33"/>
        <v/>
      </c>
      <c r="X198" s="809">
        <f t="shared" si="34"/>
        <v>0</v>
      </c>
      <c r="Y198" s="809">
        <f t="shared" si="35"/>
        <v>0</v>
      </c>
      <c r="Z198" s="809">
        <f t="shared" si="36"/>
        <v>0</v>
      </c>
      <c r="AA198" s="809" t="str">
        <f t="shared" si="37"/>
        <v/>
      </c>
      <c r="AB198" s="809" t="str">
        <f t="shared" si="38"/>
        <v/>
      </c>
      <c r="AC198" s="809" t="str">
        <f t="shared" si="39"/>
        <v/>
      </c>
      <c r="AD198" s="809" t="str">
        <f t="shared" si="40"/>
        <v/>
      </c>
      <c r="AE198" s="810" t="str">
        <f t="shared" si="41"/>
        <v/>
      </c>
      <c r="AF198" s="811" t="str">
        <f t="shared" si="42"/>
        <v/>
      </c>
      <c r="AG198" s="812" t="str">
        <f t="shared" si="43"/>
        <v/>
      </c>
      <c r="AW198" s="17" t="str">
        <f t="shared" si="44"/>
        <v/>
      </c>
      <c r="AX198" s="17" t="str">
        <f t="shared" si="45"/>
        <v/>
      </c>
      <c r="BM198" s="17" t="str">
        <f>IFERROR(VLOOKUP(B198,'Statement of Marks'!$B$8:'Statement of Marks'!$HI$207,37,0),"")</f>
        <v>A</v>
      </c>
      <c r="BN198" s="17" t="str">
        <f>IFERROR(VLOOKUP(B198,'Statement of Marks'!$B$8:'Statement of Marks'!$HI$207,60,0),"")</f>
        <v>A</v>
      </c>
      <c r="BO198" s="17" t="str">
        <f>IFERROR(VLOOKUP(B198,'Statement of Marks'!$B$8:'Statement of Marks'!$HI$207,83,0),"")</f>
        <v>A</v>
      </c>
      <c r="BP198" s="17" t="str">
        <f>IFERROR(VLOOKUP(B198,'Statement of Marks'!$B$8:'Statement of Marks'!$HI$207,107,0),"")</f>
        <v/>
      </c>
    </row>
    <row r="199" spans="1:68">
      <c r="A199" s="800">
        <f>IF('Statement of Marks'!A198="","",'Statement of Marks'!A198)</f>
        <v>191</v>
      </c>
      <c r="B199" s="801" t="str">
        <f>IF(OR($E$3="",$P$3=""),"",IF('Statement of Marks'!B198="","",'Statement of Marks'!B198))</f>
        <v/>
      </c>
      <c r="C199" s="810" t="str">
        <f>IF(OR($E$3="",$P$3=""),"",IF('Marks Entry'!C198="","",'Marks Entry'!C198))</f>
        <v/>
      </c>
      <c r="D199" s="802" t="str">
        <f>IF(OR($E$3="",$P$3=""),"",IF('Statement of Marks'!C198="","",'Statement of Marks'!C198))</f>
        <v/>
      </c>
      <c r="E199" s="803" t="str">
        <f>IF(OR($E$3="",$P$3=""),"",IF('Statement of Marks'!D198="","",'Statement of Marks'!D198))</f>
        <v/>
      </c>
      <c r="F199" s="804" t="str">
        <f>IF(OR($E$3="",$P$3=""),"",IF('Statement of Marks'!E198="","",'Statement of Marks'!E198))</f>
        <v/>
      </c>
      <c r="G199" s="804" t="str">
        <f>IF(OR($E$3="",$P$3=""),"",IF('Statement of Marks'!F198="","",'Statement of Marks'!F198))</f>
        <v/>
      </c>
      <c r="H199" s="804" t="str">
        <f>IF(OR($E$3="",$P$3=""),"",IF('Statement of Marks'!G198="","",'Statement of Marks'!G198))</f>
        <v/>
      </c>
      <c r="I199" s="805" t="str">
        <f>IF(OR($E$3="",$P$3=""),"",IF('Statement of Marks'!H198="","",'Statement of Marks'!H198))</f>
        <v/>
      </c>
      <c r="J199" s="805" t="str">
        <f>IF(OR($E$3="",$P$3=""),"",IF('Statement of Marks'!I198="","",'Statement of Marks'!I198))</f>
        <v/>
      </c>
      <c r="K199" s="805" t="str">
        <f>IFERROR(IF(B199="","",IF($P$3=$AT$10,IF(AND(BM199="A"),'Marks Entry'!$U$2,IF(AND(BM199="B"),'Marks Entry'!$Y$2,IF(AND(BM199="C"),'Marks Entry'!$AA$2,""))),IF($P$3=$AT$11,IF(AND(BN199="A"),'Marks Entry'!$AC$2,IF(AND(BN199="B"),'Marks Entry'!$AG$2,IF(AND(BN199="C"),'Marks Entry'!$AI$2,""))),IF($P$3=$AT$12,IF(AND(BO199="A"),'Marks Entry'!$AK$2,IF(AND(BO199="B"),'Marks Entry'!$AO$2,IF(AND(BO199="C"),'Marks Entry'!$AQ$2,""))),IF($P$3=$AT$13,IF(AND(BP199="A"),'Marks Entry'!$AS$2,IF(AND(BP199="B"),'Marks Entry'!$AW$2,IF(AND(BP199="C"),'Marks Entry'!$AY$2,""))),"-"))))),"")</f>
        <v/>
      </c>
      <c r="L199" s="806" t="str">
        <f>IFERROR(IF(B199="","",IF($P$3=$AT$8,'Statement of Marks'!J198,IF($P$3=$AT$9,'Statement of Marks'!X198,IF($P$3=$AT$10,'Statement of Marks'!AM198,IF($P$3=$AT$11,'Statement of Marks'!BJ198,IF($P$3=$AT$12,'Statement of Marks'!CG198,IF($P$3=$AT$13,'Statement of Marks'!DE198,IF($P$3=$AT$14,"",IF($P$3=$AT$15,'Statement of Marks'!EY198,""))))))))),"")</f>
        <v/>
      </c>
      <c r="M199" s="806" t="str">
        <f>IFERROR(IF(B199="","",IF($P$3=$AT$8,'Statement of Marks'!K198,IF($P$3=$AT$9,'Statement of Marks'!Y198,IF($P$3=$AT$10,'Statement of Marks'!AN198,IF($P$3=$AT$11,'Statement of Marks'!BK198,IF($P$3=$AT$12,'Statement of Marks'!CH198,IF($P$3=$AT$13,'Statement of Marks'!DF198,IF($P$3=$AT$14,"",IF($P$3=$AT$15,'Statement of Marks'!EZ198,""))))))))),"")</f>
        <v/>
      </c>
      <c r="N199" s="806" t="str">
        <f>IFERROR(IF(B199="","",IF($P$3=$AT$8,'Statement of Marks'!L198,IF($P$3=$AT$9,'Statement of Marks'!Z198,IF($P$3=$AT$10,'Statement of Marks'!AO198,IF($P$3=$AT$11,'Statement of Marks'!BL198,IF($P$3=$AT$12,'Statement of Marks'!CI198,IF($P$3=$AT$13,'Statement of Marks'!DG198,IF($P$3=$AT$14,"",IF($P$3=$AT$15,'Statement of Marks'!FA198,""))))))))),"")</f>
        <v/>
      </c>
      <c r="O199" s="807" t="str">
        <f t="shared" si="32"/>
        <v/>
      </c>
      <c r="P199" s="806" t="str">
        <f>IFERROR(IF(B199="","",IF($P$3=$AT$8,'Statement of Marks'!N198,IF($P$3=$AT$9,'Statement of Marks'!AB198,IF($P$3=$AT$10,'Statement of Marks'!AQ198,IF($P$3=$AT$11,'Statement of Marks'!BN198,IF($P$3=$AT$12,'Statement of Marks'!CK198,IF($P$3=$AT$13,'Statement of Marks'!DI198,IF($P$3=$AT$14,"",IF($P$3=$AT$15,'Statement of Marks'!FC198,""))))))))),"")</f>
        <v/>
      </c>
      <c r="Q199" s="806" t="str">
        <f>IFERROR(IF(B199="","",IF($P$3=$AT$8,"",IF($P$3=$AT$9,"",IF($P$3=$AT$10,'Statement of Marks'!AR198,IF($P$3=$AT$11,'Statement of Marks'!BO198,IF($P$3=$AT$12,'Statement of Marks'!CL198,IF($P$3=$AT$13,'Statement of Marks'!DJ198,IF($P$3=$AT$14,"",IF($P$3=$AT$15,"",""))))))))),"")</f>
        <v/>
      </c>
      <c r="R199" s="818" t="str">
        <f>IFERROR(IF(B199="","",IF(AND(P199="",Q199="",$P$3=""),"",IF($P$3=$AT$14,'Statement of Marks'!EC198,SUM(P199,Q199)))),"")</f>
        <v/>
      </c>
      <c r="S199" s="817" t="str">
        <f>IFERROR(IF(B199="","",IF($P$3=$AT$14,'Statement of Marks'!ED198,IF(AND(O199="NA",P199="NA",Q199="NA"),"NA",IF(AND(O199="",P199="",Q199=""),"",SUM(O199,P199,Q199))))),"")</f>
        <v/>
      </c>
      <c r="T199" s="806" t="str">
        <f>IFERROR(IF(B199="","",IF($P$3=$AT$8,'Statement of Marks'!P198,IF($P$3=$AT$9,'Statement of Marks'!AD198,IF($P$3=$AT$10,'Statement of Marks'!AU198,IF($P$3=$AT$11,'Statement of Marks'!BR198,IF($P$3=$AT$12,'Statement of Marks'!CO198,IF($P$3=$AT$13,'Statement of Marks'!DM198,IF($P$3=$AT$14,"",IF($P$3=$AT$15,'Statement of Marks'!FD198,""))))))))),"")</f>
        <v/>
      </c>
      <c r="U199" s="806" t="str">
        <f>IFERROR(IF(B199="","",IF($P$3=$AT$8,"",IF($P$3=$AT$9,"",IF($P$3=$AT$10,'Statement of Marks'!AV198,IF($P$3=$AT$11,'Statement of Marks'!BS198,IF($P$3=$AT$12,'Statement of Marks'!CP198,IF($P$3=$AT$13,'Statement of Marks'!DN198,IF($P$3=$AT$14,"",IF($P$3=$AT$15,"",""))))))))),"")</f>
        <v/>
      </c>
      <c r="V199" s="818" t="str">
        <f>IFERROR(IF(B199="","",IF(AND(T199="",U199="",$P$3=""),"",IF($P$3=$AT$14,'Statement of Marks'!EE198,SUM(T199,U199)))),"")</f>
        <v/>
      </c>
      <c r="W199" s="808" t="str">
        <f t="shared" si="33"/>
        <v/>
      </c>
      <c r="X199" s="809">
        <f t="shared" si="34"/>
        <v>0</v>
      </c>
      <c r="Y199" s="809">
        <f t="shared" si="35"/>
        <v>0</v>
      </c>
      <c r="Z199" s="809">
        <f t="shared" si="36"/>
        <v>0</v>
      </c>
      <c r="AA199" s="809" t="str">
        <f t="shared" si="37"/>
        <v/>
      </c>
      <c r="AB199" s="809" t="str">
        <f t="shared" si="38"/>
        <v/>
      </c>
      <c r="AC199" s="809" t="str">
        <f t="shared" si="39"/>
        <v/>
      </c>
      <c r="AD199" s="809" t="str">
        <f t="shared" si="40"/>
        <v/>
      </c>
      <c r="AE199" s="810" t="str">
        <f t="shared" si="41"/>
        <v/>
      </c>
      <c r="AF199" s="811" t="str">
        <f t="shared" si="42"/>
        <v/>
      </c>
      <c r="AG199" s="812" t="str">
        <f t="shared" si="43"/>
        <v/>
      </c>
      <c r="AW199" s="17" t="str">
        <f t="shared" si="44"/>
        <v/>
      </c>
      <c r="AX199" s="17" t="str">
        <f t="shared" si="45"/>
        <v/>
      </c>
      <c r="BM199" s="17" t="str">
        <f>IFERROR(VLOOKUP(B199,'Statement of Marks'!$B$8:'Statement of Marks'!$HI$207,37,0),"")</f>
        <v>A</v>
      </c>
      <c r="BN199" s="17" t="str">
        <f>IFERROR(VLOOKUP(B199,'Statement of Marks'!$B$8:'Statement of Marks'!$HI$207,60,0),"")</f>
        <v>A</v>
      </c>
      <c r="BO199" s="17" t="str">
        <f>IFERROR(VLOOKUP(B199,'Statement of Marks'!$B$8:'Statement of Marks'!$HI$207,83,0),"")</f>
        <v>A</v>
      </c>
      <c r="BP199" s="17" t="str">
        <f>IFERROR(VLOOKUP(B199,'Statement of Marks'!$B$8:'Statement of Marks'!$HI$207,107,0),"")</f>
        <v/>
      </c>
    </row>
    <row r="200" spans="1:68">
      <c r="A200" s="800">
        <f>IF('Statement of Marks'!A199="","",'Statement of Marks'!A199)</f>
        <v>192</v>
      </c>
      <c r="B200" s="801" t="str">
        <f>IF(OR($E$3="",$P$3=""),"",IF('Statement of Marks'!B199="","",'Statement of Marks'!B199))</f>
        <v/>
      </c>
      <c r="C200" s="810" t="str">
        <f>IF(OR($E$3="",$P$3=""),"",IF('Marks Entry'!C199="","",'Marks Entry'!C199))</f>
        <v/>
      </c>
      <c r="D200" s="802" t="str">
        <f>IF(OR($E$3="",$P$3=""),"",IF('Statement of Marks'!C199="","",'Statement of Marks'!C199))</f>
        <v/>
      </c>
      <c r="E200" s="803" t="str">
        <f>IF(OR($E$3="",$P$3=""),"",IF('Statement of Marks'!D199="","",'Statement of Marks'!D199))</f>
        <v/>
      </c>
      <c r="F200" s="804" t="str">
        <f>IF(OR($E$3="",$P$3=""),"",IF('Statement of Marks'!E199="","",'Statement of Marks'!E199))</f>
        <v/>
      </c>
      <c r="G200" s="804" t="str">
        <f>IF(OR($E$3="",$P$3=""),"",IF('Statement of Marks'!F199="","",'Statement of Marks'!F199))</f>
        <v/>
      </c>
      <c r="H200" s="804" t="str">
        <f>IF(OR($E$3="",$P$3=""),"",IF('Statement of Marks'!G199="","",'Statement of Marks'!G199))</f>
        <v/>
      </c>
      <c r="I200" s="805" t="str">
        <f>IF(OR($E$3="",$P$3=""),"",IF('Statement of Marks'!H199="","",'Statement of Marks'!H199))</f>
        <v/>
      </c>
      <c r="J200" s="805" t="str">
        <f>IF(OR($E$3="",$P$3=""),"",IF('Statement of Marks'!I199="","",'Statement of Marks'!I199))</f>
        <v/>
      </c>
      <c r="K200" s="805" t="str">
        <f>IFERROR(IF(B200="","",IF($P$3=$AT$10,IF(AND(BM200="A"),'Marks Entry'!$U$2,IF(AND(BM200="B"),'Marks Entry'!$Y$2,IF(AND(BM200="C"),'Marks Entry'!$AA$2,""))),IF($P$3=$AT$11,IF(AND(BN200="A"),'Marks Entry'!$AC$2,IF(AND(BN200="B"),'Marks Entry'!$AG$2,IF(AND(BN200="C"),'Marks Entry'!$AI$2,""))),IF($P$3=$AT$12,IF(AND(BO200="A"),'Marks Entry'!$AK$2,IF(AND(BO200="B"),'Marks Entry'!$AO$2,IF(AND(BO200="C"),'Marks Entry'!$AQ$2,""))),IF($P$3=$AT$13,IF(AND(BP200="A"),'Marks Entry'!$AS$2,IF(AND(BP200="B"),'Marks Entry'!$AW$2,IF(AND(BP200="C"),'Marks Entry'!$AY$2,""))),"-"))))),"")</f>
        <v/>
      </c>
      <c r="L200" s="806" t="str">
        <f>IFERROR(IF(B200="","",IF($P$3=$AT$8,'Statement of Marks'!J199,IF($P$3=$AT$9,'Statement of Marks'!X199,IF($P$3=$AT$10,'Statement of Marks'!AM199,IF($P$3=$AT$11,'Statement of Marks'!BJ199,IF($P$3=$AT$12,'Statement of Marks'!CG199,IF($P$3=$AT$13,'Statement of Marks'!DE199,IF($P$3=$AT$14,"",IF($P$3=$AT$15,'Statement of Marks'!EY199,""))))))))),"")</f>
        <v/>
      </c>
      <c r="M200" s="806" t="str">
        <f>IFERROR(IF(B200="","",IF($P$3=$AT$8,'Statement of Marks'!K199,IF($P$3=$AT$9,'Statement of Marks'!Y199,IF($P$3=$AT$10,'Statement of Marks'!AN199,IF($P$3=$AT$11,'Statement of Marks'!BK199,IF($P$3=$AT$12,'Statement of Marks'!CH199,IF($P$3=$AT$13,'Statement of Marks'!DF199,IF($P$3=$AT$14,"",IF($P$3=$AT$15,'Statement of Marks'!EZ199,""))))))))),"")</f>
        <v/>
      </c>
      <c r="N200" s="806" t="str">
        <f>IFERROR(IF(B200="","",IF($P$3=$AT$8,'Statement of Marks'!L199,IF($P$3=$AT$9,'Statement of Marks'!Z199,IF($P$3=$AT$10,'Statement of Marks'!AO199,IF($P$3=$AT$11,'Statement of Marks'!BL199,IF($P$3=$AT$12,'Statement of Marks'!CI199,IF($P$3=$AT$13,'Statement of Marks'!DG199,IF($P$3=$AT$14,"",IF($P$3=$AT$15,'Statement of Marks'!FA199,""))))))))),"")</f>
        <v/>
      </c>
      <c r="O200" s="807" t="str">
        <f t="shared" si="32"/>
        <v/>
      </c>
      <c r="P200" s="806" t="str">
        <f>IFERROR(IF(B200="","",IF($P$3=$AT$8,'Statement of Marks'!N199,IF($P$3=$AT$9,'Statement of Marks'!AB199,IF($P$3=$AT$10,'Statement of Marks'!AQ199,IF($P$3=$AT$11,'Statement of Marks'!BN199,IF($P$3=$AT$12,'Statement of Marks'!CK199,IF($P$3=$AT$13,'Statement of Marks'!DI199,IF($P$3=$AT$14,"",IF($P$3=$AT$15,'Statement of Marks'!FC199,""))))))))),"")</f>
        <v/>
      </c>
      <c r="Q200" s="806" t="str">
        <f>IFERROR(IF(B200="","",IF($P$3=$AT$8,"",IF($P$3=$AT$9,"",IF($P$3=$AT$10,'Statement of Marks'!AR199,IF($P$3=$AT$11,'Statement of Marks'!BO199,IF($P$3=$AT$12,'Statement of Marks'!CL199,IF($P$3=$AT$13,'Statement of Marks'!DJ199,IF($P$3=$AT$14,"",IF($P$3=$AT$15,"",""))))))))),"")</f>
        <v/>
      </c>
      <c r="R200" s="818" t="str">
        <f>IFERROR(IF(B200="","",IF(AND(P200="",Q200="",$P$3=""),"",IF($P$3=$AT$14,'Statement of Marks'!EC199,SUM(P200,Q200)))),"")</f>
        <v/>
      </c>
      <c r="S200" s="817" t="str">
        <f>IFERROR(IF(B200="","",IF($P$3=$AT$14,'Statement of Marks'!ED199,IF(AND(O200="NA",P200="NA",Q200="NA"),"NA",IF(AND(O200="",P200="",Q200=""),"",SUM(O200,P200,Q200))))),"")</f>
        <v/>
      </c>
      <c r="T200" s="806" t="str">
        <f>IFERROR(IF(B200="","",IF($P$3=$AT$8,'Statement of Marks'!P199,IF($P$3=$AT$9,'Statement of Marks'!AD199,IF($P$3=$AT$10,'Statement of Marks'!AU199,IF($P$3=$AT$11,'Statement of Marks'!BR199,IF($P$3=$AT$12,'Statement of Marks'!CO199,IF($P$3=$AT$13,'Statement of Marks'!DM199,IF($P$3=$AT$14,"",IF($P$3=$AT$15,'Statement of Marks'!FD199,""))))))))),"")</f>
        <v/>
      </c>
      <c r="U200" s="806" t="str">
        <f>IFERROR(IF(B200="","",IF($P$3=$AT$8,"",IF($P$3=$AT$9,"",IF($P$3=$AT$10,'Statement of Marks'!AV199,IF($P$3=$AT$11,'Statement of Marks'!BS199,IF($P$3=$AT$12,'Statement of Marks'!CP199,IF($P$3=$AT$13,'Statement of Marks'!DN199,IF($P$3=$AT$14,"",IF($P$3=$AT$15,"",""))))))))),"")</f>
        <v/>
      </c>
      <c r="V200" s="818" t="str">
        <f>IFERROR(IF(B200="","",IF(AND(T200="",U200="",$P$3=""),"",IF($P$3=$AT$14,'Statement of Marks'!EE199,SUM(T200,U200)))),"")</f>
        <v/>
      </c>
      <c r="W200" s="808" t="str">
        <f t="shared" si="33"/>
        <v/>
      </c>
      <c r="X200" s="809">
        <f t="shared" si="34"/>
        <v>0</v>
      </c>
      <c r="Y200" s="809">
        <f t="shared" si="35"/>
        <v>0</v>
      </c>
      <c r="Z200" s="809">
        <f t="shared" si="36"/>
        <v>0</v>
      </c>
      <c r="AA200" s="809" t="str">
        <f t="shared" si="37"/>
        <v/>
      </c>
      <c r="AB200" s="809" t="str">
        <f t="shared" si="38"/>
        <v/>
      </c>
      <c r="AC200" s="809" t="str">
        <f t="shared" si="39"/>
        <v/>
      </c>
      <c r="AD200" s="809" t="str">
        <f t="shared" si="40"/>
        <v/>
      </c>
      <c r="AE200" s="810" t="str">
        <f t="shared" si="41"/>
        <v/>
      </c>
      <c r="AF200" s="811" t="str">
        <f t="shared" si="42"/>
        <v/>
      </c>
      <c r="AG200" s="812" t="str">
        <f t="shared" si="43"/>
        <v/>
      </c>
      <c r="AW200" s="17" t="str">
        <f t="shared" si="44"/>
        <v/>
      </c>
      <c r="AX200" s="17" t="str">
        <f t="shared" si="45"/>
        <v/>
      </c>
      <c r="BM200" s="17" t="str">
        <f>IFERROR(VLOOKUP(B200,'Statement of Marks'!$B$8:'Statement of Marks'!$HI$207,37,0),"")</f>
        <v>A</v>
      </c>
      <c r="BN200" s="17" t="str">
        <f>IFERROR(VLOOKUP(B200,'Statement of Marks'!$B$8:'Statement of Marks'!$HI$207,60,0),"")</f>
        <v>A</v>
      </c>
      <c r="BO200" s="17" t="str">
        <f>IFERROR(VLOOKUP(B200,'Statement of Marks'!$B$8:'Statement of Marks'!$HI$207,83,0),"")</f>
        <v>A</v>
      </c>
      <c r="BP200" s="17" t="str">
        <f>IFERROR(VLOOKUP(B200,'Statement of Marks'!$B$8:'Statement of Marks'!$HI$207,107,0),"")</f>
        <v/>
      </c>
    </row>
    <row r="201" spans="1:68">
      <c r="A201" s="800">
        <f>IF('Statement of Marks'!A200="","",'Statement of Marks'!A200)</f>
        <v>193</v>
      </c>
      <c r="B201" s="801" t="str">
        <f>IF(OR($E$3="",$P$3=""),"",IF('Statement of Marks'!B200="","",'Statement of Marks'!B200))</f>
        <v/>
      </c>
      <c r="C201" s="810" t="str">
        <f>IF(OR($E$3="",$P$3=""),"",IF('Marks Entry'!C200="","",'Marks Entry'!C200))</f>
        <v/>
      </c>
      <c r="D201" s="802" t="str">
        <f>IF(OR($E$3="",$P$3=""),"",IF('Statement of Marks'!C200="","",'Statement of Marks'!C200))</f>
        <v/>
      </c>
      <c r="E201" s="803" t="str">
        <f>IF(OR($E$3="",$P$3=""),"",IF('Statement of Marks'!D200="","",'Statement of Marks'!D200))</f>
        <v/>
      </c>
      <c r="F201" s="804" t="str">
        <f>IF(OR($E$3="",$P$3=""),"",IF('Statement of Marks'!E200="","",'Statement of Marks'!E200))</f>
        <v/>
      </c>
      <c r="G201" s="804" t="str">
        <f>IF(OR($E$3="",$P$3=""),"",IF('Statement of Marks'!F200="","",'Statement of Marks'!F200))</f>
        <v/>
      </c>
      <c r="H201" s="804" t="str">
        <f>IF(OR($E$3="",$P$3=""),"",IF('Statement of Marks'!G200="","",'Statement of Marks'!G200))</f>
        <v/>
      </c>
      <c r="I201" s="805" t="str">
        <f>IF(OR($E$3="",$P$3=""),"",IF('Statement of Marks'!H200="","",'Statement of Marks'!H200))</f>
        <v/>
      </c>
      <c r="J201" s="805" t="str">
        <f>IF(OR($E$3="",$P$3=""),"",IF('Statement of Marks'!I200="","",'Statement of Marks'!I200))</f>
        <v/>
      </c>
      <c r="K201" s="805" t="str">
        <f>IFERROR(IF(B201="","",IF($P$3=$AT$10,IF(AND(BM201="A"),'Marks Entry'!$U$2,IF(AND(BM201="B"),'Marks Entry'!$Y$2,IF(AND(BM201="C"),'Marks Entry'!$AA$2,""))),IF($P$3=$AT$11,IF(AND(BN201="A"),'Marks Entry'!$AC$2,IF(AND(BN201="B"),'Marks Entry'!$AG$2,IF(AND(BN201="C"),'Marks Entry'!$AI$2,""))),IF($P$3=$AT$12,IF(AND(BO201="A"),'Marks Entry'!$AK$2,IF(AND(BO201="B"),'Marks Entry'!$AO$2,IF(AND(BO201="C"),'Marks Entry'!$AQ$2,""))),IF($P$3=$AT$13,IF(AND(BP201="A"),'Marks Entry'!$AS$2,IF(AND(BP201="B"),'Marks Entry'!$AW$2,IF(AND(BP201="C"),'Marks Entry'!$AY$2,""))),"-"))))),"")</f>
        <v/>
      </c>
      <c r="L201" s="806" t="str">
        <f>IFERROR(IF(B201="","",IF($P$3=$AT$8,'Statement of Marks'!J200,IF($P$3=$AT$9,'Statement of Marks'!X200,IF($P$3=$AT$10,'Statement of Marks'!AM200,IF($P$3=$AT$11,'Statement of Marks'!BJ200,IF($P$3=$AT$12,'Statement of Marks'!CG200,IF($P$3=$AT$13,'Statement of Marks'!DE200,IF($P$3=$AT$14,"",IF($P$3=$AT$15,'Statement of Marks'!EY200,""))))))))),"")</f>
        <v/>
      </c>
      <c r="M201" s="806" t="str">
        <f>IFERROR(IF(B201="","",IF($P$3=$AT$8,'Statement of Marks'!K200,IF($P$3=$AT$9,'Statement of Marks'!Y200,IF($P$3=$AT$10,'Statement of Marks'!AN200,IF($P$3=$AT$11,'Statement of Marks'!BK200,IF($P$3=$AT$12,'Statement of Marks'!CH200,IF($P$3=$AT$13,'Statement of Marks'!DF200,IF($P$3=$AT$14,"",IF($P$3=$AT$15,'Statement of Marks'!EZ200,""))))))))),"")</f>
        <v/>
      </c>
      <c r="N201" s="806" t="str">
        <f>IFERROR(IF(B201="","",IF($P$3=$AT$8,'Statement of Marks'!L200,IF($P$3=$AT$9,'Statement of Marks'!Z200,IF($P$3=$AT$10,'Statement of Marks'!AO200,IF($P$3=$AT$11,'Statement of Marks'!BL200,IF($P$3=$AT$12,'Statement of Marks'!CI200,IF($P$3=$AT$13,'Statement of Marks'!DG200,IF($P$3=$AT$14,"",IF($P$3=$AT$15,'Statement of Marks'!FA200,""))))))))),"")</f>
        <v/>
      </c>
      <c r="O201" s="807" t="str">
        <f t="shared" si="32"/>
        <v/>
      </c>
      <c r="P201" s="806" t="str">
        <f>IFERROR(IF(B201="","",IF($P$3=$AT$8,'Statement of Marks'!N200,IF($P$3=$AT$9,'Statement of Marks'!AB200,IF($P$3=$AT$10,'Statement of Marks'!AQ200,IF($P$3=$AT$11,'Statement of Marks'!BN200,IF($P$3=$AT$12,'Statement of Marks'!CK200,IF($P$3=$AT$13,'Statement of Marks'!DI200,IF($P$3=$AT$14,"",IF($P$3=$AT$15,'Statement of Marks'!FC200,""))))))))),"")</f>
        <v/>
      </c>
      <c r="Q201" s="806" t="str">
        <f>IFERROR(IF(B201="","",IF($P$3=$AT$8,"",IF($P$3=$AT$9,"",IF($P$3=$AT$10,'Statement of Marks'!AR200,IF($P$3=$AT$11,'Statement of Marks'!BO200,IF($P$3=$AT$12,'Statement of Marks'!CL200,IF($P$3=$AT$13,'Statement of Marks'!DJ200,IF($P$3=$AT$14,"",IF($P$3=$AT$15,"",""))))))))),"")</f>
        <v/>
      </c>
      <c r="R201" s="818" t="str">
        <f>IFERROR(IF(B201="","",IF(AND(P201="",Q201="",$P$3=""),"",IF($P$3=$AT$14,'Statement of Marks'!EC200,SUM(P201,Q201)))),"")</f>
        <v/>
      </c>
      <c r="S201" s="817" t="str">
        <f>IFERROR(IF(B201="","",IF($P$3=$AT$14,'Statement of Marks'!ED200,IF(AND(O201="NA",P201="NA",Q201="NA"),"NA",IF(AND(O201="",P201="",Q201=""),"",SUM(O201,P201,Q201))))),"")</f>
        <v/>
      </c>
      <c r="T201" s="806" t="str">
        <f>IFERROR(IF(B201="","",IF($P$3=$AT$8,'Statement of Marks'!P200,IF($P$3=$AT$9,'Statement of Marks'!AD200,IF($P$3=$AT$10,'Statement of Marks'!AU200,IF($P$3=$AT$11,'Statement of Marks'!BR200,IF($P$3=$AT$12,'Statement of Marks'!CO200,IF($P$3=$AT$13,'Statement of Marks'!DM200,IF($P$3=$AT$14,"",IF($P$3=$AT$15,'Statement of Marks'!FD200,""))))))))),"")</f>
        <v/>
      </c>
      <c r="U201" s="806" t="str">
        <f>IFERROR(IF(B201="","",IF($P$3=$AT$8,"",IF($P$3=$AT$9,"",IF($P$3=$AT$10,'Statement of Marks'!AV200,IF($P$3=$AT$11,'Statement of Marks'!BS200,IF($P$3=$AT$12,'Statement of Marks'!CP200,IF($P$3=$AT$13,'Statement of Marks'!DN200,IF($P$3=$AT$14,"",IF($P$3=$AT$15,"",""))))))))),"")</f>
        <v/>
      </c>
      <c r="V201" s="818" t="str">
        <f>IFERROR(IF(B201="","",IF(AND(T201="",U201="",$P$3=""),"",IF($P$3=$AT$14,'Statement of Marks'!EE200,SUM(T201,U201)))),"")</f>
        <v/>
      </c>
      <c r="W201" s="808" t="str">
        <f t="shared" si="33"/>
        <v/>
      </c>
      <c r="X201" s="809">
        <f t="shared" si="34"/>
        <v>0</v>
      </c>
      <c r="Y201" s="809">
        <f t="shared" si="35"/>
        <v>0</v>
      </c>
      <c r="Z201" s="809">
        <f t="shared" si="36"/>
        <v>0</v>
      </c>
      <c r="AA201" s="809" t="str">
        <f t="shared" si="37"/>
        <v/>
      </c>
      <c r="AB201" s="809" t="str">
        <f t="shared" si="38"/>
        <v/>
      </c>
      <c r="AC201" s="809" t="str">
        <f t="shared" si="39"/>
        <v/>
      </c>
      <c r="AD201" s="809" t="str">
        <f t="shared" si="40"/>
        <v/>
      </c>
      <c r="AE201" s="810" t="str">
        <f t="shared" si="41"/>
        <v/>
      </c>
      <c r="AF201" s="811" t="str">
        <f t="shared" si="42"/>
        <v/>
      </c>
      <c r="AG201" s="812" t="str">
        <f t="shared" si="43"/>
        <v/>
      </c>
      <c r="AW201" s="17" t="str">
        <f t="shared" si="44"/>
        <v/>
      </c>
      <c r="AX201" s="17" t="str">
        <f t="shared" si="45"/>
        <v/>
      </c>
      <c r="BM201" s="17" t="str">
        <f>IFERROR(VLOOKUP(B201,'Statement of Marks'!$B$8:'Statement of Marks'!$HI$207,37,0),"")</f>
        <v>A</v>
      </c>
      <c r="BN201" s="17" t="str">
        <f>IFERROR(VLOOKUP(B201,'Statement of Marks'!$B$8:'Statement of Marks'!$HI$207,60,0),"")</f>
        <v>A</v>
      </c>
      <c r="BO201" s="17" t="str">
        <f>IFERROR(VLOOKUP(B201,'Statement of Marks'!$B$8:'Statement of Marks'!$HI$207,83,0),"")</f>
        <v>A</v>
      </c>
      <c r="BP201" s="17" t="str">
        <f>IFERROR(VLOOKUP(B201,'Statement of Marks'!$B$8:'Statement of Marks'!$HI$207,107,0),"")</f>
        <v/>
      </c>
    </row>
    <row r="202" spans="1:68">
      <c r="A202" s="800">
        <f>IF('Statement of Marks'!A201="","",'Statement of Marks'!A201)</f>
        <v>194</v>
      </c>
      <c r="B202" s="801" t="str">
        <f>IF(OR($E$3="",$P$3=""),"",IF('Statement of Marks'!B201="","",'Statement of Marks'!B201))</f>
        <v/>
      </c>
      <c r="C202" s="810" t="str">
        <f>IF(OR($E$3="",$P$3=""),"",IF('Marks Entry'!C201="","",'Marks Entry'!C201))</f>
        <v/>
      </c>
      <c r="D202" s="802" t="str">
        <f>IF(OR($E$3="",$P$3=""),"",IF('Statement of Marks'!C201="","",'Statement of Marks'!C201))</f>
        <v/>
      </c>
      <c r="E202" s="803" t="str">
        <f>IF(OR($E$3="",$P$3=""),"",IF('Statement of Marks'!D201="","",'Statement of Marks'!D201))</f>
        <v/>
      </c>
      <c r="F202" s="804" t="str">
        <f>IF(OR($E$3="",$P$3=""),"",IF('Statement of Marks'!E201="","",'Statement of Marks'!E201))</f>
        <v/>
      </c>
      <c r="G202" s="804" t="str">
        <f>IF(OR($E$3="",$P$3=""),"",IF('Statement of Marks'!F201="","",'Statement of Marks'!F201))</f>
        <v/>
      </c>
      <c r="H202" s="804" t="str">
        <f>IF(OR($E$3="",$P$3=""),"",IF('Statement of Marks'!G201="","",'Statement of Marks'!G201))</f>
        <v/>
      </c>
      <c r="I202" s="805" t="str">
        <f>IF(OR($E$3="",$P$3=""),"",IF('Statement of Marks'!H201="","",'Statement of Marks'!H201))</f>
        <v/>
      </c>
      <c r="J202" s="805" t="str">
        <f>IF(OR($E$3="",$P$3=""),"",IF('Statement of Marks'!I201="","",'Statement of Marks'!I201))</f>
        <v/>
      </c>
      <c r="K202" s="805" t="str">
        <f>IFERROR(IF(B202="","",IF($P$3=$AT$10,IF(AND(BM202="A"),'Marks Entry'!$U$2,IF(AND(BM202="B"),'Marks Entry'!$Y$2,IF(AND(BM202="C"),'Marks Entry'!$AA$2,""))),IF($P$3=$AT$11,IF(AND(BN202="A"),'Marks Entry'!$AC$2,IF(AND(BN202="B"),'Marks Entry'!$AG$2,IF(AND(BN202="C"),'Marks Entry'!$AI$2,""))),IF($P$3=$AT$12,IF(AND(BO202="A"),'Marks Entry'!$AK$2,IF(AND(BO202="B"),'Marks Entry'!$AO$2,IF(AND(BO202="C"),'Marks Entry'!$AQ$2,""))),IF($P$3=$AT$13,IF(AND(BP202="A"),'Marks Entry'!$AS$2,IF(AND(BP202="B"),'Marks Entry'!$AW$2,IF(AND(BP202="C"),'Marks Entry'!$AY$2,""))),"-"))))),"")</f>
        <v/>
      </c>
      <c r="L202" s="806" t="str">
        <f>IFERROR(IF(B202="","",IF($P$3=$AT$8,'Statement of Marks'!J201,IF($P$3=$AT$9,'Statement of Marks'!X201,IF($P$3=$AT$10,'Statement of Marks'!AM201,IF($P$3=$AT$11,'Statement of Marks'!BJ201,IF($P$3=$AT$12,'Statement of Marks'!CG201,IF($P$3=$AT$13,'Statement of Marks'!DE201,IF($P$3=$AT$14,"",IF($P$3=$AT$15,'Statement of Marks'!EY201,""))))))))),"")</f>
        <v/>
      </c>
      <c r="M202" s="806" t="str">
        <f>IFERROR(IF(B202="","",IF($P$3=$AT$8,'Statement of Marks'!K201,IF($P$3=$AT$9,'Statement of Marks'!Y201,IF($P$3=$AT$10,'Statement of Marks'!AN201,IF($P$3=$AT$11,'Statement of Marks'!BK201,IF($P$3=$AT$12,'Statement of Marks'!CH201,IF($P$3=$AT$13,'Statement of Marks'!DF201,IF($P$3=$AT$14,"",IF($P$3=$AT$15,'Statement of Marks'!EZ201,""))))))))),"")</f>
        <v/>
      </c>
      <c r="N202" s="806" t="str">
        <f>IFERROR(IF(B202="","",IF($P$3=$AT$8,'Statement of Marks'!L201,IF($P$3=$AT$9,'Statement of Marks'!Z201,IF($P$3=$AT$10,'Statement of Marks'!AO201,IF($P$3=$AT$11,'Statement of Marks'!BL201,IF($P$3=$AT$12,'Statement of Marks'!CI201,IF($P$3=$AT$13,'Statement of Marks'!DG201,IF($P$3=$AT$14,"",IF($P$3=$AT$15,'Statement of Marks'!FA201,""))))))))),"")</f>
        <v/>
      </c>
      <c r="O202" s="807" t="str">
        <f t="shared" ref="O202:O205" si="46">IF(AND(L202="",M202="",N202="",$P$3=""),"",IF(OR($P$3=$AT$14,$P$3=$AT$14),"",IF(B202="","",SUM(L202:N202))))</f>
        <v/>
      </c>
      <c r="P202" s="806" t="str">
        <f>IFERROR(IF(B202="","",IF($P$3=$AT$8,'Statement of Marks'!N201,IF($P$3=$AT$9,'Statement of Marks'!AB201,IF($P$3=$AT$10,'Statement of Marks'!AQ201,IF($P$3=$AT$11,'Statement of Marks'!BN201,IF($P$3=$AT$12,'Statement of Marks'!CK201,IF($P$3=$AT$13,'Statement of Marks'!DI201,IF($P$3=$AT$14,"",IF($P$3=$AT$15,'Statement of Marks'!FC201,""))))))))),"")</f>
        <v/>
      </c>
      <c r="Q202" s="806" t="str">
        <f>IFERROR(IF(B202="","",IF($P$3=$AT$8,"",IF($P$3=$AT$9,"",IF($P$3=$AT$10,'Statement of Marks'!AR201,IF($P$3=$AT$11,'Statement of Marks'!BO201,IF($P$3=$AT$12,'Statement of Marks'!CL201,IF($P$3=$AT$13,'Statement of Marks'!DJ201,IF($P$3=$AT$14,"",IF($P$3=$AT$15,"",""))))))))),"")</f>
        <v/>
      </c>
      <c r="R202" s="818" t="str">
        <f>IFERROR(IF(B202="","",IF(AND(P202="",Q202="",$P$3=""),"",IF($P$3=$AT$14,'Statement of Marks'!EC201,SUM(P202,Q202)))),"")</f>
        <v/>
      </c>
      <c r="S202" s="817" t="str">
        <f>IFERROR(IF(B202="","",IF($P$3=$AT$14,'Statement of Marks'!ED201,IF(AND(O202="NA",P202="NA",Q202="NA"),"NA",IF(AND(O202="",P202="",Q202=""),"",SUM(O202,P202,Q202))))),"")</f>
        <v/>
      </c>
      <c r="T202" s="806" t="str">
        <f>IFERROR(IF(B202="","",IF($P$3=$AT$8,'Statement of Marks'!P201,IF($P$3=$AT$9,'Statement of Marks'!AD201,IF($P$3=$AT$10,'Statement of Marks'!AU201,IF($P$3=$AT$11,'Statement of Marks'!BR201,IF($P$3=$AT$12,'Statement of Marks'!CO201,IF($P$3=$AT$13,'Statement of Marks'!DM201,IF($P$3=$AT$14,"",IF($P$3=$AT$15,'Statement of Marks'!FD201,""))))))))),"")</f>
        <v/>
      </c>
      <c r="U202" s="806" t="str">
        <f>IFERROR(IF(B202="","",IF($P$3=$AT$8,"",IF($P$3=$AT$9,"",IF($P$3=$AT$10,'Statement of Marks'!AV201,IF($P$3=$AT$11,'Statement of Marks'!BS201,IF($P$3=$AT$12,'Statement of Marks'!CP201,IF($P$3=$AT$13,'Statement of Marks'!DN201,IF($P$3=$AT$14,"",IF($P$3=$AT$15,"",""))))))))),"")</f>
        <v/>
      </c>
      <c r="V202" s="818" t="str">
        <f>IFERROR(IF(B202="","",IF(AND(T202="",U202="",$P$3=""),"",IF($P$3=$AT$14,'Statement of Marks'!EE201,SUM(T202,U202)))),"")</f>
        <v/>
      </c>
      <c r="W202" s="808" t="str">
        <f t="shared" ref="W202:W205" si="47">IFERROR(IF(B202="","",IF($P$3="","",IF(OR($P$3=$AT$14),SUM(R202,S202,V202),SUM(S202,V202)))),"")</f>
        <v/>
      </c>
      <c r="X202" s="809">
        <f t="shared" ref="X202:X205" si="48">IFERROR(IF($P$3="","",IF(OR($P$3=$AT$8,$P$3=$AT$9,$P$3=$AT$10,$P$3=$AT$11,$P$3=$AT$12,$P$3=$AT$13,$P$3=$AT$15),COUNTIF(L202:N202,"NA")*$L$7+(COUNTIF(L202:N202,"ML")*$L$7)+(COUNTIF(P202,"ML")*$P$7)+(COUNTIF(T202,"ML")*$T$8)+(COUNTIF(T202,"ML")*$T$7),COUNTIF(R202,"NA")*$R$7+(COUNTIF(R202,"ML")*$R$7)+(COUNTIF(S202,"ML")*$S$7)+(COUNTIF(V202,"ML")*$V$7))),0)</f>
        <v>0</v>
      </c>
      <c r="Y202" s="809">
        <f t="shared" ref="Y202:Y205" si="49">SUM(Q202,U202)</f>
        <v>0</v>
      </c>
      <c r="Z202" s="809">
        <f t="shared" ref="Z202:Z205" si="50">SUM(O202,P202,T202)</f>
        <v>0</v>
      </c>
      <c r="AA202" s="809" t="str">
        <f t="shared" ref="AA202:AA205" si="51">IF(OR($B202="NSO",$B202=0,T202=""),"",IF(AND(Q202="",U202=""),SUM($T$8),SUM($T$7)))</f>
        <v/>
      </c>
      <c r="AB202" s="809" t="str">
        <f t="shared" ref="AB202:AB205" si="52">IF(OR($B202="NSO",$B202=0,U202=""),"",IF(AND(Q202="",U202=""),"",SUM($Q$7+$U$7)-(COUNTIF(Q202,"ML")*$Q$7)-(COUNTIF(U202,"ML")*$U$7)))</f>
        <v/>
      </c>
      <c r="AC202" s="809" t="str">
        <f t="shared" ref="AC202:AC205" si="53">IF(OR($B202="NSO",$B202=0,B202=""),"",IF(AND(Q202="",U202=""),IF(OR($P$3=$AT$8,$P$3=$AT$9,$P$3=$AT$10,$P$3=$AT$11,$P$3=$AT$12,$P$3=$AT$13,$P$3=$AT$15,$P$3=$AT$16,$P$3=$AT$17),IF(AND(L202="NA",N202="NA",M202="NA"),$O$7-X202,IF(AND(P202="ML"),$P$7-X202,IF(AND(T202="ML"),$T$7-X202,$W$7-X202))),IF(AND(R202="NA"),$R$7-X202,IF(AND(S202="ML"),$S$7-X202,IF(AND(V202="ML"),$V$7-X202,$W$7-X202)))),IF(AND(L202="NA",N202="NA",M202="NA"),$O$7-X202,IF(AND(P202="ML"),$P$7-X202,IF(AND(T202="ML"),$T$7-X202,$Z$7-X202)))))</f>
        <v/>
      </c>
      <c r="AD202" s="809" t="str">
        <f t="shared" ref="AD202:AD205" si="54">IF(AND(OR(L202="ab",L202="ml"),OR(M202="ab",M202="ml"),OR(P202="ab",P202="ml"),OR(P202="ab",P202="ml"),OR(S202="ab",S202="ml")),"AB",IF(AND(OR(M202="ab",M202="ml"),OR(N202="ab",N202="ml"),OR(P202="ab",P202="ml"),OR(S202="ab",S202="ml")),"AB",IF(AND(OR(N202="ab",N202="ml"),OR(L202="ab",L202="ml"),OR(P202="ab",P202="ml"),OR(T202="ab",T202="ml")),"AB",IF(AND(OR(P202="ab",P202="ml"),OR(T202="ab",T202="ml"),OR(Q202="ab",Q202="ml"),OR(P202="ab",P202="ml"),OR(T202="ab",T202="ml")),"AB",IF(AND(OR(P202="ab",P202="ml"),OR(M202="ab",M202="ml"),OR(T202="ab",T202="ml"),OR(P202="ab",P202="ml"),OR(U202="ab",U202="ml")),"AB","")))))</f>
        <v/>
      </c>
      <c r="AE202" s="810" t="str">
        <f t="shared" ref="AE202:AE205" si="55">IFERROR(IF(B202="","",IF(OR($P$3=$AT$14),AX202,AW202)),"")</f>
        <v/>
      </c>
      <c r="AF202" s="811" t="str">
        <f t="shared" ref="AF202:AF205" si="56">IF(OR(AE202="",AE202=0,AE202="S",AE202="RE",AE202="F",AE202="AB",B202="NSO"),"",IF(AE202="G","G",IF(W202&gt;=75%*SUM(AB202,AC202),"I",IF(W202&gt;=60%*SUM(AB202,AC202),"I",IF(W202&gt;=48%*SUM(AB202,AC202),"II",IF(W202&gt;=36%*SUM(AB202,AC202),"III",""))))))</f>
        <v/>
      </c>
      <c r="AG202" s="812" t="str">
        <f t="shared" ref="AG202:AG205" si="57">IF(W202="","",IF(OR(AE202="",AE202=0,AE202="RE",AE202="AB"),"",IF(B202="NSO","NSO",IF(AE202="G","By Grace",IF(AE202="S","Supplementary",IF(AE202="F","Fail",IF(W202&gt;=75%*AC202,"D",IF(AE202="FP","Fail in Practical",""))))))))</f>
        <v/>
      </c>
      <c r="AW202" s="17" t="str">
        <f t="shared" ref="AW202:AW210" si="58">IF(B202="","",IF(OR(T202="AB",U202="AB",AD202="AB"),"AB",IF(OR(T202="ML",V202="ML"),"RE",IF(U202="MLP","REP",IF(U202&lt;33%*$U$7,"FP",IF(Q202&lt;33%*$Q$7,"FP",IF(AND(Z202&gt;=36%*AC202,SUM(T202)&gt;=20%*AA202,Y202&gt;=SUM(AB202)*36%),"P",IF(AND(Z202&gt;=34%*AC202,SUM(T202)&gt;=20%*AA202,Y202&gt;=SUM(AB202)*36%),"G",IF(AND(Z202&gt;=31%*AC202,SUM(T202)&gt;=20%*AA202,Y202&gt;=SUM(AB202)*36%),"G",IF(AND(Z202&gt;=25%*AC202,SUM(T202)&gt;=20%*AA202),"S","F"))))))))))</f>
        <v/>
      </c>
      <c r="AX202" s="17" t="str">
        <f t="shared" ref="AX202:AX210" si="59">IF(B202="","",IF(AND(W202&gt;=36%*AC202,SUM(V202)&gt;=20%*$V$7),"P",""))</f>
        <v/>
      </c>
      <c r="BM202" s="17" t="str">
        <f>IFERROR(VLOOKUP(B202,'Statement of Marks'!$B$8:'Statement of Marks'!$HI$207,37,0),"")</f>
        <v>A</v>
      </c>
      <c r="BN202" s="17" t="str">
        <f>IFERROR(VLOOKUP(B202,'Statement of Marks'!$B$8:'Statement of Marks'!$HI$207,60,0),"")</f>
        <v>A</v>
      </c>
      <c r="BO202" s="17" t="str">
        <f>IFERROR(VLOOKUP(B202,'Statement of Marks'!$B$8:'Statement of Marks'!$HI$207,83,0),"")</f>
        <v>A</v>
      </c>
      <c r="BP202" s="17" t="str">
        <f>IFERROR(VLOOKUP(B202,'Statement of Marks'!$B$8:'Statement of Marks'!$HI$207,107,0),"")</f>
        <v/>
      </c>
    </row>
    <row r="203" spans="1:68">
      <c r="A203" s="800">
        <f>IF('Statement of Marks'!A202="","",'Statement of Marks'!A202)</f>
        <v>195</v>
      </c>
      <c r="B203" s="801" t="str">
        <f>IF(OR($E$3="",$P$3=""),"",IF('Statement of Marks'!B202="","",'Statement of Marks'!B202))</f>
        <v/>
      </c>
      <c r="C203" s="810" t="str">
        <f>IF(OR($E$3="",$P$3=""),"",IF('Marks Entry'!C202="","",'Marks Entry'!C202))</f>
        <v/>
      </c>
      <c r="D203" s="802" t="str">
        <f>IF(OR($E$3="",$P$3=""),"",IF('Statement of Marks'!C202="","",'Statement of Marks'!C202))</f>
        <v/>
      </c>
      <c r="E203" s="803" t="str">
        <f>IF(OR($E$3="",$P$3=""),"",IF('Statement of Marks'!D202="","",'Statement of Marks'!D202))</f>
        <v/>
      </c>
      <c r="F203" s="804" t="str">
        <f>IF(OR($E$3="",$P$3=""),"",IF('Statement of Marks'!E202="","",'Statement of Marks'!E202))</f>
        <v/>
      </c>
      <c r="G203" s="804" t="str">
        <f>IF(OR($E$3="",$P$3=""),"",IF('Statement of Marks'!F202="","",'Statement of Marks'!F202))</f>
        <v/>
      </c>
      <c r="H203" s="804" t="str">
        <f>IF(OR($E$3="",$P$3=""),"",IF('Statement of Marks'!G202="","",'Statement of Marks'!G202))</f>
        <v/>
      </c>
      <c r="I203" s="805" t="str">
        <f>IF(OR($E$3="",$P$3=""),"",IF('Statement of Marks'!H202="","",'Statement of Marks'!H202))</f>
        <v/>
      </c>
      <c r="J203" s="805" t="str">
        <f>IF(OR($E$3="",$P$3=""),"",IF('Statement of Marks'!I202="","",'Statement of Marks'!I202))</f>
        <v/>
      </c>
      <c r="K203" s="805" t="str">
        <f>IFERROR(IF(B203="","",IF($P$3=$AT$10,IF(AND(BM203="A"),'Marks Entry'!$U$2,IF(AND(BM203="B"),'Marks Entry'!$Y$2,IF(AND(BM203="C"),'Marks Entry'!$AA$2,""))),IF($P$3=$AT$11,IF(AND(BN203="A"),'Marks Entry'!$AC$2,IF(AND(BN203="B"),'Marks Entry'!$AG$2,IF(AND(BN203="C"),'Marks Entry'!$AI$2,""))),IF($P$3=$AT$12,IF(AND(BO203="A"),'Marks Entry'!$AK$2,IF(AND(BO203="B"),'Marks Entry'!$AO$2,IF(AND(BO203="C"),'Marks Entry'!$AQ$2,""))),IF($P$3=$AT$13,IF(AND(BP203="A"),'Marks Entry'!$AS$2,IF(AND(BP203="B"),'Marks Entry'!$AW$2,IF(AND(BP203="C"),'Marks Entry'!$AY$2,""))),"-"))))),"")</f>
        <v/>
      </c>
      <c r="L203" s="806" t="str">
        <f>IFERROR(IF(B203="","",IF($P$3=$AT$8,'Statement of Marks'!J202,IF($P$3=$AT$9,'Statement of Marks'!X202,IF($P$3=$AT$10,'Statement of Marks'!AM202,IF($P$3=$AT$11,'Statement of Marks'!BJ202,IF($P$3=$AT$12,'Statement of Marks'!CG202,IF($P$3=$AT$13,'Statement of Marks'!DE202,IF($P$3=$AT$14,"",IF($P$3=$AT$15,'Statement of Marks'!EY202,""))))))))),"")</f>
        <v/>
      </c>
      <c r="M203" s="806" t="str">
        <f>IFERROR(IF(B203="","",IF($P$3=$AT$8,'Statement of Marks'!K202,IF($P$3=$AT$9,'Statement of Marks'!Y202,IF($P$3=$AT$10,'Statement of Marks'!AN202,IF($P$3=$AT$11,'Statement of Marks'!BK202,IF($P$3=$AT$12,'Statement of Marks'!CH202,IF($P$3=$AT$13,'Statement of Marks'!DF202,IF($P$3=$AT$14,"",IF($P$3=$AT$15,'Statement of Marks'!EZ202,""))))))))),"")</f>
        <v/>
      </c>
      <c r="N203" s="806" t="str">
        <f>IFERROR(IF(B203="","",IF($P$3=$AT$8,'Statement of Marks'!L202,IF($P$3=$AT$9,'Statement of Marks'!Z202,IF($P$3=$AT$10,'Statement of Marks'!AO202,IF($P$3=$AT$11,'Statement of Marks'!BL202,IF($P$3=$AT$12,'Statement of Marks'!CI202,IF($P$3=$AT$13,'Statement of Marks'!DG202,IF($P$3=$AT$14,"",IF($P$3=$AT$15,'Statement of Marks'!FA202,""))))))))),"")</f>
        <v/>
      </c>
      <c r="O203" s="807" t="str">
        <f t="shared" si="46"/>
        <v/>
      </c>
      <c r="P203" s="806" t="str">
        <f>IFERROR(IF(B203="","",IF($P$3=$AT$8,'Statement of Marks'!N202,IF($P$3=$AT$9,'Statement of Marks'!AB202,IF($P$3=$AT$10,'Statement of Marks'!AQ202,IF($P$3=$AT$11,'Statement of Marks'!BN202,IF($P$3=$AT$12,'Statement of Marks'!CK202,IF($P$3=$AT$13,'Statement of Marks'!DI202,IF($P$3=$AT$14,"",IF($P$3=$AT$15,'Statement of Marks'!FC202,""))))))))),"")</f>
        <v/>
      </c>
      <c r="Q203" s="806" t="str">
        <f>IFERROR(IF(B203="","",IF($P$3=$AT$8,"",IF($P$3=$AT$9,"",IF($P$3=$AT$10,'Statement of Marks'!AR202,IF($P$3=$AT$11,'Statement of Marks'!BO202,IF($P$3=$AT$12,'Statement of Marks'!CL202,IF($P$3=$AT$13,'Statement of Marks'!DJ202,IF($P$3=$AT$14,"",IF($P$3=$AT$15,"",""))))))))),"")</f>
        <v/>
      </c>
      <c r="R203" s="818" t="str">
        <f>IFERROR(IF(B203="","",IF(AND(P203="",Q203="",$P$3=""),"",IF($P$3=$AT$14,'Statement of Marks'!EC202,SUM(P203,Q203)))),"")</f>
        <v/>
      </c>
      <c r="S203" s="817" t="str">
        <f>IFERROR(IF(B203="","",IF($P$3=$AT$14,'Statement of Marks'!ED202,IF(AND(O203="NA",P203="NA",Q203="NA"),"NA",IF(AND(O203="",P203="",Q203=""),"",SUM(O203,P203,Q203))))),"")</f>
        <v/>
      </c>
      <c r="T203" s="806" t="str">
        <f>IFERROR(IF(B203="","",IF($P$3=$AT$8,'Statement of Marks'!P202,IF($P$3=$AT$9,'Statement of Marks'!AD202,IF($P$3=$AT$10,'Statement of Marks'!AU202,IF($P$3=$AT$11,'Statement of Marks'!BR202,IF($P$3=$AT$12,'Statement of Marks'!CO202,IF($P$3=$AT$13,'Statement of Marks'!DM202,IF($P$3=$AT$14,"",IF($P$3=$AT$15,'Statement of Marks'!FD202,""))))))))),"")</f>
        <v/>
      </c>
      <c r="U203" s="806" t="str">
        <f>IFERROR(IF(B203="","",IF($P$3=$AT$8,"",IF($P$3=$AT$9,"",IF($P$3=$AT$10,'Statement of Marks'!AV202,IF($P$3=$AT$11,'Statement of Marks'!BS202,IF($P$3=$AT$12,'Statement of Marks'!CP202,IF($P$3=$AT$13,'Statement of Marks'!DN202,IF($P$3=$AT$14,"",IF($P$3=$AT$15,"",""))))))))),"")</f>
        <v/>
      </c>
      <c r="V203" s="818" t="str">
        <f>IFERROR(IF(B203="","",IF(AND(T203="",U203="",$P$3=""),"",IF($P$3=$AT$14,'Statement of Marks'!EE202,SUM(T203,U203)))),"")</f>
        <v/>
      </c>
      <c r="W203" s="808" t="str">
        <f t="shared" si="47"/>
        <v/>
      </c>
      <c r="X203" s="809">
        <f t="shared" si="48"/>
        <v>0</v>
      </c>
      <c r="Y203" s="809">
        <f t="shared" si="49"/>
        <v>0</v>
      </c>
      <c r="Z203" s="809">
        <f t="shared" si="50"/>
        <v>0</v>
      </c>
      <c r="AA203" s="809" t="str">
        <f t="shared" si="51"/>
        <v/>
      </c>
      <c r="AB203" s="809" t="str">
        <f t="shared" si="52"/>
        <v/>
      </c>
      <c r="AC203" s="809" t="str">
        <f t="shared" si="53"/>
        <v/>
      </c>
      <c r="AD203" s="809" t="str">
        <f t="shared" si="54"/>
        <v/>
      </c>
      <c r="AE203" s="810" t="str">
        <f t="shared" si="55"/>
        <v/>
      </c>
      <c r="AF203" s="811" t="str">
        <f t="shared" si="56"/>
        <v/>
      </c>
      <c r="AG203" s="812" t="str">
        <f t="shared" si="57"/>
        <v/>
      </c>
      <c r="AW203" s="17" t="str">
        <f t="shared" si="58"/>
        <v/>
      </c>
      <c r="AX203" s="17" t="str">
        <f t="shared" si="59"/>
        <v/>
      </c>
      <c r="BM203" s="17" t="str">
        <f>IFERROR(VLOOKUP(B203,'Statement of Marks'!$B$8:'Statement of Marks'!$HI$207,37,0),"")</f>
        <v>A</v>
      </c>
      <c r="BN203" s="17" t="str">
        <f>IFERROR(VLOOKUP(B203,'Statement of Marks'!$B$8:'Statement of Marks'!$HI$207,60,0),"")</f>
        <v>A</v>
      </c>
      <c r="BO203" s="17" t="str">
        <f>IFERROR(VLOOKUP(B203,'Statement of Marks'!$B$8:'Statement of Marks'!$HI$207,83,0),"")</f>
        <v>A</v>
      </c>
      <c r="BP203" s="17" t="str">
        <f>IFERROR(VLOOKUP(B203,'Statement of Marks'!$B$8:'Statement of Marks'!$HI$207,107,0),"")</f>
        <v/>
      </c>
    </row>
    <row r="204" spans="1:68">
      <c r="A204" s="800">
        <f>IF('Statement of Marks'!A203="","",'Statement of Marks'!A203)</f>
        <v>196</v>
      </c>
      <c r="B204" s="801" t="str">
        <f>IF(OR($E$3="",$P$3=""),"",IF('Statement of Marks'!B203="","",'Statement of Marks'!B203))</f>
        <v/>
      </c>
      <c r="C204" s="810" t="str">
        <f>IF(OR($E$3="",$P$3=""),"",IF('Marks Entry'!C203="","",'Marks Entry'!C203))</f>
        <v/>
      </c>
      <c r="D204" s="802" t="str">
        <f>IF(OR($E$3="",$P$3=""),"",IF('Statement of Marks'!C203="","",'Statement of Marks'!C203))</f>
        <v/>
      </c>
      <c r="E204" s="803" t="str">
        <f>IF(OR($E$3="",$P$3=""),"",IF('Statement of Marks'!D203="","",'Statement of Marks'!D203))</f>
        <v/>
      </c>
      <c r="F204" s="804" t="str">
        <f>IF(OR($E$3="",$P$3=""),"",IF('Statement of Marks'!E203="","",'Statement of Marks'!E203))</f>
        <v/>
      </c>
      <c r="G204" s="804" t="str">
        <f>IF(OR($E$3="",$P$3=""),"",IF('Statement of Marks'!F203="","",'Statement of Marks'!F203))</f>
        <v/>
      </c>
      <c r="H204" s="804" t="str">
        <f>IF(OR($E$3="",$P$3=""),"",IF('Statement of Marks'!G203="","",'Statement of Marks'!G203))</f>
        <v/>
      </c>
      <c r="I204" s="805" t="str">
        <f>IF(OR($E$3="",$P$3=""),"",IF('Statement of Marks'!H203="","",'Statement of Marks'!H203))</f>
        <v/>
      </c>
      <c r="J204" s="805" t="str">
        <f>IF(OR($E$3="",$P$3=""),"",IF('Statement of Marks'!I203="","",'Statement of Marks'!I203))</f>
        <v/>
      </c>
      <c r="K204" s="805" t="str">
        <f>IFERROR(IF(B204="","",IF($P$3=$AT$10,IF(AND(BM204="A"),'Marks Entry'!$U$2,IF(AND(BM204="B"),'Marks Entry'!$Y$2,IF(AND(BM204="C"),'Marks Entry'!$AA$2,""))),IF($P$3=$AT$11,IF(AND(BN204="A"),'Marks Entry'!$AC$2,IF(AND(BN204="B"),'Marks Entry'!$AG$2,IF(AND(BN204="C"),'Marks Entry'!$AI$2,""))),IF($P$3=$AT$12,IF(AND(BO204="A"),'Marks Entry'!$AK$2,IF(AND(BO204="B"),'Marks Entry'!$AO$2,IF(AND(BO204="C"),'Marks Entry'!$AQ$2,""))),IF($P$3=$AT$13,IF(AND(BP204="A"),'Marks Entry'!$AS$2,IF(AND(BP204="B"),'Marks Entry'!$AW$2,IF(AND(BP204="C"),'Marks Entry'!$AY$2,""))),"-"))))),"")</f>
        <v/>
      </c>
      <c r="L204" s="806" t="str">
        <f>IFERROR(IF(B204="","",IF($P$3=$AT$8,'Statement of Marks'!J203,IF($P$3=$AT$9,'Statement of Marks'!X203,IF($P$3=$AT$10,'Statement of Marks'!AM203,IF($P$3=$AT$11,'Statement of Marks'!BJ203,IF($P$3=$AT$12,'Statement of Marks'!CG203,IF($P$3=$AT$13,'Statement of Marks'!DE203,IF($P$3=$AT$14,"",IF($P$3=$AT$15,'Statement of Marks'!EY203,""))))))))),"")</f>
        <v/>
      </c>
      <c r="M204" s="806" t="str">
        <f>IFERROR(IF(B204="","",IF($P$3=$AT$8,'Statement of Marks'!K203,IF($P$3=$AT$9,'Statement of Marks'!Y203,IF($P$3=$AT$10,'Statement of Marks'!AN203,IF($P$3=$AT$11,'Statement of Marks'!BK203,IF($P$3=$AT$12,'Statement of Marks'!CH203,IF($P$3=$AT$13,'Statement of Marks'!DF203,IF($P$3=$AT$14,"",IF($P$3=$AT$15,'Statement of Marks'!EZ203,""))))))))),"")</f>
        <v/>
      </c>
      <c r="N204" s="806" t="str">
        <f>IFERROR(IF(B204="","",IF($P$3=$AT$8,'Statement of Marks'!L203,IF($P$3=$AT$9,'Statement of Marks'!Z203,IF($P$3=$AT$10,'Statement of Marks'!AO203,IF($P$3=$AT$11,'Statement of Marks'!BL203,IF($P$3=$AT$12,'Statement of Marks'!CI203,IF($P$3=$AT$13,'Statement of Marks'!DG203,IF($P$3=$AT$14,"",IF($P$3=$AT$15,'Statement of Marks'!FA203,""))))))))),"")</f>
        <v/>
      </c>
      <c r="O204" s="807" t="str">
        <f t="shared" si="46"/>
        <v/>
      </c>
      <c r="P204" s="806" t="str">
        <f>IFERROR(IF(B204="","",IF($P$3=$AT$8,'Statement of Marks'!N203,IF($P$3=$AT$9,'Statement of Marks'!AB203,IF($P$3=$AT$10,'Statement of Marks'!AQ203,IF($P$3=$AT$11,'Statement of Marks'!BN203,IF($P$3=$AT$12,'Statement of Marks'!CK203,IF($P$3=$AT$13,'Statement of Marks'!DI203,IF($P$3=$AT$14,"",IF($P$3=$AT$15,'Statement of Marks'!FC203,""))))))))),"")</f>
        <v/>
      </c>
      <c r="Q204" s="806" t="str">
        <f>IFERROR(IF(B204="","",IF($P$3=$AT$8,"",IF($P$3=$AT$9,"",IF($P$3=$AT$10,'Statement of Marks'!AR203,IF($P$3=$AT$11,'Statement of Marks'!BO203,IF($P$3=$AT$12,'Statement of Marks'!CL203,IF($P$3=$AT$13,'Statement of Marks'!DJ203,IF($P$3=$AT$14,"",IF($P$3=$AT$15,"",""))))))))),"")</f>
        <v/>
      </c>
      <c r="R204" s="818" t="str">
        <f>IFERROR(IF(B204="","",IF(AND(P204="",Q204="",$P$3=""),"",IF($P$3=$AT$14,'Statement of Marks'!EC203,SUM(P204,Q204)))),"")</f>
        <v/>
      </c>
      <c r="S204" s="817" t="str">
        <f>IFERROR(IF(B204="","",IF($P$3=$AT$14,'Statement of Marks'!ED203,IF(AND(O204="NA",P204="NA",Q204="NA"),"NA",IF(AND(O204="",P204="",Q204=""),"",SUM(O204,P204,Q204))))),"")</f>
        <v/>
      </c>
      <c r="T204" s="806" t="str">
        <f>IFERROR(IF(B204="","",IF($P$3=$AT$8,'Statement of Marks'!P203,IF($P$3=$AT$9,'Statement of Marks'!AD203,IF($P$3=$AT$10,'Statement of Marks'!AU203,IF($P$3=$AT$11,'Statement of Marks'!BR203,IF($P$3=$AT$12,'Statement of Marks'!CO203,IF($P$3=$AT$13,'Statement of Marks'!DM203,IF($P$3=$AT$14,"",IF($P$3=$AT$15,'Statement of Marks'!FD203,""))))))))),"")</f>
        <v/>
      </c>
      <c r="U204" s="806" t="str">
        <f>IFERROR(IF(B204="","",IF($P$3=$AT$8,"",IF($P$3=$AT$9,"",IF($P$3=$AT$10,'Statement of Marks'!AV203,IF($P$3=$AT$11,'Statement of Marks'!BS203,IF($P$3=$AT$12,'Statement of Marks'!CP203,IF($P$3=$AT$13,'Statement of Marks'!DN203,IF($P$3=$AT$14,"",IF($P$3=$AT$15,"",""))))))))),"")</f>
        <v/>
      </c>
      <c r="V204" s="818" t="str">
        <f>IFERROR(IF(B204="","",IF(AND(T204="",U204="",$P$3=""),"",IF($P$3=$AT$14,'Statement of Marks'!EE203,SUM(T204,U204)))),"")</f>
        <v/>
      </c>
      <c r="W204" s="808" t="str">
        <f t="shared" si="47"/>
        <v/>
      </c>
      <c r="X204" s="809">
        <f t="shared" si="48"/>
        <v>0</v>
      </c>
      <c r="Y204" s="809">
        <f t="shared" si="49"/>
        <v>0</v>
      </c>
      <c r="Z204" s="809">
        <f t="shared" si="50"/>
        <v>0</v>
      </c>
      <c r="AA204" s="809" t="str">
        <f t="shared" si="51"/>
        <v/>
      </c>
      <c r="AB204" s="809" t="str">
        <f t="shared" si="52"/>
        <v/>
      </c>
      <c r="AC204" s="809" t="str">
        <f t="shared" si="53"/>
        <v/>
      </c>
      <c r="AD204" s="809" t="str">
        <f t="shared" si="54"/>
        <v/>
      </c>
      <c r="AE204" s="810" t="str">
        <f t="shared" si="55"/>
        <v/>
      </c>
      <c r="AF204" s="811" t="str">
        <f t="shared" si="56"/>
        <v/>
      </c>
      <c r="AG204" s="812" t="str">
        <f t="shared" si="57"/>
        <v/>
      </c>
      <c r="AW204" s="17" t="str">
        <f t="shared" si="58"/>
        <v/>
      </c>
      <c r="AX204" s="17" t="str">
        <f t="shared" si="59"/>
        <v/>
      </c>
      <c r="BM204" s="17" t="str">
        <f>IFERROR(VLOOKUP(B204,'Statement of Marks'!$B$8:'Statement of Marks'!$HI$207,37,0),"")</f>
        <v>A</v>
      </c>
      <c r="BN204" s="17" t="str">
        <f>IFERROR(VLOOKUP(B204,'Statement of Marks'!$B$8:'Statement of Marks'!$HI$207,60,0),"")</f>
        <v>A</v>
      </c>
      <c r="BO204" s="17" t="str">
        <f>IFERROR(VLOOKUP(B204,'Statement of Marks'!$B$8:'Statement of Marks'!$HI$207,83,0),"")</f>
        <v>A</v>
      </c>
      <c r="BP204" s="17" t="str">
        <f>IFERROR(VLOOKUP(B204,'Statement of Marks'!$B$8:'Statement of Marks'!$HI$207,107,0),"")</f>
        <v/>
      </c>
    </row>
    <row r="205" spans="1:68">
      <c r="A205" s="800">
        <f>IF('Statement of Marks'!A204="","",'Statement of Marks'!A204)</f>
        <v>197</v>
      </c>
      <c r="B205" s="801" t="str">
        <f>IF(OR($E$3="",$P$3=""),"",IF('Statement of Marks'!B204="","",'Statement of Marks'!B204))</f>
        <v/>
      </c>
      <c r="C205" s="810" t="str">
        <f>IF(OR($E$3="",$P$3=""),"",IF('Marks Entry'!C204="","",'Marks Entry'!C204))</f>
        <v/>
      </c>
      <c r="D205" s="802" t="str">
        <f>IF(OR($E$3="",$P$3=""),"",IF('Statement of Marks'!C204="","",'Statement of Marks'!C204))</f>
        <v/>
      </c>
      <c r="E205" s="803" t="str">
        <f>IF(OR($E$3="",$P$3=""),"",IF('Statement of Marks'!D204="","",'Statement of Marks'!D204))</f>
        <v/>
      </c>
      <c r="F205" s="804" t="str">
        <f>IF(OR($E$3="",$P$3=""),"",IF('Statement of Marks'!E204="","",'Statement of Marks'!E204))</f>
        <v/>
      </c>
      <c r="G205" s="804" t="str">
        <f>IF(OR($E$3="",$P$3=""),"",IF('Statement of Marks'!F204="","",'Statement of Marks'!F204))</f>
        <v/>
      </c>
      <c r="H205" s="804" t="str">
        <f>IF(OR($E$3="",$P$3=""),"",IF('Statement of Marks'!G204="","",'Statement of Marks'!G204))</f>
        <v/>
      </c>
      <c r="I205" s="805" t="str">
        <f>IF(OR($E$3="",$P$3=""),"",IF('Statement of Marks'!H204="","",'Statement of Marks'!H204))</f>
        <v/>
      </c>
      <c r="J205" s="805" t="str">
        <f>IF(OR($E$3="",$P$3=""),"",IF('Statement of Marks'!I204="","",'Statement of Marks'!I204))</f>
        <v/>
      </c>
      <c r="K205" s="805" t="str">
        <f>IFERROR(IF(B205="","",IF($P$3=$AT$10,IF(AND(BM205="A"),'Marks Entry'!$U$2,IF(AND(BM205="B"),'Marks Entry'!$Y$2,IF(AND(BM205="C"),'Marks Entry'!$AA$2,""))),IF($P$3=$AT$11,IF(AND(BN205="A"),'Marks Entry'!$AC$2,IF(AND(BN205="B"),'Marks Entry'!$AG$2,IF(AND(BN205="C"),'Marks Entry'!$AI$2,""))),IF($P$3=$AT$12,IF(AND(BO205="A"),'Marks Entry'!$AK$2,IF(AND(BO205="B"),'Marks Entry'!$AO$2,IF(AND(BO205="C"),'Marks Entry'!$AQ$2,""))),IF($P$3=$AT$13,IF(AND(BP205="A"),'Marks Entry'!$AS$2,IF(AND(BP205="B"),'Marks Entry'!$AW$2,IF(AND(BP205="C"),'Marks Entry'!$AY$2,""))),"-"))))),"")</f>
        <v/>
      </c>
      <c r="L205" s="806" t="str">
        <f>IFERROR(IF(B205="","",IF($P$3=$AT$8,'Statement of Marks'!J204,IF($P$3=$AT$9,'Statement of Marks'!X204,IF($P$3=$AT$10,'Statement of Marks'!AM204,IF($P$3=$AT$11,'Statement of Marks'!BJ204,IF($P$3=$AT$12,'Statement of Marks'!CG204,IF($P$3=$AT$13,'Statement of Marks'!DE204,IF($P$3=$AT$14,"",IF($P$3=$AT$15,'Statement of Marks'!EY204,""))))))))),"")</f>
        <v/>
      </c>
      <c r="M205" s="806" t="str">
        <f>IFERROR(IF(B205="","",IF($P$3=$AT$8,'Statement of Marks'!K204,IF($P$3=$AT$9,'Statement of Marks'!Y204,IF($P$3=$AT$10,'Statement of Marks'!AN204,IF($P$3=$AT$11,'Statement of Marks'!BK204,IF($P$3=$AT$12,'Statement of Marks'!CH204,IF($P$3=$AT$13,'Statement of Marks'!DF204,IF($P$3=$AT$14,"",IF($P$3=$AT$15,'Statement of Marks'!EZ204,""))))))))),"")</f>
        <v/>
      </c>
      <c r="N205" s="806" t="str">
        <f>IFERROR(IF(B205="","",IF($P$3=$AT$8,'Statement of Marks'!L204,IF($P$3=$AT$9,'Statement of Marks'!Z204,IF($P$3=$AT$10,'Statement of Marks'!AO204,IF($P$3=$AT$11,'Statement of Marks'!BL204,IF($P$3=$AT$12,'Statement of Marks'!CI204,IF($P$3=$AT$13,'Statement of Marks'!DG204,IF($P$3=$AT$14,"",IF($P$3=$AT$15,'Statement of Marks'!FA204,""))))))))),"")</f>
        <v/>
      </c>
      <c r="O205" s="807" t="str">
        <f t="shared" si="46"/>
        <v/>
      </c>
      <c r="P205" s="806" t="str">
        <f>IFERROR(IF(B205="","",IF($P$3=$AT$8,'Statement of Marks'!N204,IF($P$3=$AT$9,'Statement of Marks'!AB204,IF($P$3=$AT$10,'Statement of Marks'!AQ204,IF($P$3=$AT$11,'Statement of Marks'!BN204,IF($P$3=$AT$12,'Statement of Marks'!CK204,IF($P$3=$AT$13,'Statement of Marks'!DI204,IF($P$3=$AT$14,"",IF($P$3=$AT$15,'Statement of Marks'!FC204,""))))))))),"")</f>
        <v/>
      </c>
      <c r="Q205" s="806" t="str">
        <f>IFERROR(IF(B205="","",IF($P$3=$AT$8,"",IF($P$3=$AT$9,"",IF($P$3=$AT$10,'Statement of Marks'!AR204,IF($P$3=$AT$11,'Statement of Marks'!BO204,IF($P$3=$AT$12,'Statement of Marks'!CL204,IF($P$3=$AT$13,'Statement of Marks'!DJ204,IF($P$3=$AT$14,"",IF($P$3=$AT$15,"",""))))))))),"")</f>
        <v/>
      </c>
      <c r="R205" s="818" t="str">
        <f>IFERROR(IF(B205="","",IF(AND(P205="",Q205="",$P$3=""),"",IF($P$3=$AT$14,'Statement of Marks'!EC204,SUM(P205,Q205)))),"")</f>
        <v/>
      </c>
      <c r="S205" s="817" t="str">
        <f>IFERROR(IF(B205="","",IF($P$3=$AT$14,'Statement of Marks'!ED204,IF(AND(O205="NA",P205="NA",Q205="NA"),"NA",IF(AND(O205="",P205="",Q205=""),"",SUM(O205,P205,Q205))))),"")</f>
        <v/>
      </c>
      <c r="T205" s="806" t="str">
        <f>IFERROR(IF(B205="","",IF($P$3=$AT$8,'Statement of Marks'!P204,IF($P$3=$AT$9,'Statement of Marks'!AD204,IF($P$3=$AT$10,'Statement of Marks'!AU204,IF($P$3=$AT$11,'Statement of Marks'!BR204,IF($P$3=$AT$12,'Statement of Marks'!CO204,IF($P$3=$AT$13,'Statement of Marks'!DM204,IF($P$3=$AT$14,"",IF($P$3=$AT$15,'Statement of Marks'!FD204,""))))))))),"")</f>
        <v/>
      </c>
      <c r="U205" s="806" t="str">
        <f>IFERROR(IF(B205="","",IF($P$3=$AT$8,"",IF($P$3=$AT$9,"",IF($P$3=$AT$10,'Statement of Marks'!AV204,IF($P$3=$AT$11,'Statement of Marks'!BS204,IF($P$3=$AT$12,'Statement of Marks'!CP204,IF($P$3=$AT$13,'Statement of Marks'!DN204,IF($P$3=$AT$14,"",IF($P$3=$AT$15,"",""))))))))),"")</f>
        <v/>
      </c>
      <c r="V205" s="818" t="str">
        <f>IFERROR(IF(B205="","",IF(AND(T205="",U205="",$P$3=""),"",IF($P$3=$AT$14,'Statement of Marks'!EE204,SUM(T205,U205)))),"")</f>
        <v/>
      </c>
      <c r="W205" s="808" t="str">
        <f t="shared" si="47"/>
        <v/>
      </c>
      <c r="X205" s="809">
        <f t="shared" si="48"/>
        <v>0</v>
      </c>
      <c r="Y205" s="809">
        <f t="shared" si="49"/>
        <v>0</v>
      </c>
      <c r="Z205" s="809">
        <f t="shared" si="50"/>
        <v>0</v>
      </c>
      <c r="AA205" s="809" t="str">
        <f t="shared" si="51"/>
        <v/>
      </c>
      <c r="AB205" s="809" t="str">
        <f t="shared" si="52"/>
        <v/>
      </c>
      <c r="AC205" s="809" t="str">
        <f t="shared" si="53"/>
        <v/>
      </c>
      <c r="AD205" s="809" t="str">
        <f t="shared" si="54"/>
        <v/>
      </c>
      <c r="AE205" s="810" t="str">
        <f t="shared" si="55"/>
        <v/>
      </c>
      <c r="AF205" s="811" t="str">
        <f t="shared" si="56"/>
        <v/>
      </c>
      <c r="AG205" s="812" t="str">
        <f t="shared" si="57"/>
        <v/>
      </c>
      <c r="AW205" s="17" t="str">
        <f t="shared" si="58"/>
        <v/>
      </c>
      <c r="AX205" s="17" t="str">
        <f t="shared" si="59"/>
        <v/>
      </c>
      <c r="BM205" s="17" t="str">
        <f>IFERROR(VLOOKUP(B205,'Statement of Marks'!$B$8:'Statement of Marks'!$HI$207,37,0),"")</f>
        <v>A</v>
      </c>
      <c r="BN205" s="17" t="str">
        <f>IFERROR(VLOOKUP(B205,'Statement of Marks'!$B$8:'Statement of Marks'!$HI$207,60,0),"")</f>
        <v>A</v>
      </c>
      <c r="BO205" s="17" t="str">
        <f>IFERROR(VLOOKUP(B205,'Statement of Marks'!$B$8:'Statement of Marks'!$HI$207,83,0),"")</f>
        <v>A</v>
      </c>
      <c r="BP205" s="17" t="str">
        <f>IFERROR(VLOOKUP(B205,'Statement of Marks'!$B$8:'Statement of Marks'!$HI$207,107,0),"")</f>
        <v/>
      </c>
    </row>
    <row r="206" spans="1:68">
      <c r="A206" s="800">
        <f>IF('Statement of Marks'!A205="","",'Statement of Marks'!A205)</f>
        <v>198</v>
      </c>
      <c r="B206" s="801" t="str">
        <f>IF(OR($E$3="",$P$3=""),"",IF('Statement of Marks'!B205="","",'Statement of Marks'!B205))</f>
        <v/>
      </c>
      <c r="C206" s="810" t="str">
        <f>IF(OR($E$3="",$P$3=""),"",IF('Marks Entry'!C205="","",'Marks Entry'!C205))</f>
        <v/>
      </c>
      <c r="D206" s="802" t="str">
        <f>IF(OR($E$3="",$P$3=""),"",IF('Statement of Marks'!C205="","",'Statement of Marks'!C205))</f>
        <v/>
      </c>
      <c r="E206" s="803" t="str">
        <f>IF(OR($E$3="",$P$3=""),"",IF('Statement of Marks'!D205="","",'Statement of Marks'!D205))</f>
        <v/>
      </c>
      <c r="F206" s="804" t="str">
        <f>IF(OR($E$3="",$P$3=""),"",IF('Statement of Marks'!E205="","",'Statement of Marks'!E205))</f>
        <v/>
      </c>
      <c r="G206" s="804" t="str">
        <f>IF(OR($E$3="",$P$3=""),"",IF('Statement of Marks'!F205="","",'Statement of Marks'!F205))</f>
        <v/>
      </c>
      <c r="H206" s="804" t="str">
        <f>IF(OR($E$3="",$P$3=""),"",IF('Statement of Marks'!G205="","",'Statement of Marks'!G205))</f>
        <v/>
      </c>
      <c r="I206" s="805" t="str">
        <f>IF(OR($E$3="",$P$3=""),"",IF('Statement of Marks'!H205="","",'Statement of Marks'!H205))</f>
        <v/>
      </c>
      <c r="J206" s="805" t="str">
        <f>IF(OR($E$3="",$P$3=""),"",IF('Statement of Marks'!I205="","",'Statement of Marks'!I205))</f>
        <v/>
      </c>
      <c r="K206" s="805" t="str">
        <f>IFERROR(IF(B206="","",IF($P$3=$AT$10,IF(AND(BM206="A"),'Marks Entry'!$U$2,IF(AND(BM206="B"),'Marks Entry'!$Y$2,IF(AND(BM206="C"),'Marks Entry'!$AA$2,""))),IF($P$3=$AT$11,IF(AND(BN206="A"),'Marks Entry'!$AC$2,IF(AND(BN206="B"),'Marks Entry'!$AG$2,IF(AND(BN206="C"),'Marks Entry'!$AI$2,""))),IF($P$3=$AT$12,IF(AND(BO206="A"),'Marks Entry'!$AK$2,IF(AND(BO206="B"),'Marks Entry'!$AO$2,IF(AND(BO206="C"),'Marks Entry'!$AQ$2,""))),IF($P$3=$AT$13,IF(AND(BP206="A"),'Marks Entry'!$AS$2,IF(AND(BP206="B"),'Marks Entry'!$AW$2,IF(AND(BP206="C"),'Marks Entry'!$AY$2,""))),"-"))))),"")</f>
        <v/>
      </c>
      <c r="L206" s="806" t="str">
        <f>IFERROR(IF(B206="","",IF($P$3=$AT$8,'Statement of Marks'!J205,IF($P$3=$AT$9,'Statement of Marks'!X205,IF($P$3=$AT$10,'Statement of Marks'!AM205,IF($P$3=$AT$11,'Statement of Marks'!BJ205,IF($P$3=$AT$12,'Statement of Marks'!CG205,IF($P$3=$AT$13,'Statement of Marks'!DE205,IF($P$3=$AT$14,"",IF($P$3=$AT$15,'Statement of Marks'!EY205,""))))))))),"")</f>
        <v/>
      </c>
      <c r="M206" s="806" t="str">
        <f>IFERROR(IF(B206="","",IF($P$3=$AT$8,'Statement of Marks'!K205,IF($P$3=$AT$9,'Statement of Marks'!Y205,IF($P$3=$AT$10,'Statement of Marks'!AN205,IF($P$3=$AT$11,'Statement of Marks'!BK205,IF($P$3=$AT$12,'Statement of Marks'!CH205,IF($P$3=$AT$13,'Statement of Marks'!DF205,IF($P$3=$AT$14,"",IF($P$3=$AT$15,'Statement of Marks'!EZ205,""))))))))),"")</f>
        <v/>
      </c>
      <c r="N206" s="806" t="str">
        <f>IFERROR(IF(B206="","",IF($P$3=$AT$8,'Statement of Marks'!L205,IF($P$3=$AT$9,'Statement of Marks'!Z205,IF($P$3=$AT$10,'Statement of Marks'!AO205,IF($P$3=$AT$11,'Statement of Marks'!BL205,IF($P$3=$AT$12,'Statement of Marks'!CI205,IF($P$3=$AT$13,'Statement of Marks'!DG205,IF($P$3=$AT$14,"",IF($P$3=$AT$15,'Statement of Marks'!FA205,""))))))))),"")</f>
        <v/>
      </c>
      <c r="O206" s="807" t="str">
        <f t="shared" ref="O206:O208" si="60">IF(AND(L206="",M206="",N206="",$P$3=""),"",IF(OR($P$3=$AT$14,$P$3=$AT$14),"",IF(B206="","",SUM(L206:N206))))</f>
        <v/>
      </c>
      <c r="P206" s="806" t="str">
        <f>IFERROR(IF(B206="","",IF($P$3=$AT$8,'Statement of Marks'!N205,IF($P$3=$AT$9,'Statement of Marks'!AB205,IF($P$3=$AT$10,'Statement of Marks'!AQ205,IF($P$3=$AT$11,'Statement of Marks'!BN205,IF($P$3=$AT$12,'Statement of Marks'!CK205,IF($P$3=$AT$13,'Statement of Marks'!DI205,IF($P$3=$AT$14,"",IF($P$3=$AT$15,'Statement of Marks'!FC205,""))))))))),"")</f>
        <v/>
      </c>
      <c r="Q206" s="806" t="str">
        <f>IFERROR(IF(B206="","",IF($P$3=$AT$8,"",IF($P$3=$AT$9,"",IF($P$3=$AT$10,'Statement of Marks'!AR205,IF($P$3=$AT$11,'Statement of Marks'!BO205,IF($P$3=$AT$12,'Statement of Marks'!CL205,IF($P$3=$AT$13,'Statement of Marks'!DJ205,IF($P$3=$AT$14,"",IF($P$3=$AT$15,"",""))))))))),"")</f>
        <v/>
      </c>
      <c r="R206" s="818" t="str">
        <f>IFERROR(IF(B206="","",IF(AND(P206="",Q206="",$P$3=""),"",IF($P$3=$AT$14,'Statement of Marks'!EC205,SUM(P206,Q206)))),"")</f>
        <v/>
      </c>
      <c r="S206" s="817" t="str">
        <f>IFERROR(IF(B206="","",IF($P$3=$AT$14,'Statement of Marks'!ED205,IF(AND(O206="NA",P206="NA",Q206="NA"),"NA",IF(AND(O206="",P206="",Q206=""),"",SUM(O206,P206,Q206))))),"")</f>
        <v/>
      </c>
      <c r="T206" s="806" t="str">
        <f>IFERROR(IF(B206="","",IF($P$3=$AT$8,'Statement of Marks'!P205,IF($P$3=$AT$9,'Statement of Marks'!AD205,IF($P$3=$AT$10,'Statement of Marks'!AU205,IF($P$3=$AT$11,'Statement of Marks'!BR205,IF($P$3=$AT$12,'Statement of Marks'!CO205,IF($P$3=$AT$13,'Statement of Marks'!DM205,IF($P$3=$AT$14,"",IF($P$3=$AT$15,'Statement of Marks'!FD205,""))))))))),"")</f>
        <v/>
      </c>
      <c r="U206" s="806" t="str">
        <f>IFERROR(IF(B206="","",IF($P$3=$AT$8,"",IF($P$3=$AT$9,"",IF($P$3=$AT$10,'Statement of Marks'!AV205,IF($P$3=$AT$11,'Statement of Marks'!BS205,IF($P$3=$AT$12,'Statement of Marks'!CP205,IF($P$3=$AT$13,'Statement of Marks'!DN205,IF($P$3=$AT$14,"",IF($P$3=$AT$15,"",""))))))))),"")</f>
        <v/>
      </c>
      <c r="V206" s="818" t="str">
        <f>IFERROR(IF(B206="","",IF(AND(T206="",U206="",$P$3=""),"",IF($P$3=$AT$14,'Statement of Marks'!EE205,SUM(T206,U206)))),"")</f>
        <v/>
      </c>
      <c r="W206" s="808" t="str">
        <f t="shared" ref="W206:W208" si="61">IFERROR(IF(B206="","",IF($P$3="","",IF(OR($P$3=$AT$14),SUM(R206,S206,V206),SUM(S206,V206)))),"")</f>
        <v/>
      </c>
      <c r="X206" s="809">
        <f t="shared" ref="X206:X208" si="62">IFERROR(IF($P$3="","",IF(OR($P$3=$AT$8,$P$3=$AT$9,$P$3=$AT$10,$P$3=$AT$11,$P$3=$AT$12,$P$3=$AT$13,$P$3=$AT$15),COUNTIF(L206:N206,"NA")*$L$7+(COUNTIF(L206:N206,"ML")*$L$7)+(COUNTIF(P206,"ML")*$P$7)+(COUNTIF(T206,"ML")*$T$8)+(COUNTIF(T206,"ML")*$T$7),COUNTIF(R206,"NA")*$R$7+(COUNTIF(R206,"ML")*$R$7)+(COUNTIF(S206,"ML")*$S$7)+(COUNTIF(V206,"ML")*$V$7))),0)</f>
        <v>0</v>
      </c>
      <c r="Y206" s="809">
        <f t="shared" ref="Y206:Y208" si="63">SUM(Q206,U206)</f>
        <v>0</v>
      </c>
      <c r="Z206" s="809">
        <f t="shared" ref="Z206:Z208" si="64">SUM(O206,P206,T206)</f>
        <v>0</v>
      </c>
      <c r="AA206" s="809" t="str">
        <f t="shared" ref="AA206:AA208" si="65">IF(OR($B206="NSO",$B206=0,T206=""),"",IF(AND(Q206="",U206=""),SUM($T$8),SUM($T$7)))</f>
        <v/>
      </c>
      <c r="AB206" s="809" t="str">
        <f t="shared" ref="AB206:AB208" si="66">IF(OR($B206="NSO",$B206=0,U206=""),"",IF(AND(Q206="",U206=""),"",SUM($Q$7+$U$7)-(COUNTIF(Q206,"ML")*$Q$7)-(COUNTIF(U206,"ML")*$U$7)))</f>
        <v/>
      </c>
      <c r="AC206" s="809" t="str">
        <f t="shared" ref="AC206:AC208" si="67">IF(OR($B206="NSO",$B206=0,B206=""),"",IF(AND(Q206="",U206=""),IF(OR($P$3=$AT$8,$P$3=$AT$9,$P$3=$AT$10,$P$3=$AT$11,$P$3=$AT$12,$P$3=$AT$13,$P$3=$AT$15,$P$3=$AT$16,$P$3=$AT$17),IF(AND(L206="NA",N206="NA",M206="NA"),$O$7-X206,IF(AND(P206="ML"),$P$7-X206,IF(AND(T206="ML"),$T$7-X206,$W$7-X206))),IF(AND(R206="NA"),$R$7-X206,IF(AND(S206="ML"),$S$7-X206,IF(AND(V206="ML"),$V$7-X206,$W$7-X206)))),IF(AND(L206="NA",N206="NA",M206="NA"),$O$7-X206,IF(AND(P206="ML"),$P$7-X206,IF(AND(T206="ML"),$T$7-X206,$Z$7-X206)))))</f>
        <v/>
      </c>
      <c r="AD206" s="809" t="str">
        <f t="shared" ref="AD206:AD208" si="68">IF(AND(OR(L206="ab",L206="ml"),OR(M206="ab",M206="ml"),OR(P206="ab",P206="ml"),OR(P206="ab",P206="ml"),OR(S206="ab",S206="ml")),"AB",IF(AND(OR(M206="ab",M206="ml"),OR(N206="ab",N206="ml"),OR(P206="ab",P206="ml"),OR(S206="ab",S206="ml")),"AB",IF(AND(OR(N206="ab",N206="ml"),OR(L206="ab",L206="ml"),OR(P206="ab",P206="ml"),OR(T206="ab",T206="ml")),"AB",IF(AND(OR(P206="ab",P206="ml"),OR(T206="ab",T206="ml"),OR(Q206="ab",Q206="ml"),OR(P206="ab",P206="ml"),OR(T206="ab",T206="ml")),"AB",IF(AND(OR(P206="ab",P206="ml"),OR(M206="ab",M206="ml"),OR(T206="ab",T206="ml"),OR(P206="ab",P206="ml"),OR(U206="ab",U206="ml")),"AB","")))))</f>
        <v/>
      </c>
      <c r="AE206" s="810" t="str">
        <f t="shared" ref="AE206:AE208" si="69">IFERROR(IF(B206="","",IF(OR($P$3=$AT$14),AX206,AW206)),"")</f>
        <v/>
      </c>
      <c r="AF206" s="811" t="str">
        <f t="shared" ref="AF206:AF208" si="70">IF(OR(AE206="",AE206=0,AE206="S",AE206="RE",AE206="F",AE206="AB",B206="NSO"),"",IF(AE206="G","G",IF(W206&gt;=75%*SUM(AB206,AC206),"I",IF(W206&gt;=60%*SUM(AB206,AC206),"I",IF(W206&gt;=48%*SUM(AB206,AC206),"II",IF(W206&gt;=36%*SUM(AB206,AC206),"III",""))))))</f>
        <v/>
      </c>
      <c r="AG206" s="812" t="str">
        <f t="shared" ref="AG206:AG208" si="71">IF(W206="","",IF(OR(AE206="",AE206=0,AE206="RE",AE206="AB"),"",IF(B206="NSO","NSO",IF(AE206="G","By Grace",IF(AE206="S","Supplementary",IF(AE206="F","Fail",IF(W206&gt;=75%*AC206,"D",IF(AE206="FP","Fail in Practical",""))))))))</f>
        <v/>
      </c>
    </row>
    <row r="207" spans="1:68">
      <c r="A207" s="800">
        <f>IF('Statement of Marks'!A206="","",'Statement of Marks'!A206)</f>
        <v>199</v>
      </c>
      <c r="B207" s="801" t="str">
        <f>IF(OR($E$3="",$P$3=""),"",IF('Statement of Marks'!B206="","",'Statement of Marks'!B206))</f>
        <v/>
      </c>
      <c r="C207" s="810" t="str">
        <f>IF(OR($E$3="",$P$3=""),"",IF('Marks Entry'!C206="","",'Marks Entry'!C206))</f>
        <v/>
      </c>
      <c r="D207" s="802" t="str">
        <f>IF(OR($E$3="",$P$3=""),"",IF('Statement of Marks'!C206="","",'Statement of Marks'!C206))</f>
        <v/>
      </c>
      <c r="E207" s="803" t="str">
        <f>IF(OR($E$3="",$P$3=""),"",IF('Statement of Marks'!D206="","",'Statement of Marks'!D206))</f>
        <v/>
      </c>
      <c r="F207" s="804" t="str">
        <f>IF(OR($E$3="",$P$3=""),"",IF('Statement of Marks'!E206="","",'Statement of Marks'!E206))</f>
        <v/>
      </c>
      <c r="G207" s="804" t="str">
        <f>IF(OR($E$3="",$P$3=""),"",IF('Statement of Marks'!F206="","",'Statement of Marks'!F206))</f>
        <v/>
      </c>
      <c r="H207" s="804" t="str">
        <f>IF(OR($E$3="",$P$3=""),"",IF('Statement of Marks'!G206="","",'Statement of Marks'!G206))</f>
        <v/>
      </c>
      <c r="I207" s="805" t="str">
        <f>IF(OR($E$3="",$P$3=""),"",IF('Statement of Marks'!H206="","",'Statement of Marks'!H206))</f>
        <v/>
      </c>
      <c r="J207" s="805" t="str">
        <f>IF(OR($E$3="",$P$3=""),"",IF('Statement of Marks'!I206="","",'Statement of Marks'!I206))</f>
        <v/>
      </c>
      <c r="K207" s="805" t="str">
        <f>IFERROR(IF(B207="","",IF($P$3=$AT$10,IF(AND(BM207="A"),'Marks Entry'!$U$2,IF(AND(BM207="B"),'Marks Entry'!$Y$2,IF(AND(BM207="C"),'Marks Entry'!$AA$2,""))),IF($P$3=$AT$11,IF(AND(BN207="A"),'Marks Entry'!$AC$2,IF(AND(BN207="B"),'Marks Entry'!$AG$2,IF(AND(BN207="C"),'Marks Entry'!$AI$2,""))),IF($P$3=$AT$12,IF(AND(BO207="A"),'Marks Entry'!$AK$2,IF(AND(BO207="B"),'Marks Entry'!$AO$2,IF(AND(BO207="C"),'Marks Entry'!$AQ$2,""))),IF($P$3=$AT$13,IF(AND(BP207="A"),'Marks Entry'!$AS$2,IF(AND(BP207="B"),'Marks Entry'!$AW$2,IF(AND(BP207="C"),'Marks Entry'!$AY$2,""))),"-"))))),"")</f>
        <v/>
      </c>
      <c r="L207" s="806" t="str">
        <f>IFERROR(IF(B207="","",IF($P$3=$AT$8,'Statement of Marks'!J206,IF($P$3=$AT$9,'Statement of Marks'!X206,IF($P$3=$AT$10,'Statement of Marks'!AM206,IF($P$3=$AT$11,'Statement of Marks'!BJ206,IF($P$3=$AT$12,'Statement of Marks'!CG206,IF($P$3=$AT$13,'Statement of Marks'!DE206,IF($P$3=$AT$14,"",IF($P$3=$AT$15,'Statement of Marks'!EY206,""))))))))),"")</f>
        <v/>
      </c>
      <c r="M207" s="806" t="str">
        <f>IFERROR(IF(B207="","",IF($P$3=$AT$8,'Statement of Marks'!K206,IF($P$3=$AT$9,'Statement of Marks'!Y206,IF($P$3=$AT$10,'Statement of Marks'!AN206,IF($P$3=$AT$11,'Statement of Marks'!BK206,IF($P$3=$AT$12,'Statement of Marks'!CH206,IF($P$3=$AT$13,'Statement of Marks'!DF206,IF($P$3=$AT$14,"",IF($P$3=$AT$15,'Statement of Marks'!EZ206,""))))))))),"")</f>
        <v/>
      </c>
      <c r="N207" s="806" t="str">
        <f>IFERROR(IF(B207="","",IF($P$3=$AT$8,'Statement of Marks'!L206,IF($P$3=$AT$9,'Statement of Marks'!Z206,IF($P$3=$AT$10,'Statement of Marks'!AO206,IF($P$3=$AT$11,'Statement of Marks'!BL206,IF($P$3=$AT$12,'Statement of Marks'!CI206,IF($P$3=$AT$13,'Statement of Marks'!DG206,IF($P$3=$AT$14,"",IF($P$3=$AT$15,'Statement of Marks'!FA206,""))))))))),"")</f>
        <v/>
      </c>
      <c r="O207" s="807" t="str">
        <f t="shared" si="60"/>
        <v/>
      </c>
      <c r="P207" s="806" t="str">
        <f>IFERROR(IF(B207="","",IF($P$3=$AT$8,'Statement of Marks'!N206,IF($P$3=$AT$9,'Statement of Marks'!AB206,IF($P$3=$AT$10,'Statement of Marks'!AQ206,IF($P$3=$AT$11,'Statement of Marks'!BN206,IF($P$3=$AT$12,'Statement of Marks'!CK206,IF($P$3=$AT$13,'Statement of Marks'!DI206,IF($P$3=$AT$14,"",IF($P$3=$AT$15,'Statement of Marks'!FC206,""))))))))),"")</f>
        <v/>
      </c>
      <c r="Q207" s="806" t="str">
        <f>IFERROR(IF(B207="","",IF($P$3=$AT$8,"",IF($P$3=$AT$9,"",IF($P$3=$AT$10,'Statement of Marks'!AR206,IF($P$3=$AT$11,'Statement of Marks'!BO206,IF($P$3=$AT$12,'Statement of Marks'!CL206,IF($P$3=$AT$13,'Statement of Marks'!DJ206,IF($P$3=$AT$14,"",IF($P$3=$AT$15,"",""))))))))),"")</f>
        <v/>
      </c>
      <c r="R207" s="818" t="str">
        <f>IFERROR(IF(B207="","",IF(AND(P207="",Q207="",$P$3=""),"",IF($P$3=$AT$14,'Statement of Marks'!EC206,SUM(P207,Q207)))),"")</f>
        <v/>
      </c>
      <c r="S207" s="817" t="str">
        <f>IFERROR(IF(B207="","",IF($P$3=$AT$14,'Statement of Marks'!ED206,IF(AND(O207="NA",P207="NA",Q207="NA"),"NA",IF(AND(O207="",P207="",Q207=""),"",SUM(O207,P207,Q207))))),"")</f>
        <v/>
      </c>
      <c r="T207" s="806" t="str">
        <f>IFERROR(IF(B207="","",IF($P$3=$AT$8,'Statement of Marks'!P206,IF($P$3=$AT$9,'Statement of Marks'!AD206,IF($P$3=$AT$10,'Statement of Marks'!AU206,IF($P$3=$AT$11,'Statement of Marks'!BR206,IF($P$3=$AT$12,'Statement of Marks'!CO206,IF($P$3=$AT$13,'Statement of Marks'!DM206,IF($P$3=$AT$14,"",IF($P$3=$AT$15,'Statement of Marks'!FD206,""))))))))),"")</f>
        <v/>
      </c>
      <c r="U207" s="806" t="str">
        <f>IFERROR(IF(B207="","",IF($P$3=$AT$8,"",IF($P$3=$AT$9,"",IF($P$3=$AT$10,'Statement of Marks'!AV206,IF($P$3=$AT$11,'Statement of Marks'!BS206,IF($P$3=$AT$12,'Statement of Marks'!CP206,IF($P$3=$AT$13,'Statement of Marks'!DN206,IF($P$3=$AT$14,"",IF($P$3=$AT$15,"",""))))))))),"")</f>
        <v/>
      </c>
      <c r="V207" s="818" t="str">
        <f>IFERROR(IF(B207="","",IF(AND(T207="",U207="",$P$3=""),"",IF($P$3=$AT$14,'Statement of Marks'!EE206,SUM(T207,U207)))),"")</f>
        <v/>
      </c>
      <c r="W207" s="808" t="str">
        <f t="shared" si="61"/>
        <v/>
      </c>
      <c r="X207" s="809">
        <f t="shared" si="62"/>
        <v>0</v>
      </c>
      <c r="Y207" s="809">
        <f t="shared" si="63"/>
        <v>0</v>
      </c>
      <c r="Z207" s="809">
        <f t="shared" si="64"/>
        <v>0</v>
      </c>
      <c r="AA207" s="809" t="str">
        <f t="shared" si="65"/>
        <v/>
      </c>
      <c r="AB207" s="809" t="str">
        <f t="shared" si="66"/>
        <v/>
      </c>
      <c r="AC207" s="809" t="str">
        <f t="shared" si="67"/>
        <v/>
      </c>
      <c r="AD207" s="809" t="str">
        <f t="shared" si="68"/>
        <v/>
      </c>
      <c r="AE207" s="810" t="str">
        <f t="shared" si="69"/>
        <v/>
      </c>
      <c r="AF207" s="811" t="str">
        <f t="shared" si="70"/>
        <v/>
      </c>
      <c r="AG207" s="812" t="str">
        <f t="shared" si="71"/>
        <v/>
      </c>
      <c r="AW207" s="17" t="str">
        <f t="shared" si="58"/>
        <v/>
      </c>
      <c r="AX207" s="17" t="str">
        <f t="shared" si="59"/>
        <v/>
      </c>
      <c r="BM207" s="17" t="str">
        <f>IFERROR(VLOOKUP(B207,'Statement of Marks'!$B$8:'Statement of Marks'!$HI$207,37,0),"")</f>
        <v>A</v>
      </c>
      <c r="BN207" s="17" t="str">
        <f>IFERROR(VLOOKUP(B207,'Statement of Marks'!$B$8:'Statement of Marks'!$HI$207,60,0),"")</f>
        <v>A</v>
      </c>
      <c r="BO207" s="17" t="str">
        <f>IFERROR(VLOOKUP(B207,'Statement of Marks'!$B$8:'Statement of Marks'!$HI$207,83,0),"")</f>
        <v>A</v>
      </c>
      <c r="BP207" s="17" t="str">
        <f>IFERROR(VLOOKUP(B207,'Statement of Marks'!$B$8:'Statement of Marks'!$HI$207,107,0),"")</f>
        <v/>
      </c>
    </row>
    <row r="208" spans="1:68">
      <c r="A208" s="800">
        <f>IF('Statement of Marks'!A207="","",'Statement of Marks'!A207)</f>
        <v>200</v>
      </c>
      <c r="B208" s="801" t="str">
        <f>IF(OR($E$3="",$P$3=""),"",IF('Statement of Marks'!B207="","",'Statement of Marks'!B207))</f>
        <v/>
      </c>
      <c r="C208" s="810" t="str">
        <f>IF(OR($E$3="",$P$3=""),"",IF('Marks Entry'!C207="","",'Marks Entry'!C207))</f>
        <v/>
      </c>
      <c r="D208" s="802" t="str">
        <f>IF(OR($E$3="",$P$3=""),"",IF('Statement of Marks'!C207="","",'Statement of Marks'!C207))</f>
        <v/>
      </c>
      <c r="E208" s="803" t="str">
        <f>IF(OR($E$3="",$P$3=""),"",IF('Statement of Marks'!D207="","",'Statement of Marks'!D207))</f>
        <v/>
      </c>
      <c r="F208" s="804" t="str">
        <f>IF(OR($E$3="",$P$3=""),"",IF('Statement of Marks'!E207="","",'Statement of Marks'!E207))</f>
        <v/>
      </c>
      <c r="G208" s="804" t="str">
        <f>IF(OR($E$3="",$P$3=""),"",IF('Statement of Marks'!F207="","",'Statement of Marks'!F207))</f>
        <v/>
      </c>
      <c r="H208" s="804" t="str">
        <f>IF(OR($E$3="",$P$3=""),"",IF('Statement of Marks'!G207="","",'Statement of Marks'!G207))</f>
        <v/>
      </c>
      <c r="I208" s="805" t="str">
        <f>IF(OR($E$3="",$P$3=""),"",IF('Statement of Marks'!H207="","",'Statement of Marks'!H207))</f>
        <v/>
      </c>
      <c r="J208" s="805" t="str">
        <f>IF(OR($E$3="",$P$3=""),"",IF('Statement of Marks'!I207="","",'Statement of Marks'!I207))</f>
        <v/>
      </c>
      <c r="K208" s="805" t="str">
        <f>IFERROR(IF(B208="","",IF($P$3=$AT$10,IF(AND(BM208="A"),'Marks Entry'!$U$2,IF(AND(BM208="B"),'Marks Entry'!$Y$2,IF(AND(BM208="C"),'Marks Entry'!$AA$2,""))),IF($P$3=$AT$11,IF(AND(BN208="A"),'Marks Entry'!$AC$2,IF(AND(BN208="B"),'Marks Entry'!$AG$2,IF(AND(BN208="C"),'Marks Entry'!$AI$2,""))),IF($P$3=$AT$12,IF(AND(BO208="A"),'Marks Entry'!$AK$2,IF(AND(BO208="B"),'Marks Entry'!$AO$2,IF(AND(BO208="C"),'Marks Entry'!$AQ$2,""))),IF($P$3=$AT$13,IF(AND(BP208="A"),'Marks Entry'!$AS$2,IF(AND(BP208="B"),'Marks Entry'!$AW$2,IF(AND(BP208="C"),'Marks Entry'!$AY$2,""))),"-"))))),"")</f>
        <v/>
      </c>
      <c r="L208" s="806" t="str">
        <f>IFERROR(IF(B208="","",IF($P$3=$AT$8,'Statement of Marks'!J207,IF($P$3=$AT$9,'Statement of Marks'!X207,IF($P$3=$AT$10,'Statement of Marks'!AM207,IF($P$3=$AT$11,'Statement of Marks'!BJ207,IF($P$3=$AT$12,'Statement of Marks'!CG207,IF($P$3=$AT$13,'Statement of Marks'!DE207,IF($P$3=$AT$14,"",IF($P$3=$AT$15,'Statement of Marks'!EY207,""))))))))),"")</f>
        <v/>
      </c>
      <c r="M208" s="806" t="str">
        <f>IFERROR(IF(B208="","",IF($P$3=$AT$8,'Statement of Marks'!K207,IF($P$3=$AT$9,'Statement of Marks'!Y207,IF($P$3=$AT$10,'Statement of Marks'!AN207,IF($P$3=$AT$11,'Statement of Marks'!BK207,IF($P$3=$AT$12,'Statement of Marks'!CH207,IF($P$3=$AT$13,'Statement of Marks'!DF207,IF($P$3=$AT$14,"",IF($P$3=$AT$15,'Statement of Marks'!EZ207,""))))))))),"")</f>
        <v/>
      </c>
      <c r="N208" s="806" t="str">
        <f>IFERROR(IF(B208="","",IF($P$3=$AT$8,'Statement of Marks'!L207,IF($P$3=$AT$9,'Statement of Marks'!Z207,IF($P$3=$AT$10,'Statement of Marks'!AO207,IF($P$3=$AT$11,'Statement of Marks'!BL207,IF($P$3=$AT$12,'Statement of Marks'!CI207,IF($P$3=$AT$13,'Statement of Marks'!DG207,IF($P$3=$AT$14,"",IF($P$3=$AT$15,'Statement of Marks'!FA207,""))))))))),"")</f>
        <v/>
      </c>
      <c r="O208" s="807" t="str">
        <f t="shared" si="60"/>
        <v/>
      </c>
      <c r="P208" s="806" t="str">
        <f>IFERROR(IF(B208="","",IF($P$3=$AT$8,'Statement of Marks'!N207,IF($P$3=$AT$9,'Statement of Marks'!AB207,IF($P$3=$AT$10,'Statement of Marks'!AQ207,IF($P$3=$AT$11,'Statement of Marks'!BN207,IF($P$3=$AT$12,'Statement of Marks'!CK207,IF($P$3=$AT$13,'Statement of Marks'!DI207,IF($P$3=$AT$14,"",IF($P$3=$AT$15,'Statement of Marks'!FC207,""))))))))),"")</f>
        <v/>
      </c>
      <c r="Q208" s="806" t="str">
        <f>IFERROR(IF(B208="","",IF($P$3=$AT$8,"",IF($P$3=$AT$9,"",IF($P$3=$AT$10,'Statement of Marks'!AR207,IF($P$3=$AT$11,'Statement of Marks'!BO207,IF($P$3=$AT$12,'Statement of Marks'!CL207,IF($P$3=$AT$13,'Statement of Marks'!DJ207,IF($P$3=$AT$14,"",IF($P$3=$AT$15,"",""))))))))),"")</f>
        <v/>
      </c>
      <c r="R208" s="818" t="str">
        <f>IFERROR(IF(B208="","",IF(AND(P208="",Q208="",$P$3=""),"",IF($P$3=$AT$14,'Statement of Marks'!EC207,SUM(P208,Q208)))),"")</f>
        <v/>
      </c>
      <c r="S208" s="817" t="str">
        <f>IFERROR(IF(B208="","",IF($P$3=$AT$14,'Statement of Marks'!ED207,IF(AND(O208="NA",P208="NA",Q208="NA"),"NA",IF(AND(O208="",P208="",Q208=""),"",SUM(O208,P208,Q208))))),"")</f>
        <v/>
      </c>
      <c r="T208" s="806" t="str">
        <f>IFERROR(IF(B208="","",IF($P$3=$AT$8,'Statement of Marks'!P207,IF($P$3=$AT$9,'Statement of Marks'!AD207,IF($P$3=$AT$10,'Statement of Marks'!AU207,IF($P$3=$AT$11,'Statement of Marks'!BR207,IF($P$3=$AT$12,'Statement of Marks'!CO207,IF($P$3=$AT$13,'Statement of Marks'!DM207,IF($P$3=$AT$14,"",IF($P$3=$AT$15,'Statement of Marks'!FD207,""))))))))),"")</f>
        <v/>
      </c>
      <c r="U208" s="806" t="str">
        <f>IFERROR(IF(B208="","",IF($P$3=$AT$8,"",IF($P$3=$AT$9,"",IF($P$3=$AT$10,'Statement of Marks'!AV207,IF($P$3=$AT$11,'Statement of Marks'!BS207,IF($P$3=$AT$12,'Statement of Marks'!CP207,IF($P$3=$AT$13,'Statement of Marks'!DN207,IF($P$3=$AT$14,"",IF($P$3=$AT$15,"",""))))))))),"")</f>
        <v/>
      </c>
      <c r="V208" s="818" t="str">
        <f>IFERROR(IF(B208="","",IF(AND(T208="",U208="",$P$3=""),"",IF($P$3=$AT$14,'Statement of Marks'!EE207,SUM(T208,U208)))),"")</f>
        <v/>
      </c>
      <c r="W208" s="808" t="str">
        <f t="shared" si="61"/>
        <v/>
      </c>
      <c r="X208" s="809">
        <f t="shared" si="62"/>
        <v>0</v>
      </c>
      <c r="Y208" s="809">
        <f t="shared" si="63"/>
        <v>0</v>
      </c>
      <c r="Z208" s="809">
        <f t="shared" si="64"/>
        <v>0</v>
      </c>
      <c r="AA208" s="809" t="str">
        <f t="shared" si="65"/>
        <v/>
      </c>
      <c r="AB208" s="809" t="str">
        <f t="shared" si="66"/>
        <v/>
      </c>
      <c r="AC208" s="809" t="str">
        <f t="shared" si="67"/>
        <v/>
      </c>
      <c r="AD208" s="809" t="str">
        <f t="shared" si="68"/>
        <v/>
      </c>
      <c r="AE208" s="810" t="str">
        <f t="shared" si="69"/>
        <v/>
      </c>
      <c r="AF208" s="811" t="str">
        <f t="shared" si="70"/>
        <v/>
      </c>
      <c r="AG208" s="812" t="str">
        <f t="shared" si="71"/>
        <v/>
      </c>
      <c r="AW208" s="17" t="str">
        <f t="shared" si="58"/>
        <v/>
      </c>
      <c r="AX208" s="17" t="str">
        <f t="shared" si="59"/>
        <v/>
      </c>
      <c r="BM208" s="17" t="str">
        <f>IFERROR(VLOOKUP(B208,'Statement of Marks'!$B$8:'Statement of Marks'!$HI$207,37,0),"")</f>
        <v>A</v>
      </c>
      <c r="BN208" s="17" t="str">
        <f>IFERROR(VLOOKUP(B208,'Statement of Marks'!$B$8:'Statement of Marks'!$HI$207,60,0),"")</f>
        <v>A</v>
      </c>
      <c r="BO208" s="17" t="str">
        <f>IFERROR(VLOOKUP(B208,'Statement of Marks'!$B$8:'Statement of Marks'!$HI$207,83,0),"")</f>
        <v>A</v>
      </c>
      <c r="BP208" s="17" t="str">
        <f>IFERROR(VLOOKUP(B208,'Statement of Marks'!$B$8:'Statement of Marks'!$HI$207,107,0),"")</f>
        <v/>
      </c>
    </row>
    <row r="209" spans="1:68">
      <c r="A209" s="1317"/>
      <c r="B209" s="1317"/>
      <c r="C209" s="1317"/>
      <c r="D209" s="1317"/>
      <c r="E209" s="1317"/>
      <c r="F209" s="1317"/>
      <c r="G209" s="1317"/>
      <c r="H209" s="1317"/>
      <c r="I209" s="1317"/>
      <c r="J209" s="1317"/>
      <c r="K209" s="1317"/>
      <c r="L209" s="1317"/>
      <c r="M209" s="1317"/>
      <c r="N209" s="1317"/>
      <c r="O209" s="1317"/>
      <c r="P209" s="1317"/>
      <c r="Q209" s="1317"/>
      <c r="R209" s="1317"/>
      <c r="S209" s="1317"/>
      <c r="T209" s="1317"/>
      <c r="U209" s="1317"/>
      <c r="V209" s="1317"/>
      <c r="W209" s="1317"/>
      <c r="X209" s="1317"/>
      <c r="Y209" s="1317"/>
      <c r="Z209" s="1317"/>
      <c r="AA209" s="1317"/>
      <c r="AB209" s="1317"/>
      <c r="AC209" s="1317"/>
      <c r="AD209" s="1317"/>
      <c r="AE209" s="1317"/>
      <c r="AF209" s="1317"/>
      <c r="AG209" s="1317"/>
      <c r="AW209" s="17" t="str">
        <f t="shared" si="58"/>
        <v/>
      </c>
      <c r="AX209" s="17" t="str">
        <f t="shared" si="59"/>
        <v/>
      </c>
      <c r="BM209" s="17" t="str">
        <f>IFERROR(VLOOKUP(B209,'Statement of Marks'!$B$8:'Statement of Marks'!$HI$207,37,0),"")</f>
        <v/>
      </c>
      <c r="BN209" s="17" t="str">
        <f>IFERROR(VLOOKUP(B209,'Statement of Marks'!$B$8:'Statement of Marks'!$HI$207,60,0),"")</f>
        <v/>
      </c>
      <c r="BO209" s="17" t="str">
        <f>IFERROR(VLOOKUP(B209,'Statement of Marks'!$B$8:'Statement of Marks'!$HI$207,83,0),"")</f>
        <v/>
      </c>
      <c r="BP209" s="17" t="str">
        <f>IFERROR(VLOOKUP(B209,'Statement of Marks'!$B$8:'Statement of Marks'!$HI$207,107,0),"")</f>
        <v/>
      </c>
    </row>
    <row r="210" spans="1:68" ht="15" customHeight="1">
      <c r="A210" s="1318" t="s">
        <v>301</v>
      </c>
      <c r="B210" s="1319"/>
      <c r="C210" s="1319"/>
      <c r="D210" s="1319"/>
      <c r="E210" s="1319"/>
      <c r="F210" s="1320"/>
      <c r="G210" s="1301" t="str">
        <f>IF('Master Sheet'!D11="Hindi","विषय का नाम :","Subject Name :")</f>
        <v>विषय का नाम :</v>
      </c>
      <c r="H210" s="1301"/>
      <c r="I210" s="1287" t="str">
        <f>IF(OR($E$3="",$P$3=""),"",IF($P$3=$AT$8,'Statement of Marks'!J3,IF($P$3=$AT$9,'Statement of Marks'!X3,IF($P$3=$AT$10,'Statement of Marks'!AL3,IF($P$3=$AT$11,'Statement of Marks'!BI3,IF($P$3=$AT$12,'Statement of Marks'!CF3,IF($P$3=$AT$13,'Statement of Marks'!DD3,IF($P$3=$AT$14,'Statement of Marks'!EC4,IF($P$3=$AT$15,'Statement of Marks'!EY3,"")))))))))</f>
        <v>GEOGRAPHY</v>
      </c>
      <c r="J210" s="1287"/>
      <c r="K210" s="1287"/>
      <c r="L210" s="1287"/>
      <c r="M210" s="1287"/>
      <c r="N210" s="1287"/>
      <c r="O210" s="1287" t="str">
        <f>IF(OR($E$3="",$P$3=""),"",IF($P$3=$AT$8,"",IF($P$3=$AT$9,"",IF($P$3=$AT$10,'Statement of Marks'!AR3,IF($P$3=$AT$11,'Statement of Marks'!BO3,IF($P$3=$AT$12,'Statement of Marks'!CL3,IF($P$3=$AT$13,'Statement of Marks'!DK3,IF($P$3=$AT$14,"",IF($P$3=$AT$15,"","")))))))))</f>
        <v>HOME SCIENCE</v>
      </c>
      <c r="P210" s="1287"/>
      <c r="Q210" s="1287"/>
      <c r="R210" s="1287"/>
      <c r="S210" s="1287"/>
      <c r="T210" s="1287"/>
      <c r="U210" s="1287" t="str">
        <f>IF(OR($E$3="",$P$3=""),"",IF($P$3=$AT$8,"",IF($P$3=$AT$9,"",IF($P$3=$AT$10,'Statement of Marks'!AW3,IF($P$3=$AT$11,'Statement of Marks'!BT3,IF($P$3=$AT$12,'Statement of Marks'!CQ3,IF($P$3=$AT$13,'Statement of Marks'!DP3,IF($P$3=$AT$14,"",IF($P$3=$AT$15,"","")))))))))</f>
        <v>TYPING</v>
      </c>
      <c r="V210" s="1287"/>
      <c r="W210" s="1287"/>
      <c r="X210" s="1287"/>
      <c r="Y210" s="1287"/>
      <c r="Z210" s="1287"/>
      <c r="AA210" s="1287"/>
      <c r="AB210" s="1287"/>
      <c r="AC210" s="1287"/>
      <c r="AD210" s="1287"/>
      <c r="AE210" s="1287"/>
      <c r="AF210" s="1287"/>
      <c r="AG210" s="1326"/>
      <c r="AW210" s="17" t="str">
        <f t="shared" si="58"/>
        <v/>
      </c>
      <c r="AX210" s="17" t="str">
        <f t="shared" si="59"/>
        <v/>
      </c>
      <c r="BM210" s="17" t="str">
        <f>IFERROR(VLOOKUP(B210,'Statement of Marks'!$B$8:'Statement of Marks'!$HI$207,37,0),"")</f>
        <v/>
      </c>
      <c r="BN210" s="17" t="str">
        <f>IFERROR(VLOOKUP(B210,'Statement of Marks'!$B$8:'Statement of Marks'!$HI$207,60,0),"")</f>
        <v/>
      </c>
      <c r="BO210" s="17" t="str">
        <f>IFERROR(VLOOKUP(B210,'Statement of Marks'!$B$8:'Statement of Marks'!$HI$207,83,0),"")</f>
        <v/>
      </c>
      <c r="BP210" s="17" t="str">
        <f>IFERROR(VLOOKUP(B210,'Statement of Marks'!$B$8:'Statement of Marks'!$HI$207,107,0),"")</f>
        <v/>
      </c>
    </row>
    <row r="211" spans="1:68">
      <c r="A211" s="1321"/>
      <c r="B211" s="1322"/>
      <c r="C211" s="1322"/>
      <c r="D211" s="1322"/>
      <c r="E211" s="1322"/>
      <c r="F211" s="1323"/>
      <c r="G211" s="1301" t="str">
        <f>IF('Master Sheet'!D11="Hindi","विषयाध्यापक का नाम :","Name Of Subject Teacher :")</f>
        <v>विषयाध्यापक का नाम :</v>
      </c>
      <c r="H211" s="1301"/>
      <c r="I211" s="1287" t="str">
        <f>IF(OR($E$3="",$P$3=""),"",IF($P$3=$AT$8,'Statement of Marks'!J210,IF($P$3=$AT$9,'Statement of Marks'!X210,IF($P$3=$AT$10,'Statement of Marks'!AL210,IF($P$3=$AT$11,'Statement of Marks'!BI210,IF($P$3=$AT$12,'Statement of Marks'!CF210,IF($P$3=$AT$13,'Statement of Marks'!DD210,IF($P$3=$AT$14,'Statement of Marks'!DS210,IF($P$3=$AT$15,'Statement of Marks'!EY210,"")))))))))</f>
        <v>Yogendra</v>
      </c>
      <c r="J211" s="1287"/>
      <c r="K211" s="1287"/>
      <c r="L211" s="1287"/>
      <c r="M211" s="1287"/>
      <c r="N211" s="1287"/>
      <c r="O211" s="1287" t="str">
        <f>IF(OR($E$3="",$P$3=""),"",IF($P$3=$AT$8,"",IF($P$3=$AT$9,"",IF($P$3=$AT$10,'Statement of Marks'!AQ210,IF($P$3=$AT$11,'Statement of Marks'!BN210,IF($P$3=$AT$12,'Statement of Marks'!CK210,IF($P$3=$AT$13,'Statement of Marks'!DI210,IF($P$3=$AT$14,"",IF($P$3=$AT$15,"","")))))))))</f>
        <v/>
      </c>
      <c r="P211" s="1287"/>
      <c r="Q211" s="1287"/>
      <c r="R211" s="1287"/>
      <c r="S211" s="1287"/>
      <c r="T211" s="1287"/>
      <c r="U211" s="1287" t="str">
        <f>IF(OR($E$3="",$P$3=""),"",IF($P$3=$AT$8,"",IF($P$3=$AT$9,"",IF($P$3=$AT$10,'Statement of Marks'!AV210,IF($P$3=$AT$11,'Statement of Marks'!BS210,IF($P$3=$AT$12,'Statement of Marks'!CP210,IF($P$3=$AT$13,'Statement of Marks'!DN210,IF($P$3=$AT$14,"",IF($P$3=$AT$15,"","")))))))))</f>
        <v/>
      </c>
      <c r="V211" s="1287"/>
      <c r="W211" s="1287"/>
      <c r="X211" s="1287"/>
      <c r="Y211" s="1287"/>
      <c r="Z211" s="1287"/>
      <c r="AA211" s="1287"/>
      <c r="AB211" s="1287"/>
      <c r="AC211" s="1287"/>
      <c r="AD211" s="1287"/>
      <c r="AE211" s="1287"/>
      <c r="AF211" s="1287"/>
      <c r="AG211" s="1327"/>
    </row>
    <row r="212" spans="1:68">
      <c r="A212" s="1321"/>
      <c r="B212" s="1322"/>
      <c r="C212" s="1322"/>
      <c r="D212" s="1322"/>
      <c r="E212" s="1322"/>
      <c r="F212" s="1323"/>
      <c r="G212" s="1301" t="str">
        <f>IF('Master Sheet'!D11="Hindi","परीक्षा में बैठने वाले विद्यार्थियों की संख्या :","No. of students appeared :")</f>
        <v>परीक्षा में बैठने वाले विद्यार्थियों की संख्या :</v>
      </c>
      <c r="H212" s="1301"/>
      <c r="I212" s="1288">
        <f>IF(AND(I210="",I211=""),"",IF(OR($P$3=$AT$8,$P$3=$AT$9,$P$3=$AT$14,$P$3=$AT$15),COUNTA(AE9:AE208)-COUNTIF(AE9:AE208,"RE")-COUNTIF(AE9:AE208,"AB")-COUNTIF(AE9:AE208,""),COUNTIF(K9:K208,$I$210)-COUNTIF(B8:B208,"NSO")-COUNTIF(AE8:AE208,"AB")))</f>
        <v>6</v>
      </c>
      <c r="J212" s="1288"/>
      <c r="K212" s="1288"/>
      <c r="L212" s="1288"/>
      <c r="M212" s="1288"/>
      <c r="N212" s="1288"/>
      <c r="O212" s="1288">
        <f>IF(AND(O210="",O211=""),"",COUNTIF(K9:K208,$O$210)-COUNTIF(B8:B208,"NSO")-COUNTIF(AE8:AE208,"AB"))</f>
        <v>4</v>
      </c>
      <c r="P212" s="1288"/>
      <c r="Q212" s="1288"/>
      <c r="R212" s="1288"/>
      <c r="S212" s="1288"/>
      <c r="T212" s="1288"/>
      <c r="U212" s="1288">
        <f>IF(AND(U210="",U211=""),"",COUNTIF(K9:K208,$U$210)-COUNTIF(B8:B208,"NSO")-COUNTIF(AE8:AE208,"AB"))</f>
        <v>1</v>
      </c>
      <c r="V212" s="1288"/>
      <c r="W212" s="1288"/>
      <c r="X212" s="1288"/>
      <c r="Y212" s="1288"/>
      <c r="Z212" s="1288"/>
      <c r="AA212" s="1288"/>
      <c r="AB212" s="1288"/>
      <c r="AC212" s="1288"/>
      <c r="AD212" s="1288"/>
      <c r="AE212" s="1288"/>
      <c r="AF212" s="1288"/>
      <c r="AG212" s="1327"/>
    </row>
    <row r="213" spans="1:68">
      <c r="A213" s="1321"/>
      <c r="B213" s="1322"/>
      <c r="C213" s="1322"/>
      <c r="D213" s="1322"/>
      <c r="E213" s="1322"/>
      <c r="F213" s="1323"/>
      <c r="G213" s="1301" t="str">
        <f>IF('Master Sheet'!D11="Hindi","ग्रेड :","Grade :")</f>
        <v>ग्रेड :</v>
      </c>
      <c r="H213" s="1329"/>
      <c r="I213" s="820" t="s">
        <v>74</v>
      </c>
      <c r="J213" s="820" t="s">
        <v>75</v>
      </c>
      <c r="K213" s="820" t="s">
        <v>76</v>
      </c>
      <c r="L213" s="820" t="s">
        <v>112</v>
      </c>
      <c r="M213" s="1285" t="s">
        <v>92</v>
      </c>
      <c r="N213" s="1285"/>
      <c r="O213" s="820" t="s">
        <v>74</v>
      </c>
      <c r="P213" s="820" t="s">
        <v>75</v>
      </c>
      <c r="Q213" s="820" t="s">
        <v>76</v>
      </c>
      <c r="R213" s="820" t="s">
        <v>112</v>
      </c>
      <c r="S213" s="1285" t="s">
        <v>92</v>
      </c>
      <c r="T213" s="1285"/>
      <c r="U213" s="820" t="s">
        <v>74</v>
      </c>
      <c r="V213" s="820" t="s">
        <v>75</v>
      </c>
      <c r="W213" s="820" t="s">
        <v>76</v>
      </c>
      <c r="X213" s="820"/>
      <c r="Y213" s="1285"/>
      <c r="Z213" s="1285"/>
      <c r="AA213" s="820"/>
      <c r="AB213" s="820"/>
      <c r="AC213" s="820"/>
      <c r="AD213" s="820" t="s">
        <v>112</v>
      </c>
      <c r="AE213" s="1285" t="s">
        <v>92</v>
      </c>
      <c r="AF213" s="1285"/>
      <c r="AG213" s="1327"/>
    </row>
    <row r="214" spans="1:68">
      <c r="A214" s="1321"/>
      <c r="B214" s="1322"/>
      <c r="C214" s="1322"/>
      <c r="D214" s="1322"/>
      <c r="E214" s="1322"/>
      <c r="F214" s="1323"/>
      <c r="G214" s="1301" t="str">
        <f>IF('Master Sheet'!D11="Hindi","ग्रेडवार उत्तीर्ण विद्यार्थी :","Total Passed Grade wise :")</f>
        <v>ग्रेडवार उत्तीर्ण विद्यार्थी :</v>
      </c>
      <c r="H214" s="1301"/>
      <c r="I214" s="819">
        <f>IF(AND(I210="",I211=""),"",IF(OR($P$3=$AT$8,$P$3=$AT$9,$P$3=$AT$14,$P$3=$AT$15),COUNTIFS(AF9:AF208,"I"),COUNTIFS(K9:K208,$I$210,AF9:AF208,"I")))</f>
        <v>3</v>
      </c>
      <c r="J214" s="819">
        <f>IF(AND(I210="",I211=""),"",IF(OR($P$3=$AT$8,$P$3=$AT$9,$P$3=$AT$14,$P$3=$AT$15),COUNTIFS(AF9:AF208,"II"),COUNTIFS(K9:K208,$I$210,AF9:AF208,"II")))</f>
        <v>3</v>
      </c>
      <c r="K214" s="819">
        <f>IF(AND(I210="",I211=""),"",IF(OR($P$3=$AT$8,$P$3=$AT$9,$P$3=$AT$14,$P$3=$AT$15),COUNTIFS(AF9:AF208,"III"),COUNTIFS(K9:K208,$I$210,AF9:AF208,"III")))</f>
        <v>0</v>
      </c>
      <c r="L214" s="819">
        <f>IF(AND(I210="",I211=""),"",IF(OR($P$3=$AT$8,$P$3=$AT$9,$P$3=$AT$14,$P$3=$AT$15),COUNTIFS(AF9:AF208,"G"),COUNTIFS(K9:K208,$I$210,AF9:AF208,"G")))</f>
        <v>0</v>
      </c>
      <c r="M214" s="1286">
        <f>IF(AND(I210="",I211=""),"",SUM(I214,J214,K214,L214))</f>
        <v>6</v>
      </c>
      <c r="N214" s="1286"/>
      <c r="O214" s="819">
        <f>IF(AND(O210="",O211=""),"",COUNTIFS(K9:K208,$O$210,AF9:AF208,"I"))</f>
        <v>0</v>
      </c>
      <c r="P214" s="819">
        <f>IF(AND(O210="",O211=""),"",COUNTIFS(K9:K208,$O$210,AF9:AF208,"II"))</f>
        <v>1</v>
      </c>
      <c r="Q214" s="819">
        <f>IF(AND(O210="",O211=""),"",COUNTIFS(K9:K208,$O$210,AF9:AF208,"III"))</f>
        <v>1</v>
      </c>
      <c r="R214" s="819">
        <f>IF(AND(O210="",O211=""),"",COUNTIFS(K9:K208,$O$210,AF9:AF208,"G"))</f>
        <v>2</v>
      </c>
      <c r="S214" s="1286">
        <f>IF(AND(O210="",O211=""),"",SUM(O214,P214,Q214,R214))</f>
        <v>4</v>
      </c>
      <c r="T214" s="1286"/>
      <c r="U214" s="819">
        <f>IF(AND(U210="",U211=""),"",COUNTIFS(K9:K208,$U$210,AF9:AF208,"I"))</f>
        <v>0</v>
      </c>
      <c r="V214" s="819">
        <f>IF(AND(U210="",U211=""),"",COUNTIFS(K9:K208,$U$210,AF9:AF208,"II"))</f>
        <v>1</v>
      </c>
      <c r="W214" s="819">
        <f>IF(AND(U210="",U211=""),"",COUNTIFS(K9:K208,$U$210,AF9:AF208,"III"))</f>
        <v>0</v>
      </c>
      <c r="X214" s="819"/>
      <c r="Y214" s="1286"/>
      <c r="Z214" s="1286"/>
      <c r="AA214" s="819"/>
      <c r="AB214" s="819"/>
      <c r="AC214" s="819"/>
      <c r="AD214" s="819">
        <f>IF(AND(U210="",U211=""),"",COUNTIFS(K9:K208,$U$210,AF9:AF208,"G"))</f>
        <v>0</v>
      </c>
      <c r="AE214" s="1286">
        <f>IF(AND(U210="",U211=""),"",SUM(U214,V214,W214,AD214))</f>
        <v>1</v>
      </c>
      <c r="AF214" s="1286"/>
      <c r="AG214" s="1327"/>
    </row>
    <row r="215" spans="1:68">
      <c r="A215" s="1321"/>
      <c r="B215" s="1322"/>
      <c r="C215" s="1322"/>
      <c r="D215" s="1322"/>
      <c r="E215" s="1322"/>
      <c r="F215" s="1323"/>
      <c r="G215" s="1301" t="str">
        <f>IF('Master Sheet'!D11="Hindi","कुल उत्तीर्ण प्रतिशत में  :","Total Pass  %  :")</f>
        <v>कुल उत्तीर्ण प्रतिशत में  :</v>
      </c>
      <c r="H215" s="1301"/>
      <c r="I215" s="1284">
        <f>IF(AND(I210="",I211=""),"",IF(I212=0,0,M214/I212*100))</f>
        <v>100</v>
      </c>
      <c r="J215" s="1284"/>
      <c r="K215" s="1284"/>
      <c r="L215" s="1284"/>
      <c r="M215" s="1284"/>
      <c r="N215" s="1284"/>
      <c r="O215" s="1284">
        <f>IF(AND(O210="",O211=""),"",IF(O212=0,0,S214/O212*100))</f>
        <v>100</v>
      </c>
      <c r="P215" s="1284"/>
      <c r="Q215" s="1284"/>
      <c r="R215" s="1284"/>
      <c r="S215" s="1284"/>
      <c r="T215" s="1284"/>
      <c r="U215" s="1284">
        <f>IF(AND(U210="",U211=""),"",IF(U212=0,0,AE214/U212*100))</f>
        <v>100</v>
      </c>
      <c r="V215" s="1284"/>
      <c r="W215" s="1284"/>
      <c r="X215" s="1284"/>
      <c r="Y215" s="1284"/>
      <c r="Z215" s="1284"/>
      <c r="AA215" s="1284"/>
      <c r="AB215" s="1284"/>
      <c r="AC215" s="1284"/>
      <c r="AD215" s="1284"/>
      <c r="AE215" s="1284"/>
      <c r="AF215" s="1284"/>
      <c r="AG215" s="1327"/>
    </row>
    <row r="216" spans="1:68">
      <c r="A216" s="1321"/>
      <c r="B216" s="1322"/>
      <c r="C216" s="1322"/>
      <c r="D216" s="1322"/>
      <c r="E216" s="1322"/>
      <c r="F216" s="1323"/>
      <c r="G216" s="1301" t="str">
        <f>IF('Master Sheet'!D11="Hindi","पूरक परीक्षा  :","Supplementary  :")</f>
        <v>पूरक परीक्षा  :</v>
      </c>
      <c r="H216" s="1301"/>
      <c r="I216" s="1283">
        <f>IF(AND(I210="",I211=""),"",COUNTIFS(K9:K208,$I$210,AE9:AE208,"S"))</f>
        <v>0</v>
      </c>
      <c r="J216" s="1283"/>
      <c r="K216" s="1283"/>
      <c r="L216" s="1283"/>
      <c r="M216" s="1283"/>
      <c r="N216" s="1283"/>
      <c r="O216" s="1283">
        <f>IF(AND(O210="",O211=""),"",COUNTIFS(K9:K208,$O$210,AE9:AE208,"S"))</f>
        <v>0</v>
      </c>
      <c r="P216" s="1283"/>
      <c r="Q216" s="1283"/>
      <c r="R216" s="1283"/>
      <c r="S216" s="1283"/>
      <c r="T216" s="1283"/>
      <c r="U216" s="1283">
        <f>IF(AND(U210="",U211=""),"",COUNTIFS(K9:K208,$U$210,AE9:AE208,"S"))</f>
        <v>0</v>
      </c>
      <c r="V216" s="1283"/>
      <c r="W216" s="1283"/>
      <c r="X216" s="1283"/>
      <c r="Y216" s="1283"/>
      <c r="Z216" s="1283"/>
      <c r="AA216" s="1283"/>
      <c r="AB216" s="1283"/>
      <c r="AC216" s="1283"/>
      <c r="AD216" s="1283"/>
      <c r="AE216" s="1283"/>
      <c r="AF216" s="1283"/>
      <c r="AG216" s="1327"/>
    </row>
    <row r="217" spans="1:68">
      <c r="A217" s="1321"/>
      <c r="B217" s="1322"/>
      <c r="C217" s="1322"/>
      <c r="D217" s="1322"/>
      <c r="E217" s="1322"/>
      <c r="F217" s="1323"/>
      <c r="G217" s="1330" t="str">
        <f>IF('Master Sheet'!D11="Hindi","अनुतीर्ण  :","Failed  :")</f>
        <v>अनुतीर्ण  :</v>
      </c>
      <c r="H217" s="1330"/>
      <c r="I217" s="1283">
        <f>IF(AND(I210="",I211=""),"",COUNTIFS(K9:K208,$I$210,AE9:AE208,"F"))</f>
        <v>0</v>
      </c>
      <c r="J217" s="1283"/>
      <c r="K217" s="1283"/>
      <c r="L217" s="1283"/>
      <c r="M217" s="1283"/>
      <c r="N217" s="1283"/>
      <c r="O217" s="1283">
        <f>IF(AND(O210="",O211=""),"",COUNTIFS(K9:K208,$O$210,AE9:AE208,"F"))</f>
        <v>0</v>
      </c>
      <c r="P217" s="1283"/>
      <c r="Q217" s="1283"/>
      <c r="R217" s="1283"/>
      <c r="S217" s="1283"/>
      <c r="T217" s="1283"/>
      <c r="U217" s="1283">
        <f>IF(AND(U210="",U211=""),"",COUNTIFS(K9:K208,$U$210,AE9:AE208,"F"))</f>
        <v>0</v>
      </c>
      <c r="V217" s="1283"/>
      <c r="W217" s="1283"/>
      <c r="X217" s="1283"/>
      <c r="Y217" s="1283"/>
      <c r="Z217" s="1283"/>
      <c r="AA217" s="1283"/>
      <c r="AB217" s="1283"/>
      <c r="AC217" s="1283"/>
      <c r="AD217" s="1283"/>
      <c r="AE217" s="1283"/>
      <c r="AF217" s="1283"/>
      <c r="AG217" s="1327"/>
    </row>
    <row r="218" spans="1:68">
      <c r="A218" s="1321"/>
      <c r="B218" s="1322"/>
      <c r="C218" s="1322"/>
      <c r="D218" s="1322"/>
      <c r="E218" s="1322"/>
      <c r="F218" s="1323"/>
      <c r="G218" s="1330" t="str">
        <f>IF('Master Sheet'!D11="Hindi","पुनः परीक्षा तक परिणाम रोका गया  :","Result with held until re-exam  :")</f>
        <v>पुनः परीक्षा तक परिणाम रोका गया  :</v>
      </c>
      <c r="H218" s="1330"/>
      <c r="I218" s="1283">
        <f>IF(AND(I210="",I211=""),"",COUNTIFS(K9:K208,$I$210,AE9:AE208,"RW"))</f>
        <v>0</v>
      </c>
      <c r="J218" s="1283"/>
      <c r="K218" s="1283"/>
      <c r="L218" s="1283"/>
      <c r="M218" s="1283"/>
      <c r="N218" s="1283"/>
      <c r="O218" s="1283">
        <f>IF(AND(O210="",O211=""),"",COUNTIFS(K9:K208,$O$210,AE9:AE208,"RW"))</f>
        <v>0</v>
      </c>
      <c r="P218" s="1283"/>
      <c r="Q218" s="1283"/>
      <c r="R218" s="1283"/>
      <c r="S218" s="1283"/>
      <c r="T218" s="1283"/>
      <c r="U218" s="1283">
        <f>IF(AND(U210="",U211=""),"",COUNTIFS(K9:K208,$U$210,AE9:AE208,"RW"))</f>
        <v>0</v>
      </c>
      <c r="V218" s="1283"/>
      <c r="W218" s="1283"/>
      <c r="X218" s="1283"/>
      <c r="Y218" s="1283"/>
      <c r="Z218" s="1283"/>
      <c r="AA218" s="1283"/>
      <c r="AB218" s="1283"/>
      <c r="AC218" s="1283"/>
      <c r="AD218" s="1283"/>
      <c r="AE218" s="1283"/>
      <c r="AF218" s="1283"/>
      <c r="AG218" s="1327"/>
    </row>
    <row r="219" spans="1:68">
      <c r="A219" s="1321"/>
      <c r="B219" s="1322"/>
      <c r="C219" s="1322"/>
      <c r="D219" s="1322"/>
      <c r="E219" s="1322"/>
      <c r="F219" s="1323"/>
      <c r="G219" s="1301" t="str">
        <f>IF('Master Sheet'!D11="Hindi","अनुपस्थिति  :","Absence  :")</f>
        <v>अनुपस्थिति  :</v>
      </c>
      <c r="H219" s="1301"/>
      <c r="I219" s="1283">
        <f>IF(AND(I210="",I211=""),"",COUNTIFS(K9:K208,$I$210,AE9:AE208,"AB"))</f>
        <v>0</v>
      </c>
      <c r="J219" s="1283"/>
      <c r="K219" s="1283"/>
      <c r="L219" s="1283"/>
      <c r="M219" s="1283"/>
      <c r="N219" s="1283"/>
      <c r="O219" s="1283">
        <f>IF(AND(O210="",O211=""),"",COUNTIFS(K9:K208,$O$210,AE9:AE208,"AB"))</f>
        <v>0</v>
      </c>
      <c r="P219" s="1283"/>
      <c r="Q219" s="1283"/>
      <c r="R219" s="1283"/>
      <c r="S219" s="1283"/>
      <c r="T219" s="1283"/>
      <c r="U219" s="1283">
        <f>IF(AND(U210="",U211=""),"",COUNTIFS(K9:K208,$U$210,AE9:AE208,"AB"))</f>
        <v>0</v>
      </c>
      <c r="V219" s="1283"/>
      <c r="W219" s="1283"/>
      <c r="X219" s="1283"/>
      <c r="Y219" s="1283"/>
      <c r="Z219" s="1283"/>
      <c r="AA219" s="1283"/>
      <c r="AB219" s="1283"/>
      <c r="AC219" s="1283"/>
      <c r="AD219" s="1283"/>
      <c r="AE219" s="1283"/>
      <c r="AF219" s="1283"/>
      <c r="AG219" s="1327"/>
    </row>
    <row r="220" spans="1:68">
      <c r="A220" s="1321"/>
      <c r="B220" s="1322"/>
      <c r="C220" s="1322"/>
      <c r="D220" s="1322"/>
      <c r="E220" s="1322"/>
      <c r="F220" s="1323"/>
      <c r="G220" s="1301" t="str">
        <f>IF('Master Sheet'!D11="Hindi","नाम पृथक विद्यार्थियों की संख्या  :","N.S.O. Students :")</f>
        <v>नाम पृथक विद्यार्थियों की संख्या  :</v>
      </c>
      <c r="H220" s="1301"/>
      <c r="I220" s="1283">
        <f>IF(AND(I210="",I211=""),"",COUNTIFS(K9:K208,$I$210,AE9:AE208,"NSO"))</f>
        <v>0</v>
      </c>
      <c r="J220" s="1283"/>
      <c r="K220" s="1283"/>
      <c r="L220" s="1283"/>
      <c r="M220" s="1283"/>
      <c r="N220" s="1283"/>
      <c r="O220" s="1283">
        <f>IF(AND(O210="",O211=""),"",COUNTIFS(K9:K208,$O$210,AE9:AE208,"NSO"))</f>
        <v>0</v>
      </c>
      <c r="P220" s="1283"/>
      <c r="Q220" s="1283"/>
      <c r="R220" s="1283"/>
      <c r="S220" s="1283"/>
      <c r="T220" s="1283"/>
      <c r="U220" s="1283">
        <f>IF(AND(U210="",U211=""),"",COUNTIFS(K9:K208,$U$210,AE9:AE208,"NSO"))</f>
        <v>0</v>
      </c>
      <c r="V220" s="1283"/>
      <c r="W220" s="1283"/>
      <c r="X220" s="1283"/>
      <c r="Y220" s="1283"/>
      <c r="Z220" s="1283"/>
      <c r="AA220" s="1283"/>
      <c r="AB220" s="1283"/>
      <c r="AC220" s="1283"/>
      <c r="AD220" s="1283"/>
      <c r="AE220" s="1283"/>
      <c r="AF220" s="1283"/>
      <c r="AG220" s="1327"/>
    </row>
    <row r="221" spans="1:68">
      <c r="A221" s="1324"/>
      <c r="B221" s="1325"/>
      <c r="C221" s="1325"/>
      <c r="D221" s="1325"/>
      <c r="E221" s="1325"/>
      <c r="F221" s="1325"/>
      <c r="G221" s="1301" t="str">
        <f>IF('Master Sheet'!D11="Hindi","पुनः परीक्षा वाले विद्यार्थियों की संख्या  :","No. of students for re-exam. :")</f>
        <v>पुनः परीक्षा वाले विद्यार्थियों की संख्या  :</v>
      </c>
      <c r="H221" s="1301"/>
      <c r="I221" s="1283">
        <f>IF(AND(I210="",I211=""),"",COUNTIFS(K9:K208,$I$210,AE9:AE208,"RE"))</f>
        <v>0</v>
      </c>
      <c r="J221" s="1283"/>
      <c r="K221" s="1283"/>
      <c r="L221" s="1283"/>
      <c r="M221" s="1283"/>
      <c r="N221" s="1283"/>
      <c r="O221" s="1283">
        <f>IF(AND(O210="",O211=""),"",COUNTIFS(K9:K208,$O$210,AE9:AE208,"RE"))</f>
        <v>0</v>
      </c>
      <c r="P221" s="1283"/>
      <c r="Q221" s="1283"/>
      <c r="R221" s="1283"/>
      <c r="S221" s="1283"/>
      <c r="T221" s="1283"/>
      <c r="U221" s="1283">
        <f>IF(AND(U210="",U211=""),"",COUNTIFS(K9:K208,$U$210,AE9:AE208,"RE"))</f>
        <v>0</v>
      </c>
      <c r="V221" s="1283"/>
      <c r="W221" s="1283"/>
      <c r="X221" s="1283"/>
      <c r="Y221" s="1283"/>
      <c r="Z221" s="1283"/>
      <c r="AA221" s="1283"/>
      <c r="AB221" s="1283"/>
      <c r="AC221" s="1283"/>
      <c r="AD221" s="1283"/>
      <c r="AE221" s="1283"/>
      <c r="AF221" s="1283"/>
      <c r="AG221" s="1328"/>
    </row>
  </sheetData>
  <sheetProtection password="D1E2" sheet="1" objects="1" scenarios="1" formatColumns="0" formatRows="0"/>
  <protectedRanges>
    <protectedRange password="EA02" sqref="P6:R6 O5:R5 S5:V6 L5:N6 R8:U8 L7:V7 S9:U208 V8:V208 O8:O208" name="mark sheet"/>
  </protectedRanges>
  <mergeCells count="84">
    <mergeCell ref="G216:H216"/>
    <mergeCell ref="G217:H217"/>
    <mergeCell ref="G5:G8"/>
    <mergeCell ref="H5:H8"/>
    <mergeCell ref="G218:H218"/>
    <mergeCell ref="G219:H219"/>
    <mergeCell ref="A209:AG209"/>
    <mergeCell ref="A210:F221"/>
    <mergeCell ref="G210:H210"/>
    <mergeCell ref="AG210:AG221"/>
    <mergeCell ref="G211:H211"/>
    <mergeCell ref="G212:H212"/>
    <mergeCell ref="G213:H213"/>
    <mergeCell ref="G214:H214"/>
    <mergeCell ref="G215:H215"/>
    <mergeCell ref="M213:N213"/>
    <mergeCell ref="M214:N214"/>
    <mergeCell ref="S213:T213"/>
    <mergeCell ref="S214:T214"/>
    <mergeCell ref="G220:H220"/>
    <mergeCell ref="U215:AF215"/>
    <mergeCell ref="G221:H221"/>
    <mergeCell ref="AJ10:AO10"/>
    <mergeCell ref="S5:S6"/>
    <mergeCell ref="W5:W6"/>
    <mergeCell ref="X5:X6"/>
    <mergeCell ref="AC5:AC6"/>
    <mergeCell ref="AD5:AD6"/>
    <mergeCell ref="T5:V5"/>
    <mergeCell ref="AE5:AE6"/>
    <mergeCell ref="AF5:AF6"/>
    <mergeCell ref="AG5:AG6"/>
    <mergeCell ref="AJ5:AN6"/>
    <mergeCell ref="AJ8:AO9"/>
    <mergeCell ref="L5:O5"/>
    <mergeCell ref="I5:I8"/>
    <mergeCell ref="J5:J8"/>
    <mergeCell ref="P5:R5"/>
    <mergeCell ref="A1:AG1"/>
    <mergeCell ref="A2:AG2"/>
    <mergeCell ref="B3:D3"/>
    <mergeCell ref="C5:C8"/>
    <mergeCell ref="I3:L3"/>
    <mergeCell ref="M3:O3"/>
    <mergeCell ref="P3:AG3"/>
    <mergeCell ref="K5:K8"/>
    <mergeCell ref="A5:A8"/>
    <mergeCell ref="B5:B8"/>
    <mergeCell ref="D5:D8"/>
    <mergeCell ref="E5:E8"/>
    <mergeCell ref="F5:F8"/>
    <mergeCell ref="Y213:Z213"/>
    <mergeCell ref="AE213:AF213"/>
    <mergeCell ref="Y214:Z214"/>
    <mergeCell ref="AE214:AF214"/>
    <mergeCell ref="I210:N210"/>
    <mergeCell ref="I211:N211"/>
    <mergeCell ref="I212:N212"/>
    <mergeCell ref="O210:T210"/>
    <mergeCell ref="O211:T211"/>
    <mergeCell ref="O212:T212"/>
    <mergeCell ref="U210:AF210"/>
    <mergeCell ref="U211:AF211"/>
    <mergeCell ref="U212:AF212"/>
    <mergeCell ref="I221:N221"/>
    <mergeCell ref="O215:T215"/>
    <mergeCell ref="O216:T216"/>
    <mergeCell ref="O217:T217"/>
    <mergeCell ref="O218:T218"/>
    <mergeCell ref="O219:T219"/>
    <mergeCell ref="O220:T220"/>
    <mergeCell ref="O221:T221"/>
    <mergeCell ref="I216:N216"/>
    <mergeCell ref="I217:N217"/>
    <mergeCell ref="I218:N218"/>
    <mergeCell ref="I219:N219"/>
    <mergeCell ref="I220:N220"/>
    <mergeCell ref="I215:N215"/>
    <mergeCell ref="U221:AF221"/>
    <mergeCell ref="U216:AF216"/>
    <mergeCell ref="U217:AF217"/>
    <mergeCell ref="U218:AF218"/>
    <mergeCell ref="U219:AF219"/>
    <mergeCell ref="U220:AF220"/>
  </mergeCells>
  <conditionalFormatting sqref="T9:V208">
    <cfRule type="containsText" dxfId="180" priority="12" stopIfTrue="1" operator="containsText" text="OBC">
      <formula>NOT(ISERROR(SEARCH("OBC",T9)))</formula>
    </cfRule>
    <cfRule type="containsText" dxfId="179" priority="13" stopIfTrue="1" operator="containsText" text="ST">
      <formula>NOT(ISERROR(SEARCH("ST",T9)))</formula>
    </cfRule>
    <cfRule type="containsText" dxfId="178" priority="14" stopIfTrue="1" operator="containsText" text="SC">
      <formula>NOT(ISERROR(SEARCH("SC",T9)))</formula>
    </cfRule>
  </conditionalFormatting>
  <conditionalFormatting sqref="T9:V208">
    <cfRule type="expression" dxfId="177" priority="10">
      <formula>T9="F"</formula>
    </cfRule>
    <cfRule type="expression" dxfId="176" priority="11">
      <formula>T9="M"</formula>
    </cfRule>
  </conditionalFormatting>
  <conditionalFormatting sqref="O215">
    <cfRule type="containsText" dxfId="175" priority="2" stopIfTrue="1" operator="containsText" text="His">
      <formula>NOT(ISERROR(SEARCH("His",O215)))</formula>
    </cfRule>
    <cfRule type="containsText" dxfId="174" priority="3" stopIfTrue="1" operator="containsText" text="ACC">
      <formula>NOT(ISERROR(SEARCH("ACC",O215)))</formula>
    </cfRule>
    <cfRule type="containsText" dxfId="173" priority="4" stopIfTrue="1" operator="containsText" text="SC">
      <formula>NOT(ISERROR(SEARCH("SC",O215)))</formula>
    </cfRule>
  </conditionalFormatting>
  <conditionalFormatting sqref="I9:I208">
    <cfRule type="containsText" dxfId="172" priority="22" stopIfTrue="1" operator="containsText" text="OBC">
      <formula>NOT(ISERROR(SEARCH("OBC",I9)))</formula>
    </cfRule>
    <cfRule type="containsText" dxfId="171" priority="23" stopIfTrue="1" operator="containsText" text="GEN">
      <formula>NOT(ISERROR(SEARCH("GEN",I9)))</formula>
    </cfRule>
    <cfRule type="containsText" dxfId="170" priority="24" stopIfTrue="1" operator="containsText" text="SC">
      <formula>NOT(ISERROR(SEARCH("SC",I9)))</formula>
    </cfRule>
    <cfRule type="cellIs" dxfId="169" priority="1" stopIfTrue="1" operator="equal">
      <formula>"ST"</formula>
    </cfRule>
  </conditionalFormatting>
  <conditionalFormatting sqref="J9:J208">
    <cfRule type="cellIs" dxfId="168" priority="20" stopIfTrue="1" operator="equal">
      <formula>"M"</formula>
    </cfRule>
    <cfRule type="cellIs" dxfId="167" priority="21" stopIfTrue="1" operator="equal">
      <formula>"F"</formula>
    </cfRule>
  </conditionalFormatting>
  <conditionalFormatting sqref="AE9:AE208">
    <cfRule type="containsText" dxfId="166" priority="15" stopIfTrue="1" operator="containsText" text="G">
      <formula>NOT(ISERROR(SEARCH("G",AE9)))</formula>
    </cfRule>
    <cfRule type="containsText" dxfId="165" priority="16" stopIfTrue="1" operator="containsText" text="S">
      <formula>NOT(ISERROR(SEARCH("S",AE9)))</formula>
    </cfRule>
    <cfRule type="containsText" dxfId="164" priority="17" stopIfTrue="1" operator="containsText" text="D">
      <formula>NOT(ISERROR(SEARCH("D",AE9)))</formula>
    </cfRule>
    <cfRule type="containsText" dxfId="163" priority="18" stopIfTrue="1" operator="containsText" text="F">
      <formula>NOT(ISERROR(SEARCH("F",AE9)))</formula>
    </cfRule>
  </conditionalFormatting>
  <dataValidations count="1">
    <dataValidation type="list" allowBlank="1" showInputMessage="1" showErrorMessage="1" sqref="P3">
      <formula1>subject5</formula1>
    </dataValidation>
  </dataValidations>
  <pageMargins left="0.45" right="0.2" top="0.25" bottom="0.25" header="0.3" footer="0.3"/>
  <pageSetup paperSize="9" scale="70" fitToHeight="6" orientation="landscape" r:id="rId1"/>
</worksheet>
</file>

<file path=xl/worksheets/sheet7.xml><?xml version="1.0" encoding="utf-8"?>
<worksheet xmlns="http://schemas.openxmlformats.org/spreadsheetml/2006/main" xmlns:r="http://schemas.openxmlformats.org/officeDocument/2006/relationships">
  <sheetPr codeName="Sheet6"/>
  <dimension ref="A1:AW220"/>
  <sheetViews>
    <sheetView showGridLines="0" workbookViewId="0">
      <selection activeCell="AC18" sqref="AC18"/>
    </sheetView>
  </sheetViews>
  <sheetFormatPr defaultColWidth="0" defaultRowHeight="15" zeroHeight="1"/>
  <cols>
    <col min="1" max="1" width="4" style="17" customWidth="1"/>
    <col min="2" max="2" width="6.625" style="17" customWidth="1"/>
    <col min="3" max="3" width="6.375" style="17" customWidth="1"/>
    <col min="4" max="4" width="10.125" style="17" customWidth="1"/>
    <col min="5" max="5" width="17.875" style="17" customWidth="1"/>
    <col min="6" max="6" width="17.125" style="17" customWidth="1"/>
    <col min="7" max="7" width="17.375" style="17" customWidth="1"/>
    <col min="8" max="8" width="12.875" style="17" customWidth="1"/>
    <col min="9" max="9" width="5.25" style="17" customWidth="1"/>
    <col min="10" max="10" width="8.875" style="17" customWidth="1"/>
    <col min="11" max="11" width="4.25" style="17" customWidth="1"/>
    <col min="12" max="16" width="4.75" style="17" customWidth="1"/>
    <col min="17" max="18" width="5.25" style="17" customWidth="1"/>
    <col min="19" max="19" width="26.75" style="17" customWidth="1"/>
    <col min="20" max="20" width="5.25" style="17" customWidth="1"/>
    <col min="21" max="21" width="4.75" style="17" customWidth="1"/>
    <col min="22" max="22" width="5.75" style="17" customWidth="1"/>
    <col min="23" max="27" width="4.75" style="17" customWidth="1"/>
    <col min="28" max="28" width="6.25" style="17" customWidth="1"/>
    <col min="29" max="30" width="4.75" style="17" customWidth="1"/>
    <col min="31" max="31" width="5.75" style="17" customWidth="1"/>
    <col min="32" max="32" width="5" style="17" customWidth="1"/>
    <col min="33" max="33" width="4.75" style="17" customWidth="1"/>
    <col min="34" max="34" width="5.75" style="17" customWidth="1"/>
    <col min="35" max="38" width="5.25" style="17" customWidth="1"/>
    <col min="39" max="39" width="5.125" style="17" customWidth="1"/>
    <col min="40" max="43" width="4.75" style="17" customWidth="1"/>
    <col min="44" max="44" width="5.375" style="17" customWidth="1"/>
    <col min="45" max="45" width="9.75" style="17" customWidth="1"/>
    <col min="46" max="46" width="7.25" style="17" customWidth="1"/>
    <col min="47" max="47" width="5.625" style="17" customWidth="1"/>
    <col min="48" max="48" width="8.75" style="17" customWidth="1"/>
    <col min="49" max="49" width="0" style="17" hidden="1" customWidth="1"/>
    <col min="50" max="16384" width="9.125" style="17" hidden="1"/>
  </cols>
  <sheetData>
    <row r="1" spans="1:48" ht="28.5" customHeight="1">
      <c r="A1" s="1407" t="str">
        <f>IF('Master Sheet'!D11="Hindi",CONCATENATE("विद्यालय का नाम :-","  ",'Master Sheet'!D8),CONCATENATE("School Name :-","  ",'Master Sheet'!D7))</f>
        <v xml:space="preserve">विद्यालय का नाम :-  महात्मा गाँधी राजकीय विद्यालय (अंग्रेजी माध्यम) बर, पाली </v>
      </c>
      <c r="B1" s="1407"/>
      <c r="C1" s="1407"/>
      <c r="D1" s="1407"/>
      <c r="E1" s="1407"/>
      <c r="F1" s="1407"/>
      <c r="G1" s="1407"/>
      <c r="H1" s="1407"/>
      <c r="I1" s="1407"/>
      <c r="J1" s="1407"/>
      <c r="K1" s="1408"/>
      <c r="L1" s="1408"/>
      <c r="M1" s="1408"/>
      <c r="N1" s="1408"/>
      <c r="O1" s="1408"/>
      <c r="P1" s="1408"/>
      <c r="Q1" s="1408"/>
      <c r="R1" s="1408"/>
      <c r="S1" s="1408"/>
      <c r="T1" s="1406" t="str">
        <f>IF('Master Sheet'!D11="Hindi","पूरक परीक्षा के अंको की एंट्री","Supplementary Exam Marks Entry")</f>
        <v>पूरक परीक्षा के अंको की एंट्री</v>
      </c>
      <c r="U1" s="1406"/>
      <c r="V1" s="1406"/>
      <c r="W1" s="1406"/>
      <c r="X1" s="1406"/>
      <c r="Y1" s="1406"/>
      <c r="Z1" s="1406"/>
      <c r="AA1" s="1406"/>
      <c r="AB1" s="1406"/>
      <c r="AC1" s="1406"/>
      <c r="AD1" s="1406"/>
      <c r="AE1" s="1406"/>
      <c r="AF1" s="1406"/>
      <c r="AG1" s="1406"/>
      <c r="AH1" s="1406"/>
      <c r="AI1" s="1406"/>
      <c r="AJ1" s="1406"/>
      <c r="AK1" s="1406"/>
      <c r="AL1" s="1406"/>
      <c r="AM1" s="1406"/>
      <c r="AN1" s="1406"/>
      <c r="AO1" s="1406"/>
      <c r="AP1" s="1406"/>
      <c r="AQ1" s="1406"/>
      <c r="AR1" s="1406"/>
      <c r="AS1" s="1406"/>
      <c r="AT1" s="1406"/>
      <c r="AU1" s="651"/>
    </row>
    <row r="2" spans="1:48" ht="24.75" customHeight="1">
      <c r="A2" s="1409" t="str">
        <f>IF('Master Sheet'!$D$11="Hindi","कक्षा :-","Class :-")</f>
        <v>कक्षा :-</v>
      </c>
      <c r="B2" s="1410"/>
      <c r="C2" s="1397">
        <f>IF('Marks Entry'!H2="","",'Marks Entry'!H2)</f>
        <v>11</v>
      </c>
      <c r="D2" s="1400" t="str">
        <f>IF('Master Sheet'!$D$11="Hindi","संकाय :-","Faculty :-")</f>
        <v>संकाय :-</v>
      </c>
      <c r="E2" s="1403" t="str">
        <f>IF('Marks Entry'!H3="","",'Marks Entry'!H3)</f>
        <v>Arts</v>
      </c>
      <c r="F2" s="1337" t="str">
        <f>IF('Master Sheet'!$D$11="Hindi","सत्र :-","Session :-")</f>
        <v>सत्र :-</v>
      </c>
      <c r="G2" s="1394" t="str">
        <f>'Marks Entry'!H1</f>
        <v>2025-2026</v>
      </c>
      <c r="H2" s="655"/>
      <c r="I2" s="655"/>
      <c r="J2" s="656"/>
      <c r="K2" s="1349" t="str">
        <f>IF('Master Sheet'!D11="Hindi","मुख्य परीक्षा विषयवार परिणाम ","Main Exam Subject wise Result")</f>
        <v xml:space="preserve">मुख्य परीक्षा विषयवार परिणाम </v>
      </c>
      <c r="L2" s="1350"/>
      <c r="M2" s="1350"/>
      <c r="N2" s="1350"/>
      <c r="O2" s="1350"/>
      <c r="P2" s="1350"/>
      <c r="Q2" s="1350"/>
      <c r="R2" s="1351"/>
      <c r="S2" s="1415" t="str">
        <f>IF('Master Sheet'!D11="Hindi","पूरक परीक्षा के विषय","Supplementary Exam Subject")</f>
        <v>पूरक परीक्षा के विषय</v>
      </c>
      <c r="T2" s="1416" t="str">
        <f>IF('Master Sheet'!D11="Hindi","पूरक परीक्षा के विषयों की संख्या","Total No. of Supplementary Subjects")</f>
        <v>पूरक परीक्षा के विषयों की संख्या</v>
      </c>
      <c r="U2" s="1419" t="str">
        <f>'Statement of Marks'!J3</f>
        <v>Com. Hindi</v>
      </c>
      <c r="V2" s="1420"/>
      <c r="W2" s="1420"/>
      <c r="X2" s="1420" t="str">
        <f>'Statement of Marks'!X3</f>
        <v>Com. English</v>
      </c>
      <c r="Y2" s="1420"/>
      <c r="Z2" s="1420"/>
      <c r="AA2" s="1332" t="str">
        <f>'Statement of Marks'!AL3</f>
        <v>POLITICAL SCIENCE</v>
      </c>
      <c r="AB2" s="1333"/>
      <c r="AC2" s="1333"/>
      <c r="AD2" s="1332" t="str">
        <f>'Statement of Marks'!BI3</f>
        <v>HISTORY</v>
      </c>
      <c r="AE2" s="1333"/>
      <c r="AF2" s="1333"/>
      <c r="AG2" s="1332" t="str">
        <f>'Statement of Marks'!CF3</f>
        <v>GEOGRAPHY</v>
      </c>
      <c r="AH2" s="1333"/>
      <c r="AI2" s="1333"/>
      <c r="AJ2" s="1332" t="str">
        <f>'Statement of Marks'!DD3</f>
        <v/>
      </c>
      <c r="AK2" s="1333"/>
      <c r="AL2" s="1333"/>
      <c r="AM2" s="1343" t="str">
        <f>'Statement of Marks'!EC4</f>
        <v>जीवन कौशल</v>
      </c>
      <c r="AN2" s="1344"/>
      <c r="AO2" s="1343" t="str">
        <f>'Statement of Marks'!EY3</f>
        <v xml:space="preserve">आजादी के बाद का स्वर्णिम भारत </v>
      </c>
      <c r="AP2" s="1344"/>
      <c r="AQ2" s="1334" t="str">
        <f>IF('Master Sheet'!D11="Hindi","पूरक/पुनः परीक्षा के कुल विषय","Supp. / Re-exam Marks Number of Subjects Entered")</f>
        <v>पूरक/पुनः परीक्षा के कुल विषय</v>
      </c>
      <c r="AR2" s="1334" t="str">
        <f>IF('Master Sheet'!D11="Hindi","पूरक/पुनः परीक्षा में उतीर्ण कुल विषय","No. of Subjects Passed in Supp. / Re-exam")</f>
        <v>पूरक/पुनः परीक्षा में उतीर्ण कुल विषय</v>
      </c>
      <c r="AS2" s="1364" t="str">
        <f>IF('Master Sheet'!D11="Hindi","पूरक/पुनः परीक्षा का परिणाम","Supp. / Re-exam Result")</f>
        <v>पूरक/पुनः परीक्षा का परिणाम</v>
      </c>
      <c r="AT2" s="1365"/>
      <c r="AU2" s="1366"/>
    </row>
    <row r="3" spans="1:48" ht="24.75" customHeight="1">
      <c r="A3" s="1411"/>
      <c r="B3" s="1412"/>
      <c r="C3" s="1398"/>
      <c r="D3" s="1401"/>
      <c r="E3" s="1404"/>
      <c r="F3" s="1338"/>
      <c r="G3" s="1395"/>
      <c r="H3" s="657"/>
      <c r="I3" s="657"/>
      <c r="J3" s="658"/>
      <c r="K3" s="1352"/>
      <c r="L3" s="1353"/>
      <c r="M3" s="1353"/>
      <c r="N3" s="1353"/>
      <c r="O3" s="1353"/>
      <c r="P3" s="1353"/>
      <c r="Q3" s="1353"/>
      <c r="R3" s="1354"/>
      <c r="S3" s="1415"/>
      <c r="T3" s="1417"/>
      <c r="U3" s="1421"/>
      <c r="V3" s="1422"/>
      <c r="W3" s="1422"/>
      <c r="X3" s="1422"/>
      <c r="Y3" s="1422"/>
      <c r="Z3" s="1422"/>
      <c r="AA3" s="1332" t="str">
        <f>'Statement of Marks'!AR3</f>
        <v>BIOLOGY</v>
      </c>
      <c r="AB3" s="1333"/>
      <c r="AC3" s="1333"/>
      <c r="AD3" s="1332" t="str">
        <f>'Statement of Marks'!BO3</f>
        <v>ACCOUNTANCY</v>
      </c>
      <c r="AE3" s="1333"/>
      <c r="AF3" s="1333"/>
      <c r="AG3" s="1332" t="str">
        <f>'Statement of Marks'!CL3</f>
        <v>HOME SCIENCE</v>
      </c>
      <c r="AH3" s="1333"/>
      <c r="AI3" s="1333"/>
      <c r="AJ3" s="1332" t="str">
        <f>'Statement of Marks'!DK3</f>
        <v/>
      </c>
      <c r="AK3" s="1333"/>
      <c r="AL3" s="1333"/>
      <c r="AM3" s="1345"/>
      <c r="AN3" s="1346"/>
      <c r="AO3" s="1345"/>
      <c r="AP3" s="1346"/>
      <c r="AQ3" s="1335"/>
      <c r="AR3" s="1335"/>
      <c r="AS3" s="1367"/>
      <c r="AT3" s="1368"/>
      <c r="AU3" s="1369"/>
    </row>
    <row r="4" spans="1:48" s="292" customFormat="1" ht="27" customHeight="1">
      <c r="A4" s="1413"/>
      <c r="B4" s="1414"/>
      <c r="C4" s="1399"/>
      <c r="D4" s="1402"/>
      <c r="E4" s="1405"/>
      <c r="F4" s="1339"/>
      <c r="G4" s="1396"/>
      <c r="H4" s="659"/>
      <c r="I4" s="659"/>
      <c r="J4" s="660"/>
      <c r="K4" s="1355"/>
      <c r="L4" s="1356"/>
      <c r="M4" s="1356"/>
      <c r="N4" s="1356"/>
      <c r="O4" s="1356"/>
      <c r="P4" s="1356"/>
      <c r="Q4" s="1356"/>
      <c r="R4" s="1357"/>
      <c r="S4" s="1415"/>
      <c r="T4" s="1417"/>
      <c r="U4" s="1423"/>
      <c r="V4" s="1424"/>
      <c r="W4" s="1424"/>
      <c r="X4" s="1424"/>
      <c r="Y4" s="1424"/>
      <c r="Z4" s="1424"/>
      <c r="AA4" s="1332" t="str">
        <f>'Statement of Marks'!AW3</f>
        <v/>
      </c>
      <c r="AB4" s="1333"/>
      <c r="AC4" s="1333"/>
      <c r="AD4" s="1332" t="str">
        <f>'Statement of Marks'!BT3</f>
        <v>ECONOMICS</v>
      </c>
      <c r="AE4" s="1333"/>
      <c r="AF4" s="1333"/>
      <c r="AG4" s="1332" t="str">
        <f>'Statement of Marks'!CQ3</f>
        <v>TYPING</v>
      </c>
      <c r="AH4" s="1333"/>
      <c r="AI4" s="1333"/>
      <c r="AJ4" s="1332" t="str">
        <f>'Statement of Marks'!DP3</f>
        <v/>
      </c>
      <c r="AK4" s="1333"/>
      <c r="AL4" s="1333"/>
      <c r="AM4" s="1347"/>
      <c r="AN4" s="1348"/>
      <c r="AO4" s="1347"/>
      <c r="AP4" s="1348"/>
      <c r="AQ4" s="1335"/>
      <c r="AR4" s="1335"/>
      <c r="AS4" s="1370"/>
      <c r="AT4" s="1371"/>
      <c r="AU4" s="1372"/>
    </row>
    <row r="5" spans="1:48" s="292" customFormat="1" ht="90.75" customHeight="1">
      <c r="A5" s="1373" t="str">
        <f>IF('Statement of Marks'!A4="","",'Statement of Marks'!A4)</f>
        <v xml:space="preserve">क्रमांक </v>
      </c>
      <c r="B5" s="1373" t="str">
        <f>IF('Statement of Marks'!B4="","",'Statement of Marks'!B4)</f>
        <v xml:space="preserve">नामांक
Roll No. </v>
      </c>
      <c r="C5" s="1373" t="str">
        <f>IF('Statement of Marks'!C4="","",'Statement of Marks'!C4)</f>
        <v xml:space="preserve">प्रवेशांक
SR. No. </v>
      </c>
      <c r="D5" s="1373" t="str">
        <f>IF('Statement of Marks'!D4="","",'Statement of Marks'!D4)</f>
        <v>जन्मतिथि 
Date of Birth</v>
      </c>
      <c r="E5" s="1341" t="str">
        <f>IF('Statement of Marks'!E4="","",'Statement of Marks'!E4)</f>
        <v>विद्यार्थी का नाम   Name of student</v>
      </c>
      <c r="F5" s="1341" t="str">
        <f>IF('Statement of Marks'!F4="","",'Statement of Marks'!F4)</f>
        <v>पिता का नाम   Father's Name</v>
      </c>
      <c r="G5" s="1341" t="str">
        <f>IF('Statement of Marks'!G4="","",'Statement of Marks'!G4)</f>
        <v>माता का नाम   Mother's Name</v>
      </c>
      <c r="H5" s="1342" t="str">
        <f>IF('Master Sheet'!D11="Hindi","मुख्य परीक्षा परिणाम ","Main Exam Result")</f>
        <v xml:space="preserve">मुख्य परीक्षा परिणाम </v>
      </c>
      <c r="I5" s="1375" t="str">
        <f>IF('Master Sheet'!D11="Hindi","श्रेणी","Division")</f>
        <v>श्रेणी</v>
      </c>
      <c r="J5" s="1377" t="str">
        <f>IF('Master Sheet'!D11="Hindi","प्राप्तांक प्रतिशत","Optained Percentage %")</f>
        <v>प्राप्तांक प्रतिशत</v>
      </c>
      <c r="K5" s="1331" t="str">
        <f>'Statement of Marks'!J3</f>
        <v>Com. Hindi</v>
      </c>
      <c r="L5" s="1331" t="str">
        <f>'Statement of Marks'!X3</f>
        <v>Com. English</v>
      </c>
      <c r="M5" s="1331" t="str">
        <f>'Statement of Marks'!AL2</f>
        <v>Optional Subject - 01</v>
      </c>
      <c r="N5" s="1331" t="str">
        <f>'Statement of Marks'!BI2</f>
        <v>Optional Subject - 02</v>
      </c>
      <c r="O5" s="1331" t="str">
        <f>'Statement of Marks'!CF2</f>
        <v>Optional Subject - 03</v>
      </c>
      <c r="P5" s="1331" t="str">
        <f>'Statement of Marks'!DD2</f>
        <v>Additional Sub. / Vocational  Subject</v>
      </c>
      <c r="Q5" s="1358" t="str">
        <f>'Statement of Marks'!DS209</f>
        <v>जीवन कौशल</v>
      </c>
      <c r="R5" s="1358" t="str">
        <f>'Statement of Marks'!EY3</f>
        <v xml:space="preserve">आजादी के बाद का स्वर्णिम भारत </v>
      </c>
      <c r="S5" s="1415"/>
      <c r="T5" s="1418"/>
      <c r="U5" s="617" t="str">
        <f>IF('Master Sheet'!D11="Hindi","प्राप्तांक","Marks Obtained")</f>
        <v>प्राप्तांक</v>
      </c>
      <c r="V5" s="617" t="str">
        <f>IF('Master Sheet'!D11="Hindi","जोड़े जाने वाले अंक","Marks to be Added")</f>
        <v>जोड़े जाने वाले अंक</v>
      </c>
      <c r="W5" s="617" t="str">
        <f>IF('Master Sheet'!D11="Hindi","विषय परिणाम","Subject Result")</f>
        <v>विषय परिणाम</v>
      </c>
      <c r="X5" s="617" t="str">
        <f>IF('Master Sheet'!D11="Hindi","प्राप्तांक","Marks Obtained")</f>
        <v>प्राप्तांक</v>
      </c>
      <c r="Y5" s="617" t="str">
        <f>IF('Master Sheet'!D11="Hindi","जोड़े जाने वाले अंक","Marks to be Added")</f>
        <v>जोड़े जाने वाले अंक</v>
      </c>
      <c r="Z5" s="617" t="str">
        <f>IF('Master Sheet'!D11="Hindi","विषय परिणाम","Subject Result")</f>
        <v>विषय परिणाम</v>
      </c>
      <c r="AA5" s="617" t="str">
        <f>IF('Master Sheet'!D11="Hindi","प्राप्तांक","Marks Obtained")</f>
        <v>प्राप्तांक</v>
      </c>
      <c r="AB5" s="617" t="str">
        <f>IF('Master Sheet'!D11="Hindi","जोड़े जाने वाले अंक","Marks to be Added")</f>
        <v>जोड़े जाने वाले अंक</v>
      </c>
      <c r="AC5" s="617" t="str">
        <f>IF('Master Sheet'!D11="Hindi","विषय परिणाम","Subject Result")</f>
        <v>विषय परिणाम</v>
      </c>
      <c r="AD5" s="617" t="str">
        <f>IF('Master Sheet'!D11="Hindi","प्राप्तांक","Marks Obtained")</f>
        <v>प्राप्तांक</v>
      </c>
      <c r="AE5" s="617" t="str">
        <f>IF('Master Sheet'!D11="Hindi","जोड़े जाने वाले अंक","Marks to be Added")</f>
        <v>जोड़े जाने वाले अंक</v>
      </c>
      <c r="AF5" s="617" t="str">
        <f>IF('Master Sheet'!D11="Hindi","विषय परिणाम","Subject Result")</f>
        <v>विषय परिणाम</v>
      </c>
      <c r="AG5" s="617" t="str">
        <f>IF('Master Sheet'!D11="Hindi","प्राप्तांक","Marks Obtained")</f>
        <v>प्राप्तांक</v>
      </c>
      <c r="AH5" s="617" t="str">
        <f>IF('Master Sheet'!D11="Hindi","जोड़े जाने वाले अंक","Marks to be Added")</f>
        <v>जोड़े जाने वाले अंक</v>
      </c>
      <c r="AI5" s="617" t="str">
        <f>IF('Master Sheet'!D11="Hindi","विषय परिणाम","Subject Result")</f>
        <v>विषय परिणाम</v>
      </c>
      <c r="AJ5" s="617" t="str">
        <f>IF('Master Sheet'!D11="Hindi","प्राप्तांक","Marks Obtained")</f>
        <v>प्राप्तांक</v>
      </c>
      <c r="AK5" s="617" t="str">
        <f>IF('Master Sheet'!D11="Hindi","जोड़े जाने वाले अंक","Marks to be Added")</f>
        <v>जोड़े जाने वाले अंक</v>
      </c>
      <c r="AL5" s="617" t="str">
        <f>IF('Master Sheet'!D11="Hindi","विषय परिणाम","Subject Result")</f>
        <v>विषय परिणाम</v>
      </c>
      <c r="AM5" s="617" t="str">
        <f>IF('Master Sheet'!D11="Hindi","प्राप्तांक","Marks Obtained")</f>
        <v>प्राप्तांक</v>
      </c>
      <c r="AN5" s="617" t="str">
        <f>IF('Master Sheet'!D11="Hindi","विषय परिणाम","Subject Result")</f>
        <v>विषय परिणाम</v>
      </c>
      <c r="AO5" s="617" t="str">
        <f>IF('Master Sheet'!D11="Hindi","प्राप्तांक","Marks Obtained")</f>
        <v>प्राप्तांक</v>
      </c>
      <c r="AP5" s="617" t="str">
        <f>IF('Master Sheet'!D11="Hindi","विषय परिणाम","Subject Result")</f>
        <v>विषय परिणाम</v>
      </c>
      <c r="AQ5" s="1336"/>
      <c r="AR5" s="1336"/>
      <c r="AS5" s="616" t="str">
        <f>IF('Master Sheet'!D11="Hindi","परिणाम ","Result")</f>
        <v xml:space="preserve">परिणाम </v>
      </c>
      <c r="AT5" s="648" t="str">
        <f>IF('Master Sheet'!D11="Hindi","प्रतिशत","Percentage")</f>
        <v>प्रतिशत</v>
      </c>
      <c r="AU5" s="648" t="str">
        <f>IF('Master Sheet'!D11="Hindi","श्रेणी","Division")</f>
        <v>श्रेणी</v>
      </c>
    </row>
    <row r="6" spans="1:48" s="292" customFormat="1" ht="21" customHeight="1">
      <c r="A6" s="1373"/>
      <c r="B6" s="1373"/>
      <c r="C6" s="1373"/>
      <c r="D6" s="1373"/>
      <c r="E6" s="1342"/>
      <c r="F6" s="1342"/>
      <c r="G6" s="1342"/>
      <c r="H6" s="1374"/>
      <c r="I6" s="1376"/>
      <c r="J6" s="1378"/>
      <c r="K6" s="1331"/>
      <c r="L6" s="1331"/>
      <c r="M6" s="1331"/>
      <c r="N6" s="1331"/>
      <c r="O6" s="1331"/>
      <c r="P6" s="1331"/>
      <c r="Q6" s="1359"/>
      <c r="R6" s="1359"/>
      <c r="S6" s="650" t="str">
        <f>IF('Master Sheet'!D11="Hindi","पूरक परीक्षा के अंक","Supplementary Exam Marks")</f>
        <v>पूरक परीक्षा के अंक</v>
      </c>
      <c r="T6" s="649" t="s">
        <v>78</v>
      </c>
      <c r="U6" s="290">
        <v>100</v>
      </c>
      <c r="V6" s="293"/>
      <c r="W6" s="293"/>
      <c r="X6" s="290">
        <v>100</v>
      </c>
      <c r="Y6" s="293"/>
      <c r="Z6" s="293"/>
      <c r="AA6" s="291">
        <v>100</v>
      </c>
      <c r="AB6" s="293"/>
      <c r="AC6" s="293"/>
      <c r="AD6" s="291">
        <v>100</v>
      </c>
      <c r="AE6" s="293"/>
      <c r="AF6" s="293"/>
      <c r="AG6" s="291">
        <v>100</v>
      </c>
      <c r="AH6" s="293"/>
      <c r="AI6" s="293"/>
      <c r="AJ6" s="291">
        <v>100</v>
      </c>
      <c r="AK6" s="293"/>
      <c r="AL6" s="293"/>
      <c r="AM6" s="291">
        <v>40</v>
      </c>
      <c r="AN6" s="294"/>
      <c r="AO6" s="291">
        <v>100</v>
      </c>
      <c r="AP6" s="294"/>
      <c r="AQ6" s="294"/>
      <c r="AR6" s="294"/>
      <c r="AS6" s="295"/>
      <c r="AT6" s="295"/>
      <c r="AU6" s="295"/>
    </row>
    <row r="7" spans="1:48">
      <c r="A7" s="284">
        <f>IF('Statement of Marks'!A8="","",'Statement of Marks'!A8)</f>
        <v>1</v>
      </c>
      <c r="B7" s="284">
        <f>IF('Statement of Marks'!B8="","",'Statement of Marks'!B8)</f>
        <v>1101</v>
      </c>
      <c r="C7" s="284">
        <f>IF('Statement of Marks'!C8="","",'Statement of Marks'!C8)</f>
        <v>230</v>
      </c>
      <c r="D7" s="285">
        <f>IF('Statement of Marks'!D8="","",'Statement of Marks'!D8)</f>
        <v>37622</v>
      </c>
      <c r="E7" s="286" t="str">
        <f>IF('Statement of Marks'!E8="","",'Statement of Marks'!E8)</f>
        <v>A</v>
      </c>
      <c r="F7" s="286" t="str">
        <f>IF('Statement of Marks'!F8="","",'Statement of Marks'!F8)</f>
        <v>X</v>
      </c>
      <c r="G7" s="286" t="str">
        <f>IF('Statement of Marks'!G8="","",'Statement of Marks'!G8)</f>
        <v>M</v>
      </c>
      <c r="H7" s="287" t="str">
        <f>IF('Statement of Marks'!GY8="","",'Statement of Marks'!GY8)</f>
        <v>PASS</v>
      </c>
      <c r="I7" s="287" t="str">
        <f>IF('Statement of Marks'!HB8="","",'Statement of Marks'!HB8)</f>
        <v>I</v>
      </c>
      <c r="J7" s="288">
        <f>IF('Statement of Marks'!HC8="","",'Statement of Marks'!HC8)</f>
        <v>70.909090909090907</v>
      </c>
      <c r="K7" s="296" t="str">
        <f>IF(B7="","",'Statement of Marks'!FJ8)</f>
        <v>I</v>
      </c>
      <c r="L7" s="296" t="str">
        <f>IF(B7="","",'Statement of Marks'!FM8)</f>
        <v>I</v>
      </c>
      <c r="M7" s="296" t="str">
        <f>IF(B7="","",'Statement of Marks'!FP8)</f>
        <v>I</v>
      </c>
      <c r="N7" s="296" t="str">
        <f>IF(B7="","",'Statement of Marks'!FW8)</f>
        <v>D</v>
      </c>
      <c r="O7" s="296" t="str">
        <f>IF(B7="","",'Statement of Marks'!GD8)</f>
        <v>I</v>
      </c>
      <c r="P7" s="296" t="str">
        <f>IF(B7="","",'Statement of Marks'!GK8)</f>
        <v/>
      </c>
      <c r="Q7" s="296" t="str">
        <f>IF(B7="","",'Statement of Marks'!GR8)</f>
        <v>A</v>
      </c>
      <c r="R7" s="296" t="str">
        <f>IF(B7="","",'Statement of Marks'!GS8)</f>
        <v>A</v>
      </c>
      <c r="S7" s="288" t="str">
        <f>IF(COUNTIF(K7:R7,"F")&gt;0,"",CONCATENATE('Statement of Marks'!GU8,'Statement of Marks'!GW8))</f>
        <v xml:space="preserve">           </v>
      </c>
      <c r="T7" s="289">
        <f>IF(COUNTIF(K7:R7,"F")&gt;0,"",COUNTIF(K7:R7,"S")+COUNTIF(K7:R7,"RE")+COUNTIF(K7:R7,"REP"))</f>
        <v>0</v>
      </c>
      <c r="U7" s="16"/>
      <c r="V7" s="297" t="str">
        <f>IF(U7="","",IF(OR(U7="AB",K7="RE"),U7,IF(AND(K7="S"),ROUNDUP(U7,0),)))</f>
        <v/>
      </c>
      <c r="W7" s="297" t="str">
        <f>IF(U7="","",IF(OR(U7="AB",U7&lt;36%*$U$6),"F","P"))</f>
        <v/>
      </c>
      <c r="X7" s="16"/>
      <c r="Y7" s="297" t="str">
        <f>IF(X7="","",IF(OR(X7="AB",L7="RE"),X7,IF(AND(L7="S"),ROUNDUP(X7,0),)))</f>
        <v/>
      </c>
      <c r="Z7" s="297" t="str">
        <f>IF(X7="","",IF(OR(X7="AB",X7&lt;36%*$X$6),"F","P"))</f>
        <v/>
      </c>
      <c r="AA7" s="16"/>
      <c r="AB7" s="297" t="str">
        <f>IF(AA7="","",IF(OR(AA7="AB",M7="RE"),AA7,IF(AND(M7="S"),ROUNDUP(AA7,0),)))</f>
        <v/>
      </c>
      <c r="AC7" s="298" t="str">
        <f>IF(AA7="","",IF(OR(AA7="AB",AA7&lt;36%*$AA$6),"F","P"))</f>
        <v/>
      </c>
      <c r="AD7" s="16"/>
      <c r="AE7" s="297" t="str">
        <f>IF(AD7="","",IF(OR(AD7="AB",N7="RE"),AD7,IF(AND(N7="S"),ROUNDUP(AD7,0),)))</f>
        <v/>
      </c>
      <c r="AF7" s="298" t="str">
        <f>IF(AD7="","",IF(OR(AD7="AB",AD7&lt;36%*$AD$6),"F","P"))</f>
        <v/>
      </c>
      <c r="AG7" s="16"/>
      <c r="AH7" s="297" t="str">
        <f>IF(AG7="","",IF(OR(AG7="AB",O7="RE"),AG7,IF(AND(O7="S"),ROUNDUP(AG7,0),)))</f>
        <v/>
      </c>
      <c r="AI7" s="298" t="str">
        <f>IF(AG7="","",IF(OR(AG7="AB",AG7&lt;36%*$AG$6),"F","P"))</f>
        <v/>
      </c>
      <c r="AJ7" s="16"/>
      <c r="AK7" s="298" t="str">
        <f>IF(AJ7="","",IF(OR(AJ7="AB",P7="RE"),AJ7,IF(AND(P7="S"),ROUNDUP(AJ7,0),)))</f>
        <v/>
      </c>
      <c r="AL7" s="298" t="str">
        <f>IF(AJ7="","",IF(OR(AJ7="AB",AJ7&lt;36%*$AJ$6),"F","P"))</f>
        <v/>
      </c>
      <c r="AM7" s="16"/>
      <c r="AN7" s="297" t="str">
        <f>IF(AM7="","",IF(OR(AM7="AB",AM7&lt;15),"F","P"))</f>
        <v/>
      </c>
      <c r="AO7" s="16"/>
      <c r="AP7" s="297" t="str">
        <f>IF(AO7="","",IF(OR(AO7="AB",AO7&lt;36),"F","P"))</f>
        <v/>
      </c>
      <c r="AQ7" s="299">
        <f>IF(COUNTIF(K7:R7,"F")&gt;0,"",COUNTA(U7,X7,AA7,AD7,AG7,AJ7,AM7,AO7))</f>
        <v>0</v>
      </c>
      <c r="AR7" s="299">
        <f>IF(COUNTIF(K7:R7,"F")&gt;0,"",COUNTIF(U7:AP7,"P"))</f>
        <v>0</v>
      </c>
      <c r="AS7" s="300" t="str">
        <f>IF(AND(U7="",X7="",AA7="",AD7="",AG7="",AJ7="",AM7="",AO7=""),"",IF(COUNTIF(K7:R7,"F")&gt;0,"",IF(T7=0,"",IF(T7&gt;AQ7,H7,IF(T7&gt;AR7,"FAIL","PASS")))))</f>
        <v/>
      </c>
      <c r="AT7" s="301" t="str">
        <f>IF(COUNTIF(K7:R7,"F")&gt;0,"",IF(AS7="PASS",'Statement of Marks'!HF8,""))</f>
        <v/>
      </c>
      <c r="AU7" s="301" t="str">
        <f>IF(AS7="PASS",'Statement of Marks'!HG8,"")</f>
        <v/>
      </c>
    </row>
    <row r="8" spans="1:48" ht="15.95" customHeight="1">
      <c r="A8" s="284">
        <f>IF('Statement of Marks'!A9="","",'Statement of Marks'!A9)</f>
        <v>2</v>
      </c>
      <c r="B8" s="284">
        <f>IF('Statement of Marks'!B9="","",'Statement of Marks'!B9)</f>
        <v>1102</v>
      </c>
      <c r="C8" s="284">
        <f>IF('Statement of Marks'!C9="","",'Statement of Marks'!C9)</f>
        <v>231</v>
      </c>
      <c r="D8" s="285">
        <f>IF('Statement of Marks'!D9="","",'Statement of Marks'!D9)</f>
        <v>38090</v>
      </c>
      <c r="E8" s="286" t="str">
        <f>IF('Statement of Marks'!E9="","",'Statement of Marks'!E9)</f>
        <v>B</v>
      </c>
      <c r="F8" s="286" t="str">
        <f>IF('Statement of Marks'!F9="","",'Statement of Marks'!F9)</f>
        <v>Y</v>
      </c>
      <c r="G8" s="286" t="str">
        <f>IF('Statement of Marks'!G9="","",'Statement of Marks'!G9)</f>
        <v>N</v>
      </c>
      <c r="H8" s="287" t="str">
        <f>IF('Statement of Marks'!GY9="","",'Statement of Marks'!GY9)</f>
        <v>BY GRACE PASS</v>
      </c>
      <c r="I8" s="287" t="str">
        <f>IF('Statement of Marks'!HB9="","",'Statement of Marks'!HB9)</f>
        <v>II</v>
      </c>
      <c r="J8" s="288">
        <f>IF('Statement of Marks'!HC9="","",'Statement of Marks'!HC9)</f>
        <v>59.699999999999996</v>
      </c>
      <c r="K8" s="296" t="str">
        <f>IF(B8="","",'Statement of Marks'!FJ9)</f>
        <v>II</v>
      </c>
      <c r="L8" s="296" t="str">
        <f>IF(B8="","",'Statement of Marks'!FM9)</f>
        <v>I</v>
      </c>
      <c r="M8" s="296" t="str">
        <f>IF(B8="","",'Statement of Marks'!FP9)</f>
        <v>I</v>
      </c>
      <c r="N8" s="296" t="str">
        <f>IF(B8="","",'Statement of Marks'!FW9)</f>
        <v>D</v>
      </c>
      <c r="O8" s="296" t="str">
        <f>IF(B8="","",'Statement of Marks'!GD9)</f>
        <v>G</v>
      </c>
      <c r="P8" s="296" t="str">
        <f>IF(B8="","",'Statement of Marks'!GK9)</f>
        <v/>
      </c>
      <c r="Q8" s="296" t="str">
        <f>IF(B8="","",'Statement of Marks'!GR9)</f>
        <v>A</v>
      </c>
      <c r="R8" s="296" t="str">
        <f>IF(B8="","",'Statement of Marks'!GS9)</f>
        <v>B</v>
      </c>
      <c r="S8" s="288" t="str">
        <f>IF(COUNTIF(K8:R8,"F")&gt;0,"",CONCATENATE('Statement of Marks'!GU9,'Statement of Marks'!GW9))</f>
        <v xml:space="preserve">           </v>
      </c>
      <c r="T8" s="289">
        <f t="shared" ref="T8:T71" si="0">IF(COUNTIF(K8:R8,"F")&gt;0,"",COUNTIF(K8:R8,"S")+COUNTIF(K8:R8,"RE")+COUNTIF(K8:R8,"REP"))</f>
        <v>0</v>
      </c>
      <c r="U8" s="16"/>
      <c r="V8" s="297" t="str">
        <f t="shared" ref="V8:V71" si="1">IF(U8="","",IF(OR(U8="AB",K8="RE"),U8,IF(AND(K8="S"),ROUNDUP(U8,0),)))</f>
        <v/>
      </c>
      <c r="W8" s="297" t="str">
        <f t="shared" ref="W8:W71" si="2">IF(U8="","",IF(OR(U8="AB",U8&lt;36%*$U$6),"F","P"))</f>
        <v/>
      </c>
      <c r="X8" s="16"/>
      <c r="Y8" s="297" t="str">
        <f t="shared" ref="Y8:Y71" si="3">IF(X8="","",IF(OR(X8="AB",L8="RE"),X8,IF(AND(L8="S"),ROUNDUP(X8,0),)))</f>
        <v/>
      </c>
      <c r="Z8" s="297" t="str">
        <f t="shared" ref="Z8:Z71" si="4">IF(X8="","",IF(OR(X8="AB",X8&lt;36%*$X$6),"F","P"))</f>
        <v/>
      </c>
      <c r="AA8" s="16"/>
      <c r="AB8" s="297" t="str">
        <f t="shared" ref="AB8:AB71" si="5">IF(AA8="","",IF(OR(AA8="AB",M8="RE"),AA8,IF(AND(M8="S"),ROUNDUP(AA8,0),)))</f>
        <v/>
      </c>
      <c r="AC8" s="298" t="str">
        <f t="shared" ref="AC8:AC71" si="6">IF(AA8="","",IF(OR(AA8="AB",AA8&lt;36%*$AA$6),"F","P"))</f>
        <v/>
      </c>
      <c r="AD8" s="16"/>
      <c r="AE8" s="297" t="str">
        <f t="shared" ref="AE8:AE71" si="7">IF(AD8="","",IF(OR(AD8="AB",N8="RE"),AD8,IF(AND(N8="S"),ROUNDUP(AD8,0),)))</f>
        <v/>
      </c>
      <c r="AF8" s="298" t="str">
        <f t="shared" ref="AF8:AF71" si="8">IF(AD8="","",IF(OR(AD8="AB",AD8&lt;36%*$AD$6),"F","P"))</f>
        <v/>
      </c>
      <c r="AG8" s="16"/>
      <c r="AH8" s="297" t="str">
        <f t="shared" ref="AH8:AH71" si="9">IF(AG8="","",IF(OR(AG8="AB",O8="RE"),AG8,IF(AND(O8="S"),ROUNDUP(AG8,0),)))</f>
        <v/>
      </c>
      <c r="AI8" s="298" t="str">
        <f t="shared" ref="AI8:AI71" si="10">IF(AG8="","",IF(OR(AG8="AB",AG8&lt;36%*$AG$6),"F","P"))</f>
        <v/>
      </c>
      <c r="AJ8" s="16"/>
      <c r="AK8" s="298" t="str">
        <f t="shared" ref="AK8:AK71" si="11">IF(AJ8="","",IF(OR(AJ8="AB",P8="RE"),AJ8,IF(AND(P8="S"),ROUNDUP(AJ8,0),)))</f>
        <v/>
      </c>
      <c r="AL8" s="298" t="str">
        <f t="shared" ref="AL8:AL71" si="12">IF(AJ8="","",IF(OR(AJ8="AB",AJ8&lt;36%*$AJ$6),"F","P"))</f>
        <v/>
      </c>
      <c r="AM8" s="16"/>
      <c r="AN8" s="297" t="str">
        <f t="shared" ref="AN8:AN71" si="13">IF(AM8="","",IF(OR(AM8="AB",AM8&lt;15),"F","P"))</f>
        <v/>
      </c>
      <c r="AO8" s="16"/>
      <c r="AP8" s="297" t="str">
        <f t="shared" ref="AP8:AP71" si="14">IF(AO8="","",IF(OR(AO8="AB",AO8&lt;36),"F","P"))</f>
        <v/>
      </c>
      <c r="AQ8" s="299">
        <f t="shared" ref="AQ8:AQ71" si="15">IF(COUNTIF(K8:Q8,"F")&gt;0,"",COUNTA(U8,X8,AA8,AD8,AG8,AJ8,AM8))</f>
        <v>0</v>
      </c>
      <c r="AR8" s="299">
        <f t="shared" ref="AR8:AR71" si="16">IF(COUNTIF(K8:Q8,"F")&gt;0,"",COUNTIF(U8:AN8,"P"))</f>
        <v>0</v>
      </c>
      <c r="AS8" s="300" t="str">
        <f t="shared" ref="AS8:AS71" si="17">IF(AND(U8="",X8="",AA8="",AD8="",AG8="",AJ8="",AM8="",AO8=""),"",IF(COUNTIF(K8:R8,"F")&gt;0,"",IF(T8=0,"",IF(T8&gt;AQ8,H8,IF(T8&gt;AR8,"FAIL","PASS")))))</f>
        <v/>
      </c>
      <c r="AT8" s="301" t="str">
        <f>IF(COUNTIF(K8:R8,"F")&gt;0,"",IF(AS8="PASS",'Statement of Marks'!HF9,""))</f>
        <v/>
      </c>
      <c r="AU8" s="301" t="str">
        <f>IF(AS8="PASS",'Statement of Marks'!HG9,"")</f>
        <v/>
      </c>
    </row>
    <row r="9" spans="1:48">
      <c r="A9" s="284">
        <f>IF('Statement of Marks'!A10="","",'Statement of Marks'!A10)</f>
        <v>3</v>
      </c>
      <c r="B9" s="284">
        <f>IF('Statement of Marks'!B10="","",'Statement of Marks'!B10)</f>
        <v>1103</v>
      </c>
      <c r="C9" s="284">
        <f>IF('Statement of Marks'!C10="","",'Statement of Marks'!C10)</f>
        <v>555</v>
      </c>
      <c r="D9" s="285">
        <f>IF('Statement of Marks'!D10="","",'Statement of Marks'!D10)</f>
        <v>38414</v>
      </c>
      <c r="E9" s="286" t="str">
        <f>IF('Statement of Marks'!E10="","",'Statement of Marks'!E10)</f>
        <v>C</v>
      </c>
      <c r="F9" s="286" t="str">
        <f>IF('Statement of Marks'!F10="","",'Statement of Marks'!F10)</f>
        <v>Z</v>
      </c>
      <c r="G9" s="286" t="str">
        <f>IF('Statement of Marks'!G10="","",'Statement of Marks'!G10)</f>
        <v>O</v>
      </c>
      <c r="H9" s="287" t="str">
        <f>IF('Statement of Marks'!GY10="","",'Statement of Marks'!GY10)</f>
        <v>PASS</v>
      </c>
      <c r="I9" s="287" t="str">
        <f>IF('Statement of Marks'!HB10="","",'Statement of Marks'!HB10)</f>
        <v>I</v>
      </c>
      <c r="J9" s="288">
        <f>IF('Statement of Marks'!HC10="","",'Statement of Marks'!HC10)</f>
        <v>64.099999999999994</v>
      </c>
      <c r="K9" s="296" t="str">
        <f>IF(B9="","",'Statement of Marks'!FJ10)</f>
        <v>I</v>
      </c>
      <c r="L9" s="296" t="str">
        <f>IF(B9="","",'Statement of Marks'!FM10)</f>
        <v>I</v>
      </c>
      <c r="M9" s="296" t="str">
        <f>IF(B9="","",'Statement of Marks'!FP10)</f>
        <v>II</v>
      </c>
      <c r="N9" s="296" t="str">
        <f>IF(B9="","",'Statement of Marks'!FW10)</f>
        <v>I</v>
      </c>
      <c r="O9" s="296" t="str">
        <f>IF(B9="","",'Statement of Marks'!GD10)</f>
        <v>II</v>
      </c>
      <c r="P9" s="296" t="str">
        <f>IF(B9="","",'Statement of Marks'!GK10)</f>
        <v/>
      </c>
      <c r="Q9" s="296" t="str">
        <f>IF(B9="","",'Statement of Marks'!GR10)</f>
        <v>A</v>
      </c>
      <c r="R9" s="296" t="str">
        <f>IF(B9="","",'Statement of Marks'!GS10)</f>
        <v>B</v>
      </c>
      <c r="S9" s="288" t="str">
        <f>IF(COUNTIF(K9:R9,"F")&gt;0,"",CONCATENATE('Statement of Marks'!GU10,'Statement of Marks'!GW10))</f>
        <v xml:space="preserve">           </v>
      </c>
      <c r="T9" s="289">
        <f t="shared" si="0"/>
        <v>0</v>
      </c>
      <c r="U9" s="16"/>
      <c r="V9" s="297" t="str">
        <f t="shared" si="1"/>
        <v/>
      </c>
      <c r="W9" s="297" t="str">
        <f t="shared" si="2"/>
        <v/>
      </c>
      <c r="X9" s="16"/>
      <c r="Y9" s="297" t="str">
        <f t="shared" si="3"/>
        <v/>
      </c>
      <c r="Z9" s="297" t="str">
        <f t="shared" si="4"/>
        <v/>
      </c>
      <c r="AA9" s="16"/>
      <c r="AB9" s="297" t="str">
        <f t="shared" si="5"/>
        <v/>
      </c>
      <c r="AC9" s="298" t="str">
        <f t="shared" si="6"/>
        <v/>
      </c>
      <c r="AD9" s="16"/>
      <c r="AE9" s="297" t="str">
        <f t="shared" si="7"/>
        <v/>
      </c>
      <c r="AF9" s="298" t="str">
        <f t="shared" si="8"/>
        <v/>
      </c>
      <c r="AG9" s="16"/>
      <c r="AH9" s="297" t="str">
        <f t="shared" si="9"/>
        <v/>
      </c>
      <c r="AI9" s="298" t="str">
        <f t="shared" si="10"/>
        <v/>
      </c>
      <c r="AJ9" s="16"/>
      <c r="AK9" s="298" t="str">
        <f t="shared" si="11"/>
        <v/>
      </c>
      <c r="AL9" s="298" t="str">
        <f t="shared" si="12"/>
        <v/>
      </c>
      <c r="AM9" s="16"/>
      <c r="AN9" s="297" t="str">
        <f t="shared" si="13"/>
        <v/>
      </c>
      <c r="AO9" s="16"/>
      <c r="AP9" s="297" t="str">
        <f t="shared" si="14"/>
        <v/>
      </c>
      <c r="AQ9" s="299">
        <f t="shared" si="15"/>
        <v>0</v>
      </c>
      <c r="AR9" s="299">
        <f t="shared" si="16"/>
        <v>0</v>
      </c>
      <c r="AS9" s="300" t="str">
        <f t="shared" si="17"/>
        <v/>
      </c>
      <c r="AT9" s="301" t="str">
        <f>IF(COUNTIF(K9:R9,"F")&gt;0,"",IF(AS9="PASS",'Statement of Marks'!HF10,""))</f>
        <v/>
      </c>
      <c r="AU9" s="301" t="str">
        <f>IF(AS9="PASS",'Statement of Marks'!HG10,"")</f>
        <v/>
      </c>
    </row>
    <row r="10" spans="1:48">
      <c r="A10" s="284">
        <f>IF('Statement of Marks'!A11="","",'Statement of Marks'!A11)</f>
        <v>4</v>
      </c>
      <c r="B10" s="284">
        <f>IF('Statement of Marks'!B11="","",'Statement of Marks'!B11)</f>
        <v>1104</v>
      </c>
      <c r="C10" s="284">
        <f>IF('Statement of Marks'!C11="","",'Statement of Marks'!C11)</f>
        <v>444</v>
      </c>
      <c r="D10" s="285">
        <f>IF('Statement of Marks'!D11="","",'Statement of Marks'!D11)</f>
        <v>38874</v>
      </c>
      <c r="E10" s="286" t="str">
        <f>IF('Statement of Marks'!E11="","",'Statement of Marks'!E11)</f>
        <v>D</v>
      </c>
      <c r="F10" s="286" t="str">
        <f>IF('Statement of Marks'!F11="","",'Statement of Marks'!F11)</f>
        <v>W</v>
      </c>
      <c r="G10" s="286" t="str">
        <f>IF('Statement of Marks'!G11="","",'Statement of Marks'!G11)</f>
        <v>P</v>
      </c>
      <c r="H10" s="287" t="str">
        <f>IF('Statement of Marks'!GY11="","",'Statement of Marks'!GY11)</f>
        <v>PASS</v>
      </c>
      <c r="I10" s="287" t="str">
        <f>IF('Statement of Marks'!HB11="","",'Statement of Marks'!HB11)</f>
        <v>I</v>
      </c>
      <c r="J10" s="288">
        <f>IF('Statement of Marks'!HC11="","",'Statement of Marks'!HC11)</f>
        <v>64.7</v>
      </c>
      <c r="K10" s="296" t="str">
        <f>IF(B10="","",'Statement of Marks'!FJ11)</f>
        <v>II</v>
      </c>
      <c r="L10" s="296" t="str">
        <f>IF(B10="","",'Statement of Marks'!FM11)</f>
        <v>I</v>
      </c>
      <c r="M10" s="296" t="str">
        <f>IF(B10="","",'Statement of Marks'!FP11)</f>
        <v>I</v>
      </c>
      <c r="N10" s="296" t="str">
        <f>IF(B10="","",'Statement of Marks'!FW11)</f>
        <v>II</v>
      </c>
      <c r="O10" s="296" t="str">
        <f>IF(B10="","",'Statement of Marks'!GD11)</f>
        <v>D</v>
      </c>
      <c r="P10" s="296" t="str">
        <f>IF(B10="","",'Statement of Marks'!GK11)</f>
        <v/>
      </c>
      <c r="Q10" s="296" t="str">
        <f>IF(B10="","",'Statement of Marks'!GR11)</f>
        <v>A</v>
      </c>
      <c r="R10" s="296" t="str">
        <f>IF(B10="","",'Statement of Marks'!GS11)</f>
        <v>B</v>
      </c>
      <c r="S10" s="288" t="str">
        <f>IF(COUNTIF(K10:R10,"F")&gt;0,"",CONCATENATE('Statement of Marks'!GU11,'Statement of Marks'!GW11))</f>
        <v xml:space="preserve">           </v>
      </c>
      <c r="T10" s="289">
        <f t="shared" si="0"/>
        <v>0</v>
      </c>
      <c r="U10" s="16"/>
      <c r="V10" s="297" t="str">
        <f t="shared" si="1"/>
        <v/>
      </c>
      <c r="W10" s="297" t="str">
        <f t="shared" si="2"/>
        <v/>
      </c>
      <c r="X10" s="16"/>
      <c r="Y10" s="297" t="str">
        <f t="shared" si="3"/>
        <v/>
      </c>
      <c r="Z10" s="297" t="str">
        <f t="shared" si="4"/>
        <v/>
      </c>
      <c r="AA10" s="16"/>
      <c r="AB10" s="297" t="str">
        <f t="shared" si="5"/>
        <v/>
      </c>
      <c r="AC10" s="298" t="str">
        <f t="shared" si="6"/>
        <v/>
      </c>
      <c r="AD10" s="16"/>
      <c r="AE10" s="297" t="str">
        <f t="shared" si="7"/>
        <v/>
      </c>
      <c r="AF10" s="298" t="str">
        <f t="shared" si="8"/>
        <v/>
      </c>
      <c r="AG10" s="16"/>
      <c r="AH10" s="297" t="str">
        <f t="shared" si="9"/>
        <v/>
      </c>
      <c r="AI10" s="298" t="str">
        <f t="shared" si="10"/>
        <v/>
      </c>
      <c r="AJ10" s="16"/>
      <c r="AK10" s="298" t="str">
        <f t="shared" si="11"/>
        <v/>
      </c>
      <c r="AL10" s="298" t="str">
        <f t="shared" si="12"/>
        <v/>
      </c>
      <c r="AM10" s="16"/>
      <c r="AN10" s="297" t="str">
        <f t="shared" si="13"/>
        <v/>
      </c>
      <c r="AO10" s="16"/>
      <c r="AP10" s="297" t="str">
        <f t="shared" si="14"/>
        <v/>
      </c>
      <c r="AQ10" s="299">
        <f t="shared" si="15"/>
        <v>0</v>
      </c>
      <c r="AR10" s="299">
        <f t="shared" si="16"/>
        <v>0</v>
      </c>
      <c r="AS10" s="300" t="str">
        <f t="shared" si="17"/>
        <v/>
      </c>
      <c r="AT10" s="301" t="str">
        <f>IF(COUNTIF(K10:R10,"F")&gt;0,"",IF(AS10="PASS",'Statement of Marks'!HF11,""))</f>
        <v/>
      </c>
      <c r="AU10" s="301" t="str">
        <f>IF(AS10="PASS",'Statement of Marks'!HG11,"")</f>
        <v/>
      </c>
    </row>
    <row r="11" spans="1:48" ht="15.95" customHeight="1">
      <c r="A11" s="284">
        <f>IF('Statement of Marks'!A12="","",'Statement of Marks'!A12)</f>
        <v>5</v>
      </c>
      <c r="B11" s="284">
        <f>IF('Statement of Marks'!B12="","",'Statement of Marks'!B12)</f>
        <v>1105</v>
      </c>
      <c r="C11" s="284">
        <f>IF('Statement of Marks'!C12="","",'Statement of Marks'!C12)</f>
        <v>333</v>
      </c>
      <c r="D11" s="285">
        <f>IF('Statement of Marks'!D12="","",'Statement of Marks'!D12)</f>
        <v>39270</v>
      </c>
      <c r="E11" s="286" t="str">
        <f>IF('Statement of Marks'!E12="","",'Statement of Marks'!E12)</f>
        <v>E</v>
      </c>
      <c r="F11" s="286" t="str">
        <f>IF('Statement of Marks'!F12="","",'Statement of Marks'!F12)</f>
        <v>V</v>
      </c>
      <c r="G11" s="286" t="str">
        <f>IF('Statement of Marks'!G12="","",'Statement of Marks'!G12)</f>
        <v>Q</v>
      </c>
      <c r="H11" s="287" t="str">
        <f>IF('Statement of Marks'!GY12="","",'Statement of Marks'!GY12)</f>
        <v>PASS</v>
      </c>
      <c r="I11" s="287" t="str">
        <f>IF('Statement of Marks'!HB12="","",'Statement of Marks'!HB12)</f>
        <v>I</v>
      </c>
      <c r="J11" s="288">
        <f>IF('Statement of Marks'!HC12="","",'Statement of Marks'!HC12)</f>
        <v>68.600000000000009</v>
      </c>
      <c r="K11" s="296" t="str">
        <f>IF(B11="","",'Statement of Marks'!FJ12)</f>
        <v>I</v>
      </c>
      <c r="L11" s="296" t="str">
        <f>IF(B11="","",'Statement of Marks'!FM12)</f>
        <v>I</v>
      </c>
      <c r="M11" s="296" t="str">
        <f>IF(B11="","",'Statement of Marks'!FP12)</f>
        <v>I</v>
      </c>
      <c r="N11" s="296" t="str">
        <f>IF(B11="","",'Statement of Marks'!FW12)</f>
        <v>I</v>
      </c>
      <c r="O11" s="296" t="str">
        <f>IF(B11="","",'Statement of Marks'!GD12)</f>
        <v>D</v>
      </c>
      <c r="P11" s="296" t="str">
        <f>IF(B11="","",'Statement of Marks'!GK12)</f>
        <v/>
      </c>
      <c r="Q11" s="296" t="str">
        <f>IF(B11="","",'Statement of Marks'!GR12)</f>
        <v>A</v>
      </c>
      <c r="R11" s="296" t="str">
        <f>IF(B11="","",'Statement of Marks'!GS12)</f>
        <v>B</v>
      </c>
      <c r="S11" s="288" t="str">
        <f>IF(COUNTIF(K11:R11,"F")&gt;0,"",CONCATENATE('Statement of Marks'!GU12,'Statement of Marks'!GW12))</f>
        <v xml:space="preserve">           </v>
      </c>
      <c r="T11" s="289">
        <f t="shared" si="0"/>
        <v>0</v>
      </c>
      <c r="U11" s="16"/>
      <c r="V11" s="297" t="str">
        <f t="shared" si="1"/>
        <v/>
      </c>
      <c r="W11" s="297" t="str">
        <f t="shared" si="2"/>
        <v/>
      </c>
      <c r="X11" s="16"/>
      <c r="Y11" s="297" t="str">
        <f t="shared" si="3"/>
        <v/>
      </c>
      <c r="Z11" s="297" t="str">
        <f t="shared" si="4"/>
        <v/>
      </c>
      <c r="AA11" s="16"/>
      <c r="AB11" s="297" t="str">
        <f t="shared" si="5"/>
        <v/>
      </c>
      <c r="AC11" s="298" t="str">
        <f t="shared" si="6"/>
        <v/>
      </c>
      <c r="AD11" s="16"/>
      <c r="AE11" s="297" t="str">
        <f t="shared" si="7"/>
        <v/>
      </c>
      <c r="AF11" s="298" t="str">
        <f t="shared" si="8"/>
        <v/>
      </c>
      <c r="AG11" s="16"/>
      <c r="AH11" s="297" t="str">
        <f t="shared" si="9"/>
        <v/>
      </c>
      <c r="AI11" s="298" t="str">
        <f t="shared" si="10"/>
        <v/>
      </c>
      <c r="AJ11" s="16"/>
      <c r="AK11" s="298" t="str">
        <f t="shared" si="11"/>
        <v/>
      </c>
      <c r="AL11" s="298" t="str">
        <f t="shared" si="12"/>
        <v/>
      </c>
      <c r="AM11" s="16"/>
      <c r="AN11" s="297" t="str">
        <f t="shared" si="13"/>
        <v/>
      </c>
      <c r="AO11" s="16"/>
      <c r="AP11" s="297" t="str">
        <f t="shared" si="14"/>
        <v/>
      </c>
      <c r="AQ11" s="299">
        <f t="shared" si="15"/>
        <v>0</v>
      </c>
      <c r="AR11" s="299">
        <f t="shared" si="16"/>
        <v>0</v>
      </c>
      <c r="AS11" s="300" t="str">
        <f t="shared" si="17"/>
        <v/>
      </c>
      <c r="AT11" s="301" t="str">
        <f>IF(COUNTIF(K11:R11,"F")&gt;0,"",IF(AS11="PASS",'Statement of Marks'!HF12,""))</f>
        <v/>
      </c>
      <c r="AU11" s="301" t="str">
        <f>IF(AS11="PASS",'Statement of Marks'!HG12,"")</f>
        <v/>
      </c>
    </row>
    <row r="12" spans="1:48" ht="15.95" customHeight="1">
      <c r="A12" s="284">
        <f>IF('Statement of Marks'!A13="","",'Statement of Marks'!A13)</f>
        <v>6</v>
      </c>
      <c r="B12" s="284">
        <f>IF('Statement of Marks'!B13="","",'Statement of Marks'!B13)</f>
        <v>1106</v>
      </c>
      <c r="C12" s="284">
        <f>IF('Statement of Marks'!C13="","",'Statement of Marks'!C13)</f>
        <v>666</v>
      </c>
      <c r="D12" s="285">
        <f>IF('Statement of Marks'!D13="","",'Statement of Marks'!D13)</f>
        <v>39668</v>
      </c>
      <c r="E12" s="286" t="str">
        <f>IF('Statement of Marks'!E13="","",'Statement of Marks'!E13)</f>
        <v>F</v>
      </c>
      <c r="F12" s="286" t="str">
        <f>IF('Statement of Marks'!F13="","",'Statement of Marks'!F13)</f>
        <v>U</v>
      </c>
      <c r="G12" s="286" t="str">
        <f>IF('Statement of Marks'!G13="","",'Statement of Marks'!G13)</f>
        <v>R</v>
      </c>
      <c r="H12" s="287" t="str">
        <f>IF('Statement of Marks'!GY13="","",'Statement of Marks'!GY13)</f>
        <v>PASS</v>
      </c>
      <c r="I12" s="287" t="str">
        <f>IF('Statement of Marks'!HB13="","",'Statement of Marks'!HB13)</f>
        <v>II</v>
      </c>
      <c r="J12" s="288">
        <f>IF('Statement of Marks'!HC13="","",'Statement of Marks'!HC13)</f>
        <v>56.100000000000009</v>
      </c>
      <c r="K12" s="296" t="str">
        <f>IF(B12="","",'Statement of Marks'!FJ13)</f>
        <v>II</v>
      </c>
      <c r="L12" s="296" t="str">
        <f>IF(B12="","",'Statement of Marks'!FM13)</f>
        <v>I</v>
      </c>
      <c r="M12" s="296" t="str">
        <f>IF(B12="","",'Statement of Marks'!FP13)</f>
        <v>III</v>
      </c>
      <c r="N12" s="296" t="str">
        <f>IF(B12="","",'Statement of Marks'!FW13)</f>
        <v>I</v>
      </c>
      <c r="O12" s="296" t="str">
        <f>IF(B12="","",'Statement of Marks'!GD13)</f>
        <v>II</v>
      </c>
      <c r="P12" s="296" t="str">
        <f>IF(B12="","",'Statement of Marks'!GK13)</f>
        <v/>
      </c>
      <c r="Q12" s="296" t="str">
        <f>IF(B12="","",'Statement of Marks'!GR13)</f>
        <v>A</v>
      </c>
      <c r="R12" s="296" t="str">
        <f>IF(B12="","",'Statement of Marks'!GS13)</f>
        <v>B</v>
      </c>
      <c r="S12" s="288" t="str">
        <f>IF(COUNTIF(K12:R12,"F")&gt;0,"",CONCATENATE('Statement of Marks'!GU13,'Statement of Marks'!GW13))</f>
        <v xml:space="preserve">           </v>
      </c>
      <c r="T12" s="289">
        <f t="shared" si="0"/>
        <v>0</v>
      </c>
      <c r="U12" s="16"/>
      <c r="V12" s="297" t="str">
        <f t="shared" si="1"/>
        <v/>
      </c>
      <c r="W12" s="297" t="str">
        <f t="shared" si="2"/>
        <v/>
      </c>
      <c r="X12" s="16"/>
      <c r="Y12" s="297" t="str">
        <f t="shared" si="3"/>
        <v/>
      </c>
      <c r="Z12" s="297" t="str">
        <f t="shared" si="4"/>
        <v/>
      </c>
      <c r="AA12" s="16"/>
      <c r="AB12" s="297" t="str">
        <f t="shared" si="5"/>
        <v/>
      </c>
      <c r="AC12" s="298" t="str">
        <f t="shared" si="6"/>
        <v/>
      </c>
      <c r="AD12" s="16"/>
      <c r="AE12" s="297" t="str">
        <f t="shared" si="7"/>
        <v/>
      </c>
      <c r="AF12" s="298" t="str">
        <f t="shared" si="8"/>
        <v/>
      </c>
      <c r="AG12" s="16"/>
      <c r="AH12" s="297" t="str">
        <f t="shared" si="9"/>
        <v/>
      </c>
      <c r="AI12" s="298" t="str">
        <f t="shared" si="10"/>
        <v/>
      </c>
      <c r="AJ12" s="16"/>
      <c r="AK12" s="298" t="str">
        <f t="shared" si="11"/>
        <v/>
      </c>
      <c r="AL12" s="298" t="str">
        <f t="shared" si="12"/>
        <v/>
      </c>
      <c r="AM12" s="16"/>
      <c r="AN12" s="297" t="str">
        <f t="shared" si="13"/>
        <v/>
      </c>
      <c r="AO12" s="16"/>
      <c r="AP12" s="297" t="str">
        <f t="shared" si="14"/>
        <v/>
      </c>
      <c r="AQ12" s="299">
        <f t="shared" si="15"/>
        <v>0</v>
      </c>
      <c r="AR12" s="299">
        <f t="shared" si="16"/>
        <v>0</v>
      </c>
      <c r="AS12" s="300" t="str">
        <f t="shared" si="17"/>
        <v/>
      </c>
      <c r="AT12" s="301" t="str">
        <f>IF(COUNTIF(K12:R12,"F")&gt;0,"",IF(AS12="PASS",'Statement of Marks'!HF13,""))</f>
        <v/>
      </c>
      <c r="AU12" s="301" t="str">
        <f>IF(AS12="PASS",'Statement of Marks'!HG13,"")</f>
        <v/>
      </c>
      <c r="AV12" s="302"/>
    </row>
    <row r="13" spans="1:48" ht="15.95" customHeight="1">
      <c r="A13" s="284">
        <f>IF('Statement of Marks'!A14="","",'Statement of Marks'!A14)</f>
        <v>7</v>
      </c>
      <c r="B13" s="284">
        <f>IF('Statement of Marks'!B14="","",'Statement of Marks'!B14)</f>
        <v>1107</v>
      </c>
      <c r="C13" s="284">
        <f>IF('Statement of Marks'!C14="","",'Statement of Marks'!C14)</f>
        <v>222</v>
      </c>
      <c r="D13" s="285">
        <f>IF('Statement of Marks'!D14="","",'Statement of Marks'!D14)</f>
        <v>40065</v>
      </c>
      <c r="E13" s="286" t="str">
        <f>IF('Statement of Marks'!E14="","",'Statement of Marks'!E14)</f>
        <v>G</v>
      </c>
      <c r="F13" s="286" t="str">
        <f>IF('Statement of Marks'!F14="","",'Statement of Marks'!F14)</f>
        <v>T</v>
      </c>
      <c r="G13" s="286" t="str">
        <f>IF('Statement of Marks'!G14="","",'Statement of Marks'!G14)</f>
        <v>S</v>
      </c>
      <c r="H13" s="287" t="str">
        <f>IF('Statement of Marks'!GY14="","",'Statement of Marks'!GY14)</f>
        <v>SUPPLEMENTARY</v>
      </c>
      <c r="I13" s="287" t="str">
        <f>IF('Statement of Marks'!HB14="","",'Statement of Marks'!HB14)</f>
        <v/>
      </c>
      <c r="J13" s="288" t="str">
        <f>IF('Statement of Marks'!HC14="","",'Statement of Marks'!HC14)</f>
        <v/>
      </c>
      <c r="K13" s="296" t="str">
        <f>IF(B13="","",'Statement of Marks'!FJ14)</f>
        <v>II</v>
      </c>
      <c r="L13" s="296" t="str">
        <f>IF(B13="","",'Statement of Marks'!FM14)</f>
        <v>I</v>
      </c>
      <c r="M13" s="296" t="str">
        <f>IF(B13="","",'Statement of Marks'!FP14)</f>
        <v>S</v>
      </c>
      <c r="N13" s="296" t="str">
        <f>IF(B13="","",'Statement of Marks'!FW14)</f>
        <v>I</v>
      </c>
      <c r="O13" s="296" t="str">
        <f>IF(B13="","",'Statement of Marks'!GD14)</f>
        <v>III</v>
      </c>
      <c r="P13" s="296" t="str">
        <f>IF(B13="","",'Statement of Marks'!GK14)</f>
        <v/>
      </c>
      <c r="Q13" s="296" t="str">
        <f>IF(B13="","",'Statement of Marks'!GR14)</f>
        <v>A</v>
      </c>
      <c r="R13" s="296" t="str">
        <f>IF(B13="","",'Statement of Marks'!GS14)</f>
        <v>B</v>
      </c>
      <c r="S13" s="288" t="str">
        <f>IF(COUNTIF(K13:R13,"F")&gt;0,"",CONCATENATE('Statement of Marks'!GU14,'Statement of Marks'!GW14))</f>
        <v xml:space="preserve">  POLITICAL SCIENCE         </v>
      </c>
      <c r="T13" s="289">
        <f t="shared" si="0"/>
        <v>1</v>
      </c>
      <c r="U13" s="16"/>
      <c r="V13" s="297" t="str">
        <f t="shared" si="1"/>
        <v/>
      </c>
      <c r="W13" s="297" t="str">
        <f t="shared" si="2"/>
        <v/>
      </c>
      <c r="X13" s="16"/>
      <c r="Y13" s="297" t="str">
        <f t="shared" si="3"/>
        <v/>
      </c>
      <c r="Z13" s="297" t="str">
        <f t="shared" si="4"/>
        <v/>
      </c>
      <c r="AA13" s="16">
        <v>36</v>
      </c>
      <c r="AB13" s="297">
        <f t="shared" si="5"/>
        <v>36</v>
      </c>
      <c r="AC13" s="298" t="str">
        <f t="shared" si="6"/>
        <v>P</v>
      </c>
      <c r="AD13" s="16"/>
      <c r="AE13" s="297" t="str">
        <f t="shared" si="7"/>
        <v/>
      </c>
      <c r="AF13" s="298" t="str">
        <f t="shared" si="8"/>
        <v/>
      </c>
      <c r="AG13" s="16"/>
      <c r="AH13" s="297" t="str">
        <f t="shared" si="9"/>
        <v/>
      </c>
      <c r="AI13" s="298" t="str">
        <f t="shared" si="10"/>
        <v/>
      </c>
      <c r="AJ13" s="16"/>
      <c r="AK13" s="298" t="str">
        <f>IF(AJ13="","",IF(OR(AJ13="AB",P13="RE"),AJ13,IF(AND(P13="S"),ROUNDUP(AJ13,0),)))</f>
        <v/>
      </c>
      <c r="AL13" s="298" t="str">
        <f t="shared" si="12"/>
        <v/>
      </c>
      <c r="AM13" s="16"/>
      <c r="AN13" s="297" t="str">
        <f t="shared" si="13"/>
        <v/>
      </c>
      <c r="AO13" s="16"/>
      <c r="AP13" s="297" t="str">
        <f t="shared" si="14"/>
        <v/>
      </c>
      <c r="AQ13" s="299">
        <f t="shared" si="15"/>
        <v>1</v>
      </c>
      <c r="AR13" s="299">
        <f t="shared" si="16"/>
        <v>1</v>
      </c>
      <c r="AS13" s="300" t="str">
        <f t="shared" si="17"/>
        <v>PASS</v>
      </c>
      <c r="AT13" s="301">
        <f>IF(COUNTIF(K13:R13,"F")&gt;0,"",IF(AS13="PASS",'Statement of Marks'!HF14,""))</f>
        <v>48.9</v>
      </c>
      <c r="AU13" s="301" t="str">
        <f>IF(AS13="PASS",'Statement of Marks'!HG14,"")</f>
        <v>II</v>
      </c>
    </row>
    <row r="14" spans="1:48" ht="15.95" customHeight="1">
      <c r="A14" s="284">
        <f>IF('Statement of Marks'!A15="","",'Statement of Marks'!A15)</f>
        <v>8</v>
      </c>
      <c r="B14" s="284">
        <f>IF('Statement of Marks'!B15="","",'Statement of Marks'!B15)</f>
        <v>1108</v>
      </c>
      <c r="C14" s="284">
        <f>IF('Statement of Marks'!C15="","",'Statement of Marks'!C15)</f>
        <v>123</v>
      </c>
      <c r="D14" s="285">
        <f>IF('Statement of Marks'!D15="","",'Statement of Marks'!D15)</f>
        <v>39763</v>
      </c>
      <c r="E14" s="286" t="str">
        <f>IF('Statement of Marks'!E15="","",'Statement of Marks'!E15)</f>
        <v>O</v>
      </c>
      <c r="F14" s="286" t="str">
        <f>IF('Statement of Marks'!F15="","",'Statement of Marks'!F15)</f>
        <v>R</v>
      </c>
      <c r="G14" s="286" t="str">
        <f>IF('Statement of Marks'!G15="","",'Statement of Marks'!G15)</f>
        <v>I</v>
      </c>
      <c r="H14" s="287" t="str">
        <f>IF('Statement of Marks'!GY15="","",'Statement of Marks'!GY15)</f>
        <v>SUPPLEMENTARY</v>
      </c>
      <c r="I14" s="287" t="str">
        <f>IF('Statement of Marks'!HB15="","",'Statement of Marks'!HB15)</f>
        <v/>
      </c>
      <c r="J14" s="288" t="str">
        <f>IF('Statement of Marks'!HC15="","",'Statement of Marks'!HC15)</f>
        <v/>
      </c>
      <c r="K14" s="296" t="str">
        <f>IF(B14="","",'Statement of Marks'!FJ15)</f>
        <v>II</v>
      </c>
      <c r="L14" s="296" t="str">
        <f>IF(B14="","",'Statement of Marks'!FM15)</f>
        <v>I</v>
      </c>
      <c r="M14" s="296" t="str">
        <f>IF(B14="","",'Statement of Marks'!FP15)</f>
        <v>S</v>
      </c>
      <c r="N14" s="296" t="str">
        <f>IF(B14="","",'Statement of Marks'!FW15)</f>
        <v>I</v>
      </c>
      <c r="O14" s="296" t="str">
        <f>IF(B14="","",'Statement of Marks'!GD15)</f>
        <v>S</v>
      </c>
      <c r="P14" s="296" t="str">
        <f>IF(B14="","",'Statement of Marks'!GK15)</f>
        <v/>
      </c>
      <c r="Q14" s="296" t="str">
        <f>IF(B14="","",'Statement of Marks'!GR15)</f>
        <v>A</v>
      </c>
      <c r="R14" s="296" t="str">
        <f>IF(B14="","",'Statement of Marks'!GS15)</f>
        <v>B</v>
      </c>
      <c r="S14" s="288" t="str">
        <f>IF(COUNTIF(K14:R14,"F")&gt;0,"",CONCATENATE('Statement of Marks'!GU15,'Statement of Marks'!GW15))</f>
        <v xml:space="preserve">  POLITICAL SCIENCE  HOME SCIENCE       </v>
      </c>
      <c r="T14" s="289">
        <f t="shared" si="0"/>
        <v>2</v>
      </c>
      <c r="U14" s="16"/>
      <c r="V14" s="297" t="str">
        <f t="shared" si="1"/>
        <v/>
      </c>
      <c r="W14" s="297" t="str">
        <f t="shared" si="2"/>
        <v/>
      </c>
      <c r="X14" s="16"/>
      <c r="Y14" s="297" t="str">
        <f t="shared" si="3"/>
        <v/>
      </c>
      <c r="Z14" s="297" t="str">
        <f t="shared" si="4"/>
        <v/>
      </c>
      <c r="AA14" s="16">
        <v>36</v>
      </c>
      <c r="AB14" s="297">
        <f t="shared" si="5"/>
        <v>36</v>
      </c>
      <c r="AC14" s="298" t="str">
        <f t="shared" si="6"/>
        <v>P</v>
      </c>
      <c r="AD14" s="16"/>
      <c r="AE14" s="297" t="str">
        <f t="shared" si="7"/>
        <v/>
      </c>
      <c r="AF14" s="298" t="str">
        <f t="shared" si="8"/>
        <v/>
      </c>
      <c r="AG14" s="16">
        <v>36</v>
      </c>
      <c r="AH14" s="297">
        <f t="shared" si="9"/>
        <v>36</v>
      </c>
      <c r="AI14" s="298" t="str">
        <f t="shared" si="10"/>
        <v>P</v>
      </c>
      <c r="AJ14" s="16"/>
      <c r="AK14" s="298" t="str">
        <f t="shared" si="11"/>
        <v/>
      </c>
      <c r="AL14" s="298" t="str">
        <f t="shared" si="12"/>
        <v/>
      </c>
      <c r="AM14" s="16"/>
      <c r="AN14" s="297" t="str">
        <f t="shared" si="13"/>
        <v/>
      </c>
      <c r="AO14" s="16"/>
      <c r="AP14" s="297" t="str">
        <f t="shared" si="14"/>
        <v/>
      </c>
      <c r="AQ14" s="299">
        <f t="shared" si="15"/>
        <v>2</v>
      </c>
      <c r="AR14" s="299">
        <f t="shared" si="16"/>
        <v>2</v>
      </c>
      <c r="AS14" s="300" t="str">
        <f t="shared" si="17"/>
        <v>PASS</v>
      </c>
      <c r="AT14" s="301">
        <f>IF(COUNTIF(K14:R14,"F")&gt;0,"",IF(AS14="PASS",'Statement of Marks'!HF15,""))</f>
        <v>42</v>
      </c>
      <c r="AU14" s="301" t="str">
        <f>IF(AS14="PASS",'Statement of Marks'!HG15,"")</f>
        <v>III</v>
      </c>
    </row>
    <row r="15" spans="1:48" ht="15.95" customHeight="1">
      <c r="A15" s="284">
        <f>IF('Statement of Marks'!A16="","",'Statement of Marks'!A16)</f>
        <v>9</v>
      </c>
      <c r="B15" s="284">
        <f>IF('Statement of Marks'!B16="","",'Statement of Marks'!B16)</f>
        <v>1109</v>
      </c>
      <c r="C15" s="284">
        <f>IF('Statement of Marks'!C16="","",'Statement of Marks'!C16)</f>
        <v>345</v>
      </c>
      <c r="D15" s="285">
        <f>IF('Statement of Marks'!D16="","",'Statement of Marks'!D16)</f>
        <v>40795</v>
      </c>
      <c r="E15" s="286" t="str">
        <f>IF('Statement of Marks'!E16="","",'Statement of Marks'!E16)</f>
        <v>P</v>
      </c>
      <c r="F15" s="286" t="str">
        <f>IF('Statement of Marks'!F16="","",'Statement of Marks'!F16)</f>
        <v>P</v>
      </c>
      <c r="G15" s="286" t="str">
        <f>IF('Statement of Marks'!G16="","",'Statement of Marks'!G16)</f>
        <v>N</v>
      </c>
      <c r="H15" s="287" t="str">
        <f>IF('Statement of Marks'!GY16="","",'Statement of Marks'!GY16)</f>
        <v>FAIL</v>
      </c>
      <c r="I15" s="287" t="str">
        <f>IF('Statement of Marks'!HB16="","",'Statement of Marks'!HB16)</f>
        <v/>
      </c>
      <c r="J15" s="288" t="str">
        <f>IF('Statement of Marks'!HC16="","",'Statement of Marks'!HC16)</f>
        <v/>
      </c>
      <c r="K15" s="296" t="str">
        <f>IF(B15="","",'Statement of Marks'!FJ16)</f>
        <v>II</v>
      </c>
      <c r="L15" s="296" t="str">
        <f>IF(B15="","",'Statement of Marks'!FM16)</f>
        <v>II</v>
      </c>
      <c r="M15" s="296" t="str">
        <f>IF(B15="","",'Statement of Marks'!FP16)</f>
        <v>F</v>
      </c>
      <c r="N15" s="296" t="str">
        <f>IF(B15="","",'Statement of Marks'!FW16)</f>
        <v>II</v>
      </c>
      <c r="O15" s="296" t="str">
        <f>IF(B15="","",'Statement of Marks'!GD16)</f>
        <v>II</v>
      </c>
      <c r="P15" s="296" t="str">
        <f>IF(B15="","",'Statement of Marks'!GK16)</f>
        <v/>
      </c>
      <c r="Q15" s="296" t="str">
        <f>IF(B15="","",'Statement of Marks'!GR16)</f>
        <v>A</v>
      </c>
      <c r="R15" s="296" t="str">
        <f>IF(B15="","",'Statement of Marks'!GS16)</f>
        <v>B</v>
      </c>
      <c r="S15" s="288" t="str">
        <f>IF(COUNTIF(K15:R15,"F")&gt;0,"",CONCATENATE('Statement of Marks'!GU16,'Statement of Marks'!GW16))</f>
        <v/>
      </c>
      <c r="T15" s="289" t="str">
        <f t="shared" si="0"/>
        <v/>
      </c>
      <c r="U15" s="16"/>
      <c r="V15" s="297" t="str">
        <f t="shared" si="1"/>
        <v/>
      </c>
      <c r="W15" s="297" t="str">
        <f t="shared" si="2"/>
        <v/>
      </c>
      <c r="X15" s="16"/>
      <c r="Y15" s="297" t="str">
        <f t="shared" si="3"/>
        <v/>
      </c>
      <c r="Z15" s="297" t="str">
        <f t="shared" si="4"/>
        <v/>
      </c>
      <c r="AA15" s="16"/>
      <c r="AB15" s="297" t="str">
        <f t="shared" si="5"/>
        <v/>
      </c>
      <c r="AC15" s="298" t="str">
        <f t="shared" si="6"/>
        <v/>
      </c>
      <c r="AD15" s="16"/>
      <c r="AE15" s="297" t="str">
        <f t="shared" si="7"/>
        <v/>
      </c>
      <c r="AF15" s="298" t="str">
        <f t="shared" si="8"/>
        <v/>
      </c>
      <c r="AG15" s="16"/>
      <c r="AH15" s="297" t="str">
        <f t="shared" si="9"/>
        <v/>
      </c>
      <c r="AI15" s="298" t="str">
        <f t="shared" si="10"/>
        <v/>
      </c>
      <c r="AJ15" s="16"/>
      <c r="AK15" s="298" t="str">
        <f t="shared" si="11"/>
        <v/>
      </c>
      <c r="AL15" s="298" t="str">
        <f t="shared" si="12"/>
        <v/>
      </c>
      <c r="AM15" s="16"/>
      <c r="AN15" s="297" t="str">
        <f t="shared" si="13"/>
        <v/>
      </c>
      <c r="AO15" s="16"/>
      <c r="AP15" s="297" t="str">
        <f t="shared" si="14"/>
        <v/>
      </c>
      <c r="AQ15" s="299" t="str">
        <f t="shared" si="15"/>
        <v/>
      </c>
      <c r="AR15" s="299" t="str">
        <f t="shared" si="16"/>
        <v/>
      </c>
      <c r="AS15" s="300" t="str">
        <f t="shared" si="17"/>
        <v/>
      </c>
      <c r="AT15" s="301" t="str">
        <f>IF(COUNTIF(K15:R15,"F")&gt;0,"",IF(AS15="PASS",'Statement of Marks'!HF16,""))</f>
        <v/>
      </c>
      <c r="AU15" s="301" t="str">
        <f>IF(AS15="PASS",'Statement of Marks'!HG16,"")</f>
        <v/>
      </c>
    </row>
    <row r="16" spans="1:48" ht="15.95" customHeight="1">
      <c r="A16" s="284">
        <f>IF('Statement of Marks'!A17="","",'Statement of Marks'!A17)</f>
        <v>10</v>
      </c>
      <c r="B16" s="284">
        <f>IF('Statement of Marks'!B17="","",'Statement of Marks'!B17)</f>
        <v>1110</v>
      </c>
      <c r="C16" s="284">
        <f>IF('Statement of Marks'!C17="","",'Statement of Marks'!C17)</f>
        <v>678</v>
      </c>
      <c r="D16" s="285">
        <f>IF('Statement of Marks'!D17="","",'Statement of Marks'!D17)</f>
        <v>38841</v>
      </c>
      <c r="E16" s="286" t="str">
        <f>IF('Statement of Marks'!E17="","",'Statement of Marks'!E17)</f>
        <v>S</v>
      </c>
      <c r="F16" s="286" t="str">
        <f>IF('Statement of Marks'!F17="","",'Statement of Marks'!F17)</f>
        <v>M</v>
      </c>
      <c r="G16" s="286" t="str">
        <f>IF('Statement of Marks'!G17="","",'Statement of Marks'!G17)</f>
        <v>B</v>
      </c>
      <c r="H16" s="287" t="str">
        <f>IF('Statement of Marks'!GY17="","",'Statement of Marks'!GY17)</f>
        <v>BY GRACE PASS</v>
      </c>
      <c r="I16" s="287" t="str">
        <f>IF('Statement of Marks'!HB17="","",'Statement of Marks'!HB17)</f>
        <v>III</v>
      </c>
      <c r="J16" s="288">
        <f>IF('Statement of Marks'!HC17="","",'Statement of Marks'!HC17)</f>
        <v>46.161616161616159</v>
      </c>
      <c r="K16" s="296" t="str">
        <f>IF(B16="","",'Statement of Marks'!FJ17)</f>
        <v>II</v>
      </c>
      <c r="L16" s="296" t="str">
        <f>IF(B16="","",'Statement of Marks'!FM17)</f>
        <v>II</v>
      </c>
      <c r="M16" s="296" t="str">
        <f>IF(B16="","",'Statement of Marks'!FP17)</f>
        <v>G</v>
      </c>
      <c r="N16" s="296" t="str">
        <f>IF(B16="","",'Statement of Marks'!FW17)</f>
        <v>III</v>
      </c>
      <c r="O16" s="296" t="str">
        <f>IF(B16="","",'Statement of Marks'!GD17)</f>
        <v>II</v>
      </c>
      <c r="P16" s="296" t="str">
        <f>IF(B16="","",'Statement of Marks'!GK17)</f>
        <v/>
      </c>
      <c r="Q16" s="296" t="str">
        <f>IF(B16="","",'Statement of Marks'!GR17)</f>
        <v>A</v>
      </c>
      <c r="R16" s="296" t="str">
        <f>IF(B16="","",'Statement of Marks'!GS17)</f>
        <v>B</v>
      </c>
      <c r="S16" s="288" t="str">
        <f>IF(COUNTIF(K16:R16,"F")&gt;0,"",CONCATENATE('Statement of Marks'!GU17,'Statement of Marks'!GW17))</f>
        <v xml:space="preserve">           </v>
      </c>
      <c r="T16" s="289">
        <f t="shared" si="0"/>
        <v>0</v>
      </c>
      <c r="U16" s="16"/>
      <c r="V16" s="297" t="str">
        <f t="shared" si="1"/>
        <v/>
      </c>
      <c r="W16" s="297" t="str">
        <f t="shared" si="2"/>
        <v/>
      </c>
      <c r="X16" s="16"/>
      <c r="Y16" s="297" t="str">
        <f t="shared" si="3"/>
        <v/>
      </c>
      <c r="Z16" s="297" t="str">
        <f t="shared" si="4"/>
        <v/>
      </c>
      <c r="AA16" s="16"/>
      <c r="AB16" s="297" t="str">
        <f t="shared" si="5"/>
        <v/>
      </c>
      <c r="AC16" s="298" t="str">
        <f t="shared" si="6"/>
        <v/>
      </c>
      <c r="AD16" s="16"/>
      <c r="AE16" s="297" t="str">
        <f t="shared" si="7"/>
        <v/>
      </c>
      <c r="AF16" s="298" t="str">
        <f t="shared" si="8"/>
        <v/>
      </c>
      <c r="AG16" s="16"/>
      <c r="AH16" s="297" t="str">
        <f t="shared" si="9"/>
        <v/>
      </c>
      <c r="AI16" s="298" t="str">
        <f t="shared" si="10"/>
        <v/>
      </c>
      <c r="AJ16" s="16"/>
      <c r="AK16" s="298" t="str">
        <f t="shared" si="11"/>
        <v/>
      </c>
      <c r="AL16" s="298" t="str">
        <f t="shared" si="12"/>
        <v/>
      </c>
      <c r="AM16" s="16"/>
      <c r="AN16" s="297" t="str">
        <f t="shared" si="13"/>
        <v/>
      </c>
      <c r="AO16" s="16"/>
      <c r="AP16" s="297" t="str">
        <f t="shared" si="14"/>
        <v/>
      </c>
      <c r="AQ16" s="299">
        <f t="shared" si="15"/>
        <v>0</v>
      </c>
      <c r="AR16" s="299">
        <f t="shared" si="16"/>
        <v>0</v>
      </c>
      <c r="AS16" s="300" t="str">
        <f t="shared" si="17"/>
        <v/>
      </c>
      <c r="AT16" s="301" t="str">
        <f>IF(COUNTIF(K16:R16,"F")&gt;0,"",IF(AS16="PASS",'Statement of Marks'!HF17,""))</f>
        <v/>
      </c>
      <c r="AU16" s="301" t="str">
        <f>IF(AS16="PASS",'Statement of Marks'!HG17,"")</f>
        <v/>
      </c>
    </row>
    <row r="17" spans="1:47" ht="15.95" customHeight="1">
      <c r="A17" s="284">
        <f>IF('Statement of Marks'!A18="","",'Statement of Marks'!A18)</f>
        <v>11</v>
      </c>
      <c r="B17" s="284">
        <f>IF('Statement of Marks'!B18="","",'Statement of Marks'!B18)</f>
        <v>1111</v>
      </c>
      <c r="C17" s="284">
        <f>IF('Statement of Marks'!C18="","",'Statement of Marks'!C18)</f>
        <v>654</v>
      </c>
      <c r="D17" s="285">
        <f>IF('Statement of Marks'!D18="","",'Statement of Marks'!D18)</f>
        <v>39635</v>
      </c>
      <c r="E17" s="286" t="str">
        <f>IF('Statement of Marks'!E18="","",'Statement of Marks'!E18)</f>
        <v>M</v>
      </c>
      <c r="F17" s="286" t="str">
        <f>IF('Statement of Marks'!F18="","",'Statement of Marks'!F18)</f>
        <v>N</v>
      </c>
      <c r="G17" s="286" t="str">
        <f>IF('Statement of Marks'!G18="","",'Statement of Marks'!G18)</f>
        <v>A</v>
      </c>
      <c r="H17" s="287" t="str">
        <f>IF('Statement of Marks'!GY18="","",'Statement of Marks'!GY18)</f>
        <v>PASS</v>
      </c>
      <c r="I17" s="287" t="str">
        <f>IF('Statement of Marks'!HB18="","",'Statement of Marks'!HB18)</f>
        <v>III</v>
      </c>
      <c r="J17" s="288">
        <f>IF('Statement of Marks'!HC18="","",'Statement of Marks'!HC18)</f>
        <v>46.632653061224488</v>
      </c>
      <c r="K17" s="296" t="str">
        <f>IF(B17="","",'Statement of Marks'!FJ18)</f>
        <v>III</v>
      </c>
      <c r="L17" s="296" t="str">
        <f>IF(B17="","",'Statement of Marks'!FM18)</f>
        <v>II</v>
      </c>
      <c r="M17" s="296" t="str">
        <f>IF(B17="","",'Statement of Marks'!FP18)</f>
        <v>III</v>
      </c>
      <c r="N17" s="296" t="str">
        <f>IF(B17="","",'Statement of Marks'!FW18)</f>
        <v>III</v>
      </c>
      <c r="O17" s="296" t="str">
        <f>IF(B17="","",'Statement of Marks'!GD18)</f>
        <v>II</v>
      </c>
      <c r="P17" s="296" t="str">
        <f>IF(B17="","",'Statement of Marks'!GK18)</f>
        <v/>
      </c>
      <c r="Q17" s="296" t="str">
        <f>IF(B17="","",'Statement of Marks'!GR18)</f>
        <v>A</v>
      </c>
      <c r="R17" s="296" t="str">
        <f>IF(B17="","",'Statement of Marks'!GS18)</f>
        <v>B</v>
      </c>
      <c r="S17" s="288" t="str">
        <f>IF(COUNTIF(K17:R17,"F")&gt;0,"",CONCATENATE('Statement of Marks'!GU18,'Statement of Marks'!GW18))</f>
        <v xml:space="preserve">           </v>
      </c>
      <c r="T17" s="289">
        <f t="shared" si="0"/>
        <v>0</v>
      </c>
      <c r="U17" s="16"/>
      <c r="V17" s="297" t="str">
        <f t="shared" si="1"/>
        <v/>
      </c>
      <c r="W17" s="297" t="str">
        <f t="shared" si="2"/>
        <v/>
      </c>
      <c r="X17" s="16"/>
      <c r="Y17" s="297" t="str">
        <f t="shared" si="3"/>
        <v/>
      </c>
      <c r="Z17" s="297" t="str">
        <f t="shared" si="4"/>
        <v/>
      </c>
      <c r="AA17" s="16"/>
      <c r="AB17" s="297" t="str">
        <f t="shared" si="5"/>
        <v/>
      </c>
      <c r="AC17" s="298" t="str">
        <f t="shared" si="6"/>
        <v/>
      </c>
      <c r="AD17" s="16"/>
      <c r="AE17" s="297" t="str">
        <f t="shared" si="7"/>
        <v/>
      </c>
      <c r="AF17" s="298" t="str">
        <f t="shared" si="8"/>
        <v/>
      </c>
      <c r="AG17" s="16"/>
      <c r="AH17" s="297" t="str">
        <f t="shared" si="9"/>
        <v/>
      </c>
      <c r="AI17" s="298" t="str">
        <f t="shared" si="10"/>
        <v/>
      </c>
      <c r="AJ17" s="16"/>
      <c r="AK17" s="298" t="str">
        <f t="shared" si="11"/>
        <v/>
      </c>
      <c r="AL17" s="298" t="str">
        <f t="shared" si="12"/>
        <v/>
      </c>
      <c r="AM17" s="16"/>
      <c r="AN17" s="297" t="str">
        <f t="shared" si="13"/>
        <v/>
      </c>
      <c r="AO17" s="16"/>
      <c r="AP17" s="297" t="str">
        <f t="shared" si="14"/>
        <v/>
      </c>
      <c r="AQ17" s="299">
        <f t="shared" si="15"/>
        <v>0</v>
      </c>
      <c r="AR17" s="299">
        <f t="shared" si="16"/>
        <v>0</v>
      </c>
      <c r="AS17" s="300" t="str">
        <f t="shared" si="17"/>
        <v/>
      </c>
      <c r="AT17" s="301" t="str">
        <f>IF(COUNTIF(K17:R17,"F")&gt;0,"",IF(AS17="PASS",'Statement of Marks'!HF18,""))</f>
        <v/>
      </c>
      <c r="AU17" s="301" t="str">
        <f>IF(AS17="PASS",'Statement of Marks'!HG18,"")</f>
        <v/>
      </c>
    </row>
    <row r="18" spans="1:47">
      <c r="A18" s="284">
        <f>IF('Statement of Marks'!A19="","",'Statement of Marks'!A19)</f>
        <v>12</v>
      </c>
      <c r="B18" s="284" t="str">
        <f>IF('Statement of Marks'!B19="","",'Statement of Marks'!B19)</f>
        <v/>
      </c>
      <c r="C18" s="284" t="str">
        <f>IF('Statement of Marks'!C19="","",'Statement of Marks'!C19)</f>
        <v/>
      </c>
      <c r="D18" s="285" t="str">
        <f>IF('Statement of Marks'!D19="","",'Statement of Marks'!D19)</f>
        <v/>
      </c>
      <c r="E18" s="286" t="str">
        <f>IF('Statement of Marks'!E19="","",'Statement of Marks'!E19)</f>
        <v/>
      </c>
      <c r="F18" s="286" t="str">
        <f>IF('Statement of Marks'!F19="","",'Statement of Marks'!F19)</f>
        <v/>
      </c>
      <c r="G18" s="286" t="str">
        <f>IF('Statement of Marks'!G19="","",'Statement of Marks'!G19)</f>
        <v/>
      </c>
      <c r="H18" s="287" t="str">
        <f>IF('Statement of Marks'!GY19="","",'Statement of Marks'!GY19)</f>
        <v/>
      </c>
      <c r="I18" s="287" t="str">
        <f>IF('Statement of Marks'!HB19="","",'Statement of Marks'!HB19)</f>
        <v/>
      </c>
      <c r="J18" s="288" t="str">
        <f>IF('Statement of Marks'!HC19="","",'Statement of Marks'!HC19)</f>
        <v/>
      </c>
      <c r="K18" s="296" t="str">
        <f>IF(B18="","",'Statement of Marks'!FJ19)</f>
        <v/>
      </c>
      <c r="L18" s="296" t="str">
        <f>IF(B18="","",'Statement of Marks'!FM19)</f>
        <v/>
      </c>
      <c r="M18" s="296" t="str">
        <f>IF(B18="","",'Statement of Marks'!FP19)</f>
        <v/>
      </c>
      <c r="N18" s="296" t="str">
        <f>IF(B18="","",'Statement of Marks'!FW19)</f>
        <v/>
      </c>
      <c r="O18" s="296" t="str">
        <f>IF(B18="","",'Statement of Marks'!GD19)</f>
        <v/>
      </c>
      <c r="P18" s="296" t="str">
        <f>IF(B18="","",'Statement of Marks'!GK19)</f>
        <v/>
      </c>
      <c r="Q18" s="296" t="str">
        <f>IF(B18="","",'Statement of Marks'!GR19)</f>
        <v/>
      </c>
      <c r="R18" s="296" t="str">
        <f>IF(B18="","",'Statement of Marks'!GS19)</f>
        <v/>
      </c>
      <c r="S18" s="288" t="str">
        <f>IF(COUNTIF(K18:R18,"F")&gt;0,"",CONCATENATE('Statement of Marks'!GU19,'Statement of Marks'!GW19))</f>
        <v xml:space="preserve">           </v>
      </c>
      <c r="T18" s="289">
        <f t="shared" si="0"/>
        <v>0</v>
      </c>
      <c r="U18" s="16"/>
      <c r="V18" s="297" t="str">
        <f t="shared" si="1"/>
        <v/>
      </c>
      <c r="W18" s="297" t="str">
        <f t="shared" si="2"/>
        <v/>
      </c>
      <c r="X18" s="16"/>
      <c r="Y18" s="297" t="str">
        <f t="shared" si="3"/>
        <v/>
      </c>
      <c r="Z18" s="297" t="str">
        <f t="shared" si="4"/>
        <v/>
      </c>
      <c r="AA18" s="16"/>
      <c r="AB18" s="297" t="str">
        <f t="shared" si="5"/>
        <v/>
      </c>
      <c r="AC18" s="298" t="str">
        <f t="shared" si="6"/>
        <v/>
      </c>
      <c r="AD18" s="16"/>
      <c r="AE18" s="297" t="str">
        <f t="shared" si="7"/>
        <v/>
      </c>
      <c r="AF18" s="298" t="str">
        <f t="shared" si="8"/>
        <v/>
      </c>
      <c r="AG18" s="16"/>
      <c r="AH18" s="297" t="str">
        <f t="shared" si="9"/>
        <v/>
      </c>
      <c r="AI18" s="298" t="str">
        <f t="shared" si="10"/>
        <v/>
      </c>
      <c r="AJ18" s="16"/>
      <c r="AK18" s="298" t="str">
        <f t="shared" si="11"/>
        <v/>
      </c>
      <c r="AL18" s="298" t="str">
        <f t="shared" si="12"/>
        <v/>
      </c>
      <c r="AM18" s="16"/>
      <c r="AN18" s="297" t="str">
        <f t="shared" si="13"/>
        <v/>
      </c>
      <c r="AO18" s="16"/>
      <c r="AP18" s="297" t="str">
        <f t="shared" si="14"/>
        <v/>
      </c>
      <c r="AQ18" s="299">
        <f t="shared" si="15"/>
        <v>0</v>
      </c>
      <c r="AR18" s="299">
        <f t="shared" si="16"/>
        <v>0</v>
      </c>
      <c r="AS18" s="300" t="str">
        <f t="shared" si="17"/>
        <v/>
      </c>
      <c r="AT18" s="301" t="str">
        <f>IF(COUNTIF(K18:R18,"F")&gt;0,"",IF(AS18="PASS",'Statement of Marks'!HF19,""))</f>
        <v/>
      </c>
      <c r="AU18" s="301" t="str">
        <f>IF(AS18="PASS",'Statement of Marks'!HG19,"")</f>
        <v/>
      </c>
    </row>
    <row r="19" spans="1:47">
      <c r="A19" s="284">
        <f>IF('Statement of Marks'!A20="","",'Statement of Marks'!A20)</f>
        <v>13</v>
      </c>
      <c r="B19" s="284" t="str">
        <f>IF('Statement of Marks'!B20="","",'Statement of Marks'!B20)</f>
        <v/>
      </c>
      <c r="C19" s="284" t="str">
        <f>IF('Statement of Marks'!C20="","",'Statement of Marks'!C20)</f>
        <v/>
      </c>
      <c r="D19" s="285" t="str">
        <f>IF('Statement of Marks'!D20="","",'Statement of Marks'!D20)</f>
        <v/>
      </c>
      <c r="E19" s="286" t="str">
        <f>IF('Statement of Marks'!E20="","",'Statement of Marks'!E20)</f>
        <v/>
      </c>
      <c r="F19" s="286" t="str">
        <f>IF('Statement of Marks'!F20="","",'Statement of Marks'!F20)</f>
        <v/>
      </c>
      <c r="G19" s="286" t="str">
        <f>IF('Statement of Marks'!G20="","",'Statement of Marks'!G20)</f>
        <v/>
      </c>
      <c r="H19" s="287" t="str">
        <f>IF('Statement of Marks'!GY20="","",'Statement of Marks'!GY20)</f>
        <v/>
      </c>
      <c r="I19" s="287" t="str">
        <f>IF('Statement of Marks'!HB20="","",'Statement of Marks'!HB20)</f>
        <v/>
      </c>
      <c r="J19" s="288" t="str">
        <f>IF('Statement of Marks'!HC20="","",'Statement of Marks'!HC20)</f>
        <v/>
      </c>
      <c r="K19" s="296" t="str">
        <f>IF(B19="","",'Statement of Marks'!FJ20)</f>
        <v/>
      </c>
      <c r="L19" s="296" t="str">
        <f>IF(B19="","",'Statement of Marks'!FM20)</f>
        <v/>
      </c>
      <c r="M19" s="296" t="str">
        <f>IF(B19="","",'Statement of Marks'!FP20)</f>
        <v/>
      </c>
      <c r="N19" s="296" t="str">
        <f>IF(B19="","",'Statement of Marks'!FW20)</f>
        <v/>
      </c>
      <c r="O19" s="296" t="str">
        <f>IF(B19="","",'Statement of Marks'!GD20)</f>
        <v/>
      </c>
      <c r="P19" s="296" t="str">
        <f>IF(B19="","",'Statement of Marks'!GK20)</f>
        <v/>
      </c>
      <c r="Q19" s="296" t="str">
        <f>IF(B19="","",'Statement of Marks'!GR20)</f>
        <v/>
      </c>
      <c r="R19" s="296" t="str">
        <f>IF(B19="","",'Statement of Marks'!GS20)</f>
        <v/>
      </c>
      <c r="S19" s="288" t="str">
        <f>IF(COUNTIF(K19:R19,"F")&gt;0,"",CONCATENATE('Statement of Marks'!GU20,'Statement of Marks'!GW20))</f>
        <v xml:space="preserve">           </v>
      </c>
      <c r="T19" s="289">
        <f t="shared" si="0"/>
        <v>0</v>
      </c>
      <c r="U19" s="16"/>
      <c r="V19" s="297" t="str">
        <f t="shared" si="1"/>
        <v/>
      </c>
      <c r="W19" s="297" t="str">
        <f t="shared" si="2"/>
        <v/>
      </c>
      <c r="X19" s="16"/>
      <c r="Y19" s="297" t="str">
        <f t="shared" si="3"/>
        <v/>
      </c>
      <c r="Z19" s="297" t="str">
        <f t="shared" si="4"/>
        <v/>
      </c>
      <c r="AA19" s="16"/>
      <c r="AB19" s="297" t="str">
        <f t="shared" si="5"/>
        <v/>
      </c>
      <c r="AC19" s="298" t="str">
        <f t="shared" si="6"/>
        <v/>
      </c>
      <c r="AD19" s="16"/>
      <c r="AE19" s="297" t="str">
        <f t="shared" si="7"/>
        <v/>
      </c>
      <c r="AF19" s="298" t="str">
        <f t="shared" si="8"/>
        <v/>
      </c>
      <c r="AG19" s="16"/>
      <c r="AH19" s="297" t="str">
        <f t="shared" si="9"/>
        <v/>
      </c>
      <c r="AI19" s="298" t="str">
        <f t="shared" si="10"/>
        <v/>
      </c>
      <c r="AJ19" s="16"/>
      <c r="AK19" s="298" t="str">
        <f t="shared" si="11"/>
        <v/>
      </c>
      <c r="AL19" s="298" t="str">
        <f t="shared" si="12"/>
        <v/>
      </c>
      <c r="AM19" s="16"/>
      <c r="AN19" s="297" t="str">
        <f t="shared" si="13"/>
        <v/>
      </c>
      <c r="AO19" s="16"/>
      <c r="AP19" s="297" t="str">
        <f t="shared" si="14"/>
        <v/>
      </c>
      <c r="AQ19" s="299">
        <f t="shared" si="15"/>
        <v>0</v>
      </c>
      <c r="AR19" s="299">
        <f t="shared" si="16"/>
        <v>0</v>
      </c>
      <c r="AS19" s="300" t="str">
        <f t="shared" si="17"/>
        <v/>
      </c>
      <c r="AT19" s="301" t="str">
        <f>IF(COUNTIF(K19:R19,"F")&gt;0,"",IF(AS19="PASS",'Statement of Marks'!HF20,""))</f>
        <v/>
      </c>
      <c r="AU19" s="301" t="str">
        <f>IF(AS19="PASS",'Statement of Marks'!HG20,"")</f>
        <v/>
      </c>
    </row>
    <row r="20" spans="1:47">
      <c r="A20" s="284">
        <f>IF('Statement of Marks'!A21="","",'Statement of Marks'!A21)</f>
        <v>14</v>
      </c>
      <c r="B20" s="284" t="str">
        <f>IF('Statement of Marks'!B21="","",'Statement of Marks'!B21)</f>
        <v/>
      </c>
      <c r="C20" s="284" t="str">
        <f>IF('Statement of Marks'!C21="","",'Statement of Marks'!C21)</f>
        <v/>
      </c>
      <c r="D20" s="285" t="str">
        <f>IF('Statement of Marks'!D21="","",'Statement of Marks'!D21)</f>
        <v/>
      </c>
      <c r="E20" s="286" t="str">
        <f>IF('Statement of Marks'!E21="","",'Statement of Marks'!E21)</f>
        <v/>
      </c>
      <c r="F20" s="286" t="str">
        <f>IF('Statement of Marks'!F21="","",'Statement of Marks'!F21)</f>
        <v/>
      </c>
      <c r="G20" s="286" t="str">
        <f>IF('Statement of Marks'!G21="","",'Statement of Marks'!G21)</f>
        <v/>
      </c>
      <c r="H20" s="287" t="str">
        <f>IF('Statement of Marks'!GY21="","",'Statement of Marks'!GY21)</f>
        <v/>
      </c>
      <c r="I20" s="287" t="str">
        <f>IF('Statement of Marks'!HB21="","",'Statement of Marks'!HB21)</f>
        <v/>
      </c>
      <c r="J20" s="288" t="str">
        <f>IF('Statement of Marks'!HC21="","",'Statement of Marks'!HC21)</f>
        <v/>
      </c>
      <c r="K20" s="296" t="str">
        <f>IF(B20="","",'Statement of Marks'!FJ21)</f>
        <v/>
      </c>
      <c r="L20" s="296" t="str">
        <f>IF(B20="","",'Statement of Marks'!FM21)</f>
        <v/>
      </c>
      <c r="M20" s="296" t="str">
        <f>IF(B20="","",'Statement of Marks'!FP21)</f>
        <v/>
      </c>
      <c r="N20" s="296" t="str">
        <f>IF(B20="","",'Statement of Marks'!FW21)</f>
        <v/>
      </c>
      <c r="O20" s="296" t="str">
        <f>IF(B20="","",'Statement of Marks'!GD21)</f>
        <v/>
      </c>
      <c r="P20" s="296" t="str">
        <f>IF(B20="","",'Statement of Marks'!GK21)</f>
        <v/>
      </c>
      <c r="Q20" s="296" t="str">
        <f>IF(B20="","",'Statement of Marks'!GR21)</f>
        <v/>
      </c>
      <c r="R20" s="296" t="str">
        <f>IF(B20="","",'Statement of Marks'!GS21)</f>
        <v/>
      </c>
      <c r="S20" s="288" t="str">
        <f>IF(COUNTIF(K20:R20,"F")&gt;0,"",CONCATENATE('Statement of Marks'!GU21,'Statement of Marks'!GW21))</f>
        <v xml:space="preserve">           </v>
      </c>
      <c r="T20" s="289">
        <f t="shared" si="0"/>
        <v>0</v>
      </c>
      <c r="U20" s="16"/>
      <c r="V20" s="297" t="str">
        <f t="shared" si="1"/>
        <v/>
      </c>
      <c r="W20" s="297" t="str">
        <f t="shared" si="2"/>
        <v/>
      </c>
      <c r="X20" s="16"/>
      <c r="Y20" s="297" t="str">
        <f t="shared" si="3"/>
        <v/>
      </c>
      <c r="Z20" s="297" t="str">
        <f t="shared" si="4"/>
        <v/>
      </c>
      <c r="AA20" s="16"/>
      <c r="AB20" s="297" t="str">
        <f t="shared" si="5"/>
        <v/>
      </c>
      <c r="AC20" s="298" t="str">
        <f t="shared" si="6"/>
        <v/>
      </c>
      <c r="AD20" s="16"/>
      <c r="AE20" s="297" t="str">
        <f t="shared" si="7"/>
        <v/>
      </c>
      <c r="AF20" s="298" t="str">
        <f t="shared" si="8"/>
        <v/>
      </c>
      <c r="AG20" s="16"/>
      <c r="AH20" s="297" t="str">
        <f t="shared" si="9"/>
        <v/>
      </c>
      <c r="AI20" s="298" t="str">
        <f t="shared" si="10"/>
        <v/>
      </c>
      <c r="AJ20" s="16"/>
      <c r="AK20" s="298" t="str">
        <f t="shared" si="11"/>
        <v/>
      </c>
      <c r="AL20" s="298" t="str">
        <f t="shared" si="12"/>
        <v/>
      </c>
      <c r="AM20" s="16"/>
      <c r="AN20" s="297" t="str">
        <f t="shared" si="13"/>
        <v/>
      </c>
      <c r="AO20" s="16"/>
      <c r="AP20" s="297" t="str">
        <f t="shared" si="14"/>
        <v/>
      </c>
      <c r="AQ20" s="299">
        <f t="shared" si="15"/>
        <v>0</v>
      </c>
      <c r="AR20" s="299">
        <f t="shared" si="16"/>
        <v>0</v>
      </c>
      <c r="AS20" s="300" t="str">
        <f t="shared" si="17"/>
        <v/>
      </c>
      <c r="AT20" s="301" t="str">
        <f>IF(COUNTIF(K20:R20,"F")&gt;0,"",IF(AS20="PASS",'Statement of Marks'!HF21,""))</f>
        <v/>
      </c>
      <c r="AU20" s="301" t="str">
        <f>IF(AS20="PASS",'Statement of Marks'!HG21,"")</f>
        <v/>
      </c>
    </row>
    <row r="21" spans="1:47">
      <c r="A21" s="284">
        <f>IF('Statement of Marks'!A22="","",'Statement of Marks'!A22)</f>
        <v>15</v>
      </c>
      <c r="B21" s="284" t="str">
        <f>IF('Statement of Marks'!B22="","",'Statement of Marks'!B22)</f>
        <v/>
      </c>
      <c r="C21" s="284" t="str">
        <f>IF('Statement of Marks'!C22="","",'Statement of Marks'!C22)</f>
        <v/>
      </c>
      <c r="D21" s="285" t="str">
        <f>IF('Statement of Marks'!D22="","",'Statement of Marks'!D22)</f>
        <v/>
      </c>
      <c r="E21" s="286" t="str">
        <f>IF('Statement of Marks'!E22="","",'Statement of Marks'!E22)</f>
        <v/>
      </c>
      <c r="F21" s="286" t="str">
        <f>IF('Statement of Marks'!F22="","",'Statement of Marks'!F22)</f>
        <v/>
      </c>
      <c r="G21" s="286" t="str">
        <f>IF('Statement of Marks'!G22="","",'Statement of Marks'!G22)</f>
        <v/>
      </c>
      <c r="H21" s="287" t="str">
        <f>IF('Statement of Marks'!GY22="","",'Statement of Marks'!GY22)</f>
        <v/>
      </c>
      <c r="I21" s="287" t="str">
        <f>IF('Statement of Marks'!HB22="","",'Statement of Marks'!HB22)</f>
        <v/>
      </c>
      <c r="J21" s="288" t="str">
        <f>IF('Statement of Marks'!HC22="","",'Statement of Marks'!HC22)</f>
        <v/>
      </c>
      <c r="K21" s="296" t="str">
        <f>IF(B21="","",'Statement of Marks'!FJ22)</f>
        <v/>
      </c>
      <c r="L21" s="296" t="str">
        <f>IF(B21="","",'Statement of Marks'!FM22)</f>
        <v/>
      </c>
      <c r="M21" s="296" t="str">
        <f>IF(B21="","",'Statement of Marks'!FP22)</f>
        <v/>
      </c>
      <c r="N21" s="296" t="str">
        <f>IF(B21="","",'Statement of Marks'!FW22)</f>
        <v/>
      </c>
      <c r="O21" s="296" t="str">
        <f>IF(B21="","",'Statement of Marks'!GD22)</f>
        <v/>
      </c>
      <c r="P21" s="296" t="str">
        <f>IF(B21="","",'Statement of Marks'!GK22)</f>
        <v/>
      </c>
      <c r="Q21" s="296" t="str">
        <f>IF(B21="","",'Statement of Marks'!GR22)</f>
        <v/>
      </c>
      <c r="R21" s="296" t="str">
        <f>IF(B21="","",'Statement of Marks'!GS22)</f>
        <v/>
      </c>
      <c r="S21" s="288" t="str">
        <f>IF(COUNTIF(K21:R21,"F")&gt;0,"",CONCATENATE('Statement of Marks'!GU22,'Statement of Marks'!GW22))</f>
        <v xml:space="preserve">           </v>
      </c>
      <c r="T21" s="289">
        <f t="shared" si="0"/>
        <v>0</v>
      </c>
      <c r="U21" s="16"/>
      <c r="V21" s="297" t="str">
        <f t="shared" si="1"/>
        <v/>
      </c>
      <c r="W21" s="297" t="str">
        <f t="shared" si="2"/>
        <v/>
      </c>
      <c r="X21" s="16"/>
      <c r="Y21" s="297" t="str">
        <f t="shared" si="3"/>
        <v/>
      </c>
      <c r="Z21" s="297" t="str">
        <f t="shared" si="4"/>
        <v/>
      </c>
      <c r="AA21" s="16"/>
      <c r="AB21" s="297" t="str">
        <f t="shared" si="5"/>
        <v/>
      </c>
      <c r="AC21" s="298" t="str">
        <f t="shared" si="6"/>
        <v/>
      </c>
      <c r="AD21" s="16"/>
      <c r="AE21" s="297" t="str">
        <f t="shared" si="7"/>
        <v/>
      </c>
      <c r="AF21" s="298" t="str">
        <f t="shared" si="8"/>
        <v/>
      </c>
      <c r="AG21" s="16"/>
      <c r="AH21" s="297" t="str">
        <f t="shared" si="9"/>
        <v/>
      </c>
      <c r="AI21" s="298" t="str">
        <f t="shared" si="10"/>
        <v/>
      </c>
      <c r="AJ21" s="16"/>
      <c r="AK21" s="298" t="str">
        <f t="shared" si="11"/>
        <v/>
      </c>
      <c r="AL21" s="298" t="str">
        <f t="shared" si="12"/>
        <v/>
      </c>
      <c r="AM21" s="16"/>
      <c r="AN21" s="297" t="str">
        <f t="shared" si="13"/>
        <v/>
      </c>
      <c r="AO21" s="16"/>
      <c r="AP21" s="297" t="str">
        <f t="shared" si="14"/>
        <v/>
      </c>
      <c r="AQ21" s="299">
        <f t="shared" si="15"/>
        <v>0</v>
      </c>
      <c r="AR21" s="299">
        <f t="shared" si="16"/>
        <v>0</v>
      </c>
      <c r="AS21" s="300" t="str">
        <f t="shared" si="17"/>
        <v/>
      </c>
      <c r="AT21" s="301" t="str">
        <f>IF(COUNTIF(K21:R21,"F")&gt;0,"",IF(AS21="PASS",'Statement of Marks'!HF22,""))</f>
        <v/>
      </c>
      <c r="AU21" s="301" t="str">
        <f>IF(AS21="PASS",'Statement of Marks'!HG22,"")</f>
        <v/>
      </c>
    </row>
    <row r="22" spans="1:47">
      <c r="A22" s="284">
        <f>IF('Statement of Marks'!A23="","",'Statement of Marks'!A23)</f>
        <v>16</v>
      </c>
      <c r="B22" s="284" t="str">
        <f>IF('Statement of Marks'!B23="","",'Statement of Marks'!B23)</f>
        <v/>
      </c>
      <c r="C22" s="284" t="str">
        <f>IF('Statement of Marks'!C23="","",'Statement of Marks'!C23)</f>
        <v/>
      </c>
      <c r="D22" s="285" t="str">
        <f>IF('Statement of Marks'!D23="","",'Statement of Marks'!D23)</f>
        <v/>
      </c>
      <c r="E22" s="286" t="str">
        <f>IF('Statement of Marks'!E23="","",'Statement of Marks'!E23)</f>
        <v/>
      </c>
      <c r="F22" s="286" t="str">
        <f>IF('Statement of Marks'!F23="","",'Statement of Marks'!F23)</f>
        <v/>
      </c>
      <c r="G22" s="286" t="str">
        <f>IF('Statement of Marks'!G23="","",'Statement of Marks'!G23)</f>
        <v/>
      </c>
      <c r="H22" s="287" t="str">
        <f>IF('Statement of Marks'!GY23="","",'Statement of Marks'!GY23)</f>
        <v/>
      </c>
      <c r="I22" s="287" t="str">
        <f>IF('Statement of Marks'!HB23="","",'Statement of Marks'!HB23)</f>
        <v/>
      </c>
      <c r="J22" s="288" t="str">
        <f>IF('Statement of Marks'!HC23="","",'Statement of Marks'!HC23)</f>
        <v/>
      </c>
      <c r="K22" s="296" t="str">
        <f>IF(B22="","",'Statement of Marks'!FJ23)</f>
        <v/>
      </c>
      <c r="L22" s="296" t="str">
        <f>IF(B22="","",'Statement of Marks'!FM23)</f>
        <v/>
      </c>
      <c r="M22" s="296" t="str">
        <f>IF(B22="","",'Statement of Marks'!FP23)</f>
        <v/>
      </c>
      <c r="N22" s="296" t="str">
        <f>IF(B22="","",'Statement of Marks'!FW23)</f>
        <v/>
      </c>
      <c r="O22" s="296" t="str">
        <f>IF(B22="","",'Statement of Marks'!GD23)</f>
        <v/>
      </c>
      <c r="P22" s="296" t="str">
        <f>IF(B22="","",'Statement of Marks'!GK23)</f>
        <v/>
      </c>
      <c r="Q22" s="296" t="str">
        <f>IF(B22="","",'Statement of Marks'!GR23)</f>
        <v/>
      </c>
      <c r="R22" s="296" t="str">
        <f>IF(B22="","",'Statement of Marks'!GS23)</f>
        <v/>
      </c>
      <c r="S22" s="288" t="str">
        <f>IF(COUNTIF(K22:R22,"F")&gt;0,"",CONCATENATE('Statement of Marks'!GU23,'Statement of Marks'!GW23))</f>
        <v xml:space="preserve">           </v>
      </c>
      <c r="T22" s="289">
        <f t="shared" si="0"/>
        <v>0</v>
      </c>
      <c r="U22" s="16"/>
      <c r="V22" s="297" t="str">
        <f t="shared" si="1"/>
        <v/>
      </c>
      <c r="W22" s="297" t="str">
        <f t="shared" si="2"/>
        <v/>
      </c>
      <c r="X22" s="16"/>
      <c r="Y22" s="297" t="str">
        <f t="shared" si="3"/>
        <v/>
      </c>
      <c r="Z22" s="297" t="str">
        <f t="shared" si="4"/>
        <v/>
      </c>
      <c r="AA22" s="16"/>
      <c r="AB22" s="297" t="str">
        <f t="shared" si="5"/>
        <v/>
      </c>
      <c r="AC22" s="298" t="str">
        <f t="shared" si="6"/>
        <v/>
      </c>
      <c r="AD22" s="16"/>
      <c r="AE22" s="297" t="str">
        <f t="shared" si="7"/>
        <v/>
      </c>
      <c r="AF22" s="298" t="str">
        <f t="shared" si="8"/>
        <v/>
      </c>
      <c r="AG22" s="16"/>
      <c r="AH22" s="297" t="str">
        <f t="shared" si="9"/>
        <v/>
      </c>
      <c r="AI22" s="298" t="str">
        <f t="shared" si="10"/>
        <v/>
      </c>
      <c r="AJ22" s="16"/>
      <c r="AK22" s="298" t="str">
        <f t="shared" si="11"/>
        <v/>
      </c>
      <c r="AL22" s="298" t="str">
        <f t="shared" si="12"/>
        <v/>
      </c>
      <c r="AM22" s="16"/>
      <c r="AN22" s="297" t="str">
        <f t="shared" si="13"/>
        <v/>
      </c>
      <c r="AO22" s="16"/>
      <c r="AP22" s="297" t="str">
        <f t="shared" si="14"/>
        <v/>
      </c>
      <c r="AQ22" s="299">
        <f t="shared" si="15"/>
        <v>0</v>
      </c>
      <c r="AR22" s="299">
        <f t="shared" si="16"/>
        <v>0</v>
      </c>
      <c r="AS22" s="300" t="str">
        <f t="shared" si="17"/>
        <v/>
      </c>
      <c r="AT22" s="301" t="str">
        <f>IF(COUNTIF(K22:R22,"F")&gt;0,"",IF(AS22="PASS",'Statement of Marks'!HF23,""))</f>
        <v/>
      </c>
      <c r="AU22" s="301" t="str">
        <f>IF(AS22="PASS",'Statement of Marks'!HG23,"")</f>
        <v/>
      </c>
    </row>
    <row r="23" spans="1:47">
      <c r="A23" s="284">
        <f>IF('Statement of Marks'!A24="","",'Statement of Marks'!A24)</f>
        <v>17</v>
      </c>
      <c r="B23" s="284" t="str">
        <f>IF('Statement of Marks'!B24="","",'Statement of Marks'!B24)</f>
        <v/>
      </c>
      <c r="C23" s="284" t="str">
        <f>IF('Statement of Marks'!C24="","",'Statement of Marks'!C24)</f>
        <v/>
      </c>
      <c r="D23" s="285" t="str">
        <f>IF('Statement of Marks'!D24="","",'Statement of Marks'!D24)</f>
        <v/>
      </c>
      <c r="E23" s="286" t="str">
        <f>IF('Statement of Marks'!E24="","",'Statement of Marks'!E24)</f>
        <v/>
      </c>
      <c r="F23" s="286" t="str">
        <f>IF('Statement of Marks'!F24="","",'Statement of Marks'!F24)</f>
        <v/>
      </c>
      <c r="G23" s="286" t="str">
        <f>IF('Statement of Marks'!G24="","",'Statement of Marks'!G24)</f>
        <v/>
      </c>
      <c r="H23" s="287" t="str">
        <f>IF('Statement of Marks'!GY24="","",'Statement of Marks'!GY24)</f>
        <v/>
      </c>
      <c r="I23" s="287" t="str">
        <f>IF('Statement of Marks'!HB24="","",'Statement of Marks'!HB24)</f>
        <v/>
      </c>
      <c r="J23" s="288" t="str">
        <f>IF('Statement of Marks'!HC24="","",'Statement of Marks'!HC24)</f>
        <v/>
      </c>
      <c r="K23" s="296" t="str">
        <f>IF(B23="","",'Statement of Marks'!FJ24)</f>
        <v/>
      </c>
      <c r="L23" s="296" t="str">
        <f>IF(B23="","",'Statement of Marks'!FM24)</f>
        <v/>
      </c>
      <c r="M23" s="296" t="str">
        <f>IF(B23="","",'Statement of Marks'!FP24)</f>
        <v/>
      </c>
      <c r="N23" s="296" t="str">
        <f>IF(B23="","",'Statement of Marks'!FW24)</f>
        <v/>
      </c>
      <c r="O23" s="296" t="str">
        <f>IF(B23="","",'Statement of Marks'!GD24)</f>
        <v/>
      </c>
      <c r="P23" s="296" t="str">
        <f>IF(B23="","",'Statement of Marks'!GK24)</f>
        <v/>
      </c>
      <c r="Q23" s="296" t="str">
        <f>IF(B23="","",'Statement of Marks'!GR24)</f>
        <v/>
      </c>
      <c r="R23" s="296" t="str">
        <f>IF(B23="","",'Statement of Marks'!GS24)</f>
        <v/>
      </c>
      <c r="S23" s="288" t="str">
        <f>IF(COUNTIF(K23:R23,"F")&gt;0,"",CONCATENATE('Statement of Marks'!GU24,'Statement of Marks'!GW24))</f>
        <v xml:space="preserve">           </v>
      </c>
      <c r="T23" s="289">
        <f t="shared" si="0"/>
        <v>0</v>
      </c>
      <c r="U23" s="16"/>
      <c r="V23" s="297" t="str">
        <f t="shared" si="1"/>
        <v/>
      </c>
      <c r="W23" s="297" t="str">
        <f t="shared" si="2"/>
        <v/>
      </c>
      <c r="X23" s="16"/>
      <c r="Y23" s="297" t="str">
        <f t="shared" si="3"/>
        <v/>
      </c>
      <c r="Z23" s="297" t="str">
        <f t="shared" si="4"/>
        <v/>
      </c>
      <c r="AA23" s="16"/>
      <c r="AB23" s="297" t="str">
        <f t="shared" si="5"/>
        <v/>
      </c>
      <c r="AC23" s="298" t="str">
        <f t="shared" si="6"/>
        <v/>
      </c>
      <c r="AD23" s="16"/>
      <c r="AE23" s="297" t="str">
        <f t="shared" si="7"/>
        <v/>
      </c>
      <c r="AF23" s="298" t="str">
        <f t="shared" si="8"/>
        <v/>
      </c>
      <c r="AG23" s="16"/>
      <c r="AH23" s="297" t="str">
        <f t="shared" si="9"/>
        <v/>
      </c>
      <c r="AI23" s="298" t="str">
        <f t="shared" si="10"/>
        <v/>
      </c>
      <c r="AJ23" s="16"/>
      <c r="AK23" s="298" t="str">
        <f t="shared" si="11"/>
        <v/>
      </c>
      <c r="AL23" s="298" t="str">
        <f t="shared" si="12"/>
        <v/>
      </c>
      <c r="AM23" s="16"/>
      <c r="AN23" s="297" t="str">
        <f t="shared" si="13"/>
        <v/>
      </c>
      <c r="AO23" s="16"/>
      <c r="AP23" s="297" t="str">
        <f t="shared" si="14"/>
        <v/>
      </c>
      <c r="AQ23" s="299">
        <f t="shared" si="15"/>
        <v>0</v>
      </c>
      <c r="AR23" s="299">
        <f t="shared" si="16"/>
        <v>0</v>
      </c>
      <c r="AS23" s="300" t="str">
        <f t="shared" si="17"/>
        <v/>
      </c>
      <c r="AT23" s="301" t="str">
        <f>IF(COUNTIF(K23:R23,"F")&gt;0,"",IF(AS23="PASS",'Statement of Marks'!HF24,""))</f>
        <v/>
      </c>
      <c r="AU23" s="301" t="str">
        <f>IF(AS23="PASS",'Statement of Marks'!HG24,"")</f>
        <v/>
      </c>
    </row>
    <row r="24" spans="1:47">
      <c r="A24" s="284">
        <f>IF('Statement of Marks'!A25="","",'Statement of Marks'!A25)</f>
        <v>18</v>
      </c>
      <c r="B24" s="284" t="str">
        <f>IF('Statement of Marks'!B25="","",'Statement of Marks'!B25)</f>
        <v/>
      </c>
      <c r="C24" s="284" t="str">
        <f>IF('Statement of Marks'!C25="","",'Statement of Marks'!C25)</f>
        <v/>
      </c>
      <c r="D24" s="285" t="str">
        <f>IF('Statement of Marks'!D25="","",'Statement of Marks'!D25)</f>
        <v/>
      </c>
      <c r="E24" s="286" t="str">
        <f>IF('Statement of Marks'!E25="","",'Statement of Marks'!E25)</f>
        <v/>
      </c>
      <c r="F24" s="286" t="str">
        <f>IF('Statement of Marks'!F25="","",'Statement of Marks'!F25)</f>
        <v/>
      </c>
      <c r="G24" s="286" t="str">
        <f>IF('Statement of Marks'!G25="","",'Statement of Marks'!G25)</f>
        <v/>
      </c>
      <c r="H24" s="287" t="str">
        <f>IF('Statement of Marks'!GY25="","",'Statement of Marks'!GY25)</f>
        <v/>
      </c>
      <c r="I24" s="287" t="str">
        <f>IF('Statement of Marks'!HB25="","",'Statement of Marks'!HB25)</f>
        <v/>
      </c>
      <c r="J24" s="288" t="str">
        <f>IF('Statement of Marks'!HC25="","",'Statement of Marks'!HC25)</f>
        <v/>
      </c>
      <c r="K24" s="296" t="str">
        <f>IF(B24="","",'Statement of Marks'!FJ25)</f>
        <v/>
      </c>
      <c r="L24" s="296" t="str">
        <f>IF(B24="","",'Statement of Marks'!FM25)</f>
        <v/>
      </c>
      <c r="M24" s="296" t="str">
        <f>IF(B24="","",'Statement of Marks'!FP25)</f>
        <v/>
      </c>
      <c r="N24" s="296" t="str">
        <f>IF(B24="","",'Statement of Marks'!FW25)</f>
        <v/>
      </c>
      <c r="O24" s="296" t="str">
        <f>IF(B24="","",'Statement of Marks'!GD25)</f>
        <v/>
      </c>
      <c r="P24" s="296" t="str">
        <f>IF(B24="","",'Statement of Marks'!GK25)</f>
        <v/>
      </c>
      <c r="Q24" s="296" t="str">
        <f>IF(B24="","",'Statement of Marks'!GR25)</f>
        <v/>
      </c>
      <c r="R24" s="296" t="str">
        <f>IF(B24="","",'Statement of Marks'!GS25)</f>
        <v/>
      </c>
      <c r="S24" s="288" t="str">
        <f>IF(COUNTIF(K24:R24,"F")&gt;0,"",CONCATENATE('Statement of Marks'!GU25,'Statement of Marks'!GW25))</f>
        <v xml:space="preserve">           </v>
      </c>
      <c r="T24" s="289">
        <f t="shared" si="0"/>
        <v>0</v>
      </c>
      <c r="U24" s="16"/>
      <c r="V24" s="297" t="str">
        <f t="shared" si="1"/>
        <v/>
      </c>
      <c r="W24" s="297" t="str">
        <f t="shared" si="2"/>
        <v/>
      </c>
      <c r="X24" s="16"/>
      <c r="Y24" s="297" t="str">
        <f t="shared" si="3"/>
        <v/>
      </c>
      <c r="Z24" s="297" t="str">
        <f t="shared" si="4"/>
        <v/>
      </c>
      <c r="AA24" s="16"/>
      <c r="AB24" s="297" t="str">
        <f t="shared" si="5"/>
        <v/>
      </c>
      <c r="AC24" s="298" t="str">
        <f t="shared" si="6"/>
        <v/>
      </c>
      <c r="AD24" s="16"/>
      <c r="AE24" s="297" t="str">
        <f t="shared" si="7"/>
        <v/>
      </c>
      <c r="AF24" s="298" t="str">
        <f t="shared" si="8"/>
        <v/>
      </c>
      <c r="AG24" s="16"/>
      <c r="AH24" s="297" t="str">
        <f t="shared" si="9"/>
        <v/>
      </c>
      <c r="AI24" s="298" t="str">
        <f t="shared" si="10"/>
        <v/>
      </c>
      <c r="AJ24" s="16"/>
      <c r="AK24" s="298" t="str">
        <f t="shared" si="11"/>
        <v/>
      </c>
      <c r="AL24" s="298" t="str">
        <f t="shared" si="12"/>
        <v/>
      </c>
      <c r="AM24" s="16"/>
      <c r="AN24" s="297" t="str">
        <f t="shared" si="13"/>
        <v/>
      </c>
      <c r="AO24" s="16"/>
      <c r="AP24" s="297" t="str">
        <f t="shared" si="14"/>
        <v/>
      </c>
      <c r="AQ24" s="299">
        <f t="shared" si="15"/>
        <v>0</v>
      </c>
      <c r="AR24" s="299">
        <f t="shared" si="16"/>
        <v>0</v>
      </c>
      <c r="AS24" s="300" t="str">
        <f t="shared" si="17"/>
        <v/>
      </c>
      <c r="AT24" s="301" t="str">
        <f>IF(COUNTIF(K24:R24,"F")&gt;0,"",IF(AS24="PASS",'Statement of Marks'!HF25,""))</f>
        <v/>
      </c>
      <c r="AU24" s="301" t="str">
        <f>IF(AS24="PASS",'Statement of Marks'!HG25,"")</f>
        <v/>
      </c>
    </row>
    <row r="25" spans="1:47" ht="15.75" customHeight="1">
      <c r="A25" s="284">
        <f>IF('Statement of Marks'!A26="","",'Statement of Marks'!A26)</f>
        <v>19</v>
      </c>
      <c r="B25" s="284" t="str">
        <f>IF('Statement of Marks'!B26="","",'Statement of Marks'!B26)</f>
        <v/>
      </c>
      <c r="C25" s="284" t="str">
        <f>IF('Statement of Marks'!C26="","",'Statement of Marks'!C26)</f>
        <v/>
      </c>
      <c r="D25" s="285" t="str">
        <f>IF('Statement of Marks'!D26="","",'Statement of Marks'!D26)</f>
        <v/>
      </c>
      <c r="E25" s="286" t="str">
        <f>IF('Statement of Marks'!E26="","",'Statement of Marks'!E26)</f>
        <v/>
      </c>
      <c r="F25" s="286" t="str">
        <f>IF('Statement of Marks'!F26="","",'Statement of Marks'!F26)</f>
        <v/>
      </c>
      <c r="G25" s="286" t="str">
        <f>IF('Statement of Marks'!G26="","",'Statement of Marks'!G26)</f>
        <v/>
      </c>
      <c r="H25" s="287" t="str">
        <f>IF('Statement of Marks'!GY26="","",'Statement of Marks'!GY26)</f>
        <v/>
      </c>
      <c r="I25" s="287" t="str">
        <f>IF('Statement of Marks'!HB26="","",'Statement of Marks'!HB26)</f>
        <v/>
      </c>
      <c r="J25" s="288" t="str">
        <f>IF('Statement of Marks'!HC26="","",'Statement of Marks'!HC26)</f>
        <v/>
      </c>
      <c r="K25" s="296" t="str">
        <f>IF(B25="","",'Statement of Marks'!FJ26)</f>
        <v/>
      </c>
      <c r="L25" s="296" t="str">
        <f>IF(B25="","",'Statement of Marks'!FM26)</f>
        <v/>
      </c>
      <c r="M25" s="296" t="str">
        <f>IF(B25="","",'Statement of Marks'!FP26)</f>
        <v/>
      </c>
      <c r="N25" s="296" t="str">
        <f>IF(B25="","",'Statement of Marks'!FW26)</f>
        <v/>
      </c>
      <c r="O25" s="296" t="str">
        <f>IF(B25="","",'Statement of Marks'!GD26)</f>
        <v/>
      </c>
      <c r="P25" s="296" t="str">
        <f>IF(B25="","",'Statement of Marks'!GK26)</f>
        <v/>
      </c>
      <c r="Q25" s="296" t="str">
        <f>IF(B25="","",'Statement of Marks'!GR26)</f>
        <v/>
      </c>
      <c r="R25" s="296" t="str">
        <f>IF(B25="","",'Statement of Marks'!GS26)</f>
        <v/>
      </c>
      <c r="S25" s="288" t="str">
        <f>IF(COUNTIF(K25:R25,"F")&gt;0,"",CONCATENATE('Statement of Marks'!GU26,'Statement of Marks'!GW26))</f>
        <v xml:space="preserve">           </v>
      </c>
      <c r="T25" s="289">
        <f t="shared" si="0"/>
        <v>0</v>
      </c>
      <c r="U25" s="16"/>
      <c r="V25" s="297" t="str">
        <f t="shared" si="1"/>
        <v/>
      </c>
      <c r="W25" s="297" t="str">
        <f t="shared" si="2"/>
        <v/>
      </c>
      <c r="X25" s="16"/>
      <c r="Y25" s="297" t="str">
        <f t="shared" si="3"/>
        <v/>
      </c>
      <c r="Z25" s="297" t="str">
        <f t="shared" si="4"/>
        <v/>
      </c>
      <c r="AA25" s="16"/>
      <c r="AB25" s="297" t="str">
        <f t="shared" si="5"/>
        <v/>
      </c>
      <c r="AC25" s="298" t="str">
        <f t="shared" si="6"/>
        <v/>
      </c>
      <c r="AD25" s="16"/>
      <c r="AE25" s="297" t="str">
        <f t="shared" si="7"/>
        <v/>
      </c>
      <c r="AF25" s="298" t="str">
        <f t="shared" si="8"/>
        <v/>
      </c>
      <c r="AG25" s="16"/>
      <c r="AH25" s="297" t="str">
        <f t="shared" si="9"/>
        <v/>
      </c>
      <c r="AI25" s="298" t="str">
        <f t="shared" si="10"/>
        <v/>
      </c>
      <c r="AJ25" s="16"/>
      <c r="AK25" s="298" t="str">
        <f t="shared" si="11"/>
        <v/>
      </c>
      <c r="AL25" s="298" t="str">
        <f t="shared" si="12"/>
        <v/>
      </c>
      <c r="AM25" s="16"/>
      <c r="AN25" s="297" t="str">
        <f t="shared" si="13"/>
        <v/>
      </c>
      <c r="AO25" s="16"/>
      <c r="AP25" s="297" t="str">
        <f t="shared" si="14"/>
        <v/>
      </c>
      <c r="AQ25" s="299">
        <f t="shared" si="15"/>
        <v>0</v>
      </c>
      <c r="AR25" s="299">
        <f t="shared" si="16"/>
        <v>0</v>
      </c>
      <c r="AS25" s="300" t="str">
        <f t="shared" si="17"/>
        <v/>
      </c>
      <c r="AT25" s="301" t="str">
        <f>IF(COUNTIF(K25:R25,"F")&gt;0,"",IF(AS25="PASS",'Statement of Marks'!HF26,""))</f>
        <v/>
      </c>
      <c r="AU25" s="301" t="str">
        <f>IF(AS25="PASS",'Statement of Marks'!HG26,"")</f>
        <v/>
      </c>
    </row>
    <row r="26" spans="1:47">
      <c r="A26" s="284">
        <f>IF('Statement of Marks'!A27="","",'Statement of Marks'!A27)</f>
        <v>20</v>
      </c>
      <c r="B26" s="284" t="str">
        <f>IF('Statement of Marks'!B27="","",'Statement of Marks'!B27)</f>
        <v/>
      </c>
      <c r="C26" s="284" t="str">
        <f>IF('Statement of Marks'!C27="","",'Statement of Marks'!C27)</f>
        <v/>
      </c>
      <c r="D26" s="285" t="str">
        <f>IF('Statement of Marks'!D27="","",'Statement of Marks'!D27)</f>
        <v/>
      </c>
      <c r="E26" s="286" t="str">
        <f>IF('Statement of Marks'!E27="","",'Statement of Marks'!E27)</f>
        <v/>
      </c>
      <c r="F26" s="286" t="str">
        <f>IF('Statement of Marks'!F27="","",'Statement of Marks'!F27)</f>
        <v/>
      </c>
      <c r="G26" s="286" t="str">
        <f>IF('Statement of Marks'!G27="","",'Statement of Marks'!G27)</f>
        <v/>
      </c>
      <c r="H26" s="287" t="str">
        <f>IF('Statement of Marks'!GY27="","",'Statement of Marks'!GY27)</f>
        <v/>
      </c>
      <c r="I26" s="287" t="str">
        <f>IF('Statement of Marks'!HB27="","",'Statement of Marks'!HB27)</f>
        <v/>
      </c>
      <c r="J26" s="288" t="str">
        <f>IF('Statement of Marks'!HC27="","",'Statement of Marks'!HC27)</f>
        <v/>
      </c>
      <c r="K26" s="296" t="str">
        <f>IF(B26="","",'Statement of Marks'!FJ27)</f>
        <v/>
      </c>
      <c r="L26" s="296" t="str">
        <f>IF(B26="","",'Statement of Marks'!FM27)</f>
        <v/>
      </c>
      <c r="M26" s="296" t="str">
        <f>IF(B26="","",'Statement of Marks'!FP27)</f>
        <v/>
      </c>
      <c r="N26" s="296" t="str">
        <f>IF(B26="","",'Statement of Marks'!FW27)</f>
        <v/>
      </c>
      <c r="O26" s="296" t="str">
        <f>IF(B26="","",'Statement of Marks'!GD27)</f>
        <v/>
      </c>
      <c r="P26" s="296" t="str">
        <f>IF(B26="","",'Statement of Marks'!GK27)</f>
        <v/>
      </c>
      <c r="Q26" s="296" t="str">
        <f>IF(B26="","",'Statement of Marks'!GR27)</f>
        <v/>
      </c>
      <c r="R26" s="296" t="str">
        <f>IF(B26="","",'Statement of Marks'!GS27)</f>
        <v/>
      </c>
      <c r="S26" s="288" t="str">
        <f>IF(COUNTIF(K26:R26,"F")&gt;0,"",CONCATENATE('Statement of Marks'!GU27,'Statement of Marks'!GW27))</f>
        <v xml:space="preserve">           </v>
      </c>
      <c r="T26" s="289">
        <f t="shared" si="0"/>
        <v>0</v>
      </c>
      <c r="U26" s="16"/>
      <c r="V26" s="297" t="str">
        <f t="shared" si="1"/>
        <v/>
      </c>
      <c r="W26" s="297" t="str">
        <f t="shared" si="2"/>
        <v/>
      </c>
      <c r="X26" s="16"/>
      <c r="Y26" s="297" t="str">
        <f t="shared" si="3"/>
        <v/>
      </c>
      <c r="Z26" s="297" t="str">
        <f t="shared" si="4"/>
        <v/>
      </c>
      <c r="AA26" s="16"/>
      <c r="AB26" s="297" t="str">
        <f t="shared" si="5"/>
        <v/>
      </c>
      <c r="AC26" s="298" t="str">
        <f t="shared" si="6"/>
        <v/>
      </c>
      <c r="AD26" s="16"/>
      <c r="AE26" s="297" t="str">
        <f t="shared" si="7"/>
        <v/>
      </c>
      <c r="AF26" s="298" t="str">
        <f t="shared" si="8"/>
        <v/>
      </c>
      <c r="AG26" s="16"/>
      <c r="AH26" s="297" t="str">
        <f t="shared" si="9"/>
        <v/>
      </c>
      <c r="AI26" s="298" t="str">
        <f t="shared" si="10"/>
        <v/>
      </c>
      <c r="AJ26" s="16"/>
      <c r="AK26" s="298" t="str">
        <f t="shared" si="11"/>
        <v/>
      </c>
      <c r="AL26" s="298" t="str">
        <f t="shared" si="12"/>
        <v/>
      </c>
      <c r="AM26" s="16"/>
      <c r="AN26" s="297" t="str">
        <f t="shared" si="13"/>
        <v/>
      </c>
      <c r="AO26" s="16"/>
      <c r="AP26" s="297" t="str">
        <f t="shared" si="14"/>
        <v/>
      </c>
      <c r="AQ26" s="299">
        <f t="shared" si="15"/>
        <v>0</v>
      </c>
      <c r="AR26" s="299">
        <f t="shared" si="16"/>
        <v>0</v>
      </c>
      <c r="AS26" s="300" t="str">
        <f t="shared" si="17"/>
        <v/>
      </c>
      <c r="AT26" s="301" t="str">
        <f>IF(COUNTIF(K26:R26,"F")&gt;0,"",IF(AS26="PASS",'Statement of Marks'!HF27,""))</f>
        <v/>
      </c>
      <c r="AU26" s="301" t="str">
        <f>IF(AS26="PASS",'Statement of Marks'!HG27,"")</f>
        <v/>
      </c>
    </row>
    <row r="27" spans="1:47">
      <c r="A27" s="284">
        <f>IF('Statement of Marks'!A28="","",'Statement of Marks'!A28)</f>
        <v>21</v>
      </c>
      <c r="B27" s="284" t="str">
        <f>IF('Statement of Marks'!B28="","",'Statement of Marks'!B28)</f>
        <v/>
      </c>
      <c r="C27" s="284" t="str">
        <f>IF('Statement of Marks'!C28="","",'Statement of Marks'!C28)</f>
        <v/>
      </c>
      <c r="D27" s="285" t="str">
        <f>IF('Statement of Marks'!D28="","",'Statement of Marks'!D28)</f>
        <v/>
      </c>
      <c r="E27" s="286" t="str">
        <f>IF('Statement of Marks'!E28="","",'Statement of Marks'!E28)</f>
        <v/>
      </c>
      <c r="F27" s="286" t="str">
        <f>IF('Statement of Marks'!F28="","",'Statement of Marks'!F28)</f>
        <v/>
      </c>
      <c r="G27" s="286" t="str">
        <f>IF('Statement of Marks'!G28="","",'Statement of Marks'!G28)</f>
        <v/>
      </c>
      <c r="H27" s="287" t="str">
        <f>IF('Statement of Marks'!GY28="","",'Statement of Marks'!GY28)</f>
        <v/>
      </c>
      <c r="I27" s="287" t="str">
        <f>IF('Statement of Marks'!HB28="","",'Statement of Marks'!HB28)</f>
        <v/>
      </c>
      <c r="J27" s="288" t="str">
        <f>IF('Statement of Marks'!HC28="","",'Statement of Marks'!HC28)</f>
        <v/>
      </c>
      <c r="K27" s="296" t="str">
        <f>IF(B27="","",'Statement of Marks'!FJ28)</f>
        <v/>
      </c>
      <c r="L27" s="296" t="str">
        <f>IF(B27="","",'Statement of Marks'!FM28)</f>
        <v/>
      </c>
      <c r="M27" s="296" t="str">
        <f>IF(B27="","",'Statement of Marks'!FP28)</f>
        <v/>
      </c>
      <c r="N27" s="296" t="str">
        <f>IF(B27="","",'Statement of Marks'!FW28)</f>
        <v/>
      </c>
      <c r="O27" s="296" t="str">
        <f>IF(B27="","",'Statement of Marks'!GD28)</f>
        <v/>
      </c>
      <c r="P27" s="296" t="str">
        <f>IF(B27="","",'Statement of Marks'!GK28)</f>
        <v/>
      </c>
      <c r="Q27" s="296" t="str">
        <f>IF(B27="","",'Statement of Marks'!GR28)</f>
        <v/>
      </c>
      <c r="R27" s="296" t="str">
        <f>IF(B27="","",'Statement of Marks'!GS28)</f>
        <v/>
      </c>
      <c r="S27" s="288" t="str">
        <f>IF(COUNTIF(K27:R27,"F")&gt;0,"",CONCATENATE('Statement of Marks'!GU28,'Statement of Marks'!GW28))</f>
        <v xml:space="preserve">           </v>
      </c>
      <c r="T27" s="289">
        <f t="shared" si="0"/>
        <v>0</v>
      </c>
      <c r="U27" s="16"/>
      <c r="V27" s="297" t="str">
        <f t="shared" si="1"/>
        <v/>
      </c>
      <c r="W27" s="297" t="str">
        <f t="shared" si="2"/>
        <v/>
      </c>
      <c r="X27" s="16"/>
      <c r="Y27" s="297" t="str">
        <f t="shared" si="3"/>
        <v/>
      </c>
      <c r="Z27" s="297" t="str">
        <f t="shared" si="4"/>
        <v/>
      </c>
      <c r="AA27" s="16"/>
      <c r="AB27" s="297" t="str">
        <f t="shared" si="5"/>
        <v/>
      </c>
      <c r="AC27" s="298" t="str">
        <f t="shared" si="6"/>
        <v/>
      </c>
      <c r="AD27" s="16"/>
      <c r="AE27" s="297" t="str">
        <f t="shared" si="7"/>
        <v/>
      </c>
      <c r="AF27" s="298" t="str">
        <f t="shared" si="8"/>
        <v/>
      </c>
      <c r="AG27" s="16"/>
      <c r="AH27" s="297" t="str">
        <f t="shared" si="9"/>
        <v/>
      </c>
      <c r="AI27" s="298" t="str">
        <f t="shared" si="10"/>
        <v/>
      </c>
      <c r="AJ27" s="16"/>
      <c r="AK27" s="298" t="str">
        <f t="shared" si="11"/>
        <v/>
      </c>
      <c r="AL27" s="298" t="str">
        <f t="shared" si="12"/>
        <v/>
      </c>
      <c r="AM27" s="16"/>
      <c r="AN27" s="297" t="str">
        <f t="shared" si="13"/>
        <v/>
      </c>
      <c r="AO27" s="16"/>
      <c r="AP27" s="297" t="str">
        <f t="shared" si="14"/>
        <v/>
      </c>
      <c r="AQ27" s="299">
        <f t="shared" si="15"/>
        <v>0</v>
      </c>
      <c r="AR27" s="299">
        <f t="shared" si="16"/>
        <v>0</v>
      </c>
      <c r="AS27" s="300" t="str">
        <f t="shared" si="17"/>
        <v/>
      </c>
      <c r="AT27" s="301" t="str">
        <f>IF(COUNTIF(K27:R27,"F")&gt;0,"",IF(AS27="PASS",'Statement of Marks'!HF28,""))</f>
        <v/>
      </c>
      <c r="AU27" s="301" t="str">
        <f>IF(AS27="PASS",'Statement of Marks'!HG28,"")</f>
        <v/>
      </c>
    </row>
    <row r="28" spans="1:47">
      <c r="A28" s="284">
        <f>IF('Statement of Marks'!A29="","",'Statement of Marks'!A29)</f>
        <v>22</v>
      </c>
      <c r="B28" s="284" t="str">
        <f>IF('Statement of Marks'!B29="","",'Statement of Marks'!B29)</f>
        <v/>
      </c>
      <c r="C28" s="284" t="str">
        <f>IF('Statement of Marks'!C29="","",'Statement of Marks'!C29)</f>
        <v/>
      </c>
      <c r="D28" s="285" t="str">
        <f>IF('Statement of Marks'!D29="","",'Statement of Marks'!D29)</f>
        <v/>
      </c>
      <c r="E28" s="286" t="str">
        <f>IF('Statement of Marks'!E29="","",'Statement of Marks'!E29)</f>
        <v/>
      </c>
      <c r="F28" s="286" t="str">
        <f>IF('Statement of Marks'!F29="","",'Statement of Marks'!F29)</f>
        <v/>
      </c>
      <c r="G28" s="286" t="str">
        <f>IF('Statement of Marks'!G29="","",'Statement of Marks'!G29)</f>
        <v/>
      </c>
      <c r="H28" s="287" t="str">
        <f>IF('Statement of Marks'!GY29="","",'Statement of Marks'!GY29)</f>
        <v/>
      </c>
      <c r="I28" s="287" t="str">
        <f>IF('Statement of Marks'!HB29="","",'Statement of Marks'!HB29)</f>
        <v/>
      </c>
      <c r="J28" s="288" t="str">
        <f>IF('Statement of Marks'!HC29="","",'Statement of Marks'!HC29)</f>
        <v/>
      </c>
      <c r="K28" s="296" t="str">
        <f>IF(B28="","",'Statement of Marks'!FJ29)</f>
        <v/>
      </c>
      <c r="L28" s="296" t="str">
        <f>IF(B28="","",'Statement of Marks'!FM29)</f>
        <v/>
      </c>
      <c r="M28" s="296" t="str">
        <f>IF(B28="","",'Statement of Marks'!FP29)</f>
        <v/>
      </c>
      <c r="N28" s="296" t="str">
        <f>IF(B28="","",'Statement of Marks'!FW29)</f>
        <v/>
      </c>
      <c r="O28" s="296" t="str">
        <f>IF(B28="","",'Statement of Marks'!GD29)</f>
        <v/>
      </c>
      <c r="P28" s="296" t="str">
        <f>IF(B28="","",'Statement of Marks'!GK29)</f>
        <v/>
      </c>
      <c r="Q28" s="296" t="str">
        <f>IF(B28="","",'Statement of Marks'!GR29)</f>
        <v/>
      </c>
      <c r="R28" s="296" t="str">
        <f>IF(B28="","",'Statement of Marks'!GS29)</f>
        <v/>
      </c>
      <c r="S28" s="288" t="str">
        <f>IF(COUNTIF(K28:R28,"F")&gt;0,"",CONCATENATE('Statement of Marks'!GU29,'Statement of Marks'!GW29))</f>
        <v xml:space="preserve">           </v>
      </c>
      <c r="T28" s="289">
        <f t="shared" si="0"/>
        <v>0</v>
      </c>
      <c r="U28" s="16"/>
      <c r="V28" s="297" t="str">
        <f t="shared" si="1"/>
        <v/>
      </c>
      <c r="W28" s="297" t="str">
        <f t="shared" si="2"/>
        <v/>
      </c>
      <c r="X28" s="16"/>
      <c r="Y28" s="297" t="str">
        <f t="shared" si="3"/>
        <v/>
      </c>
      <c r="Z28" s="297" t="str">
        <f t="shared" si="4"/>
        <v/>
      </c>
      <c r="AA28" s="16"/>
      <c r="AB28" s="297" t="str">
        <f t="shared" si="5"/>
        <v/>
      </c>
      <c r="AC28" s="298" t="str">
        <f t="shared" si="6"/>
        <v/>
      </c>
      <c r="AD28" s="16"/>
      <c r="AE28" s="297" t="str">
        <f t="shared" si="7"/>
        <v/>
      </c>
      <c r="AF28" s="298" t="str">
        <f t="shared" si="8"/>
        <v/>
      </c>
      <c r="AG28" s="16"/>
      <c r="AH28" s="297" t="str">
        <f t="shared" si="9"/>
        <v/>
      </c>
      <c r="AI28" s="298" t="str">
        <f t="shared" si="10"/>
        <v/>
      </c>
      <c r="AJ28" s="16"/>
      <c r="AK28" s="298" t="str">
        <f t="shared" si="11"/>
        <v/>
      </c>
      <c r="AL28" s="298" t="str">
        <f t="shared" si="12"/>
        <v/>
      </c>
      <c r="AM28" s="16"/>
      <c r="AN28" s="297" t="str">
        <f t="shared" si="13"/>
        <v/>
      </c>
      <c r="AO28" s="16"/>
      <c r="AP28" s="297" t="str">
        <f t="shared" si="14"/>
        <v/>
      </c>
      <c r="AQ28" s="299">
        <f t="shared" si="15"/>
        <v>0</v>
      </c>
      <c r="AR28" s="299">
        <f t="shared" si="16"/>
        <v>0</v>
      </c>
      <c r="AS28" s="300" t="str">
        <f t="shared" si="17"/>
        <v/>
      </c>
      <c r="AT28" s="301" t="str">
        <f>IF(COUNTIF(K28:R28,"F")&gt;0,"",IF(AS28="PASS",'Statement of Marks'!HF29,""))</f>
        <v/>
      </c>
      <c r="AU28" s="301" t="str">
        <f>IF(AS28="PASS",'Statement of Marks'!HG29,"")</f>
        <v/>
      </c>
    </row>
    <row r="29" spans="1:47">
      <c r="A29" s="284">
        <f>IF('Statement of Marks'!A30="","",'Statement of Marks'!A30)</f>
        <v>23</v>
      </c>
      <c r="B29" s="284" t="str">
        <f>IF('Statement of Marks'!B30="","",'Statement of Marks'!B30)</f>
        <v/>
      </c>
      <c r="C29" s="284" t="str">
        <f>IF('Statement of Marks'!C30="","",'Statement of Marks'!C30)</f>
        <v/>
      </c>
      <c r="D29" s="285" t="str">
        <f>IF('Statement of Marks'!D30="","",'Statement of Marks'!D30)</f>
        <v/>
      </c>
      <c r="E29" s="286" t="str">
        <f>IF('Statement of Marks'!E30="","",'Statement of Marks'!E30)</f>
        <v/>
      </c>
      <c r="F29" s="286" t="str">
        <f>IF('Statement of Marks'!F30="","",'Statement of Marks'!F30)</f>
        <v/>
      </c>
      <c r="G29" s="286" t="str">
        <f>IF('Statement of Marks'!G30="","",'Statement of Marks'!G30)</f>
        <v/>
      </c>
      <c r="H29" s="287" t="str">
        <f>IF('Statement of Marks'!GY30="","",'Statement of Marks'!GY30)</f>
        <v/>
      </c>
      <c r="I29" s="287" t="str">
        <f>IF('Statement of Marks'!HB30="","",'Statement of Marks'!HB30)</f>
        <v/>
      </c>
      <c r="J29" s="288" t="str">
        <f>IF('Statement of Marks'!HC30="","",'Statement of Marks'!HC30)</f>
        <v/>
      </c>
      <c r="K29" s="296" t="str">
        <f>IF(B29="","",'Statement of Marks'!FJ30)</f>
        <v/>
      </c>
      <c r="L29" s="296" t="str">
        <f>IF(B29="","",'Statement of Marks'!FM30)</f>
        <v/>
      </c>
      <c r="M29" s="296" t="str">
        <f>IF(B29="","",'Statement of Marks'!FP30)</f>
        <v/>
      </c>
      <c r="N29" s="296" t="str">
        <f>IF(B29="","",'Statement of Marks'!FW30)</f>
        <v/>
      </c>
      <c r="O29" s="296" t="str">
        <f>IF(B29="","",'Statement of Marks'!GD30)</f>
        <v/>
      </c>
      <c r="P29" s="296" t="str">
        <f>IF(B29="","",'Statement of Marks'!GK30)</f>
        <v/>
      </c>
      <c r="Q29" s="296" t="str">
        <f>IF(B29="","",'Statement of Marks'!GR30)</f>
        <v/>
      </c>
      <c r="R29" s="296" t="str">
        <f>IF(B29="","",'Statement of Marks'!GS30)</f>
        <v/>
      </c>
      <c r="S29" s="288" t="str">
        <f>IF(COUNTIF(K29:R29,"F")&gt;0,"",CONCATENATE('Statement of Marks'!GU30,'Statement of Marks'!GW30))</f>
        <v xml:space="preserve">           </v>
      </c>
      <c r="T29" s="289">
        <f t="shared" si="0"/>
        <v>0</v>
      </c>
      <c r="U29" s="16"/>
      <c r="V29" s="297" t="str">
        <f t="shared" si="1"/>
        <v/>
      </c>
      <c r="W29" s="297" t="str">
        <f t="shared" si="2"/>
        <v/>
      </c>
      <c r="X29" s="16"/>
      <c r="Y29" s="297" t="str">
        <f t="shared" si="3"/>
        <v/>
      </c>
      <c r="Z29" s="297" t="str">
        <f t="shared" si="4"/>
        <v/>
      </c>
      <c r="AA29" s="16"/>
      <c r="AB29" s="297" t="str">
        <f t="shared" si="5"/>
        <v/>
      </c>
      <c r="AC29" s="298" t="str">
        <f t="shared" si="6"/>
        <v/>
      </c>
      <c r="AD29" s="16"/>
      <c r="AE29" s="297" t="str">
        <f t="shared" si="7"/>
        <v/>
      </c>
      <c r="AF29" s="298" t="str">
        <f t="shared" si="8"/>
        <v/>
      </c>
      <c r="AG29" s="16"/>
      <c r="AH29" s="297" t="str">
        <f t="shared" si="9"/>
        <v/>
      </c>
      <c r="AI29" s="298" t="str">
        <f t="shared" si="10"/>
        <v/>
      </c>
      <c r="AJ29" s="16"/>
      <c r="AK29" s="298" t="str">
        <f t="shared" si="11"/>
        <v/>
      </c>
      <c r="AL29" s="298" t="str">
        <f t="shared" si="12"/>
        <v/>
      </c>
      <c r="AM29" s="16"/>
      <c r="AN29" s="297" t="str">
        <f t="shared" si="13"/>
        <v/>
      </c>
      <c r="AO29" s="16"/>
      <c r="AP29" s="297" t="str">
        <f t="shared" si="14"/>
        <v/>
      </c>
      <c r="AQ29" s="299">
        <f t="shared" si="15"/>
        <v>0</v>
      </c>
      <c r="AR29" s="299">
        <f t="shared" si="16"/>
        <v>0</v>
      </c>
      <c r="AS29" s="300" t="str">
        <f t="shared" si="17"/>
        <v/>
      </c>
      <c r="AT29" s="301" t="str">
        <f>IF(COUNTIF(K29:R29,"F")&gt;0,"",IF(AS29="PASS",'Statement of Marks'!HF30,""))</f>
        <v/>
      </c>
      <c r="AU29" s="301" t="str">
        <f>IF(AS29="PASS",'Statement of Marks'!HG30,"")</f>
        <v/>
      </c>
    </row>
    <row r="30" spans="1:47">
      <c r="A30" s="284">
        <f>IF('Statement of Marks'!A31="","",'Statement of Marks'!A31)</f>
        <v>24</v>
      </c>
      <c r="B30" s="284" t="str">
        <f>IF('Statement of Marks'!B31="","",'Statement of Marks'!B31)</f>
        <v/>
      </c>
      <c r="C30" s="284" t="str">
        <f>IF('Statement of Marks'!C31="","",'Statement of Marks'!C31)</f>
        <v/>
      </c>
      <c r="D30" s="285" t="str">
        <f>IF('Statement of Marks'!D31="","",'Statement of Marks'!D31)</f>
        <v/>
      </c>
      <c r="E30" s="286" t="str">
        <f>IF('Statement of Marks'!E31="","",'Statement of Marks'!E31)</f>
        <v/>
      </c>
      <c r="F30" s="286" t="str">
        <f>IF('Statement of Marks'!F31="","",'Statement of Marks'!F31)</f>
        <v/>
      </c>
      <c r="G30" s="286" t="str">
        <f>IF('Statement of Marks'!G31="","",'Statement of Marks'!G31)</f>
        <v/>
      </c>
      <c r="H30" s="287" t="str">
        <f>IF('Statement of Marks'!GY31="","",'Statement of Marks'!GY31)</f>
        <v/>
      </c>
      <c r="I30" s="287" t="str">
        <f>IF('Statement of Marks'!HB31="","",'Statement of Marks'!HB31)</f>
        <v/>
      </c>
      <c r="J30" s="288" t="str">
        <f>IF('Statement of Marks'!HC31="","",'Statement of Marks'!HC31)</f>
        <v/>
      </c>
      <c r="K30" s="296" t="str">
        <f>IF(B30="","",'Statement of Marks'!FJ31)</f>
        <v/>
      </c>
      <c r="L30" s="296" t="str">
        <f>IF(B30="","",'Statement of Marks'!FM31)</f>
        <v/>
      </c>
      <c r="M30" s="296" t="str">
        <f>IF(B30="","",'Statement of Marks'!FP31)</f>
        <v/>
      </c>
      <c r="N30" s="296" t="str">
        <f>IF(B30="","",'Statement of Marks'!FW31)</f>
        <v/>
      </c>
      <c r="O30" s="296" t="str">
        <f>IF(B30="","",'Statement of Marks'!GD31)</f>
        <v/>
      </c>
      <c r="P30" s="296" t="str">
        <f>IF(B30="","",'Statement of Marks'!GK31)</f>
        <v/>
      </c>
      <c r="Q30" s="296" t="str">
        <f>IF(B30="","",'Statement of Marks'!GR31)</f>
        <v/>
      </c>
      <c r="R30" s="296" t="str">
        <f>IF(B30="","",'Statement of Marks'!GS31)</f>
        <v/>
      </c>
      <c r="S30" s="288" t="str">
        <f>IF(COUNTIF(K30:R30,"F")&gt;0,"",CONCATENATE('Statement of Marks'!GU31,'Statement of Marks'!GW31))</f>
        <v xml:space="preserve">           </v>
      </c>
      <c r="T30" s="289">
        <f t="shared" si="0"/>
        <v>0</v>
      </c>
      <c r="U30" s="16"/>
      <c r="V30" s="297" t="str">
        <f t="shared" si="1"/>
        <v/>
      </c>
      <c r="W30" s="297" t="str">
        <f t="shared" si="2"/>
        <v/>
      </c>
      <c r="X30" s="16"/>
      <c r="Y30" s="297" t="str">
        <f t="shared" si="3"/>
        <v/>
      </c>
      <c r="Z30" s="297" t="str">
        <f t="shared" si="4"/>
        <v/>
      </c>
      <c r="AA30" s="16"/>
      <c r="AB30" s="297" t="str">
        <f t="shared" si="5"/>
        <v/>
      </c>
      <c r="AC30" s="298" t="str">
        <f t="shared" si="6"/>
        <v/>
      </c>
      <c r="AD30" s="16"/>
      <c r="AE30" s="297" t="str">
        <f t="shared" si="7"/>
        <v/>
      </c>
      <c r="AF30" s="298" t="str">
        <f t="shared" si="8"/>
        <v/>
      </c>
      <c r="AG30" s="16"/>
      <c r="AH30" s="297" t="str">
        <f t="shared" si="9"/>
        <v/>
      </c>
      <c r="AI30" s="298" t="str">
        <f t="shared" si="10"/>
        <v/>
      </c>
      <c r="AJ30" s="16"/>
      <c r="AK30" s="298" t="str">
        <f t="shared" si="11"/>
        <v/>
      </c>
      <c r="AL30" s="298" t="str">
        <f t="shared" si="12"/>
        <v/>
      </c>
      <c r="AM30" s="16"/>
      <c r="AN30" s="297" t="str">
        <f t="shared" si="13"/>
        <v/>
      </c>
      <c r="AO30" s="16"/>
      <c r="AP30" s="297" t="str">
        <f t="shared" si="14"/>
        <v/>
      </c>
      <c r="AQ30" s="299">
        <f t="shared" si="15"/>
        <v>0</v>
      </c>
      <c r="AR30" s="299">
        <f t="shared" si="16"/>
        <v>0</v>
      </c>
      <c r="AS30" s="300" t="str">
        <f t="shared" si="17"/>
        <v/>
      </c>
      <c r="AT30" s="301" t="str">
        <f>IF(COUNTIF(K30:R30,"F")&gt;0,"",IF(AS30="PASS",'Statement of Marks'!HF31,""))</f>
        <v/>
      </c>
      <c r="AU30" s="301" t="str">
        <f>IF(AS30="PASS",'Statement of Marks'!HG31,"")</f>
        <v/>
      </c>
    </row>
    <row r="31" spans="1:47">
      <c r="A31" s="284">
        <f>IF('Statement of Marks'!A32="","",'Statement of Marks'!A32)</f>
        <v>25</v>
      </c>
      <c r="B31" s="284" t="str">
        <f>IF('Statement of Marks'!B32="","",'Statement of Marks'!B32)</f>
        <v/>
      </c>
      <c r="C31" s="284" t="str">
        <f>IF('Statement of Marks'!C32="","",'Statement of Marks'!C32)</f>
        <v/>
      </c>
      <c r="D31" s="285" t="str">
        <f>IF('Statement of Marks'!D32="","",'Statement of Marks'!D32)</f>
        <v/>
      </c>
      <c r="E31" s="286" t="str">
        <f>IF('Statement of Marks'!E32="","",'Statement of Marks'!E32)</f>
        <v/>
      </c>
      <c r="F31" s="286" t="str">
        <f>IF('Statement of Marks'!F32="","",'Statement of Marks'!F32)</f>
        <v/>
      </c>
      <c r="G31" s="286" t="str">
        <f>IF('Statement of Marks'!G32="","",'Statement of Marks'!G32)</f>
        <v/>
      </c>
      <c r="H31" s="287" t="str">
        <f>IF('Statement of Marks'!GY32="","",'Statement of Marks'!GY32)</f>
        <v/>
      </c>
      <c r="I31" s="287" t="str">
        <f>IF('Statement of Marks'!HB32="","",'Statement of Marks'!HB32)</f>
        <v/>
      </c>
      <c r="J31" s="288" t="str">
        <f>IF('Statement of Marks'!HC32="","",'Statement of Marks'!HC32)</f>
        <v/>
      </c>
      <c r="K31" s="296" t="str">
        <f>IF(B31="","",'Statement of Marks'!FJ32)</f>
        <v/>
      </c>
      <c r="L31" s="296" t="str">
        <f>IF(B31="","",'Statement of Marks'!FM32)</f>
        <v/>
      </c>
      <c r="M31" s="296" t="str">
        <f>IF(B31="","",'Statement of Marks'!FP32)</f>
        <v/>
      </c>
      <c r="N31" s="296" t="str">
        <f>IF(B31="","",'Statement of Marks'!FW32)</f>
        <v/>
      </c>
      <c r="O31" s="296" t="str">
        <f>IF(B31="","",'Statement of Marks'!GD32)</f>
        <v/>
      </c>
      <c r="P31" s="296" t="str">
        <f>IF(B31="","",'Statement of Marks'!GK32)</f>
        <v/>
      </c>
      <c r="Q31" s="296" t="str">
        <f>IF(B31="","",'Statement of Marks'!GR32)</f>
        <v/>
      </c>
      <c r="R31" s="296" t="str">
        <f>IF(B31="","",'Statement of Marks'!GS32)</f>
        <v/>
      </c>
      <c r="S31" s="288" t="str">
        <f>IF(COUNTIF(K31:R31,"F")&gt;0,"",CONCATENATE('Statement of Marks'!GU32,'Statement of Marks'!GW32))</f>
        <v xml:space="preserve">           </v>
      </c>
      <c r="T31" s="289">
        <f t="shared" si="0"/>
        <v>0</v>
      </c>
      <c r="U31" s="16"/>
      <c r="V31" s="297" t="str">
        <f t="shared" si="1"/>
        <v/>
      </c>
      <c r="W31" s="297" t="str">
        <f t="shared" si="2"/>
        <v/>
      </c>
      <c r="X31" s="16"/>
      <c r="Y31" s="297" t="str">
        <f t="shared" si="3"/>
        <v/>
      </c>
      <c r="Z31" s="297" t="str">
        <f t="shared" si="4"/>
        <v/>
      </c>
      <c r="AA31" s="16"/>
      <c r="AB31" s="297" t="str">
        <f t="shared" si="5"/>
        <v/>
      </c>
      <c r="AC31" s="298" t="str">
        <f t="shared" si="6"/>
        <v/>
      </c>
      <c r="AD31" s="16"/>
      <c r="AE31" s="297" t="str">
        <f t="shared" si="7"/>
        <v/>
      </c>
      <c r="AF31" s="298" t="str">
        <f t="shared" si="8"/>
        <v/>
      </c>
      <c r="AG31" s="16"/>
      <c r="AH31" s="297" t="str">
        <f t="shared" si="9"/>
        <v/>
      </c>
      <c r="AI31" s="298" t="str">
        <f t="shared" si="10"/>
        <v/>
      </c>
      <c r="AJ31" s="16"/>
      <c r="AK31" s="298" t="str">
        <f t="shared" si="11"/>
        <v/>
      </c>
      <c r="AL31" s="298" t="str">
        <f t="shared" si="12"/>
        <v/>
      </c>
      <c r="AM31" s="16"/>
      <c r="AN31" s="297" t="str">
        <f t="shared" si="13"/>
        <v/>
      </c>
      <c r="AO31" s="16"/>
      <c r="AP31" s="297" t="str">
        <f t="shared" si="14"/>
        <v/>
      </c>
      <c r="AQ31" s="299">
        <f t="shared" si="15"/>
        <v>0</v>
      </c>
      <c r="AR31" s="299">
        <f t="shared" si="16"/>
        <v>0</v>
      </c>
      <c r="AS31" s="300" t="str">
        <f t="shared" si="17"/>
        <v/>
      </c>
      <c r="AT31" s="301" t="str">
        <f>IF(COUNTIF(K31:R31,"F")&gt;0,"",IF(AS31="PASS",'Statement of Marks'!HF32,""))</f>
        <v/>
      </c>
      <c r="AU31" s="301" t="str">
        <f>IF(AS31="PASS",'Statement of Marks'!HG32,"")</f>
        <v/>
      </c>
    </row>
    <row r="32" spans="1:47">
      <c r="A32" s="284">
        <f>IF('Statement of Marks'!A33="","",'Statement of Marks'!A33)</f>
        <v>26</v>
      </c>
      <c r="B32" s="284" t="str">
        <f>IF('Statement of Marks'!B33="","",'Statement of Marks'!B33)</f>
        <v/>
      </c>
      <c r="C32" s="284" t="str">
        <f>IF('Statement of Marks'!C33="","",'Statement of Marks'!C33)</f>
        <v/>
      </c>
      <c r="D32" s="285" t="str">
        <f>IF('Statement of Marks'!D33="","",'Statement of Marks'!D33)</f>
        <v/>
      </c>
      <c r="E32" s="286" t="str">
        <f>IF('Statement of Marks'!E33="","",'Statement of Marks'!E33)</f>
        <v/>
      </c>
      <c r="F32" s="286" t="str">
        <f>IF('Statement of Marks'!F33="","",'Statement of Marks'!F33)</f>
        <v/>
      </c>
      <c r="G32" s="286" t="str">
        <f>IF('Statement of Marks'!G33="","",'Statement of Marks'!G33)</f>
        <v/>
      </c>
      <c r="H32" s="287" t="str">
        <f>IF('Statement of Marks'!GY33="","",'Statement of Marks'!GY33)</f>
        <v/>
      </c>
      <c r="I32" s="287" t="str">
        <f>IF('Statement of Marks'!HB33="","",'Statement of Marks'!HB33)</f>
        <v/>
      </c>
      <c r="J32" s="288" t="str">
        <f>IF('Statement of Marks'!HC33="","",'Statement of Marks'!HC33)</f>
        <v/>
      </c>
      <c r="K32" s="296" t="str">
        <f>IF(B32="","",'Statement of Marks'!FJ33)</f>
        <v/>
      </c>
      <c r="L32" s="296" t="str">
        <f>IF(B32="","",'Statement of Marks'!FM33)</f>
        <v/>
      </c>
      <c r="M32" s="296" t="str">
        <f>IF(B32="","",'Statement of Marks'!FP33)</f>
        <v/>
      </c>
      <c r="N32" s="296" t="str">
        <f>IF(B32="","",'Statement of Marks'!FW33)</f>
        <v/>
      </c>
      <c r="O32" s="296" t="str">
        <f>IF(B32="","",'Statement of Marks'!GD33)</f>
        <v/>
      </c>
      <c r="P32" s="296" t="str">
        <f>IF(B32="","",'Statement of Marks'!GK33)</f>
        <v/>
      </c>
      <c r="Q32" s="296" t="str">
        <f>IF(B32="","",'Statement of Marks'!GR33)</f>
        <v/>
      </c>
      <c r="R32" s="296" t="str">
        <f>IF(B32="","",'Statement of Marks'!GS33)</f>
        <v/>
      </c>
      <c r="S32" s="288" t="str">
        <f>IF(COUNTIF(K32:R32,"F")&gt;0,"",CONCATENATE('Statement of Marks'!GU33,'Statement of Marks'!GW33))</f>
        <v xml:space="preserve">           </v>
      </c>
      <c r="T32" s="289">
        <f t="shared" si="0"/>
        <v>0</v>
      </c>
      <c r="U32" s="16"/>
      <c r="V32" s="297" t="str">
        <f t="shared" si="1"/>
        <v/>
      </c>
      <c r="W32" s="297" t="str">
        <f t="shared" si="2"/>
        <v/>
      </c>
      <c r="X32" s="16"/>
      <c r="Y32" s="297" t="str">
        <f t="shared" si="3"/>
        <v/>
      </c>
      <c r="Z32" s="297" t="str">
        <f t="shared" si="4"/>
        <v/>
      </c>
      <c r="AA32" s="16"/>
      <c r="AB32" s="297" t="str">
        <f t="shared" si="5"/>
        <v/>
      </c>
      <c r="AC32" s="298" t="str">
        <f t="shared" si="6"/>
        <v/>
      </c>
      <c r="AD32" s="16"/>
      <c r="AE32" s="297" t="str">
        <f t="shared" si="7"/>
        <v/>
      </c>
      <c r="AF32" s="298" t="str">
        <f t="shared" si="8"/>
        <v/>
      </c>
      <c r="AG32" s="16"/>
      <c r="AH32" s="297" t="str">
        <f t="shared" si="9"/>
        <v/>
      </c>
      <c r="AI32" s="298" t="str">
        <f t="shared" si="10"/>
        <v/>
      </c>
      <c r="AJ32" s="16"/>
      <c r="AK32" s="298" t="str">
        <f t="shared" si="11"/>
        <v/>
      </c>
      <c r="AL32" s="298" t="str">
        <f t="shared" si="12"/>
        <v/>
      </c>
      <c r="AM32" s="16"/>
      <c r="AN32" s="297" t="str">
        <f t="shared" si="13"/>
        <v/>
      </c>
      <c r="AO32" s="16"/>
      <c r="AP32" s="297" t="str">
        <f t="shared" si="14"/>
        <v/>
      </c>
      <c r="AQ32" s="299">
        <f t="shared" si="15"/>
        <v>0</v>
      </c>
      <c r="AR32" s="299">
        <f t="shared" si="16"/>
        <v>0</v>
      </c>
      <c r="AS32" s="300" t="str">
        <f t="shared" si="17"/>
        <v/>
      </c>
      <c r="AT32" s="301" t="str">
        <f>IF(COUNTIF(K32:R32,"F")&gt;0,"",IF(AS32="PASS",'Statement of Marks'!HF33,""))</f>
        <v/>
      </c>
      <c r="AU32" s="301" t="str">
        <f>IF(AS32="PASS",'Statement of Marks'!HG33,"")</f>
        <v/>
      </c>
    </row>
    <row r="33" spans="1:47">
      <c r="A33" s="284">
        <f>IF('Statement of Marks'!A34="","",'Statement of Marks'!A34)</f>
        <v>27</v>
      </c>
      <c r="B33" s="284" t="str">
        <f>IF('Statement of Marks'!B34="","",'Statement of Marks'!B34)</f>
        <v/>
      </c>
      <c r="C33" s="284" t="str">
        <f>IF('Statement of Marks'!C34="","",'Statement of Marks'!C34)</f>
        <v/>
      </c>
      <c r="D33" s="285" t="str">
        <f>IF('Statement of Marks'!D34="","",'Statement of Marks'!D34)</f>
        <v/>
      </c>
      <c r="E33" s="286" t="str">
        <f>IF('Statement of Marks'!E34="","",'Statement of Marks'!E34)</f>
        <v/>
      </c>
      <c r="F33" s="286" t="str">
        <f>IF('Statement of Marks'!F34="","",'Statement of Marks'!F34)</f>
        <v/>
      </c>
      <c r="G33" s="286" t="str">
        <f>IF('Statement of Marks'!G34="","",'Statement of Marks'!G34)</f>
        <v/>
      </c>
      <c r="H33" s="287" t="str">
        <f>IF('Statement of Marks'!GY34="","",'Statement of Marks'!GY34)</f>
        <v/>
      </c>
      <c r="I33" s="287" t="str">
        <f>IF('Statement of Marks'!HB34="","",'Statement of Marks'!HB34)</f>
        <v/>
      </c>
      <c r="J33" s="288" t="str">
        <f>IF('Statement of Marks'!HC34="","",'Statement of Marks'!HC34)</f>
        <v/>
      </c>
      <c r="K33" s="296" t="str">
        <f>IF(B33="","",'Statement of Marks'!FJ34)</f>
        <v/>
      </c>
      <c r="L33" s="296" t="str">
        <f>IF(B33="","",'Statement of Marks'!FM34)</f>
        <v/>
      </c>
      <c r="M33" s="296" t="str">
        <f>IF(B33="","",'Statement of Marks'!FP34)</f>
        <v/>
      </c>
      <c r="N33" s="296" t="str">
        <f>IF(B33="","",'Statement of Marks'!FW34)</f>
        <v/>
      </c>
      <c r="O33" s="296" t="str">
        <f>IF(B33="","",'Statement of Marks'!GD34)</f>
        <v/>
      </c>
      <c r="P33" s="296" t="str">
        <f>IF(B33="","",'Statement of Marks'!GK34)</f>
        <v/>
      </c>
      <c r="Q33" s="296" t="str">
        <f>IF(B33="","",'Statement of Marks'!GR34)</f>
        <v/>
      </c>
      <c r="R33" s="296" t="str">
        <f>IF(B33="","",'Statement of Marks'!GS34)</f>
        <v/>
      </c>
      <c r="S33" s="288" t="str">
        <f>IF(COUNTIF(K33:R33,"F")&gt;0,"",CONCATENATE('Statement of Marks'!GU34,'Statement of Marks'!GW34))</f>
        <v xml:space="preserve">           </v>
      </c>
      <c r="T33" s="289">
        <f t="shared" si="0"/>
        <v>0</v>
      </c>
      <c r="U33" s="16"/>
      <c r="V33" s="297" t="str">
        <f t="shared" si="1"/>
        <v/>
      </c>
      <c r="W33" s="297" t="str">
        <f t="shared" si="2"/>
        <v/>
      </c>
      <c r="X33" s="16"/>
      <c r="Y33" s="297" t="str">
        <f t="shared" si="3"/>
        <v/>
      </c>
      <c r="Z33" s="297" t="str">
        <f t="shared" si="4"/>
        <v/>
      </c>
      <c r="AA33" s="16"/>
      <c r="AB33" s="297" t="str">
        <f t="shared" si="5"/>
        <v/>
      </c>
      <c r="AC33" s="298" t="str">
        <f t="shared" si="6"/>
        <v/>
      </c>
      <c r="AD33" s="16"/>
      <c r="AE33" s="297" t="str">
        <f t="shared" si="7"/>
        <v/>
      </c>
      <c r="AF33" s="298" t="str">
        <f t="shared" si="8"/>
        <v/>
      </c>
      <c r="AG33" s="16"/>
      <c r="AH33" s="297" t="str">
        <f t="shared" si="9"/>
        <v/>
      </c>
      <c r="AI33" s="298" t="str">
        <f t="shared" si="10"/>
        <v/>
      </c>
      <c r="AJ33" s="16"/>
      <c r="AK33" s="298" t="str">
        <f t="shared" si="11"/>
        <v/>
      </c>
      <c r="AL33" s="298" t="str">
        <f t="shared" si="12"/>
        <v/>
      </c>
      <c r="AM33" s="16"/>
      <c r="AN33" s="297" t="str">
        <f t="shared" si="13"/>
        <v/>
      </c>
      <c r="AO33" s="16"/>
      <c r="AP33" s="297" t="str">
        <f t="shared" si="14"/>
        <v/>
      </c>
      <c r="AQ33" s="299">
        <f t="shared" si="15"/>
        <v>0</v>
      </c>
      <c r="AR33" s="299">
        <f t="shared" si="16"/>
        <v>0</v>
      </c>
      <c r="AS33" s="300" t="str">
        <f t="shared" si="17"/>
        <v/>
      </c>
      <c r="AT33" s="301" t="str">
        <f>IF(COUNTIF(K33:R33,"F")&gt;0,"",IF(AS33="PASS",'Statement of Marks'!HF34,""))</f>
        <v/>
      </c>
      <c r="AU33" s="301" t="str">
        <f>IF(AS33="PASS",'Statement of Marks'!HG34,"")</f>
        <v/>
      </c>
    </row>
    <row r="34" spans="1:47">
      <c r="A34" s="284">
        <f>IF('Statement of Marks'!A35="","",'Statement of Marks'!A35)</f>
        <v>28</v>
      </c>
      <c r="B34" s="284" t="str">
        <f>IF('Statement of Marks'!B35="","",'Statement of Marks'!B35)</f>
        <v/>
      </c>
      <c r="C34" s="284" t="str">
        <f>IF('Statement of Marks'!C35="","",'Statement of Marks'!C35)</f>
        <v/>
      </c>
      <c r="D34" s="285" t="str">
        <f>IF('Statement of Marks'!D35="","",'Statement of Marks'!D35)</f>
        <v/>
      </c>
      <c r="E34" s="286" t="str">
        <f>IF('Statement of Marks'!E35="","",'Statement of Marks'!E35)</f>
        <v/>
      </c>
      <c r="F34" s="286" t="str">
        <f>IF('Statement of Marks'!F35="","",'Statement of Marks'!F35)</f>
        <v/>
      </c>
      <c r="G34" s="286" t="str">
        <f>IF('Statement of Marks'!G35="","",'Statement of Marks'!G35)</f>
        <v/>
      </c>
      <c r="H34" s="287" t="str">
        <f>IF('Statement of Marks'!GY35="","",'Statement of Marks'!GY35)</f>
        <v/>
      </c>
      <c r="I34" s="287" t="str">
        <f>IF('Statement of Marks'!HB35="","",'Statement of Marks'!HB35)</f>
        <v/>
      </c>
      <c r="J34" s="288" t="str">
        <f>IF('Statement of Marks'!HC35="","",'Statement of Marks'!HC35)</f>
        <v/>
      </c>
      <c r="K34" s="296" t="str">
        <f>IF(B34="","",'Statement of Marks'!FJ35)</f>
        <v/>
      </c>
      <c r="L34" s="296" t="str">
        <f>IF(B34="","",'Statement of Marks'!FM35)</f>
        <v/>
      </c>
      <c r="M34" s="296" t="str">
        <f>IF(B34="","",'Statement of Marks'!FP35)</f>
        <v/>
      </c>
      <c r="N34" s="296" t="str">
        <f>IF(B34="","",'Statement of Marks'!FW35)</f>
        <v/>
      </c>
      <c r="O34" s="296" t="str">
        <f>IF(B34="","",'Statement of Marks'!GD35)</f>
        <v/>
      </c>
      <c r="P34" s="296" t="str">
        <f>IF(B34="","",'Statement of Marks'!GK35)</f>
        <v/>
      </c>
      <c r="Q34" s="296" t="str">
        <f>IF(B34="","",'Statement of Marks'!GR35)</f>
        <v/>
      </c>
      <c r="R34" s="296" t="str">
        <f>IF(B34="","",'Statement of Marks'!GS35)</f>
        <v/>
      </c>
      <c r="S34" s="288" t="str">
        <f>IF(COUNTIF(K34:R34,"F")&gt;0,"",CONCATENATE('Statement of Marks'!GU35,'Statement of Marks'!GW35))</f>
        <v xml:space="preserve">           </v>
      </c>
      <c r="T34" s="289">
        <f t="shared" si="0"/>
        <v>0</v>
      </c>
      <c r="U34" s="16"/>
      <c r="V34" s="297" t="str">
        <f t="shared" si="1"/>
        <v/>
      </c>
      <c r="W34" s="297" t="str">
        <f t="shared" si="2"/>
        <v/>
      </c>
      <c r="X34" s="16"/>
      <c r="Y34" s="297" t="str">
        <f t="shared" si="3"/>
        <v/>
      </c>
      <c r="Z34" s="297" t="str">
        <f t="shared" si="4"/>
        <v/>
      </c>
      <c r="AA34" s="16"/>
      <c r="AB34" s="297" t="str">
        <f t="shared" si="5"/>
        <v/>
      </c>
      <c r="AC34" s="298" t="str">
        <f t="shared" si="6"/>
        <v/>
      </c>
      <c r="AD34" s="16"/>
      <c r="AE34" s="297" t="str">
        <f t="shared" si="7"/>
        <v/>
      </c>
      <c r="AF34" s="298" t="str">
        <f t="shared" si="8"/>
        <v/>
      </c>
      <c r="AG34" s="16"/>
      <c r="AH34" s="297" t="str">
        <f t="shared" si="9"/>
        <v/>
      </c>
      <c r="AI34" s="298" t="str">
        <f t="shared" si="10"/>
        <v/>
      </c>
      <c r="AJ34" s="16"/>
      <c r="AK34" s="298" t="str">
        <f t="shared" si="11"/>
        <v/>
      </c>
      <c r="AL34" s="298" t="str">
        <f t="shared" si="12"/>
        <v/>
      </c>
      <c r="AM34" s="16"/>
      <c r="AN34" s="297" t="str">
        <f t="shared" si="13"/>
        <v/>
      </c>
      <c r="AO34" s="16"/>
      <c r="AP34" s="297" t="str">
        <f t="shared" si="14"/>
        <v/>
      </c>
      <c r="AQ34" s="299">
        <f t="shared" si="15"/>
        <v>0</v>
      </c>
      <c r="AR34" s="299">
        <f t="shared" si="16"/>
        <v>0</v>
      </c>
      <c r="AS34" s="300" t="str">
        <f t="shared" si="17"/>
        <v/>
      </c>
      <c r="AT34" s="301" t="str">
        <f>IF(COUNTIF(K34:R34,"F")&gt;0,"",IF(AS34="PASS",'Statement of Marks'!HF35,""))</f>
        <v/>
      </c>
      <c r="AU34" s="301" t="str">
        <f>IF(AS34="PASS",'Statement of Marks'!HG35,"")</f>
        <v/>
      </c>
    </row>
    <row r="35" spans="1:47">
      <c r="A35" s="284">
        <f>IF('Statement of Marks'!A36="","",'Statement of Marks'!A36)</f>
        <v>29</v>
      </c>
      <c r="B35" s="284" t="str">
        <f>IF('Statement of Marks'!B36="","",'Statement of Marks'!B36)</f>
        <v/>
      </c>
      <c r="C35" s="284" t="str">
        <f>IF('Statement of Marks'!C36="","",'Statement of Marks'!C36)</f>
        <v/>
      </c>
      <c r="D35" s="285" t="str">
        <f>IF('Statement of Marks'!D36="","",'Statement of Marks'!D36)</f>
        <v/>
      </c>
      <c r="E35" s="286" t="str">
        <f>IF('Statement of Marks'!E36="","",'Statement of Marks'!E36)</f>
        <v/>
      </c>
      <c r="F35" s="286" t="str">
        <f>IF('Statement of Marks'!F36="","",'Statement of Marks'!F36)</f>
        <v/>
      </c>
      <c r="G35" s="286" t="str">
        <f>IF('Statement of Marks'!G36="","",'Statement of Marks'!G36)</f>
        <v/>
      </c>
      <c r="H35" s="287" t="str">
        <f>IF('Statement of Marks'!GY36="","",'Statement of Marks'!GY36)</f>
        <v/>
      </c>
      <c r="I35" s="287" t="str">
        <f>IF('Statement of Marks'!HB36="","",'Statement of Marks'!HB36)</f>
        <v/>
      </c>
      <c r="J35" s="288" t="str">
        <f>IF('Statement of Marks'!HC36="","",'Statement of Marks'!HC36)</f>
        <v/>
      </c>
      <c r="K35" s="296" t="str">
        <f>IF(B35="","",'Statement of Marks'!FJ36)</f>
        <v/>
      </c>
      <c r="L35" s="296" t="str">
        <f>IF(B35="","",'Statement of Marks'!FM36)</f>
        <v/>
      </c>
      <c r="M35" s="296" t="str">
        <f>IF(B35="","",'Statement of Marks'!FP36)</f>
        <v/>
      </c>
      <c r="N35" s="296" t="str">
        <f>IF(B35="","",'Statement of Marks'!FW36)</f>
        <v/>
      </c>
      <c r="O35" s="296" t="str">
        <f>IF(B35="","",'Statement of Marks'!GD36)</f>
        <v/>
      </c>
      <c r="P35" s="296" t="str">
        <f>IF(B35="","",'Statement of Marks'!GK36)</f>
        <v/>
      </c>
      <c r="Q35" s="296" t="str">
        <f>IF(B35="","",'Statement of Marks'!GR36)</f>
        <v/>
      </c>
      <c r="R35" s="296" t="str">
        <f>IF(B35="","",'Statement of Marks'!GS36)</f>
        <v/>
      </c>
      <c r="S35" s="288" t="str">
        <f>IF(COUNTIF(K35:R35,"F")&gt;0,"",CONCATENATE('Statement of Marks'!GU36,'Statement of Marks'!GW36))</f>
        <v xml:space="preserve">           </v>
      </c>
      <c r="T35" s="289">
        <f t="shared" si="0"/>
        <v>0</v>
      </c>
      <c r="U35" s="16"/>
      <c r="V35" s="297" t="str">
        <f t="shared" si="1"/>
        <v/>
      </c>
      <c r="W35" s="297" t="str">
        <f t="shared" si="2"/>
        <v/>
      </c>
      <c r="X35" s="16"/>
      <c r="Y35" s="297" t="str">
        <f t="shared" si="3"/>
        <v/>
      </c>
      <c r="Z35" s="297" t="str">
        <f t="shared" si="4"/>
        <v/>
      </c>
      <c r="AA35" s="16"/>
      <c r="AB35" s="297" t="str">
        <f t="shared" si="5"/>
        <v/>
      </c>
      <c r="AC35" s="298" t="str">
        <f t="shared" si="6"/>
        <v/>
      </c>
      <c r="AD35" s="16"/>
      <c r="AE35" s="297" t="str">
        <f t="shared" si="7"/>
        <v/>
      </c>
      <c r="AF35" s="298" t="str">
        <f t="shared" si="8"/>
        <v/>
      </c>
      <c r="AG35" s="16"/>
      <c r="AH35" s="297" t="str">
        <f t="shared" si="9"/>
        <v/>
      </c>
      <c r="AI35" s="298" t="str">
        <f t="shared" si="10"/>
        <v/>
      </c>
      <c r="AJ35" s="16"/>
      <c r="AK35" s="298" t="str">
        <f t="shared" si="11"/>
        <v/>
      </c>
      <c r="AL35" s="298" t="str">
        <f t="shared" si="12"/>
        <v/>
      </c>
      <c r="AM35" s="16"/>
      <c r="AN35" s="297" t="str">
        <f t="shared" si="13"/>
        <v/>
      </c>
      <c r="AO35" s="16"/>
      <c r="AP35" s="297" t="str">
        <f t="shared" si="14"/>
        <v/>
      </c>
      <c r="AQ35" s="299">
        <f t="shared" si="15"/>
        <v>0</v>
      </c>
      <c r="AR35" s="299">
        <f t="shared" si="16"/>
        <v>0</v>
      </c>
      <c r="AS35" s="300" t="str">
        <f t="shared" si="17"/>
        <v/>
      </c>
      <c r="AT35" s="301" t="str">
        <f>IF(COUNTIF(K35:R35,"F")&gt;0,"",IF(AS35="PASS",'Statement of Marks'!HF36,""))</f>
        <v/>
      </c>
      <c r="AU35" s="301" t="str">
        <f>IF(AS35="PASS",'Statement of Marks'!HG36,"")</f>
        <v/>
      </c>
    </row>
    <row r="36" spans="1:47">
      <c r="A36" s="284">
        <f>IF('Statement of Marks'!A37="","",'Statement of Marks'!A37)</f>
        <v>30</v>
      </c>
      <c r="B36" s="284" t="str">
        <f>IF('Statement of Marks'!B37="","",'Statement of Marks'!B37)</f>
        <v/>
      </c>
      <c r="C36" s="284" t="str">
        <f>IF('Statement of Marks'!C37="","",'Statement of Marks'!C37)</f>
        <v/>
      </c>
      <c r="D36" s="285" t="str">
        <f>IF('Statement of Marks'!D37="","",'Statement of Marks'!D37)</f>
        <v/>
      </c>
      <c r="E36" s="286" t="str">
        <f>IF('Statement of Marks'!E37="","",'Statement of Marks'!E37)</f>
        <v/>
      </c>
      <c r="F36" s="286" t="str">
        <f>IF('Statement of Marks'!F37="","",'Statement of Marks'!F37)</f>
        <v/>
      </c>
      <c r="G36" s="286" t="str">
        <f>IF('Statement of Marks'!G37="","",'Statement of Marks'!G37)</f>
        <v/>
      </c>
      <c r="H36" s="287" t="str">
        <f>IF('Statement of Marks'!GY37="","",'Statement of Marks'!GY37)</f>
        <v/>
      </c>
      <c r="I36" s="287" t="str">
        <f>IF('Statement of Marks'!HB37="","",'Statement of Marks'!HB37)</f>
        <v/>
      </c>
      <c r="J36" s="288" t="str">
        <f>IF('Statement of Marks'!HC37="","",'Statement of Marks'!HC37)</f>
        <v/>
      </c>
      <c r="K36" s="296" t="str">
        <f>IF(B36="","",'Statement of Marks'!FJ37)</f>
        <v/>
      </c>
      <c r="L36" s="296" t="str">
        <f>IF(B36="","",'Statement of Marks'!FM37)</f>
        <v/>
      </c>
      <c r="M36" s="296" t="str">
        <f>IF(B36="","",'Statement of Marks'!FP37)</f>
        <v/>
      </c>
      <c r="N36" s="296" t="str">
        <f>IF(B36="","",'Statement of Marks'!FW37)</f>
        <v/>
      </c>
      <c r="O36" s="296" t="str">
        <f>IF(B36="","",'Statement of Marks'!GD37)</f>
        <v/>
      </c>
      <c r="P36" s="296" t="str">
        <f>IF(B36="","",'Statement of Marks'!GK37)</f>
        <v/>
      </c>
      <c r="Q36" s="296" t="str">
        <f>IF(B36="","",'Statement of Marks'!GR37)</f>
        <v/>
      </c>
      <c r="R36" s="296" t="str">
        <f>IF(B36="","",'Statement of Marks'!GS37)</f>
        <v/>
      </c>
      <c r="S36" s="288" t="str">
        <f>IF(COUNTIF(K36:R36,"F")&gt;0,"",CONCATENATE('Statement of Marks'!GU37,'Statement of Marks'!GW37))</f>
        <v xml:space="preserve">           </v>
      </c>
      <c r="T36" s="289">
        <f t="shared" si="0"/>
        <v>0</v>
      </c>
      <c r="U36" s="16"/>
      <c r="V36" s="297" t="str">
        <f t="shared" si="1"/>
        <v/>
      </c>
      <c r="W36" s="297" t="str">
        <f t="shared" si="2"/>
        <v/>
      </c>
      <c r="X36" s="16"/>
      <c r="Y36" s="297" t="str">
        <f t="shared" si="3"/>
        <v/>
      </c>
      <c r="Z36" s="297" t="str">
        <f t="shared" si="4"/>
        <v/>
      </c>
      <c r="AA36" s="16"/>
      <c r="AB36" s="297" t="str">
        <f t="shared" si="5"/>
        <v/>
      </c>
      <c r="AC36" s="298" t="str">
        <f t="shared" si="6"/>
        <v/>
      </c>
      <c r="AD36" s="16"/>
      <c r="AE36" s="297" t="str">
        <f t="shared" si="7"/>
        <v/>
      </c>
      <c r="AF36" s="298" t="str">
        <f t="shared" si="8"/>
        <v/>
      </c>
      <c r="AG36" s="16"/>
      <c r="AH36" s="297" t="str">
        <f t="shared" si="9"/>
        <v/>
      </c>
      <c r="AI36" s="298" t="str">
        <f t="shared" si="10"/>
        <v/>
      </c>
      <c r="AJ36" s="16"/>
      <c r="AK36" s="298" t="str">
        <f t="shared" si="11"/>
        <v/>
      </c>
      <c r="AL36" s="298" t="str">
        <f t="shared" si="12"/>
        <v/>
      </c>
      <c r="AM36" s="16"/>
      <c r="AN36" s="297" t="str">
        <f t="shared" si="13"/>
        <v/>
      </c>
      <c r="AO36" s="16"/>
      <c r="AP36" s="297" t="str">
        <f t="shared" si="14"/>
        <v/>
      </c>
      <c r="AQ36" s="299">
        <f t="shared" si="15"/>
        <v>0</v>
      </c>
      <c r="AR36" s="299">
        <f t="shared" si="16"/>
        <v>0</v>
      </c>
      <c r="AS36" s="300" t="str">
        <f t="shared" si="17"/>
        <v/>
      </c>
      <c r="AT36" s="301" t="str">
        <f>IF(COUNTIF(K36:R36,"F")&gt;0,"",IF(AS36="PASS",'Statement of Marks'!HF37,""))</f>
        <v/>
      </c>
      <c r="AU36" s="301" t="str">
        <f>IF(AS36="PASS",'Statement of Marks'!HG37,"")</f>
        <v/>
      </c>
    </row>
    <row r="37" spans="1:47">
      <c r="A37" s="284">
        <f>IF('Statement of Marks'!A38="","",'Statement of Marks'!A38)</f>
        <v>31</v>
      </c>
      <c r="B37" s="284" t="str">
        <f>IF('Statement of Marks'!B38="","",'Statement of Marks'!B38)</f>
        <v/>
      </c>
      <c r="C37" s="284" t="str">
        <f>IF('Statement of Marks'!C38="","",'Statement of Marks'!C38)</f>
        <v/>
      </c>
      <c r="D37" s="285" t="str">
        <f>IF('Statement of Marks'!D38="","",'Statement of Marks'!D38)</f>
        <v/>
      </c>
      <c r="E37" s="286" t="str">
        <f>IF('Statement of Marks'!E38="","",'Statement of Marks'!E38)</f>
        <v/>
      </c>
      <c r="F37" s="286" t="str">
        <f>IF('Statement of Marks'!F38="","",'Statement of Marks'!F38)</f>
        <v/>
      </c>
      <c r="G37" s="286" t="str">
        <f>IF('Statement of Marks'!G38="","",'Statement of Marks'!G38)</f>
        <v/>
      </c>
      <c r="H37" s="287" t="str">
        <f>IF('Statement of Marks'!GY38="","",'Statement of Marks'!GY38)</f>
        <v/>
      </c>
      <c r="I37" s="287" t="str">
        <f>IF('Statement of Marks'!HB38="","",'Statement of Marks'!HB38)</f>
        <v/>
      </c>
      <c r="J37" s="288" t="str">
        <f>IF('Statement of Marks'!HC38="","",'Statement of Marks'!HC38)</f>
        <v/>
      </c>
      <c r="K37" s="296" t="str">
        <f>IF(B37="","",'Statement of Marks'!FJ38)</f>
        <v/>
      </c>
      <c r="L37" s="296" t="str">
        <f>IF(B37="","",'Statement of Marks'!FM38)</f>
        <v/>
      </c>
      <c r="M37" s="296" t="str">
        <f>IF(B37="","",'Statement of Marks'!FP38)</f>
        <v/>
      </c>
      <c r="N37" s="296" t="str">
        <f>IF(B37="","",'Statement of Marks'!FW38)</f>
        <v/>
      </c>
      <c r="O37" s="296" t="str">
        <f>IF(B37="","",'Statement of Marks'!GD38)</f>
        <v/>
      </c>
      <c r="P37" s="296" t="str">
        <f>IF(B37="","",'Statement of Marks'!GK38)</f>
        <v/>
      </c>
      <c r="Q37" s="296" t="str">
        <f>IF(B37="","",'Statement of Marks'!GR38)</f>
        <v/>
      </c>
      <c r="R37" s="296" t="str">
        <f>IF(B37="","",'Statement of Marks'!GS38)</f>
        <v/>
      </c>
      <c r="S37" s="288" t="str">
        <f>IF(COUNTIF(K37:R37,"F")&gt;0,"",CONCATENATE('Statement of Marks'!GU38,'Statement of Marks'!GW38))</f>
        <v xml:space="preserve">           </v>
      </c>
      <c r="T37" s="289">
        <f t="shared" si="0"/>
        <v>0</v>
      </c>
      <c r="U37" s="16"/>
      <c r="V37" s="297" t="str">
        <f t="shared" si="1"/>
        <v/>
      </c>
      <c r="W37" s="297" t="str">
        <f t="shared" si="2"/>
        <v/>
      </c>
      <c r="X37" s="16"/>
      <c r="Y37" s="297" t="str">
        <f t="shared" si="3"/>
        <v/>
      </c>
      <c r="Z37" s="297" t="str">
        <f t="shared" si="4"/>
        <v/>
      </c>
      <c r="AA37" s="16"/>
      <c r="AB37" s="297" t="str">
        <f t="shared" si="5"/>
        <v/>
      </c>
      <c r="AC37" s="298" t="str">
        <f t="shared" si="6"/>
        <v/>
      </c>
      <c r="AD37" s="16"/>
      <c r="AE37" s="297" t="str">
        <f t="shared" si="7"/>
        <v/>
      </c>
      <c r="AF37" s="298" t="str">
        <f t="shared" si="8"/>
        <v/>
      </c>
      <c r="AG37" s="16"/>
      <c r="AH37" s="297" t="str">
        <f t="shared" si="9"/>
        <v/>
      </c>
      <c r="AI37" s="298" t="str">
        <f t="shared" si="10"/>
        <v/>
      </c>
      <c r="AJ37" s="16"/>
      <c r="AK37" s="298" t="str">
        <f t="shared" si="11"/>
        <v/>
      </c>
      <c r="AL37" s="298" t="str">
        <f t="shared" si="12"/>
        <v/>
      </c>
      <c r="AM37" s="16"/>
      <c r="AN37" s="297" t="str">
        <f t="shared" si="13"/>
        <v/>
      </c>
      <c r="AO37" s="16"/>
      <c r="AP37" s="297" t="str">
        <f t="shared" si="14"/>
        <v/>
      </c>
      <c r="AQ37" s="299">
        <f t="shared" si="15"/>
        <v>0</v>
      </c>
      <c r="AR37" s="299">
        <f t="shared" si="16"/>
        <v>0</v>
      </c>
      <c r="AS37" s="300" t="str">
        <f t="shared" si="17"/>
        <v/>
      </c>
      <c r="AT37" s="301" t="str">
        <f>IF(COUNTIF(K37:R37,"F")&gt;0,"",IF(AS37="PASS",'Statement of Marks'!HF38,""))</f>
        <v/>
      </c>
      <c r="AU37" s="301" t="str">
        <f>IF(AS37="PASS",'Statement of Marks'!HG38,"")</f>
        <v/>
      </c>
    </row>
    <row r="38" spans="1:47">
      <c r="A38" s="284">
        <f>IF('Statement of Marks'!A39="","",'Statement of Marks'!A39)</f>
        <v>32</v>
      </c>
      <c r="B38" s="284" t="str">
        <f>IF('Statement of Marks'!B39="","",'Statement of Marks'!B39)</f>
        <v/>
      </c>
      <c r="C38" s="284" t="str">
        <f>IF('Statement of Marks'!C39="","",'Statement of Marks'!C39)</f>
        <v/>
      </c>
      <c r="D38" s="285" t="str">
        <f>IF('Statement of Marks'!D39="","",'Statement of Marks'!D39)</f>
        <v/>
      </c>
      <c r="E38" s="286" t="str">
        <f>IF('Statement of Marks'!E39="","",'Statement of Marks'!E39)</f>
        <v/>
      </c>
      <c r="F38" s="286" t="str">
        <f>IF('Statement of Marks'!F39="","",'Statement of Marks'!F39)</f>
        <v/>
      </c>
      <c r="G38" s="286" t="str">
        <f>IF('Statement of Marks'!G39="","",'Statement of Marks'!G39)</f>
        <v/>
      </c>
      <c r="H38" s="287" t="str">
        <f>IF('Statement of Marks'!GY39="","",'Statement of Marks'!GY39)</f>
        <v/>
      </c>
      <c r="I38" s="287" t="str">
        <f>IF('Statement of Marks'!HB39="","",'Statement of Marks'!HB39)</f>
        <v/>
      </c>
      <c r="J38" s="288" t="str">
        <f>IF('Statement of Marks'!HC39="","",'Statement of Marks'!HC39)</f>
        <v/>
      </c>
      <c r="K38" s="296" t="str">
        <f>IF(B38="","",'Statement of Marks'!FJ39)</f>
        <v/>
      </c>
      <c r="L38" s="296" t="str">
        <f>IF(B38="","",'Statement of Marks'!FM39)</f>
        <v/>
      </c>
      <c r="M38" s="296" t="str">
        <f>IF(B38="","",'Statement of Marks'!FP39)</f>
        <v/>
      </c>
      <c r="N38" s="296" t="str">
        <f>IF(B38="","",'Statement of Marks'!FW39)</f>
        <v/>
      </c>
      <c r="O38" s="296" t="str">
        <f>IF(B38="","",'Statement of Marks'!GD39)</f>
        <v/>
      </c>
      <c r="P38" s="296" t="str">
        <f>IF(B38="","",'Statement of Marks'!GK39)</f>
        <v/>
      </c>
      <c r="Q38" s="296" t="str">
        <f>IF(B38="","",'Statement of Marks'!GR39)</f>
        <v/>
      </c>
      <c r="R38" s="296" t="str">
        <f>IF(B38="","",'Statement of Marks'!GS39)</f>
        <v/>
      </c>
      <c r="S38" s="288" t="str">
        <f>IF(COUNTIF(K38:R38,"F")&gt;0,"",CONCATENATE('Statement of Marks'!GU39,'Statement of Marks'!GW39))</f>
        <v xml:space="preserve">           </v>
      </c>
      <c r="T38" s="289">
        <f t="shared" si="0"/>
        <v>0</v>
      </c>
      <c r="U38" s="16"/>
      <c r="V38" s="297" t="str">
        <f t="shared" si="1"/>
        <v/>
      </c>
      <c r="W38" s="297" t="str">
        <f t="shared" si="2"/>
        <v/>
      </c>
      <c r="X38" s="16"/>
      <c r="Y38" s="297" t="str">
        <f t="shared" si="3"/>
        <v/>
      </c>
      <c r="Z38" s="297" t="str">
        <f t="shared" si="4"/>
        <v/>
      </c>
      <c r="AA38" s="16"/>
      <c r="AB38" s="297" t="str">
        <f t="shared" si="5"/>
        <v/>
      </c>
      <c r="AC38" s="298" t="str">
        <f t="shared" si="6"/>
        <v/>
      </c>
      <c r="AD38" s="16"/>
      <c r="AE38" s="297" t="str">
        <f t="shared" si="7"/>
        <v/>
      </c>
      <c r="AF38" s="298" t="str">
        <f t="shared" si="8"/>
        <v/>
      </c>
      <c r="AG38" s="16"/>
      <c r="AH38" s="297" t="str">
        <f t="shared" si="9"/>
        <v/>
      </c>
      <c r="AI38" s="298" t="str">
        <f t="shared" si="10"/>
        <v/>
      </c>
      <c r="AJ38" s="16"/>
      <c r="AK38" s="298" t="str">
        <f t="shared" si="11"/>
        <v/>
      </c>
      <c r="AL38" s="298" t="str">
        <f t="shared" si="12"/>
        <v/>
      </c>
      <c r="AM38" s="16"/>
      <c r="AN38" s="297" t="str">
        <f t="shared" si="13"/>
        <v/>
      </c>
      <c r="AO38" s="16"/>
      <c r="AP38" s="297" t="str">
        <f t="shared" si="14"/>
        <v/>
      </c>
      <c r="AQ38" s="299">
        <f t="shared" si="15"/>
        <v>0</v>
      </c>
      <c r="AR38" s="299">
        <f t="shared" si="16"/>
        <v>0</v>
      </c>
      <c r="AS38" s="300" t="str">
        <f t="shared" si="17"/>
        <v/>
      </c>
      <c r="AT38" s="301" t="str">
        <f>IF(COUNTIF(K38:R38,"F")&gt;0,"",IF(AS38="PASS",'Statement of Marks'!HF39,""))</f>
        <v/>
      </c>
      <c r="AU38" s="301" t="str">
        <f>IF(AS38="PASS",'Statement of Marks'!HG39,"")</f>
        <v/>
      </c>
    </row>
    <row r="39" spans="1:47">
      <c r="A39" s="284">
        <f>IF('Statement of Marks'!A40="","",'Statement of Marks'!A40)</f>
        <v>33</v>
      </c>
      <c r="B39" s="284" t="str">
        <f>IF('Statement of Marks'!B40="","",'Statement of Marks'!B40)</f>
        <v/>
      </c>
      <c r="C39" s="284" t="str">
        <f>IF('Statement of Marks'!C40="","",'Statement of Marks'!C40)</f>
        <v/>
      </c>
      <c r="D39" s="285" t="str">
        <f>IF('Statement of Marks'!D40="","",'Statement of Marks'!D40)</f>
        <v/>
      </c>
      <c r="E39" s="286" t="str">
        <f>IF('Statement of Marks'!E40="","",'Statement of Marks'!E40)</f>
        <v/>
      </c>
      <c r="F39" s="286" t="str">
        <f>IF('Statement of Marks'!F40="","",'Statement of Marks'!F40)</f>
        <v/>
      </c>
      <c r="G39" s="286" t="str">
        <f>IF('Statement of Marks'!G40="","",'Statement of Marks'!G40)</f>
        <v/>
      </c>
      <c r="H39" s="287" t="str">
        <f>IF('Statement of Marks'!GY40="","",'Statement of Marks'!GY40)</f>
        <v/>
      </c>
      <c r="I39" s="287" t="str">
        <f>IF('Statement of Marks'!HB40="","",'Statement of Marks'!HB40)</f>
        <v/>
      </c>
      <c r="J39" s="288" t="str">
        <f>IF('Statement of Marks'!HC40="","",'Statement of Marks'!HC40)</f>
        <v/>
      </c>
      <c r="K39" s="296" t="str">
        <f>IF(B39="","",'Statement of Marks'!FJ40)</f>
        <v/>
      </c>
      <c r="L39" s="296" t="str">
        <f>IF(B39="","",'Statement of Marks'!FM40)</f>
        <v/>
      </c>
      <c r="M39" s="296" t="str">
        <f>IF(B39="","",'Statement of Marks'!FP40)</f>
        <v/>
      </c>
      <c r="N39" s="296" t="str">
        <f>IF(B39="","",'Statement of Marks'!FW40)</f>
        <v/>
      </c>
      <c r="O39" s="296" t="str">
        <f>IF(B39="","",'Statement of Marks'!GD40)</f>
        <v/>
      </c>
      <c r="P39" s="296" t="str">
        <f>IF(B39="","",'Statement of Marks'!GK40)</f>
        <v/>
      </c>
      <c r="Q39" s="296" t="str">
        <f>IF(B39="","",'Statement of Marks'!GR40)</f>
        <v/>
      </c>
      <c r="R39" s="296" t="str">
        <f>IF(B39="","",'Statement of Marks'!GS40)</f>
        <v/>
      </c>
      <c r="S39" s="288" t="str">
        <f>IF(COUNTIF(K39:R39,"F")&gt;0,"",CONCATENATE('Statement of Marks'!GU40,'Statement of Marks'!GW40))</f>
        <v xml:space="preserve">           </v>
      </c>
      <c r="T39" s="289">
        <f t="shared" si="0"/>
        <v>0</v>
      </c>
      <c r="U39" s="16"/>
      <c r="V39" s="297" t="str">
        <f t="shared" si="1"/>
        <v/>
      </c>
      <c r="W39" s="297" t="str">
        <f t="shared" si="2"/>
        <v/>
      </c>
      <c r="X39" s="16"/>
      <c r="Y39" s="297" t="str">
        <f t="shared" si="3"/>
        <v/>
      </c>
      <c r="Z39" s="297" t="str">
        <f t="shared" si="4"/>
        <v/>
      </c>
      <c r="AA39" s="16"/>
      <c r="AB39" s="297" t="str">
        <f t="shared" si="5"/>
        <v/>
      </c>
      <c r="AC39" s="298" t="str">
        <f t="shared" si="6"/>
        <v/>
      </c>
      <c r="AD39" s="16"/>
      <c r="AE39" s="297" t="str">
        <f t="shared" si="7"/>
        <v/>
      </c>
      <c r="AF39" s="298" t="str">
        <f t="shared" si="8"/>
        <v/>
      </c>
      <c r="AG39" s="16"/>
      <c r="AH39" s="297" t="str">
        <f t="shared" si="9"/>
        <v/>
      </c>
      <c r="AI39" s="298" t="str">
        <f t="shared" si="10"/>
        <v/>
      </c>
      <c r="AJ39" s="16"/>
      <c r="AK39" s="298" t="str">
        <f t="shared" si="11"/>
        <v/>
      </c>
      <c r="AL39" s="298" t="str">
        <f t="shared" si="12"/>
        <v/>
      </c>
      <c r="AM39" s="16"/>
      <c r="AN39" s="297" t="str">
        <f t="shared" si="13"/>
        <v/>
      </c>
      <c r="AO39" s="16"/>
      <c r="AP39" s="297" t="str">
        <f t="shared" si="14"/>
        <v/>
      </c>
      <c r="AQ39" s="299">
        <f t="shared" si="15"/>
        <v>0</v>
      </c>
      <c r="AR39" s="299">
        <f t="shared" si="16"/>
        <v>0</v>
      </c>
      <c r="AS39" s="300" t="str">
        <f t="shared" si="17"/>
        <v/>
      </c>
      <c r="AT39" s="301" t="str">
        <f>IF(COUNTIF(K39:R39,"F")&gt;0,"",IF(AS39="PASS",'Statement of Marks'!HF40,""))</f>
        <v/>
      </c>
      <c r="AU39" s="301" t="str">
        <f>IF(AS39="PASS",'Statement of Marks'!HG40,"")</f>
        <v/>
      </c>
    </row>
    <row r="40" spans="1:47">
      <c r="A40" s="284">
        <f>IF('Statement of Marks'!A41="","",'Statement of Marks'!A41)</f>
        <v>34</v>
      </c>
      <c r="B40" s="284" t="str">
        <f>IF('Statement of Marks'!B41="","",'Statement of Marks'!B41)</f>
        <v/>
      </c>
      <c r="C40" s="284" t="str">
        <f>IF('Statement of Marks'!C41="","",'Statement of Marks'!C41)</f>
        <v/>
      </c>
      <c r="D40" s="285" t="str">
        <f>IF('Statement of Marks'!D41="","",'Statement of Marks'!D41)</f>
        <v/>
      </c>
      <c r="E40" s="286" t="str">
        <f>IF('Statement of Marks'!E41="","",'Statement of Marks'!E41)</f>
        <v/>
      </c>
      <c r="F40" s="286" t="str">
        <f>IF('Statement of Marks'!F41="","",'Statement of Marks'!F41)</f>
        <v/>
      </c>
      <c r="G40" s="286" t="str">
        <f>IF('Statement of Marks'!G41="","",'Statement of Marks'!G41)</f>
        <v/>
      </c>
      <c r="H40" s="287" t="str">
        <f>IF('Statement of Marks'!GY41="","",'Statement of Marks'!GY41)</f>
        <v/>
      </c>
      <c r="I40" s="287" t="str">
        <f>IF('Statement of Marks'!HB41="","",'Statement of Marks'!HB41)</f>
        <v/>
      </c>
      <c r="J40" s="288" t="str">
        <f>IF('Statement of Marks'!HC41="","",'Statement of Marks'!HC41)</f>
        <v/>
      </c>
      <c r="K40" s="296" t="str">
        <f>IF(B40="","",'Statement of Marks'!FJ41)</f>
        <v/>
      </c>
      <c r="L40" s="296" t="str">
        <f>IF(B40="","",'Statement of Marks'!FM41)</f>
        <v/>
      </c>
      <c r="M40" s="296" t="str">
        <f>IF(B40="","",'Statement of Marks'!FP41)</f>
        <v/>
      </c>
      <c r="N40" s="296" t="str">
        <f>IF(B40="","",'Statement of Marks'!FW41)</f>
        <v/>
      </c>
      <c r="O40" s="296" t="str">
        <f>IF(B40="","",'Statement of Marks'!GD41)</f>
        <v/>
      </c>
      <c r="P40" s="296" t="str">
        <f>IF(B40="","",'Statement of Marks'!GK41)</f>
        <v/>
      </c>
      <c r="Q40" s="296" t="str">
        <f>IF(B40="","",'Statement of Marks'!GR41)</f>
        <v/>
      </c>
      <c r="R40" s="296" t="str">
        <f>IF(B40="","",'Statement of Marks'!GS41)</f>
        <v/>
      </c>
      <c r="S40" s="288" t="str">
        <f>IF(COUNTIF(K40:R40,"F")&gt;0,"",CONCATENATE('Statement of Marks'!GU41,'Statement of Marks'!GW41))</f>
        <v xml:space="preserve">           </v>
      </c>
      <c r="T40" s="289">
        <f t="shared" si="0"/>
        <v>0</v>
      </c>
      <c r="U40" s="16"/>
      <c r="V40" s="297" t="str">
        <f t="shared" si="1"/>
        <v/>
      </c>
      <c r="W40" s="297" t="str">
        <f t="shared" si="2"/>
        <v/>
      </c>
      <c r="X40" s="16"/>
      <c r="Y40" s="297" t="str">
        <f t="shared" si="3"/>
        <v/>
      </c>
      <c r="Z40" s="297" t="str">
        <f t="shared" si="4"/>
        <v/>
      </c>
      <c r="AA40" s="16"/>
      <c r="AB40" s="297" t="str">
        <f t="shared" si="5"/>
        <v/>
      </c>
      <c r="AC40" s="298" t="str">
        <f t="shared" si="6"/>
        <v/>
      </c>
      <c r="AD40" s="16"/>
      <c r="AE40" s="297" t="str">
        <f t="shared" si="7"/>
        <v/>
      </c>
      <c r="AF40" s="298" t="str">
        <f t="shared" si="8"/>
        <v/>
      </c>
      <c r="AG40" s="16"/>
      <c r="AH40" s="297" t="str">
        <f t="shared" si="9"/>
        <v/>
      </c>
      <c r="AI40" s="298" t="str">
        <f t="shared" si="10"/>
        <v/>
      </c>
      <c r="AJ40" s="16"/>
      <c r="AK40" s="298" t="str">
        <f t="shared" si="11"/>
        <v/>
      </c>
      <c r="AL40" s="298" t="str">
        <f t="shared" si="12"/>
        <v/>
      </c>
      <c r="AM40" s="16"/>
      <c r="AN40" s="297" t="str">
        <f t="shared" si="13"/>
        <v/>
      </c>
      <c r="AO40" s="16"/>
      <c r="AP40" s="297" t="str">
        <f t="shared" si="14"/>
        <v/>
      </c>
      <c r="AQ40" s="299">
        <f t="shared" si="15"/>
        <v>0</v>
      </c>
      <c r="AR40" s="299">
        <f t="shared" si="16"/>
        <v>0</v>
      </c>
      <c r="AS40" s="300" t="str">
        <f t="shared" si="17"/>
        <v/>
      </c>
      <c r="AT40" s="301" t="str">
        <f>IF(COUNTIF(K40:R40,"F")&gt;0,"",IF(AS40="PASS",'Statement of Marks'!HF41,""))</f>
        <v/>
      </c>
      <c r="AU40" s="301" t="str">
        <f>IF(AS40="PASS",'Statement of Marks'!HG41,"")</f>
        <v/>
      </c>
    </row>
    <row r="41" spans="1:47">
      <c r="A41" s="284">
        <f>IF('Statement of Marks'!A42="","",'Statement of Marks'!A42)</f>
        <v>35</v>
      </c>
      <c r="B41" s="284" t="str">
        <f>IF('Statement of Marks'!B42="","",'Statement of Marks'!B42)</f>
        <v/>
      </c>
      <c r="C41" s="284" t="str">
        <f>IF('Statement of Marks'!C42="","",'Statement of Marks'!C42)</f>
        <v/>
      </c>
      <c r="D41" s="285" t="str">
        <f>IF('Statement of Marks'!D42="","",'Statement of Marks'!D42)</f>
        <v/>
      </c>
      <c r="E41" s="286" t="str">
        <f>IF('Statement of Marks'!E42="","",'Statement of Marks'!E42)</f>
        <v/>
      </c>
      <c r="F41" s="286" t="str">
        <f>IF('Statement of Marks'!F42="","",'Statement of Marks'!F42)</f>
        <v/>
      </c>
      <c r="G41" s="286" t="str">
        <f>IF('Statement of Marks'!G42="","",'Statement of Marks'!G42)</f>
        <v/>
      </c>
      <c r="H41" s="287" t="str">
        <f>IF('Statement of Marks'!GY42="","",'Statement of Marks'!GY42)</f>
        <v/>
      </c>
      <c r="I41" s="287" t="str">
        <f>IF('Statement of Marks'!HB42="","",'Statement of Marks'!HB42)</f>
        <v/>
      </c>
      <c r="J41" s="288" t="str">
        <f>IF('Statement of Marks'!HC42="","",'Statement of Marks'!HC42)</f>
        <v/>
      </c>
      <c r="K41" s="296" t="str">
        <f>IF(B41="","",'Statement of Marks'!FJ42)</f>
        <v/>
      </c>
      <c r="L41" s="296" t="str">
        <f>IF(B41="","",'Statement of Marks'!FM42)</f>
        <v/>
      </c>
      <c r="M41" s="296" t="str">
        <f>IF(B41="","",'Statement of Marks'!FP42)</f>
        <v/>
      </c>
      <c r="N41" s="296" t="str">
        <f>IF(B41="","",'Statement of Marks'!FW42)</f>
        <v/>
      </c>
      <c r="O41" s="296" t="str">
        <f>IF(B41="","",'Statement of Marks'!GD42)</f>
        <v/>
      </c>
      <c r="P41" s="296" t="str">
        <f>IF(B41="","",'Statement of Marks'!GK42)</f>
        <v/>
      </c>
      <c r="Q41" s="296" t="str">
        <f>IF(B41="","",'Statement of Marks'!GR42)</f>
        <v/>
      </c>
      <c r="R41" s="296" t="str">
        <f>IF(B41="","",'Statement of Marks'!GS42)</f>
        <v/>
      </c>
      <c r="S41" s="288" t="str">
        <f>IF(COUNTIF(K41:R41,"F")&gt;0,"",CONCATENATE('Statement of Marks'!GU42,'Statement of Marks'!GW42))</f>
        <v xml:space="preserve">           </v>
      </c>
      <c r="T41" s="289">
        <f t="shared" si="0"/>
        <v>0</v>
      </c>
      <c r="U41" s="16"/>
      <c r="V41" s="297" t="str">
        <f t="shared" si="1"/>
        <v/>
      </c>
      <c r="W41" s="297" t="str">
        <f t="shared" si="2"/>
        <v/>
      </c>
      <c r="X41" s="16"/>
      <c r="Y41" s="297" t="str">
        <f t="shared" si="3"/>
        <v/>
      </c>
      <c r="Z41" s="297" t="str">
        <f t="shared" si="4"/>
        <v/>
      </c>
      <c r="AA41" s="16"/>
      <c r="AB41" s="297" t="str">
        <f t="shared" si="5"/>
        <v/>
      </c>
      <c r="AC41" s="298" t="str">
        <f t="shared" si="6"/>
        <v/>
      </c>
      <c r="AD41" s="16"/>
      <c r="AE41" s="297" t="str">
        <f t="shared" si="7"/>
        <v/>
      </c>
      <c r="AF41" s="298" t="str">
        <f t="shared" si="8"/>
        <v/>
      </c>
      <c r="AG41" s="16"/>
      <c r="AH41" s="297" t="str">
        <f t="shared" si="9"/>
        <v/>
      </c>
      <c r="AI41" s="298" t="str">
        <f t="shared" si="10"/>
        <v/>
      </c>
      <c r="AJ41" s="16"/>
      <c r="AK41" s="298" t="str">
        <f t="shared" si="11"/>
        <v/>
      </c>
      <c r="AL41" s="298" t="str">
        <f t="shared" si="12"/>
        <v/>
      </c>
      <c r="AM41" s="16"/>
      <c r="AN41" s="297" t="str">
        <f t="shared" si="13"/>
        <v/>
      </c>
      <c r="AO41" s="16"/>
      <c r="AP41" s="297" t="str">
        <f t="shared" si="14"/>
        <v/>
      </c>
      <c r="AQ41" s="299">
        <f t="shared" si="15"/>
        <v>0</v>
      </c>
      <c r="AR41" s="299">
        <f t="shared" si="16"/>
        <v>0</v>
      </c>
      <c r="AS41" s="300" t="str">
        <f t="shared" si="17"/>
        <v/>
      </c>
      <c r="AT41" s="301" t="str">
        <f>IF(COUNTIF(K41:R41,"F")&gt;0,"",IF(AS41="PASS",'Statement of Marks'!HF42,""))</f>
        <v/>
      </c>
      <c r="AU41" s="301" t="str">
        <f>IF(AS41="PASS",'Statement of Marks'!HG42,"")</f>
        <v/>
      </c>
    </row>
    <row r="42" spans="1:47">
      <c r="A42" s="284">
        <f>IF('Statement of Marks'!A43="","",'Statement of Marks'!A43)</f>
        <v>36</v>
      </c>
      <c r="B42" s="284" t="str">
        <f>IF('Statement of Marks'!B43="","",'Statement of Marks'!B43)</f>
        <v/>
      </c>
      <c r="C42" s="284" t="str">
        <f>IF('Statement of Marks'!C43="","",'Statement of Marks'!C43)</f>
        <v/>
      </c>
      <c r="D42" s="285" t="str">
        <f>IF('Statement of Marks'!D43="","",'Statement of Marks'!D43)</f>
        <v/>
      </c>
      <c r="E42" s="286" t="str">
        <f>IF('Statement of Marks'!E43="","",'Statement of Marks'!E43)</f>
        <v/>
      </c>
      <c r="F42" s="286" t="str">
        <f>IF('Statement of Marks'!F43="","",'Statement of Marks'!F43)</f>
        <v/>
      </c>
      <c r="G42" s="286" t="str">
        <f>IF('Statement of Marks'!G43="","",'Statement of Marks'!G43)</f>
        <v/>
      </c>
      <c r="H42" s="287" t="str">
        <f>IF('Statement of Marks'!GY43="","",'Statement of Marks'!GY43)</f>
        <v/>
      </c>
      <c r="I42" s="287" t="str">
        <f>IF('Statement of Marks'!HB43="","",'Statement of Marks'!HB43)</f>
        <v/>
      </c>
      <c r="J42" s="288" t="str">
        <f>IF('Statement of Marks'!HC43="","",'Statement of Marks'!HC43)</f>
        <v/>
      </c>
      <c r="K42" s="296" t="str">
        <f>IF(B42="","",'Statement of Marks'!FJ43)</f>
        <v/>
      </c>
      <c r="L42" s="296" t="str">
        <f>IF(B42="","",'Statement of Marks'!FM43)</f>
        <v/>
      </c>
      <c r="M42" s="296" t="str">
        <f>IF(B42="","",'Statement of Marks'!FP43)</f>
        <v/>
      </c>
      <c r="N42" s="296" t="str">
        <f>IF(B42="","",'Statement of Marks'!FW43)</f>
        <v/>
      </c>
      <c r="O42" s="296" t="str">
        <f>IF(B42="","",'Statement of Marks'!GD43)</f>
        <v/>
      </c>
      <c r="P42" s="296" t="str">
        <f>IF(B42="","",'Statement of Marks'!GK43)</f>
        <v/>
      </c>
      <c r="Q42" s="296" t="str">
        <f>IF(B42="","",'Statement of Marks'!GR43)</f>
        <v/>
      </c>
      <c r="R42" s="296" t="str">
        <f>IF(B42="","",'Statement of Marks'!GS43)</f>
        <v/>
      </c>
      <c r="S42" s="288" t="str">
        <f>IF(COUNTIF(K42:R42,"F")&gt;0,"",CONCATENATE('Statement of Marks'!GU43,'Statement of Marks'!GW43))</f>
        <v xml:space="preserve">           </v>
      </c>
      <c r="T42" s="289">
        <f t="shared" si="0"/>
        <v>0</v>
      </c>
      <c r="U42" s="16"/>
      <c r="V42" s="297" t="str">
        <f t="shared" si="1"/>
        <v/>
      </c>
      <c r="W42" s="297" t="str">
        <f t="shared" si="2"/>
        <v/>
      </c>
      <c r="X42" s="16"/>
      <c r="Y42" s="297" t="str">
        <f t="shared" si="3"/>
        <v/>
      </c>
      <c r="Z42" s="297" t="str">
        <f t="shared" si="4"/>
        <v/>
      </c>
      <c r="AA42" s="16"/>
      <c r="AB42" s="297" t="str">
        <f t="shared" si="5"/>
        <v/>
      </c>
      <c r="AC42" s="298" t="str">
        <f t="shared" si="6"/>
        <v/>
      </c>
      <c r="AD42" s="16"/>
      <c r="AE42" s="297" t="str">
        <f t="shared" si="7"/>
        <v/>
      </c>
      <c r="AF42" s="298" t="str">
        <f t="shared" si="8"/>
        <v/>
      </c>
      <c r="AG42" s="16"/>
      <c r="AH42" s="297" t="str">
        <f t="shared" si="9"/>
        <v/>
      </c>
      <c r="AI42" s="298" t="str">
        <f t="shared" si="10"/>
        <v/>
      </c>
      <c r="AJ42" s="16"/>
      <c r="AK42" s="298" t="str">
        <f t="shared" si="11"/>
        <v/>
      </c>
      <c r="AL42" s="298" t="str">
        <f t="shared" si="12"/>
        <v/>
      </c>
      <c r="AM42" s="16"/>
      <c r="AN42" s="297" t="str">
        <f t="shared" si="13"/>
        <v/>
      </c>
      <c r="AO42" s="16"/>
      <c r="AP42" s="297" t="str">
        <f t="shared" si="14"/>
        <v/>
      </c>
      <c r="AQ42" s="299">
        <f t="shared" si="15"/>
        <v>0</v>
      </c>
      <c r="AR42" s="299">
        <f t="shared" si="16"/>
        <v>0</v>
      </c>
      <c r="AS42" s="300" t="str">
        <f t="shared" si="17"/>
        <v/>
      </c>
      <c r="AT42" s="301" t="str">
        <f>IF(COUNTIF(K42:R42,"F")&gt;0,"",IF(AS42="PASS",'Statement of Marks'!HF43,""))</f>
        <v/>
      </c>
      <c r="AU42" s="301" t="str">
        <f>IF(AS42="PASS",'Statement of Marks'!HG43,"")</f>
        <v/>
      </c>
    </row>
    <row r="43" spans="1:47">
      <c r="A43" s="284">
        <f>IF('Statement of Marks'!A44="","",'Statement of Marks'!A44)</f>
        <v>37</v>
      </c>
      <c r="B43" s="284" t="str">
        <f>IF('Statement of Marks'!B44="","",'Statement of Marks'!B44)</f>
        <v/>
      </c>
      <c r="C43" s="284" t="str">
        <f>IF('Statement of Marks'!C44="","",'Statement of Marks'!C44)</f>
        <v/>
      </c>
      <c r="D43" s="285" t="str">
        <f>IF('Statement of Marks'!D44="","",'Statement of Marks'!D44)</f>
        <v/>
      </c>
      <c r="E43" s="286" t="str">
        <f>IF('Statement of Marks'!E44="","",'Statement of Marks'!E44)</f>
        <v/>
      </c>
      <c r="F43" s="286" t="str">
        <f>IF('Statement of Marks'!F44="","",'Statement of Marks'!F44)</f>
        <v/>
      </c>
      <c r="G43" s="286" t="str">
        <f>IF('Statement of Marks'!G44="","",'Statement of Marks'!G44)</f>
        <v/>
      </c>
      <c r="H43" s="287" t="str">
        <f>IF('Statement of Marks'!GY44="","",'Statement of Marks'!GY44)</f>
        <v/>
      </c>
      <c r="I43" s="287" t="str">
        <f>IF('Statement of Marks'!HB44="","",'Statement of Marks'!HB44)</f>
        <v/>
      </c>
      <c r="J43" s="288" t="str">
        <f>IF('Statement of Marks'!HC44="","",'Statement of Marks'!HC44)</f>
        <v/>
      </c>
      <c r="K43" s="296" t="str">
        <f>IF(B43="","",'Statement of Marks'!FJ44)</f>
        <v/>
      </c>
      <c r="L43" s="296" t="str">
        <f>IF(B43="","",'Statement of Marks'!FM44)</f>
        <v/>
      </c>
      <c r="M43" s="296" t="str">
        <f>IF(B43="","",'Statement of Marks'!FP44)</f>
        <v/>
      </c>
      <c r="N43" s="296" t="str">
        <f>IF(B43="","",'Statement of Marks'!FW44)</f>
        <v/>
      </c>
      <c r="O43" s="296" t="str">
        <f>IF(B43="","",'Statement of Marks'!GD44)</f>
        <v/>
      </c>
      <c r="P43" s="296" t="str">
        <f>IF(B43="","",'Statement of Marks'!GK44)</f>
        <v/>
      </c>
      <c r="Q43" s="296" t="str">
        <f>IF(B43="","",'Statement of Marks'!GR44)</f>
        <v/>
      </c>
      <c r="R43" s="296" t="str">
        <f>IF(B43="","",'Statement of Marks'!GS44)</f>
        <v/>
      </c>
      <c r="S43" s="288" t="str">
        <f>IF(COUNTIF(K43:R43,"F")&gt;0,"",CONCATENATE('Statement of Marks'!GU44,'Statement of Marks'!GW44))</f>
        <v xml:space="preserve">           </v>
      </c>
      <c r="T43" s="289">
        <f t="shared" si="0"/>
        <v>0</v>
      </c>
      <c r="U43" s="16"/>
      <c r="V43" s="297" t="str">
        <f t="shared" si="1"/>
        <v/>
      </c>
      <c r="W43" s="297" t="str">
        <f t="shared" si="2"/>
        <v/>
      </c>
      <c r="X43" s="16"/>
      <c r="Y43" s="297" t="str">
        <f t="shared" si="3"/>
        <v/>
      </c>
      <c r="Z43" s="297" t="str">
        <f t="shared" si="4"/>
        <v/>
      </c>
      <c r="AA43" s="16"/>
      <c r="AB43" s="297" t="str">
        <f t="shared" si="5"/>
        <v/>
      </c>
      <c r="AC43" s="298" t="str">
        <f t="shared" si="6"/>
        <v/>
      </c>
      <c r="AD43" s="16"/>
      <c r="AE43" s="297" t="str">
        <f t="shared" si="7"/>
        <v/>
      </c>
      <c r="AF43" s="298" t="str">
        <f t="shared" si="8"/>
        <v/>
      </c>
      <c r="AG43" s="16"/>
      <c r="AH43" s="297" t="str">
        <f t="shared" si="9"/>
        <v/>
      </c>
      <c r="AI43" s="298" t="str">
        <f t="shared" si="10"/>
        <v/>
      </c>
      <c r="AJ43" s="16"/>
      <c r="AK43" s="298" t="str">
        <f t="shared" si="11"/>
        <v/>
      </c>
      <c r="AL43" s="298" t="str">
        <f t="shared" si="12"/>
        <v/>
      </c>
      <c r="AM43" s="16"/>
      <c r="AN43" s="297" t="str">
        <f t="shared" si="13"/>
        <v/>
      </c>
      <c r="AO43" s="16"/>
      <c r="AP43" s="297" t="str">
        <f t="shared" si="14"/>
        <v/>
      </c>
      <c r="AQ43" s="299">
        <f t="shared" si="15"/>
        <v>0</v>
      </c>
      <c r="AR43" s="299">
        <f t="shared" si="16"/>
        <v>0</v>
      </c>
      <c r="AS43" s="300" t="str">
        <f t="shared" si="17"/>
        <v/>
      </c>
      <c r="AT43" s="301" t="str">
        <f>IF(COUNTIF(K43:R43,"F")&gt;0,"",IF(AS43="PASS",'Statement of Marks'!HF44,""))</f>
        <v/>
      </c>
      <c r="AU43" s="301" t="str">
        <f>IF(AS43="PASS",'Statement of Marks'!HG44,"")</f>
        <v/>
      </c>
    </row>
    <row r="44" spans="1:47">
      <c r="A44" s="284">
        <f>IF('Statement of Marks'!A45="","",'Statement of Marks'!A45)</f>
        <v>38</v>
      </c>
      <c r="B44" s="284" t="str">
        <f>IF('Statement of Marks'!B45="","",'Statement of Marks'!B45)</f>
        <v/>
      </c>
      <c r="C44" s="284" t="str">
        <f>IF('Statement of Marks'!C45="","",'Statement of Marks'!C45)</f>
        <v/>
      </c>
      <c r="D44" s="285" t="str">
        <f>IF('Statement of Marks'!D45="","",'Statement of Marks'!D45)</f>
        <v/>
      </c>
      <c r="E44" s="286" t="str">
        <f>IF('Statement of Marks'!E45="","",'Statement of Marks'!E45)</f>
        <v/>
      </c>
      <c r="F44" s="286" t="str">
        <f>IF('Statement of Marks'!F45="","",'Statement of Marks'!F45)</f>
        <v/>
      </c>
      <c r="G44" s="286" t="str">
        <f>IF('Statement of Marks'!G45="","",'Statement of Marks'!G45)</f>
        <v/>
      </c>
      <c r="H44" s="287" t="str">
        <f>IF('Statement of Marks'!GY45="","",'Statement of Marks'!GY45)</f>
        <v/>
      </c>
      <c r="I44" s="287" t="str">
        <f>IF('Statement of Marks'!HB45="","",'Statement of Marks'!HB45)</f>
        <v/>
      </c>
      <c r="J44" s="288" t="str">
        <f>IF('Statement of Marks'!HC45="","",'Statement of Marks'!HC45)</f>
        <v/>
      </c>
      <c r="K44" s="296" t="str">
        <f>IF(B44="","",'Statement of Marks'!FJ45)</f>
        <v/>
      </c>
      <c r="L44" s="296" t="str">
        <f>IF(B44="","",'Statement of Marks'!FM45)</f>
        <v/>
      </c>
      <c r="M44" s="296" t="str">
        <f>IF(B44="","",'Statement of Marks'!FP45)</f>
        <v/>
      </c>
      <c r="N44" s="296" t="str">
        <f>IF(B44="","",'Statement of Marks'!FW45)</f>
        <v/>
      </c>
      <c r="O44" s="296" t="str">
        <f>IF(B44="","",'Statement of Marks'!GD45)</f>
        <v/>
      </c>
      <c r="P44" s="296" t="str">
        <f>IF(B44="","",'Statement of Marks'!GK45)</f>
        <v/>
      </c>
      <c r="Q44" s="296" t="str">
        <f>IF(B44="","",'Statement of Marks'!GR45)</f>
        <v/>
      </c>
      <c r="R44" s="296" t="str">
        <f>IF(B44="","",'Statement of Marks'!GS45)</f>
        <v/>
      </c>
      <c r="S44" s="288" t="str">
        <f>IF(COUNTIF(K44:R44,"F")&gt;0,"",CONCATENATE('Statement of Marks'!GU45,'Statement of Marks'!GW45))</f>
        <v xml:space="preserve">           </v>
      </c>
      <c r="T44" s="289">
        <f t="shared" si="0"/>
        <v>0</v>
      </c>
      <c r="U44" s="16"/>
      <c r="V44" s="297" t="str">
        <f t="shared" si="1"/>
        <v/>
      </c>
      <c r="W44" s="297" t="str">
        <f t="shared" si="2"/>
        <v/>
      </c>
      <c r="X44" s="16"/>
      <c r="Y44" s="297" t="str">
        <f t="shared" si="3"/>
        <v/>
      </c>
      <c r="Z44" s="297" t="str">
        <f t="shared" si="4"/>
        <v/>
      </c>
      <c r="AA44" s="16"/>
      <c r="AB44" s="297" t="str">
        <f t="shared" si="5"/>
        <v/>
      </c>
      <c r="AC44" s="298" t="str">
        <f t="shared" si="6"/>
        <v/>
      </c>
      <c r="AD44" s="16"/>
      <c r="AE44" s="297" t="str">
        <f t="shared" si="7"/>
        <v/>
      </c>
      <c r="AF44" s="298" t="str">
        <f t="shared" si="8"/>
        <v/>
      </c>
      <c r="AG44" s="16"/>
      <c r="AH44" s="297" t="str">
        <f t="shared" si="9"/>
        <v/>
      </c>
      <c r="AI44" s="298" t="str">
        <f t="shared" si="10"/>
        <v/>
      </c>
      <c r="AJ44" s="16"/>
      <c r="AK44" s="298" t="str">
        <f t="shared" si="11"/>
        <v/>
      </c>
      <c r="AL44" s="298" t="str">
        <f t="shared" si="12"/>
        <v/>
      </c>
      <c r="AM44" s="16"/>
      <c r="AN44" s="297" t="str">
        <f t="shared" si="13"/>
        <v/>
      </c>
      <c r="AO44" s="16"/>
      <c r="AP44" s="297" t="str">
        <f t="shared" si="14"/>
        <v/>
      </c>
      <c r="AQ44" s="299">
        <f t="shared" si="15"/>
        <v>0</v>
      </c>
      <c r="AR44" s="299">
        <f t="shared" si="16"/>
        <v>0</v>
      </c>
      <c r="AS44" s="300" t="str">
        <f t="shared" si="17"/>
        <v/>
      </c>
      <c r="AT44" s="301" t="str">
        <f>IF(COUNTIF(K44:R44,"F")&gt;0,"",IF(AS44="PASS",'Statement of Marks'!HF45,""))</f>
        <v/>
      </c>
      <c r="AU44" s="301" t="str">
        <f>IF(AS44="PASS",'Statement of Marks'!HG45,"")</f>
        <v/>
      </c>
    </row>
    <row r="45" spans="1:47">
      <c r="A45" s="284">
        <f>IF('Statement of Marks'!A46="","",'Statement of Marks'!A46)</f>
        <v>39</v>
      </c>
      <c r="B45" s="284" t="str">
        <f>IF('Statement of Marks'!B46="","",'Statement of Marks'!B46)</f>
        <v/>
      </c>
      <c r="C45" s="284" t="str">
        <f>IF('Statement of Marks'!C46="","",'Statement of Marks'!C46)</f>
        <v/>
      </c>
      <c r="D45" s="285" t="str">
        <f>IF('Statement of Marks'!D46="","",'Statement of Marks'!D46)</f>
        <v/>
      </c>
      <c r="E45" s="286" t="str">
        <f>IF('Statement of Marks'!E46="","",'Statement of Marks'!E46)</f>
        <v/>
      </c>
      <c r="F45" s="286" t="str">
        <f>IF('Statement of Marks'!F46="","",'Statement of Marks'!F46)</f>
        <v/>
      </c>
      <c r="G45" s="286" t="str">
        <f>IF('Statement of Marks'!G46="","",'Statement of Marks'!G46)</f>
        <v/>
      </c>
      <c r="H45" s="287" t="str">
        <f>IF('Statement of Marks'!GY46="","",'Statement of Marks'!GY46)</f>
        <v/>
      </c>
      <c r="I45" s="287" t="str">
        <f>IF('Statement of Marks'!HB46="","",'Statement of Marks'!HB46)</f>
        <v/>
      </c>
      <c r="J45" s="288" t="str">
        <f>IF('Statement of Marks'!HC46="","",'Statement of Marks'!HC46)</f>
        <v/>
      </c>
      <c r="K45" s="296" t="str">
        <f>IF(B45="","",'Statement of Marks'!FJ46)</f>
        <v/>
      </c>
      <c r="L45" s="296" t="str">
        <f>IF(B45="","",'Statement of Marks'!FM46)</f>
        <v/>
      </c>
      <c r="M45" s="296" t="str">
        <f>IF(B45="","",'Statement of Marks'!FP46)</f>
        <v/>
      </c>
      <c r="N45" s="296" t="str">
        <f>IF(B45="","",'Statement of Marks'!FW46)</f>
        <v/>
      </c>
      <c r="O45" s="296" t="str">
        <f>IF(B45="","",'Statement of Marks'!GD46)</f>
        <v/>
      </c>
      <c r="P45" s="296" t="str">
        <f>IF(B45="","",'Statement of Marks'!GK46)</f>
        <v/>
      </c>
      <c r="Q45" s="296" t="str">
        <f>IF(B45="","",'Statement of Marks'!GR46)</f>
        <v/>
      </c>
      <c r="R45" s="296" t="str">
        <f>IF(B45="","",'Statement of Marks'!GS46)</f>
        <v/>
      </c>
      <c r="S45" s="288" t="str">
        <f>IF(COUNTIF(K45:R45,"F")&gt;0,"",CONCATENATE('Statement of Marks'!GU46,'Statement of Marks'!GW46))</f>
        <v xml:space="preserve">           </v>
      </c>
      <c r="T45" s="289">
        <f t="shared" si="0"/>
        <v>0</v>
      </c>
      <c r="U45" s="16"/>
      <c r="V45" s="297" t="str">
        <f t="shared" si="1"/>
        <v/>
      </c>
      <c r="W45" s="297" t="str">
        <f t="shared" si="2"/>
        <v/>
      </c>
      <c r="X45" s="16"/>
      <c r="Y45" s="297" t="str">
        <f t="shared" si="3"/>
        <v/>
      </c>
      <c r="Z45" s="297" t="str">
        <f t="shared" si="4"/>
        <v/>
      </c>
      <c r="AA45" s="16"/>
      <c r="AB45" s="297" t="str">
        <f t="shared" si="5"/>
        <v/>
      </c>
      <c r="AC45" s="298" t="str">
        <f t="shared" si="6"/>
        <v/>
      </c>
      <c r="AD45" s="16"/>
      <c r="AE45" s="297" t="str">
        <f t="shared" si="7"/>
        <v/>
      </c>
      <c r="AF45" s="298" t="str">
        <f t="shared" si="8"/>
        <v/>
      </c>
      <c r="AG45" s="16"/>
      <c r="AH45" s="297" t="str">
        <f t="shared" si="9"/>
        <v/>
      </c>
      <c r="AI45" s="298" t="str">
        <f t="shared" si="10"/>
        <v/>
      </c>
      <c r="AJ45" s="16"/>
      <c r="AK45" s="298" t="str">
        <f t="shared" si="11"/>
        <v/>
      </c>
      <c r="AL45" s="298" t="str">
        <f t="shared" si="12"/>
        <v/>
      </c>
      <c r="AM45" s="16"/>
      <c r="AN45" s="297" t="str">
        <f t="shared" si="13"/>
        <v/>
      </c>
      <c r="AO45" s="16"/>
      <c r="AP45" s="297" t="str">
        <f t="shared" si="14"/>
        <v/>
      </c>
      <c r="AQ45" s="299">
        <f t="shared" si="15"/>
        <v>0</v>
      </c>
      <c r="AR45" s="299">
        <f t="shared" si="16"/>
        <v>0</v>
      </c>
      <c r="AS45" s="300" t="str">
        <f t="shared" si="17"/>
        <v/>
      </c>
      <c r="AT45" s="301" t="str">
        <f>IF(COUNTIF(K45:R45,"F")&gt;0,"",IF(AS45="PASS",'Statement of Marks'!HF46,""))</f>
        <v/>
      </c>
      <c r="AU45" s="301" t="str">
        <f>IF(AS45="PASS",'Statement of Marks'!HG46,"")</f>
        <v/>
      </c>
    </row>
    <row r="46" spans="1:47">
      <c r="A46" s="284">
        <f>IF('Statement of Marks'!A47="","",'Statement of Marks'!A47)</f>
        <v>40</v>
      </c>
      <c r="B46" s="284" t="str">
        <f>IF('Statement of Marks'!B47="","",'Statement of Marks'!B47)</f>
        <v/>
      </c>
      <c r="C46" s="284" t="str">
        <f>IF('Statement of Marks'!C47="","",'Statement of Marks'!C47)</f>
        <v/>
      </c>
      <c r="D46" s="285" t="str">
        <f>IF('Statement of Marks'!D47="","",'Statement of Marks'!D47)</f>
        <v/>
      </c>
      <c r="E46" s="286" t="str">
        <f>IF('Statement of Marks'!E47="","",'Statement of Marks'!E47)</f>
        <v/>
      </c>
      <c r="F46" s="286" t="str">
        <f>IF('Statement of Marks'!F47="","",'Statement of Marks'!F47)</f>
        <v/>
      </c>
      <c r="G46" s="286" t="str">
        <f>IF('Statement of Marks'!G47="","",'Statement of Marks'!G47)</f>
        <v/>
      </c>
      <c r="H46" s="287" t="str">
        <f>IF('Statement of Marks'!GY47="","",'Statement of Marks'!GY47)</f>
        <v/>
      </c>
      <c r="I46" s="287" t="str">
        <f>IF('Statement of Marks'!HB47="","",'Statement of Marks'!HB47)</f>
        <v/>
      </c>
      <c r="J46" s="288" t="str">
        <f>IF('Statement of Marks'!HC47="","",'Statement of Marks'!HC47)</f>
        <v/>
      </c>
      <c r="K46" s="296" t="str">
        <f>IF(B46="","",'Statement of Marks'!FJ47)</f>
        <v/>
      </c>
      <c r="L46" s="296" t="str">
        <f>IF(B46="","",'Statement of Marks'!FM47)</f>
        <v/>
      </c>
      <c r="M46" s="296" t="str">
        <f>IF(B46="","",'Statement of Marks'!FP47)</f>
        <v/>
      </c>
      <c r="N46" s="296" t="str">
        <f>IF(B46="","",'Statement of Marks'!FW47)</f>
        <v/>
      </c>
      <c r="O46" s="296" t="str">
        <f>IF(B46="","",'Statement of Marks'!GD47)</f>
        <v/>
      </c>
      <c r="P46" s="296" t="str">
        <f>IF(B46="","",'Statement of Marks'!GK47)</f>
        <v/>
      </c>
      <c r="Q46" s="296" t="str">
        <f>IF(B46="","",'Statement of Marks'!GR47)</f>
        <v/>
      </c>
      <c r="R46" s="296" t="str">
        <f>IF(B46="","",'Statement of Marks'!GS47)</f>
        <v/>
      </c>
      <c r="S46" s="288" t="str">
        <f>IF(COUNTIF(K46:R46,"F")&gt;0,"",CONCATENATE('Statement of Marks'!GU47,'Statement of Marks'!GW47))</f>
        <v xml:space="preserve">           </v>
      </c>
      <c r="T46" s="289">
        <f t="shared" si="0"/>
        <v>0</v>
      </c>
      <c r="U46" s="16"/>
      <c r="V46" s="297" t="str">
        <f t="shared" si="1"/>
        <v/>
      </c>
      <c r="W46" s="297" t="str">
        <f t="shared" si="2"/>
        <v/>
      </c>
      <c r="X46" s="16"/>
      <c r="Y46" s="297" t="str">
        <f t="shared" si="3"/>
        <v/>
      </c>
      <c r="Z46" s="297" t="str">
        <f t="shared" si="4"/>
        <v/>
      </c>
      <c r="AA46" s="16"/>
      <c r="AB46" s="297" t="str">
        <f t="shared" si="5"/>
        <v/>
      </c>
      <c r="AC46" s="298" t="str">
        <f t="shared" si="6"/>
        <v/>
      </c>
      <c r="AD46" s="16"/>
      <c r="AE46" s="297" t="str">
        <f t="shared" si="7"/>
        <v/>
      </c>
      <c r="AF46" s="298" t="str">
        <f t="shared" si="8"/>
        <v/>
      </c>
      <c r="AG46" s="16"/>
      <c r="AH46" s="297" t="str">
        <f t="shared" si="9"/>
        <v/>
      </c>
      <c r="AI46" s="298" t="str">
        <f t="shared" si="10"/>
        <v/>
      </c>
      <c r="AJ46" s="16"/>
      <c r="AK46" s="298" t="str">
        <f t="shared" si="11"/>
        <v/>
      </c>
      <c r="AL46" s="298" t="str">
        <f t="shared" si="12"/>
        <v/>
      </c>
      <c r="AM46" s="16"/>
      <c r="AN46" s="297" t="str">
        <f t="shared" si="13"/>
        <v/>
      </c>
      <c r="AO46" s="16"/>
      <c r="AP46" s="297" t="str">
        <f t="shared" si="14"/>
        <v/>
      </c>
      <c r="AQ46" s="299">
        <f t="shared" si="15"/>
        <v>0</v>
      </c>
      <c r="AR46" s="299">
        <f t="shared" si="16"/>
        <v>0</v>
      </c>
      <c r="AS46" s="300" t="str">
        <f t="shared" si="17"/>
        <v/>
      </c>
      <c r="AT46" s="301" t="str">
        <f>IF(COUNTIF(K46:R46,"F")&gt;0,"",IF(AS46="PASS",'Statement of Marks'!HF47,""))</f>
        <v/>
      </c>
      <c r="AU46" s="301" t="str">
        <f>IF(AS46="PASS",'Statement of Marks'!HG47,"")</f>
        <v/>
      </c>
    </row>
    <row r="47" spans="1:47">
      <c r="A47" s="284">
        <f>IF('Statement of Marks'!A48="","",'Statement of Marks'!A48)</f>
        <v>41</v>
      </c>
      <c r="B47" s="284" t="str">
        <f>IF('Statement of Marks'!B48="","",'Statement of Marks'!B48)</f>
        <v/>
      </c>
      <c r="C47" s="284" t="str">
        <f>IF('Statement of Marks'!C48="","",'Statement of Marks'!C48)</f>
        <v/>
      </c>
      <c r="D47" s="285" t="str">
        <f>IF('Statement of Marks'!D48="","",'Statement of Marks'!D48)</f>
        <v/>
      </c>
      <c r="E47" s="286" t="str">
        <f>IF('Statement of Marks'!E48="","",'Statement of Marks'!E48)</f>
        <v/>
      </c>
      <c r="F47" s="286" t="str">
        <f>IF('Statement of Marks'!F48="","",'Statement of Marks'!F48)</f>
        <v/>
      </c>
      <c r="G47" s="286" t="str">
        <f>IF('Statement of Marks'!G48="","",'Statement of Marks'!G48)</f>
        <v/>
      </c>
      <c r="H47" s="287" t="str">
        <f>IF('Statement of Marks'!GY48="","",'Statement of Marks'!GY48)</f>
        <v/>
      </c>
      <c r="I47" s="287" t="str">
        <f>IF('Statement of Marks'!HB48="","",'Statement of Marks'!HB48)</f>
        <v/>
      </c>
      <c r="J47" s="288" t="str">
        <f>IF('Statement of Marks'!HC48="","",'Statement of Marks'!HC48)</f>
        <v/>
      </c>
      <c r="K47" s="296" t="str">
        <f>IF(B47="","",'Statement of Marks'!FJ48)</f>
        <v/>
      </c>
      <c r="L47" s="296" t="str">
        <f>IF(B47="","",'Statement of Marks'!FM48)</f>
        <v/>
      </c>
      <c r="M47" s="296" t="str">
        <f>IF(B47="","",'Statement of Marks'!FP48)</f>
        <v/>
      </c>
      <c r="N47" s="296" t="str">
        <f>IF(B47="","",'Statement of Marks'!FW48)</f>
        <v/>
      </c>
      <c r="O47" s="296" t="str">
        <f>IF(B47="","",'Statement of Marks'!GD48)</f>
        <v/>
      </c>
      <c r="P47" s="296" t="str">
        <f>IF(B47="","",'Statement of Marks'!GK48)</f>
        <v/>
      </c>
      <c r="Q47" s="296" t="str">
        <f>IF(B47="","",'Statement of Marks'!GR48)</f>
        <v/>
      </c>
      <c r="R47" s="296" t="str">
        <f>IF(B47="","",'Statement of Marks'!GS48)</f>
        <v/>
      </c>
      <c r="S47" s="288" t="str">
        <f>IF(COUNTIF(K47:R47,"F")&gt;0,"",CONCATENATE('Statement of Marks'!GU48,'Statement of Marks'!GW48))</f>
        <v xml:space="preserve">           </v>
      </c>
      <c r="T47" s="289">
        <f t="shared" si="0"/>
        <v>0</v>
      </c>
      <c r="U47" s="16"/>
      <c r="V47" s="297" t="str">
        <f t="shared" si="1"/>
        <v/>
      </c>
      <c r="W47" s="297" t="str">
        <f t="shared" si="2"/>
        <v/>
      </c>
      <c r="X47" s="16"/>
      <c r="Y47" s="297" t="str">
        <f t="shared" si="3"/>
        <v/>
      </c>
      <c r="Z47" s="297" t="str">
        <f t="shared" si="4"/>
        <v/>
      </c>
      <c r="AA47" s="16"/>
      <c r="AB47" s="297" t="str">
        <f t="shared" si="5"/>
        <v/>
      </c>
      <c r="AC47" s="298" t="str">
        <f t="shared" si="6"/>
        <v/>
      </c>
      <c r="AD47" s="16"/>
      <c r="AE47" s="297" t="str">
        <f t="shared" si="7"/>
        <v/>
      </c>
      <c r="AF47" s="298" t="str">
        <f t="shared" si="8"/>
        <v/>
      </c>
      <c r="AG47" s="16"/>
      <c r="AH47" s="297" t="str">
        <f t="shared" si="9"/>
        <v/>
      </c>
      <c r="AI47" s="298" t="str">
        <f t="shared" si="10"/>
        <v/>
      </c>
      <c r="AJ47" s="16"/>
      <c r="AK47" s="298" t="str">
        <f t="shared" si="11"/>
        <v/>
      </c>
      <c r="AL47" s="298" t="str">
        <f t="shared" si="12"/>
        <v/>
      </c>
      <c r="AM47" s="16"/>
      <c r="AN47" s="297" t="str">
        <f t="shared" si="13"/>
        <v/>
      </c>
      <c r="AO47" s="16"/>
      <c r="AP47" s="297" t="str">
        <f t="shared" si="14"/>
        <v/>
      </c>
      <c r="AQ47" s="299">
        <f t="shared" si="15"/>
        <v>0</v>
      </c>
      <c r="AR47" s="299">
        <f t="shared" si="16"/>
        <v>0</v>
      </c>
      <c r="AS47" s="300" t="str">
        <f t="shared" si="17"/>
        <v/>
      </c>
      <c r="AT47" s="301" t="str">
        <f>IF(COUNTIF(K47:R47,"F")&gt;0,"",IF(AS47="PASS",'Statement of Marks'!HF48,""))</f>
        <v/>
      </c>
      <c r="AU47" s="301" t="str">
        <f>IF(AS47="PASS",'Statement of Marks'!HG48,"")</f>
        <v/>
      </c>
    </row>
    <row r="48" spans="1:47">
      <c r="A48" s="284">
        <f>IF('Statement of Marks'!A49="","",'Statement of Marks'!A49)</f>
        <v>42</v>
      </c>
      <c r="B48" s="284" t="str">
        <f>IF('Statement of Marks'!B49="","",'Statement of Marks'!B49)</f>
        <v/>
      </c>
      <c r="C48" s="284" t="str">
        <f>IF('Statement of Marks'!C49="","",'Statement of Marks'!C49)</f>
        <v/>
      </c>
      <c r="D48" s="285" t="str">
        <f>IF('Statement of Marks'!D49="","",'Statement of Marks'!D49)</f>
        <v/>
      </c>
      <c r="E48" s="286" t="str">
        <f>IF('Statement of Marks'!E49="","",'Statement of Marks'!E49)</f>
        <v/>
      </c>
      <c r="F48" s="286" t="str">
        <f>IF('Statement of Marks'!F49="","",'Statement of Marks'!F49)</f>
        <v/>
      </c>
      <c r="G48" s="286" t="str">
        <f>IF('Statement of Marks'!G49="","",'Statement of Marks'!G49)</f>
        <v/>
      </c>
      <c r="H48" s="287" t="str">
        <f>IF('Statement of Marks'!GY49="","",'Statement of Marks'!GY49)</f>
        <v/>
      </c>
      <c r="I48" s="287" t="str">
        <f>IF('Statement of Marks'!HB49="","",'Statement of Marks'!HB49)</f>
        <v/>
      </c>
      <c r="J48" s="288" t="str">
        <f>IF('Statement of Marks'!HC49="","",'Statement of Marks'!HC49)</f>
        <v/>
      </c>
      <c r="K48" s="296" t="str">
        <f>IF(B48="","",'Statement of Marks'!FJ49)</f>
        <v/>
      </c>
      <c r="L48" s="296" t="str">
        <f>IF(B48="","",'Statement of Marks'!FM49)</f>
        <v/>
      </c>
      <c r="M48" s="296" t="str">
        <f>IF(B48="","",'Statement of Marks'!FP49)</f>
        <v/>
      </c>
      <c r="N48" s="296" t="str">
        <f>IF(B48="","",'Statement of Marks'!FW49)</f>
        <v/>
      </c>
      <c r="O48" s="296" t="str">
        <f>IF(B48="","",'Statement of Marks'!GD49)</f>
        <v/>
      </c>
      <c r="P48" s="296" t="str">
        <f>IF(B48="","",'Statement of Marks'!GK49)</f>
        <v/>
      </c>
      <c r="Q48" s="296" t="str">
        <f>IF(B48="","",'Statement of Marks'!GR49)</f>
        <v/>
      </c>
      <c r="R48" s="296" t="str">
        <f>IF(B48="","",'Statement of Marks'!GS49)</f>
        <v/>
      </c>
      <c r="S48" s="288" t="str">
        <f>IF(COUNTIF(K48:R48,"F")&gt;0,"",CONCATENATE('Statement of Marks'!GU49,'Statement of Marks'!GW49))</f>
        <v xml:space="preserve">           </v>
      </c>
      <c r="T48" s="289">
        <f t="shared" si="0"/>
        <v>0</v>
      </c>
      <c r="U48" s="16"/>
      <c r="V48" s="297" t="str">
        <f t="shared" si="1"/>
        <v/>
      </c>
      <c r="W48" s="297" t="str">
        <f t="shared" si="2"/>
        <v/>
      </c>
      <c r="X48" s="16"/>
      <c r="Y48" s="297" t="str">
        <f t="shared" si="3"/>
        <v/>
      </c>
      <c r="Z48" s="297" t="str">
        <f t="shared" si="4"/>
        <v/>
      </c>
      <c r="AA48" s="16"/>
      <c r="AB48" s="297" t="str">
        <f t="shared" si="5"/>
        <v/>
      </c>
      <c r="AC48" s="298" t="str">
        <f t="shared" si="6"/>
        <v/>
      </c>
      <c r="AD48" s="16"/>
      <c r="AE48" s="297" t="str">
        <f t="shared" si="7"/>
        <v/>
      </c>
      <c r="AF48" s="298" t="str">
        <f t="shared" si="8"/>
        <v/>
      </c>
      <c r="AG48" s="16"/>
      <c r="AH48" s="297" t="str">
        <f t="shared" si="9"/>
        <v/>
      </c>
      <c r="AI48" s="298" t="str">
        <f t="shared" si="10"/>
        <v/>
      </c>
      <c r="AJ48" s="16"/>
      <c r="AK48" s="298" t="str">
        <f t="shared" si="11"/>
        <v/>
      </c>
      <c r="AL48" s="298" t="str">
        <f t="shared" si="12"/>
        <v/>
      </c>
      <c r="AM48" s="16"/>
      <c r="AN48" s="297" t="str">
        <f t="shared" si="13"/>
        <v/>
      </c>
      <c r="AO48" s="16"/>
      <c r="AP48" s="297" t="str">
        <f t="shared" si="14"/>
        <v/>
      </c>
      <c r="AQ48" s="299">
        <f t="shared" si="15"/>
        <v>0</v>
      </c>
      <c r="AR48" s="299">
        <f t="shared" si="16"/>
        <v>0</v>
      </c>
      <c r="AS48" s="300" t="str">
        <f t="shared" si="17"/>
        <v/>
      </c>
      <c r="AT48" s="301" t="str">
        <f>IF(COUNTIF(K48:R48,"F")&gt;0,"",IF(AS48="PASS",'Statement of Marks'!HF49,""))</f>
        <v/>
      </c>
      <c r="AU48" s="301" t="str">
        <f>IF(AS48="PASS",'Statement of Marks'!HG49,"")</f>
        <v/>
      </c>
    </row>
    <row r="49" spans="1:47">
      <c r="A49" s="284">
        <f>IF('Statement of Marks'!A50="","",'Statement of Marks'!A50)</f>
        <v>43</v>
      </c>
      <c r="B49" s="284" t="str">
        <f>IF('Statement of Marks'!B50="","",'Statement of Marks'!B50)</f>
        <v/>
      </c>
      <c r="C49" s="284" t="str">
        <f>IF('Statement of Marks'!C50="","",'Statement of Marks'!C50)</f>
        <v/>
      </c>
      <c r="D49" s="285" t="str">
        <f>IF('Statement of Marks'!D50="","",'Statement of Marks'!D50)</f>
        <v/>
      </c>
      <c r="E49" s="286" t="str">
        <f>IF('Statement of Marks'!E50="","",'Statement of Marks'!E50)</f>
        <v/>
      </c>
      <c r="F49" s="286" t="str">
        <f>IF('Statement of Marks'!F50="","",'Statement of Marks'!F50)</f>
        <v/>
      </c>
      <c r="G49" s="286" t="str">
        <f>IF('Statement of Marks'!G50="","",'Statement of Marks'!G50)</f>
        <v/>
      </c>
      <c r="H49" s="287" t="str">
        <f>IF('Statement of Marks'!GY50="","",'Statement of Marks'!GY50)</f>
        <v/>
      </c>
      <c r="I49" s="287" t="str">
        <f>IF('Statement of Marks'!HB50="","",'Statement of Marks'!HB50)</f>
        <v/>
      </c>
      <c r="J49" s="288" t="str">
        <f>IF('Statement of Marks'!HC50="","",'Statement of Marks'!HC50)</f>
        <v/>
      </c>
      <c r="K49" s="296" t="str">
        <f>IF(B49="","",'Statement of Marks'!FJ50)</f>
        <v/>
      </c>
      <c r="L49" s="296" t="str">
        <f>IF(B49="","",'Statement of Marks'!FM50)</f>
        <v/>
      </c>
      <c r="M49" s="296" t="str">
        <f>IF(B49="","",'Statement of Marks'!FP50)</f>
        <v/>
      </c>
      <c r="N49" s="296" t="str">
        <f>IF(B49="","",'Statement of Marks'!FW50)</f>
        <v/>
      </c>
      <c r="O49" s="296" t="str">
        <f>IF(B49="","",'Statement of Marks'!GD50)</f>
        <v/>
      </c>
      <c r="P49" s="296" t="str">
        <f>IF(B49="","",'Statement of Marks'!GK50)</f>
        <v/>
      </c>
      <c r="Q49" s="296" t="str">
        <f>IF(B49="","",'Statement of Marks'!GR50)</f>
        <v/>
      </c>
      <c r="R49" s="296" t="str">
        <f>IF(B49="","",'Statement of Marks'!GS50)</f>
        <v/>
      </c>
      <c r="S49" s="288" t="str">
        <f>IF(COUNTIF(K49:R49,"F")&gt;0,"",CONCATENATE('Statement of Marks'!GU50,'Statement of Marks'!GW50))</f>
        <v xml:space="preserve">           </v>
      </c>
      <c r="T49" s="289">
        <f t="shared" si="0"/>
        <v>0</v>
      </c>
      <c r="U49" s="16"/>
      <c r="V49" s="297" t="str">
        <f t="shared" si="1"/>
        <v/>
      </c>
      <c r="W49" s="297" t="str">
        <f t="shared" si="2"/>
        <v/>
      </c>
      <c r="X49" s="16"/>
      <c r="Y49" s="297" t="str">
        <f t="shared" si="3"/>
        <v/>
      </c>
      <c r="Z49" s="297" t="str">
        <f t="shared" si="4"/>
        <v/>
      </c>
      <c r="AA49" s="16"/>
      <c r="AB49" s="297" t="str">
        <f t="shared" si="5"/>
        <v/>
      </c>
      <c r="AC49" s="298" t="str">
        <f t="shared" si="6"/>
        <v/>
      </c>
      <c r="AD49" s="16"/>
      <c r="AE49" s="297" t="str">
        <f t="shared" si="7"/>
        <v/>
      </c>
      <c r="AF49" s="298" t="str">
        <f t="shared" si="8"/>
        <v/>
      </c>
      <c r="AG49" s="16"/>
      <c r="AH49" s="297" t="str">
        <f t="shared" si="9"/>
        <v/>
      </c>
      <c r="AI49" s="298" t="str">
        <f t="shared" si="10"/>
        <v/>
      </c>
      <c r="AJ49" s="16"/>
      <c r="AK49" s="298" t="str">
        <f t="shared" si="11"/>
        <v/>
      </c>
      <c r="AL49" s="298" t="str">
        <f t="shared" si="12"/>
        <v/>
      </c>
      <c r="AM49" s="16"/>
      <c r="AN49" s="297" t="str">
        <f t="shared" si="13"/>
        <v/>
      </c>
      <c r="AO49" s="16"/>
      <c r="AP49" s="297" t="str">
        <f t="shared" si="14"/>
        <v/>
      </c>
      <c r="AQ49" s="299">
        <f t="shared" si="15"/>
        <v>0</v>
      </c>
      <c r="AR49" s="299">
        <f t="shared" si="16"/>
        <v>0</v>
      </c>
      <c r="AS49" s="300" t="str">
        <f t="shared" si="17"/>
        <v/>
      </c>
      <c r="AT49" s="301" t="str">
        <f>IF(COUNTIF(K49:R49,"F")&gt;0,"",IF(AS49="PASS",'Statement of Marks'!HF50,""))</f>
        <v/>
      </c>
      <c r="AU49" s="301" t="str">
        <f>IF(AS49="PASS",'Statement of Marks'!HG50,"")</f>
        <v/>
      </c>
    </row>
    <row r="50" spans="1:47">
      <c r="A50" s="284">
        <f>IF('Statement of Marks'!A51="","",'Statement of Marks'!A51)</f>
        <v>44</v>
      </c>
      <c r="B50" s="284" t="str">
        <f>IF('Statement of Marks'!B51="","",'Statement of Marks'!B51)</f>
        <v/>
      </c>
      <c r="C50" s="284" t="str">
        <f>IF('Statement of Marks'!C51="","",'Statement of Marks'!C51)</f>
        <v/>
      </c>
      <c r="D50" s="285" t="str">
        <f>IF('Statement of Marks'!D51="","",'Statement of Marks'!D51)</f>
        <v/>
      </c>
      <c r="E50" s="286" t="str">
        <f>IF('Statement of Marks'!E51="","",'Statement of Marks'!E51)</f>
        <v/>
      </c>
      <c r="F50" s="286" t="str">
        <f>IF('Statement of Marks'!F51="","",'Statement of Marks'!F51)</f>
        <v/>
      </c>
      <c r="G50" s="286" t="str">
        <f>IF('Statement of Marks'!G51="","",'Statement of Marks'!G51)</f>
        <v/>
      </c>
      <c r="H50" s="287" t="str">
        <f>IF('Statement of Marks'!GY51="","",'Statement of Marks'!GY51)</f>
        <v/>
      </c>
      <c r="I50" s="287" t="str">
        <f>IF('Statement of Marks'!HB51="","",'Statement of Marks'!HB51)</f>
        <v/>
      </c>
      <c r="J50" s="288" t="str">
        <f>IF('Statement of Marks'!HC51="","",'Statement of Marks'!HC51)</f>
        <v/>
      </c>
      <c r="K50" s="296" t="str">
        <f>IF(B50="","",'Statement of Marks'!FJ51)</f>
        <v/>
      </c>
      <c r="L50" s="296" t="str">
        <f>IF(B50="","",'Statement of Marks'!FM51)</f>
        <v/>
      </c>
      <c r="M50" s="296" t="str">
        <f>IF(B50="","",'Statement of Marks'!FP51)</f>
        <v/>
      </c>
      <c r="N50" s="296" t="str">
        <f>IF(B50="","",'Statement of Marks'!FW51)</f>
        <v/>
      </c>
      <c r="O50" s="296" t="str">
        <f>IF(B50="","",'Statement of Marks'!GD51)</f>
        <v/>
      </c>
      <c r="P50" s="296" t="str">
        <f>IF(B50="","",'Statement of Marks'!GK51)</f>
        <v/>
      </c>
      <c r="Q50" s="296" t="str">
        <f>IF(B50="","",'Statement of Marks'!GR51)</f>
        <v/>
      </c>
      <c r="R50" s="296" t="str">
        <f>IF(B50="","",'Statement of Marks'!GS51)</f>
        <v/>
      </c>
      <c r="S50" s="288" t="str">
        <f>IF(COUNTIF(K50:R50,"F")&gt;0,"",CONCATENATE('Statement of Marks'!GU51,'Statement of Marks'!GW51))</f>
        <v xml:space="preserve">           </v>
      </c>
      <c r="T50" s="289">
        <f t="shared" si="0"/>
        <v>0</v>
      </c>
      <c r="U50" s="16"/>
      <c r="V50" s="297" t="str">
        <f t="shared" si="1"/>
        <v/>
      </c>
      <c r="W50" s="297" t="str">
        <f t="shared" si="2"/>
        <v/>
      </c>
      <c r="X50" s="16"/>
      <c r="Y50" s="297" t="str">
        <f t="shared" si="3"/>
        <v/>
      </c>
      <c r="Z50" s="297" t="str">
        <f t="shared" si="4"/>
        <v/>
      </c>
      <c r="AA50" s="16"/>
      <c r="AB50" s="297" t="str">
        <f t="shared" si="5"/>
        <v/>
      </c>
      <c r="AC50" s="298" t="str">
        <f t="shared" si="6"/>
        <v/>
      </c>
      <c r="AD50" s="16"/>
      <c r="AE50" s="297" t="str">
        <f t="shared" si="7"/>
        <v/>
      </c>
      <c r="AF50" s="298" t="str">
        <f t="shared" si="8"/>
        <v/>
      </c>
      <c r="AG50" s="16"/>
      <c r="AH50" s="297" t="str">
        <f t="shared" si="9"/>
        <v/>
      </c>
      <c r="AI50" s="298" t="str">
        <f t="shared" si="10"/>
        <v/>
      </c>
      <c r="AJ50" s="16"/>
      <c r="AK50" s="298" t="str">
        <f t="shared" si="11"/>
        <v/>
      </c>
      <c r="AL50" s="298" t="str">
        <f t="shared" si="12"/>
        <v/>
      </c>
      <c r="AM50" s="16"/>
      <c r="AN50" s="297" t="str">
        <f t="shared" si="13"/>
        <v/>
      </c>
      <c r="AO50" s="16"/>
      <c r="AP50" s="297" t="str">
        <f t="shared" si="14"/>
        <v/>
      </c>
      <c r="AQ50" s="299">
        <f t="shared" si="15"/>
        <v>0</v>
      </c>
      <c r="AR50" s="299">
        <f t="shared" si="16"/>
        <v>0</v>
      </c>
      <c r="AS50" s="300" t="str">
        <f t="shared" si="17"/>
        <v/>
      </c>
      <c r="AT50" s="301" t="str">
        <f>IF(COUNTIF(K50:R50,"F")&gt;0,"",IF(AS50="PASS",'Statement of Marks'!HF51,""))</f>
        <v/>
      </c>
      <c r="AU50" s="301" t="str">
        <f>IF(AS50="PASS",'Statement of Marks'!HG51,"")</f>
        <v/>
      </c>
    </row>
    <row r="51" spans="1:47">
      <c r="A51" s="284">
        <f>IF('Statement of Marks'!A52="","",'Statement of Marks'!A52)</f>
        <v>45</v>
      </c>
      <c r="B51" s="284" t="str">
        <f>IF('Statement of Marks'!B52="","",'Statement of Marks'!B52)</f>
        <v/>
      </c>
      <c r="C51" s="284" t="str">
        <f>IF('Statement of Marks'!C52="","",'Statement of Marks'!C52)</f>
        <v/>
      </c>
      <c r="D51" s="285" t="str">
        <f>IF('Statement of Marks'!D52="","",'Statement of Marks'!D52)</f>
        <v/>
      </c>
      <c r="E51" s="286" t="str">
        <f>IF('Statement of Marks'!E52="","",'Statement of Marks'!E52)</f>
        <v/>
      </c>
      <c r="F51" s="286" t="str">
        <f>IF('Statement of Marks'!F52="","",'Statement of Marks'!F52)</f>
        <v/>
      </c>
      <c r="G51" s="286" t="str">
        <f>IF('Statement of Marks'!G52="","",'Statement of Marks'!G52)</f>
        <v/>
      </c>
      <c r="H51" s="287" t="str">
        <f>IF('Statement of Marks'!GY52="","",'Statement of Marks'!GY52)</f>
        <v/>
      </c>
      <c r="I51" s="287" t="str">
        <f>IF('Statement of Marks'!HB52="","",'Statement of Marks'!HB52)</f>
        <v/>
      </c>
      <c r="J51" s="288" t="str">
        <f>IF('Statement of Marks'!HC52="","",'Statement of Marks'!HC52)</f>
        <v/>
      </c>
      <c r="K51" s="296" t="str">
        <f>IF(B51="","",'Statement of Marks'!FJ52)</f>
        <v/>
      </c>
      <c r="L51" s="296" t="str">
        <f>IF(B51="","",'Statement of Marks'!FM52)</f>
        <v/>
      </c>
      <c r="M51" s="296" t="str">
        <f>IF(B51="","",'Statement of Marks'!FP52)</f>
        <v/>
      </c>
      <c r="N51" s="296" t="str">
        <f>IF(B51="","",'Statement of Marks'!FW52)</f>
        <v/>
      </c>
      <c r="O51" s="296" t="str">
        <f>IF(B51="","",'Statement of Marks'!GD52)</f>
        <v/>
      </c>
      <c r="P51" s="296" t="str">
        <f>IF(B51="","",'Statement of Marks'!GK52)</f>
        <v/>
      </c>
      <c r="Q51" s="296" t="str">
        <f>IF(B51="","",'Statement of Marks'!GR52)</f>
        <v/>
      </c>
      <c r="R51" s="296" t="str">
        <f>IF(B51="","",'Statement of Marks'!GS52)</f>
        <v/>
      </c>
      <c r="S51" s="288" t="str">
        <f>IF(COUNTIF(K51:R51,"F")&gt;0,"",CONCATENATE('Statement of Marks'!GU52,'Statement of Marks'!GW52))</f>
        <v xml:space="preserve">           </v>
      </c>
      <c r="T51" s="289">
        <f t="shared" si="0"/>
        <v>0</v>
      </c>
      <c r="U51" s="16"/>
      <c r="V51" s="297" t="str">
        <f t="shared" si="1"/>
        <v/>
      </c>
      <c r="W51" s="297" t="str">
        <f t="shared" si="2"/>
        <v/>
      </c>
      <c r="X51" s="16"/>
      <c r="Y51" s="297" t="str">
        <f t="shared" si="3"/>
        <v/>
      </c>
      <c r="Z51" s="297" t="str">
        <f t="shared" si="4"/>
        <v/>
      </c>
      <c r="AA51" s="16"/>
      <c r="AB51" s="297" t="str">
        <f t="shared" si="5"/>
        <v/>
      </c>
      <c r="AC51" s="298" t="str">
        <f t="shared" si="6"/>
        <v/>
      </c>
      <c r="AD51" s="16"/>
      <c r="AE51" s="297" t="str">
        <f t="shared" si="7"/>
        <v/>
      </c>
      <c r="AF51" s="298" t="str">
        <f t="shared" si="8"/>
        <v/>
      </c>
      <c r="AG51" s="16"/>
      <c r="AH51" s="297" t="str">
        <f t="shared" si="9"/>
        <v/>
      </c>
      <c r="AI51" s="298" t="str">
        <f t="shared" si="10"/>
        <v/>
      </c>
      <c r="AJ51" s="16"/>
      <c r="AK51" s="298" t="str">
        <f t="shared" si="11"/>
        <v/>
      </c>
      <c r="AL51" s="298" t="str">
        <f t="shared" si="12"/>
        <v/>
      </c>
      <c r="AM51" s="16"/>
      <c r="AN51" s="297" t="str">
        <f t="shared" si="13"/>
        <v/>
      </c>
      <c r="AO51" s="16"/>
      <c r="AP51" s="297" t="str">
        <f t="shared" si="14"/>
        <v/>
      </c>
      <c r="AQ51" s="299">
        <f t="shared" si="15"/>
        <v>0</v>
      </c>
      <c r="AR51" s="299">
        <f t="shared" si="16"/>
        <v>0</v>
      </c>
      <c r="AS51" s="300" t="str">
        <f t="shared" si="17"/>
        <v/>
      </c>
      <c r="AT51" s="301" t="str">
        <f>IF(COUNTIF(K51:R51,"F")&gt;0,"",IF(AS51="PASS",'Statement of Marks'!HF52,""))</f>
        <v/>
      </c>
      <c r="AU51" s="301" t="str">
        <f>IF(AS51="PASS",'Statement of Marks'!HG52,"")</f>
        <v/>
      </c>
    </row>
    <row r="52" spans="1:47">
      <c r="A52" s="284">
        <f>IF('Statement of Marks'!A53="","",'Statement of Marks'!A53)</f>
        <v>46</v>
      </c>
      <c r="B52" s="284" t="str">
        <f>IF('Statement of Marks'!B53="","",'Statement of Marks'!B53)</f>
        <v/>
      </c>
      <c r="C52" s="284" t="str">
        <f>IF('Statement of Marks'!C53="","",'Statement of Marks'!C53)</f>
        <v/>
      </c>
      <c r="D52" s="285" t="str">
        <f>IF('Statement of Marks'!D53="","",'Statement of Marks'!D53)</f>
        <v/>
      </c>
      <c r="E52" s="286" t="str">
        <f>IF('Statement of Marks'!E53="","",'Statement of Marks'!E53)</f>
        <v/>
      </c>
      <c r="F52" s="286" t="str">
        <f>IF('Statement of Marks'!F53="","",'Statement of Marks'!F53)</f>
        <v/>
      </c>
      <c r="G52" s="286" t="str">
        <f>IF('Statement of Marks'!G53="","",'Statement of Marks'!G53)</f>
        <v/>
      </c>
      <c r="H52" s="287" t="str">
        <f>IF('Statement of Marks'!GY53="","",'Statement of Marks'!GY53)</f>
        <v/>
      </c>
      <c r="I52" s="287" t="str">
        <f>IF('Statement of Marks'!HB53="","",'Statement of Marks'!HB53)</f>
        <v/>
      </c>
      <c r="J52" s="288" t="str">
        <f>IF('Statement of Marks'!HC53="","",'Statement of Marks'!HC53)</f>
        <v/>
      </c>
      <c r="K52" s="296" t="str">
        <f>IF(B52="","",'Statement of Marks'!FJ53)</f>
        <v/>
      </c>
      <c r="L52" s="296" t="str">
        <f>IF(B52="","",'Statement of Marks'!FM53)</f>
        <v/>
      </c>
      <c r="M52" s="296" t="str">
        <f>IF(B52="","",'Statement of Marks'!FP53)</f>
        <v/>
      </c>
      <c r="N52" s="296" t="str">
        <f>IF(B52="","",'Statement of Marks'!FW53)</f>
        <v/>
      </c>
      <c r="O52" s="296" t="str">
        <f>IF(B52="","",'Statement of Marks'!GD53)</f>
        <v/>
      </c>
      <c r="P52" s="296" t="str">
        <f>IF(B52="","",'Statement of Marks'!GK53)</f>
        <v/>
      </c>
      <c r="Q52" s="296" t="str">
        <f>IF(B52="","",'Statement of Marks'!GR53)</f>
        <v/>
      </c>
      <c r="R52" s="296" t="str">
        <f>IF(B52="","",'Statement of Marks'!GS53)</f>
        <v/>
      </c>
      <c r="S52" s="288" t="str">
        <f>IF(COUNTIF(K52:R52,"F")&gt;0,"",CONCATENATE('Statement of Marks'!GU53,'Statement of Marks'!GW53))</f>
        <v xml:space="preserve">           </v>
      </c>
      <c r="T52" s="289">
        <f t="shared" si="0"/>
        <v>0</v>
      </c>
      <c r="U52" s="16"/>
      <c r="V52" s="297" t="str">
        <f t="shared" si="1"/>
        <v/>
      </c>
      <c r="W52" s="297" t="str">
        <f t="shared" si="2"/>
        <v/>
      </c>
      <c r="X52" s="16"/>
      <c r="Y52" s="297" t="str">
        <f t="shared" si="3"/>
        <v/>
      </c>
      <c r="Z52" s="297" t="str">
        <f t="shared" si="4"/>
        <v/>
      </c>
      <c r="AA52" s="16"/>
      <c r="AB52" s="297" t="str">
        <f t="shared" si="5"/>
        <v/>
      </c>
      <c r="AC52" s="298" t="str">
        <f t="shared" si="6"/>
        <v/>
      </c>
      <c r="AD52" s="16"/>
      <c r="AE52" s="297" t="str">
        <f t="shared" si="7"/>
        <v/>
      </c>
      <c r="AF52" s="298" t="str">
        <f t="shared" si="8"/>
        <v/>
      </c>
      <c r="AG52" s="16"/>
      <c r="AH52" s="297" t="str">
        <f t="shared" si="9"/>
        <v/>
      </c>
      <c r="AI52" s="298" t="str">
        <f t="shared" si="10"/>
        <v/>
      </c>
      <c r="AJ52" s="16"/>
      <c r="AK52" s="298" t="str">
        <f t="shared" si="11"/>
        <v/>
      </c>
      <c r="AL52" s="298" t="str">
        <f t="shared" si="12"/>
        <v/>
      </c>
      <c r="AM52" s="16"/>
      <c r="AN52" s="297" t="str">
        <f t="shared" si="13"/>
        <v/>
      </c>
      <c r="AO52" s="16"/>
      <c r="AP52" s="297" t="str">
        <f t="shared" si="14"/>
        <v/>
      </c>
      <c r="AQ52" s="299">
        <f t="shared" si="15"/>
        <v>0</v>
      </c>
      <c r="AR52" s="299">
        <f t="shared" si="16"/>
        <v>0</v>
      </c>
      <c r="AS52" s="300" t="str">
        <f t="shared" si="17"/>
        <v/>
      </c>
      <c r="AT52" s="301" t="str">
        <f>IF(COUNTIF(K52:R52,"F")&gt;0,"",IF(AS52="PASS",'Statement of Marks'!HF53,""))</f>
        <v/>
      </c>
      <c r="AU52" s="301" t="str">
        <f>IF(AS52="PASS",'Statement of Marks'!HG53,"")</f>
        <v/>
      </c>
    </row>
    <row r="53" spans="1:47">
      <c r="A53" s="284">
        <f>IF('Statement of Marks'!A54="","",'Statement of Marks'!A54)</f>
        <v>47</v>
      </c>
      <c r="B53" s="284" t="str">
        <f>IF('Statement of Marks'!B54="","",'Statement of Marks'!B54)</f>
        <v/>
      </c>
      <c r="C53" s="284" t="str">
        <f>IF('Statement of Marks'!C54="","",'Statement of Marks'!C54)</f>
        <v/>
      </c>
      <c r="D53" s="285" t="str">
        <f>IF('Statement of Marks'!D54="","",'Statement of Marks'!D54)</f>
        <v/>
      </c>
      <c r="E53" s="286" t="str">
        <f>IF('Statement of Marks'!E54="","",'Statement of Marks'!E54)</f>
        <v/>
      </c>
      <c r="F53" s="286" t="str">
        <f>IF('Statement of Marks'!F54="","",'Statement of Marks'!F54)</f>
        <v/>
      </c>
      <c r="G53" s="286" t="str">
        <f>IF('Statement of Marks'!G54="","",'Statement of Marks'!G54)</f>
        <v/>
      </c>
      <c r="H53" s="287" t="str">
        <f>IF('Statement of Marks'!GY54="","",'Statement of Marks'!GY54)</f>
        <v/>
      </c>
      <c r="I53" s="287" t="str">
        <f>IF('Statement of Marks'!HB54="","",'Statement of Marks'!HB54)</f>
        <v/>
      </c>
      <c r="J53" s="288" t="str">
        <f>IF('Statement of Marks'!HC54="","",'Statement of Marks'!HC54)</f>
        <v/>
      </c>
      <c r="K53" s="296" t="str">
        <f>IF(B53="","",'Statement of Marks'!FJ54)</f>
        <v/>
      </c>
      <c r="L53" s="296" t="str">
        <f>IF(B53="","",'Statement of Marks'!FM54)</f>
        <v/>
      </c>
      <c r="M53" s="296" t="str">
        <f>IF(B53="","",'Statement of Marks'!FP54)</f>
        <v/>
      </c>
      <c r="N53" s="296" t="str">
        <f>IF(B53="","",'Statement of Marks'!FW54)</f>
        <v/>
      </c>
      <c r="O53" s="296" t="str">
        <f>IF(B53="","",'Statement of Marks'!GD54)</f>
        <v/>
      </c>
      <c r="P53" s="296" t="str">
        <f>IF(B53="","",'Statement of Marks'!GK54)</f>
        <v/>
      </c>
      <c r="Q53" s="296" t="str">
        <f>IF(B53="","",'Statement of Marks'!GR54)</f>
        <v/>
      </c>
      <c r="R53" s="296" t="str">
        <f>IF(B53="","",'Statement of Marks'!GS54)</f>
        <v/>
      </c>
      <c r="S53" s="288" t="str">
        <f>IF(COUNTIF(K53:R53,"F")&gt;0,"",CONCATENATE('Statement of Marks'!GU54,'Statement of Marks'!GW54))</f>
        <v xml:space="preserve">           </v>
      </c>
      <c r="T53" s="289">
        <f t="shared" si="0"/>
        <v>0</v>
      </c>
      <c r="U53" s="16"/>
      <c r="V53" s="297" t="str">
        <f t="shared" si="1"/>
        <v/>
      </c>
      <c r="W53" s="297" t="str">
        <f t="shared" si="2"/>
        <v/>
      </c>
      <c r="X53" s="16"/>
      <c r="Y53" s="297" t="str">
        <f t="shared" si="3"/>
        <v/>
      </c>
      <c r="Z53" s="297" t="str">
        <f t="shared" si="4"/>
        <v/>
      </c>
      <c r="AA53" s="16"/>
      <c r="AB53" s="297" t="str">
        <f t="shared" si="5"/>
        <v/>
      </c>
      <c r="AC53" s="298" t="str">
        <f t="shared" si="6"/>
        <v/>
      </c>
      <c r="AD53" s="16"/>
      <c r="AE53" s="297" t="str">
        <f t="shared" si="7"/>
        <v/>
      </c>
      <c r="AF53" s="298" t="str">
        <f t="shared" si="8"/>
        <v/>
      </c>
      <c r="AG53" s="16"/>
      <c r="AH53" s="297" t="str">
        <f t="shared" si="9"/>
        <v/>
      </c>
      <c r="AI53" s="298" t="str">
        <f t="shared" si="10"/>
        <v/>
      </c>
      <c r="AJ53" s="16"/>
      <c r="AK53" s="298" t="str">
        <f t="shared" si="11"/>
        <v/>
      </c>
      <c r="AL53" s="298" t="str">
        <f t="shared" si="12"/>
        <v/>
      </c>
      <c r="AM53" s="16"/>
      <c r="AN53" s="297" t="str">
        <f t="shared" si="13"/>
        <v/>
      </c>
      <c r="AO53" s="16"/>
      <c r="AP53" s="297" t="str">
        <f t="shared" si="14"/>
        <v/>
      </c>
      <c r="AQ53" s="299">
        <f t="shared" si="15"/>
        <v>0</v>
      </c>
      <c r="AR53" s="299">
        <f t="shared" si="16"/>
        <v>0</v>
      </c>
      <c r="AS53" s="300" t="str">
        <f t="shared" si="17"/>
        <v/>
      </c>
      <c r="AT53" s="301" t="str">
        <f>IF(COUNTIF(K53:R53,"F")&gt;0,"",IF(AS53="PASS",'Statement of Marks'!HF54,""))</f>
        <v/>
      </c>
      <c r="AU53" s="301" t="str">
        <f>IF(AS53="PASS",'Statement of Marks'!HG54,"")</f>
        <v/>
      </c>
    </row>
    <row r="54" spans="1:47">
      <c r="A54" s="284">
        <f>IF('Statement of Marks'!A55="","",'Statement of Marks'!A55)</f>
        <v>48</v>
      </c>
      <c r="B54" s="284" t="str">
        <f>IF('Statement of Marks'!B55="","",'Statement of Marks'!B55)</f>
        <v/>
      </c>
      <c r="C54" s="284" t="str">
        <f>IF('Statement of Marks'!C55="","",'Statement of Marks'!C55)</f>
        <v/>
      </c>
      <c r="D54" s="285" t="str">
        <f>IF('Statement of Marks'!D55="","",'Statement of Marks'!D55)</f>
        <v/>
      </c>
      <c r="E54" s="286" t="str">
        <f>IF('Statement of Marks'!E55="","",'Statement of Marks'!E55)</f>
        <v/>
      </c>
      <c r="F54" s="286" t="str">
        <f>IF('Statement of Marks'!F55="","",'Statement of Marks'!F55)</f>
        <v/>
      </c>
      <c r="G54" s="286" t="str">
        <f>IF('Statement of Marks'!G55="","",'Statement of Marks'!G55)</f>
        <v/>
      </c>
      <c r="H54" s="287" t="str">
        <f>IF('Statement of Marks'!GY55="","",'Statement of Marks'!GY55)</f>
        <v/>
      </c>
      <c r="I54" s="287" t="str">
        <f>IF('Statement of Marks'!HB55="","",'Statement of Marks'!HB55)</f>
        <v/>
      </c>
      <c r="J54" s="288" t="str">
        <f>IF('Statement of Marks'!HC55="","",'Statement of Marks'!HC55)</f>
        <v/>
      </c>
      <c r="K54" s="296" t="str">
        <f>IF(B54="","",'Statement of Marks'!FJ55)</f>
        <v/>
      </c>
      <c r="L54" s="296" t="str">
        <f>IF(B54="","",'Statement of Marks'!FM55)</f>
        <v/>
      </c>
      <c r="M54" s="296" t="str">
        <f>IF(B54="","",'Statement of Marks'!FP55)</f>
        <v/>
      </c>
      <c r="N54" s="296" t="str">
        <f>IF(B54="","",'Statement of Marks'!FW55)</f>
        <v/>
      </c>
      <c r="O54" s="296" t="str">
        <f>IF(B54="","",'Statement of Marks'!GD55)</f>
        <v/>
      </c>
      <c r="P54" s="296" t="str">
        <f>IF(B54="","",'Statement of Marks'!GK55)</f>
        <v/>
      </c>
      <c r="Q54" s="296" t="str">
        <f>IF(B54="","",'Statement of Marks'!GR55)</f>
        <v/>
      </c>
      <c r="R54" s="296" t="str">
        <f>IF(B54="","",'Statement of Marks'!GS55)</f>
        <v/>
      </c>
      <c r="S54" s="288" t="str">
        <f>IF(COUNTIF(K54:R54,"F")&gt;0,"",CONCATENATE('Statement of Marks'!GU55,'Statement of Marks'!GW55))</f>
        <v xml:space="preserve">           </v>
      </c>
      <c r="T54" s="289">
        <f t="shared" si="0"/>
        <v>0</v>
      </c>
      <c r="U54" s="16"/>
      <c r="V54" s="297" t="str">
        <f t="shared" si="1"/>
        <v/>
      </c>
      <c r="W54" s="297" t="str">
        <f t="shared" si="2"/>
        <v/>
      </c>
      <c r="X54" s="16"/>
      <c r="Y54" s="297" t="str">
        <f t="shared" si="3"/>
        <v/>
      </c>
      <c r="Z54" s="297" t="str">
        <f t="shared" si="4"/>
        <v/>
      </c>
      <c r="AA54" s="16"/>
      <c r="AB54" s="297" t="str">
        <f t="shared" si="5"/>
        <v/>
      </c>
      <c r="AC54" s="298" t="str">
        <f t="shared" si="6"/>
        <v/>
      </c>
      <c r="AD54" s="16"/>
      <c r="AE54" s="297" t="str">
        <f t="shared" si="7"/>
        <v/>
      </c>
      <c r="AF54" s="298" t="str">
        <f t="shared" si="8"/>
        <v/>
      </c>
      <c r="AG54" s="16"/>
      <c r="AH54" s="297" t="str">
        <f t="shared" si="9"/>
        <v/>
      </c>
      <c r="AI54" s="298" t="str">
        <f t="shared" si="10"/>
        <v/>
      </c>
      <c r="AJ54" s="16"/>
      <c r="AK54" s="298" t="str">
        <f t="shared" si="11"/>
        <v/>
      </c>
      <c r="AL54" s="298" t="str">
        <f t="shared" si="12"/>
        <v/>
      </c>
      <c r="AM54" s="16"/>
      <c r="AN54" s="297" t="str">
        <f t="shared" si="13"/>
        <v/>
      </c>
      <c r="AO54" s="16"/>
      <c r="AP54" s="297" t="str">
        <f t="shared" si="14"/>
        <v/>
      </c>
      <c r="AQ54" s="299">
        <f t="shared" si="15"/>
        <v>0</v>
      </c>
      <c r="AR54" s="299">
        <f t="shared" si="16"/>
        <v>0</v>
      </c>
      <c r="AS54" s="300" t="str">
        <f t="shared" si="17"/>
        <v/>
      </c>
      <c r="AT54" s="301" t="str">
        <f>IF(COUNTIF(K54:R54,"F")&gt;0,"",IF(AS54="PASS",'Statement of Marks'!HF55,""))</f>
        <v/>
      </c>
      <c r="AU54" s="301" t="str">
        <f>IF(AS54="PASS",'Statement of Marks'!HG55,"")</f>
        <v/>
      </c>
    </row>
    <row r="55" spans="1:47">
      <c r="A55" s="284">
        <f>IF('Statement of Marks'!A56="","",'Statement of Marks'!A56)</f>
        <v>49</v>
      </c>
      <c r="B55" s="284" t="str">
        <f>IF('Statement of Marks'!B56="","",'Statement of Marks'!B56)</f>
        <v/>
      </c>
      <c r="C55" s="284" t="str">
        <f>IF('Statement of Marks'!C56="","",'Statement of Marks'!C56)</f>
        <v/>
      </c>
      <c r="D55" s="285" t="str">
        <f>IF('Statement of Marks'!D56="","",'Statement of Marks'!D56)</f>
        <v/>
      </c>
      <c r="E55" s="286" t="str">
        <f>IF('Statement of Marks'!E56="","",'Statement of Marks'!E56)</f>
        <v/>
      </c>
      <c r="F55" s="286" t="str">
        <f>IF('Statement of Marks'!F56="","",'Statement of Marks'!F56)</f>
        <v/>
      </c>
      <c r="G55" s="286" t="str">
        <f>IF('Statement of Marks'!G56="","",'Statement of Marks'!G56)</f>
        <v/>
      </c>
      <c r="H55" s="287" t="str">
        <f>IF('Statement of Marks'!GY56="","",'Statement of Marks'!GY56)</f>
        <v/>
      </c>
      <c r="I55" s="287" t="str">
        <f>IF('Statement of Marks'!HB56="","",'Statement of Marks'!HB56)</f>
        <v/>
      </c>
      <c r="J55" s="288" t="str">
        <f>IF('Statement of Marks'!HC56="","",'Statement of Marks'!HC56)</f>
        <v/>
      </c>
      <c r="K55" s="296" t="str">
        <f>IF(B55="","",'Statement of Marks'!FJ56)</f>
        <v/>
      </c>
      <c r="L55" s="296" t="str">
        <f>IF(B55="","",'Statement of Marks'!FM56)</f>
        <v/>
      </c>
      <c r="M55" s="296" t="str">
        <f>IF(B55="","",'Statement of Marks'!FP56)</f>
        <v/>
      </c>
      <c r="N55" s="296" t="str">
        <f>IF(B55="","",'Statement of Marks'!FW56)</f>
        <v/>
      </c>
      <c r="O55" s="296" t="str">
        <f>IF(B55="","",'Statement of Marks'!GD56)</f>
        <v/>
      </c>
      <c r="P55" s="296" t="str">
        <f>IF(B55="","",'Statement of Marks'!GK56)</f>
        <v/>
      </c>
      <c r="Q55" s="296" t="str">
        <f>IF(B55="","",'Statement of Marks'!GR56)</f>
        <v/>
      </c>
      <c r="R55" s="296" t="str">
        <f>IF(B55="","",'Statement of Marks'!GS56)</f>
        <v/>
      </c>
      <c r="S55" s="288" t="str">
        <f>IF(COUNTIF(K55:R55,"F")&gt;0,"",CONCATENATE('Statement of Marks'!GU56,'Statement of Marks'!GW56))</f>
        <v xml:space="preserve">           </v>
      </c>
      <c r="T55" s="289">
        <f t="shared" si="0"/>
        <v>0</v>
      </c>
      <c r="U55" s="16"/>
      <c r="V55" s="297" t="str">
        <f t="shared" si="1"/>
        <v/>
      </c>
      <c r="W55" s="297" t="str">
        <f t="shared" si="2"/>
        <v/>
      </c>
      <c r="X55" s="16"/>
      <c r="Y55" s="297" t="str">
        <f t="shared" si="3"/>
        <v/>
      </c>
      <c r="Z55" s="297" t="str">
        <f t="shared" si="4"/>
        <v/>
      </c>
      <c r="AA55" s="16"/>
      <c r="AB55" s="297" t="str">
        <f t="shared" si="5"/>
        <v/>
      </c>
      <c r="AC55" s="298" t="str">
        <f t="shared" si="6"/>
        <v/>
      </c>
      <c r="AD55" s="16"/>
      <c r="AE55" s="297" t="str">
        <f t="shared" si="7"/>
        <v/>
      </c>
      <c r="AF55" s="298" t="str">
        <f t="shared" si="8"/>
        <v/>
      </c>
      <c r="AG55" s="16"/>
      <c r="AH55" s="297" t="str">
        <f t="shared" si="9"/>
        <v/>
      </c>
      <c r="AI55" s="298" t="str">
        <f t="shared" si="10"/>
        <v/>
      </c>
      <c r="AJ55" s="16"/>
      <c r="AK55" s="298" t="str">
        <f t="shared" si="11"/>
        <v/>
      </c>
      <c r="AL55" s="298" t="str">
        <f t="shared" si="12"/>
        <v/>
      </c>
      <c r="AM55" s="16"/>
      <c r="AN55" s="297" t="str">
        <f t="shared" si="13"/>
        <v/>
      </c>
      <c r="AO55" s="16"/>
      <c r="AP55" s="297" t="str">
        <f t="shared" si="14"/>
        <v/>
      </c>
      <c r="AQ55" s="299">
        <f t="shared" si="15"/>
        <v>0</v>
      </c>
      <c r="AR55" s="299">
        <f t="shared" si="16"/>
        <v>0</v>
      </c>
      <c r="AS55" s="300" t="str">
        <f t="shared" si="17"/>
        <v/>
      </c>
      <c r="AT55" s="301" t="str">
        <f>IF(COUNTIF(K55:R55,"F")&gt;0,"",IF(AS55="PASS",'Statement of Marks'!HF56,""))</f>
        <v/>
      </c>
      <c r="AU55" s="301" t="str">
        <f>IF(AS55="PASS",'Statement of Marks'!HG56,"")</f>
        <v/>
      </c>
    </row>
    <row r="56" spans="1:47">
      <c r="A56" s="284">
        <f>IF('Statement of Marks'!A57="","",'Statement of Marks'!A57)</f>
        <v>50</v>
      </c>
      <c r="B56" s="284" t="str">
        <f>IF('Statement of Marks'!B57="","",'Statement of Marks'!B57)</f>
        <v/>
      </c>
      <c r="C56" s="284" t="str">
        <f>IF('Statement of Marks'!C57="","",'Statement of Marks'!C57)</f>
        <v/>
      </c>
      <c r="D56" s="285" t="str">
        <f>IF('Statement of Marks'!D57="","",'Statement of Marks'!D57)</f>
        <v/>
      </c>
      <c r="E56" s="286" t="str">
        <f>IF('Statement of Marks'!E57="","",'Statement of Marks'!E57)</f>
        <v/>
      </c>
      <c r="F56" s="286" t="str">
        <f>IF('Statement of Marks'!F57="","",'Statement of Marks'!F57)</f>
        <v/>
      </c>
      <c r="G56" s="286" t="str">
        <f>IF('Statement of Marks'!G57="","",'Statement of Marks'!G57)</f>
        <v/>
      </c>
      <c r="H56" s="287" t="str">
        <f>IF('Statement of Marks'!GY57="","",'Statement of Marks'!GY57)</f>
        <v/>
      </c>
      <c r="I56" s="287" t="str">
        <f>IF('Statement of Marks'!HB57="","",'Statement of Marks'!HB57)</f>
        <v/>
      </c>
      <c r="J56" s="288" t="str">
        <f>IF('Statement of Marks'!HC57="","",'Statement of Marks'!HC57)</f>
        <v/>
      </c>
      <c r="K56" s="296" t="str">
        <f>IF(B56="","",'Statement of Marks'!FJ57)</f>
        <v/>
      </c>
      <c r="L56" s="296" t="str">
        <f>IF(B56="","",'Statement of Marks'!FM57)</f>
        <v/>
      </c>
      <c r="M56" s="296" t="str">
        <f>IF(B56="","",'Statement of Marks'!FP57)</f>
        <v/>
      </c>
      <c r="N56" s="296" t="str">
        <f>IF(B56="","",'Statement of Marks'!FW57)</f>
        <v/>
      </c>
      <c r="O56" s="296" t="str">
        <f>IF(B56="","",'Statement of Marks'!GD57)</f>
        <v/>
      </c>
      <c r="P56" s="296" t="str">
        <f>IF(B56="","",'Statement of Marks'!GK57)</f>
        <v/>
      </c>
      <c r="Q56" s="296" t="str">
        <f>IF(B56="","",'Statement of Marks'!GR57)</f>
        <v/>
      </c>
      <c r="R56" s="296" t="str">
        <f>IF(B56="","",'Statement of Marks'!GS57)</f>
        <v/>
      </c>
      <c r="S56" s="288" t="str">
        <f>IF(COUNTIF(K56:R56,"F")&gt;0,"",CONCATENATE('Statement of Marks'!GU57,'Statement of Marks'!GW57))</f>
        <v xml:space="preserve">           </v>
      </c>
      <c r="T56" s="289">
        <f t="shared" si="0"/>
        <v>0</v>
      </c>
      <c r="U56" s="16"/>
      <c r="V56" s="297" t="str">
        <f t="shared" si="1"/>
        <v/>
      </c>
      <c r="W56" s="297" t="str">
        <f t="shared" si="2"/>
        <v/>
      </c>
      <c r="X56" s="16"/>
      <c r="Y56" s="297" t="str">
        <f t="shared" si="3"/>
        <v/>
      </c>
      <c r="Z56" s="297" t="str">
        <f t="shared" si="4"/>
        <v/>
      </c>
      <c r="AA56" s="16"/>
      <c r="AB56" s="297" t="str">
        <f t="shared" si="5"/>
        <v/>
      </c>
      <c r="AC56" s="298" t="str">
        <f t="shared" si="6"/>
        <v/>
      </c>
      <c r="AD56" s="16"/>
      <c r="AE56" s="297" t="str">
        <f t="shared" si="7"/>
        <v/>
      </c>
      <c r="AF56" s="298" t="str">
        <f t="shared" si="8"/>
        <v/>
      </c>
      <c r="AG56" s="16"/>
      <c r="AH56" s="297" t="str">
        <f t="shared" si="9"/>
        <v/>
      </c>
      <c r="AI56" s="298" t="str">
        <f t="shared" si="10"/>
        <v/>
      </c>
      <c r="AJ56" s="16"/>
      <c r="AK56" s="298" t="str">
        <f t="shared" si="11"/>
        <v/>
      </c>
      <c r="AL56" s="298" t="str">
        <f t="shared" si="12"/>
        <v/>
      </c>
      <c r="AM56" s="16"/>
      <c r="AN56" s="297" t="str">
        <f t="shared" si="13"/>
        <v/>
      </c>
      <c r="AO56" s="16"/>
      <c r="AP56" s="297" t="str">
        <f t="shared" si="14"/>
        <v/>
      </c>
      <c r="AQ56" s="299">
        <f t="shared" si="15"/>
        <v>0</v>
      </c>
      <c r="AR56" s="299">
        <f t="shared" si="16"/>
        <v>0</v>
      </c>
      <c r="AS56" s="300" t="str">
        <f t="shared" si="17"/>
        <v/>
      </c>
      <c r="AT56" s="301" t="str">
        <f>IF(COUNTIF(K56:R56,"F")&gt;0,"",IF(AS56="PASS",'Statement of Marks'!HF57,""))</f>
        <v/>
      </c>
      <c r="AU56" s="301" t="str">
        <f>IF(AS56="PASS",'Statement of Marks'!HG57,"")</f>
        <v/>
      </c>
    </row>
    <row r="57" spans="1:47">
      <c r="A57" s="284">
        <f>IF('Statement of Marks'!A58="","",'Statement of Marks'!A58)</f>
        <v>51</v>
      </c>
      <c r="B57" s="284" t="str">
        <f>IF('Statement of Marks'!B58="","",'Statement of Marks'!B58)</f>
        <v/>
      </c>
      <c r="C57" s="284" t="str">
        <f>IF('Statement of Marks'!C58="","",'Statement of Marks'!C58)</f>
        <v/>
      </c>
      <c r="D57" s="285" t="str">
        <f>IF('Statement of Marks'!D58="","",'Statement of Marks'!D58)</f>
        <v/>
      </c>
      <c r="E57" s="286" t="str">
        <f>IF('Statement of Marks'!E58="","",'Statement of Marks'!E58)</f>
        <v/>
      </c>
      <c r="F57" s="286" t="str">
        <f>IF('Statement of Marks'!F58="","",'Statement of Marks'!F58)</f>
        <v/>
      </c>
      <c r="G57" s="286" t="str">
        <f>IF('Statement of Marks'!G58="","",'Statement of Marks'!G58)</f>
        <v/>
      </c>
      <c r="H57" s="287" t="str">
        <f>IF('Statement of Marks'!GY58="","",'Statement of Marks'!GY58)</f>
        <v/>
      </c>
      <c r="I57" s="287" t="str">
        <f>IF('Statement of Marks'!HB58="","",'Statement of Marks'!HB58)</f>
        <v/>
      </c>
      <c r="J57" s="288" t="str">
        <f>IF('Statement of Marks'!HC58="","",'Statement of Marks'!HC58)</f>
        <v/>
      </c>
      <c r="K57" s="296" t="str">
        <f>IF(B57="","",'Statement of Marks'!FJ58)</f>
        <v/>
      </c>
      <c r="L57" s="296" t="str">
        <f>IF(B57="","",'Statement of Marks'!FM58)</f>
        <v/>
      </c>
      <c r="M57" s="296" t="str">
        <f>IF(B57="","",'Statement of Marks'!FP58)</f>
        <v/>
      </c>
      <c r="N57" s="296" t="str">
        <f>IF(B57="","",'Statement of Marks'!FW58)</f>
        <v/>
      </c>
      <c r="O57" s="296" t="str">
        <f>IF(B57="","",'Statement of Marks'!GD58)</f>
        <v/>
      </c>
      <c r="P57" s="296" t="str">
        <f>IF(B57="","",'Statement of Marks'!GK58)</f>
        <v/>
      </c>
      <c r="Q57" s="296" t="str">
        <f>IF(B57="","",'Statement of Marks'!GR58)</f>
        <v/>
      </c>
      <c r="R57" s="296" t="str">
        <f>IF(B57="","",'Statement of Marks'!GS58)</f>
        <v/>
      </c>
      <c r="S57" s="288" t="str">
        <f>IF(COUNTIF(K57:R57,"F")&gt;0,"",CONCATENATE('Statement of Marks'!GU58,'Statement of Marks'!GW58))</f>
        <v xml:space="preserve">           </v>
      </c>
      <c r="T57" s="289">
        <f t="shared" si="0"/>
        <v>0</v>
      </c>
      <c r="U57" s="16"/>
      <c r="V57" s="297" t="str">
        <f t="shared" si="1"/>
        <v/>
      </c>
      <c r="W57" s="297" t="str">
        <f t="shared" si="2"/>
        <v/>
      </c>
      <c r="X57" s="16"/>
      <c r="Y57" s="297" t="str">
        <f t="shared" si="3"/>
        <v/>
      </c>
      <c r="Z57" s="297" t="str">
        <f t="shared" si="4"/>
        <v/>
      </c>
      <c r="AA57" s="16"/>
      <c r="AB57" s="297" t="str">
        <f t="shared" si="5"/>
        <v/>
      </c>
      <c r="AC57" s="298" t="str">
        <f t="shared" si="6"/>
        <v/>
      </c>
      <c r="AD57" s="16"/>
      <c r="AE57" s="297" t="str">
        <f t="shared" si="7"/>
        <v/>
      </c>
      <c r="AF57" s="298" t="str">
        <f t="shared" si="8"/>
        <v/>
      </c>
      <c r="AG57" s="16"/>
      <c r="AH57" s="297" t="str">
        <f t="shared" si="9"/>
        <v/>
      </c>
      <c r="AI57" s="298" t="str">
        <f t="shared" si="10"/>
        <v/>
      </c>
      <c r="AJ57" s="16"/>
      <c r="AK57" s="298" t="str">
        <f t="shared" si="11"/>
        <v/>
      </c>
      <c r="AL57" s="298" t="str">
        <f t="shared" si="12"/>
        <v/>
      </c>
      <c r="AM57" s="16"/>
      <c r="AN57" s="297" t="str">
        <f t="shared" si="13"/>
        <v/>
      </c>
      <c r="AO57" s="16"/>
      <c r="AP57" s="297" t="str">
        <f t="shared" si="14"/>
        <v/>
      </c>
      <c r="AQ57" s="299">
        <f t="shared" si="15"/>
        <v>0</v>
      </c>
      <c r="AR57" s="299">
        <f t="shared" si="16"/>
        <v>0</v>
      </c>
      <c r="AS57" s="300" t="str">
        <f t="shared" si="17"/>
        <v/>
      </c>
      <c r="AT57" s="301" t="str">
        <f>IF(COUNTIF(K57:R57,"F")&gt;0,"",IF(AS57="PASS",'Statement of Marks'!HF58,""))</f>
        <v/>
      </c>
      <c r="AU57" s="301" t="str">
        <f>IF(AS57="PASS",'Statement of Marks'!HG58,"")</f>
        <v/>
      </c>
    </row>
    <row r="58" spans="1:47">
      <c r="A58" s="284">
        <f>IF('Statement of Marks'!A59="","",'Statement of Marks'!A59)</f>
        <v>52</v>
      </c>
      <c r="B58" s="284" t="str">
        <f>IF('Statement of Marks'!B59="","",'Statement of Marks'!B59)</f>
        <v/>
      </c>
      <c r="C58" s="284" t="str">
        <f>IF('Statement of Marks'!C59="","",'Statement of Marks'!C59)</f>
        <v/>
      </c>
      <c r="D58" s="285" t="str">
        <f>IF('Statement of Marks'!D59="","",'Statement of Marks'!D59)</f>
        <v/>
      </c>
      <c r="E58" s="286" t="str">
        <f>IF('Statement of Marks'!E59="","",'Statement of Marks'!E59)</f>
        <v/>
      </c>
      <c r="F58" s="286" t="str">
        <f>IF('Statement of Marks'!F59="","",'Statement of Marks'!F59)</f>
        <v/>
      </c>
      <c r="G58" s="286" t="str">
        <f>IF('Statement of Marks'!G59="","",'Statement of Marks'!G59)</f>
        <v/>
      </c>
      <c r="H58" s="287" t="str">
        <f>IF('Statement of Marks'!GY59="","",'Statement of Marks'!GY59)</f>
        <v/>
      </c>
      <c r="I58" s="287" t="str">
        <f>IF('Statement of Marks'!HB59="","",'Statement of Marks'!HB59)</f>
        <v/>
      </c>
      <c r="J58" s="288" t="str">
        <f>IF('Statement of Marks'!HC59="","",'Statement of Marks'!HC59)</f>
        <v/>
      </c>
      <c r="K58" s="296" t="str">
        <f>IF(B58="","",'Statement of Marks'!FJ59)</f>
        <v/>
      </c>
      <c r="L58" s="296" t="str">
        <f>IF(B58="","",'Statement of Marks'!FM59)</f>
        <v/>
      </c>
      <c r="M58" s="296" t="str">
        <f>IF(B58="","",'Statement of Marks'!FP59)</f>
        <v/>
      </c>
      <c r="N58" s="296" t="str">
        <f>IF(B58="","",'Statement of Marks'!FW59)</f>
        <v/>
      </c>
      <c r="O58" s="296" t="str">
        <f>IF(B58="","",'Statement of Marks'!GD59)</f>
        <v/>
      </c>
      <c r="P58" s="296" t="str">
        <f>IF(B58="","",'Statement of Marks'!GK59)</f>
        <v/>
      </c>
      <c r="Q58" s="296" t="str">
        <f>IF(B58="","",'Statement of Marks'!GR59)</f>
        <v/>
      </c>
      <c r="R58" s="296" t="str">
        <f>IF(B58="","",'Statement of Marks'!GS59)</f>
        <v/>
      </c>
      <c r="S58" s="288" t="str">
        <f>IF(COUNTIF(K58:R58,"F")&gt;0,"",CONCATENATE('Statement of Marks'!GU59,'Statement of Marks'!GW59))</f>
        <v xml:space="preserve">           </v>
      </c>
      <c r="T58" s="289">
        <f t="shared" si="0"/>
        <v>0</v>
      </c>
      <c r="U58" s="16"/>
      <c r="V58" s="297" t="str">
        <f t="shared" si="1"/>
        <v/>
      </c>
      <c r="W58" s="297" t="str">
        <f t="shared" si="2"/>
        <v/>
      </c>
      <c r="X58" s="16"/>
      <c r="Y58" s="297" t="str">
        <f t="shared" si="3"/>
        <v/>
      </c>
      <c r="Z58" s="297" t="str">
        <f t="shared" si="4"/>
        <v/>
      </c>
      <c r="AA58" s="16"/>
      <c r="AB58" s="297" t="str">
        <f t="shared" si="5"/>
        <v/>
      </c>
      <c r="AC58" s="298" t="str">
        <f t="shared" si="6"/>
        <v/>
      </c>
      <c r="AD58" s="16"/>
      <c r="AE58" s="297" t="str">
        <f t="shared" si="7"/>
        <v/>
      </c>
      <c r="AF58" s="298" t="str">
        <f t="shared" si="8"/>
        <v/>
      </c>
      <c r="AG58" s="16"/>
      <c r="AH58" s="297" t="str">
        <f t="shared" si="9"/>
        <v/>
      </c>
      <c r="AI58" s="298" t="str">
        <f t="shared" si="10"/>
        <v/>
      </c>
      <c r="AJ58" s="16"/>
      <c r="AK58" s="298" t="str">
        <f t="shared" si="11"/>
        <v/>
      </c>
      <c r="AL58" s="298" t="str">
        <f t="shared" si="12"/>
        <v/>
      </c>
      <c r="AM58" s="16"/>
      <c r="AN58" s="297" t="str">
        <f t="shared" si="13"/>
        <v/>
      </c>
      <c r="AO58" s="16"/>
      <c r="AP58" s="297" t="str">
        <f t="shared" si="14"/>
        <v/>
      </c>
      <c r="AQ58" s="299">
        <f t="shared" si="15"/>
        <v>0</v>
      </c>
      <c r="AR58" s="299">
        <f t="shared" si="16"/>
        <v>0</v>
      </c>
      <c r="AS58" s="300" t="str">
        <f t="shared" si="17"/>
        <v/>
      </c>
      <c r="AT58" s="301" t="str">
        <f>IF(COUNTIF(K58:R58,"F")&gt;0,"",IF(AS58="PASS",'Statement of Marks'!HF59,""))</f>
        <v/>
      </c>
      <c r="AU58" s="301" t="str">
        <f>IF(AS58="PASS",'Statement of Marks'!HG59,"")</f>
        <v/>
      </c>
    </row>
    <row r="59" spans="1:47">
      <c r="A59" s="284">
        <f>IF('Statement of Marks'!A60="","",'Statement of Marks'!A60)</f>
        <v>53</v>
      </c>
      <c r="B59" s="284" t="str">
        <f>IF('Statement of Marks'!B60="","",'Statement of Marks'!B60)</f>
        <v/>
      </c>
      <c r="C59" s="284" t="str">
        <f>IF('Statement of Marks'!C60="","",'Statement of Marks'!C60)</f>
        <v/>
      </c>
      <c r="D59" s="285" t="str">
        <f>IF('Statement of Marks'!D60="","",'Statement of Marks'!D60)</f>
        <v/>
      </c>
      <c r="E59" s="286" t="str">
        <f>IF('Statement of Marks'!E60="","",'Statement of Marks'!E60)</f>
        <v/>
      </c>
      <c r="F59" s="286" t="str">
        <f>IF('Statement of Marks'!F60="","",'Statement of Marks'!F60)</f>
        <v/>
      </c>
      <c r="G59" s="286" t="str">
        <f>IF('Statement of Marks'!G60="","",'Statement of Marks'!G60)</f>
        <v/>
      </c>
      <c r="H59" s="287" t="str">
        <f>IF('Statement of Marks'!GY60="","",'Statement of Marks'!GY60)</f>
        <v/>
      </c>
      <c r="I59" s="287" t="str">
        <f>IF('Statement of Marks'!HB60="","",'Statement of Marks'!HB60)</f>
        <v/>
      </c>
      <c r="J59" s="288" t="str">
        <f>IF('Statement of Marks'!HC60="","",'Statement of Marks'!HC60)</f>
        <v/>
      </c>
      <c r="K59" s="296" t="str">
        <f>IF(B59="","",'Statement of Marks'!FJ60)</f>
        <v/>
      </c>
      <c r="L59" s="296" t="str">
        <f>IF(B59="","",'Statement of Marks'!FM60)</f>
        <v/>
      </c>
      <c r="M59" s="296" t="str">
        <f>IF(B59="","",'Statement of Marks'!FP60)</f>
        <v/>
      </c>
      <c r="N59" s="296" t="str">
        <f>IF(B59="","",'Statement of Marks'!FW60)</f>
        <v/>
      </c>
      <c r="O59" s="296" t="str">
        <f>IF(B59="","",'Statement of Marks'!GD60)</f>
        <v/>
      </c>
      <c r="P59" s="296" t="str">
        <f>IF(B59="","",'Statement of Marks'!GK60)</f>
        <v/>
      </c>
      <c r="Q59" s="296" t="str">
        <f>IF(B59="","",'Statement of Marks'!GR60)</f>
        <v/>
      </c>
      <c r="R59" s="296" t="str">
        <f>IF(B59="","",'Statement of Marks'!GS60)</f>
        <v/>
      </c>
      <c r="S59" s="288" t="str">
        <f>IF(COUNTIF(K59:R59,"F")&gt;0,"",CONCATENATE('Statement of Marks'!GU60,'Statement of Marks'!GW60))</f>
        <v xml:space="preserve">           </v>
      </c>
      <c r="T59" s="289">
        <f t="shared" si="0"/>
        <v>0</v>
      </c>
      <c r="U59" s="16"/>
      <c r="V59" s="297" t="str">
        <f t="shared" si="1"/>
        <v/>
      </c>
      <c r="W59" s="297" t="str">
        <f t="shared" si="2"/>
        <v/>
      </c>
      <c r="X59" s="16"/>
      <c r="Y59" s="297" t="str">
        <f t="shared" si="3"/>
        <v/>
      </c>
      <c r="Z59" s="297" t="str">
        <f t="shared" si="4"/>
        <v/>
      </c>
      <c r="AA59" s="16"/>
      <c r="AB59" s="297" t="str">
        <f t="shared" si="5"/>
        <v/>
      </c>
      <c r="AC59" s="298" t="str">
        <f t="shared" si="6"/>
        <v/>
      </c>
      <c r="AD59" s="16"/>
      <c r="AE59" s="297" t="str">
        <f t="shared" si="7"/>
        <v/>
      </c>
      <c r="AF59" s="298" t="str">
        <f t="shared" si="8"/>
        <v/>
      </c>
      <c r="AG59" s="16"/>
      <c r="AH59" s="297" t="str">
        <f t="shared" si="9"/>
        <v/>
      </c>
      <c r="AI59" s="298" t="str">
        <f t="shared" si="10"/>
        <v/>
      </c>
      <c r="AJ59" s="16"/>
      <c r="AK59" s="298" t="str">
        <f t="shared" si="11"/>
        <v/>
      </c>
      <c r="AL59" s="298" t="str">
        <f t="shared" si="12"/>
        <v/>
      </c>
      <c r="AM59" s="16"/>
      <c r="AN59" s="297" t="str">
        <f t="shared" si="13"/>
        <v/>
      </c>
      <c r="AO59" s="16"/>
      <c r="AP59" s="297" t="str">
        <f t="shared" si="14"/>
        <v/>
      </c>
      <c r="AQ59" s="299">
        <f t="shared" si="15"/>
        <v>0</v>
      </c>
      <c r="AR59" s="299">
        <f t="shared" si="16"/>
        <v>0</v>
      </c>
      <c r="AS59" s="300" t="str">
        <f t="shared" si="17"/>
        <v/>
      </c>
      <c r="AT59" s="301" t="str">
        <f>IF(COUNTIF(K59:R59,"F")&gt;0,"",IF(AS59="PASS",'Statement of Marks'!HF60,""))</f>
        <v/>
      </c>
      <c r="AU59" s="301" t="str">
        <f>IF(AS59="PASS",'Statement of Marks'!HG60,"")</f>
        <v/>
      </c>
    </row>
    <row r="60" spans="1:47">
      <c r="A60" s="284">
        <f>IF('Statement of Marks'!A61="","",'Statement of Marks'!A61)</f>
        <v>54</v>
      </c>
      <c r="B60" s="284" t="str">
        <f>IF('Statement of Marks'!B61="","",'Statement of Marks'!B61)</f>
        <v/>
      </c>
      <c r="C60" s="284" t="str">
        <f>IF('Statement of Marks'!C61="","",'Statement of Marks'!C61)</f>
        <v/>
      </c>
      <c r="D60" s="285" t="str">
        <f>IF('Statement of Marks'!D61="","",'Statement of Marks'!D61)</f>
        <v/>
      </c>
      <c r="E60" s="286" t="str">
        <f>IF('Statement of Marks'!E61="","",'Statement of Marks'!E61)</f>
        <v/>
      </c>
      <c r="F60" s="286" t="str">
        <f>IF('Statement of Marks'!F61="","",'Statement of Marks'!F61)</f>
        <v/>
      </c>
      <c r="G60" s="286" t="str">
        <f>IF('Statement of Marks'!G61="","",'Statement of Marks'!G61)</f>
        <v/>
      </c>
      <c r="H60" s="287" t="str">
        <f>IF('Statement of Marks'!GY61="","",'Statement of Marks'!GY61)</f>
        <v/>
      </c>
      <c r="I60" s="287" t="str">
        <f>IF('Statement of Marks'!HB61="","",'Statement of Marks'!HB61)</f>
        <v/>
      </c>
      <c r="J60" s="288" t="str">
        <f>IF('Statement of Marks'!HC61="","",'Statement of Marks'!HC61)</f>
        <v/>
      </c>
      <c r="K60" s="296" t="str">
        <f>IF(B60="","",'Statement of Marks'!FJ61)</f>
        <v/>
      </c>
      <c r="L60" s="296" t="str">
        <f>IF(B60="","",'Statement of Marks'!FM61)</f>
        <v/>
      </c>
      <c r="M60" s="296" t="str">
        <f>IF(B60="","",'Statement of Marks'!FP61)</f>
        <v/>
      </c>
      <c r="N60" s="296" t="str">
        <f>IF(B60="","",'Statement of Marks'!FW61)</f>
        <v/>
      </c>
      <c r="O60" s="296" t="str">
        <f>IF(B60="","",'Statement of Marks'!GD61)</f>
        <v/>
      </c>
      <c r="P60" s="296" t="str">
        <f>IF(B60="","",'Statement of Marks'!GK61)</f>
        <v/>
      </c>
      <c r="Q60" s="296" t="str">
        <f>IF(B60="","",'Statement of Marks'!GR61)</f>
        <v/>
      </c>
      <c r="R60" s="296" t="str">
        <f>IF(B60="","",'Statement of Marks'!GS61)</f>
        <v/>
      </c>
      <c r="S60" s="288" t="str">
        <f>IF(COUNTIF(K60:R60,"F")&gt;0,"",CONCATENATE('Statement of Marks'!GU61,'Statement of Marks'!GW61))</f>
        <v xml:space="preserve">           </v>
      </c>
      <c r="T60" s="289">
        <f t="shared" si="0"/>
        <v>0</v>
      </c>
      <c r="U60" s="16"/>
      <c r="V60" s="297" t="str">
        <f t="shared" si="1"/>
        <v/>
      </c>
      <c r="W60" s="297" t="str">
        <f t="shared" si="2"/>
        <v/>
      </c>
      <c r="X60" s="16"/>
      <c r="Y60" s="297" t="str">
        <f t="shared" si="3"/>
        <v/>
      </c>
      <c r="Z60" s="297" t="str">
        <f t="shared" si="4"/>
        <v/>
      </c>
      <c r="AA60" s="16"/>
      <c r="AB60" s="297" t="str">
        <f t="shared" si="5"/>
        <v/>
      </c>
      <c r="AC60" s="298" t="str">
        <f t="shared" si="6"/>
        <v/>
      </c>
      <c r="AD60" s="16"/>
      <c r="AE60" s="297" t="str">
        <f t="shared" si="7"/>
        <v/>
      </c>
      <c r="AF60" s="298" t="str">
        <f t="shared" si="8"/>
        <v/>
      </c>
      <c r="AG60" s="16"/>
      <c r="AH60" s="297" t="str">
        <f t="shared" si="9"/>
        <v/>
      </c>
      <c r="AI60" s="298" t="str">
        <f t="shared" si="10"/>
        <v/>
      </c>
      <c r="AJ60" s="16"/>
      <c r="AK60" s="298" t="str">
        <f t="shared" si="11"/>
        <v/>
      </c>
      <c r="AL60" s="298" t="str">
        <f t="shared" si="12"/>
        <v/>
      </c>
      <c r="AM60" s="16"/>
      <c r="AN60" s="297" t="str">
        <f t="shared" si="13"/>
        <v/>
      </c>
      <c r="AO60" s="16"/>
      <c r="AP60" s="297" t="str">
        <f t="shared" si="14"/>
        <v/>
      </c>
      <c r="AQ60" s="299">
        <f t="shared" si="15"/>
        <v>0</v>
      </c>
      <c r="AR60" s="299">
        <f t="shared" si="16"/>
        <v>0</v>
      </c>
      <c r="AS60" s="300" t="str">
        <f t="shared" si="17"/>
        <v/>
      </c>
      <c r="AT60" s="301" t="str">
        <f>IF(COUNTIF(K60:R60,"F")&gt;0,"",IF(AS60="PASS",'Statement of Marks'!HF61,""))</f>
        <v/>
      </c>
      <c r="AU60" s="301" t="str">
        <f>IF(AS60="PASS",'Statement of Marks'!HG61,"")</f>
        <v/>
      </c>
    </row>
    <row r="61" spans="1:47">
      <c r="A61" s="284">
        <f>IF('Statement of Marks'!A62="","",'Statement of Marks'!A62)</f>
        <v>55</v>
      </c>
      <c r="B61" s="284" t="str">
        <f>IF('Statement of Marks'!B62="","",'Statement of Marks'!B62)</f>
        <v/>
      </c>
      <c r="C61" s="284" t="str">
        <f>IF('Statement of Marks'!C62="","",'Statement of Marks'!C62)</f>
        <v/>
      </c>
      <c r="D61" s="285" t="str">
        <f>IF('Statement of Marks'!D62="","",'Statement of Marks'!D62)</f>
        <v/>
      </c>
      <c r="E61" s="286" t="str">
        <f>IF('Statement of Marks'!E62="","",'Statement of Marks'!E62)</f>
        <v/>
      </c>
      <c r="F61" s="286" t="str">
        <f>IF('Statement of Marks'!F62="","",'Statement of Marks'!F62)</f>
        <v/>
      </c>
      <c r="G61" s="286" t="str">
        <f>IF('Statement of Marks'!G62="","",'Statement of Marks'!G62)</f>
        <v/>
      </c>
      <c r="H61" s="287" t="str">
        <f>IF('Statement of Marks'!GY62="","",'Statement of Marks'!GY62)</f>
        <v/>
      </c>
      <c r="I61" s="287" t="str">
        <f>IF('Statement of Marks'!HB62="","",'Statement of Marks'!HB62)</f>
        <v/>
      </c>
      <c r="J61" s="288" t="str">
        <f>IF('Statement of Marks'!HC62="","",'Statement of Marks'!HC62)</f>
        <v/>
      </c>
      <c r="K61" s="296" t="str">
        <f>IF(B61="","",'Statement of Marks'!FJ62)</f>
        <v/>
      </c>
      <c r="L61" s="296" t="str">
        <f>IF(B61="","",'Statement of Marks'!FM62)</f>
        <v/>
      </c>
      <c r="M61" s="296" t="str">
        <f>IF(B61="","",'Statement of Marks'!FP62)</f>
        <v/>
      </c>
      <c r="N61" s="296" t="str">
        <f>IF(B61="","",'Statement of Marks'!FW62)</f>
        <v/>
      </c>
      <c r="O61" s="296" t="str">
        <f>IF(B61="","",'Statement of Marks'!GD62)</f>
        <v/>
      </c>
      <c r="P61" s="296" t="str">
        <f>IF(B61="","",'Statement of Marks'!GK62)</f>
        <v/>
      </c>
      <c r="Q61" s="296" t="str">
        <f>IF(B61="","",'Statement of Marks'!GR62)</f>
        <v/>
      </c>
      <c r="R61" s="296" t="str">
        <f>IF(B61="","",'Statement of Marks'!GS62)</f>
        <v/>
      </c>
      <c r="S61" s="288" t="str">
        <f>IF(COUNTIF(K61:R61,"F")&gt;0,"",CONCATENATE('Statement of Marks'!GU62,'Statement of Marks'!GW62))</f>
        <v xml:space="preserve">           </v>
      </c>
      <c r="T61" s="289">
        <f t="shared" si="0"/>
        <v>0</v>
      </c>
      <c r="U61" s="16"/>
      <c r="V61" s="297" t="str">
        <f t="shared" si="1"/>
        <v/>
      </c>
      <c r="W61" s="297" t="str">
        <f t="shared" si="2"/>
        <v/>
      </c>
      <c r="X61" s="16"/>
      <c r="Y61" s="297" t="str">
        <f t="shared" si="3"/>
        <v/>
      </c>
      <c r="Z61" s="297" t="str">
        <f t="shared" si="4"/>
        <v/>
      </c>
      <c r="AA61" s="16"/>
      <c r="AB61" s="297" t="str">
        <f t="shared" si="5"/>
        <v/>
      </c>
      <c r="AC61" s="298" t="str">
        <f t="shared" si="6"/>
        <v/>
      </c>
      <c r="AD61" s="16"/>
      <c r="AE61" s="297" t="str">
        <f t="shared" si="7"/>
        <v/>
      </c>
      <c r="AF61" s="298" t="str">
        <f t="shared" si="8"/>
        <v/>
      </c>
      <c r="AG61" s="16"/>
      <c r="AH61" s="297" t="str">
        <f t="shared" si="9"/>
        <v/>
      </c>
      <c r="AI61" s="298" t="str">
        <f t="shared" si="10"/>
        <v/>
      </c>
      <c r="AJ61" s="16"/>
      <c r="AK61" s="298" t="str">
        <f t="shared" si="11"/>
        <v/>
      </c>
      <c r="AL61" s="298" t="str">
        <f t="shared" si="12"/>
        <v/>
      </c>
      <c r="AM61" s="16"/>
      <c r="AN61" s="297" t="str">
        <f t="shared" si="13"/>
        <v/>
      </c>
      <c r="AO61" s="16"/>
      <c r="AP61" s="297" t="str">
        <f t="shared" si="14"/>
        <v/>
      </c>
      <c r="AQ61" s="299">
        <f t="shared" si="15"/>
        <v>0</v>
      </c>
      <c r="AR61" s="299">
        <f t="shared" si="16"/>
        <v>0</v>
      </c>
      <c r="AS61" s="300" t="str">
        <f t="shared" si="17"/>
        <v/>
      </c>
      <c r="AT61" s="301" t="str">
        <f>IF(COUNTIF(K61:R61,"F")&gt;0,"",IF(AS61="PASS",'Statement of Marks'!HF62,""))</f>
        <v/>
      </c>
      <c r="AU61" s="301" t="str">
        <f>IF(AS61="PASS",'Statement of Marks'!HG62,"")</f>
        <v/>
      </c>
    </row>
    <row r="62" spans="1:47">
      <c r="A62" s="284">
        <f>IF('Statement of Marks'!A63="","",'Statement of Marks'!A63)</f>
        <v>56</v>
      </c>
      <c r="B62" s="284" t="str">
        <f>IF('Statement of Marks'!B63="","",'Statement of Marks'!B63)</f>
        <v/>
      </c>
      <c r="C62" s="284" t="str">
        <f>IF('Statement of Marks'!C63="","",'Statement of Marks'!C63)</f>
        <v/>
      </c>
      <c r="D62" s="285" t="str">
        <f>IF('Statement of Marks'!D63="","",'Statement of Marks'!D63)</f>
        <v/>
      </c>
      <c r="E62" s="286" t="str">
        <f>IF('Statement of Marks'!E63="","",'Statement of Marks'!E63)</f>
        <v/>
      </c>
      <c r="F62" s="286" t="str">
        <f>IF('Statement of Marks'!F63="","",'Statement of Marks'!F63)</f>
        <v/>
      </c>
      <c r="G62" s="286" t="str">
        <f>IF('Statement of Marks'!G63="","",'Statement of Marks'!G63)</f>
        <v/>
      </c>
      <c r="H62" s="287" t="str">
        <f>IF('Statement of Marks'!GY63="","",'Statement of Marks'!GY63)</f>
        <v/>
      </c>
      <c r="I62" s="287" t="str">
        <f>IF('Statement of Marks'!HB63="","",'Statement of Marks'!HB63)</f>
        <v/>
      </c>
      <c r="J62" s="288" t="str">
        <f>IF('Statement of Marks'!HC63="","",'Statement of Marks'!HC63)</f>
        <v/>
      </c>
      <c r="K62" s="296" t="str">
        <f>IF(B62="","",'Statement of Marks'!FJ63)</f>
        <v/>
      </c>
      <c r="L62" s="296" t="str">
        <f>IF(B62="","",'Statement of Marks'!FM63)</f>
        <v/>
      </c>
      <c r="M62" s="296" t="str">
        <f>IF(B62="","",'Statement of Marks'!FP63)</f>
        <v/>
      </c>
      <c r="N62" s="296" t="str">
        <f>IF(B62="","",'Statement of Marks'!FW63)</f>
        <v/>
      </c>
      <c r="O62" s="296" t="str">
        <f>IF(B62="","",'Statement of Marks'!GD63)</f>
        <v/>
      </c>
      <c r="P62" s="296" t="str">
        <f>IF(B62="","",'Statement of Marks'!GK63)</f>
        <v/>
      </c>
      <c r="Q62" s="296" t="str">
        <f>IF(B62="","",'Statement of Marks'!GR63)</f>
        <v/>
      </c>
      <c r="R62" s="296" t="str">
        <f>IF(B62="","",'Statement of Marks'!GS63)</f>
        <v/>
      </c>
      <c r="S62" s="288" t="str">
        <f>IF(COUNTIF(K62:R62,"F")&gt;0,"",CONCATENATE('Statement of Marks'!GU63,'Statement of Marks'!GW63))</f>
        <v xml:space="preserve">           </v>
      </c>
      <c r="T62" s="289">
        <f t="shared" si="0"/>
        <v>0</v>
      </c>
      <c r="U62" s="16"/>
      <c r="V62" s="297" t="str">
        <f t="shared" si="1"/>
        <v/>
      </c>
      <c r="W62" s="297" t="str">
        <f t="shared" si="2"/>
        <v/>
      </c>
      <c r="X62" s="16"/>
      <c r="Y62" s="297" t="str">
        <f t="shared" si="3"/>
        <v/>
      </c>
      <c r="Z62" s="297" t="str">
        <f t="shared" si="4"/>
        <v/>
      </c>
      <c r="AA62" s="16"/>
      <c r="AB62" s="297" t="str">
        <f t="shared" si="5"/>
        <v/>
      </c>
      <c r="AC62" s="298" t="str">
        <f t="shared" si="6"/>
        <v/>
      </c>
      <c r="AD62" s="16"/>
      <c r="AE62" s="297" t="str">
        <f t="shared" si="7"/>
        <v/>
      </c>
      <c r="AF62" s="298" t="str">
        <f t="shared" si="8"/>
        <v/>
      </c>
      <c r="AG62" s="16"/>
      <c r="AH62" s="297" t="str">
        <f t="shared" si="9"/>
        <v/>
      </c>
      <c r="AI62" s="298" t="str">
        <f t="shared" si="10"/>
        <v/>
      </c>
      <c r="AJ62" s="16"/>
      <c r="AK62" s="298" t="str">
        <f t="shared" si="11"/>
        <v/>
      </c>
      <c r="AL62" s="298" t="str">
        <f t="shared" si="12"/>
        <v/>
      </c>
      <c r="AM62" s="16"/>
      <c r="AN62" s="297" t="str">
        <f t="shared" si="13"/>
        <v/>
      </c>
      <c r="AO62" s="16"/>
      <c r="AP62" s="297" t="str">
        <f t="shared" si="14"/>
        <v/>
      </c>
      <c r="AQ62" s="299">
        <f t="shared" si="15"/>
        <v>0</v>
      </c>
      <c r="AR62" s="299">
        <f t="shared" si="16"/>
        <v>0</v>
      </c>
      <c r="AS62" s="300" t="str">
        <f t="shared" si="17"/>
        <v/>
      </c>
      <c r="AT62" s="301" t="str">
        <f>IF(COUNTIF(K62:R62,"F")&gt;0,"",IF(AS62="PASS",'Statement of Marks'!HF63,""))</f>
        <v/>
      </c>
      <c r="AU62" s="301" t="str">
        <f>IF(AS62="PASS",'Statement of Marks'!HG63,"")</f>
        <v/>
      </c>
    </row>
    <row r="63" spans="1:47">
      <c r="A63" s="284">
        <f>IF('Statement of Marks'!A64="","",'Statement of Marks'!A64)</f>
        <v>57</v>
      </c>
      <c r="B63" s="284" t="str">
        <f>IF('Statement of Marks'!B64="","",'Statement of Marks'!B64)</f>
        <v/>
      </c>
      <c r="C63" s="284" t="str">
        <f>IF('Statement of Marks'!C64="","",'Statement of Marks'!C64)</f>
        <v/>
      </c>
      <c r="D63" s="285" t="str">
        <f>IF('Statement of Marks'!D64="","",'Statement of Marks'!D64)</f>
        <v/>
      </c>
      <c r="E63" s="286" t="str">
        <f>IF('Statement of Marks'!E64="","",'Statement of Marks'!E64)</f>
        <v/>
      </c>
      <c r="F63" s="286" t="str">
        <f>IF('Statement of Marks'!F64="","",'Statement of Marks'!F64)</f>
        <v/>
      </c>
      <c r="G63" s="286" t="str">
        <f>IF('Statement of Marks'!G64="","",'Statement of Marks'!G64)</f>
        <v/>
      </c>
      <c r="H63" s="287" t="str">
        <f>IF('Statement of Marks'!GY64="","",'Statement of Marks'!GY64)</f>
        <v/>
      </c>
      <c r="I63" s="287" t="str">
        <f>IF('Statement of Marks'!HB64="","",'Statement of Marks'!HB64)</f>
        <v/>
      </c>
      <c r="J63" s="288" t="str">
        <f>IF('Statement of Marks'!HC64="","",'Statement of Marks'!HC64)</f>
        <v/>
      </c>
      <c r="K63" s="296" t="str">
        <f>IF(B63="","",'Statement of Marks'!FJ64)</f>
        <v/>
      </c>
      <c r="L63" s="296" t="str">
        <f>IF(B63="","",'Statement of Marks'!FM64)</f>
        <v/>
      </c>
      <c r="M63" s="296" t="str">
        <f>IF(B63="","",'Statement of Marks'!FP64)</f>
        <v/>
      </c>
      <c r="N63" s="296" t="str">
        <f>IF(B63="","",'Statement of Marks'!FW64)</f>
        <v/>
      </c>
      <c r="O63" s="296" t="str">
        <f>IF(B63="","",'Statement of Marks'!GD64)</f>
        <v/>
      </c>
      <c r="P63" s="296" t="str">
        <f>IF(B63="","",'Statement of Marks'!GK64)</f>
        <v/>
      </c>
      <c r="Q63" s="296" t="str">
        <f>IF(B63="","",'Statement of Marks'!GR64)</f>
        <v/>
      </c>
      <c r="R63" s="296" t="str">
        <f>IF(B63="","",'Statement of Marks'!GS64)</f>
        <v/>
      </c>
      <c r="S63" s="288" t="str">
        <f>IF(COUNTIF(K63:R63,"F")&gt;0,"",CONCATENATE('Statement of Marks'!GU64,'Statement of Marks'!GW64))</f>
        <v xml:space="preserve">           </v>
      </c>
      <c r="T63" s="289">
        <f t="shared" si="0"/>
        <v>0</v>
      </c>
      <c r="U63" s="16"/>
      <c r="V63" s="297" t="str">
        <f t="shared" si="1"/>
        <v/>
      </c>
      <c r="W63" s="297" t="str">
        <f t="shared" si="2"/>
        <v/>
      </c>
      <c r="X63" s="16"/>
      <c r="Y63" s="297" t="str">
        <f t="shared" si="3"/>
        <v/>
      </c>
      <c r="Z63" s="297" t="str">
        <f t="shared" si="4"/>
        <v/>
      </c>
      <c r="AA63" s="16"/>
      <c r="AB63" s="297" t="str">
        <f t="shared" si="5"/>
        <v/>
      </c>
      <c r="AC63" s="298" t="str">
        <f t="shared" si="6"/>
        <v/>
      </c>
      <c r="AD63" s="16"/>
      <c r="AE63" s="297" t="str">
        <f t="shared" si="7"/>
        <v/>
      </c>
      <c r="AF63" s="298" t="str">
        <f t="shared" si="8"/>
        <v/>
      </c>
      <c r="AG63" s="16"/>
      <c r="AH63" s="297" t="str">
        <f t="shared" si="9"/>
        <v/>
      </c>
      <c r="AI63" s="298" t="str">
        <f t="shared" si="10"/>
        <v/>
      </c>
      <c r="AJ63" s="16"/>
      <c r="AK63" s="298" t="str">
        <f t="shared" si="11"/>
        <v/>
      </c>
      <c r="AL63" s="298" t="str">
        <f t="shared" si="12"/>
        <v/>
      </c>
      <c r="AM63" s="16"/>
      <c r="AN63" s="297" t="str">
        <f t="shared" si="13"/>
        <v/>
      </c>
      <c r="AO63" s="16"/>
      <c r="AP63" s="297" t="str">
        <f t="shared" si="14"/>
        <v/>
      </c>
      <c r="AQ63" s="299">
        <f t="shared" si="15"/>
        <v>0</v>
      </c>
      <c r="AR63" s="299">
        <f t="shared" si="16"/>
        <v>0</v>
      </c>
      <c r="AS63" s="300" t="str">
        <f t="shared" si="17"/>
        <v/>
      </c>
      <c r="AT63" s="301" t="str">
        <f>IF(COUNTIF(K63:R63,"F")&gt;0,"",IF(AS63="PASS",'Statement of Marks'!HF64,""))</f>
        <v/>
      </c>
      <c r="AU63" s="301" t="str">
        <f>IF(AS63="PASS",'Statement of Marks'!HG64,"")</f>
        <v/>
      </c>
    </row>
    <row r="64" spans="1:47">
      <c r="A64" s="284">
        <f>IF('Statement of Marks'!A65="","",'Statement of Marks'!A65)</f>
        <v>58</v>
      </c>
      <c r="B64" s="284" t="str">
        <f>IF('Statement of Marks'!B65="","",'Statement of Marks'!B65)</f>
        <v/>
      </c>
      <c r="C64" s="284" t="str">
        <f>IF('Statement of Marks'!C65="","",'Statement of Marks'!C65)</f>
        <v/>
      </c>
      <c r="D64" s="285" t="str">
        <f>IF('Statement of Marks'!D65="","",'Statement of Marks'!D65)</f>
        <v/>
      </c>
      <c r="E64" s="286" t="str">
        <f>IF('Statement of Marks'!E65="","",'Statement of Marks'!E65)</f>
        <v/>
      </c>
      <c r="F64" s="286" t="str">
        <f>IF('Statement of Marks'!F65="","",'Statement of Marks'!F65)</f>
        <v/>
      </c>
      <c r="G64" s="286" t="str">
        <f>IF('Statement of Marks'!G65="","",'Statement of Marks'!G65)</f>
        <v/>
      </c>
      <c r="H64" s="287" t="str">
        <f>IF('Statement of Marks'!GY65="","",'Statement of Marks'!GY65)</f>
        <v/>
      </c>
      <c r="I64" s="287" t="str">
        <f>IF('Statement of Marks'!HB65="","",'Statement of Marks'!HB65)</f>
        <v/>
      </c>
      <c r="J64" s="288" t="str">
        <f>IF('Statement of Marks'!HC65="","",'Statement of Marks'!HC65)</f>
        <v/>
      </c>
      <c r="K64" s="296" t="str">
        <f>IF(B64="","",'Statement of Marks'!FJ65)</f>
        <v/>
      </c>
      <c r="L64" s="296" t="str">
        <f>IF(B64="","",'Statement of Marks'!FM65)</f>
        <v/>
      </c>
      <c r="M64" s="296" t="str">
        <f>IF(B64="","",'Statement of Marks'!FP65)</f>
        <v/>
      </c>
      <c r="N64" s="296" t="str">
        <f>IF(B64="","",'Statement of Marks'!FW65)</f>
        <v/>
      </c>
      <c r="O64" s="296" t="str">
        <f>IF(B64="","",'Statement of Marks'!GD65)</f>
        <v/>
      </c>
      <c r="P64" s="296" t="str">
        <f>IF(B64="","",'Statement of Marks'!GK65)</f>
        <v/>
      </c>
      <c r="Q64" s="296" t="str">
        <f>IF(B64="","",'Statement of Marks'!GR65)</f>
        <v/>
      </c>
      <c r="R64" s="296" t="str">
        <f>IF(B64="","",'Statement of Marks'!GS65)</f>
        <v/>
      </c>
      <c r="S64" s="288" t="str">
        <f>IF(COUNTIF(K64:R64,"F")&gt;0,"",CONCATENATE('Statement of Marks'!GU65,'Statement of Marks'!GW65))</f>
        <v xml:space="preserve">           </v>
      </c>
      <c r="T64" s="289">
        <f t="shared" si="0"/>
        <v>0</v>
      </c>
      <c r="U64" s="16"/>
      <c r="V64" s="297" t="str">
        <f t="shared" si="1"/>
        <v/>
      </c>
      <c r="W64" s="297" t="str">
        <f t="shared" si="2"/>
        <v/>
      </c>
      <c r="X64" s="16"/>
      <c r="Y64" s="297" t="str">
        <f t="shared" si="3"/>
        <v/>
      </c>
      <c r="Z64" s="297" t="str">
        <f t="shared" si="4"/>
        <v/>
      </c>
      <c r="AA64" s="16"/>
      <c r="AB64" s="297" t="str">
        <f t="shared" si="5"/>
        <v/>
      </c>
      <c r="AC64" s="298" t="str">
        <f t="shared" si="6"/>
        <v/>
      </c>
      <c r="AD64" s="16"/>
      <c r="AE64" s="297" t="str">
        <f t="shared" si="7"/>
        <v/>
      </c>
      <c r="AF64" s="298" t="str">
        <f t="shared" si="8"/>
        <v/>
      </c>
      <c r="AG64" s="16"/>
      <c r="AH64" s="297" t="str">
        <f t="shared" si="9"/>
        <v/>
      </c>
      <c r="AI64" s="298" t="str">
        <f t="shared" si="10"/>
        <v/>
      </c>
      <c r="AJ64" s="16"/>
      <c r="AK64" s="298" t="str">
        <f t="shared" si="11"/>
        <v/>
      </c>
      <c r="AL64" s="298" t="str">
        <f t="shared" si="12"/>
        <v/>
      </c>
      <c r="AM64" s="16"/>
      <c r="AN64" s="297" t="str">
        <f t="shared" si="13"/>
        <v/>
      </c>
      <c r="AO64" s="16"/>
      <c r="AP64" s="297" t="str">
        <f t="shared" si="14"/>
        <v/>
      </c>
      <c r="AQ64" s="299">
        <f t="shared" si="15"/>
        <v>0</v>
      </c>
      <c r="AR64" s="299">
        <f t="shared" si="16"/>
        <v>0</v>
      </c>
      <c r="AS64" s="300" t="str">
        <f t="shared" si="17"/>
        <v/>
      </c>
      <c r="AT64" s="301" t="str">
        <f>IF(COUNTIF(K64:R64,"F")&gt;0,"",IF(AS64="PASS",'Statement of Marks'!HF65,""))</f>
        <v/>
      </c>
      <c r="AU64" s="301" t="str">
        <f>IF(AS64="PASS",'Statement of Marks'!HG65,"")</f>
        <v/>
      </c>
    </row>
    <row r="65" spans="1:47">
      <c r="A65" s="284">
        <f>IF('Statement of Marks'!A66="","",'Statement of Marks'!A66)</f>
        <v>59</v>
      </c>
      <c r="B65" s="284" t="str">
        <f>IF('Statement of Marks'!B66="","",'Statement of Marks'!B66)</f>
        <v/>
      </c>
      <c r="C65" s="284" t="str">
        <f>IF('Statement of Marks'!C66="","",'Statement of Marks'!C66)</f>
        <v/>
      </c>
      <c r="D65" s="285" t="str">
        <f>IF('Statement of Marks'!D66="","",'Statement of Marks'!D66)</f>
        <v/>
      </c>
      <c r="E65" s="286" t="str">
        <f>IF('Statement of Marks'!E66="","",'Statement of Marks'!E66)</f>
        <v/>
      </c>
      <c r="F65" s="286" t="str">
        <f>IF('Statement of Marks'!F66="","",'Statement of Marks'!F66)</f>
        <v/>
      </c>
      <c r="G65" s="286" t="str">
        <f>IF('Statement of Marks'!G66="","",'Statement of Marks'!G66)</f>
        <v/>
      </c>
      <c r="H65" s="287" t="str">
        <f>IF('Statement of Marks'!GY66="","",'Statement of Marks'!GY66)</f>
        <v/>
      </c>
      <c r="I65" s="287" t="str">
        <f>IF('Statement of Marks'!HB66="","",'Statement of Marks'!HB66)</f>
        <v/>
      </c>
      <c r="J65" s="288" t="str">
        <f>IF('Statement of Marks'!HC66="","",'Statement of Marks'!HC66)</f>
        <v/>
      </c>
      <c r="K65" s="296" t="str">
        <f>IF(B65="","",'Statement of Marks'!FJ66)</f>
        <v/>
      </c>
      <c r="L65" s="296" t="str">
        <f>IF(B65="","",'Statement of Marks'!FM66)</f>
        <v/>
      </c>
      <c r="M65" s="296" t="str">
        <f>IF(B65="","",'Statement of Marks'!FP66)</f>
        <v/>
      </c>
      <c r="N65" s="296" t="str">
        <f>IF(B65="","",'Statement of Marks'!FW66)</f>
        <v/>
      </c>
      <c r="O65" s="296" t="str">
        <f>IF(B65="","",'Statement of Marks'!GD66)</f>
        <v/>
      </c>
      <c r="P65" s="296" t="str">
        <f>IF(B65="","",'Statement of Marks'!GK66)</f>
        <v/>
      </c>
      <c r="Q65" s="296" t="str">
        <f>IF(B65="","",'Statement of Marks'!GR66)</f>
        <v/>
      </c>
      <c r="R65" s="296" t="str">
        <f>IF(B65="","",'Statement of Marks'!GS66)</f>
        <v/>
      </c>
      <c r="S65" s="288" t="str">
        <f>IF(COUNTIF(K65:R65,"F")&gt;0,"",CONCATENATE('Statement of Marks'!GU66,'Statement of Marks'!GW66))</f>
        <v xml:space="preserve">           </v>
      </c>
      <c r="T65" s="289">
        <f t="shared" si="0"/>
        <v>0</v>
      </c>
      <c r="U65" s="16"/>
      <c r="V65" s="297" t="str">
        <f t="shared" si="1"/>
        <v/>
      </c>
      <c r="W65" s="297" t="str">
        <f t="shared" si="2"/>
        <v/>
      </c>
      <c r="X65" s="16"/>
      <c r="Y65" s="297" t="str">
        <f t="shared" si="3"/>
        <v/>
      </c>
      <c r="Z65" s="297" t="str">
        <f t="shared" si="4"/>
        <v/>
      </c>
      <c r="AA65" s="16"/>
      <c r="AB65" s="297" t="str">
        <f t="shared" si="5"/>
        <v/>
      </c>
      <c r="AC65" s="298" t="str">
        <f t="shared" si="6"/>
        <v/>
      </c>
      <c r="AD65" s="16"/>
      <c r="AE65" s="297" t="str">
        <f t="shared" si="7"/>
        <v/>
      </c>
      <c r="AF65" s="298" t="str">
        <f t="shared" si="8"/>
        <v/>
      </c>
      <c r="AG65" s="16"/>
      <c r="AH65" s="297" t="str">
        <f t="shared" si="9"/>
        <v/>
      </c>
      <c r="AI65" s="298" t="str">
        <f t="shared" si="10"/>
        <v/>
      </c>
      <c r="AJ65" s="16"/>
      <c r="AK65" s="298" t="str">
        <f t="shared" si="11"/>
        <v/>
      </c>
      <c r="AL65" s="298" t="str">
        <f t="shared" si="12"/>
        <v/>
      </c>
      <c r="AM65" s="16"/>
      <c r="AN65" s="297" t="str">
        <f t="shared" si="13"/>
        <v/>
      </c>
      <c r="AO65" s="16"/>
      <c r="AP65" s="297" t="str">
        <f t="shared" si="14"/>
        <v/>
      </c>
      <c r="AQ65" s="299">
        <f t="shared" si="15"/>
        <v>0</v>
      </c>
      <c r="AR65" s="299">
        <f t="shared" si="16"/>
        <v>0</v>
      </c>
      <c r="AS65" s="300" t="str">
        <f t="shared" si="17"/>
        <v/>
      </c>
      <c r="AT65" s="301" t="str">
        <f>IF(COUNTIF(K65:R65,"F")&gt;0,"",IF(AS65="PASS",'Statement of Marks'!HF66,""))</f>
        <v/>
      </c>
      <c r="AU65" s="301" t="str">
        <f>IF(AS65="PASS",'Statement of Marks'!HG66,"")</f>
        <v/>
      </c>
    </row>
    <row r="66" spans="1:47">
      <c r="A66" s="284">
        <f>IF('Statement of Marks'!A67="","",'Statement of Marks'!A67)</f>
        <v>60</v>
      </c>
      <c r="B66" s="284" t="str">
        <f>IF('Statement of Marks'!B67="","",'Statement of Marks'!B67)</f>
        <v/>
      </c>
      <c r="C66" s="284" t="str">
        <f>IF('Statement of Marks'!C67="","",'Statement of Marks'!C67)</f>
        <v/>
      </c>
      <c r="D66" s="285" t="str">
        <f>IF('Statement of Marks'!D67="","",'Statement of Marks'!D67)</f>
        <v/>
      </c>
      <c r="E66" s="286" t="str">
        <f>IF('Statement of Marks'!E67="","",'Statement of Marks'!E67)</f>
        <v/>
      </c>
      <c r="F66" s="286" t="str">
        <f>IF('Statement of Marks'!F67="","",'Statement of Marks'!F67)</f>
        <v/>
      </c>
      <c r="G66" s="286" t="str">
        <f>IF('Statement of Marks'!G67="","",'Statement of Marks'!G67)</f>
        <v/>
      </c>
      <c r="H66" s="287" t="str">
        <f>IF('Statement of Marks'!GY67="","",'Statement of Marks'!GY67)</f>
        <v/>
      </c>
      <c r="I66" s="287" t="str">
        <f>IF('Statement of Marks'!HB67="","",'Statement of Marks'!HB67)</f>
        <v/>
      </c>
      <c r="J66" s="288" t="str">
        <f>IF('Statement of Marks'!HC67="","",'Statement of Marks'!HC67)</f>
        <v/>
      </c>
      <c r="K66" s="296" t="str">
        <f>IF(B66="","",'Statement of Marks'!FJ67)</f>
        <v/>
      </c>
      <c r="L66" s="296" t="str">
        <f>IF(B66="","",'Statement of Marks'!FM67)</f>
        <v/>
      </c>
      <c r="M66" s="296" t="str">
        <f>IF(B66="","",'Statement of Marks'!FP67)</f>
        <v/>
      </c>
      <c r="N66" s="296" t="str">
        <f>IF(B66="","",'Statement of Marks'!FW67)</f>
        <v/>
      </c>
      <c r="O66" s="296" t="str">
        <f>IF(B66="","",'Statement of Marks'!GD67)</f>
        <v/>
      </c>
      <c r="P66" s="296" t="str">
        <f>IF(B66="","",'Statement of Marks'!GK67)</f>
        <v/>
      </c>
      <c r="Q66" s="296" t="str">
        <f>IF(B66="","",'Statement of Marks'!GR67)</f>
        <v/>
      </c>
      <c r="R66" s="296" t="str">
        <f>IF(B66="","",'Statement of Marks'!GS67)</f>
        <v/>
      </c>
      <c r="S66" s="288" t="str">
        <f>IF(COUNTIF(K66:R66,"F")&gt;0,"",CONCATENATE('Statement of Marks'!GU67,'Statement of Marks'!GW67))</f>
        <v xml:space="preserve">           </v>
      </c>
      <c r="T66" s="289">
        <f t="shared" si="0"/>
        <v>0</v>
      </c>
      <c r="U66" s="16"/>
      <c r="V66" s="297" t="str">
        <f t="shared" si="1"/>
        <v/>
      </c>
      <c r="W66" s="297" t="str">
        <f t="shared" si="2"/>
        <v/>
      </c>
      <c r="X66" s="16"/>
      <c r="Y66" s="297" t="str">
        <f t="shared" si="3"/>
        <v/>
      </c>
      <c r="Z66" s="297" t="str">
        <f t="shared" si="4"/>
        <v/>
      </c>
      <c r="AA66" s="16"/>
      <c r="AB66" s="297" t="str">
        <f t="shared" si="5"/>
        <v/>
      </c>
      <c r="AC66" s="298" t="str">
        <f t="shared" si="6"/>
        <v/>
      </c>
      <c r="AD66" s="16"/>
      <c r="AE66" s="297" t="str">
        <f t="shared" si="7"/>
        <v/>
      </c>
      <c r="AF66" s="298" t="str">
        <f t="shared" si="8"/>
        <v/>
      </c>
      <c r="AG66" s="16"/>
      <c r="AH66" s="297" t="str">
        <f t="shared" si="9"/>
        <v/>
      </c>
      <c r="AI66" s="298" t="str">
        <f t="shared" si="10"/>
        <v/>
      </c>
      <c r="AJ66" s="16"/>
      <c r="AK66" s="298" t="str">
        <f t="shared" si="11"/>
        <v/>
      </c>
      <c r="AL66" s="298" t="str">
        <f t="shared" si="12"/>
        <v/>
      </c>
      <c r="AM66" s="16"/>
      <c r="AN66" s="297" t="str">
        <f t="shared" si="13"/>
        <v/>
      </c>
      <c r="AO66" s="16"/>
      <c r="AP66" s="297" t="str">
        <f t="shared" si="14"/>
        <v/>
      </c>
      <c r="AQ66" s="299">
        <f t="shared" si="15"/>
        <v>0</v>
      </c>
      <c r="AR66" s="299">
        <f t="shared" si="16"/>
        <v>0</v>
      </c>
      <c r="AS66" s="300" t="str">
        <f t="shared" si="17"/>
        <v/>
      </c>
      <c r="AT66" s="301" t="str">
        <f>IF(COUNTIF(K66:R66,"F")&gt;0,"",IF(AS66="PASS",'Statement of Marks'!HF67,""))</f>
        <v/>
      </c>
      <c r="AU66" s="301" t="str">
        <f>IF(AS66="PASS",'Statement of Marks'!HG67,"")</f>
        <v/>
      </c>
    </row>
    <row r="67" spans="1:47">
      <c r="A67" s="284">
        <f>IF('Statement of Marks'!A68="","",'Statement of Marks'!A68)</f>
        <v>61</v>
      </c>
      <c r="B67" s="284" t="str">
        <f>IF('Statement of Marks'!B68="","",'Statement of Marks'!B68)</f>
        <v/>
      </c>
      <c r="C67" s="284" t="str">
        <f>IF('Statement of Marks'!C68="","",'Statement of Marks'!C68)</f>
        <v/>
      </c>
      <c r="D67" s="285" t="str">
        <f>IF('Statement of Marks'!D68="","",'Statement of Marks'!D68)</f>
        <v/>
      </c>
      <c r="E67" s="286" t="str">
        <f>IF('Statement of Marks'!E68="","",'Statement of Marks'!E68)</f>
        <v/>
      </c>
      <c r="F67" s="286" t="str">
        <f>IF('Statement of Marks'!F68="","",'Statement of Marks'!F68)</f>
        <v/>
      </c>
      <c r="G67" s="286" t="str">
        <f>IF('Statement of Marks'!G68="","",'Statement of Marks'!G68)</f>
        <v/>
      </c>
      <c r="H67" s="287" t="str">
        <f>IF('Statement of Marks'!GY68="","",'Statement of Marks'!GY68)</f>
        <v/>
      </c>
      <c r="I67" s="287" t="str">
        <f>IF('Statement of Marks'!HB68="","",'Statement of Marks'!HB68)</f>
        <v/>
      </c>
      <c r="J67" s="288" t="str">
        <f>IF('Statement of Marks'!HC68="","",'Statement of Marks'!HC68)</f>
        <v/>
      </c>
      <c r="K67" s="296" t="str">
        <f>IF(B67="","",'Statement of Marks'!FJ68)</f>
        <v/>
      </c>
      <c r="L67" s="296" t="str">
        <f>IF(B67="","",'Statement of Marks'!FM68)</f>
        <v/>
      </c>
      <c r="M67" s="296" t="str">
        <f>IF(B67="","",'Statement of Marks'!FP68)</f>
        <v/>
      </c>
      <c r="N67" s="296" t="str">
        <f>IF(B67="","",'Statement of Marks'!FW68)</f>
        <v/>
      </c>
      <c r="O67" s="296" t="str">
        <f>IF(B67="","",'Statement of Marks'!GD68)</f>
        <v/>
      </c>
      <c r="P67" s="296" t="str">
        <f>IF(B67="","",'Statement of Marks'!GK68)</f>
        <v/>
      </c>
      <c r="Q67" s="296" t="str">
        <f>IF(B67="","",'Statement of Marks'!GR68)</f>
        <v/>
      </c>
      <c r="R67" s="296" t="str">
        <f>IF(B67="","",'Statement of Marks'!GS68)</f>
        <v/>
      </c>
      <c r="S67" s="288" t="str">
        <f>IF(COUNTIF(K67:R67,"F")&gt;0,"",CONCATENATE('Statement of Marks'!GU68,'Statement of Marks'!GW68))</f>
        <v xml:space="preserve">           </v>
      </c>
      <c r="T67" s="289">
        <f t="shared" si="0"/>
        <v>0</v>
      </c>
      <c r="U67" s="16"/>
      <c r="V67" s="297" t="str">
        <f t="shared" si="1"/>
        <v/>
      </c>
      <c r="W67" s="297" t="str">
        <f t="shared" si="2"/>
        <v/>
      </c>
      <c r="X67" s="16"/>
      <c r="Y67" s="297" t="str">
        <f t="shared" si="3"/>
        <v/>
      </c>
      <c r="Z67" s="297" t="str">
        <f t="shared" si="4"/>
        <v/>
      </c>
      <c r="AA67" s="16"/>
      <c r="AB67" s="297" t="str">
        <f t="shared" si="5"/>
        <v/>
      </c>
      <c r="AC67" s="298" t="str">
        <f t="shared" si="6"/>
        <v/>
      </c>
      <c r="AD67" s="16"/>
      <c r="AE67" s="297" t="str">
        <f t="shared" si="7"/>
        <v/>
      </c>
      <c r="AF67" s="298" t="str">
        <f t="shared" si="8"/>
        <v/>
      </c>
      <c r="AG67" s="16"/>
      <c r="AH67" s="297" t="str">
        <f t="shared" si="9"/>
        <v/>
      </c>
      <c r="AI67" s="298" t="str">
        <f t="shared" si="10"/>
        <v/>
      </c>
      <c r="AJ67" s="16"/>
      <c r="AK67" s="298" t="str">
        <f t="shared" si="11"/>
        <v/>
      </c>
      <c r="AL67" s="298" t="str">
        <f t="shared" si="12"/>
        <v/>
      </c>
      <c r="AM67" s="16"/>
      <c r="AN67" s="297" t="str">
        <f t="shared" si="13"/>
        <v/>
      </c>
      <c r="AO67" s="16"/>
      <c r="AP67" s="297" t="str">
        <f t="shared" si="14"/>
        <v/>
      </c>
      <c r="AQ67" s="299">
        <f t="shared" si="15"/>
        <v>0</v>
      </c>
      <c r="AR67" s="299">
        <f t="shared" si="16"/>
        <v>0</v>
      </c>
      <c r="AS67" s="300" t="str">
        <f t="shared" si="17"/>
        <v/>
      </c>
      <c r="AT67" s="301" t="str">
        <f>IF(COUNTIF(K67:R67,"F")&gt;0,"",IF(AS67="PASS",'Statement of Marks'!HF68,""))</f>
        <v/>
      </c>
      <c r="AU67" s="301" t="str">
        <f>IF(AS67="PASS",'Statement of Marks'!HG68,"")</f>
        <v/>
      </c>
    </row>
    <row r="68" spans="1:47">
      <c r="A68" s="284">
        <f>IF('Statement of Marks'!A69="","",'Statement of Marks'!A69)</f>
        <v>62</v>
      </c>
      <c r="B68" s="284" t="str">
        <f>IF('Statement of Marks'!B69="","",'Statement of Marks'!B69)</f>
        <v/>
      </c>
      <c r="C68" s="284" t="str">
        <f>IF('Statement of Marks'!C69="","",'Statement of Marks'!C69)</f>
        <v/>
      </c>
      <c r="D68" s="285" t="str">
        <f>IF('Statement of Marks'!D69="","",'Statement of Marks'!D69)</f>
        <v/>
      </c>
      <c r="E68" s="286" t="str">
        <f>IF('Statement of Marks'!E69="","",'Statement of Marks'!E69)</f>
        <v/>
      </c>
      <c r="F68" s="286" t="str">
        <f>IF('Statement of Marks'!F69="","",'Statement of Marks'!F69)</f>
        <v/>
      </c>
      <c r="G68" s="286" t="str">
        <f>IF('Statement of Marks'!G69="","",'Statement of Marks'!G69)</f>
        <v/>
      </c>
      <c r="H68" s="287" t="str">
        <f>IF('Statement of Marks'!GY69="","",'Statement of Marks'!GY69)</f>
        <v/>
      </c>
      <c r="I68" s="287" t="str">
        <f>IF('Statement of Marks'!HB69="","",'Statement of Marks'!HB69)</f>
        <v/>
      </c>
      <c r="J68" s="288" t="str">
        <f>IF('Statement of Marks'!HC69="","",'Statement of Marks'!HC69)</f>
        <v/>
      </c>
      <c r="K68" s="296" t="str">
        <f>IF(B68="","",'Statement of Marks'!FJ69)</f>
        <v/>
      </c>
      <c r="L68" s="296" t="str">
        <f>IF(B68="","",'Statement of Marks'!FM69)</f>
        <v/>
      </c>
      <c r="M68" s="296" t="str">
        <f>IF(B68="","",'Statement of Marks'!FP69)</f>
        <v/>
      </c>
      <c r="N68" s="296" t="str">
        <f>IF(B68="","",'Statement of Marks'!FW69)</f>
        <v/>
      </c>
      <c r="O68" s="296" t="str">
        <f>IF(B68="","",'Statement of Marks'!GD69)</f>
        <v/>
      </c>
      <c r="P68" s="296" t="str">
        <f>IF(B68="","",'Statement of Marks'!GK69)</f>
        <v/>
      </c>
      <c r="Q68" s="296" t="str">
        <f>IF(B68="","",'Statement of Marks'!GR69)</f>
        <v/>
      </c>
      <c r="R68" s="296" t="str">
        <f>IF(B68="","",'Statement of Marks'!GS69)</f>
        <v/>
      </c>
      <c r="S68" s="288" t="str">
        <f>IF(COUNTIF(K68:R68,"F")&gt;0,"",CONCATENATE('Statement of Marks'!GU69,'Statement of Marks'!GW69))</f>
        <v xml:space="preserve">           </v>
      </c>
      <c r="T68" s="289">
        <f t="shared" si="0"/>
        <v>0</v>
      </c>
      <c r="U68" s="16"/>
      <c r="V68" s="297" t="str">
        <f t="shared" si="1"/>
        <v/>
      </c>
      <c r="W68" s="297" t="str">
        <f t="shared" si="2"/>
        <v/>
      </c>
      <c r="X68" s="16"/>
      <c r="Y68" s="297" t="str">
        <f t="shared" si="3"/>
        <v/>
      </c>
      <c r="Z68" s="297" t="str">
        <f t="shared" si="4"/>
        <v/>
      </c>
      <c r="AA68" s="16"/>
      <c r="AB68" s="297" t="str">
        <f t="shared" si="5"/>
        <v/>
      </c>
      <c r="AC68" s="298" t="str">
        <f t="shared" si="6"/>
        <v/>
      </c>
      <c r="AD68" s="16"/>
      <c r="AE68" s="297" t="str">
        <f t="shared" si="7"/>
        <v/>
      </c>
      <c r="AF68" s="298" t="str">
        <f t="shared" si="8"/>
        <v/>
      </c>
      <c r="AG68" s="16"/>
      <c r="AH68" s="297" t="str">
        <f t="shared" si="9"/>
        <v/>
      </c>
      <c r="AI68" s="298" t="str">
        <f t="shared" si="10"/>
        <v/>
      </c>
      <c r="AJ68" s="16"/>
      <c r="AK68" s="298" t="str">
        <f t="shared" si="11"/>
        <v/>
      </c>
      <c r="AL68" s="298" t="str">
        <f t="shared" si="12"/>
        <v/>
      </c>
      <c r="AM68" s="16"/>
      <c r="AN68" s="297" t="str">
        <f t="shared" si="13"/>
        <v/>
      </c>
      <c r="AO68" s="16"/>
      <c r="AP68" s="297" t="str">
        <f t="shared" si="14"/>
        <v/>
      </c>
      <c r="AQ68" s="299">
        <f t="shared" si="15"/>
        <v>0</v>
      </c>
      <c r="AR68" s="299">
        <f t="shared" si="16"/>
        <v>0</v>
      </c>
      <c r="AS68" s="300" t="str">
        <f t="shared" si="17"/>
        <v/>
      </c>
      <c r="AT68" s="301" t="str">
        <f>IF(COUNTIF(K68:R68,"F")&gt;0,"",IF(AS68="PASS",'Statement of Marks'!HF69,""))</f>
        <v/>
      </c>
      <c r="AU68" s="301" t="str">
        <f>IF(AS68="PASS",'Statement of Marks'!HG69,"")</f>
        <v/>
      </c>
    </row>
    <row r="69" spans="1:47">
      <c r="A69" s="284">
        <f>IF('Statement of Marks'!A70="","",'Statement of Marks'!A70)</f>
        <v>63</v>
      </c>
      <c r="B69" s="284" t="str">
        <f>IF('Statement of Marks'!B70="","",'Statement of Marks'!B70)</f>
        <v/>
      </c>
      <c r="C69" s="284" t="str">
        <f>IF('Statement of Marks'!C70="","",'Statement of Marks'!C70)</f>
        <v/>
      </c>
      <c r="D69" s="285" t="str">
        <f>IF('Statement of Marks'!D70="","",'Statement of Marks'!D70)</f>
        <v/>
      </c>
      <c r="E69" s="286" t="str">
        <f>IF('Statement of Marks'!E70="","",'Statement of Marks'!E70)</f>
        <v/>
      </c>
      <c r="F69" s="286" t="str">
        <f>IF('Statement of Marks'!F70="","",'Statement of Marks'!F70)</f>
        <v/>
      </c>
      <c r="G69" s="286" t="str">
        <f>IF('Statement of Marks'!G70="","",'Statement of Marks'!G70)</f>
        <v/>
      </c>
      <c r="H69" s="287" t="str">
        <f>IF('Statement of Marks'!GY70="","",'Statement of Marks'!GY70)</f>
        <v/>
      </c>
      <c r="I69" s="287" t="str">
        <f>IF('Statement of Marks'!HB70="","",'Statement of Marks'!HB70)</f>
        <v/>
      </c>
      <c r="J69" s="288" t="str">
        <f>IF('Statement of Marks'!HC70="","",'Statement of Marks'!HC70)</f>
        <v/>
      </c>
      <c r="K69" s="296" t="str">
        <f>IF(B69="","",'Statement of Marks'!FJ70)</f>
        <v/>
      </c>
      <c r="L69" s="296" t="str">
        <f>IF(B69="","",'Statement of Marks'!FM70)</f>
        <v/>
      </c>
      <c r="M69" s="296" t="str">
        <f>IF(B69="","",'Statement of Marks'!FP70)</f>
        <v/>
      </c>
      <c r="N69" s="296" t="str">
        <f>IF(B69="","",'Statement of Marks'!FW70)</f>
        <v/>
      </c>
      <c r="O69" s="296" t="str">
        <f>IF(B69="","",'Statement of Marks'!GD70)</f>
        <v/>
      </c>
      <c r="P69" s="296" t="str">
        <f>IF(B69="","",'Statement of Marks'!GK70)</f>
        <v/>
      </c>
      <c r="Q69" s="296" t="str">
        <f>IF(B69="","",'Statement of Marks'!GR70)</f>
        <v/>
      </c>
      <c r="R69" s="296" t="str">
        <f>IF(B69="","",'Statement of Marks'!GS70)</f>
        <v/>
      </c>
      <c r="S69" s="288" t="str">
        <f>IF(COUNTIF(K69:R69,"F")&gt;0,"",CONCATENATE('Statement of Marks'!GU70,'Statement of Marks'!GW70))</f>
        <v xml:space="preserve">           </v>
      </c>
      <c r="T69" s="289">
        <f t="shared" si="0"/>
        <v>0</v>
      </c>
      <c r="U69" s="16"/>
      <c r="V69" s="297" t="str">
        <f t="shared" si="1"/>
        <v/>
      </c>
      <c r="W69" s="297" t="str">
        <f t="shared" si="2"/>
        <v/>
      </c>
      <c r="X69" s="16"/>
      <c r="Y69" s="297" t="str">
        <f t="shared" si="3"/>
        <v/>
      </c>
      <c r="Z69" s="297" t="str">
        <f t="shared" si="4"/>
        <v/>
      </c>
      <c r="AA69" s="16"/>
      <c r="AB69" s="297" t="str">
        <f t="shared" si="5"/>
        <v/>
      </c>
      <c r="AC69" s="298" t="str">
        <f t="shared" si="6"/>
        <v/>
      </c>
      <c r="AD69" s="16"/>
      <c r="AE69" s="297" t="str">
        <f t="shared" si="7"/>
        <v/>
      </c>
      <c r="AF69" s="298" t="str">
        <f t="shared" si="8"/>
        <v/>
      </c>
      <c r="AG69" s="16"/>
      <c r="AH69" s="297" t="str">
        <f t="shared" si="9"/>
        <v/>
      </c>
      <c r="AI69" s="298" t="str">
        <f t="shared" si="10"/>
        <v/>
      </c>
      <c r="AJ69" s="16"/>
      <c r="AK69" s="298" t="str">
        <f t="shared" si="11"/>
        <v/>
      </c>
      <c r="AL69" s="298" t="str">
        <f t="shared" si="12"/>
        <v/>
      </c>
      <c r="AM69" s="16"/>
      <c r="AN69" s="297" t="str">
        <f t="shared" si="13"/>
        <v/>
      </c>
      <c r="AO69" s="16"/>
      <c r="AP69" s="297" t="str">
        <f t="shared" si="14"/>
        <v/>
      </c>
      <c r="AQ69" s="299">
        <f t="shared" si="15"/>
        <v>0</v>
      </c>
      <c r="AR69" s="299">
        <f t="shared" si="16"/>
        <v>0</v>
      </c>
      <c r="AS69" s="300" t="str">
        <f t="shared" si="17"/>
        <v/>
      </c>
      <c r="AT69" s="301" t="str">
        <f>IF(COUNTIF(K69:R69,"F")&gt;0,"",IF(AS69="PASS",'Statement of Marks'!HF70,""))</f>
        <v/>
      </c>
      <c r="AU69" s="301" t="str">
        <f>IF(AS69="PASS",'Statement of Marks'!HG70,"")</f>
        <v/>
      </c>
    </row>
    <row r="70" spans="1:47">
      <c r="A70" s="284">
        <f>IF('Statement of Marks'!A71="","",'Statement of Marks'!A71)</f>
        <v>64</v>
      </c>
      <c r="B70" s="284" t="str">
        <f>IF('Statement of Marks'!B71="","",'Statement of Marks'!B71)</f>
        <v/>
      </c>
      <c r="C70" s="284" t="str">
        <f>IF('Statement of Marks'!C71="","",'Statement of Marks'!C71)</f>
        <v/>
      </c>
      <c r="D70" s="285" t="str">
        <f>IF('Statement of Marks'!D71="","",'Statement of Marks'!D71)</f>
        <v/>
      </c>
      <c r="E70" s="286" t="str">
        <f>IF('Statement of Marks'!E71="","",'Statement of Marks'!E71)</f>
        <v/>
      </c>
      <c r="F70" s="286" t="str">
        <f>IF('Statement of Marks'!F71="","",'Statement of Marks'!F71)</f>
        <v/>
      </c>
      <c r="G70" s="286" t="str">
        <f>IF('Statement of Marks'!G71="","",'Statement of Marks'!G71)</f>
        <v/>
      </c>
      <c r="H70" s="287" t="str">
        <f>IF('Statement of Marks'!GY71="","",'Statement of Marks'!GY71)</f>
        <v/>
      </c>
      <c r="I70" s="287" t="str">
        <f>IF('Statement of Marks'!HB71="","",'Statement of Marks'!HB71)</f>
        <v/>
      </c>
      <c r="J70" s="288" t="str">
        <f>IF('Statement of Marks'!HC71="","",'Statement of Marks'!HC71)</f>
        <v/>
      </c>
      <c r="K70" s="296" t="str">
        <f>IF(B70="","",'Statement of Marks'!FJ71)</f>
        <v/>
      </c>
      <c r="L70" s="296" t="str">
        <f>IF(B70="","",'Statement of Marks'!FM71)</f>
        <v/>
      </c>
      <c r="M70" s="296" t="str">
        <f>IF(B70="","",'Statement of Marks'!FP71)</f>
        <v/>
      </c>
      <c r="N70" s="296" t="str">
        <f>IF(B70="","",'Statement of Marks'!FW71)</f>
        <v/>
      </c>
      <c r="O70" s="296" t="str">
        <f>IF(B70="","",'Statement of Marks'!GD71)</f>
        <v/>
      </c>
      <c r="P70" s="296" t="str">
        <f>IF(B70="","",'Statement of Marks'!GK71)</f>
        <v/>
      </c>
      <c r="Q70" s="296" t="str">
        <f>IF(B70="","",'Statement of Marks'!GR71)</f>
        <v/>
      </c>
      <c r="R70" s="296" t="str">
        <f>IF(B70="","",'Statement of Marks'!GS71)</f>
        <v/>
      </c>
      <c r="S70" s="288" t="str">
        <f>IF(COUNTIF(K70:R70,"F")&gt;0,"",CONCATENATE('Statement of Marks'!GU71,'Statement of Marks'!GW71))</f>
        <v xml:space="preserve">           </v>
      </c>
      <c r="T70" s="289">
        <f t="shared" si="0"/>
        <v>0</v>
      </c>
      <c r="U70" s="16"/>
      <c r="V70" s="297" t="str">
        <f t="shared" si="1"/>
        <v/>
      </c>
      <c r="W70" s="297" t="str">
        <f t="shared" si="2"/>
        <v/>
      </c>
      <c r="X70" s="16"/>
      <c r="Y70" s="297" t="str">
        <f t="shared" si="3"/>
        <v/>
      </c>
      <c r="Z70" s="297" t="str">
        <f t="shared" si="4"/>
        <v/>
      </c>
      <c r="AA70" s="16"/>
      <c r="AB70" s="297" t="str">
        <f t="shared" si="5"/>
        <v/>
      </c>
      <c r="AC70" s="298" t="str">
        <f t="shared" si="6"/>
        <v/>
      </c>
      <c r="AD70" s="16"/>
      <c r="AE70" s="297" t="str">
        <f t="shared" si="7"/>
        <v/>
      </c>
      <c r="AF70" s="298" t="str">
        <f t="shared" si="8"/>
        <v/>
      </c>
      <c r="AG70" s="16"/>
      <c r="AH70" s="297" t="str">
        <f t="shared" si="9"/>
        <v/>
      </c>
      <c r="AI70" s="298" t="str">
        <f t="shared" si="10"/>
        <v/>
      </c>
      <c r="AJ70" s="16"/>
      <c r="AK70" s="298" t="str">
        <f t="shared" si="11"/>
        <v/>
      </c>
      <c r="AL70" s="298" t="str">
        <f t="shared" si="12"/>
        <v/>
      </c>
      <c r="AM70" s="16"/>
      <c r="AN70" s="297" t="str">
        <f t="shared" si="13"/>
        <v/>
      </c>
      <c r="AO70" s="16"/>
      <c r="AP70" s="297" t="str">
        <f t="shared" si="14"/>
        <v/>
      </c>
      <c r="AQ70" s="299">
        <f t="shared" si="15"/>
        <v>0</v>
      </c>
      <c r="AR70" s="299">
        <f t="shared" si="16"/>
        <v>0</v>
      </c>
      <c r="AS70" s="300" t="str">
        <f t="shared" si="17"/>
        <v/>
      </c>
      <c r="AT70" s="301" t="str">
        <f>IF(COUNTIF(K70:R70,"F")&gt;0,"",IF(AS70="PASS",'Statement of Marks'!HF71,""))</f>
        <v/>
      </c>
      <c r="AU70" s="301" t="str">
        <f>IF(AS70="PASS",'Statement of Marks'!HG71,"")</f>
        <v/>
      </c>
    </row>
    <row r="71" spans="1:47">
      <c r="A71" s="284">
        <f>IF('Statement of Marks'!A72="","",'Statement of Marks'!A72)</f>
        <v>65</v>
      </c>
      <c r="B71" s="284" t="str">
        <f>IF('Statement of Marks'!B72="","",'Statement of Marks'!B72)</f>
        <v/>
      </c>
      <c r="C71" s="284" t="str">
        <f>IF('Statement of Marks'!C72="","",'Statement of Marks'!C72)</f>
        <v/>
      </c>
      <c r="D71" s="285" t="str">
        <f>IF('Statement of Marks'!D72="","",'Statement of Marks'!D72)</f>
        <v/>
      </c>
      <c r="E71" s="286" t="str">
        <f>IF('Statement of Marks'!E72="","",'Statement of Marks'!E72)</f>
        <v/>
      </c>
      <c r="F71" s="286" t="str">
        <f>IF('Statement of Marks'!F72="","",'Statement of Marks'!F72)</f>
        <v/>
      </c>
      <c r="G71" s="286" t="str">
        <f>IF('Statement of Marks'!G72="","",'Statement of Marks'!G72)</f>
        <v/>
      </c>
      <c r="H71" s="287" t="str">
        <f>IF('Statement of Marks'!GY72="","",'Statement of Marks'!GY72)</f>
        <v/>
      </c>
      <c r="I71" s="287" t="str">
        <f>IF('Statement of Marks'!HB72="","",'Statement of Marks'!HB72)</f>
        <v/>
      </c>
      <c r="J71" s="288" t="str">
        <f>IF('Statement of Marks'!HC72="","",'Statement of Marks'!HC72)</f>
        <v/>
      </c>
      <c r="K71" s="296" t="str">
        <f>IF(B71="","",'Statement of Marks'!FJ72)</f>
        <v/>
      </c>
      <c r="L71" s="296" t="str">
        <f>IF(B71="","",'Statement of Marks'!FM72)</f>
        <v/>
      </c>
      <c r="M71" s="296" t="str">
        <f>IF(B71="","",'Statement of Marks'!FP72)</f>
        <v/>
      </c>
      <c r="N71" s="296" t="str">
        <f>IF(B71="","",'Statement of Marks'!FW72)</f>
        <v/>
      </c>
      <c r="O71" s="296" t="str">
        <f>IF(B71="","",'Statement of Marks'!GD72)</f>
        <v/>
      </c>
      <c r="P71" s="296" t="str">
        <f>IF(B71="","",'Statement of Marks'!GK72)</f>
        <v/>
      </c>
      <c r="Q71" s="296" t="str">
        <f>IF(B71="","",'Statement of Marks'!GR72)</f>
        <v/>
      </c>
      <c r="R71" s="296" t="str">
        <f>IF(B71="","",'Statement of Marks'!GS72)</f>
        <v/>
      </c>
      <c r="S71" s="288" t="str">
        <f>IF(COUNTIF(K71:R71,"F")&gt;0,"",CONCATENATE('Statement of Marks'!GU72,'Statement of Marks'!GW72))</f>
        <v xml:space="preserve">           </v>
      </c>
      <c r="T71" s="289">
        <f t="shared" si="0"/>
        <v>0</v>
      </c>
      <c r="U71" s="16"/>
      <c r="V71" s="297" t="str">
        <f t="shared" si="1"/>
        <v/>
      </c>
      <c r="W71" s="297" t="str">
        <f t="shared" si="2"/>
        <v/>
      </c>
      <c r="X71" s="16"/>
      <c r="Y71" s="297" t="str">
        <f t="shared" si="3"/>
        <v/>
      </c>
      <c r="Z71" s="297" t="str">
        <f t="shared" si="4"/>
        <v/>
      </c>
      <c r="AA71" s="16"/>
      <c r="AB71" s="297" t="str">
        <f t="shared" si="5"/>
        <v/>
      </c>
      <c r="AC71" s="298" t="str">
        <f t="shared" si="6"/>
        <v/>
      </c>
      <c r="AD71" s="16"/>
      <c r="AE71" s="297" t="str">
        <f t="shared" si="7"/>
        <v/>
      </c>
      <c r="AF71" s="298" t="str">
        <f t="shared" si="8"/>
        <v/>
      </c>
      <c r="AG71" s="16"/>
      <c r="AH71" s="297" t="str">
        <f t="shared" si="9"/>
        <v/>
      </c>
      <c r="AI71" s="298" t="str">
        <f t="shared" si="10"/>
        <v/>
      </c>
      <c r="AJ71" s="16"/>
      <c r="AK71" s="298" t="str">
        <f t="shared" si="11"/>
        <v/>
      </c>
      <c r="AL71" s="298" t="str">
        <f t="shared" si="12"/>
        <v/>
      </c>
      <c r="AM71" s="16"/>
      <c r="AN71" s="297" t="str">
        <f t="shared" si="13"/>
        <v/>
      </c>
      <c r="AO71" s="16"/>
      <c r="AP71" s="297" t="str">
        <f t="shared" si="14"/>
        <v/>
      </c>
      <c r="AQ71" s="299">
        <f t="shared" si="15"/>
        <v>0</v>
      </c>
      <c r="AR71" s="299">
        <f t="shared" si="16"/>
        <v>0</v>
      </c>
      <c r="AS71" s="300" t="str">
        <f t="shared" si="17"/>
        <v/>
      </c>
      <c r="AT71" s="301" t="str">
        <f>IF(COUNTIF(K71:R71,"F")&gt;0,"",IF(AS71="PASS",'Statement of Marks'!HF72,""))</f>
        <v/>
      </c>
      <c r="AU71" s="301" t="str">
        <f>IF(AS71="PASS",'Statement of Marks'!HG72,"")</f>
        <v/>
      </c>
    </row>
    <row r="72" spans="1:47">
      <c r="A72" s="284">
        <f>IF('Statement of Marks'!A73="","",'Statement of Marks'!A73)</f>
        <v>66</v>
      </c>
      <c r="B72" s="284" t="str">
        <f>IF('Statement of Marks'!B73="","",'Statement of Marks'!B73)</f>
        <v/>
      </c>
      <c r="C72" s="284" t="str">
        <f>IF('Statement of Marks'!C73="","",'Statement of Marks'!C73)</f>
        <v/>
      </c>
      <c r="D72" s="285" t="str">
        <f>IF('Statement of Marks'!D73="","",'Statement of Marks'!D73)</f>
        <v/>
      </c>
      <c r="E72" s="286" t="str">
        <f>IF('Statement of Marks'!E73="","",'Statement of Marks'!E73)</f>
        <v/>
      </c>
      <c r="F72" s="286" t="str">
        <f>IF('Statement of Marks'!F73="","",'Statement of Marks'!F73)</f>
        <v/>
      </c>
      <c r="G72" s="286" t="str">
        <f>IF('Statement of Marks'!G73="","",'Statement of Marks'!G73)</f>
        <v/>
      </c>
      <c r="H72" s="287" t="str">
        <f>IF('Statement of Marks'!GY73="","",'Statement of Marks'!GY73)</f>
        <v/>
      </c>
      <c r="I72" s="287" t="str">
        <f>IF('Statement of Marks'!HB73="","",'Statement of Marks'!HB73)</f>
        <v/>
      </c>
      <c r="J72" s="288" t="str">
        <f>IF('Statement of Marks'!HC73="","",'Statement of Marks'!HC73)</f>
        <v/>
      </c>
      <c r="K72" s="296" t="str">
        <f>IF(B72="","",'Statement of Marks'!FJ73)</f>
        <v/>
      </c>
      <c r="L72" s="296" t="str">
        <f>IF(B72="","",'Statement of Marks'!FM73)</f>
        <v/>
      </c>
      <c r="M72" s="296" t="str">
        <f>IF(B72="","",'Statement of Marks'!FP73)</f>
        <v/>
      </c>
      <c r="N72" s="296" t="str">
        <f>IF(B72="","",'Statement of Marks'!FW73)</f>
        <v/>
      </c>
      <c r="O72" s="296" t="str">
        <f>IF(B72="","",'Statement of Marks'!GD73)</f>
        <v/>
      </c>
      <c r="P72" s="296" t="str">
        <f>IF(B72="","",'Statement of Marks'!GK73)</f>
        <v/>
      </c>
      <c r="Q72" s="296" t="str">
        <f>IF(B72="","",'Statement of Marks'!GR73)</f>
        <v/>
      </c>
      <c r="R72" s="296" t="str">
        <f>IF(B72="","",'Statement of Marks'!GS73)</f>
        <v/>
      </c>
      <c r="S72" s="288" t="str">
        <f>IF(COUNTIF(K72:R72,"F")&gt;0,"",CONCATENATE('Statement of Marks'!GU73,'Statement of Marks'!GW73))</f>
        <v xml:space="preserve">           </v>
      </c>
      <c r="T72" s="289">
        <f t="shared" ref="T72:T135" si="18">IF(COUNTIF(K72:R72,"F")&gt;0,"",COUNTIF(K72:R72,"S")+COUNTIF(K72:R72,"RE")+COUNTIF(K72:R72,"REP"))</f>
        <v>0</v>
      </c>
      <c r="U72" s="16"/>
      <c r="V72" s="297" t="str">
        <f t="shared" ref="V72:V135" si="19">IF(U72="","",IF(OR(U72="AB",K72="RE"),U72,IF(AND(K72="S"),ROUNDUP(U72,0),)))</f>
        <v/>
      </c>
      <c r="W72" s="297" t="str">
        <f t="shared" ref="W72:W135" si="20">IF(U72="","",IF(OR(U72="AB",U72&lt;36%*$U$6),"F","P"))</f>
        <v/>
      </c>
      <c r="X72" s="16"/>
      <c r="Y72" s="297" t="str">
        <f t="shared" ref="Y72:Y135" si="21">IF(X72="","",IF(OR(X72="AB",L72="RE"),X72,IF(AND(L72="S"),ROUNDUP(X72,0),)))</f>
        <v/>
      </c>
      <c r="Z72" s="297" t="str">
        <f t="shared" ref="Z72:Z135" si="22">IF(X72="","",IF(OR(X72="AB",X72&lt;36%*$X$6),"F","P"))</f>
        <v/>
      </c>
      <c r="AA72" s="16"/>
      <c r="AB72" s="297" t="str">
        <f t="shared" ref="AB72:AB135" si="23">IF(AA72="","",IF(OR(AA72="AB",M72="RE"),AA72,IF(AND(M72="S"),ROUNDUP(AA72,0),)))</f>
        <v/>
      </c>
      <c r="AC72" s="298" t="str">
        <f t="shared" ref="AC72:AC135" si="24">IF(AA72="","",IF(OR(AA72="AB",AA72&lt;36%*$AA$6),"F","P"))</f>
        <v/>
      </c>
      <c r="AD72" s="16"/>
      <c r="AE72" s="297" t="str">
        <f t="shared" ref="AE72:AE135" si="25">IF(AD72="","",IF(OR(AD72="AB",N72="RE"),AD72,IF(AND(N72="S"),ROUNDUP(AD72,0),)))</f>
        <v/>
      </c>
      <c r="AF72" s="298" t="str">
        <f t="shared" ref="AF72:AF135" si="26">IF(AD72="","",IF(OR(AD72="AB",AD72&lt;36%*$AD$6),"F","P"))</f>
        <v/>
      </c>
      <c r="AG72" s="16"/>
      <c r="AH72" s="297" t="str">
        <f t="shared" ref="AH72:AH135" si="27">IF(AG72="","",IF(OR(AG72="AB",O72="RE"),AG72,IF(AND(O72="S"),ROUNDUP(AG72,0),)))</f>
        <v/>
      </c>
      <c r="AI72" s="298" t="str">
        <f t="shared" ref="AI72:AI135" si="28">IF(AG72="","",IF(OR(AG72="AB",AG72&lt;36%*$AG$6),"F","P"))</f>
        <v/>
      </c>
      <c r="AJ72" s="16"/>
      <c r="AK72" s="298" t="str">
        <f t="shared" ref="AK72:AK135" si="29">IF(AJ72="","",IF(OR(AJ72="AB",P72="RE"),AJ72,IF(AND(P72="S"),ROUNDUP(AJ72,0),)))</f>
        <v/>
      </c>
      <c r="AL72" s="298" t="str">
        <f t="shared" ref="AL72:AL135" si="30">IF(AJ72="","",IF(OR(AJ72="AB",AJ72&lt;36%*$AJ$6),"F","P"))</f>
        <v/>
      </c>
      <c r="AM72" s="16"/>
      <c r="AN72" s="297" t="str">
        <f t="shared" ref="AN72:AN135" si="31">IF(AM72="","",IF(OR(AM72="AB",AM72&lt;15),"F","P"))</f>
        <v/>
      </c>
      <c r="AO72" s="16"/>
      <c r="AP72" s="297" t="str">
        <f t="shared" ref="AP72:AP135" si="32">IF(AO72="","",IF(OR(AO72="AB",AO72&lt;36),"F","P"))</f>
        <v/>
      </c>
      <c r="AQ72" s="299">
        <f t="shared" ref="AQ72:AQ135" si="33">IF(COUNTIF(K72:Q72,"F")&gt;0,"",COUNTA(U72,X72,AA72,AD72,AG72,AJ72,AM72))</f>
        <v>0</v>
      </c>
      <c r="AR72" s="299">
        <f t="shared" ref="AR72:AR135" si="34">IF(COUNTIF(K72:Q72,"F")&gt;0,"",COUNTIF(U72:AN72,"P"))</f>
        <v>0</v>
      </c>
      <c r="AS72" s="300" t="str">
        <f t="shared" ref="AS72:AS135" si="35">IF(AND(U72="",X72="",AA72="",AD72="",AG72="",AJ72="",AM72="",AO72=""),"",IF(COUNTIF(K72:R72,"F")&gt;0,"",IF(T72=0,"",IF(T72&gt;AQ72,H72,IF(T72&gt;AR72,"FAIL","PASS")))))</f>
        <v/>
      </c>
      <c r="AT72" s="301" t="str">
        <f>IF(COUNTIF(K72:R72,"F")&gt;0,"",IF(AS72="PASS",'Statement of Marks'!HF73,""))</f>
        <v/>
      </c>
      <c r="AU72" s="301" t="str">
        <f>IF(AS72="PASS",'Statement of Marks'!HG73,"")</f>
        <v/>
      </c>
    </row>
    <row r="73" spans="1:47">
      <c r="A73" s="284">
        <f>IF('Statement of Marks'!A74="","",'Statement of Marks'!A74)</f>
        <v>67</v>
      </c>
      <c r="B73" s="284" t="str">
        <f>IF('Statement of Marks'!B74="","",'Statement of Marks'!B74)</f>
        <v/>
      </c>
      <c r="C73" s="284" t="str">
        <f>IF('Statement of Marks'!C74="","",'Statement of Marks'!C74)</f>
        <v/>
      </c>
      <c r="D73" s="285" t="str">
        <f>IF('Statement of Marks'!D74="","",'Statement of Marks'!D74)</f>
        <v/>
      </c>
      <c r="E73" s="286" t="str">
        <f>IF('Statement of Marks'!E74="","",'Statement of Marks'!E74)</f>
        <v/>
      </c>
      <c r="F73" s="286" t="str">
        <f>IF('Statement of Marks'!F74="","",'Statement of Marks'!F74)</f>
        <v/>
      </c>
      <c r="G73" s="286" t="str">
        <f>IF('Statement of Marks'!G74="","",'Statement of Marks'!G74)</f>
        <v/>
      </c>
      <c r="H73" s="287" t="str">
        <f>IF('Statement of Marks'!GY74="","",'Statement of Marks'!GY74)</f>
        <v/>
      </c>
      <c r="I73" s="287" t="str">
        <f>IF('Statement of Marks'!HB74="","",'Statement of Marks'!HB74)</f>
        <v/>
      </c>
      <c r="J73" s="288" t="str">
        <f>IF('Statement of Marks'!HC74="","",'Statement of Marks'!HC74)</f>
        <v/>
      </c>
      <c r="K73" s="296" t="str">
        <f>IF(B73="","",'Statement of Marks'!FJ74)</f>
        <v/>
      </c>
      <c r="L73" s="296" t="str">
        <f>IF(B73="","",'Statement of Marks'!FM74)</f>
        <v/>
      </c>
      <c r="M73" s="296" t="str">
        <f>IF(B73="","",'Statement of Marks'!FP74)</f>
        <v/>
      </c>
      <c r="N73" s="296" t="str">
        <f>IF(B73="","",'Statement of Marks'!FW74)</f>
        <v/>
      </c>
      <c r="O73" s="296" t="str">
        <f>IF(B73="","",'Statement of Marks'!GD74)</f>
        <v/>
      </c>
      <c r="P73" s="296" t="str">
        <f>IF(B73="","",'Statement of Marks'!GK74)</f>
        <v/>
      </c>
      <c r="Q73" s="296" t="str">
        <f>IF(B73="","",'Statement of Marks'!GR74)</f>
        <v/>
      </c>
      <c r="R73" s="296" t="str">
        <f>IF(B73="","",'Statement of Marks'!GS74)</f>
        <v/>
      </c>
      <c r="S73" s="288" t="str">
        <f>IF(COUNTIF(K73:R73,"F")&gt;0,"",CONCATENATE('Statement of Marks'!GU74,'Statement of Marks'!GW74))</f>
        <v xml:space="preserve">           </v>
      </c>
      <c r="T73" s="289">
        <f t="shared" si="18"/>
        <v>0</v>
      </c>
      <c r="U73" s="16"/>
      <c r="V73" s="297" t="str">
        <f t="shared" si="19"/>
        <v/>
      </c>
      <c r="W73" s="297" t="str">
        <f t="shared" si="20"/>
        <v/>
      </c>
      <c r="X73" s="16"/>
      <c r="Y73" s="297" t="str">
        <f t="shared" si="21"/>
        <v/>
      </c>
      <c r="Z73" s="297" t="str">
        <f t="shared" si="22"/>
        <v/>
      </c>
      <c r="AA73" s="16"/>
      <c r="AB73" s="297" t="str">
        <f t="shared" si="23"/>
        <v/>
      </c>
      <c r="AC73" s="298" t="str">
        <f t="shared" si="24"/>
        <v/>
      </c>
      <c r="AD73" s="16"/>
      <c r="AE73" s="297" t="str">
        <f t="shared" si="25"/>
        <v/>
      </c>
      <c r="AF73" s="298" t="str">
        <f t="shared" si="26"/>
        <v/>
      </c>
      <c r="AG73" s="16"/>
      <c r="AH73" s="297" t="str">
        <f t="shared" si="27"/>
        <v/>
      </c>
      <c r="AI73" s="298" t="str">
        <f t="shared" si="28"/>
        <v/>
      </c>
      <c r="AJ73" s="16"/>
      <c r="AK73" s="298" t="str">
        <f t="shared" si="29"/>
        <v/>
      </c>
      <c r="AL73" s="298" t="str">
        <f t="shared" si="30"/>
        <v/>
      </c>
      <c r="AM73" s="16"/>
      <c r="AN73" s="297" t="str">
        <f t="shared" si="31"/>
        <v/>
      </c>
      <c r="AO73" s="16"/>
      <c r="AP73" s="297" t="str">
        <f t="shared" si="32"/>
        <v/>
      </c>
      <c r="AQ73" s="299">
        <f t="shared" si="33"/>
        <v>0</v>
      </c>
      <c r="AR73" s="299">
        <f t="shared" si="34"/>
        <v>0</v>
      </c>
      <c r="AS73" s="300" t="str">
        <f t="shared" si="35"/>
        <v/>
      </c>
      <c r="AT73" s="301" t="str">
        <f>IF(COUNTIF(K73:R73,"F")&gt;0,"",IF(AS73="PASS",'Statement of Marks'!HF74,""))</f>
        <v/>
      </c>
      <c r="AU73" s="301" t="str">
        <f>IF(AS73="PASS",'Statement of Marks'!HG74,"")</f>
        <v/>
      </c>
    </row>
    <row r="74" spans="1:47">
      <c r="A74" s="284">
        <f>IF('Statement of Marks'!A75="","",'Statement of Marks'!A75)</f>
        <v>68</v>
      </c>
      <c r="B74" s="284" t="str">
        <f>IF('Statement of Marks'!B75="","",'Statement of Marks'!B75)</f>
        <v/>
      </c>
      <c r="C74" s="284" t="str">
        <f>IF('Statement of Marks'!C75="","",'Statement of Marks'!C75)</f>
        <v/>
      </c>
      <c r="D74" s="285" t="str">
        <f>IF('Statement of Marks'!D75="","",'Statement of Marks'!D75)</f>
        <v/>
      </c>
      <c r="E74" s="286" t="str">
        <f>IF('Statement of Marks'!E75="","",'Statement of Marks'!E75)</f>
        <v/>
      </c>
      <c r="F74" s="286" t="str">
        <f>IF('Statement of Marks'!F75="","",'Statement of Marks'!F75)</f>
        <v/>
      </c>
      <c r="G74" s="286" t="str">
        <f>IF('Statement of Marks'!G75="","",'Statement of Marks'!G75)</f>
        <v/>
      </c>
      <c r="H74" s="287" t="str">
        <f>IF('Statement of Marks'!GY75="","",'Statement of Marks'!GY75)</f>
        <v/>
      </c>
      <c r="I74" s="287" t="str">
        <f>IF('Statement of Marks'!HB75="","",'Statement of Marks'!HB75)</f>
        <v/>
      </c>
      <c r="J74" s="288" t="str">
        <f>IF('Statement of Marks'!HC75="","",'Statement of Marks'!HC75)</f>
        <v/>
      </c>
      <c r="K74" s="296" t="str">
        <f>IF(B74="","",'Statement of Marks'!FJ75)</f>
        <v/>
      </c>
      <c r="L74" s="296" t="str">
        <f>IF(B74="","",'Statement of Marks'!FM75)</f>
        <v/>
      </c>
      <c r="M74" s="296" t="str">
        <f>IF(B74="","",'Statement of Marks'!FP75)</f>
        <v/>
      </c>
      <c r="N74" s="296" t="str">
        <f>IF(B74="","",'Statement of Marks'!FW75)</f>
        <v/>
      </c>
      <c r="O74" s="296" t="str">
        <f>IF(B74="","",'Statement of Marks'!GD75)</f>
        <v/>
      </c>
      <c r="P74" s="296" t="str">
        <f>IF(B74="","",'Statement of Marks'!GK75)</f>
        <v/>
      </c>
      <c r="Q74" s="296" t="str">
        <f>IF(B74="","",'Statement of Marks'!GR75)</f>
        <v/>
      </c>
      <c r="R74" s="296" t="str">
        <f>IF(B74="","",'Statement of Marks'!GS75)</f>
        <v/>
      </c>
      <c r="S74" s="288" t="str">
        <f>IF(COUNTIF(K74:R74,"F")&gt;0,"",CONCATENATE('Statement of Marks'!GU75,'Statement of Marks'!GW75))</f>
        <v xml:space="preserve">           </v>
      </c>
      <c r="T74" s="289">
        <f t="shared" si="18"/>
        <v>0</v>
      </c>
      <c r="U74" s="16"/>
      <c r="V74" s="297" t="str">
        <f t="shared" si="19"/>
        <v/>
      </c>
      <c r="W74" s="297" t="str">
        <f t="shared" si="20"/>
        <v/>
      </c>
      <c r="X74" s="16"/>
      <c r="Y74" s="297" t="str">
        <f t="shared" si="21"/>
        <v/>
      </c>
      <c r="Z74" s="297" t="str">
        <f t="shared" si="22"/>
        <v/>
      </c>
      <c r="AA74" s="16"/>
      <c r="AB74" s="297" t="str">
        <f t="shared" si="23"/>
        <v/>
      </c>
      <c r="AC74" s="298" t="str">
        <f t="shared" si="24"/>
        <v/>
      </c>
      <c r="AD74" s="16"/>
      <c r="AE74" s="297" t="str">
        <f t="shared" si="25"/>
        <v/>
      </c>
      <c r="AF74" s="298" t="str">
        <f t="shared" si="26"/>
        <v/>
      </c>
      <c r="AG74" s="16"/>
      <c r="AH74" s="297" t="str">
        <f t="shared" si="27"/>
        <v/>
      </c>
      <c r="AI74" s="298" t="str">
        <f t="shared" si="28"/>
        <v/>
      </c>
      <c r="AJ74" s="16"/>
      <c r="AK74" s="298" t="str">
        <f t="shared" si="29"/>
        <v/>
      </c>
      <c r="AL74" s="298" t="str">
        <f t="shared" si="30"/>
        <v/>
      </c>
      <c r="AM74" s="16"/>
      <c r="AN74" s="297" t="str">
        <f t="shared" si="31"/>
        <v/>
      </c>
      <c r="AO74" s="16"/>
      <c r="AP74" s="297" t="str">
        <f t="shared" si="32"/>
        <v/>
      </c>
      <c r="AQ74" s="299">
        <f t="shared" si="33"/>
        <v>0</v>
      </c>
      <c r="AR74" s="299">
        <f t="shared" si="34"/>
        <v>0</v>
      </c>
      <c r="AS74" s="300" t="str">
        <f t="shared" si="35"/>
        <v/>
      </c>
      <c r="AT74" s="301" t="str">
        <f>IF(COUNTIF(K74:R74,"F")&gt;0,"",IF(AS74="PASS",'Statement of Marks'!HF75,""))</f>
        <v/>
      </c>
      <c r="AU74" s="301" t="str">
        <f>IF(AS74="PASS",'Statement of Marks'!HG75,"")</f>
        <v/>
      </c>
    </row>
    <row r="75" spans="1:47">
      <c r="A75" s="284">
        <f>IF('Statement of Marks'!A76="","",'Statement of Marks'!A76)</f>
        <v>69</v>
      </c>
      <c r="B75" s="284" t="str">
        <f>IF('Statement of Marks'!B76="","",'Statement of Marks'!B76)</f>
        <v/>
      </c>
      <c r="C75" s="284" t="str">
        <f>IF('Statement of Marks'!C76="","",'Statement of Marks'!C76)</f>
        <v/>
      </c>
      <c r="D75" s="285" t="str">
        <f>IF('Statement of Marks'!D76="","",'Statement of Marks'!D76)</f>
        <v/>
      </c>
      <c r="E75" s="286" t="str">
        <f>IF('Statement of Marks'!E76="","",'Statement of Marks'!E76)</f>
        <v/>
      </c>
      <c r="F75" s="286" t="str">
        <f>IF('Statement of Marks'!F76="","",'Statement of Marks'!F76)</f>
        <v/>
      </c>
      <c r="G75" s="286" t="str">
        <f>IF('Statement of Marks'!G76="","",'Statement of Marks'!G76)</f>
        <v/>
      </c>
      <c r="H75" s="287" t="str">
        <f>IF('Statement of Marks'!GY76="","",'Statement of Marks'!GY76)</f>
        <v/>
      </c>
      <c r="I75" s="287" t="str">
        <f>IF('Statement of Marks'!HB76="","",'Statement of Marks'!HB76)</f>
        <v/>
      </c>
      <c r="J75" s="288" t="str">
        <f>IF('Statement of Marks'!HC76="","",'Statement of Marks'!HC76)</f>
        <v/>
      </c>
      <c r="K75" s="296" t="str">
        <f>IF(B75="","",'Statement of Marks'!FJ76)</f>
        <v/>
      </c>
      <c r="L75" s="296" t="str">
        <f>IF(B75="","",'Statement of Marks'!FM76)</f>
        <v/>
      </c>
      <c r="M75" s="296" t="str">
        <f>IF(B75="","",'Statement of Marks'!FP76)</f>
        <v/>
      </c>
      <c r="N75" s="296" t="str">
        <f>IF(B75="","",'Statement of Marks'!FW76)</f>
        <v/>
      </c>
      <c r="O75" s="296" t="str">
        <f>IF(B75="","",'Statement of Marks'!GD76)</f>
        <v/>
      </c>
      <c r="P75" s="296" t="str">
        <f>IF(B75="","",'Statement of Marks'!GK76)</f>
        <v/>
      </c>
      <c r="Q75" s="296" t="str">
        <f>IF(B75="","",'Statement of Marks'!GR76)</f>
        <v/>
      </c>
      <c r="R75" s="296" t="str">
        <f>IF(B75="","",'Statement of Marks'!GS76)</f>
        <v/>
      </c>
      <c r="S75" s="288" t="str">
        <f>IF(COUNTIF(K75:R75,"F")&gt;0,"",CONCATENATE('Statement of Marks'!GU76,'Statement of Marks'!GW76))</f>
        <v xml:space="preserve">           </v>
      </c>
      <c r="T75" s="289">
        <f t="shared" si="18"/>
        <v>0</v>
      </c>
      <c r="U75" s="16"/>
      <c r="V75" s="297" t="str">
        <f t="shared" si="19"/>
        <v/>
      </c>
      <c r="W75" s="297" t="str">
        <f t="shared" si="20"/>
        <v/>
      </c>
      <c r="X75" s="16"/>
      <c r="Y75" s="297" t="str">
        <f t="shared" si="21"/>
        <v/>
      </c>
      <c r="Z75" s="297" t="str">
        <f t="shared" si="22"/>
        <v/>
      </c>
      <c r="AA75" s="16"/>
      <c r="AB75" s="297" t="str">
        <f t="shared" si="23"/>
        <v/>
      </c>
      <c r="AC75" s="298" t="str">
        <f t="shared" si="24"/>
        <v/>
      </c>
      <c r="AD75" s="16"/>
      <c r="AE75" s="297" t="str">
        <f t="shared" si="25"/>
        <v/>
      </c>
      <c r="AF75" s="298" t="str">
        <f t="shared" si="26"/>
        <v/>
      </c>
      <c r="AG75" s="16"/>
      <c r="AH75" s="297" t="str">
        <f t="shared" si="27"/>
        <v/>
      </c>
      <c r="AI75" s="298" t="str">
        <f t="shared" si="28"/>
        <v/>
      </c>
      <c r="AJ75" s="16"/>
      <c r="AK75" s="298" t="str">
        <f t="shared" si="29"/>
        <v/>
      </c>
      <c r="AL75" s="298" t="str">
        <f t="shared" si="30"/>
        <v/>
      </c>
      <c r="AM75" s="16"/>
      <c r="AN75" s="297" t="str">
        <f t="shared" si="31"/>
        <v/>
      </c>
      <c r="AO75" s="16"/>
      <c r="AP75" s="297" t="str">
        <f t="shared" si="32"/>
        <v/>
      </c>
      <c r="AQ75" s="299">
        <f t="shared" si="33"/>
        <v>0</v>
      </c>
      <c r="AR75" s="299">
        <f t="shared" si="34"/>
        <v>0</v>
      </c>
      <c r="AS75" s="300" t="str">
        <f t="shared" si="35"/>
        <v/>
      </c>
      <c r="AT75" s="301" t="str">
        <f>IF(COUNTIF(K75:R75,"F")&gt;0,"",IF(AS75="PASS",'Statement of Marks'!HF76,""))</f>
        <v/>
      </c>
      <c r="AU75" s="301" t="str">
        <f>IF(AS75="PASS",'Statement of Marks'!HG76,"")</f>
        <v/>
      </c>
    </row>
    <row r="76" spans="1:47">
      <c r="A76" s="284">
        <f>IF('Statement of Marks'!A77="","",'Statement of Marks'!A77)</f>
        <v>70</v>
      </c>
      <c r="B76" s="284" t="str">
        <f>IF('Statement of Marks'!B77="","",'Statement of Marks'!B77)</f>
        <v/>
      </c>
      <c r="C76" s="284" t="str">
        <f>IF('Statement of Marks'!C77="","",'Statement of Marks'!C77)</f>
        <v/>
      </c>
      <c r="D76" s="285" t="str">
        <f>IF('Statement of Marks'!D77="","",'Statement of Marks'!D77)</f>
        <v/>
      </c>
      <c r="E76" s="286" t="str">
        <f>IF('Statement of Marks'!E77="","",'Statement of Marks'!E77)</f>
        <v/>
      </c>
      <c r="F76" s="286" t="str">
        <f>IF('Statement of Marks'!F77="","",'Statement of Marks'!F77)</f>
        <v/>
      </c>
      <c r="G76" s="286" t="str">
        <f>IF('Statement of Marks'!G77="","",'Statement of Marks'!G77)</f>
        <v/>
      </c>
      <c r="H76" s="287" t="str">
        <f>IF('Statement of Marks'!GY77="","",'Statement of Marks'!GY77)</f>
        <v/>
      </c>
      <c r="I76" s="287" t="str">
        <f>IF('Statement of Marks'!HB77="","",'Statement of Marks'!HB77)</f>
        <v/>
      </c>
      <c r="J76" s="288" t="str">
        <f>IF('Statement of Marks'!HC77="","",'Statement of Marks'!HC77)</f>
        <v/>
      </c>
      <c r="K76" s="296" t="str">
        <f>IF(B76="","",'Statement of Marks'!FJ77)</f>
        <v/>
      </c>
      <c r="L76" s="296" t="str">
        <f>IF(B76="","",'Statement of Marks'!FM77)</f>
        <v/>
      </c>
      <c r="M76" s="296" t="str">
        <f>IF(B76="","",'Statement of Marks'!FP77)</f>
        <v/>
      </c>
      <c r="N76" s="296" t="str">
        <f>IF(B76="","",'Statement of Marks'!FW77)</f>
        <v/>
      </c>
      <c r="O76" s="296" t="str">
        <f>IF(B76="","",'Statement of Marks'!GD77)</f>
        <v/>
      </c>
      <c r="P76" s="296" t="str">
        <f>IF(B76="","",'Statement of Marks'!GK77)</f>
        <v/>
      </c>
      <c r="Q76" s="296" t="str">
        <f>IF(B76="","",'Statement of Marks'!GR77)</f>
        <v/>
      </c>
      <c r="R76" s="296" t="str">
        <f>IF(B76="","",'Statement of Marks'!GS77)</f>
        <v/>
      </c>
      <c r="S76" s="288" t="str">
        <f>IF(COUNTIF(K76:R76,"F")&gt;0,"",CONCATENATE('Statement of Marks'!GU77,'Statement of Marks'!GW77))</f>
        <v xml:space="preserve">           </v>
      </c>
      <c r="T76" s="289">
        <f t="shared" si="18"/>
        <v>0</v>
      </c>
      <c r="U76" s="16"/>
      <c r="V76" s="297" t="str">
        <f t="shared" si="19"/>
        <v/>
      </c>
      <c r="W76" s="297" t="str">
        <f t="shared" si="20"/>
        <v/>
      </c>
      <c r="X76" s="16"/>
      <c r="Y76" s="297" t="str">
        <f t="shared" si="21"/>
        <v/>
      </c>
      <c r="Z76" s="297" t="str">
        <f t="shared" si="22"/>
        <v/>
      </c>
      <c r="AA76" s="16"/>
      <c r="AB76" s="297" t="str">
        <f t="shared" si="23"/>
        <v/>
      </c>
      <c r="AC76" s="298" t="str">
        <f t="shared" si="24"/>
        <v/>
      </c>
      <c r="AD76" s="16"/>
      <c r="AE76" s="297" t="str">
        <f t="shared" si="25"/>
        <v/>
      </c>
      <c r="AF76" s="298" t="str">
        <f t="shared" si="26"/>
        <v/>
      </c>
      <c r="AG76" s="16"/>
      <c r="AH76" s="297" t="str">
        <f t="shared" si="27"/>
        <v/>
      </c>
      <c r="AI76" s="298" t="str">
        <f t="shared" si="28"/>
        <v/>
      </c>
      <c r="AJ76" s="16"/>
      <c r="AK76" s="298" t="str">
        <f t="shared" si="29"/>
        <v/>
      </c>
      <c r="AL76" s="298" t="str">
        <f t="shared" si="30"/>
        <v/>
      </c>
      <c r="AM76" s="16"/>
      <c r="AN76" s="297" t="str">
        <f t="shared" si="31"/>
        <v/>
      </c>
      <c r="AO76" s="16"/>
      <c r="AP76" s="297" t="str">
        <f t="shared" si="32"/>
        <v/>
      </c>
      <c r="AQ76" s="299">
        <f t="shared" si="33"/>
        <v>0</v>
      </c>
      <c r="AR76" s="299">
        <f t="shared" si="34"/>
        <v>0</v>
      </c>
      <c r="AS76" s="300" t="str">
        <f t="shared" si="35"/>
        <v/>
      </c>
      <c r="AT76" s="301" t="str">
        <f>IF(COUNTIF(K76:R76,"F")&gt;0,"",IF(AS76="PASS",'Statement of Marks'!HF77,""))</f>
        <v/>
      </c>
      <c r="AU76" s="301" t="str">
        <f>IF(AS76="PASS",'Statement of Marks'!HG77,"")</f>
        <v/>
      </c>
    </row>
    <row r="77" spans="1:47">
      <c r="A77" s="284">
        <f>IF('Statement of Marks'!A78="","",'Statement of Marks'!A78)</f>
        <v>71</v>
      </c>
      <c r="B77" s="284" t="str">
        <f>IF('Statement of Marks'!B78="","",'Statement of Marks'!B78)</f>
        <v/>
      </c>
      <c r="C77" s="284" t="str">
        <f>IF('Statement of Marks'!C78="","",'Statement of Marks'!C78)</f>
        <v/>
      </c>
      <c r="D77" s="285" t="str">
        <f>IF('Statement of Marks'!D78="","",'Statement of Marks'!D78)</f>
        <v/>
      </c>
      <c r="E77" s="286" t="str">
        <f>IF('Statement of Marks'!E78="","",'Statement of Marks'!E78)</f>
        <v/>
      </c>
      <c r="F77" s="286" t="str">
        <f>IF('Statement of Marks'!F78="","",'Statement of Marks'!F78)</f>
        <v/>
      </c>
      <c r="G77" s="286" t="str">
        <f>IF('Statement of Marks'!G78="","",'Statement of Marks'!G78)</f>
        <v/>
      </c>
      <c r="H77" s="287" t="str">
        <f>IF('Statement of Marks'!GY78="","",'Statement of Marks'!GY78)</f>
        <v/>
      </c>
      <c r="I77" s="287" t="str">
        <f>IF('Statement of Marks'!HB78="","",'Statement of Marks'!HB78)</f>
        <v/>
      </c>
      <c r="J77" s="288" t="str">
        <f>IF('Statement of Marks'!HC78="","",'Statement of Marks'!HC78)</f>
        <v/>
      </c>
      <c r="K77" s="296" t="str">
        <f>IF(B77="","",'Statement of Marks'!FJ78)</f>
        <v/>
      </c>
      <c r="L77" s="296" t="str">
        <f>IF(B77="","",'Statement of Marks'!FM78)</f>
        <v/>
      </c>
      <c r="M77" s="296" t="str">
        <f>IF(B77="","",'Statement of Marks'!FP78)</f>
        <v/>
      </c>
      <c r="N77" s="296" t="str">
        <f>IF(B77="","",'Statement of Marks'!FW78)</f>
        <v/>
      </c>
      <c r="O77" s="296" t="str">
        <f>IF(B77="","",'Statement of Marks'!GD78)</f>
        <v/>
      </c>
      <c r="P77" s="296" t="str">
        <f>IF(B77="","",'Statement of Marks'!GK78)</f>
        <v/>
      </c>
      <c r="Q77" s="296" t="str">
        <f>IF(B77="","",'Statement of Marks'!GR78)</f>
        <v/>
      </c>
      <c r="R77" s="296" t="str">
        <f>IF(B77="","",'Statement of Marks'!GS78)</f>
        <v/>
      </c>
      <c r="S77" s="288" t="str">
        <f>IF(COUNTIF(K77:R77,"F")&gt;0,"",CONCATENATE('Statement of Marks'!GU78,'Statement of Marks'!GW78))</f>
        <v xml:space="preserve">           </v>
      </c>
      <c r="T77" s="289">
        <f t="shared" si="18"/>
        <v>0</v>
      </c>
      <c r="U77" s="16"/>
      <c r="V77" s="297" t="str">
        <f t="shared" si="19"/>
        <v/>
      </c>
      <c r="W77" s="297" t="str">
        <f t="shared" si="20"/>
        <v/>
      </c>
      <c r="X77" s="16"/>
      <c r="Y77" s="297" t="str">
        <f t="shared" si="21"/>
        <v/>
      </c>
      <c r="Z77" s="297" t="str">
        <f t="shared" si="22"/>
        <v/>
      </c>
      <c r="AA77" s="16"/>
      <c r="AB77" s="297" t="str">
        <f t="shared" si="23"/>
        <v/>
      </c>
      <c r="AC77" s="298" t="str">
        <f t="shared" si="24"/>
        <v/>
      </c>
      <c r="AD77" s="16"/>
      <c r="AE77" s="297" t="str">
        <f t="shared" si="25"/>
        <v/>
      </c>
      <c r="AF77" s="298" t="str">
        <f t="shared" si="26"/>
        <v/>
      </c>
      <c r="AG77" s="16"/>
      <c r="AH77" s="297" t="str">
        <f t="shared" si="27"/>
        <v/>
      </c>
      <c r="AI77" s="298" t="str">
        <f t="shared" si="28"/>
        <v/>
      </c>
      <c r="AJ77" s="16"/>
      <c r="AK77" s="298" t="str">
        <f t="shared" si="29"/>
        <v/>
      </c>
      <c r="AL77" s="298" t="str">
        <f t="shared" si="30"/>
        <v/>
      </c>
      <c r="AM77" s="16"/>
      <c r="AN77" s="297" t="str">
        <f t="shared" si="31"/>
        <v/>
      </c>
      <c r="AO77" s="16"/>
      <c r="AP77" s="297" t="str">
        <f t="shared" si="32"/>
        <v/>
      </c>
      <c r="AQ77" s="299">
        <f t="shared" si="33"/>
        <v>0</v>
      </c>
      <c r="AR77" s="299">
        <f t="shared" si="34"/>
        <v>0</v>
      </c>
      <c r="AS77" s="300" t="str">
        <f t="shared" si="35"/>
        <v/>
      </c>
      <c r="AT77" s="301" t="str">
        <f>IF(COUNTIF(K77:R77,"F")&gt;0,"",IF(AS77="PASS",'Statement of Marks'!HF78,""))</f>
        <v/>
      </c>
      <c r="AU77" s="301" t="str">
        <f>IF(AS77="PASS",'Statement of Marks'!HG78,"")</f>
        <v/>
      </c>
    </row>
    <row r="78" spans="1:47">
      <c r="A78" s="284">
        <f>IF('Statement of Marks'!A79="","",'Statement of Marks'!A79)</f>
        <v>72</v>
      </c>
      <c r="B78" s="284" t="str">
        <f>IF('Statement of Marks'!B79="","",'Statement of Marks'!B79)</f>
        <v/>
      </c>
      <c r="C78" s="284" t="str">
        <f>IF('Statement of Marks'!C79="","",'Statement of Marks'!C79)</f>
        <v/>
      </c>
      <c r="D78" s="285" t="str">
        <f>IF('Statement of Marks'!D79="","",'Statement of Marks'!D79)</f>
        <v/>
      </c>
      <c r="E78" s="286" t="str">
        <f>IF('Statement of Marks'!E79="","",'Statement of Marks'!E79)</f>
        <v/>
      </c>
      <c r="F78" s="286" t="str">
        <f>IF('Statement of Marks'!F79="","",'Statement of Marks'!F79)</f>
        <v/>
      </c>
      <c r="G78" s="286" t="str">
        <f>IF('Statement of Marks'!G79="","",'Statement of Marks'!G79)</f>
        <v/>
      </c>
      <c r="H78" s="287" t="str">
        <f>IF('Statement of Marks'!GY79="","",'Statement of Marks'!GY79)</f>
        <v/>
      </c>
      <c r="I78" s="287" t="str">
        <f>IF('Statement of Marks'!HB79="","",'Statement of Marks'!HB79)</f>
        <v/>
      </c>
      <c r="J78" s="288" t="str">
        <f>IF('Statement of Marks'!HC79="","",'Statement of Marks'!HC79)</f>
        <v/>
      </c>
      <c r="K78" s="296" t="str">
        <f>IF(B78="","",'Statement of Marks'!FJ79)</f>
        <v/>
      </c>
      <c r="L78" s="296" t="str">
        <f>IF(B78="","",'Statement of Marks'!FM79)</f>
        <v/>
      </c>
      <c r="M78" s="296" t="str">
        <f>IF(B78="","",'Statement of Marks'!FP79)</f>
        <v/>
      </c>
      <c r="N78" s="296" t="str">
        <f>IF(B78="","",'Statement of Marks'!FW79)</f>
        <v/>
      </c>
      <c r="O78" s="296" t="str">
        <f>IF(B78="","",'Statement of Marks'!GD79)</f>
        <v/>
      </c>
      <c r="P78" s="296" t="str">
        <f>IF(B78="","",'Statement of Marks'!GK79)</f>
        <v/>
      </c>
      <c r="Q78" s="296" t="str">
        <f>IF(B78="","",'Statement of Marks'!GR79)</f>
        <v/>
      </c>
      <c r="R78" s="296" t="str">
        <f>IF(B78="","",'Statement of Marks'!GS79)</f>
        <v/>
      </c>
      <c r="S78" s="288" t="str">
        <f>IF(COUNTIF(K78:R78,"F")&gt;0,"",CONCATENATE('Statement of Marks'!GU79,'Statement of Marks'!GW79))</f>
        <v xml:space="preserve">           </v>
      </c>
      <c r="T78" s="289">
        <f t="shared" si="18"/>
        <v>0</v>
      </c>
      <c r="U78" s="16"/>
      <c r="V78" s="297" t="str">
        <f t="shared" si="19"/>
        <v/>
      </c>
      <c r="W78" s="297" t="str">
        <f t="shared" si="20"/>
        <v/>
      </c>
      <c r="X78" s="16"/>
      <c r="Y78" s="297" t="str">
        <f t="shared" si="21"/>
        <v/>
      </c>
      <c r="Z78" s="297" t="str">
        <f t="shared" si="22"/>
        <v/>
      </c>
      <c r="AA78" s="16"/>
      <c r="AB78" s="297" t="str">
        <f t="shared" si="23"/>
        <v/>
      </c>
      <c r="AC78" s="298" t="str">
        <f t="shared" si="24"/>
        <v/>
      </c>
      <c r="AD78" s="16"/>
      <c r="AE78" s="297" t="str">
        <f t="shared" si="25"/>
        <v/>
      </c>
      <c r="AF78" s="298" t="str">
        <f t="shared" si="26"/>
        <v/>
      </c>
      <c r="AG78" s="16"/>
      <c r="AH78" s="297" t="str">
        <f t="shared" si="27"/>
        <v/>
      </c>
      <c r="AI78" s="298" t="str">
        <f t="shared" si="28"/>
        <v/>
      </c>
      <c r="AJ78" s="16"/>
      <c r="AK78" s="298" t="str">
        <f t="shared" si="29"/>
        <v/>
      </c>
      <c r="AL78" s="298" t="str">
        <f t="shared" si="30"/>
        <v/>
      </c>
      <c r="AM78" s="16"/>
      <c r="AN78" s="297" t="str">
        <f t="shared" si="31"/>
        <v/>
      </c>
      <c r="AO78" s="16"/>
      <c r="AP78" s="297" t="str">
        <f t="shared" si="32"/>
        <v/>
      </c>
      <c r="AQ78" s="299">
        <f t="shared" si="33"/>
        <v>0</v>
      </c>
      <c r="AR78" s="299">
        <f t="shared" si="34"/>
        <v>0</v>
      </c>
      <c r="AS78" s="300" t="str">
        <f t="shared" si="35"/>
        <v/>
      </c>
      <c r="AT78" s="301" t="str">
        <f>IF(COUNTIF(K78:R78,"F")&gt;0,"",IF(AS78="PASS",'Statement of Marks'!HF79,""))</f>
        <v/>
      </c>
      <c r="AU78" s="301" t="str">
        <f>IF(AS78="PASS",'Statement of Marks'!HG79,"")</f>
        <v/>
      </c>
    </row>
    <row r="79" spans="1:47">
      <c r="A79" s="284">
        <f>IF('Statement of Marks'!A80="","",'Statement of Marks'!A80)</f>
        <v>73</v>
      </c>
      <c r="B79" s="284" t="str">
        <f>IF('Statement of Marks'!B80="","",'Statement of Marks'!B80)</f>
        <v/>
      </c>
      <c r="C79" s="284" t="str">
        <f>IF('Statement of Marks'!C80="","",'Statement of Marks'!C80)</f>
        <v/>
      </c>
      <c r="D79" s="285" t="str">
        <f>IF('Statement of Marks'!D80="","",'Statement of Marks'!D80)</f>
        <v/>
      </c>
      <c r="E79" s="286" t="str">
        <f>IF('Statement of Marks'!E80="","",'Statement of Marks'!E80)</f>
        <v/>
      </c>
      <c r="F79" s="286" t="str">
        <f>IF('Statement of Marks'!F80="","",'Statement of Marks'!F80)</f>
        <v/>
      </c>
      <c r="G79" s="286" t="str">
        <f>IF('Statement of Marks'!G80="","",'Statement of Marks'!G80)</f>
        <v/>
      </c>
      <c r="H79" s="287" t="str">
        <f>IF('Statement of Marks'!GY80="","",'Statement of Marks'!GY80)</f>
        <v/>
      </c>
      <c r="I79" s="287" t="str">
        <f>IF('Statement of Marks'!HB80="","",'Statement of Marks'!HB80)</f>
        <v/>
      </c>
      <c r="J79" s="288" t="str">
        <f>IF('Statement of Marks'!HC80="","",'Statement of Marks'!HC80)</f>
        <v/>
      </c>
      <c r="K79" s="296" t="str">
        <f>IF(B79="","",'Statement of Marks'!FJ80)</f>
        <v/>
      </c>
      <c r="L79" s="296" t="str">
        <f>IF(B79="","",'Statement of Marks'!FM80)</f>
        <v/>
      </c>
      <c r="M79" s="296" t="str">
        <f>IF(B79="","",'Statement of Marks'!FP80)</f>
        <v/>
      </c>
      <c r="N79" s="296" t="str">
        <f>IF(B79="","",'Statement of Marks'!FW80)</f>
        <v/>
      </c>
      <c r="O79" s="296" t="str">
        <f>IF(B79="","",'Statement of Marks'!GD80)</f>
        <v/>
      </c>
      <c r="P79" s="296" t="str">
        <f>IF(B79="","",'Statement of Marks'!GK80)</f>
        <v/>
      </c>
      <c r="Q79" s="296" t="str">
        <f>IF(B79="","",'Statement of Marks'!GR80)</f>
        <v/>
      </c>
      <c r="R79" s="296" t="str">
        <f>IF(B79="","",'Statement of Marks'!GS80)</f>
        <v/>
      </c>
      <c r="S79" s="288" t="str">
        <f>IF(COUNTIF(K79:R79,"F")&gt;0,"",CONCATENATE('Statement of Marks'!GU80,'Statement of Marks'!GW80))</f>
        <v xml:space="preserve">           </v>
      </c>
      <c r="T79" s="289">
        <f t="shared" si="18"/>
        <v>0</v>
      </c>
      <c r="U79" s="16"/>
      <c r="V79" s="297" t="str">
        <f t="shared" si="19"/>
        <v/>
      </c>
      <c r="W79" s="297" t="str">
        <f t="shared" si="20"/>
        <v/>
      </c>
      <c r="X79" s="16"/>
      <c r="Y79" s="297" t="str">
        <f t="shared" si="21"/>
        <v/>
      </c>
      <c r="Z79" s="297" t="str">
        <f t="shared" si="22"/>
        <v/>
      </c>
      <c r="AA79" s="16"/>
      <c r="AB79" s="297" t="str">
        <f t="shared" si="23"/>
        <v/>
      </c>
      <c r="AC79" s="298" t="str">
        <f t="shared" si="24"/>
        <v/>
      </c>
      <c r="AD79" s="16"/>
      <c r="AE79" s="297" t="str">
        <f t="shared" si="25"/>
        <v/>
      </c>
      <c r="AF79" s="298" t="str">
        <f t="shared" si="26"/>
        <v/>
      </c>
      <c r="AG79" s="16"/>
      <c r="AH79" s="297" t="str">
        <f t="shared" si="27"/>
        <v/>
      </c>
      <c r="AI79" s="298" t="str">
        <f t="shared" si="28"/>
        <v/>
      </c>
      <c r="AJ79" s="16"/>
      <c r="AK79" s="298" t="str">
        <f t="shared" si="29"/>
        <v/>
      </c>
      <c r="AL79" s="298" t="str">
        <f t="shared" si="30"/>
        <v/>
      </c>
      <c r="AM79" s="16"/>
      <c r="AN79" s="297" t="str">
        <f t="shared" si="31"/>
        <v/>
      </c>
      <c r="AO79" s="16"/>
      <c r="AP79" s="297" t="str">
        <f t="shared" si="32"/>
        <v/>
      </c>
      <c r="AQ79" s="299">
        <f t="shared" si="33"/>
        <v>0</v>
      </c>
      <c r="AR79" s="299">
        <f t="shared" si="34"/>
        <v>0</v>
      </c>
      <c r="AS79" s="300" t="str">
        <f t="shared" si="35"/>
        <v/>
      </c>
      <c r="AT79" s="301" t="str">
        <f>IF(COUNTIF(K79:R79,"F")&gt;0,"",IF(AS79="PASS",'Statement of Marks'!HF80,""))</f>
        <v/>
      </c>
      <c r="AU79" s="301" t="str">
        <f>IF(AS79="PASS",'Statement of Marks'!HG80,"")</f>
        <v/>
      </c>
    </row>
    <row r="80" spans="1:47">
      <c r="A80" s="284">
        <f>IF('Statement of Marks'!A81="","",'Statement of Marks'!A81)</f>
        <v>74</v>
      </c>
      <c r="B80" s="284" t="str">
        <f>IF('Statement of Marks'!B81="","",'Statement of Marks'!B81)</f>
        <v/>
      </c>
      <c r="C80" s="284" t="str">
        <f>IF('Statement of Marks'!C81="","",'Statement of Marks'!C81)</f>
        <v/>
      </c>
      <c r="D80" s="285" t="str">
        <f>IF('Statement of Marks'!D81="","",'Statement of Marks'!D81)</f>
        <v/>
      </c>
      <c r="E80" s="286" t="str">
        <f>IF('Statement of Marks'!E81="","",'Statement of Marks'!E81)</f>
        <v/>
      </c>
      <c r="F80" s="286" t="str">
        <f>IF('Statement of Marks'!F81="","",'Statement of Marks'!F81)</f>
        <v/>
      </c>
      <c r="G80" s="286" t="str">
        <f>IF('Statement of Marks'!G81="","",'Statement of Marks'!G81)</f>
        <v/>
      </c>
      <c r="H80" s="287" t="str">
        <f>IF('Statement of Marks'!GY81="","",'Statement of Marks'!GY81)</f>
        <v/>
      </c>
      <c r="I80" s="287" t="str">
        <f>IF('Statement of Marks'!HB81="","",'Statement of Marks'!HB81)</f>
        <v/>
      </c>
      <c r="J80" s="288" t="str">
        <f>IF('Statement of Marks'!HC81="","",'Statement of Marks'!HC81)</f>
        <v/>
      </c>
      <c r="K80" s="296" t="str">
        <f>IF(B80="","",'Statement of Marks'!FJ81)</f>
        <v/>
      </c>
      <c r="L80" s="296" t="str">
        <f>IF(B80="","",'Statement of Marks'!FM81)</f>
        <v/>
      </c>
      <c r="M80" s="296" t="str">
        <f>IF(B80="","",'Statement of Marks'!FP81)</f>
        <v/>
      </c>
      <c r="N80" s="296" t="str">
        <f>IF(B80="","",'Statement of Marks'!FW81)</f>
        <v/>
      </c>
      <c r="O80" s="296" t="str">
        <f>IF(B80="","",'Statement of Marks'!GD81)</f>
        <v/>
      </c>
      <c r="P80" s="296" t="str">
        <f>IF(B80="","",'Statement of Marks'!GK81)</f>
        <v/>
      </c>
      <c r="Q80" s="296" t="str">
        <f>IF(B80="","",'Statement of Marks'!GR81)</f>
        <v/>
      </c>
      <c r="R80" s="296" t="str">
        <f>IF(B80="","",'Statement of Marks'!GS81)</f>
        <v/>
      </c>
      <c r="S80" s="288" t="str">
        <f>IF(COUNTIF(K80:R80,"F")&gt;0,"",CONCATENATE('Statement of Marks'!GU81,'Statement of Marks'!GW81))</f>
        <v xml:space="preserve">           </v>
      </c>
      <c r="T80" s="289">
        <f t="shared" si="18"/>
        <v>0</v>
      </c>
      <c r="U80" s="16"/>
      <c r="V80" s="297" t="str">
        <f t="shared" si="19"/>
        <v/>
      </c>
      <c r="W80" s="297" t="str">
        <f t="shared" si="20"/>
        <v/>
      </c>
      <c r="X80" s="16"/>
      <c r="Y80" s="297" t="str">
        <f t="shared" si="21"/>
        <v/>
      </c>
      <c r="Z80" s="297" t="str">
        <f t="shared" si="22"/>
        <v/>
      </c>
      <c r="AA80" s="16"/>
      <c r="AB80" s="297" t="str">
        <f t="shared" si="23"/>
        <v/>
      </c>
      <c r="AC80" s="298" t="str">
        <f t="shared" si="24"/>
        <v/>
      </c>
      <c r="AD80" s="16"/>
      <c r="AE80" s="297" t="str">
        <f t="shared" si="25"/>
        <v/>
      </c>
      <c r="AF80" s="298" t="str">
        <f t="shared" si="26"/>
        <v/>
      </c>
      <c r="AG80" s="16"/>
      <c r="AH80" s="297" t="str">
        <f t="shared" si="27"/>
        <v/>
      </c>
      <c r="AI80" s="298" t="str">
        <f t="shared" si="28"/>
        <v/>
      </c>
      <c r="AJ80" s="16"/>
      <c r="AK80" s="298" t="str">
        <f t="shared" si="29"/>
        <v/>
      </c>
      <c r="AL80" s="298" t="str">
        <f t="shared" si="30"/>
        <v/>
      </c>
      <c r="AM80" s="16"/>
      <c r="AN80" s="297" t="str">
        <f t="shared" si="31"/>
        <v/>
      </c>
      <c r="AO80" s="16"/>
      <c r="AP80" s="297" t="str">
        <f t="shared" si="32"/>
        <v/>
      </c>
      <c r="AQ80" s="299">
        <f t="shared" si="33"/>
        <v>0</v>
      </c>
      <c r="AR80" s="299">
        <f t="shared" si="34"/>
        <v>0</v>
      </c>
      <c r="AS80" s="300" t="str">
        <f t="shared" si="35"/>
        <v/>
      </c>
      <c r="AT80" s="301" t="str">
        <f>IF(COUNTIF(K80:R80,"F")&gt;0,"",IF(AS80="PASS",'Statement of Marks'!HF81,""))</f>
        <v/>
      </c>
      <c r="AU80" s="301" t="str">
        <f>IF(AS80="PASS",'Statement of Marks'!HG81,"")</f>
        <v/>
      </c>
    </row>
    <row r="81" spans="1:47">
      <c r="A81" s="284">
        <f>IF('Statement of Marks'!A82="","",'Statement of Marks'!A82)</f>
        <v>75</v>
      </c>
      <c r="B81" s="284" t="str">
        <f>IF('Statement of Marks'!B82="","",'Statement of Marks'!B82)</f>
        <v/>
      </c>
      <c r="C81" s="284" t="str">
        <f>IF('Statement of Marks'!C82="","",'Statement of Marks'!C82)</f>
        <v/>
      </c>
      <c r="D81" s="285" t="str">
        <f>IF('Statement of Marks'!D82="","",'Statement of Marks'!D82)</f>
        <v/>
      </c>
      <c r="E81" s="286" t="str">
        <f>IF('Statement of Marks'!E82="","",'Statement of Marks'!E82)</f>
        <v/>
      </c>
      <c r="F81" s="286" t="str">
        <f>IF('Statement of Marks'!F82="","",'Statement of Marks'!F82)</f>
        <v/>
      </c>
      <c r="G81" s="286" t="str">
        <f>IF('Statement of Marks'!G82="","",'Statement of Marks'!G82)</f>
        <v/>
      </c>
      <c r="H81" s="287" t="str">
        <f>IF('Statement of Marks'!GY82="","",'Statement of Marks'!GY82)</f>
        <v/>
      </c>
      <c r="I81" s="287" t="str">
        <f>IF('Statement of Marks'!HB82="","",'Statement of Marks'!HB82)</f>
        <v/>
      </c>
      <c r="J81" s="288" t="str">
        <f>IF('Statement of Marks'!HC82="","",'Statement of Marks'!HC82)</f>
        <v/>
      </c>
      <c r="K81" s="296" t="str">
        <f>IF(B81="","",'Statement of Marks'!FJ82)</f>
        <v/>
      </c>
      <c r="L81" s="296" t="str">
        <f>IF(B81="","",'Statement of Marks'!FM82)</f>
        <v/>
      </c>
      <c r="M81" s="296" t="str">
        <f>IF(B81="","",'Statement of Marks'!FP82)</f>
        <v/>
      </c>
      <c r="N81" s="296" t="str">
        <f>IF(B81="","",'Statement of Marks'!FW82)</f>
        <v/>
      </c>
      <c r="O81" s="296" t="str">
        <f>IF(B81="","",'Statement of Marks'!GD82)</f>
        <v/>
      </c>
      <c r="P81" s="296" t="str">
        <f>IF(B81="","",'Statement of Marks'!GK82)</f>
        <v/>
      </c>
      <c r="Q81" s="296" t="str">
        <f>IF(B81="","",'Statement of Marks'!GR82)</f>
        <v/>
      </c>
      <c r="R81" s="296" t="str">
        <f>IF(B81="","",'Statement of Marks'!GS82)</f>
        <v/>
      </c>
      <c r="S81" s="288" t="str">
        <f>IF(COUNTIF(K81:R81,"F")&gt;0,"",CONCATENATE('Statement of Marks'!GU82,'Statement of Marks'!GW82))</f>
        <v xml:space="preserve">           </v>
      </c>
      <c r="T81" s="289">
        <f t="shared" si="18"/>
        <v>0</v>
      </c>
      <c r="U81" s="16"/>
      <c r="V81" s="297" t="str">
        <f t="shared" si="19"/>
        <v/>
      </c>
      <c r="W81" s="297" t="str">
        <f t="shared" si="20"/>
        <v/>
      </c>
      <c r="X81" s="16"/>
      <c r="Y81" s="297" t="str">
        <f t="shared" si="21"/>
        <v/>
      </c>
      <c r="Z81" s="297" t="str">
        <f t="shared" si="22"/>
        <v/>
      </c>
      <c r="AA81" s="16"/>
      <c r="AB81" s="297" t="str">
        <f t="shared" si="23"/>
        <v/>
      </c>
      <c r="AC81" s="298" t="str">
        <f t="shared" si="24"/>
        <v/>
      </c>
      <c r="AD81" s="16"/>
      <c r="AE81" s="297" t="str">
        <f t="shared" si="25"/>
        <v/>
      </c>
      <c r="AF81" s="298" t="str">
        <f t="shared" si="26"/>
        <v/>
      </c>
      <c r="AG81" s="16"/>
      <c r="AH81" s="297" t="str">
        <f t="shared" si="27"/>
        <v/>
      </c>
      <c r="AI81" s="298" t="str">
        <f t="shared" si="28"/>
        <v/>
      </c>
      <c r="AJ81" s="16"/>
      <c r="AK81" s="298" t="str">
        <f t="shared" si="29"/>
        <v/>
      </c>
      <c r="AL81" s="298" t="str">
        <f t="shared" si="30"/>
        <v/>
      </c>
      <c r="AM81" s="16"/>
      <c r="AN81" s="297" t="str">
        <f t="shared" si="31"/>
        <v/>
      </c>
      <c r="AO81" s="16"/>
      <c r="AP81" s="297" t="str">
        <f t="shared" si="32"/>
        <v/>
      </c>
      <c r="AQ81" s="299">
        <f t="shared" si="33"/>
        <v>0</v>
      </c>
      <c r="AR81" s="299">
        <f t="shared" si="34"/>
        <v>0</v>
      </c>
      <c r="AS81" s="300" t="str">
        <f t="shared" si="35"/>
        <v/>
      </c>
      <c r="AT81" s="301" t="str">
        <f>IF(COUNTIF(K81:R81,"F")&gt;0,"",IF(AS81="PASS",'Statement of Marks'!HF82,""))</f>
        <v/>
      </c>
      <c r="AU81" s="301" t="str">
        <f>IF(AS81="PASS",'Statement of Marks'!HG82,"")</f>
        <v/>
      </c>
    </row>
    <row r="82" spans="1:47">
      <c r="A82" s="284">
        <f>IF('Statement of Marks'!A83="","",'Statement of Marks'!A83)</f>
        <v>76</v>
      </c>
      <c r="B82" s="284" t="str">
        <f>IF('Statement of Marks'!B83="","",'Statement of Marks'!B83)</f>
        <v/>
      </c>
      <c r="C82" s="284" t="str">
        <f>IF('Statement of Marks'!C83="","",'Statement of Marks'!C83)</f>
        <v/>
      </c>
      <c r="D82" s="285" t="str">
        <f>IF('Statement of Marks'!D83="","",'Statement of Marks'!D83)</f>
        <v/>
      </c>
      <c r="E82" s="286" t="str">
        <f>IF('Statement of Marks'!E83="","",'Statement of Marks'!E83)</f>
        <v/>
      </c>
      <c r="F82" s="286" t="str">
        <f>IF('Statement of Marks'!F83="","",'Statement of Marks'!F83)</f>
        <v/>
      </c>
      <c r="G82" s="286" t="str">
        <f>IF('Statement of Marks'!G83="","",'Statement of Marks'!G83)</f>
        <v/>
      </c>
      <c r="H82" s="287" t="str">
        <f>IF('Statement of Marks'!GY83="","",'Statement of Marks'!GY83)</f>
        <v/>
      </c>
      <c r="I82" s="287" t="str">
        <f>IF('Statement of Marks'!HB83="","",'Statement of Marks'!HB83)</f>
        <v/>
      </c>
      <c r="J82" s="288" t="str">
        <f>IF('Statement of Marks'!HC83="","",'Statement of Marks'!HC83)</f>
        <v/>
      </c>
      <c r="K82" s="296" t="str">
        <f>IF(B82="","",'Statement of Marks'!FJ83)</f>
        <v/>
      </c>
      <c r="L82" s="296" t="str">
        <f>IF(B82="","",'Statement of Marks'!FM83)</f>
        <v/>
      </c>
      <c r="M82" s="296" t="str">
        <f>IF(B82="","",'Statement of Marks'!FP83)</f>
        <v/>
      </c>
      <c r="N82" s="296" t="str">
        <f>IF(B82="","",'Statement of Marks'!FW83)</f>
        <v/>
      </c>
      <c r="O82" s="296" t="str">
        <f>IF(B82="","",'Statement of Marks'!GD83)</f>
        <v/>
      </c>
      <c r="P82" s="296" t="str">
        <f>IF(B82="","",'Statement of Marks'!GK83)</f>
        <v/>
      </c>
      <c r="Q82" s="296" t="str">
        <f>IF(B82="","",'Statement of Marks'!GR83)</f>
        <v/>
      </c>
      <c r="R82" s="296" t="str">
        <f>IF(B82="","",'Statement of Marks'!GS83)</f>
        <v/>
      </c>
      <c r="S82" s="288" t="str">
        <f>IF(COUNTIF(K82:R82,"F")&gt;0,"",CONCATENATE('Statement of Marks'!GU83,'Statement of Marks'!GW83))</f>
        <v xml:space="preserve">           </v>
      </c>
      <c r="T82" s="289">
        <f t="shared" si="18"/>
        <v>0</v>
      </c>
      <c r="U82" s="16"/>
      <c r="V82" s="297" t="str">
        <f t="shared" si="19"/>
        <v/>
      </c>
      <c r="W82" s="297" t="str">
        <f t="shared" si="20"/>
        <v/>
      </c>
      <c r="X82" s="16"/>
      <c r="Y82" s="297" t="str">
        <f t="shared" si="21"/>
        <v/>
      </c>
      <c r="Z82" s="297" t="str">
        <f t="shared" si="22"/>
        <v/>
      </c>
      <c r="AA82" s="16"/>
      <c r="AB82" s="297" t="str">
        <f t="shared" si="23"/>
        <v/>
      </c>
      <c r="AC82" s="298" t="str">
        <f t="shared" si="24"/>
        <v/>
      </c>
      <c r="AD82" s="16"/>
      <c r="AE82" s="297" t="str">
        <f t="shared" si="25"/>
        <v/>
      </c>
      <c r="AF82" s="298" t="str">
        <f t="shared" si="26"/>
        <v/>
      </c>
      <c r="AG82" s="16"/>
      <c r="AH82" s="297" t="str">
        <f t="shared" si="27"/>
        <v/>
      </c>
      <c r="AI82" s="298" t="str">
        <f t="shared" si="28"/>
        <v/>
      </c>
      <c r="AJ82" s="16"/>
      <c r="AK82" s="298" t="str">
        <f t="shared" si="29"/>
        <v/>
      </c>
      <c r="AL82" s="298" t="str">
        <f t="shared" si="30"/>
        <v/>
      </c>
      <c r="AM82" s="16"/>
      <c r="AN82" s="297" t="str">
        <f t="shared" si="31"/>
        <v/>
      </c>
      <c r="AO82" s="16"/>
      <c r="AP82" s="297" t="str">
        <f t="shared" si="32"/>
        <v/>
      </c>
      <c r="AQ82" s="299">
        <f t="shared" si="33"/>
        <v>0</v>
      </c>
      <c r="AR82" s="299">
        <f t="shared" si="34"/>
        <v>0</v>
      </c>
      <c r="AS82" s="300" t="str">
        <f t="shared" si="35"/>
        <v/>
      </c>
      <c r="AT82" s="301" t="str">
        <f>IF(COUNTIF(K82:R82,"F")&gt;0,"",IF(AS82="PASS",'Statement of Marks'!HF83,""))</f>
        <v/>
      </c>
      <c r="AU82" s="301" t="str">
        <f>IF(AS82="PASS",'Statement of Marks'!HG83,"")</f>
        <v/>
      </c>
    </row>
    <row r="83" spans="1:47">
      <c r="A83" s="284">
        <f>IF('Statement of Marks'!A84="","",'Statement of Marks'!A84)</f>
        <v>77</v>
      </c>
      <c r="B83" s="284" t="str">
        <f>IF('Statement of Marks'!B84="","",'Statement of Marks'!B84)</f>
        <v/>
      </c>
      <c r="C83" s="284" t="str">
        <f>IF('Statement of Marks'!C84="","",'Statement of Marks'!C84)</f>
        <v/>
      </c>
      <c r="D83" s="285" t="str">
        <f>IF('Statement of Marks'!D84="","",'Statement of Marks'!D84)</f>
        <v/>
      </c>
      <c r="E83" s="286" t="str">
        <f>IF('Statement of Marks'!E84="","",'Statement of Marks'!E84)</f>
        <v/>
      </c>
      <c r="F83" s="286" t="str">
        <f>IF('Statement of Marks'!F84="","",'Statement of Marks'!F84)</f>
        <v/>
      </c>
      <c r="G83" s="286" t="str">
        <f>IF('Statement of Marks'!G84="","",'Statement of Marks'!G84)</f>
        <v/>
      </c>
      <c r="H83" s="287" t="str">
        <f>IF('Statement of Marks'!GY84="","",'Statement of Marks'!GY84)</f>
        <v/>
      </c>
      <c r="I83" s="287" t="str">
        <f>IF('Statement of Marks'!HB84="","",'Statement of Marks'!HB84)</f>
        <v/>
      </c>
      <c r="J83" s="288" t="str">
        <f>IF('Statement of Marks'!HC84="","",'Statement of Marks'!HC84)</f>
        <v/>
      </c>
      <c r="K83" s="296" t="str">
        <f>IF(B83="","",'Statement of Marks'!FJ84)</f>
        <v/>
      </c>
      <c r="L83" s="296" t="str">
        <f>IF(B83="","",'Statement of Marks'!FM84)</f>
        <v/>
      </c>
      <c r="M83" s="296" t="str">
        <f>IF(B83="","",'Statement of Marks'!FP84)</f>
        <v/>
      </c>
      <c r="N83" s="296" t="str">
        <f>IF(B83="","",'Statement of Marks'!FW84)</f>
        <v/>
      </c>
      <c r="O83" s="296" t="str">
        <f>IF(B83="","",'Statement of Marks'!GD84)</f>
        <v/>
      </c>
      <c r="P83" s="296" t="str">
        <f>IF(B83="","",'Statement of Marks'!GK84)</f>
        <v/>
      </c>
      <c r="Q83" s="296" t="str">
        <f>IF(B83="","",'Statement of Marks'!GR84)</f>
        <v/>
      </c>
      <c r="R83" s="296" t="str">
        <f>IF(B83="","",'Statement of Marks'!GS84)</f>
        <v/>
      </c>
      <c r="S83" s="288" t="str">
        <f>IF(COUNTIF(K83:R83,"F")&gt;0,"",CONCATENATE('Statement of Marks'!GU84,'Statement of Marks'!GW84))</f>
        <v xml:space="preserve">           </v>
      </c>
      <c r="T83" s="289">
        <f t="shared" si="18"/>
        <v>0</v>
      </c>
      <c r="U83" s="16"/>
      <c r="V83" s="297" t="str">
        <f t="shared" si="19"/>
        <v/>
      </c>
      <c r="W83" s="297" t="str">
        <f t="shared" si="20"/>
        <v/>
      </c>
      <c r="X83" s="16"/>
      <c r="Y83" s="297" t="str">
        <f t="shared" si="21"/>
        <v/>
      </c>
      <c r="Z83" s="297" t="str">
        <f t="shared" si="22"/>
        <v/>
      </c>
      <c r="AA83" s="16"/>
      <c r="AB83" s="297" t="str">
        <f t="shared" si="23"/>
        <v/>
      </c>
      <c r="AC83" s="298" t="str">
        <f t="shared" si="24"/>
        <v/>
      </c>
      <c r="AD83" s="16"/>
      <c r="AE83" s="297" t="str">
        <f t="shared" si="25"/>
        <v/>
      </c>
      <c r="AF83" s="298" t="str">
        <f t="shared" si="26"/>
        <v/>
      </c>
      <c r="AG83" s="16"/>
      <c r="AH83" s="297" t="str">
        <f t="shared" si="27"/>
        <v/>
      </c>
      <c r="AI83" s="298" t="str">
        <f t="shared" si="28"/>
        <v/>
      </c>
      <c r="AJ83" s="16"/>
      <c r="AK83" s="298" t="str">
        <f t="shared" si="29"/>
        <v/>
      </c>
      <c r="AL83" s="298" t="str">
        <f t="shared" si="30"/>
        <v/>
      </c>
      <c r="AM83" s="16"/>
      <c r="AN83" s="297" t="str">
        <f t="shared" si="31"/>
        <v/>
      </c>
      <c r="AO83" s="16"/>
      <c r="AP83" s="297" t="str">
        <f t="shared" si="32"/>
        <v/>
      </c>
      <c r="AQ83" s="299">
        <f t="shared" si="33"/>
        <v>0</v>
      </c>
      <c r="AR83" s="299">
        <f t="shared" si="34"/>
        <v>0</v>
      </c>
      <c r="AS83" s="300" t="str">
        <f t="shared" si="35"/>
        <v/>
      </c>
      <c r="AT83" s="301" t="str">
        <f>IF(COUNTIF(K83:R83,"F")&gt;0,"",IF(AS83="PASS",'Statement of Marks'!HF84,""))</f>
        <v/>
      </c>
      <c r="AU83" s="301" t="str">
        <f>IF(AS83="PASS",'Statement of Marks'!HG84,"")</f>
        <v/>
      </c>
    </row>
    <row r="84" spans="1:47">
      <c r="A84" s="284">
        <f>IF('Statement of Marks'!A85="","",'Statement of Marks'!A85)</f>
        <v>78</v>
      </c>
      <c r="B84" s="284" t="str">
        <f>IF('Statement of Marks'!B85="","",'Statement of Marks'!B85)</f>
        <v/>
      </c>
      <c r="C84" s="284" t="str">
        <f>IF('Statement of Marks'!C85="","",'Statement of Marks'!C85)</f>
        <v/>
      </c>
      <c r="D84" s="285" t="str">
        <f>IF('Statement of Marks'!D85="","",'Statement of Marks'!D85)</f>
        <v/>
      </c>
      <c r="E84" s="286" t="str">
        <f>IF('Statement of Marks'!E85="","",'Statement of Marks'!E85)</f>
        <v/>
      </c>
      <c r="F84" s="286" t="str">
        <f>IF('Statement of Marks'!F85="","",'Statement of Marks'!F85)</f>
        <v/>
      </c>
      <c r="G84" s="286" t="str">
        <f>IF('Statement of Marks'!G85="","",'Statement of Marks'!G85)</f>
        <v/>
      </c>
      <c r="H84" s="287" t="str">
        <f>IF('Statement of Marks'!GY85="","",'Statement of Marks'!GY85)</f>
        <v/>
      </c>
      <c r="I84" s="287" t="str">
        <f>IF('Statement of Marks'!HB85="","",'Statement of Marks'!HB85)</f>
        <v/>
      </c>
      <c r="J84" s="288" t="str">
        <f>IF('Statement of Marks'!HC85="","",'Statement of Marks'!HC85)</f>
        <v/>
      </c>
      <c r="K84" s="296" t="str">
        <f>IF(B84="","",'Statement of Marks'!FJ85)</f>
        <v/>
      </c>
      <c r="L84" s="296" t="str">
        <f>IF(B84="","",'Statement of Marks'!FM85)</f>
        <v/>
      </c>
      <c r="M84" s="296" t="str">
        <f>IF(B84="","",'Statement of Marks'!FP85)</f>
        <v/>
      </c>
      <c r="N84" s="296" t="str">
        <f>IF(B84="","",'Statement of Marks'!FW85)</f>
        <v/>
      </c>
      <c r="O84" s="296" t="str">
        <f>IF(B84="","",'Statement of Marks'!GD85)</f>
        <v/>
      </c>
      <c r="P84" s="296" t="str">
        <f>IF(B84="","",'Statement of Marks'!GK85)</f>
        <v/>
      </c>
      <c r="Q84" s="296" t="str">
        <f>IF(B84="","",'Statement of Marks'!GR85)</f>
        <v/>
      </c>
      <c r="R84" s="296" t="str">
        <f>IF(B84="","",'Statement of Marks'!GS85)</f>
        <v/>
      </c>
      <c r="S84" s="288" t="str">
        <f>IF(COUNTIF(K84:R84,"F")&gt;0,"",CONCATENATE('Statement of Marks'!GU85,'Statement of Marks'!GW85))</f>
        <v xml:space="preserve">           </v>
      </c>
      <c r="T84" s="289">
        <f t="shared" si="18"/>
        <v>0</v>
      </c>
      <c r="U84" s="16"/>
      <c r="V84" s="297" t="str">
        <f t="shared" si="19"/>
        <v/>
      </c>
      <c r="W84" s="297" t="str">
        <f t="shared" si="20"/>
        <v/>
      </c>
      <c r="X84" s="16"/>
      <c r="Y84" s="297" t="str">
        <f t="shared" si="21"/>
        <v/>
      </c>
      <c r="Z84" s="297" t="str">
        <f t="shared" si="22"/>
        <v/>
      </c>
      <c r="AA84" s="16"/>
      <c r="AB84" s="297" t="str">
        <f t="shared" si="23"/>
        <v/>
      </c>
      <c r="AC84" s="298" t="str">
        <f t="shared" si="24"/>
        <v/>
      </c>
      <c r="AD84" s="16"/>
      <c r="AE84" s="297" t="str">
        <f t="shared" si="25"/>
        <v/>
      </c>
      <c r="AF84" s="298" t="str">
        <f t="shared" si="26"/>
        <v/>
      </c>
      <c r="AG84" s="16"/>
      <c r="AH84" s="297" t="str">
        <f t="shared" si="27"/>
        <v/>
      </c>
      <c r="AI84" s="298" t="str">
        <f t="shared" si="28"/>
        <v/>
      </c>
      <c r="AJ84" s="16"/>
      <c r="AK84" s="298" t="str">
        <f t="shared" si="29"/>
        <v/>
      </c>
      <c r="AL84" s="298" t="str">
        <f t="shared" si="30"/>
        <v/>
      </c>
      <c r="AM84" s="16"/>
      <c r="AN84" s="297" t="str">
        <f t="shared" si="31"/>
        <v/>
      </c>
      <c r="AO84" s="16"/>
      <c r="AP84" s="297" t="str">
        <f t="shared" si="32"/>
        <v/>
      </c>
      <c r="AQ84" s="299">
        <f t="shared" si="33"/>
        <v>0</v>
      </c>
      <c r="AR84" s="299">
        <f t="shared" si="34"/>
        <v>0</v>
      </c>
      <c r="AS84" s="300" t="str">
        <f t="shared" si="35"/>
        <v/>
      </c>
      <c r="AT84" s="301" t="str">
        <f>IF(COUNTIF(K84:R84,"F")&gt;0,"",IF(AS84="PASS",'Statement of Marks'!HF85,""))</f>
        <v/>
      </c>
      <c r="AU84" s="301" t="str">
        <f>IF(AS84="PASS",'Statement of Marks'!HG85,"")</f>
        <v/>
      </c>
    </row>
    <row r="85" spans="1:47">
      <c r="A85" s="284">
        <f>IF('Statement of Marks'!A86="","",'Statement of Marks'!A86)</f>
        <v>79</v>
      </c>
      <c r="B85" s="284" t="str">
        <f>IF('Statement of Marks'!B86="","",'Statement of Marks'!B86)</f>
        <v/>
      </c>
      <c r="C85" s="284" t="str">
        <f>IF('Statement of Marks'!C86="","",'Statement of Marks'!C86)</f>
        <v/>
      </c>
      <c r="D85" s="285" t="str">
        <f>IF('Statement of Marks'!D86="","",'Statement of Marks'!D86)</f>
        <v/>
      </c>
      <c r="E85" s="286" t="str">
        <f>IF('Statement of Marks'!E86="","",'Statement of Marks'!E86)</f>
        <v/>
      </c>
      <c r="F85" s="286" t="str">
        <f>IF('Statement of Marks'!F86="","",'Statement of Marks'!F86)</f>
        <v/>
      </c>
      <c r="G85" s="286" t="str">
        <f>IF('Statement of Marks'!G86="","",'Statement of Marks'!G86)</f>
        <v/>
      </c>
      <c r="H85" s="287" t="str">
        <f>IF('Statement of Marks'!GY86="","",'Statement of Marks'!GY86)</f>
        <v/>
      </c>
      <c r="I85" s="287" t="str">
        <f>IF('Statement of Marks'!HB86="","",'Statement of Marks'!HB86)</f>
        <v/>
      </c>
      <c r="J85" s="288" t="str">
        <f>IF('Statement of Marks'!HC86="","",'Statement of Marks'!HC86)</f>
        <v/>
      </c>
      <c r="K85" s="296" t="str">
        <f>IF(B85="","",'Statement of Marks'!FJ86)</f>
        <v/>
      </c>
      <c r="L85" s="296" t="str">
        <f>IF(B85="","",'Statement of Marks'!FM86)</f>
        <v/>
      </c>
      <c r="M85" s="296" t="str">
        <f>IF(B85="","",'Statement of Marks'!FP86)</f>
        <v/>
      </c>
      <c r="N85" s="296" t="str">
        <f>IF(B85="","",'Statement of Marks'!FW86)</f>
        <v/>
      </c>
      <c r="O85" s="296" t="str">
        <f>IF(B85="","",'Statement of Marks'!GD86)</f>
        <v/>
      </c>
      <c r="P85" s="296" t="str">
        <f>IF(B85="","",'Statement of Marks'!GK86)</f>
        <v/>
      </c>
      <c r="Q85" s="296" t="str">
        <f>IF(B85="","",'Statement of Marks'!GR86)</f>
        <v/>
      </c>
      <c r="R85" s="296" t="str">
        <f>IF(B85="","",'Statement of Marks'!GS86)</f>
        <v/>
      </c>
      <c r="S85" s="288" t="str">
        <f>IF(COUNTIF(K85:R85,"F")&gt;0,"",CONCATENATE('Statement of Marks'!GU86,'Statement of Marks'!GW86))</f>
        <v xml:space="preserve">           </v>
      </c>
      <c r="T85" s="289">
        <f t="shared" si="18"/>
        <v>0</v>
      </c>
      <c r="U85" s="16"/>
      <c r="V85" s="297" t="str">
        <f t="shared" si="19"/>
        <v/>
      </c>
      <c r="W85" s="297" t="str">
        <f t="shared" si="20"/>
        <v/>
      </c>
      <c r="X85" s="16"/>
      <c r="Y85" s="297" t="str">
        <f t="shared" si="21"/>
        <v/>
      </c>
      <c r="Z85" s="297" t="str">
        <f t="shared" si="22"/>
        <v/>
      </c>
      <c r="AA85" s="16"/>
      <c r="AB85" s="297" t="str">
        <f t="shared" si="23"/>
        <v/>
      </c>
      <c r="AC85" s="298" t="str">
        <f t="shared" si="24"/>
        <v/>
      </c>
      <c r="AD85" s="16"/>
      <c r="AE85" s="297" t="str">
        <f t="shared" si="25"/>
        <v/>
      </c>
      <c r="AF85" s="298" t="str">
        <f t="shared" si="26"/>
        <v/>
      </c>
      <c r="AG85" s="16"/>
      <c r="AH85" s="297" t="str">
        <f t="shared" si="27"/>
        <v/>
      </c>
      <c r="AI85" s="298" t="str">
        <f t="shared" si="28"/>
        <v/>
      </c>
      <c r="AJ85" s="16"/>
      <c r="AK85" s="298" t="str">
        <f t="shared" si="29"/>
        <v/>
      </c>
      <c r="AL85" s="298" t="str">
        <f t="shared" si="30"/>
        <v/>
      </c>
      <c r="AM85" s="16"/>
      <c r="AN85" s="297" t="str">
        <f t="shared" si="31"/>
        <v/>
      </c>
      <c r="AO85" s="16"/>
      <c r="AP85" s="297" t="str">
        <f t="shared" si="32"/>
        <v/>
      </c>
      <c r="AQ85" s="299">
        <f t="shared" si="33"/>
        <v>0</v>
      </c>
      <c r="AR85" s="299">
        <f t="shared" si="34"/>
        <v>0</v>
      </c>
      <c r="AS85" s="300" t="str">
        <f t="shared" si="35"/>
        <v/>
      </c>
      <c r="AT85" s="301" t="str">
        <f>IF(COUNTIF(K85:R85,"F")&gt;0,"",IF(AS85="PASS",'Statement of Marks'!HF86,""))</f>
        <v/>
      </c>
      <c r="AU85" s="301" t="str">
        <f>IF(AS85="PASS",'Statement of Marks'!HG86,"")</f>
        <v/>
      </c>
    </row>
    <row r="86" spans="1:47">
      <c r="A86" s="284">
        <f>IF('Statement of Marks'!A87="","",'Statement of Marks'!A87)</f>
        <v>80</v>
      </c>
      <c r="B86" s="284" t="str">
        <f>IF('Statement of Marks'!B87="","",'Statement of Marks'!B87)</f>
        <v/>
      </c>
      <c r="C86" s="284" t="str">
        <f>IF('Statement of Marks'!C87="","",'Statement of Marks'!C87)</f>
        <v/>
      </c>
      <c r="D86" s="285" t="str">
        <f>IF('Statement of Marks'!D87="","",'Statement of Marks'!D87)</f>
        <v/>
      </c>
      <c r="E86" s="286" t="str">
        <f>IF('Statement of Marks'!E87="","",'Statement of Marks'!E87)</f>
        <v/>
      </c>
      <c r="F86" s="286" t="str">
        <f>IF('Statement of Marks'!F87="","",'Statement of Marks'!F87)</f>
        <v/>
      </c>
      <c r="G86" s="286" t="str">
        <f>IF('Statement of Marks'!G87="","",'Statement of Marks'!G87)</f>
        <v/>
      </c>
      <c r="H86" s="287" t="str">
        <f>IF('Statement of Marks'!GY87="","",'Statement of Marks'!GY87)</f>
        <v/>
      </c>
      <c r="I86" s="287" t="str">
        <f>IF('Statement of Marks'!HB87="","",'Statement of Marks'!HB87)</f>
        <v/>
      </c>
      <c r="J86" s="288" t="str">
        <f>IF('Statement of Marks'!HC87="","",'Statement of Marks'!HC87)</f>
        <v/>
      </c>
      <c r="K86" s="296" t="str">
        <f>IF(B86="","",'Statement of Marks'!FJ87)</f>
        <v/>
      </c>
      <c r="L86" s="296" t="str">
        <f>IF(B86="","",'Statement of Marks'!FM87)</f>
        <v/>
      </c>
      <c r="M86" s="296" t="str">
        <f>IF(B86="","",'Statement of Marks'!FP87)</f>
        <v/>
      </c>
      <c r="N86" s="296" t="str">
        <f>IF(B86="","",'Statement of Marks'!FW87)</f>
        <v/>
      </c>
      <c r="O86" s="296" t="str">
        <f>IF(B86="","",'Statement of Marks'!GD87)</f>
        <v/>
      </c>
      <c r="P86" s="296" t="str">
        <f>IF(B86="","",'Statement of Marks'!GK87)</f>
        <v/>
      </c>
      <c r="Q86" s="296" t="str">
        <f>IF(B86="","",'Statement of Marks'!GR87)</f>
        <v/>
      </c>
      <c r="R86" s="296" t="str">
        <f>IF(B86="","",'Statement of Marks'!GS87)</f>
        <v/>
      </c>
      <c r="S86" s="288" t="str">
        <f>IF(COUNTIF(K86:R86,"F")&gt;0,"",CONCATENATE('Statement of Marks'!GU87,'Statement of Marks'!GW87))</f>
        <v xml:space="preserve">           </v>
      </c>
      <c r="T86" s="289">
        <f t="shared" si="18"/>
        <v>0</v>
      </c>
      <c r="U86" s="16"/>
      <c r="V86" s="297" t="str">
        <f t="shared" si="19"/>
        <v/>
      </c>
      <c r="W86" s="297" t="str">
        <f t="shared" si="20"/>
        <v/>
      </c>
      <c r="X86" s="16"/>
      <c r="Y86" s="297" t="str">
        <f t="shared" si="21"/>
        <v/>
      </c>
      <c r="Z86" s="297" t="str">
        <f t="shared" si="22"/>
        <v/>
      </c>
      <c r="AA86" s="16"/>
      <c r="AB86" s="297" t="str">
        <f t="shared" si="23"/>
        <v/>
      </c>
      <c r="AC86" s="298" t="str">
        <f t="shared" si="24"/>
        <v/>
      </c>
      <c r="AD86" s="16"/>
      <c r="AE86" s="297" t="str">
        <f t="shared" si="25"/>
        <v/>
      </c>
      <c r="AF86" s="298" t="str">
        <f t="shared" si="26"/>
        <v/>
      </c>
      <c r="AG86" s="16"/>
      <c r="AH86" s="297" t="str">
        <f t="shared" si="27"/>
        <v/>
      </c>
      <c r="AI86" s="298" t="str">
        <f t="shared" si="28"/>
        <v/>
      </c>
      <c r="AJ86" s="16"/>
      <c r="AK86" s="298" t="str">
        <f t="shared" si="29"/>
        <v/>
      </c>
      <c r="AL86" s="298" t="str">
        <f t="shared" si="30"/>
        <v/>
      </c>
      <c r="AM86" s="16"/>
      <c r="AN86" s="297" t="str">
        <f t="shared" si="31"/>
        <v/>
      </c>
      <c r="AO86" s="16"/>
      <c r="AP86" s="297" t="str">
        <f t="shared" si="32"/>
        <v/>
      </c>
      <c r="AQ86" s="299">
        <f t="shared" si="33"/>
        <v>0</v>
      </c>
      <c r="AR86" s="299">
        <f t="shared" si="34"/>
        <v>0</v>
      </c>
      <c r="AS86" s="300" t="str">
        <f t="shared" si="35"/>
        <v/>
      </c>
      <c r="AT86" s="301" t="str">
        <f>IF(COUNTIF(K86:R86,"F")&gt;0,"",IF(AS86="PASS",'Statement of Marks'!HF87,""))</f>
        <v/>
      </c>
      <c r="AU86" s="301" t="str">
        <f>IF(AS86="PASS",'Statement of Marks'!HG87,"")</f>
        <v/>
      </c>
    </row>
    <row r="87" spans="1:47">
      <c r="A87" s="284">
        <f>IF('Statement of Marks'!A88="","",'Statement of Marks'!A88)</f>
        <v>81</v>
      </c>
      <c r="B87" s="284" t="str">
        <f>IF('Statement of Marks'!B88="","",'Statement of Marks'!B88)</f>
        <v/>
      </c>
      <c r="C87" s="284" t="str">
        <f>IF('Statement of Marks'!C88="","",'Statement of Marks'!C88)</f>
        <v/>
      </c>
      <c r="D87" s="285" t="str">
        <f>IF('Statement of Marks'!D88="","",'Statement of Marks'!D88)</f>
        <v/>
      </c>
      <c r="E87" s="286" t="str">
        <f>IF('Statement of Marks'!E88="","",'Statement of Marks'!E88)</f>
        <v/>
      </c>
      <c r="F87" s="286" t="str">
        <f>IF('Statement of Marks'!F88="","",'Statement of Marks'!F88)</f>
        <v/>
      </c>
      <c r="G87" s="286" t="str">
        <f>IF('Statement of Marks'!G88="","",'Statement of Marks'!G88)</f>
        <v/>
      </c>
      <c r="H87" s="287" t="str">
        <f>IF('Statement of Marks'!GY88="","",'Statement of Marks'!GY88)</f>
        <v/>
      </c>
      <c r="I87" s="287" t="str">
        <f>IF('Statement of Marks'!HB88="","",'Statement of Marks'!HB88)</f>
        <v/>
      </c>
      <c r="J87" s="288" t="str">
        <f>IF('Statement of Marks'!HC88="","",'Statement of Marks'!HC88)</f>
        <v/>
      </c>
      <c r="K87" s="296" t="str">
        <f>IF(B87="","",'Statement of Marks'!FJ88)</f>
        <v/>
      </c>
      <c r="L87" s="296" t="str">
        <f>IF(B87="","",'Statement of Marks'!FM88)</f>
        <v/>
      </c>
      <c r="M87" s="296" t="str">
        <f>IF(B87="","",'Statement of Marks'!FP88)</f>
        <v/>
      </c>
      <c r="N87" s="296" t="str">
        <f>IF(B87="","",'Statement of Marks'!FW88)</f>
        <v/>
      </c>
      <c r="O87" s="296" t="str">
        <f>IF(B87="","",'Statement of Marks'!GD88)</f>
        <v/>
      </c>
      <c r="P87" s="296" t="str">
        <f>IF(B87="","",'Statement of Marks'!GK88)</f>
        <v/>
      </c>
      <c r="Q87" s="296" t="str">
        <f>IF(B87="","",'Statement of Marks'!GR88)</f>
        <v/>
      </c>
      <c r="R87" s="296" t="str">
        <f>IF(B87="","",'Statement of Marks'!GS88)</f>
        <v/>
      </c>
      <c r="S87" s="288" t="str">
        <f>IF(COUNTIF(K87:R87,"F")&gt;0,"",CONCATENATE('Statement of Marks'!GU88,'Statement of Marks'!GW88))</f>
        <v xml:space="preserve">           </v>
      </c>
      <c r="T87" s="289">
        <f t="shared" si="18"/>
        <v>0</v>
      </c>
      <c r="U87" s="16"/>
      <c r="V87" s="297" t="str">
        <f t="shared" si="19"/>
        <v/>
      </c>
      <c r="W87" s="297" t="str">
        <f t="shared" si="20"/>
        <v/>
      </c>
      <c r="X87" s="16"/>
      <c r="Y87" s="297" t="str">
        <f t="shared" si="21"/>
        <v/>
      </c>
      <c r="Z87" s="297" t="str">
        <f t="shared" si="22"/>
        <v/>
      </c>
      <c r="AA87" s="16"/>
      <c r="AB87" s="297" t="str">
        <f t="shared" si="23"/>
        <v/>
      </c>
      <c r="AC87" s="298" t="str">
        <f t="shared" si="24"/>
        <v/>
      </c>
      <c r="AD87" s="16"/>
      <c r="AE87" s="297" t="str">
        <f t="shared" si="25"/>
        <v/>
      </c>
      <c r="AF87" s="298" t="str">
        <f t="shared" si="26"/>
        <v/>
      </c>
      <c r="AG87" s="16"/>
      <c r="AH87" s="297" t="str">
        <f t="shared" si="27"/>
        <v/>
      </c>
      <c r="AI87" s="298" t="str">
        <f t="shared" si="28"/>
        <v/>
      </c>
      <c r="AJ87" s="16"/>
      <c r="AK87" s="298" t="str">
        <f t="shared" si="29"/>
        <v/>
      </c>
      <c r="AL87" s="298" t="str">
        <f t="shared" si="30"/>
        <v/>
      </c>
      <c r="AM87" s="16"/>
      <c r="AN87" s="297" t="str">
        <f t="shared" si="31"/>
        <v/>
      </c>
      <c r="AO87" s="16"/>
      <c r="AP87" s="297" t="str">
        <f t="shared" si="32"/>
        <v/>
      </c>
      <c r="AQ87" s="299">
        <f t="shared" si="33"/>
        <v>0</v>
      </c>
      <c r="AR87" s="299">
        <f t="shared" si="34"/>
        <v>0</v>
      </c>
      <c r="AS87" s="300" t="str">
        <f t="shared" si="35"/>
        <v/>
      </c>
      <c r="AT87" s="301" t="str">
        <f>IF(COUNTIF(K87:R87,"F")&gt;0,"",IF(AS87="PASS",'Statement of Marks'!HF88,""))</f>
        <v/>
      </c>
      <c r="AU87" s="301" t="str">
        <f>IF(AS87="PASS",'Statement of Marks'!HG88,"")</f>
        <v/>
      </c>
    </row>
    <row r="88" spans="1:47">
      <c r="A88" s="284">
        <f>IF('Statement of Marks'!A89="","",'Statement of Marks'!A89)</f>
        <v>82</v>
      </c>
      <c r="B88" s="284" t="str">
        <f>IF('Statement of Marks'!B89="","",'Statement of Marks'!B89)</f>
        <v/>
      </c>
      <c r="C88" s="284" t="str">
        <f>IF('Statement of Marks'!C89="","",'Statement of Marks'!C89)</f>
        <v/>
      </c>
      <c r="D88" s="285" t="str">
        <f>IF('Statement of Marks'!D89="","",'Statement of Marks'!D89)</f>
        <v/>
      </c>
      <c r="E88" s="286" t="str">
        <f>IF('Statement of Marks'!E89="","",'Statement of Marks'!E89)</f>
        <v/>
      </c>
      <c r="F88" s="286" t="str">
        <f>IF('Statement of Marks'!F89="","",'Statement of Marks'!F89)</f>
        <v/>
      </c>
      <c r="G88" s="286" t="str">
        <f>IF('Statement of Marks'!G89="","",'Statement of Marks'!G89)</f>
        <v/>
      </c>
      <c r="H88" s="287" t="str">
        <f>IF('Statement of Marks'!GY89="","",'Statement of Marks'!GY89)</f>
        <v/>
      </c>
      <c r="I88" s="287" t="str">
        <f>IF('Statement of Marks'!HB89="","",'Statement of Marks'!HB89)</f>
        <v/>
      </c>
      <c r="J88" s="288" t="str">
        <f>IF('Statement of Marks'!HC89="","",'Statement of Marks'!HC89)</f>
        <v/>
      </c>
      <c r="K88" s="296" t="str">
        <f>IF(B88="","",'Statement of Marks'!FJ89)</f>
        <v/>
      </c>
      <c r="L88" s="296" t="str">
        <f>IF(B88="","",'Statement of Marks'!FM89)</f>
        <v/>
      </c>
      <c r="M88" s="296" t="str">
        <f>IF(B88="","",'Statement of Marks'!FP89)</f>
        <v/>
      </c>
      <c r="N88" s="296" t="str">
        <f>IF(B88="","",'Statement of Marks'!FW89)</f>
        <v/>
      </c>
      <c r="O88" s="296" t="str">
        <f>IF(B88="","",'Statement of Marks'!GD89)</f>
        <v/>
      </c>
      <c r="P88" s="296" t="str">
        <f>IF(B88="","",'Statement of Marks'!GK89)</f>
        <v/>
      </c>
      <c r="Q88" s="296" t="str">
        <f>IF(B88="","",'Statement of Marks'!GR89)</f>
        <v/>
      </c>
      <c r="R88" s="296" t="str">
        <f>IF(B88="","",'Statement of Marks'!GS89)</f>
        <v/>
      </c>
      <c r="S88" s="288" t="str">
        <f>IF(COUNTIF(K88:R88,"F")&gt;0,"",CONCATENATE('Statement of Marks'!GU89,'Statement of Marks'!GW89))</f>
        <v xml:space="preserve">           </v>
      </c>
      <c r="T88" s="289">
        <f t="shared" si="18"/>
        <v>0</v>
      </c>
      <c r="U88" s="16"/>
      <c r="V88" s="297" t="str">
        <f t="shared" si="19"/>
        <v/>
      </c>
      <c r="W88" s="297" t="str">
        <f t="shared" si="20"/>
        <v/>
      </c>
      <c r="X88" s="16"/>
      <c r="Y88" s="297" t="str">
        <f t="shared" si="21"/>
        <v/>
      </c>
      <c r="Z88" s="297" t="str">
        <f t="shared" si="22"/>
        <v/>
      </c>
      <c r="AA88" s="16"/>
      <c r="AB88" s="297" t="str">
        <f t="shared" si="23"/>
        <v/>
      </c>
      <c r="AC88" s="298" t="str">
        <f t="shared" si="24"/>
        <v/>
      </c>
      <c r="AD88" s="16"/>
      <c r="AE88" s="297" t="str">
        <f t="shared" si="25"/>
        <v/>
      </c>
      <c r="AF88" s="298" t="str">
        <f t="shared" si="26"/>
        <v/>
      </c>
      <c r="AG88" s="16"/>
      <c r="AH88" s="297" t="str">
        <f t="shared" si="27"/>
        <v/>
      </c>
      <c r="AI88" s="298" t="str">
        <f t="shared" si="28"/>
        <v/>
      </c>
      <c r="AJ88" s="16"/>
      <c r="AK88" s="298" t="str">
        <f t="shared" si="29"/>
        <v/>
      </c>
      <c r="AL88" s="298" t="str">
        <f t="shared" si="30"/>
        <v/>
      </c>
      <c r="AM88" s="16"/>
      <c r="AN88" s="297" t="str">
        <f t="shared" si="31"/>
        <v/>
      </c>
      <c r="AO88" s="16"/>
      <c r="AP88" s="297" t="str">
        <f t="shared" si="32"/>
        <v/>
      </c>
      <c r="AQ88" s="299">
        <f t="shared" si="33"/>
        <v>0</v>
      </c>
      <c r="AR88" s="299">
        <f t="shared" si="34"/>
        <v>0</v>
      </c>
      <c r="AS88" s="300" t="str">
        <f t="shared" si="35"/>
        <v/>
      </c>
      <c r="AT88" s="301" t="str">
        <f>IF(COUNTIF(K88:R88,"F")&gt;0,"",IF(AS88="PASS",'Statement of Marks'!HF89,""))</f>
        <v/>
      </c>
      <c r="AU88" s="301" t="str">
        <f>IF(AS88="PASS",'Statement of Marks'!HG89,"")</f>
        <v/>
      </c>
    </row>
    <row r="89" spans="1:47">
      <c r="A89" s="284">
        <f>IF('Statement of Marks'!A90="","",'Statement of Marks'!A90)</f>
        <v>83</v>
      </c>
      <c r="B89" s="284" t="str">
        <f>IF('Statement of Marks'!B90="","",'Statement of Marks'!B90)</f>
        <v/>
      </c>
      <c r="C89" s="284" t="str">
        <f>IF('Statement of Marks'!C90="","",'Statement of Marks'!C90)</f>
        <v/>
      </c>
      <c r="D89" s="285" t="str">
        <f>IF('Statement of Marks'!D90="","",'Statement of Marks'!D90)</f>
        <v/>
      </c>
      <c r="E89" s="286" t="str">
        <f>IF('Statement of Marks'!E90="","",'Statement of Marks'!E90)</f>
        <v/>
      </c>
      <c r="F89" s="286" t="str">
        <f>IF('Statement of Marks'!F90="","",'Statement of Marks'!F90)</f>
        <v/>
      </c>
      <c r="G89" s="286" t="str">
        <f>IF('Statement of Marks'!G90="","",'Statement of Marks'!G90)</f>
        <v/>
      </c>
      <c r="H89" s="287" t="str">
        <f>IF('Statement of Marks'!GY90="","",'Statement of Marks'!GY90)</f>
        <v/>
      </c>
      <c r="I89" s="287" t="str">
        <f>IF('Statement of Marks'!HB90="","",'Statement of Marks'!HB90)</f>
        <v/>
      </c>
      <c r="J89" s="288" t="str">
        <f>IF('Statement of Marks'!HC90="","",'Statement of Marks'!HC90)</f>
        <v/>
      </c>
      <c r="K89" s="296" t="str">
        <f>IF(B89="","",'Statement of Marks'!FJ90)</f>
        <v/>
      </c>
      <c r="L89" s="296" t="str">
        <f>IF(B89="","",'Statement of Marks'!FM90)</f>
        <v/>
      </c>
      <c r="M89" s="296" t="str">
        <f>IF(B89="","",'Statement of Marks'!FP90)</f>
        <v/>
      </c>
      <c r="N89" s="296" t="str">
        <f>IF(B89="","",'Statement of Marks'!FW90)</f>
        <v/>
      </c>
      <c r="O89" s="296" t="str">
        <f>IF(B89="","",'Statement of Marks'!GD90)</f>
        <v/>
      </c>
      <c r="P89" s="296" t="str">
        <f>IF(B89="","",'Statement of Marks'!GK90)</f>
        <v/>
      </c>
      <c r="Q89" s="296" t="str">
        <f>IF(B89="","",'Statement of Marks'!GR90)</f>
        <v/>
      </c>
      <c r="R89" s="296" t="str">
        <f>IF(B89="","",'Statement of Marks'!GS90)</f>
        <v/>
      </c>
      <c r="S89" s="288" t="str">
        <f>IF(COUNTIF(K89:R89,"F")&gt;0,"",CONCATENATE('Statement of Marks'!GU90,'Statement of Marks'!GW90))</f>
        <v xml:space="preserve">           </v>
      </c>
      <c r="T89" s="289">
        <f t="shared" si="18"/>
        <v>0</v>
      </c>
      <c r="U89" s="16"/>
      <c r="V89" s="297" t="str">
        <f t="shared" si="19"/>
        <v/>
      </c>
      <c r="W89" s="297" t="str">
        <f t="shared" si="20"/>
        <v/>
      </c>
      <c r="X89" s="16"/>
      <c r="Y89" s="297" t="str">
        <f t="shared" si="21"/>
        <v/>
      </c>
      <c r="Z89" s="297" t="str">
        <f t="shared" si="22"/>
        <v/>
      </c>
      <c r="AA89" s="16"/>
      <c r="AB89" s="297" t="str">
        <f t="shared" si="23"/>
        <v/>
      </c>
      <c r="AC89" s="298" t="str">
        <f t="shared" si="24"/>
        <v/>
      </c>
      <c r="AD89" s="16"/>
      <c r="AE89" s="297" t="str">
        <f t="shared" si="25"/>
        <v/>
      </c>
      <c r="AF89" s="298" t="str">
        <f t="shared" si="26"/>
        <v/>
      </c>
      <c r="AG89" s="16"/>
      <c r="AH89" s="297" t="str">
        <f t="shared" si="27"/>
        <v/>
      </c>
      <c r="AI89" s="298" t="str">
        <f t="shared" si="28"/>
        <v/>
      </c>
      <c r="AJ89" s="16"/>
      <c r="AK89" s="298" t="str">
        <f t="shared" si="29"/>
        <v/>
      </c>
      <c r="AL89" s="298" t="str">
        <f t="shared" si="30"/>
        <v/>
      </c>
      <c r="AM89" s="16"/>
      <c r="AN89" s="297" t="str">
        <f t="shared" si="31"/>
        <v/>
      </c>
      <c r="AO89" s="16"/>
      <c r="AP89" s="297" t="str">
        <f t="shared" si="32"/>
        <v/>
      </c>
      <c r="AQ89" s="299">
        <f t="shared" si="33"/>
        <v>0</v>
      </c>
      <c r="AR89" s="299">
        <f t="shared" si="34"/>
        <v>0</v>
      </c>
      <c r="AS89" s="300" t="str">
        <f t="shared" si="35"/>
        <v/>
      </c>
      <c r="AT89" s="301" t="str">
        <f>IF(COUNTIF(K89:R89,"F")&gt;0,"",IF(AS89="PASS",'Statement of Marks'!HF90,""))</f>
        <v/>
      </c>
      <c r="AU89" s="301" t="str">
        <f>IF(AS89="PASS",'Statement of Marks'!HG90,"")</f>
        <v/>
      </c>
    </row>
    <row r="90" spans="1:47">
      <c r="A90" s="284">
        <f>IF('Statement of Marks'!A91="","",'Statement of Marks'!A91)</f>
        <v>84</v>
      </c>
      <c r="B90" s="284" t="str">
        <f>IF('Statement of Marks'!B91="","",'Statement of Marks'!B91)</f>
        <v/>
      </c>
      <c r="C90" s="284" t="str">
        <f>IF('Statement of Marks'!C91="","",'Statement of Marks'!C91)</f>
        <v/>
      </c>
      <c r="D90" s="285" t="str">
        <f>IF('Statement of Marks'!D91="","",'Statement of Marks'!D91)</f>
        <v/>
      </c>
      <c r="E90" s="286" t="str">
        <f>IF('Statement of Marks'!E91="","",'Statement of Marks'!E91)</f>
        <v/>
      </c>
      <c r="F90" s="286" t="str">
        <f>IF('Statement of Marks'!F91="","",'Statement of Marks'!F91)</f>
        <v/>
      </c>
      <c r="G90" s="286" t="str">
        <f>IF('Statement of Marks'!G91="","",'Statement of Marks'!G91)</f>
        <v/>
      </c>
      <c r="H90" s="287" t="str">
        <f>IF('Statement of Marks'!GY91="","",'Statement of Marks'!GY91)</f>
        <v/>
      </c>
      <c r="I90" s="287" t="str">
        <f>IF('Statement of Marks'!HB91="","",'Statement of Marks'!HB91)</f>
        <v/>
      </c>
      <c r="J90" s="288" t="str">
        <f>IF('Statement of Marks'!HC91="","",'Statement of Marks'!HC91)</f>
        <v/>
      </c>
      <c r="K90" s="296" t="str">
        <f>IF(B90="","",'Statement of Marks'!FJ91)</f>
        <v/>
      </c>
      <c r="L90" s="296" t="str">
        <f>IF(B90="","",'Statement of Marks'!FM91)</f>
        <v/>
      </c>
      <c r="M90" s="296" t="str">
        <f>IF(B90="","",'Statement of Marks'!FP91)</f>
        <v/>
      </c>
      <c r="N90" s="296" t="str">
        <f>IF(B90="","",'Statement of Marks'!FW91)</f>
        <v/>
      </c>
      <c r="O90" s="296" t="str">
        <f>IF(B90="","",'Statement of Marks'!GD91)</f>
        <v/>
      </c>
      <c r="P90" s="296" t="str">
        <f>IF(B90="","",'Statement of Marks'!GK91)</f>
        <v/>
      </c>
      <c r="Q90" s="296" t="str">
        <f>IF(B90="","",'Statement of Marks'!GR91)</f>
        <v/>
      </c>
      <c r="R90" s="296" t="str">
        <f>IF(B90="","",'Statement of Marks'!GS91)</f>
        <v/>
      </c>
      <c r="S90" s="288" t="str">
        <f>IF(COUNTIF(K90:R90,"F")&gt;0,"",CONCATENATE('Statement of Marks'!GU91,'Statement of Marks'!GW91))</f>
        <v xml:space="preserve">           </v>
      </c>
      <c r="T90" s="289">
        <f t="shared" si="18"/>
        <v>0</v>
      </c>
      <c r="U90" s="16"/>
      <c r="V90" s="297" t="str">
        <f t="shared" si="19"/>
        <v/>
      </c>
      <c r="W90" s="297" t="str">
        <f t="shared" si="20"/>
        <v/>
      </c>
      <c r="X90" s="16"/>
      <c r="Y90" s="297" t="str">
        <f t="shared" si="21"/>
        <v/>
      </c>
      <c r="Z90" s="297" t="str">
        <f t="shared" si="22"/>
        <v/>
      </c>
      <c r="AA90" s="16"/>
      <c r="AB90" s="297" t="str">
        <f t="shared" si="23"/>
        <v/>
      </c>
      <c r="AC90" s="298" t="str">
        <f t="shared" si="24"/>
        <v/>
      </c>
      <c r="AD90" s="16"/>
      <c r="AE90" s="297" t="str">
        <f t="shared" si="25"/>
        <v/>
      </c>
      <c r="AF90" s="298" t="str">
        <f t="shared" si="26"/>
        <v/>
      </c>
      <c r="AG90" s="16"/>
      <c r="AH90" s="297" t="str">
        <f t="shared" si="27"/>
        <v/>
      </c>
      <c r="AI90" s="298" t="str">
        <f t="shared" si="28"/>
        <v/>
      </c>
      <c r="AJ90" s="16"/>
      <c r="AK90" s="298" t="str">
        <f t="shared" si="29"/>
        <v/>
      </c>
      <c r="AL90" s="298" t="str">
        <f t="shared" si="30"/>
        <v/>
      </c>
      <c r="AM90" s="16"/>
      <c r="AN90" s="297" t="str">
        <f t="shared" si="31"/>
        <v/>
      </c>
      <c r="AO90" s="16"/>
      <c r="AP90" s="297" t="str">
        <f t="shared" si="32"/>
        <v/>
      </c>
      <c r="AQ90" s="299">
        <f t="shared" si="33"/>
        <v>0</v>
      </c>
      <c r="AR90" s="299">
        <f t="shared" si="34"/>
        <v>0</v>
      </c>
      <c r="AS90" s="300" t="str">
        <f t="shared" si="35"/>
        <v/>
      </c>
      <c r="AT90" s="301" t="str">
        <f>IF(COUNTIF(K90:R90,"F")&gt;0,"",IF(AS90="PASS",'Statement of Marks'!HF91,""))</f>
        <v/>
      </c>
      <c r="AU90" s="301" t="str">
        <f>IF(AS90="PASS",'Statement of Marks'!HG91,"")</f>
        <v/>
      </c>
    </row>
    <row r="91" spans="1:47">
      <c r="A91" s="284">
        <f>IF('Statement of Marks'!A92="","",'Statement of Marks'!A92)</f>
        <v>85</v>
      </c>
      <c r="B91" s="284" t="str">
        <f>IF('Statement of Marks'!B92="","",'Statement of Marks'!B92)</f>
        <v/>
      </c>
      <c r="C91" s="284" t="str">
        <f>IF('Statement of Marks'!C92="","",'Statement of Marks'!C92)</f>
        <v/>
      </c>
      <c r="D91" s="285" t="str">
        <f>IF('Statement of Marks'!D92="","",'Statement of Marks'!D92)</f>
        <v/>
      </c>
      <c r="E91" s="286" t="str">
        <f>IF('Statement of Marks'!E92="","",'Statement of Marks'!E92)</f>
        <v/>
      </c>
      <c r="F91" s="286" t="str">
        <f>IF('Statement of Marks'!F92="","",'Statement of Marks'!F92)</f>
        <v/>
      </c>
      <c r="G91" s="286" t="str">
        <f>IF('Statement of Marks'!G92="","",'Statement of Marks'!G92)</f>
        <v/>
      </c>
      <c r="H91" s="287" t="str">
        <f>IF('Statement of Marks'!GY92="","",'Statement of Marks'!GY92)</f>
        <v/>
      </c>
      <c r="I91" s="287" t="str">
        <f>IF('Statement of Marks'!HB92="","",'Statement of Marks'!HB92)</f>
        <v/>
      </c>
      <c r="J91" s="288" t="str">
        <f>IF('Statement of Marks'!HC92="","",'Statement of Marks'!HC92)</f>
        <v/>
      </c>
      <c r="K91" s="296" t="str">
        <f>IF(B91="","",'Statement of Marks'!FJ92)</f>
        <v/>
      </c>
      <c r="L91" s="296" t="str">
        <f>IF(B91="","",'Statement of Marks'!FM92)</f>
        <v/>
      </c>
      <c r="M91" s="296" t="str">
        <f>IF(B91="","",'Statement of Marks'!FP92)</f>
        <v/>
      </c>
      <c r="N91" s="296" t="str">
        <f>IF(B91="","",'Statement of Marks'!FW92)</f>
        <v/>
      </c>
      <c r="O91" s="296" t="str">
        <f>IF(B91="","",'Statement of Marks'!GD92)</f>
        <v/>
      </c>
      <c r="P91" s="296" t="str">
        <f>IF(B91="","",'Statement of Marks'!GK92)</f>
        <v/>
      </c>
      <c r="Q91" s="296" t="str">
        <f>IF(B91="","",'Statement of Marks'!GR92)</f>
        <v/>
      </c>
      <c r="R91" s="296" t="str">
        <f>IF(B91="","",'Statement of Marks'!GS92)</f>
        <v/>
      </c>
      <c r="S91" s="288" t="str">
        <f>IF(COUNTIF(K91:R91,"F")&gt;0,"",CONCATENATE('Statement of Marks'!GU92,'Statement of Marks'!GW92))</f>
        <v xml:space="preserve">           </v>
      </c>
      <c r="T91" s="289">
        <f t="shared" si="18"/>
        <v>0</v>
      </c>
      <c r="U91" s="16"/>
      <c r="V91" s="297" t="str">
        <f t="shared" si="19"/>
        <v/>
      </c>
      <c r="W91" s="297" t="str">
        <f t="shared" si="20"/>
        <v/>
      </c>
      <c r="X91" s="16"/>
      <c r="Y91" s="297" t="str">
        <f t="shared" si="21"/>
        <v/>
      </c>
      <c r="Z91" s="297" t="str">
        <f t="shared" si="22"/>
        <v/>
      </c>
      <c r="AA91" s="16"/>
      <c r="AB91" s="297" t="str">
        <f t="shared" si="23"/>
        <v/>
      </c>
      <c r="AC91" s="298" t="str">
        <f t="shared" si="24"/>
        <v/>
      </c>
      <c r="AD91" s="16"/>
      <c r="AE91" s="297" t="str">
        <f t="shared" si="25"/>
        <v/>
      </c>
      <c r="AF91" s="298" t="str">
        <f t="shared" si="26"/>
        <v/>
      </c>
      <c r="AG91" s="16"/>
      <c r="AH91" s="297" t="str">
        <f t="shared" si="27"/>
        <v/>
      </c>
      <c r="AI91" s="298" t="str">
        <f t="shared" si="28"/>
        <v/>
      </c>
      <c r="AJ91" s="16"/>
      <c r="AK91" s="298" t="str">
        <f t="shared" si="29"/>
        <v/>
      </c>
      <c r="AL91" s="298" t="str">
        <f t="shared" si="30"/>
        <v/>
      </c>
      <c r="AM91" s="16"/>
      <c r="AN91" s="297" t="str">
        <f t="shared" si="31"/>
        <v/>
      </c>
      <c r="AO91" s="16"/>
      <c r="AP91" s="297" t="str">
        <f t="shared" si="32"/>
        <v/>
      </c>
      <c r="AQ91" s="299">
        <f t="shared" si="33"/>
        <v>0</v>
      </c>
      <c r="AR91" s="299">
        <f t="shared" si="34"/>
        <v>0</v>
      </c>
      <c r="AS91" s="300" t="str">
        <f t="shared" si="35"/>
        <v/>
      </c>
      <c r="AT91" s="301" t="str">
        <f>IF(COUNTIF(K91:R91,"F")&gt;0,"",IF(AS91="PASS",'Statement of Marks'!HF92,""))</f>
        <v/>
      </c>
      <c r="AU91" s="301" t="str">
        <f>IF(AS91="PASS",'Statement of Marks'!HG92,"")</f>
        <v/>
      </c>
    </row>
    <row r="92" spans="1:47">
      <c r="A92" s="284">
        <f>IF('Statement of Marks'!A93="","",'Statement of Marks'!A93)</f>
        <v>86</v>
      </c>
      <c r="B92" s="284" t="str">
        <f>IF('Statement of Marks'!B93="","",'Statement of Marks'!B93)</f>
        <v/>
      </c>
      <c r="C92" s="284" t="str">
        <f>IF('Statement of Marks'!C93="","",'Statement of Marks'!C93)</f>
        <v/>
      </c>
      <c r="D92" s="285" t="str">
        <f>IF('Statement of Marks'!D93="","",'Statement of Marks'!D93)</f>
        <v/>
      </c>
      <c r="E92" s="286" t="str">
        <f>IF('Statement of Marks'!E93="","",'Statement of Marks'!E93)</f>
        <v/>
      </c>
      <c r="F92" s="286" t="str">
        <f>IF('Statement of Marks'!F93="","",'Statement of Marks'!F93)</f>
        <v/>
      </c>
      <c r="G92" s="286" t="str">
        <f>IF('Statement of Marks'!G93="","",'Statement of Marks'!G93)</f>
        <v/>
      </c>
      <c r="H92" s="287" t="str">
        <f>IF('Statement of Marks'!GY93="","",'Statement of Marks'!GY93)</f>
        <v/>
      </c>
      <c r="I92" s="287" t="str">
        <f>IF('Statement of Marks'!HB93="","",'Statement of Marks'!HB93)</f>
        <v/>
      </c>
      <c r="J92" s="288" t="str">
        <f>IF('Statement of Marks'!HC93="","",'Statement of Marks'!HC93)</f>
        <v/>
      </c>
      <c r="K92" s="296" t="str">
        <f>IF(B92="","",'Statement of Marks'!FJ93)</f>
        <v/>
      </c>
      <c r="L92" s="296" t="str">
        <f>IF(B92="","",'Statement of Marks'!FM93)</f>
        <v/>
      </c>
      <c r="M92" s="296" t="str">
        <f>IF(B92="","",'Statement of Marks'!FP93)</f>
        <v/>
      </c>
      <c r="N92" s="296" t="str">
        <f>IF(B92="","",'Statement of Marks'!FW93)</f>
        <v/>
      </c>
      <c r="O92" s="296" t="str">
        <f>IF(B92="","",'Statement of Marks'!GD93)</f>
        <v/>
      </c>
      <c r="P92" s="296" t="str">
        <f>IF(B92="","",'Statement of Marks'!GK93)</f>
        <v/>
      </c>
      <c r="Q92" s="296" t="str">
        <f>IF(B92="","",'Statement of Marks'!GR93)</f>
        <v/>
      </c>
      <c r="R92" s="296" t="str">
        <f>IF(B92="","",'Statement of Marks'!GS93)</f>
        <v/>
      </c>
      <c r="S92" s="288" t="str">
        <f>IF(COUNTIF(K92:R92,"F")&gt;0,"",CONCATENATE('Statement of Marks'!GU93,'Statement of Marks'!GW93))</f>
        <v xml:space="preserve">           </v>
      </c>
      <c r="T92" s="289">
        <f t="shared" si="18"/>
        <v>0</v>
      </c>
      <c r="U92" s="16"/>
      <c r="V92" s="297" t="str">
        <f t="shared" si="19"/>
        <v/>
      </c>
      <c r="W92" s="297" t="str">
        <f t="shared" si="20"/>
        <v/>
      </c>
      <c r="X92" s="16"/>
      <c r="Y92" s="297" t="str">
        <f t="shared" si="21"/>
        <v/>
      </c>
      <c r="Z92" s="297" t="str">
        <f t="shared" si="22"/>
        <v/>
      </c>
      <c r="AA92" s="16"/>
      <c r="AB92" s="297" t="str">
        <f t="shared" si="23"/>
        <v/>
      </c>
      <c r="AC92" s="298" t="str">
        <f t="shared" si="24"/>
        <v/>
      </c>
      <c r="AD92" s="16"/>
      <c r="AE92" s="297" t="str">
        <f t="shared" si="25"/>
        <v/>
      </c>
      <c r="AF92" s="298" t="str">
        <f t="shared" si="26"/>
        <v/>
      </c>
      <c r="AG92" s="16"/>
      <c r="AH92" s="297" t="str">
        <f t="shared" si="27"/>
        <v/>
      </c>
      <c r="AI92" s="298" t="str">
        <f t="shared" si="28"/>
        <v/>
      </c>
      <c r="AJ92" s="16"/>
      <c r="AK92" s="298" t="str">
        <f t="shared" si="29"/>
        <v/>
      </c>
      <c r="AL92" s="298" t="str">
        <f t="shared" si="30"/>
        <v/>
      </c>
      <c r="AM92" s="16"/>
      <c r="AN92" s="297" t="str">
        <f t="shared" si="31"/>
        <v/>
      </c>
      <c r="AO92" s="16"/>
      <c r="AP92" s="297" t="str">
        <f t="shared" si="32"/>
        <v/>
      </c>
      <c r="AQ92" s="299">
        <f t="shared" si="33"/>
        <v>0</v>
      </c>
      <c r="AR92" s="299">
        <f t="shared" si="34"/>
        <v>0</v>
      </c>
      <c r="AS92" s="300" t="str">
        <f t="shared" si="35"/>
        <v/>
      </c>
      <c r="AT92" s="301" t="str">
        <f>IF(COUNTIF(K92:R92,"F")&gt;0,"",IF(AS92="PASS",'Statement of Marks'!HF93,""))</f>
        <v/>
      </c>
      <c r="AU92" s="301" t="str">
        <f>IF(AS92="PASS",'Statement of Marks'!HG93,"")</f>
        <v/>
      </c>
    </row>
    <row r="93" spans="1:47">
      <c r="A93" s="284">
        <f>IF('Statement of Marks'!A94="","",'Statement of Marks'!A94)</f>
        <v>87</v>
      </c>
      <c r="B93" s="284" t="str">
        <f>IF('Statement of Marks'!B94="","",'Statement of Marks'!B94)</f>
        <v/>
      </c>
      <c r="C93" s="284" t="str">
        <f>IF('Statement of Marks'!C94="","",'Statement of Marks'!C94)</f>
        <v/>
      </c>
      <c r="D93" s="285" t="str">
        <f>IF('Statement of Marks'!D94="","",'Statement of Marks'!D94)</f>
        <v/>
      </c>
      <c r="E93" s="286" t="str">
        <f>IF('Statement of Marks'!E94="","",'Statement of Marks'!E94)</f>
        <v/>
      </c>
      <c r="F93" s="286" t="str">
        <f>IF('Statement of Marks'!F94="","",'Statement of Marks'!F94)</f>
        <v/>
      </c>
      <c r="G93" s="286" t="str">
        <f>IF('Statement of Marks'!G94="","",'Statement of Marks'!G94)</f>
        <v/>
      </c>
      <c r="H93" s="287" t="str">
        <f>IF('Statement of Marks'!GY94="","",'Statement of Marks'!GY94)</f>
        <v/>
      </c>
      <c r="I93" s="287" t="str">
        <f>IF('Statement of Marks'!HB94="","",'Statement of Marks'!HB94)</f>
        <v/>
      </c>
      <c r="J93" s="288" t="str">
        <f>IF('Statement of Marks'!HC94="","",'Statement of Marks'!HC94)</f>
        <v/>
      </c>
      <c r="K93" s="296" t="str">
        <f>IF(B93="","",'Statement of Marks'!FJ94)</f>
        <v/>
      </c>
      <c r="L93" s="296" t="str">
        <f>IF(B93="","",'Statement of Marks'!FM94)</f>
        <v/>
      </c>
      <c r="M93" s="296" t="str">
        <f>IF(B93="","",'Statement of Marks'!FP94)</f>
        <v/>
      </c>
      <c r="N93" s="296" t="str">
        <f>IF(B93="","",'Statement of Marks'!FW94)</f>
        <v/>
      </c>
      <c r="O93" s="296" t="str">
        <f>IF(B93="","",'Statement of Marks'!GD94)</f>
        <v/>
      </c>
      <c r="P93" s="296" t="str">
        <f>IF(B93="","",'Statement of Marks'!GK94)</f>
        <v/>
      </c>
      <c r="Q93" s="296" t="str">
        <f>IF(B93="","",'Statement of Marks'!GR94)</f>
        <v/>
      </c>
      <c r="R93" s="296" t="str">
        <f>IF(B93="","",'Statement of Marks'!GS94)</f>
        <v/>
      </c>
      <c r="S93" s="288" t="str">
        <f>IF(COUNTIF(K93:R93,"F")&gt;0,"",CONCATENATE('Statement of Marks'!GU94,'Statement of Marks'!GW94))</f>
        <v xml:space="preserve">           </v>
      </c>
      <c r="T93" s="289">
        <f t="shared" si="18"/>
        <v>0</v>
      </c>
      <c r="U93" s="16"/>
      <c r="V93" s="297" t="str">
        <f t="shared" si="19"/>
        <v/>
      </c>
      <c r="W93" s="297" t="str">
        <f t="shared" si="20"/>
        <v/>
      </c>
      <c r="X93" s="16"/>
      <c r="Y93" s="297" t="str">
        <f t="shared" si="21"/>
        <v/>
      </c>
      <c r="Z93" s="297" t="str">
        <f t="shared" si="22"/>
        <v/>
      </c>
      <c r="AA93" s="16"/>
      <c r="AB93" s="297" t="str">
        <f t="shared" si="23"/>
        <v/>
      </c>
      <c r="AC93" s="298" t="str">
        <f t="shared" si="24"/>
        <v/>
      </c>
      <c r="AD93" s="16"/>
      <c r="AE93" s="297" t="str">
        <f t="shared" si="25"/>
        <v/>
      </c>
      <c r="AF93" s="298" t="str">
        <f t="shared" si="26"/>
        <v/>
      </c>
      <c r="AG93" s="16"/>
      <c r="AH93" s="297" t="str">
        <f t="shared" si="27"/>
        <v/>
      </c>
      <c r="AI93" s="298" t="str">
        <f t="shared" si="28"/>
        <v/>
      </c>
      <c r="AJ93" s="16"/>
      <c r="AK93" s="298" t="str">
        <f t="shared" si="29"/>
        <v/>
      </c>
      <c r="AL93" s="298" t="str">
        <f t="shared" si="30"/>
        <v/>
      </c>
      <c r="AM93" s="16"/>
      <c r="AN93" s="297" t="str">
        <f t="shared" si="31"/>
        <v/>
      </c>
      <c r="AO93" s="16"/>
      <c r="AP93" s="297" t="str">
        <f t="shared" si="32"/>
        <v/>
      </c>
      <c r="AQ93" s="299">
        <f t="shared" si="33"/>
        <v>0</v>
      </c>
      <c r="AR93" s="299">
        <f t="shared" si="34"/>
        <v>0</v>
      </c>
      <c r="AS93" s="300" t="str">
        <f t="shared" si="35"/>
        <v/>
      </c>
      <c r="AT93" s="301" t="str">
        <f>IF(COUNTIF(K93:R93,"F")&gt;0,"",IF(AS93="PASS",'Statement of Marks'!HF94,""))</f>
        <v/>
      </c>
      <c r="AU93" s="301" t="str">
        <f>IF(AS93="PASS",'Statement of Marks'!HG94,"")</f>
        <v/>
      </c>
    </row>
    <row r="94" spans="1:47">
      <c r="A94" s="284">
        <f>IF('Statement of Marks'!A95="","",'Statement of Marks'!A95)</f>
        <v>88</v>
      </c>
      <c r="B94" s="284" t="str">
        <f>IF('Statement of Marks'!B95="","",'Statement of Marks'!B95)</f>
        <v/>
      </c>
      <c r="C94" s="284" t="str">
        <f>IF('Statement of Marks'!C95="","",'Statement of Marks'!C95)</f>
        <v/>
      </c>
      <c r="D94" s="285" t="str">
        <f>IF('Statement of Marks'!D95="","",'Statement of Marks'!D95)</f>
        <v/>
      </c>
      <c r="E94" s="286" t="str">
        <f>IF('Statement of Marks'!E95="","",'Statement of Marks'!E95)</f>
        <v/>
      </c>
      <c r="F94" s="286" t="str">
        <f>IF('Statement of Marks'!F95="","",'Statement of Marks'!F95)</f>
        <v/>
      </c>
      <c r="G94" s="286" t="str">
        <f>IF('Statement of Marks'!G95="","",'Statement of Marks'!G95)</f>
        <v/>
      </c>
      <c r="H94" s="287" t="str">
        <f>IF('Statement of Marks'!GY95="","",'Statement of Marks'!GY95)</f>
        <v/>
      </c>
      <c r="I94" s="287" t="str">
        <f>IF('Statement of Marks'!HB95="","",'Statement of Marks'!HB95)</f>
        <v/>
      </c>
      <c r="J94" s="288" t="str">
        <f>IF('Statement of Marks'!HC95="","",'Statement of Marks'!HC95)</f>
        <v/>
      </c>
      <c r="K94" s="296" t="str">
        <f>IF(B94="","",'Statement of Marks'!FJ95)</f>
        <v/>
      </c>
      <c r="L94" s="296" t="str">
        <f>IF(B94="","",'Statement of Marks'!FM95)</f>
        <v/>
      </c>
      <c r="M94" s="296" t="str">
        <f>IF(B94="","",'Statement of Marks'!FP95)</f>
        <v/>
      </c>
      <c r="N94" s="296" t="str">
        <f>IF(B94="","",'Statement of Marks'!FW95)</f>
        <v/>
      </c>
      <c r="O94" s="296" t="str">
        <f>IF(B94="","",'Statement of Marks'!GD95)</f>
        <v/>
      </c>
      <c r="P94" s="296" t="str">
        <f>IF(B94="","",'Statement of Marks'!GK95)</f>
        <v/>
      </c>
      <c r="Q94" s="296" t="str">
        <f>IF(B94="","",'Statement of Marks'!GR95)</f>
        <v/>
      </c>
      <c r="R94" s="296" t="str">
        <f>IF(B94="","",'Statement of Marks'!GS95)</f>
        <v/>
      </c>
      <c r="S94" s="288" t="str">
        <f>IF(COUNTIF(K94:R94,"F")&gt;0,"",CONCATENATE('Statement of Marks'!GU95,'Statement of Marks'!GW95))</f>
        <v xml:space="preserve">           </v>
      </c>
      <c r="T94" s="289">
        <f t="shared" si="18"/>
        <v>0</v>
      </c>
      <c r="U94" s="16"/>
      <c r="V94" s="297" t="str">
        <f t="shared" si="19"/>
        <v/>
      </c>
      <c r="W94" s="297" t="str">
        <f t="shared" si="20"/>
        <v/>
      </c>
      <c r="X94" s="16"/>
      <c r="Y94" s="297" t="str">
        <f t="shared" si="21"/>
        <v/>
      </c>
      <c r="Z94" s="297" t="str">
        <f t="shared" si="22"/>
        <v/>
      </c>
      <c r="AA94" s="16"/>
      <c r="AB94" s="297" t="str">
        <f t="shared" si="23"/>
        <v/>
      </c>
      <c r="AC94" s="298" t="str">
        <f t="shared" si="24"/>
        <v/>
      </c>
      <c r="AD94" s="16"/>
      <c r="AE94" s="297" t="str">
        <f t="shared" si="25"/>
        <v/>
      </c>
      <c r="AF94" s="298" t="str">
        <f t="shared" si="26"/>
        <v/>
      </c>
      <c r="AG94" s="16"/>
      <c r="AH94" s="297" t="str">
        <f t="shared" si="27"/>
        <v/>
      </c>
      <c r="AI94" s="298" t="str">
        <f t="shared" si="28"/>
        <v/>
      </c>
      <c r="AJ94" s="16"/>
      <c r="AK94" s="298" t="str">
        <f t="shared" si="29"/>
        <v/>
      </c>
      <c r="AL94" s="298" t="str">
        <f t="shared" si="30"/>
        <v/>
      </c>
      <c r="AM94" s="16"/>
      <c r="AN94" s="297" t="str">
        <f t="shared" si="31"/>
        <v/>
      </c>
      <c r="AO94" s="16"/>
      <c r="AP94" s="297" t="str">
        <f t="shared" si="32"/>
        <v/>
      </c>
      <c r="AQ94" s="299">
        <f t="shared" si="33"/>
        <v>0</v>
      </c>
      <c r="AR94" s="299">
        <f t="shared" si="34"/>
        <v>0</v>
      </c>
      <c r="AS94" s="300" t="str">
        <f t="shared" si="35"/>
        <v/>
      </c>
      <c r="AT94" s="301" t="str">
        <f>IF(COUNTIF(K94:R94,"F")&gt;0,"",IF(AS94="PASS",'Statement of Marks'!HF95,""))</f>
        <v/>
      </c>
      <c r="AU94" s="301" t="str">
        <f>IF(AS94="PASS",'Statement of Marks'!HG95,"")</f>
        <v/>
      </c>
    </row>
    <row r="95" spans="1:47">
      <c r="A95" s="284">
        <f>IF('Statement of Marks'!A96="","",'Statement of Marks'!A96)</f>
        <v>89</v>
      </c>
      <c r="B95" s="284" t="str">
        <f>IF('Statement of Marks'!B96="","",'Statement of Marks'!B96)</f>
        <v/>
      </c>
      <c r="C95" s="284" t="str">
        <f>IF('Statement of Marks'!C96="","",'Statement of Marks'!C96)</f>
        <v/>
      </c>
      <c r="D95" s="285" t="str">
        <f>IF('Statement of Marks'!D96="","",'Statement of Marks'!D96)</f>
        <v/>
      </c>
      <c r="E95" s="286" t="str">
        <f>IF('Statement of Marks'!E96="","",'Statement of Marks'!E96)</f>
        <v/>
      </c>
      <c r="F95" s="286" t="str">
        <f>IF('Statement of Marks'!F96="","",'Statement of Marks'!F96)</f>
        <v/>
      </c>
      <c r="G95" s="286" t="str">
        <f>IF('Statement of Marks'!G96="","",'Statement of Marks'!G96)</f>
        <v/>
      </c>
      <c r="H95" s="287" t="str">
        <f>IF('Statement of Marks'!GY96="","",'Statement of Marks'!GY96)</f>
        <v/>
      </c>
      <c r="I95" s="287" t="str">
        <f>IF('Statement of Marks'!HB96="","",'Statement of Marks'!HB96)</f>
        <v/>
      </c>
      <c r="J95" s="288" t="str">
        <f>IF('Statement of Marks'!HC96="","",'Statement of Marks'!HC96)</f>
        <v/>
      </c>
      <c r="K95" s="296" t="str">
        <f>IF(B95="","",'Statement of Marks'!FJ96)</f>
        <v/>
      </c>
      <c r="L95" s="296" t="str">
        <f>IF(B95="","",'Statement of Marks'!FM96)</f>
        <v/>
      </c>
      <c r="M95" s="296" t="str">
        <f>IF(B95="","",'Statement of Marks'!FP96)</f>
        <v/>
      </c>
      <c r="N95" s="296" t="str">
        <f>IF(B95="","",'Statement of Marks'!FW96)</f>
        <v/>
      </c>
      <c r="O95" s="296" t="str">
        <f>IF(B95="","",'Statement of Marks'!GD96)</f>
        <v/>
      </c>
      <c r="P95" s="296" t="str">
        <f>IF(B95="","",'Statement of Marks'!GK96)</f>
        <v/>
      </c>
      <c r="Q95" s="296" t="str">
        <f>IF(B95="","",'Statement of Marks'!GR96)</f>
        <v/>
      </c>
      <c r="R95" s="296" t="str">
        <f>IF(B95="","",'Statement of Marks'!GS96)</f>
        <v/>
      </c>
      <c r="S95" s="288" t="str">
        <f>IF(COUNTIF(K95:R95,"F")&gt;0,"",CONCATENATE('Statement of Marks'!GU96,'Statement of Marks'!GW96))</f>
        <v xml:space="preserve">           </v>
      </c>
      <c r="T95" s="289">
        <f t="shared" si="18"/>
        <v>0</v>
      </c>
      <c r="U95" s="16"/>
      <c r="V95" s="297" t="str">
        <f t="shared" si="19"/>
        <v/>
      </c>
      <c r="W95" s="297" t="str">
        <f t="shared" si="20"/>
        <v/>
      </c>
      <c r="X95" s="16"/>
      <c r="Y95" s="297" t="str">
        <f t="shared" si="21"/>
        <v/>
      </c>
      <c r="Z95" s="297" t="str">
        <f t="shared" si="22"/>
        <v/>
      </c>
      <c r="AA95" s="16"/>
      <c r="AB95" s="297" t="str">
        <f t="shared" si="23"/>
        <v/>
      </c>
      <c r="AC95" s="298" t="str">
        <f t="shared" si="24"/>
        <v/>
      </c>
      <c r="AD95" s="16"/>
      <c r="AE95" s="297" t="str">
        <f t="shared" si="25"/>
        <v/>
      </c>
      <c r="AF95" s="298" t="str">
        <f t="shared" si="26"/>
        <v/>
      </c>
      <c r="AG95" s="16"/>
      <c r="AH95" s="297" t="str">
        <f t="shared" si="27"/>
        <v/>
      </c>
      <c r="AI95" s="298" t="str">
        <f t="shared" si="28"/>
        <v/>
      </c>
      <c r="AJ95" s="16"/>
      <c r="AK95" s="298" t="str">
        <f t="shared" si="29"/>
        <v/>
      </c>
      <c r="AL95" s="298" t="str">
        <f t="shared" si="30"/>
        <v/>
      </c>
      <c r="AM95" s="16"/>
      <c r="AN95" s="297" t="str">
        <f t="shared" si="31"/>
        <v/>
      </c>
      <c r="AO95" s="16"/>
      <c r="AP95" s="297" t="str">
        <f t="shared" si="32"/>
        <v/>
      </c>
      <c r="AQ95" s="299">
        <f t="shared" si="33"/>
        <v>0</v>
      </c>
      <c r="AR95" s="299">
        <f t="shared" si="34"/>
        <v>0</v>
      </c>
      <c r="AS95" s="300" t="str">
        <f t="shared" si="35"/>
        <v/>
      </c>
      <c r="AT95" s="301" t="str">
        <f>IF(COUNTIF(K95:R95,"F")&gt;0,"",IF(AS95="PASS",'Statement of Marks'!HF96,""))</f>
        <v/>
      </c>
      <c r="AU95" s="301" t="str">
        <f>IF(AS95="PASS",'Statement of Marks'!HG96,"")</f>
        <v/>
      </c>
    </row>
    <row r="96" spans="1:47">
      <c r="A96" s="284">
        <f>IF('Statement of Marks'!A97="","",'Statement of Marks'!A97)</f>
        <v>90</v>
      </c>
      <c r="B96" s="284" t="str">
        <f>IF('Statement of Marks'!B97="","",'Statement of Marks'!B97)</f>
        <v/>
      </c>
      <c r="C96" s="284" t="str">
        <f>IF('Statement of Marks'!C97="","",'Statement of Marks'!C97)</f>
        <v/>
      </c>
      <c r="D96" s="285" t="str">
        <f>IF('Statement of Marks'!D97="","",'Statement of Marks'!D97)</f>
        <v/>
      </c>
      <c r="E96" s="286" t="str">
        <f>IF('Statement of Marks'!E97="","",'Statement of Marks'!E97)</f>
        <v/>
      </c>
      <c r="F96" s="286" t="str">
        <f>IF('Statement of Marks'!F97="","",'Statement of Marks'!F97)</f>
        <v/>
      </c>
      <c r="G96" s="286" t="str">
        <f>IF('Statement of Marks'!G97="","",'Statement of Marks'!G97)</f>
        <v/>
      </c>
      <c r="H96" s="287" t="str">
        <f>IF('Statement of Marks'!GY97="","",'Statement of Marks'!GY97)</f>
        <v/>
      </c>
      <c r="I96" s="287" t="str">
        <f>IF('Statement of Marks'!HB97="","",'Statement of Marks'!HB97)</f>
        <v/>
      </c>
      <c r="J96" s="288" t="str">
        <f>IF('Statement of Marks'!HC97="","",'Statement of Marks'!HC97)</f>
        <v/>
      </c>
      <c r="K96" s="296" t="str">
        <f>IF(B96="","",'Statement of Marks'!FJ97)</f>
        <v/>
      </c>
      <c r="L96" s="296" t="str">
        <f>IF(B96="","",'Statement of Marks'!FM97)</f>
        <v/>
      </c>
      <c r="M96" s="296" t="str">
        <f>IF(B96="","",'Statement of Marks'!FP97)</f>
        <v/>
      </c>
      <c r="N96" s="296" t="str">
        <f>IF(B96="","",'Statement of Marks'!FW97)</f>
        <v/>
      </c>
      <c r="O96" s="296" t="str">
        <f>IF(B96="","",'Statement of Marks'!GD97)</f>
        <v/>
      </c>
      <c r="P96" s="296" t="str">
        <f>IF(B96="","",'Statement of Marks'!GK97)</f>
        <v/>
      </c>
      <c r="Q96" s="296" t="str">
        <f>IF(B96="","",'Statement of Marks'!GR97)</f>
        <v/>
      </c>
      <c r="R96" s="296" t="str">
        <f>IF(B96="","",'Statement of Marks'!GS97)</f>
        <v/>
      </c>
      <c r="S96" s="288" t="str">
        <f>IF(COUNTIF(K96:R96,"F")&gt;0,"",CONCATENATE('Statement of Marks'!GU97,'Statement of Marks'!GW97))</f>
        <v xml:space="preserve">           </v>
      </c>
      <c r="T96" s="289">
        <f t="shared" si="18"/>
        <v>0</v>
      </c>
      <c r="U96" s="16"/>
      <c r="V96" s="297" t="str">
        <f t="shared" si="19"/>
        <v/>
      </c>
      <c r="W96" s="297" t="str">
        <f t="shared" si="20"/>
        <v/>
      </c>
      <c r="X96" s="16"/>
      <c r="Y96" s="297" t="str">
        <f t="shared" si="21"/>
        <v/>
      </c>
      <c r="Z96" s="297" t="str">
        <f t="shared" si="22"/>
        <v/>
      </c>
      <c r="AA96" s="16"/>
      <c r="AB96" s="297" t="str">
        <f t="shared" si="23"/>
        <v/>
      </c>
      <c r="AC96" s="298" t="str">
        <f t="shared" si="24"/>
        <v/>
      </c>
      <c r="AD96" s="16"/>
      <c r="AE96" s="297" t="str">
        <f t="shared" si="25"/>
        <v/>
      </c>
      <c r="AF96" s="298" t="str">
        <f t="shared" si="26"/>
        <v/>
      </c>
      <c r="AG96" s="16"/>
      <c r="AH96" s="297" t="str">
        <f t="shared" si="27"/>
        <v/>
      </c>
      <c r="AI96" s="298" t="str">
        <f t="shared" si="28"/>
        <v/>
      </c>
      <c r="AJ96" s="16"/>
      <c r="AK96" s="298" t="str">
        <f t="shared" si="29"/>
        <v/>
      </c>
      <c r="AL96" s="298" t="str">
        <f t="shared" si="30"/>
        <v/>
      </c>
      <c r="AM96" s="16"/>
      <c r="AN96" s="297" t="str">
        <f t="shared" si="31"/>
        <v/>
      </c>
      <c r="AO96" s="16"/>
      <c r="AP96" s="297" t="str">
        <f t="shared" si="32"/>
        <v/>
      </c>
      <c r="AQ96" s="299">
        <f t="shared" si="33"/>
        <v>0</v>
      </c>
      <c r="AR96" s="299">
        <f t="shared" si="34"/>
        <v>0</v>
      </c>
      <c r="AS96" s="300" t="str">
        <f t="shared" si="35"/>
        <v/>
      </c>
      <c r="AT96" s="301" t="str">
        <f>IF(COUNTIF(K96:R96,"F")&gt;0,"",IF(AS96="PASS",'Statement of Marks'!HF97,""))</f>
        <v/>
      </c>
      <c r="AU96" s="301" t="str">
        <f>IF(AS96="PASS",'Statement of Marks'!HG97,"")</f>
        <v/>
      </c>
    </row>
    <row r="97" spans="1:47">
      <c r="A97" s="284">
        <f>IF('Statement of Marks'!A98="","",'Statement of Marks'!A98)</f>
        <v>91</v>
      </c>
      <c r="B97" s="284" t="str">
        <f>IF('Statement of Marks'!B98="","",'Statement of Marks'!B98)</f>
        <v/>
      </c>
      <c r="C97" s="284" t="str">
        <f>IF('Statement of Marks'!C98="","",'Statement of Marks'!C98)</f>
        <v/>
      </c>
      <c r="D97" s="285" t="str">
        <f>IF('Statement of Marks'!D98="","",'Statement of Marks'!D98)</f>
        <v/>
      </c>
      <c r="E97" s="286" t="str">
        <f>IF('Statement of Marks'!E98="","",'Statement of Marks'!E98)</f>
        <v/>
      </c>
      <c r="F97" s="286" t="str">
        <f>IF('Statement of Marks'!F98="","",'Statement of Marks'!F98)</f>
        <v/>
      </c>
      <c r="G97" s="286" t="str">
        <f>IF('Statement of Marks'!G98="","",'Statement of Marks'!G98)</f>
        <v/>
      </c>
      <c r="H97" s="287" t="str">
        <f>IF('Statement of Marks'!GY98="","",'Statement of Marks'!GY98)</f>
        <v/>
      </c>
      <c r="I97" s="287" t="str">
        <f>IF('Statement of Marks'!HB98="","",'Statement of Marks'!HB98)</f>
        <v/>
      </c>
      <c r="J97" s="288" t="str">
        <f>IF('Statement of Marks'!HC98="","",'Statement of Marks'!HC98)</f>
        <v/>
      </c>
      <c r="K97" s="296" t="str">
        <f>IF(B97="","",'Statement of Marks'!FJ98)</f>
        <v/>
      </c>
      <c r="L97" s="296" t="str">
        <f>IF(B97="","",'Statement of Marks'!FM98)</f>
        <v/>
      </c>
      <c r="M97" s="296" t="str">
        <f>IF(B97="","",'Statement of Marks'!FP98)</f>
        <v/>
      </c>
      <c r="N97" s="296" t="str">
        <f>IF(B97="","",'Statement of Marks'!FW98)</f>
        <v/>
      </c>
      <c r="O97" s="296" t="str">
        <f>IF(B97="","",'Statement of Marks'!GD98)</f>
        <v/>
      </c>
      <c r="P97" s="296" t="str">
        <f>IF(B97="","",'Statement of Marks'!GK98)</f>
        <v/>
      </c>
      <c r="Q97" s="296" t="str">
        <f>IF(B97="","",'Statement of Marks'!GR98)</f>
        <v/>
      </c>
      <c r="R97" s="296" t="str">
        <f>IF(B97="","",'Statement of Marks'!GS98)</f>
        <v/>
      </c>
      <c r="S97" s="288" t="str">
        <f>IF(COUNTIF(K97:R97,"F")&gt;0,"",CONCATENATE('Statement of Marks'!GU98,'Statement of Marks'!GW98))</f>
        <v xml:space="preserve">           </v>
      </c>
      <c r="T97" s="289">
        <f t="shared" si="18"/>
        <v>0</v>
      </c>
      <c r="U97" s="16"/>
      <c r="V97" s="297" t="str">
        <f t="shared" si="19"/>
        <v/>
      </c>
      <c r="W97" s="297" t="str">
        <f t="shared" si="20"/>
        <v/>
      </c>
      <c r="X97" s="16"/>
      <c r="Y97" s="297" t="str">
        <f t="shared" si="21"/>
        <v/>
      </c>
      <c r="Z97" s="297" t="str">
        <f t="shared" si="22"/>
        <v/>
      </c>
      <c r="AA97" s="16"/>
      <c r="AB97" s="297" t="str">
        <f t="shared" si="23"/>
        <v/>
      </c>
      <c r="AC97" s="298" t="str">
        <f t="shared" si="24"/>
        <v/>
      </c>
      <c r="AD97" s="16"/>
      <c r="AE97" s="297" t="str">
        <f t="shared" si="25"/>
        <v/>
      </c>
      <c r="AF97" s="298" t="str">
        <f t="shared" si="26"/>
        <v/>
      </c>
      <c r="AG97" s="16"/>
      <c r="AH97" s="297" t="str">
        <f t="shared" si="27"/>
        <v/>
      </c>
      <c r="AI97" s="298" t="str">
        <f t="shared" si="28"/>
        <v/>
      </c>
      <c r="AJ97" s="16"/>
      <c r="AK97" s="298" t="str">
        <f t="shared" si="29"/>
        <v/>
      </c>
      <c r="AL97" s="298" t="str">
        <f t="shared" si="30"/>
        <v/>
      </c>
      <c r="AM97" s="16"/>
      <c r="AN97" s="297" t="str">
        <f t="shared" si="31"/>
        <v/>
      </c>
      <c r="AO97" s="16"/>
      <c r="AP97" s="297" t="str">
        <f t="shared" si="32"/>
        <v/>
      </c>
      <c r="AQ97" s="299">
        <f t="shared" si="33"/>
        <v>0</v>
      </c>
      <c r="AR97" s="299">
        <f t="shared" si="34"/>
        <v>0</v>
      </c>
      <c r="AS97" s="300" t="str">
        <f t="shared" si="35"/>
        <v/>
      </c>
      <c r="AT97" s="301" t="str">
        <f>IF(COUNTIF(K97:R97,"F")&gt;0,"",IF(AS97="PASS",'Statement of Marks'!HF98,""))</f>
        <v/>
      </c>
      <c r="AU97" s="301" t="str">
        <f>IF(AS97="PASS",'Statement of Marks'!HG98,"")</f>
        <v/>
      </c>
    </row>
    <row r="98" spans="1:47">
      <c r="A98" s="284">
        <f>IF('Statement of Marks'!A99="","",'Statement of Marks'!A99)</f>
        <v>92</v>
      </c>
      <c r="B98" s="284" t="str">
        <f>IF('Statement of Marks'!B99="","",'Statement of Marks'!B99)</f>
        <v/>
      </c>
      <c r="C98" s="284" t="str">
        <f>IF('Statement of Marks'!C99="","",'Statement of Marks'!C99)</f>
        <v/>
      </c>
      <c r="D98" s="285" t="str">
        <f>IF('Statement of Marks'!D99="","",'Statement of Marks'!D99)</f>
        <v/>
      </c>
      <c r="E98" s="286" t="str">
        <f>IF('Statement of Marks'!E99="","",'Statement of Marks'!E99)</f>
        <v/>
      </c>
      <c r="F98" s="286" t="str">
        <f>IF('Statement of Marks'!F99="","",'Statement of Marks'!F99)</f>
        <v/>
      </c>
      <c r="G98" s="286" t="str">
        <f>IF('Statement of Marks'!G99="","",'Statement of Marks'!G99)</f>
        <v/>
      </c>
      <c r="H98" s="287" t="str">
        <f>IF('Statement of Marks'!GY99="","",'Statement of Marks'!GY99)</f>
        <v/>
      </c>
      <c r="I98" s="287" t="str">
        <f>IF('Statement of Marks'!HB99="","",'Statement of Marks'!HB99)</f>
        <v/>
      </c>
      <c r="J98" s="288" t="str">
        <f>IF('Statement of Marks'!HC99="","",'Statement of Marks'!HC99)</f>
        <v/>
      </c>
      <c r="K98" s="296" t="str">
        <f>IF(B98="","",'Statement of Marks'!FJ99)</f>
        <v/>
      </c>
      <c r="L98" s="296" t="str">
        <f>IF(B98="","",'Statement of Marks'!FM99)</f>
        <v/>
      </c>
      <c r="M98" s="296" t="str">
        <f>IF(B98="","",'Statement of Marks'!FP99)</f>
        <v/>
      </c>
      <c r="N98" s="296" t="str">
        <f>IF(B98="","",'Statement of Marks'!FW99)</f>
        <v/>
      </c>
      <c r="O98" s="296" t="str">
        <f>IF(B98="","",'Statement of Marks'!GD99)</f>
        <v/>
      </c>
      <c r="P98" s="296" t="str">
        <f>IF(B98="","",'Statement of Marks'!GK99)</f>
        <v/>
      </c>
      <c r="Q98" s="296" t="str">
        <f>IF(B98="","",'Statement of Marks'!GR99)</f>
        <v/>
      </c>
      <c r="R98" s="296" t="str">
        <f>IF(B98="","",'Statement of Marks'!GS99)</f>
        <v/>
      </c>
      <c r="S98" s="288" t="str">
        <f>IF(COUNTIF(K98:R98,"F")&gt;0,"",CONCATENATE('Statement of Marks'!GU99,'Statement of Marks'!GW99))</f>
        <v xml:space="preserve">           </v>
      </c>
      <c r="T98" s="289">
        <f t="shared" si="18"/>
        <v>0</v>
      </c>
      <c r="U98" s="16"/>
      <c r="V98" s="297" t="str">
        <f t="shared" si="19"/>
        <v/>
      </c>
      <c r="W98" s="297" t="str">
        <f t="shared" si="20"/>
        <v/>
      </c>
      <c r="X98" s="16"/>
      <c r="Y98" s="297" t="str">
        <f t="shared" si="21"/>
        <v/>
      </c>
      <c r="Z98" s="297" t="str">
        <f t="shared" si="22"/>
        <v/>
      </c>
      <c r="AA98" s="16"/>
      <c r="AB98" s="297" t="str">
        <f t="shared" si="23"/>
        <v/>
      </c>
      <c r="AC98" s="298" t="str">
        <f t="shared" si="24"/>
        <v/>
      </c>
      <c r="AD98" s="16"/>
      <c r="AE98" s="297" t="str">
        <f t="shared" si="25"/>
        <v/>
      </c>
      <c r="AF98" s="298" t="str">
        <f t="shared" si="26"/>
        <v/>
      </c>
      <c r="AG98" s="16"/>
      <c r="AH98" s="297" t="str">
        <f t="shared" si="27"/>
        <v/>
      </c>
      <c r="AI98" s="298" t="str">
        <f t="shared" si="28"/>
        <v/>
      </c>
      <c r="AJ98" s="16"/>
      <c r="AK98" s="298" t="str">
        <f t="shared" si="29"/>
        <v/>
      </c>
      <c r="AL98" s="298" t="str">
        <f t="shared" si="30"/>
        <v/>
      </c>
      <c r="AM98" s="16"/>
      <c r="AN98" s="297" t="str">
        <f t="shared" si="31"/>
        <v/>
      </c>
      <c r="AO98" s="16"/>
      <c r="AP98" s="297" t="str">
        <f t="shared" si="32"/>
        <v/>
      </c>
      <c r="AQ98" s="299">
        <f t="shared" si="33"/>
        <v>0</v>
      </c>
      <c r="AR98" s="299">
        <f t="shared" si="34"/>
        <v>0</v>
      </c>
      <c r="AS98" s="300" t="str">
        <f t="shared" si="35"/>
        <v/>
      </c>
      <c r="AT98" s="301" t="str">
        <f>IF(COUNTIF(K98:R98,"F")&gt;0,"",IF(AS98="PASS",'Statement of Marks'!HF99,""))</f>
        <v/>
      </c>
      <c r="AU98" s="301" t="str">
        <f>IF(AS98="PASS",'Statement of Marks'!HG99,"")</f>
        <v/>
      </c>
    </row>
    <row r="99" spans="1:47">
      <c r="A99" s="284">
        <f>IF('Statement of Marks'!A100="","",'Statement of Marks'!A100)</f>
        <v>93</v>
      </c>
      <c r="B99" s="284" t="str">
        <f>IF('Statement of Marks'!B100="","",'Statement of Marks'!B100)</f>
        <v/>
      </c>
      <c r="C99" s="284" t="str">
        <f>IF('Statement of Marks'!C100="","",'Statement of Marks'!C100)</f>
        <v/>
      </c>
      <c r="D99" s="285" t="str">
        <f>IF('Statement of Marks'!D100="","",'Statement of Marks'!D100)</f>
        <v/>
      </c>
      <c r="E99" s="286" t="str">
        <f>IF('Statement of Marks'!E100="","",'Statement of Marks'!E100)</f>
        <v/>
      </c>
      <c r="F99" s="286" t="str">
        <f>IF('Statement of Marks'!F100="","",'Statement of Marks'!F100)</f>
        <v/>
      </c>
      <c r="G99" s="286" t="str">
        <f>IF('Statement of Marks'!G100="","",'Statement of Marks'!G100)</f>
        <v/>
      </c>
      <c r="H99" s="287" t="str">
        <f>IF('Statement of Marks'!GY100="","",'Statement of Marks'!GY100)</f>
        <v/>
      </c>
      <c r="I99" s="287" t="str">
        <f>IF('Statement of Marks'!HB100="","",'Statement of Marks'!HB100)</f>
        <v/>
      </c>
      <c r="J99" s="288" t="str">
        <f>IF('Statement of Marks'!HC100="","",'Statement of Marks'!HC100)</f>
        <v/>
      </c>
      <c r="K99" s="296" t="str">
        <f>IF(B99="","",'Statement of Marks'!FJ100)</f>
        <v/>
      </c>
      <c r="L99" s="296" t="str">
        <f>IF(B99="","",'Statement of Marks'!FM100)</f>
        <v/>
      </c>
      <c r="M99" s="296" t="str">
        <f>IF(B99="","",'Statement of Marks'!FP100)</f>
        <v/>
      </c>
      <c r="N99" s="296" t="str">
        <f>IF(B99="","",'Statement of Marks'!FW100)</f>
        <v/>
      </c>
      <c r="O99" s="296" t="str">
        <f>IF(B99="","",'Statement of Marks'!GD100)</f>
        <v/>
      </c>
      <c r="P99" s="296" t="str">
        <f>IF(B99="","",'Statement of Marks'!GK100)</f>
        <v/>
      </c>
      <c r="Q99" s="296" t="str">
        <f>IF(B99="","",'Statement of Marks'!GR100)</f>
        <v/>
      </c>
      <c r="R99" s="296" t="str">
        <f>IF(B99="","",'Statement of Marks'!GS100)</f>
        <v/>
      </c>
      <c r="S99" s="288" t="str">
        <f>IF(COUNTIF(K99:R99,"F")&gt;0,"",CONCATENATE('Statement of Marks'!GU100,'Statement of Marks'!GW100))</f>
        <v xml:space="preserve">           </v>
      </c>
      <c r="T99" s="289">
        <f t="shared" si="18"/>
        <v>0</v>
      </c>
      <c r="U99" s="16"/>
      <c r="V99" s="297" t="str">
        <f t="shared" si="19"/>
        <v/>
      </c>
      <c r="W99" s="297" t="str">
        <f t="shared" si="20"/>
        <v/>
      </c>
      <c r="X99" s="16"/>
      <c r="Y99" s="297" t="str">
        <f t="shared" si="21"/>
        <v/>
      </c>
      <c r="Z99" s="297" t="str">
        <f t="shared" si="22"/>
        <v/>
      </c>
      <c r="AA99" s="16"/>
      <c r="AB99" s="297" t="str">
        <f t="shared" si="23"/>
        <v/>
      </c>
      <c r="AC99" s="298" t="str">
        <f t="shared" si="24"/>
        <v/>
      </c>
      <c r="AD99" s="16"/>
      <c r="AE99" s="297" t="str">
        <f t="shared" si="25"/>
        <v/>
      </c>
      <c r="AF99" s="298" t="str">
        <f t="shared" si="26"/>
        <v/>
      </c>
      <c r="AG99" s="16"/>
      <c r="AH99" s="297" t="str">
        <f t="shared" si="27"/>
        <v/>
      </c>
      <c r="AI99" s="298" t="str">
        <f t="shared" si="28"/>
        <v/>
      </c>
      <c r="AJ99" s="16"/>
      <c r="AK99" s="298" t="str">
        <f t="shared" si="29"/>
        <v/>
      </c>
      <c r="AL99" s="298" t="str">
        <f t="shared" si="30"/>
        <v/>
      </c>
      <c r="AM99" s="16"/>
      <c r="AN99" s="297" t="str">
        <f t="shared" si="31"/>
        <v/>
      </c>
      <c r="AO99" s="16"/>
      <c r="AP99" s="297" t="str">
        <f t="shared" si="32"/>
        <v/>
      </c>
      <c r="AQ99" s="299">
        <f t="shared" si="33"/>
        <v>0</v>
      </c>
      <c r="AR99" s="299">
        <f t="shared" si="34"/>
        <v>0</v>
      </c>
      <c r="AS99" s="300" t="str">
        <f t="shared" si="35"/>
        <v/>
      </c>
      <c r="AT99" s="301" t="str">
        <f>IF(COUNTIF(K99:R99,"F")&gt;0,"",IF(AS99="PASS",'Statement of Marks'!HF100,""))</f>
        <v/>
      </c>
      <c r="AU99" s="301" t="str">
        <f>IF(AS99="PASS",'Statement of Marks'!HG100,"")</f>
        <v/>
      </c>
    </row>
    <row r="100" spans="1:47">
      <c r="A100" s="284">
        <f>IF('Statement of Marks'!A101="","",'Statement of Marks'!A101)</f>
        <v>94</v>
      </c>
      <c r="B100" s="284" t="str">
        <f>IF('Statement of Marks'!B101="","",'Statement of Marks'!B101)</f>
        <v/>
      </c>
      <c r="C100" s="284" t="str">
        <f>IF('Statement of Marks'!C101="","",'Statement of Marks'!C101)</f>
        <v/>
      </c>
      <c r="D100" s="285" t="str">
        <f>IF('Statement of Marks'!D101="","",'Statement of Marks'!D101)</f>
        <v/>
      </c>
      <c r="E100" s="286" t="str">
        <f>IF('Statement of Marks'!E101="","",'Statement of Marks'!E101)</f>
        <v/>
      </c>
      <c r="F100" s="286" t="str">
        <f>IF('Statement of Marks'!F101="","",'Statement of Marks'!F101)</f>
        <v/>
      </c>
      <c r="G100" s="286" t="str">
        <f>IF('Statement of Marks'!G101="","",'Statement of Marks'!G101)</f>
        <v/>
      </c>
      <c r="H100" s="287" t="str">
        <f>IF('Statement of Marks'!GY101="","",'Statement of Marks'!GY101)</f>
        <v/>
      </c>
      <c r="I100" s="287" t="str">
        <f>IF('Statement of Marks'!HB101="","",'Statement of Marks'!HB101)</f>
        <v/>
      </c>
      <c r="J100" s="288" t="str">
        <f>IF('Statement of Marks'!HC101="","",'Statement of Marks'!HC101)</f>
        <v/>
      </c>
      <c r="K100" s="296" t="str">
        <f>IF(B100="","",'Statement of Marks'!FJ101)</f>
        <v/>
      </c>
      <c r="L100" s="296" t="str">
        <f>IF(B100="","",'Statement of Marks'!FM101)</f>
        <v/>
      </c>
      <c r="M100" s="296" t="str">
        <f>IF(B100="","",'Statement of Marks'!FP101)</f>
        <v/>
      </c>
      <c r="N100" s="296" t="str">
        <f>IF(B100="","",'Statement of Marks'!FW101)</f>
        <v/>
      </c>
      <c r="O100" s="296" t="str">
        <f>IF(B100="","",'Statement of Marks'!GD101)</f>
        <v/>
      </c>
      <c r="P100" s="296" t="str">
        <f>IF(B100="","",'Statement of Marks'!GK101)</f>
        <v/>
      </c>
      <c r="Q100" s="296" t="str">
        <f>IF(B100="","",'Statement of Marks'!GR101)</f>
        <v/>
      </c>
      <c r="R100" s="296" t="str">
        <f>IF(B100="","",'Statement of Marks'!GS101)</f>
        <v/>
      </c>
      <c r="S100" s="288" t="str">
        <f>IF(COUNTIF(K100:R100,"F")&gt;0,"",CONCATENATE('Statement of Marks'!GU101,'Statement of Marks'!GW101))</f>
        <v xml:space="preserve">           </v>
      </c>
      <c r="T100" s="289">
        <f t="shared" si="18"/>
        <v>0</v>
      </c>
      <c r="U100" s="16"/>
      <c r="V100" s="297" t="str">
        <f t="shared" si="19"/>
        <v/>
      </c>
      <c r="W100" s="297" t="str">
        <f t="shared" si="20"/>
        <v/>
      </c>
      <c r="X100" s="16"/>
      <c r="Y100" s="297" t="str">
        <f t="shared" si="21"/>
        <v/>
      </c>
      <c r="Z100" s="297" t="str">
        <f t="shared" si="22"/>
        <v/>
      </c>
      <c r="AA100" s="16"/>
      <c r="AB100" s="297" t="str">
        <f t="shared" si="23"/>
        <v/>
      </c>
      <c r="AC100" s="298" t="str">
        <f t="shared" si="24"/>
        <v/>
      </c>
      <c r="AD100" s="16"/>
      <c r="AE100" s="297" t="str">
        <f t="shared" si="25"/>
        <v/>
      </c>
      <c r="AF100" s="298" t="str">
        <f t="shared" si="26"/>
        <v/>
      </c>
      <c r="AG100" s="16"/>
      <c r="AH100" s="297" t="str">
        <f t="shared" si="27"/>
        <v/>
      </c>
      <c r="AI100" s="298" t="str">
        <f t="shared" si="28"/>
        <v/>
      </c>
      <c r="AJ100" s="16"/>
      <c r="AK100" s="298" t="str">
        <f t="shared" si="29"/>
        <v/>
      </c>
      <c r="AL100" s="298" t="str">
        <f t="shared" si="30"/>
        <v/>
      </c>
      <c r="AM100" s="16"/>
      <c r="AN100" s="297" t="str">
        <f t="shared" si="31"/>
        <v/>
      </c>
      <c r="AO100" s="16"/>
      <c r="AP100" s="297" t="str">
        <f t="shared" si="32"/>
        <v/>
      </c>
      <c r="AQ100" s="299">
        <f t="shared" si="33"/>
        <v>0</v>
      </c>
      <c r="AR100" s="299">
        <f t="shared" si="34"/>
        <v>0</v>
      </c>
      <c r="AS100" s="300" t="str">
        <f t="shared" si="35"/>
        <v/>
      </c>
      <c r="AT100" s="301" t="str">
        <f>IF(COUNTIF(K100:R100,"F")&gt;0,"",IF(AS100="PASS",'Statement of Marks'!HF101,""))</f>
        <v/>
      </c>
      <c r="AU100" s="301" t="str">
        <f>IF(AS100="PASS",'Statement of Marks'!HG101,"")</f>
        <v/>
      </c>
    </row>
    <row r="101" spans="1:47">
      <c r="A101" s="284">
        <f>IF('Statement of Marks'!A102="","",'Statement of Marks'!A102)</f>
        <v>95</v>
      </c>
      <c r="B101" s="284" t="str">
        <f>IF('Statement of Marks'!B102="","",'Statement of Marks'!B102)</f>
        <v/>
      </c>
      <c r="C101" s="284" t="str">
        <f>IF('Statement of Marks'!C102="","",'Statement of Marks'!C102)</f>
        <v/>
      </c>
      <c r="D101" s="285" t="str">
        <f>IF('Statement of Marks'!D102="","",'Statement of Marks'!D102)</f>
        <v/>
      </c>
      <c r="E101" s="286" t="str">
        <f>IF('Statement of Marks'!E102="","",'Statement of Marks'!E102)</f>
        <v/>
      </c>
      <c r="F101" s="286" t="str">
        <f>IF('Statement of Marks'!F102="","",'Statement of Marks'!F102)</f>
        <v/>
      </c>
      <c r="G101" s="286" t="str">
        <f>IF('Statement of Marks'!G102="","",'Statement of Marks'!G102)</f>
        <v/>
      </c>
      <c r="H101" s="287" t="str">
        <f>IF('Statement of Marks'!GY102="","",'Statement of Marks'!GY102)</f>
        <v/>
      </c>
      <c r="I101" s="287" t="str">
        <f>IF('Statement of Marks'!HB102="","",'Statement of Marks'!HB102)</f>
        <v/>
      </c>
      <c r="J101" s="288" t="str">
        <f>IF('Statement of Marks'!HC102="","",'Statement of Marks'!HC102)</f>
        <v/>
      </c>
      <c r="K101" s="296" t="str">
        <f>IF(B101="","",'Statement of Marks'!FJ102)</f>
        <v/>
      </c>
      <c r="L101" s="296" t="str">
        <f>IF(B101="","",'Statement of Marks'!FM102)</f>
        <v/>
      </c>
      <c r="M101" s="296" t="str">
        <f>IF(B101="","",'Statement of Marks'!FP102)</f>
        <v/>
      </c>
      <c r="N101" s="296" t="str">
        <f>IF(B101="","",'Statement of Marks'!FW102)</f>
        <v/>
      </c>
      <c r="O101" s="296" t="str">
        <f>IF(B101="","",'Statement of Marks'!GD102)</f>
        <v/>
      </c>
      <c r="P101" s="296" t="str">
        <f>IF(B101="","",'Statement of Marks'!GK102)</f>
        <v/>
      </c>
      <c r="Q101" s="296" t="str">
        <f>IF(B101="","",'Statement of Marks'!GR102)</f>
        <v/>
      </c>
      <c r="R101" s="296" t="str">
        <f>IF(B101="","",'Statement of Marks'!GS102)</f>
        <v/>
      </c>
      <c r="S101" s="288" t="str">
        <f>IF(COUNTIF(K101:R101,"F")&gt;0,"",CONCATENATE('Statement of Marks'!GU102,'Statement of Marks'!GW102))</f>
        <v xml:space="preserve">           </v>
      </c>
      <c r="T101" s="289">
        <f t="shared" si="18"/>
        <v>0</v>
      </c>
      <c r="U101" s="16"/>
      <c r="V101" s="297" t="str">
        <f t="shared" si="19"/>
        <v/>
      </c>
      <c r="W101" s="297" t="str">
        <f t="shared" si="20"/>
        <v/>
      </c>
      <c r="X101" s="16"/>
      <c r="Y101" s="297" t="str">
        <f t="shared" si="21"/>
        <v/>
      </c>
      <c r="Z101" s="297" t="str">
        <f t="shared" si="22"/>
        <v/>
      </c>
      <c r="AA101" s="16"/>
      <c r="AB101" s="297" t="str">
        <f t="shared" si="23"/>
        <v/>
      </c>
      <c r="AC101" s="298" t="str">
        <f t="shared" si="24"/>
        <v/>
      </c>
      <c r="AD101" s="16"/>
      <c r="AE101" s="297" t="str">
        <f t="shared" si="25"/>
        <v/>
      </c>
      <c r="AF101" s="298" t="str">
        <f t="shared" si="26"/>
        <v/>
      </c>
      <c r="AG101" s="16"/>
      <c r="AH101" s="297" t="str">
        <f t="shared" si="27"/>
        <v/>
      </c>
      <c r="AI101" s="298" t="str">
        <f t="shared" si="28"/>
        <v/>
      </c>
      <c r="AJ101" s="16"/>
      <c r="AK101" s="298" t="str">
        <f t="shared" si="29"/>
        <v/>
      </c>
      <c r="AL101" s="298" t="str">
        <f t="shared" si="30"/>
        <v/>
      </c>
      <c r="AM101" s="16"/>
      <c r="AN101" s="297" t="str">
        <f t="shared" si="31"/>
        <v/>
      </c>
      <c r="AO101" s="16"/>
      <c r="AP101" s="297" t="str">
        <f t="shared" si="32"/>
        <v/>
      </c>
      <c r="AQ101" s="299">
        <f t="shared" si="33"/>
        <v>0</v>
      </c>
      <c r="AR101" s="299">
        <f t="shared" si="34"/>
        <v>0</v>
      </c>
      <c r="AS101" s="300" t="str">
        <f t="shared" si="35"/>
        <v/>
      </c>
      <c r="AT101" s="301" t="str">
        <f>IF(COUNTIF(K101:R101,"F")&gt;0,"",IF(AS101="PASS",'Statement of Marks'!HF102,""))</f>
        <v/>
      </c>
      <c r="AU101" s="301" t="str">
        <f>IF(AS101="PASS",'Statement of Marks'!HG102,"")</f>
        <v/>
      </c>
    </row>
    <row r="102" spans="1:47">
      <c r="A102" s="284">
        <f>IF('Statement of Marks'!A103="","",'Statement of Marks'!A103)</f>
        <v>96</v>
      </c>
      <c r="B102" s="284" t="str">
        <f>IF('Statement of Marks'!B103="","",'Statement of Marks'!B103)</f>
        <v/>
      </c>
      <c r="C102" s="284" t="str">
        <f>IF('Statement of Marks'!C103="","",'Statement of Marks'!C103)</f>
        <v/>
      </c>
      <c r="D102" s="285" t="str">
        <f>IF('Statement of Marks'!D103="","",'Statement of Marks'!D103)</f>
        <v/>
      </c>
      <c r="E102" s="286" t="str">
        <f>IF('Statement of Marks'!E103="","",'Statement of Marks'!E103)</f>
        <v/>
      </c>
      <c r="F102" s="286" t="str">
        <f>IF('Statement of Marks'!F103="","",'Statement of Marks'!F103)</f>
        <v/>
      </c>
      <c r="G102" s="286" t="str">
        <f>IF('Statement of Marks'!G103="","",'Statement of Marks'!G103)</f>
        <v/>
      </c>
      <c r="H102" s="287" t="str">
        <f>IF('Statement of Marks'!GY103="","",'Statement of Marks'!GY103)</f>
        <v/>
      </c>
      <c r="I102" s="287" t="str">
        <f>IF('Statement of Marks'!HB103="","",'Statement of Marks'!HB103)</f>
        <v/>
      </c>
      <c r="J102" s="288" t="str">
        <f>IF('Statement of Marks'!HC103="","",'Statement of Marks'!HC103)</f>
        <v/>
      </c>
      <c r="K102" s="296" t="str">
        <f>IF(B102="","",'Statement of Marks'!FJ103)</f>
        <v/>
      </c>
      <c r="L102" s="296" t="str">
        <f>IF(B102="","",'Statement of Marks'!FM103)</f>
        <v/>
      </c>
      <c r="M102" s="296" t="str">
        <f>IF(B102="","",'Statement of Marks'!FP103)</f>
        <v/>
      </c>
      <c r="N102" s="296" t="str">
        <f>IF(B102="","",'Statement of Marks'!FW103)</f>
        <v/>
      </c>
      <c r="O102" s="296" t="str">
        <f>IF(B102="","",'Statement of Marks'!GD103)</f>
        <v/>
      </c>
      <c r="P102" s="296" t="str">
        <f>IF(B102="","",'Statement of Marks'!GK103)</f>
        <v/>
      </c>
      <c r="Q102" s="296" t="str">
        <f>IF(B102="","",'Statement of Marks'!GR103)</f>
        <v/>
      </c>
      <c r="R102" s="296" t="str">
        <f>IF(B102="","",'Statement of Marks'!GS103)</f>
        <v/>
      </c>
      <c r="S102" s="288" t="str">
        <f>IF(COUNTIF(K102:R102,"F")&gt;0,"",CONCATENATE('Statement of Marks'!GU103,'Statement of Marks'!GW103))</f>
        <v xml:space="preserve">           </v>
      </c>
      <c r="T102" s="289">
        <f t="shared" si="18"/>
        <v>0</v>
      </c>
      <c r="U102" s="16"/>
      <c r="V102" s="297" t="str">
        <f t="shared" si="19"/>
        <v/>
      </c>
      <c r="W102" s="297" t="str">
        <f t="shared" si="20"/>
        <v/>
      </c>
      <c r="X102" s="16"/>
      <c r="Y102" s="297" t="str">
        <f t="shared" si="21"/>
        <v/>
      </c>
      <c r="Z102" s="297" t="str">
        <f t="shared" si="22"/>
        <v/>
      </c>
      <c r="AA102" s="16"/>
      <c r="AB102" s="297" t="str">
        <f t="shared" si="23"/>
        <v/>
      </c>
      <c r="AC102" s="298" t="str">
        <f t="shared" si="24"/>
        <v/>
      </c>
      <c r="AD102" s="16"/>
      <c r="AE102" s="297" t="str">
        <f t="shared" si="25"/>
        <v/>
      </c>
      <c r="AF102" s="298" t="str">
        <f t="shared" si="26"/>
        <v/>
      </c>
      <c r="AG102" s="16"/>
      <c r="AH102" s="297" t="str">
        <f t="shared" si="27"/>
        <v/>
      </c>
      <c r="AI102" s="298" t="str">
        <f t="shared" si="28"/>
        <v/>
      </c>
      <c r="AJ102" s="16"/>
      <c r="AK102" s="298" t="str">
        <f t="shared" si="29"/>
        <v/>
      </c>
      <c r="AL102" s="298" t="str">
        <f t="shared" si="30"/>
        <v/>
      </c>
      <c r="AM102" s="16"/>
      <c r="AN102" s="297" t="str">
        <f t="shared" si="31"/>
        <v/>
      </c>
      <c r="AO102" s="16"/>
      <c r="AP102" s="297" t="str">
        <f t="shared" si="32"/>
        <v/>
      </c>
      <c r="AQ102" s="299">
        <f t="shared" si="33"/>
        <v>0</v>
      </c>
      <c r="AR102" s="299">
        <f t="shared" si="34"/>
        <v>0</v>
      </c>
      <c r="AS102" s="300" t="str">
        <f t="shared" si="35"/>
        <v/>
      </c>
      <c r="AT102" s="301" t="str">
        <f>IF(COUNTIF(K102:R102,"F")&gt;0,"",IF(AS102="PASS",'Statement of Marks'!HF103,""))</f>
        <v/>
      </c>
      <c r="AU102" s="301" t="str">
        <f>IF(AS102="PASS",'Statement of Marks'!HG103,"")</f>
        <v/>
      </c>
    </row>
    <row r="103" spans="1:47">
      <c r="A103" s="284">
        <f>IF('Statement of Marks'!A104="","",'Statement of Marks'!A104)</f>
        <v>97</v>
      </c>
      <c r="B103" s="284" t="str">
        <f>IF('Statement of Marks'!B104="","",'Statement of Marks'!B104)</f>
        <v/>
      </c>
      <c r="C103" s="284" t="str">
        <f>IF('Statement of Marks'!C104="","",'Statement of Marks'!C104)</f>
        <v/>
      </c>
      <c r="D103" s="285" t="str">
        <f>IF('Statement of Marks'!D104="","",'Statement of Marks'!D104)</f>
        <v/>
      </c>
      <c r="E103" s="286" t="str">
        <f>IF('Statement of Marks'!E104="","",'Statement of Marks'!E104)</f>
        <v/>
      </c>
      <c r="F103" s="286" t="str">
        <f>IF('Statement of Marks'!F104="","",'Statement of Marks'!F104)</f>
        <v/>
      </c>
      <c r="G103" s="286" t="str">
        <f>IF('Statement of Marks'!G104="","",'Statement of Marks'!G104)</f>
        <v/>
      </c>
      <c r="H103" s="287" t="str">
        <f>IF('Statement of Marks'!GY104="","",'Statement of Marks'!GY104)</f>
        <v/>
      </c>
      <c r="I103" s="287" t="str">
        <f>IF('Statement of Marks'!HB104="","",'Statement of Marks'!HB104)</f>
        <v/>
      </c>
      <c r="J103" s="288" t="str">
        <f>IF('Statement of Marks'!HC104="","",'Statement of Marks'!HC104)</f>
        <v/>
      </c>
      <c r="K103" s="296" t="str">
        <f>IF(B103="","",'Statement of Marks'!FJ104)</f>
        <v/>
      </c>
      <c r="L103" s="296" t="str">
        <f>IF(B103="","",'Statement of Marks'!FM104)</f>
        <v/>
      </c>
      <c r="M103" s="296" t="str">
        <f>IF(B103="","",'Statement of Marks'!FP104)</f>
        <v/>
      </c>
      <c r="N103" s="296" t="str">
        <f>IF(B103="","",'Statement of Marks'!FW104)</f>
        <v/>
      </c>
      <c r="O103" s="296" t="str">
        <f>IF(B103="","",'Statement of Marks'!GD104)</f>
        <v/>
      </c>
      <c r="P103" s="296" t="str">
        <f>IF(B103="","",'Statement of Marks'!GK104)</f>
        <v/>
      </c>
      <c r="Q103" s="296" t="str">
        <f>IF(B103="","",'Statement of Marks'!GR104)</f>
        <v/>
      </c>
      <c r="R103" s="296" t="str">
        <f>IF(B103="","",'Statement of Marks'!GS104)</f>
        <v/>
      </c>
      <c r="S103" s="288" t="str">
        <f>IF(COUNTIF(K103:R103,"F")&gt;0,"",CONCATENATE('Statement of Marks'!GU104,'Statement of Marks'!GW104))</f>
        <v xml:space="preserve">           </v>
      </c>
      <c r="T103" s="289">
        <f t="shared" si="18"/>
        <v>0</v>
      </c>
      <c r="U103" s="16"/>
      <c r="V103" s="297" t="str">
        <f t="shared" si="19"/>
        <v/>
      </c>
      <c r="W103" s="297" t="str">
        <f t="shared" si="20"/>
        <v/>
      </c>
      <c r="X103" s="16"/>
      <c r="Y103" s="297" t="str">
        <f t="shared" si="21"/>
        <v/>
      </c>
      <c r="Z103" s="297" t="str">
        <f t="shared" si="22"/>
        <v/>
      </c>
      <c r="AA103" s="16"/>
      <c r="AB103" s="297" t="str">
        <f t="shared" si="23"/>
        <v/>
      </c>
      <c r="AC103" s="298" t="str">
        <f t="shared" si="24"/>
        <v/>
      </c>
      <c r="AD103" s="16"/>
      <c r="AE103" s="297" t="str">
        <f t="shared" si="25"/>
        <v/>
      </c>
      <c r="AF103" s="298" t="str">
        <f t="shared" si="26"/>
        <v/>
      </c>
      <c r="AG103" s="16"/>
      <c r="AH103" s="297" t="str">
        <f t="shared" si="27"/>
        <v/>
      </c>
      <c r="AI103" s="298" t="str">
        <f t="shared" si="28"/>
        <v/>
      </c>
      <c r="AJ103" s="16"/>
      <c r="AK103" s="298" t="str">
        <f t="shared" si="29"/>
        <v/>
      </c>
      <c r="AL103" s="298" t="str">
        <f t="shared" si="30"/>
        <v/>
      </c>
      <c r="AM103" s="16"/>
      <c r="AN103" s="297" t="str">
        <f t="shared" si="31"/>
        <v/>
      </c>
      <c r="AO103" s="16"/>
      <c r="AP103" s="297" t="str">
        <f t="shared" si="32"/>
        <v/>
      </c>
      <c r="AQ103" s="299">
        <f t="shared" si="33"/>
        <v>0</v>
      </c>
      <c r="AR103" s="299">
        <f t="shared" si="34"/>
        <v>0</v>
      </c>
      <c r="AS103" s="300" t="str">
        <f t="shared" si="35"/>
        <v/>
      </c>
      <c r="AT103" s="301" t="str">
        <f>IF(COUNTIF(K103:R103,"F")&gt;0,"",IF(AS103="PASS",'Statement of Marks'!HF104,""))</f>
        <v/>
      </c>
      <c r="AU103" s="301" t="str">
        <f>IF(AS103="PASS",'Statement of Marks'!HG104,"")</f>
        <v/>
      </c>
    </row>
    <row r="104" spans="1:47">
      <c r="A104" s="284">
        <f>IF('Statement of Marks'!A105="","",'Statement of Marks'!A105)</f>
        <v>98</v>
      </c>
      <c r="B104" s="284" t="str">
        <f>IF('Statement of Marks'!B105="","",'Statement of Marks'!B105)</f>
        <v/>
      </c>
      <c r="C104" s="284" t="str">
        <f>IF('Statement of Marks'!C105="","",'Statement of Marks'!C105)</f>
        <v/>
      </c>
      <c r="D104" s="285" t="str">
        <f>IF('Statement of Marks'!D105="","",'Statement of Marks'!D105)</f>
        <v/>
      </c>
      <c r="E104" s="286" t="str">
        <f>IF('Statement of Marks'!E105="","",'Statement of Marks'!E105)</f>
        <v/>
      </c>
      <c r="F104" s="286" t="str">
        <f>IF('Statement of Marks'!F105="","",'Statement of Marks'!F105)</f>
        <v/>
      </c>
      <c r="G104" s="286" t="str">
        <f>IF('Statement of Marks'!G105="","",'Statement of Marks'!G105)</f>
        <v/>
      </c>
      <c r="H104" s="287" t="str">
        <f>IF('Statement of Marks'!GY105="","",'Statement of Marks'!GY105)</f>
        <v/>
      </c>
      <c r="I104" s="287" t="str">
        <f>IF('Statement of Marks'!HB105="","",'Statement of Marks'!HB105)</f>
        <v/>
      </c>
      <c r="J104" s="288" t="str">
        <f>IF('Statement of Marks'!HC105="","",'Statement of Marks'!HC105)</f>
        <v/>
      </c>
      <c r="K104" s="296" t="str">
        <f>IF(B104="","",'Statement of Marks'!FJ105)</f>
        <v/>
      </c>
      <c r="L104" s="296" t="str">
        <f>IF(B104="","",'Statement of Marks'!FM105)</f>
        <v/>
      </c>
      <c r="M104" s="296" t="str">
        <f>IF(B104="","",'Statement of Marks'!FP105)</f>
        <v/>
      </c>
      <c r="N104" s="296" t="str">
        <f>IF(B104="","",'Statement of Marks'!FW105)</f>
        <v/>
      </c>
      <c r="O104" s="296" t="str">
        <f>IF(B104="","",'Statement of Marks'!GD105)</f>
        <v/>
      </c>
      <c r="P104" s="296" t="str">
        <f>IF(B104="","",'Statement of Marks'!GK105)</f>
        <v/>
      </c>
      <c r="Q104" s="296" t="str">
        <f>IF(B104="","",'Statement of Marks'!GR105)</f>
        <v/>
      </c>
      <c r="R104" s="296" t="str">
        <f>IF(B104="","",'Statement of Marks'!GS105)</f>
        <v/>
      </c>
      <c r="S104" s="288" t="str">
        <f>IF(COUNTIF(K104:R104,"F")&gt;0,"",CONCATENATE('Statement of Marks'!GU105,'Statement of Marks'!GW105))</f>
        <v xml:space="preserve">           </v>
      </c>
      <c r="T104" s="289">
        <f t="shared" si="18"/>
        <v>0</v>
      </c>
      <c r="U104" s="16"/>
      <c r="V104" s="297" t="str">
        <f t="shared" si="19"/>
        <v/>
      </c>
      <c r="W104" s="297" t="str">
        <f t="shared" si="20"/>
        <v/>
      </c>
      <c r="X104" s="16"/>
      <c r="Y104" s="297" t="str">
        <f t="shared" si="21"/>
        <v/>
      </c>
      <c r="Z104" s="297" t="str">
        <f t="shared" si="22"/>
        <v/>
      </c>
      <c r="AA104" s="16"/>
      <c r="AB104" s="297" t="str">
        <f t="shared" si="23"/>
        <v/>
      </c>
      <c r="AC104" s="298" t="str">
        <f t="shared" si="24"/>
        <v/>
      </c>
      <c r="AD104" s="16"/>
      <c r="AE104" s="297" t="str">
        <f t="shared" si="25"/>
        <v/>
      </c>
      <c r="AF104" s="298" t="str">
        <f t="shared" si="26"/>
        <v/>
      </c>
      <c r="AG104" s="16"/>
      <c r="AH104" s="297" t="str">
        <f t="shared" si="27"/>
        <v/>
      </c>
      <c r="AI104" s="298" t="str">
        <f t="shared" si="28"/>
        <v/>
      </c>
      <c r="AJ104" s="16"/>
      <c r="AK104" s="298" t="str">
        <f t="shared" si="29"/>
        <v/>
      </c>
      <c r="AL104" s="298" t="str">
        <f t="shared" si="30"/>
        <v/>
      </c>
      <c r="AM104" s="16"/>
      <c r="AN104" s="297" t="str">
        <f t="shared" si="31"/>
        <v/>
      </c>
      <c r="AO104" s="16"/>
      <c r="AP104" s="297" t="str">
        <f t="shared" si="32"/>
        <v/>
      </c>
      <c r="AQ104" s="299">
        <f t="shared" si="33"/>
        <v>0</v>
      </c>
      <c r="AR104" s="299">
        <f t="shared" si="34"/>
        <v>0</v>
      </c>
      <c r="AS104" s="300" t="str">
        <f t="shared" si="35"/>
        <v/>
      </c>
      <c r="AT104" s="301" t="str">
        <f>IF(COUNTIF(K104:R104,"F")&gt;0,"",IF(AS104="PASS",'Statement of Marks'!HF105,""))</f>
        <v/>
      </c>
      <c r="AU104" s="301" t="str">
        <f>IF(AS104="PASS",'Statement of Marks'!HG105,"")</f>
        <v/>
      </c>
    </row>
    <row r="105" spans="1:47">
      <c r="A105" s="284">
        <f>IF('Statement of Marks'!A106="","",'Statement of Marks'!A106)</f>
        <v>99</v>
      </c>
      <c r="B105" s="284" t="str">
        <f>IF('Statement of Marks'!B106="","",'Statement of Marks'!B106)</f>
        <v/>
      </c>
      <c r="C105" s="284" t="str">
        <f>IF('Statement of Marks'!C106="","",'Statement of Marks'!C106)</f>
        <v/>
      </c>
      <c r="D105" s="285" t="str">
        <f>IF('Statement of Marks'!D106="","",'Statement of Marks'!D106)</f>
        <v/>
      </c>
      <c r="E105" s="286" t="str">
        <f>IF('Statement of Marks'!E106="","",'Statement of Marks'!E106)</f>
        <v/>
      </c>
      <c r="F105" s="286" t="str">
        <f>IF('Statement of Marks'!F106="","",'Statement of Marks'!F106)</f>
        <v/>
      </c>
      <c r="G105" s="286" t="str">
        <f>IF('Statement of Marks'!G106="","",'Statement of Marks'!G106)</f>
        <v/>
      </c>
      <c r="H105" s="287" t="str">
        <f>IF('Statement of Marks'!GY106="","",'Statement of Marks'!GY106)</f>
        <v/>
      </c>
      <c r="I105" s="287" t="str">
        <f>IF('Statement of Marks'!HB106="","",'Statement of Marks'!HB106)</f>
        <v/>
      </c>
      <c r="J105" s="288" t="str">
        <f>IF('Statement of Marks'!HC106="","",'Statement of Marks'!HC106)</f>
        <v/>
      </c>
      <c r="K105" s="296" t="str">
        <f>IF(B105="","",'Statement of Marks'!FJ106)</f>
        <v/>
      </c>
      <c r="L105" s="296" t="str">
        <f>IF(B105="","",'Statement of Marks'!FM106)</f>
        <v/>
      </c>
      <c r="M105" s="296" t="str">
        <f>IF(B105="","",'Statement of Marks'!FP106)</f>
        <v/>
      </c>
      <c r="N105" s="296" t="str">
        <f>IF(B105="","",'Statement of Marks'!FW106)</f>
        <v/>
      </c>
      <c r="O105" s="296" t="str">
        <f>IF(B105="","",'Statement of Marks'!GD106)</f>
        <v/>
      </c>
      <c r="P105" s="296" t="str">
        <f>IF(B105="","",'Statement of Marks'!GK106)</f>
        <v/>
      </c>
      <c r="Q105" s="296" t="str">
        <f>IF(B105="","",'Statement of Marks'!GR106)</f>
        <v/>
      </c>
      <c r="R105" s="296" t="str">
        <f>IF(B105="","",'Statement of Marks'!GS106)</f>
        <v/>
      </c>
      <c r="S105" s="288" t="str">
        <f>IF(COUNTIF(K105:R105,"F")&gt;0,"",CONCATENATE('Statement of Marks'!GU106,'Statement of Marks'!GW106))</f>
        <v xml:space="preserve">           </v>
      </c>
      <c r="T105" s="289">
        <f t="shared" si="18"/>
        <v>0</v>
      </c>
      <c r="U105" s="16"/>
      <c r="V105" s="297" t="str">
        <f t="shared" si="19"/>
        <v/>
      </c>
      <c r="W105" s="297" t="str">
        <f t="shared" si="20"/>
        <v/>
      </c>
      <c r="X105" s="16"/>
      <c r="Y105" s="297" t="str">
        <f t="shared" si="21"/>
        <v/>
      </c>
      <c r="Z105" s="297" t="str">
        <f t="shared" si="22"/>
        <v/>
      </c>
      <c r="AA105" s="16"/>
      <c r="AB105" s="297" t="str">
        <f t="shared" si="23"/>
        <v/>
      </c>
      <c r="AC105" s="298" t="str">
        <f t="shared" si="24"/>
        <v/>
      </c>
      <c r="AD105" s="16"/>
      <c r="AE105" s="297" t="str">
        <f t="shared" si="25"/>
        <v/>
      </c>
      <c r="AF105" s="298" t="str">
        <f t="shared" si="26"/>
        <v/>
      </c>
      <c r="AG105" s="16"/>
      <c r="AH105" s="297" t="str">
        <f t="shared" si="27"/>
        <v/>
      </c>
      <c r="AI105" s="298" t="str">
        <f t="shared" si="28"/>
        <v/>
      </c>
      <c r="AJ105" s="16"/>
      <c r="AK105" s="298" t="str">
        <f t="shared" si="29"/>
        <v/>
      </c>
      <c r="AL105" s="298" t="str">
        <f t="shared" si="30"/>
        <v/>
      </c>
      <c r="AM105" s="16"/>
      <c r="AN105" s="297" t="str">
        <f t="shared" si="31"/>
        <v/>
      </c>
      <c r="AO105" s="16"/>
      <c r="AP105" s="297" t="str">
        <f t="shared" si="32"/>
        <v/>
      </c>
      <c r="AQ105" s="299">
        <f t="shared" si="33"/>
        <v>0</v>
      </c>
      <c r="AR105" s="299">
        <f t="shared" si="34"/>
        <v>0</v>
      </c>
      <c r="AS105" s="300" t="str">
        <f t="shared" si="35"/>
        <v/>
      </c>
      <c r="AT105" s="301" t="str">
        <f>IF(COUNTIF(K105:R105,"F")&gt;0,"",IF(AS105="PASS",'Statement of Marks'!HF106,""))</f>
        <v/>
      </c>
      <c r="AU105" s="301" t="str">
        <f>IF(AS105="PASS",'Statement of Marks'!HG106,"")</f>
        <v/>
      </c>
    </row>
    <row r="106" spans="1:47">
      <c r="A106" s="284">
        <f>IF('Statement of Marks'!A107="","",'Statement of Marks'!A107)</f>
        <v>100</v>
      </c>
      <c r="B106" s="284" t="str">
        <f>IF('Statement of Marks'!B107="","",'Statement of Marks'!B107)</f>
        <v/>
      </c>
      <c r="C106" s="284" t="str">
        <f>IF('Statement of Marks'!C107="","",'Statement of Marks'!C107)</f>
        <v/>
      </c>
      <c r="D106" s="285" t="str">
        <f>IF('Statement of Marks'!D107="","",'Statement of Marks'!D107)</f>
        <v/>
      </c>
      <c r="E106" s="286" t="str">
        <f>IF('Statement of Marks'!E107="","",'Statement of Marks'!E107)</f>
        <v/>
      </c>
      <c r="F106" s="286" t="str">
        <f>IF('Statement of Marks'!F107="","",'Statement of Marks'!F107)</f>
        <v/>
      </c>
      <c r="G106" s="286" t="str">
        <f>IF('Statement of Marks'!G107="","",'Statement of Marks'!G107)</f>
        <v/>
      </c>
      <c r="H106" s="287" t="str">
        <f>IF('Statement of Marks'!GY107="","",'Statement of Marks'!GY107)</f>
        <v/>
      </c>
      <c r="I106" s="287" t="str">
        <f>IF('Statement of Marks'!HB107="","",'Statement of Marks'!HB107)</f>
        <v/>
      </c>
      <c r="J106" s="288" t="str">
        <f>IF('Statement of Marks'!HC107="","",'Statement of Marks'!HC107)</f>
        <v/>
      </c>
      <c r="K106" s="296" t="str">
        <f>IF(B106="","",'Statement of Marks'!FJ107)</f>
        <v/>
      </c>
      <c r="L106" s="296" t="str">
        <f>IF(B106="","",'Statement of Marks'!FM107)</f>
        <v/>
      </c>
      <c r="M106" s="296" t="str">
        <f>IF(B106="","",'Statement of Marks'!FP107)</f>
        <v/>
      </c>
      <c r="N106" s="296" t="str">
        <f>IF(B106="","",'Statement of Marks'!FW107)</f>
        <v/>
      </c>
      <c r="O106" s="296" t="str">
        <f>IF(B106="","",'Statement of Marks'!GD107)</f>
        <v/>
      </c>
      <c r="P106" s="296" t="str">
        <f>IF(B106="","",'Statement of Marks'!GK107)</f>
        <v/>
      </c>
      <c r="Q106" s="296" t="str">
        <f>IF(B106="","",'Statement of Marks'!GR107)</f>
        <v/>
      </c>
      <c r="R106" s="296" t="str">
        <f>IF(B106="","",'Statement of Marks'!GS107)</f>
        <v/>
      </c>
      <c r="S106" s="288" t="str">
        <f>IF(COUNTIF(K106:R106,"F")&gt;0,"",CONCATENATE('Statement of Marks'!GU107,'Statement of Marks'!GW107))</f>
        <v xml:space="preserve">           </v>
      </c>
      <c r="T106" s="289">
        <f t="shared" si="18"/>
        <v>0</v>
      </c>
      <c r="U106" s="16"/>
      <c r="V106" s="297" t="str">
        <f t="shared" si="19"/>
        <v/>
      </c>
      <c r="W106" s="297" t="str">
        <f t="shared" si="20"/>
        <v/>
      </c>
      <c r="X106" s="16"/>
      <c r="Y106" s="297" t="str">
        <f t="shared" si="21"/>
        <v/>
      </c>
      <c r="Z106" s="297" t="str">
        <f t="shared" si="22"/>
        <v/>
      </c>
      <c r="AA106" s="16"/>
      <c r="AB106" s="297" t="str">
        <f t="shared" si="23"/>
        <v/>
      </c>
      <c r="AC106" s="298" t="str">
        <f t="shared" si="24"/>
        <v/>
      </c>
      <c r="AD106" s="16"/>
      <c r="AE106" s="297" t="str">
        <f t="shared" si="25"/>
        <v/>
      </c>
      <c r="AF106" s="298" t="str">
        <f t="shared" si="26"/>
        <v/>
      </c>
      <c r="AG106" s="16"/>
      <c r="AH106" s="297" t="str">
        <f t="shared" si="27"/>
        <v/>
      </c>
      <c r="AI106" s="298" t="str">
        <f t="shared" si="28"/>
        <v/>
      </c>
      <c r="AJ106" s="16"/>
      <c r="AK106" s="298" t="str">
        <f t="shared" si="29"/>
        <v/>
      </c>
      <c r="AL106" s="298" t="str">
        <f t="shared" si="30"/>
        <v/>
      </c>
      <c r="AM106" s="16"/>
      <c r="AN106" s="297" t="str">
        <f t="shared" si="31"/>
        <v/>
      </c>
      <c r="AO106" s="16"/>
      <c r="AP106" s="297" t="str">
        <f t="shared" si="32"/>
        <v/>
      </c>
      <c r="AQ106" s="299">
        <f t="shared" si="33"/>
        <v>0</v>
      </c>
      <c r="AR106" s="299">
        <f t="shared" si="34"/>
        <v>0</v>
      </c>
      <c r="AS106" s="300" t="str">
        <f t="shared" si="35"/>
        <v/>
      </c>
      <c r="AT106" s="301" t="str">
        <f>IF(COUNTIF(K106:R106,"F")&gt;0,"",IF(AS106="PASS",'Statement of Marks'!HF107,""))</f>
        <v/>
      </c>
      <c r="AU106" s="301" t="str">
        <f>IF(AS106="PASS",'Statement of Marks'!HG107,"")</f>
        <v/>
      </c>
    </row>
    <row r="107" spans="1:47">
      <c r="A107" s="284">
        <f>IF('Statement of Marks'!A108="","",'Statement of Marks'!A108)</f>
        <v>101</v>
      </c>
      <c r="B107" s="284" t="str">
        <f>IF('Statement of Marks'!B108="","",'Statement of Marks'!B108)</f>
        <v/>
      </c>
      <c r="C107" s="284" t="str">
        <f>IF('Statement of Marks'!C108="","",'Statement of Marks'!C108)</f>
        <v/>
      </c>
      <c r="D107" s="285" t="str">
        <f>IF('Statement of Marks'!D108="","",'Statement of Marks'!D108)</f>
        <v/>
      </c>
      <c r="E107" s="286" t="str">
        <f>IF('Statement of Marks'!E108="","",'Statement of Marks'!E108)</f>
        <v/>
      </c>
      <c r="F107" s="286" t="str">
        <f>IF('Statement of Marks'!F108="","",'Statement of Marks'!F108)</f>
        <v/>
      </c>
      <c r="G107" s="286" t="str">
        <f>IF('Statement of Marks'!G108="","",'Statement of Marks'!G108)</f>
        <v/>
      </c>
      <c r="H107" s="287" t="str">
        <f>IF('Statement of Marks'!GY108="","",'Statement of Marks'!GY108)</f>
        <v/>
      </c>
      <c r="I107" s="287" t="str">
        <f>IF('Statement of Marks'!HB108="","",'Statement of Marks'!HB108)</f>
        <v/>
      </c>
      <c r="J107" s="288" t="str">
        <f>IF('Statement of Marks'!HC108="","",'Statement of Marks'!HC108)</f>
        <v/>
      </c>
      <c r="K107" s="296" t="str">
        <f>IF(B107="","",'Statement of Marks'!FJ108)</f>
        <v/>
      </c>
      <c r="L107" s="296" t="str">
        <f>IF(B107="","",'Statement of Marks'!FM108)</f>
        <v/>
      </c>
      <c r="M107" s="296" t="str">
        <f>IF(B107="","",'Statement of Marks'!FP108)</f>
        <v/>
      </c>
      <c r="N107" s="296" t="str">
        <f>IF(B107="","",'Statement of Marks'!FW108)</f>
        <v/>
      </c>
      <c r="O107" s="296" t="str">
        <f>IF(B107="","",'Statement of Marks'!GD108)</f>
        <v/>
      </c>
      <c r="P107" s="296" t="str">
        <f>IF(B107="","",'Statement of Marks'!GK108)</f>
        <v/>
      </c>
      <c r="Q107" s="296" t="str">
        <f>IF(B107="","",'Statement of Marks'!GR108)</f>
        <v/>
      </c>
      <c r="R107" s="296" t="str">
        <f>IF(B107="","",'Statement of Marks'!GS108)</f>
        <v/>
      </c>
      <c r="S107" s="288" t="str">
        <f>IF(COUNTIF(K107:R107,"F")&gt;0,"",CONCATENATE('Statement of Marks'!GU108,'Statement of Marks'!GW108))</f>
        <v xml:space="preserve">           </v>
      </c>
      <c r="T107" s="289">
        <f t="shared" si="18"/>
        <v>0</v>
      </c>
      <c r="U107" s="16"/>
      <c r="V107" s="297" t="str">
        <f t="shared" si="19"/>
        <v/>
      </c>
      <c r="W107" s="297" t="str">
        <f t="shared" si="20"/>
        <v/>
      </c>
      <c r="X107" s="16"/>
      <c r="Y107" s="297" t="str">
        <f t="shared" si="21"/>
        <v/>
      </c>
      <c r="Z107" s="297" t="str">
        <f t="shared" si="22"/>
        <v/>
      </c>
      <c r="AA107" s="16"/>
      <c r="AB107" s="297" t="str">
        <f t="shared" si="23"/>
        <v/>
      </c>
      <c r="AC107" s="298" t="str">
        <f t="shared" si="24"/>
        <v/>
      </c>
      <c r="AD107" s="16"/>
      <c r="AE107" s="297" t="str">
        <f t="shared" si="25"/>
        <v/>
      </c>
      <c r="AF107" s="298" t="str">
        <f t="shared" si="26"/>
        <v/>
      </c>
      <c r="AG107" s="16"/>
      <c r="AH107" s="297" t="str">
        <f t="shared" si="27"/>
        <v/>
      </c>
      <c r="AI107" s="298" t="str">
        <f t="shared" si="28"/>
        <v/>
      </c>
      <c r="AJ107" s="16"/>
      <c r="AK107" s="298" t="str">
        <f t="shared" si="29"/>
        <v/>
      </c>
      <c r="AL107" s="298" t="str">
        <f t="shared" si="30"/>
        <v/>
      </c>
      <c r="AM107" s="16"/>
      <c r="AN107" s="297" t="str">
        <f t="shared" si="31"/>
        <v/>
      </c>
      <c r="AO107" s="16"/>
      <c r="AP107" s="297" t="str">
        <f t="shared" si="32"/>
        <v/>
      </c>
      <c r="AQ107" s="299">
        <f t="shared" si="33"/>
        <v>0</v>
      </c>
      <c r="AR107" s="299">
        <f t="shared" si="34"/>
        <v>0</v>
      </c>
      <c r="AS107" s="300" t="str">
        <f t="shared" si="35"/>
        <v/>
      </c>
      <c r="AT107" s="301" t="str">
        <f>IF(COUNTIF(K107:R107,"F")&gt;0,"",IF(AS107="PASS",'Statement of Marks'!HF108,""))</f>
        <v/>
      </c>
      <c r="AU107" s="301" t="str">
        <f>IF(AS107="PASS",'Statement of Marks'!HG108,"")</f>
        <v/>
      </c>
    </row>
    <row r="108" spans="1:47">
      <c r="A108" s="284">
        <f>IF('Statement of Marks'!A109="","",'Statement of Marks'!A109)</f>
        <v>102</v>
      </c>
      <c r="B108" s="284" t="str">
        <f>IF('Statement of Marks'!B109="","",'Statement of Marks'!B109)</f>
        <v/>
      </c>
      <c r="C108" s="284" t="str">
        <f>IF('Statement of Marks'!C109="","",'Statement of Marks'!C109)</f>
        <v/>
      </c>
      <c r="D108" s="285" t="str">
        <f>IF('Statement of Marks'!D109="","",'Statement of Marks'!D109)</f>
        <v/>
      </c>
      <c r="E108" s="286" t="str">
        <f>IF('Statement of Marks'!E109="","",'Statement of Marks'!E109)</f>
        <v/>
      </c>
      <c r="F108" s="286" t="str">
        <f>IF('Statement of Marks'!F109="","",'Statement of Marks'!F109)</f>
        <v/>
      </c>
      <c r="G108" s="286" t="str">
        <f>IF('Statement of Marks'!G109="","",'Statement of Marks'!G109)</f>
        <v/>
      </c>
      <c r="H108" s="287" t="str">
        <f>IF('Statement of Marks'!GY109="","",'Statement of Marks'!GY109)</f>
        <v/>
      </c>
      <c r="I108" s="287" t="str">
        <f>IF('Statement of Marks'!HB109="","",'Statement of Marks'!HB109)</f>
        <v/>
      </c>
      <c r="J108" s="288" t="str">
        <f>IF('Statement of Marks'!HC109="","",'Statement of Marks'!HC109)</f>
        <v/>
      </c>
      <c r="K108" s="296" t="str">
        <f>IF(B108="","",'Statement of Marks'!FJ109)</f>
        <v/>
      </c>
      <c r="L108" s="296" t="str">
        <f>IF(B108="","",'Statement of Marks'!FM109)</f>
        <v/>
      </c>
      <c r="M108" s="296" t="str">
        <f>IF(B108="","",'Statement of Marks'!FP109)</f>
        <v/>
      </c>
      <c r="N108" s="296" t="str">
        <f>IF(B108="","",'Statement of Marks'!FW109)</f>
        <v/>
      </c>
      <c r="O108" s="296" t="str">
        <f>IF(B108="","",'Statement of Marks'!GD109)</f>
        <v/>
      </c>
      <c r="P108" s="296" t="str">
        <f>IF(B108="","",'Statement of Marks'!GK109)</f>
        <v/>
      </c>
      <c r="Q108" s="296" t="str">
        <f>IF(B108="","",'Statement of Marks'!GR109)</f>
        <v/>
      </c>
      <c r="R108" s="296" t="str">
        <f>IF(B108="","",'Statement of Marks'!GS109)</f>
        <v/>
      </c>
      <c r="S108" s="288" t="str">
        <f>IF(COUNTIF(K108:R108,"F")&gt;0,"",CONCATENATE('Statement of Marks'!GU109,'Statement of Marks'!GW109))</f>
        <v xml:space="preserve">           </v>
      </c>
      <c r="T108" s="289">
        <f t="shared" si="18"/>
        <v>0</v>
      </c>
      <c r="U108" s="16"/>
      <c r="V108" s="297" t="str">
        <f t="shared" si="19"/>
        <v/>
      </c>
      <c r="W108" s="297" t="str">
        <f t="shared" si="20"/>
        <v/>
      </c>
      <c r="X108" s="16"/>
      <c r="Y108" s="297" t="str">
        <f t="shared" si="21"/>
        <v/>
      </c>
      <c r="Z108" s="297" t="str">
        <f t="shared" si="22"/>
        <v/>
      </c>
      <c r="AA108" s="16"/>
      <c r="AB108" s="297" t="str">
        <f t="shared" si="23"/>
        <v/>
      </c>
      <c r="AC108" s="298" t="str">
        <f t="shared" si="24"/>
        <v/>
      </c>
      <c r="AD108" s="16"/>
      <c r="AE108" s="297" t="str">
        <f t="shared" si="25"/>
        <v/>
      </c>
      <c r="AF108" s="298" t="str">
        <f t="shared" si="26"/>
        <v/>
      </c>
      <c r="AG108" s="16"/>
      <c r="AH108" s="297" t="str">
        <f t="shared" si="27"/>
        <v/>
      </c>
      <c r="AI108" s="298" t="str">
        <f t="shared" si="28"/>
        <v/>
      </c>
      <c r="AJ108" s="16"/>
      <c r="AK108" s="298" t="str">
        <f t="shared" si="29"/>
        <v/>
      </c>
      <c r="AL108" s="298" t="str">
        <f t="shared" si="30"/>
        <v/>
      </c>
      <c r="AM108" s="16"/>
      <c r="AN108" s="297" t="str">
        <f t="shared" si="31"/>
        <v/>
      </c>
      <c r="AO108" s="16"/>
      <c r="AP108" s="297" t="str">
        <f t="shared" si="32"/>
        <v/>
      </c>
      <c r="AQ108" s="299">
        <f t="shared" si="33"/>
        <v>0</v>
      </c>
      <c r="AR108" s="299">
        <f t="shared" si="34"/>
        <v>0</v>
      </c>
      <c r="AS108" s="300" t="str">
        <f t="shared" si="35"/>
        <v/>
      </c>
      <c r="AT108" s="301" t="str">
        <f>IF(COUNTIF(K108:R108,"F")&gt;0,"",IF(AS108="PASS",'Statement of Marks'!HF109,""))</f>
        <v/>
      </c>
      <c r="AU108" s="301" t="str">
        <f>IF(AS108="PASS",'Statement of Marks'!HG109,"")</f>
        <v/>
      </c>
    </row>
    <row r="109" spans="1:47">
      <c r="A109" s="284">
        <f>IF('Statement of Marks'!A110="","",'Statement of Marks'!A110)</f>
        <v>103</v>
      </c>
      <c r="B109" s="284" t="str">
        <f>IF('Statement of Marks'!B110="","",'Statement of Marks'!B110)</f>
        <v/>
      </c>
      <c r="C109" s="284" t="str">
        <f>IF('Statement of Marks'!C110="","",'Statement of Marks'!C110)</f>
        <v/>
      </c>
      <c r="D109" s="285" t="str">
        <f>IF('Statement of Marks'!D110="","",'Statement of Marks'!D110)</f>
        <v/>
      </c>
      <c r="E109" s="286" t="str">
        <f>IF('Statement of Marks'!E110="","",'Statement of Marks'!E110)</f>
        <v/>
      </c>
      <c r="F109" s="286" t="str">
        <f>IF('Statement of Marks'!F110="","",'Statement of Marks'!F110)</f>
        <v/>
      </c>
      <c r="G109" s="286" t="str">
        <f>IF('Statement of Marks'!G110="","",'Statement of Marks'!G110)</f>
        <v/>
      </c>
      <c r="H109" s="287" t="str">
        <f>IF('Statement of Marks'!GY110="","",'Statement of Marks'!GY110)</f>
        <v/>
      </c>
      <c r="I109" s="287" t="str">
        <f>IF('Statement of Marks'!HB110="","",'Statement of Marks'!HB110)</f>
        <v/>
      </c>
      <c r="J109" s="288" t="str">
        <f>IF('Statement of Marks'!HC110="","",'Statement of Marks'!HC110)</f>
        <v/>
      </c>
      <c r="K109" s="296" t="str">
        <f>IF(B109="","",'Statement of Marks'!FJ110)</f>
        <v/>
      </c>
      <c r="L109" s="296" t="str">
        <f>IF(B109="","",'Statement of Marks'!FM110)</f>
        <v/>
      </c>
      <c r="M109" s="296" t="str">
        <f>IF(B109="","",'Statement of Marks'!FP110)</f>
        <v/>
      </c>
      <c r="N109" s="296" t="str">
        <f>IF(B109="","",'Statement of Marks'!FW110)</f>
        <v/>
      </c>
      <c r="O109" s="296" t="str">
        <f>IF(B109="","",'Statement of Marks'!GD110)</f>
        <v/>
      </c>
      <c r="P109" s="296" t="str">
        <f>IF(B109="","",'Statement of Marks'!GK110)</f>
        <v/>
      </c>
      <c r="Q109" s="296" t="str">
        <f>IF(B109="","",'Statement of Marks'!GR110)</f>
        <v/>
      </c>
      <c r="R109" s="296" t="str">
        <f>IF(B109="","",'Statement of Marks'!GS110)</f>
        <v/>
      </c>
      <c r="S109" s="288" t="str">
        <f>IF(COUNTIF(K109:R109,"F")&gt;0,"",CONCATENATE('Statement of Marks'!GU110,'Statement of Marks'!GW110))</f>
        <v xml:space="preserve">           </v>
      </c>
      <c r="T109" s="289">
        <f t="shared" si="18"/>
        <v>0</v>
      </c>
      <c r="U109" s="16"/>
      <c r="V109" s="297" t="str">
        <f t="shared" si="19"/>
        <v/>
      </c>
      <c r="W109" s="297" t="str">
        <f t="shared" si="20"/>
        <v/>
      </c>
      <c r="X109" s="16"/>
      <c r="Y109" s="297" t="str">
        <f t="shared" si="21"/>
        <v/>
      </c>
      <c r="Z109" s="297" t="str">
        <f t="shared" si="22"/>
        <v/>
      </c>
      <c r="AA109" s="16"/>
      <c r="AB109" s="297" t="str">
        <f t="shared" si="23"/>
        <v/>
      </c>
      <c r="AC109" s="298" t="str">
        <f t="shared" si="24"/>
        <v/>
      </c>
      <c r="AD109" s="16"/>
      <c r="AE109" s="297" t="str">
        <f t="shared" si="25"/>
        <v/>
      </c>
      <c r="AF109" s="298" t="str">
        <f t="shared" si="26"/>
        <v/>
      </c>
      <c r="AG109" s="16"/>
      <c r="AH109" s="297" t="str">
        <f t="shared" si="27"/>
        <v/>
      </c>
      <c r="AI109" s="298" t="str">
        <f t="shared" si="28"/>
        <v/>
      </c>
      <c r="AJ109" s="16"/>
      <c r="AK109" s="298" t="str">
        <f t="shared" si="29"/>
        <v/>
      </c>
      <c r="AL109" s="298" t="str">
        <f t="shared" si="30"/>
        <v/>
      </c>
      <c r="AM109" s="16"/>
      <c r="AN109" s="297" t="str">
        <f t="shared" si="31"/>
        <v/>
      </c>
      <c r="AO109" s="16"/>
      <c r="AP109" s="297" t="str">
        <f t="shared" si="32"/>
        <v/>
      </c>
      <c r="AQ109" s="299">
        <f t="shared" si="33"/>
        <v>0</v>
      </c>
      <c r="AR109" s="299">
        <f t="shared" si="34"/>
        <v>0</v>
      </c>
      <c r="AS109" s="300" t="str">
        <f t="shared" si="35"/>
        <v/>
      </c>
      <c r="AT109" s="301" t="str">
        <f>IF(COUNTIF(K109:R109,"F")&gt;0,"",IF(AS109="PASS",'Statement of Marks'!HF110,""))</f>
        <v/>
      </c>
      <c r="AU109" s="301" t="str">
        <f>IF(AS109="PASS",'Statement of Marks'!HG110,"")</f>
        <v/>
      </c>
    </row>
    <row r="110" spans="1:47">
      <c r="A110" s="284">
        <f>IF('Statement of Marks'!A111="","",'Statement of Marks'!A111)</f>
        <v>104</v>
      </c>
      <c r="B110" s="284" t="str">
        <f>IF('Statement of Marks'!B111="","",'Statement of Marks'!B111)</f>
        <v/>
      </c>
      <c r="C110" s="284" t="str">
        <f>IF('Statement of Marks'!C111="","",'Statement of Marks'!C111)</f>
        <v/>
      </c>
      <c r="D110" s="285" t="str">
        <f>IF('Statement of Marks'!D111="","",'Statement of Marks'!D111)</f>
        <v/>
      </c>
      <c r="E110" s="286" t="str">
        <f>IF('Statement of Marks'!E111="","",'Statement of Marks'!E111)</f>
        <v/>
      </c>
      <c r="F110" s="286" t="str">
        <f>IF('Statement of Marks'!F111="","",'Statement of Marks'!F111)</f>
        <v/>
      </c>
      <c r="G110" s="286" t="str">
        <f>IF('Statement of Marks'!G111="","",'Statement of Marks'!G111)</f>
        <v/>
      </c>
      <c r="H110" s="287" t="str">
        <f>IF('Statement of Marks'!GY111="","",'Statement of Marks'!GY111)</f>
        <v/>
      </c>
      <c r="I110" s="287" t="str">
        <f>IF('Statement of Marks'!HB111="","",'Statement of Marks'!HB111)</f>
        <v/>
      </c>
      <c r="J110" s="288" t="str">
        <f>IF('Statement of Marks'!HC111="","",'Statement of Marks'!HC111)</f>
        <v/>
      </c>
      <c r="K110" s="296" t="str">
        <f>IF(B110="","",'Statement of Marks'!FJ111)</f>
        <v/>
      </c>
      <c r="L110" s="296" t="str">
        <f>IF(B110="","",'Statement of Marks'!FM111)</f>
        <v/>
      </c>
      <c r="M110" s="296" t="str">
        <f>IF(B110="","",'Statement of Marks'!FP111)</f>
        <v/>
      </c>
      <c r="N110" s="296" t="str">
        <f>IF(B110="","",'Statement of Marks'!FW111)</f>
        <v/>
      </c>
      <c r="O110" s="296" t="str">
        <f>IF(B110="","",'Statement of Marks'!GD111)</f>
        <v/>
      </c>
      <c r="P110" s="296" t="str">
        <f>IF(B110="","",'Statement of Marks'!GK111)</f>
        <v/>
      </c>
      <c r="Q110" s="296" t="str">
        <f>IF(B110="","",'Statement of Marks'!GR111)</f>
        <v/>
      </c>
      <c r="R110" s="296" t="str">
        <f>IF(B110="","",'Statement of Marks'!GS111)</f>
        <v/>
      </c>
      <c r="S110" s="288" t="str">
        <f>IF(COUNTIF(K110:R110,"F")&gt;0,"",CONCATENATE('Statement of Marks'!GU111,'Statement of Marks'!GW111))</f>
        <v xml:space="preserve">           </v>
      </c>
      <c r="T110" s="289">
        <f t="shared" si="18"/>
        <v>0</v>
      </c>
      <c r="U110" s="16"/>
      <c r="V110" s="297" t="str">
        <f t="shared" si="19"/>
        <v/>
      </c>
      <c r="W110" s="297" t="str">
        <f t="shared" si="20"/>
        <v/>
      </c>
      <c r="X110" s="16"/>
      <c r="Y110" s="297" t="str">
        <f t="shared" si="21"/>
        <v/>
      </c>
      <c r="Z110" s="297" t="str">
        <f t="shared" si="22"/>
        <v/>
      </c>
      <c r="AA110" s="16"/>
      <c r="AB110" s="297" t="str">
        <f t="shared" si="23"/>
        <v/>
      </c>
      <c r="AC110" s="298" t="str">
        <f t="shared" si="24"/>
        <v/>
      </c>
      <c r="AD110" s="16"/>
      <c r="AE110" s="297" t="str">
        <f t="shared" si="25"/>
        <v/>
      </c>
      <c r="AF110" s="298" t="str">
        <f t="shared" si="26"/>
        <v/>
      </c>
      <c r="AG110" s="16"/>
      <c r="AH110" s="297" t="str">
        <f t="shared" si="27"/>
        <v/>
      </c>
      <c r="AI110" s="298" t="str">
        <f t="shared" si="28"/>
        <v/>
      </c>
      <c r="AJ110" s="16"/>
      <c r="AK110" s="298" t="str">
        <f t="shared" si="29"/>
        <v/>
      </c>
      <c r="AL110" s="298" t="str">
        <f t="shared" si="30"/>
        <v/>
      </c>
      <c r="AM110" s="16"/>
      <c r="AN110" s="297" t="str">
        <f t="shared" si="31"/>
        <v/>
      </c>
      <c r="AO110" s="16"/>
      <c r="AP110" s="297" t="str">
        <f t="shared" si="32"/>
        <v/>
      </c>
      <c r="AQ110" s="299">
        <f t="shared" si="33"/>
        <v>0</v>
      </c>
      <c r="AR110" s="299">
        <f t="shared" si="34"/>
        <v>0</v>
      </c>
      <c r="AS110" s="300" t="str">
        <f t="shared" si="35"/>
        <v/>
      </c>
      <c r="AT110" s="301" t="str">
        <f>IF(COUNTIF(K110:R110,"F")&gt;0,"",IF(AS110="PASS",'Statement of Marks'!HF111,""))</f>
        <v/>
      </c>
      <c r="AU110" s="301" t="str">
        <f>IF(AS110="PASS",'Statement of Marks'!HG111,"")</f>
        <v/>
      </c>
    </row>
    <row r="111" spans="1:47">
      <c r="A111" s="284">
        <f>IF('Statement of Marks'!A112="","",'Statement of Marks'!A112)</f>
        <v>105</v>
      </c>
      <c r="B111" s="284" t="str">
        <f>IF('Statement of Marks'!B112="","",'Statement of Marks'!B112)</f>
        <v/>
      </c>
      <c r="C111" s="284" t="str">
        <f>IF('Statement of Marks'!C112="","",'Statement of Marks'!C112)</f>
        <v/>
      </c>
      <c r="D111" s="285" t="str">
        <f>IF('Statement of Marks'!D112="","",'Statement of Marks'!D112)</f>
        <v/>
      </c>
      <c r="E111" s="286" t="str">
        <f>IF('Statement of Marks'!E112="","",'Statement of Marks'!E112)</f>
        <v/>
      </c>
      <c r="F111" s="286" t="str">
        <f>IF('Statement of Marks'!F112="","",'Statement of Marks'!F112)</f>
        <v/>
      </c>
      <c r="G111" s="286" t="str">
        <f>IF('Statement of Marks'!G112="","",'Statement of Marks'!G112)</f>
        <v/>
      </c>
      <c r="H111" s="287" t="str">
        <f>IF('Statement of Marks'!GY112="","",'Statement of Marks'!GY112)</f>
        <v/>
      </c>
      <c r="I111" s="287" t="str">
        <f>IF('Statement of Marks'!HB112="","",'Statement of Marks'!HB112)</f>
        <v/>
      </c>
      <c r="J111" s="288" t="str">
        <f>IF('Statement of Marks'!HC112="","",'Statement of Marks'!HC112)</f>
        <v/>
      </c>
      <c r="K111" s="296" t="str">
        <f>IF(B111="","",'Statement of Marks'!FJ112)</f>
        <v/>
      </c>
      <c r="L111" s="296" t="str">
        <f>IF(B111="","",'Statement of Marks'!FM112)</f>
        <v/>
      </c>
      <c r="M111" s="296" t="str">
        <f>IF(B111="","",'Statement of Marks'!FP112)</f>
        <v/>
      </c>
      <c r="N111" s="296" t="str">
        <f>IF(B111="","",'Statement of Marks'!FW112)</f>
        <v/>
      </c>
      <c r="O111" s="296" t="str">
        <f>IF(B111="","",'Statement of Marks'!GD112)</f>
        <v/>
      </c>
      <c r="P111" s="296" t="str">
        <f>IF(B111="","",'Statement of Marks'!GK112)</f>
        <v/>
      </c>
      <c r="Q111" s="296" t="str">
        <f>IF(B111="","",'Statement of Marks'!GR112)</f>
        <v/>
      </c>
      <c r="R111" s="296" t="str">
        <f>IF(B111="","",'Statement of Marks'!GS112)</f>
        <v/>
      </c>
      <c r="S111" s="288" t="str">
        <f>IF(COUNTIF(K111:R111,"F")&gt;0,"",CONCATENATE('Statement of Marks'!GU112,'Statement of Marks'!GW112))</f>
        <v xml:space="preserve">           </v>
      </c>
      <c r="T111" s="289">
        <f t="shared" si="18"/>
        <v>0</v>
      </c>
      <c r="U111" s="16"/>
      <c r="V111" s="297" t="str">
        <f t="shared" si="19"/>
        <v/>
      </c>
      <c r="W111" s="297" t="str">
        <f t="shared" si="20"/>
        <v/>
      </c>
      <c r="X111" s="16"/>
      <c r="Y111" s="297" t="str">
        <f t="shared" si="21"/>
        <v/>
      </c>
      <c r="Z111" s="297" t="str">
        <f t="shared" si="22"/>
        <v/>
      </c>
      <c r="AA111" s="16"/>
      <c r="AB111" s="297" t="str">
        <f t="shared" si="23"/>
        <v/>
      </c>
      <c r="AC111" s="298" t="str">
        <f t="shared" si="24"/>
        <v/>
      </c>
      <c r="AD111" s="16"/>
      <c r="AE111" s="297" t="str">
        <f t="shared" si="25"/>
        <v/>
      </c>
      <c r="AF111" s="298" t="str">
        <f t="shared" si="26"/>
        <v/>
      </c>
      <c r="AG111" s="16"/>
      <c r="AH111" s="297" t="str">
        <f t="shared" si="27"/>
        <v/>
      </c>
      <c r="AI111" s="298" t="str">
        <f t="shared" si="28"/>
        <v/>
      </c>
      <c r="AJ111" s="16"/>
      <c r="AK111" s="298" t="str">
        <f t="shared" si="29"/>
        <v/>
      </c>
      <c r="AL111" s="298" t="str">
        <f t="shared" si="30"/>
        <v/>
      </c>
      <c r="AM111" s="16"/>
      <c r="AN111" s="297" t="str">
        <f t="shared" si="31"/>
        <v/>
      </c>
      <c r="AO111" s="16"/>
      <c r="AP111" s="297" t="str">
        <f t="shared" si="32"/>
        <v/>
      </c>
      <c r="AQ111" s="299">
        <f t="shared" si="33"/>
        <v>0</v>
      </c>
      <c r="AR111" s="299">
        <f t="shared" si="34"/>
        <v>0</v>
      </c>
      <c r="AS111" s="300" t="str">
        <f t="shared" si="35"/>
        <v/>
      </c>
      <c r="AT111" s="301" t="str">
        <f>IF(COUNTIF(K111:R111,"F")&gt;0,"",IF(AS111="PASS",'Statement of Marks'!HF112,""))</f>
        <v/>
      </c>
      <c r="AU111" s="301" t="str">
        <f>IF(AS111="PASS",'Statement of Marks'!HG112,"")</f>
        <v/>
      </c>
    </row>
    <row r="112" spans="1:47">
      <c r="A112" s="284">
        <f>IF('Statement of Marks'!A113="","",'Statement of Marks'!A113)</f>
        <v>106</v>
      </c>
      <c r="B112" s="284" t="str">
        <f>IF('Statement of Marks'!B113="","",'Statement of Marks'!B113)</f>
        <v/>
      </c>
      <c r="C112" s="284" t="str">
        <f>IF('Statement of Marks'!C113="","",'Statement of Marks'!C113)</f>
        <v/>
      </c>
      <c r="D112" s="285" t="str">
        <f>IF('Statement of Marks'!D113="","",'Statement of Marks'!D113)</f>
        <v/>
      </c>
      <c r="E112" s="286" t="str">
        <f>IF('Statement of Marks'!E113="","",'Statement of Marks'!E113)</f>
        <v/>
      </c>
      <c r="F112" s="286" t="str">
        <f>IF('Statement of Marks'!F113="","",'Statement of Marks'!F113)</f>
        <v/>
      </c>
      <c r="G112" s="286" t="str">
        <f>IF('Statement of Marks'!G113="","",'Statement of Marks'!G113)</f>
        <v/>
      </c>
      <c r="H112" s="287" t="str">
        <f>IF('Statement of Marks'!GY113="","",'Statement of Marks'!GY113)</f>
        <v/>
      </c>
      <c r="I112" s="287" t="str">
        <f>IF('Statement of Marks'!HB113="","",'Statement of Marks'!HB113)</f>
        <v/>
      </c>
      <c r="J112" s="288" t="str">
        <f>IF('Statement of Marks'!HC113="","",'Statement of Marks'!HC113)</f>
        <v/>
      </c>
      <c r="K112" s="296" t="str">
        <f>IF(B112="","",'Statement of Marks'!FJ113)</f>
        <v/>
      </c>
      <c r="L112" s="296" t="str">
        <f>IF(B112="","",'Statement of Marks'!FM113)</f>
        <v/>
      </c>
      <c r="M112" s="296" t="str">
        <f>IF(B112="","",'Statement of Marks'!FP113)</f>
        <v/>
      </c>
      <c r="N112" s="296" t="str">
        <f>IF(B112="","",'Statement of Marks'!FW113)</f>
        <v/>
      </c>
      <c r="O112" s="296" t="str">
        <f>IF(B112="","",'Statement of Marks'!GD113)</f>
        <v/>
      </c>
      <c r="P112" s="296" t="str">
        <f>IF(B112="","",'Statement of Marks'!GK113)</f>
        <v/>
      </c>
      <c r="Q112" s="296" t="str">
        <f>IF(B112="","",'Statement of Marks'!GR113)</f>
        <v/>
      </c>
      <c r="R112" s="296" t="str">
        <f>IF(B112="","",'Statement of Marks'!GS113)</f>
        <v/>
      </c>
      <c r="S112" s="288" t="str">
        <f>IF(COUNTIF(K112:R112,"F")&gt;0,"",CONCATENATE('Statement of Marks'!GU113,'Statement of Marks'!GW113))</f>
        <v xml:space="preserve">           </v>
      </c>
      <c r="T112" s="289">
        <f t="shared" si="18"/>
        <v>0</v>
      </c>
      <c r="U112" s="16"/>
      <c r="V112" s="297" t="str">
        <f t="shared" si="19"/>
        <v/>
      </c>
      <c r="W112" s="297" t="str">
        <f t="shared" si="20"/>
        <v/>
      </c>
      <c r="X112" s="16"/>
      <c r="Y112" s="297" t="str">
        <f t="shared" si="21"/>
        <v/>
      </c>
      <c r="Z112" s="297" t="str">
        <f t="shared" si="22"/>
        <v/>
      </c>
      <c r="AA112" s="16"/>
      <c r="AB112" s="297" t="str">
        <f t="shared" si="23"/>
        <v/>
      </c>
      <c r="AC112" s="298" t="str">
        <f t="shared" si="24"/>
        <v/>
      </c>
      <c r="AD112" s="16"/>
      <c r="AE112" s="297" t="str">
        <f t="shared" si="25"/>
        <v/>
      </c>
      <c r="AF112" s="298" t="str">
        <f t="shared" si="26"/>
        <v/>
      </c>
      <c r="AG112" s="16"/>
      <c r="AH112" s="297" t="str">
        <f t="shared" si="27"/>
        <v/>
      </c>
      <c r="AI112" s="298" t="str">
        <f t="shared" si="28"/>
        <v/>
      </c>
      <c r="AJ112" s="16"/>
      <c r="AK112" s="298" t="str">
        <f t="shared" si="29"/>
        <v/>
      </c>
      <c r="AL112" s="298" t="str">
        <f t="shared" si="30"/>
        <v/>
      </c>
      <c r="AM112" s="16"/>
      <c r="AN112" s="297" t="str">
        <f t="shared" si="31"/>
        <v/>
      </c>
      <c r="AO112" s="16"/>
      <c r="AP112" s="297" t="str">
        <f t="shared" si="32"/>
        <v/>
      </c>
      <c r="AQ112" s="299">
        <f t="shared" si="33"/>
        <v>0</v>
      </c>
      <c r="AR112" s="299">
        <f t="shared" si="34"/>
        <v>0</v>
      </c>
      <c r="AS112" s="300" t="str">
        <f t="shared" si="35"/>
        <v/>
      </c>
      <c r="AT112" s="301" t="str">
        <f>IF(COUNTIF(K112:R112,"F")&gt;0,"",IF(AS112="PASS",'Statement of Marks'!HF113,""))</f>
        <v/>
      </c>
      <c r="AU112" s="301" t="str">
        <f>IF(AS112="PASS",'Statement of Marks'!HG113,"")</f>
        <v/>
      </c>
    </row>
    <row r="113" spans="1:47">
      <c r="A113" s="284">
        <f>IF('Statement of Marks'!A114="","",'Statement of Marks'!A114)</f>
        <v>107</v>
      </c>
      <c r="B113" s="284" t="str">
        <f>IF('Statement of Marks'!B114="","",'Statement of Marks'!B114)</f>
        <v/>
      </c>
      <c r="C113" s="284" t="str">
        <f>IF('Statement of Marks'!C114="","",'Statement of Marks'!C114)</f>
        <v/>
      </c>
      <c r="D113" s="285" t="str">
        <f>IF('Statement of Marks'!D114="","",'Statement of Marks'!D114)</f>
        <v/>
      </c>
      <c r="E113" s="286" t="str">
        <f>IF('Statement of Marks'!E114="","",'Statement of Marks'!E114)</f>
        <v/>
      </c>
      <c r="F113" s="286" t="str">
        <f>IF('Statement of Marks'!F114="","",'Statement of Marks'!F114)</f>
        <v/>
      </c>
      <c r="G113" s="286" t="str">
        <f>IF('Statement of Marks'!G114="","",'Statement of Marks'!G114)</f>
        <v/>
      </c>
      <c r="H113" s="287" t="str">
        <f>IF('Statement of Marks'!GY114="","",'Statement of Marks'!GY114)</f>
        <v/>
      </c>
      <c r="I113" s="287" t="str">
        <f>IF('Statement of Marks'!HB114="","",'Statement of Marks'!HB114)</f>
        <v/>
      </c>
      <c r="J113" s="288" t="str">
        <f>IF('Statement of Marks'!HC114="","",'Statement of Marks'!HC114)</f>
        <v/>
      </c>
      <c r="K113" s="296" t="str">
        <f>IF(B113="","",'Statement of Marks'!FJ114)</f>
        <v/>
      </c>
      <c r="L113" s="296" t="str">
        <f>IF(B113="","",'Statement of Marks'!FM114)</f>
        <v/>
      </c>
      <c r="M113" s="296" t="str">
        <f>IF(B113="","",'Statement of Marks'!FP114)</f>
        <v/>
      </c>
      <c r="N113" s="296" t="str">
        <f>IF(B113="","",'Statement of Marks'!FW114)</f>
        <v/>
      </c>
      <c r="O113" s="296" t="str">
        <f>IF(B113="","",'Statement of Marks'!GD114)</f>
        <v/>
      </c>
      <c r="P113" s="296" t="str">
        <f>IF(B113="","",'Statement of Marks'!GK114)</f>
        <v/>
      </c>
      <c r="Q113" s="296" t="str">
        <f>IF(B113="","",'Statement of Marks'!GR114)</f>
        <v/>
      </c>
      <c r="R113" s="296" t="str">
        <f>IF(B113="","",'Statement of Marks'!GS114)</f>
        <v/>
      </c>
      <c r="S113" s="288" t="str">
        <f>IF(COUNTIF(K113:R113,"F")&gt;0,"",CONCATENATE('Statement of Marks'!GU114,'Statement of Marks'!GW114))</f>
        <v xml:space="preserve">           </v>
      </c>
      <c r="T113" s="289">
        <f t="shared" si="18"/>
        <v>0</v>
      </c>
      <c r="U113" s="16"/>
      <c r="V113" s="297" t="str">
        <f t="shared" si="19"/>
        <v/>
      </c>
      <c r="W113" s="297" t="str">
        <f t="shared" si="20"/>
        <v/>
      </c>
      <c r="X113" s="16"/>
      <c r="Y113" s="297" t="str">
        <f t="shared" si="21"/>
        <v/>
      </c>
      <c r="Z113" s="297" t="str">
        <f t="shared" si="22"/>
        <v/>
      </c>
      <c r="AA113" s="16"/>
      <c r="AB113" s="297" t="str">
        <f t="shared" si="23"/>
        <v/>
      </c>
      <c r="AC113" s="298" t="str">
        <f t="shared" si="24"/>
        <v/>
      </c>
      <c r="AD113" s="16"/>
      <c r="AE113" s="297" t="str">
        <f t="shared" si="25"/>
        <v/>
      </c>
      <c r="AF113" s="298" t="str">
        <f t="shared" si="26"/>
        <v/>
      </c>
      <c r="AG113" s="16"/>
      <c r="AH113" s="297" t="str">
        <f t="shared" si="27"/>
        <v/>
      </c>
      <c r="AI113" s="298" t="str">
        <f t="shared" si="28"/>
        <v/>
      </c>
      <c r="AJ113" s="16"/>
      <c r="AK113" s="298" t="str">
        <f t="shared" si="29"/>
        <v/>
      </c>
      <c r="AL113" s="298" t="str">
        <f t="shared" si="30"/>
        <v/>
      </c>
      <c r="AM113" s="16"/>
      <c r="AN113" s="297" t="str">
        <f t="shared" si="31"/>
        <v/>
      </c>
      <c r="AO113" s="16"/>
      <c r="AP113" s="297" t="str">
        <f t="shared" si="32"/>
        <v/>
      </c>
      <c r="AQ113" s="299">
        <f t="shared" si="33"/>
        <v>0</v>
      </c>
      <c r="AR113" s="299">
        <f t="shared" si="34"/>
        <v>0</v>
      </c>
      <c r="AS113" s="300" t="str">
        <f t="shared" si="35"/>
        <v/>
      </c>
      <c r="AT113" s="301" t="str">
        <f>IF(COUNTIF(K113:R113,"F")&gt;0,"",IF(AS113="PASS",'Statement of Marks'!HF114,""))</f>
        <v/>
      </c>
      <c r="AU113" s="301" t="str">
        <f>IF(AS113="PASS",'Statement of Marks'!HG114,"")</f>
        <v/>
      </c>
    </row>
    <row r="114" spans="1:47">
      <c r="A114" s="284">
        <f>IF('Statement of Marks'!A115="","",'Statement of Marks'!A115)</f>
        <v>108</v>
      </c>
      <c r="B114" s="284" t="str">
        <f>IF('Statement of Marks'!B115="","",'Statement of Marks'!B115)</f>
        <v/>
      </c>
      <c r="C114" s="284" t="str">
        <f>IF('Statement of Marks'!C115="","",'Statement of Marks'!C115)</f>
        <v/>
      </c>
      <c r="D114" s="285" t="str">
        <f>IF('Statement of Marks'!D115="","",'Statement of Marks'!D115)</f>
        <v/>
      </c>
      <c r="E114" s="286" t="str">
        <f>IF('Statement of Marks'!E115="","",'Statement of Marks'!E115)</f>
        <v/>
      </c>
      <c r="F114" s="286" t="str">
        <f>IF('Statement of Marks'!F115="","",'Statement of Marks'!F115)</f>
        <v/>
      </c>
      <c r="G114" s="286" t="str">
        <f>IF('Statement of Marks'!G115="","",'Statement of Marks'!G115)</f>
        <v/>
      </c>
      <c r="H114" s="287" t="str">
        <f>IF('Statement of Marks'!GY115="","",'Statement of Marks'!GY115)</f>
        <v/>
      </c>
      <c r="I114" s="287" t="str">
        <f>IF('Statement of Marks'!HB115="","",'Statement of Marks'!HB115)</f>
        <v/>
      </c>
      <c r="J114" s="288" t="str">
        <f>IF('Statement of Marks'!HC115="","",'Statement of Marks'!HC115)</f>
        <v/>
      </c>
      <c r="K114" s="296" t="str">
        <f>IF(B114="","",'Statement of Marks'!FJ115)</f>
        <v/>
      </c>
      <c r="L114" s="296" t="str">
        <f>IF(B114="","",'Statement of Marks'!FM115)</f>
        <v/>
      </c>
      <c r="M114" s="296" t="str">
        <f>IF(B114="","",'Statement of Marks'!FP115)</f>
        <v/>
      </c>
      <c r="N114" s="296" t="str">
        <f>IF(B114="","",'Statement of Marks'!FW115)</f>
        <v/>
      </c>
      <c r="O114" s="296" t="str">
        <f>IF(B114="","",'Statement of Marks'!GD115)</f>
        <v/>
      </c>
      <c r="P114" s="296" t="str">
        <f>IF(B114="","",'Statement of Marks'!GK115)</f>
        <v/>
      </c>
      <c r="Q114" s="296" t="str">
        <f>IF(B114="","",'Statement of Marks'!GR115)</f>
        <v/>
      </c>
      <c r="R114" s="296" t="str">
        <f>IF(B114="","",'Statement of Marks'!GS115)</f>
        <v/>
      </c>
      <c r="S114" s="288" t="str">
        <f>IF(COUNTIF(K114:R114,"F")&gt;0,"",CONCATENATE('Statement of Marks'!GU115,'Statement of Marks'!GW115))</f>
        <v xml:space="preserve">           </v>
      </c>
      <c r="T114" s="289">
        <f t="shared" si="18"/>
        <v>0</v>
      </c>
      <c r="U114" s="16"/>
      <c r="V114" s="297" t="str">
        <f t="shared" si="19"/>
        <v/>
      </c>
      <c r="W114" s="297" t="str">
        <f t="shared" si="20"/>
        <v/>
      </c>
      <c r="X114" s="16"/>
      <c r="Y114" s="297" t="str">
        <f t="shared" si="21"/>
        <v/>
      </c>
      <c r="Z114" s="297" t="str">
        <f t="shared" si="22"/>
        <v/>
      </c>
      <c r="AA114" s="16"/>
      <c r="AB114" s="297" t="str">
        <f t="shared" si="23"/>
        <v/>
      </c>
      <c r="AC114" s="298" t="str">
        <f t="shared" si="24"/>
        <v/>
      </c>
      <c r="AD114" s="16"/>
      <c r="AE114" s="297" t="str">
        <f t="shared" si="25"/>
        <v/>
      </c>
      <c r="AF114" s="298" t="str">
        <f t="shared" si="26"/>
        <v/>
      </c>
      <c r="AG114" s="16"/>
      <c r="AH114" s="297" t="str">
        <f t="shared" si="27"/>
        <v/>
      </c>
      <c r="AI114" s="298" t="str">
        <f t="shared" si="28"/>
        <v/>
      </c>
      <c r="AJ114" s="16"/>
      <c r="AK114" s="298" t="str">
        <f t="shared" si="29"/>
        <v/>
      </c>
      <c r="AL114" s="298" t="str">
        <f t="shared" si="30"/>
        <v/>
      </c>
      <c r="AM114" s="16"/>
      <c r="AN114" s="297" t="str">
        <f t="shared" si="31"/>
        <v/>
      </c>
      <c r="AO114" s="16"/>
      <c r="AP114" s="297" t="str">
        <f t="shared" si="32"/>
        <v/>
      </c>
      <c r="AQ114" s="299">
        <f t="shared" si="33"/>
        <v>0</v>
      </c>
      <c r="AR114" s="299">
        <f t="shared" si="34"/>
        <v>0</v>
      </c>
      <c r="AS114" s="300" t="str">
        <f t="shared" si="35"/>
        <v/>
      </c>
      <c r="AT114" s="301" t="str">
        <f>IF(COUNTIF(K114:R114,"F")&gt;0,"",IF(AS114="PASS",'Statement of Marks'!HF115,""))</f>
        <v/>
      </c>
      <c r="AU114" s="301" t="str">
        <f>IF(AS114="PASS",'Statement of Marks'!HG115,"")</f>
        <v/>
      </c>
    </row>
    <row r="115" spans="1:47">
      <c r="A115" s="284">
        <f>IF('Statement of Marks'!A116="","",'Statement of Marks'!A116)</f>
        <v>109</v>
      </c>
      <c r="B115" s="284" t="str">
        <f>IF('Statement of Marks'!B116="","",'Statement of Marks'!B116)</f>
        <v/>
      </c>
      <c r="C115" s="284" t="str">
        <f>IF('Statement of Marks'!C116="","",'Statement of Marks'!C116)</f>
        <v/>
      </c>
      <c r="D115" s="285" t="str">
        <f>IF('Statement of Marks'!D116="","",'Statement of Marks'!D116)</f>
        <v/>
      </c>
      <c r="E115" s="286" t="str">
        <f>IF('Statement of Marks'!E116="","",'Statement of Marks'!E116)</f>
        <v/>
      </c>
      <c r="F115" s="286" t="str">
        <f>IF('Statement of Marks'!F116="","",'Statement of Marks'!F116)</f>
        <v/>
      </c>
      <c r="G115" s="286" t="str">
        <f>IF('Statement of Marks'!G116="","",'Statement of Marks'!G116)</f>
        <v/>
      </c>
      <c r="H115" s="287" t="str">
        <f>IF('Statement of Marks'!GY116="","",'Statement of Marks'!GY116)</f>
        <v/>
      </c>
      <c r="I115" s="287" t="str">
        <f>IF('Statement of Marks'!HB116="","",'Statement of Marks'!HB116)</f>
        <v/>
      </c>
      <c r="J115" s="288" t="str">
        <f>IF('Statement of Marks'!HC116="","",'Statement of Marks'!HC116)</f>
        <v/>
      </c>
      <c r="K115" s="296" t="str">
        <f>IF(B115="","",'Statement of Marks'!FJ116)</f>
        <v/>
      </c>
      <c r="L115" s="296" t="str">
        <f>IF(B115="","",'Statement of Marks'!FM116)</f>
        <v/>
      </c>
      <c r="M115" s="296" t="str">
        <f>IF(B115="","",'Statement of Marks'!FP116)</f>
        <v/>
      </c>
      <c r="N115" s="296" t="str">
        <f>IF(B115="","",'Statement of Marks'!FW116)</f>
        <v/>
      </c>
      <c r="O115" s="296" t="str">
        <f>IF(B115="","",'Statement of Marks'!GD116)</f>
        <v/>
      </c>
      <c r="P115" s="296" t="str">
        <f>IF(B115="","",'Statement of Marks'!GK116)</f>
        <v/>
      </c>
      <c r="Q115" s="296" t="str">
        <f>IF(B115="","",'Statement of Marks'!GR116)</f>
        <v/>
      </c>
      <c r="R115" s="296" t="str">
        <f>IF(B115="","",'Statement of Marks'!GS116)</f>
        <v/>
      </c>
      <c r="S115" s="288" t="str">
        <f>IF(COUNTIF(K115:R115,"F")&gt;0,"",CONCATENATE('Statement of Marks'!GU116,'Statement of Marks'!GW116))</f>
        <v xml:space="preserve">           </v>
      </c>
      <c r="T115" s="289">
        <f t="shared" si="18"/>
        <v>0</v>
      </c>
      <c r="U115" s="16"/>
      <c r="V115" s="297" t="str">
        <f t="shared" si="19"/>
        <v/>
      </c>
      <c r="W115" s="297" t="str">
        <f t="shared" si="20"/>
        <v/>
      </c>
      <c r="X115" s="16"/>
      <c r="Y115" s="297" t="str">
        <f t="shared" si="21"/>
        <v/>
      </c>
      <c r="Z115" s="297" t="str">
        <f t="shared" si="22"/>
        <v/>
      </c>
      <c r="AA115" s="16"/>
      <c r="AB115" s="297" t="str">
        <f t="shared" si="23"/>
        <v/>
      </c>
      <c r="AC115" s="298" t="str">
        <f t="shared" si="24"/>
        <v/>
      </c>
      <c r="AD115" s="16"/>
      <c r="AE115" s="297" t="str">
        <f t="shared" si="25"/>
        <v/>
      </c>
      <c r="AF115" s="298" t="str">
        <f t="shared" si="26"/>
        <v/>
      </c>
      <c r="AG115" s="16"/>
      <c r="AH115" s="297" t="str">
        <f t="shared" si="27"/>
        <v/>
      </c>
      <c r="AI115" s="298" t="str">
        <f t="shared" si="28"/>
        <v/>
      </c>
      <c r="AJ115" s="16"/>
      <c r="AK115" s="298" t="str">
        <f t="shared" si="29"/>
        <v/>
      </c>
      <c r="AL115" s="298" t="str">
        <f t="shared" si="30"/>
        <v/>
      </c>
      <c r="AM115" s="16"/>
      <c r="AN115" s="297" t="str">
        <f t="shared" si="31"/>
        <v/>
      </c>
      <c r="AO115" s="16"/>
      <c r="AP115" s="297" t="str">
        <f t="shared" si="32"/>
        <v/>
      </c>
      <c r="AQ115" s="299">
        <f t="shared" si="33"/>
        <v>0</v>
      </c>
      <c r="AR115" s="299">
        <f t="shared" si="34"/>
        <v>0</v>
      </c>
      <c r="AS115" s="300" t="str">
        <f t="shared" si="35"/>
        <v/>
      </c>
      <c r="AT115" s="301" t="str">
        <f>IF(COUNTIF(K115:R115,"F")&gt;0,"",IF(AS115="PASS",'Statement of Marks'!HF116,""))</f>
        <v/>
      </c>
      <c r="AU115" s="301" t="str">
        <f>IF(AS115="PASS",'Statement of Marks'!HG116,"")</f>
        <v/>
      </c>
    </row>
    <row r="116" spans="1:47">
      <c r="A116" s="284">
        <f>IF('Statement of Marks'!A117="","",'Statement of Marks'!A117)</f>
        <v>110</v>
      </c>
      <c r="B116" s="284" t="str">
        <f>IF('Statement of Marks'!B117="","",'Statement of Marks'!B117)</f>
        <v/>
      </c>
      <c r="C116" s="284" t="str">
        <f>IF('Statement of Marks'!C117="","",'Statement of Marks'!C117)</f>
        <v/>
      </c>
      <c r="D116" s="285" t="str">
        <f>IF('Statement of Marks'!D117="","",'Statement of Marks'!D117)</f>
        <v/>
      </c>
      <c r="E116" s="286" t="str">
        <f>IF('Statement of Marks'!E117="","",'Statement of Marks'!E117)</f>
        <v/>
      </c>
      <c r="F116" s="286" t="str">
        <f>IF('Statement of Marks'!F117="","",'Statement of Marks'!F117)</f>
        <v/>
      </c>
      <c r="G116" s="286" t="str">
        <f>IF('Statement of Marks'!G117="","",'Statement of Marks'!G117)</f>
        <v/>
      </c>
      <c r="H116" s="287" t="str">
        <f>IF('Statement of Marks'!GY117="","",'Statement of Marks'!GY117)</f>
        <v/>
      </c>
      <c r="I116" s="287" t="str">
        <f>IF('Statement of Marks'!HB117="","",'Statement of Marks'!HB117)</f>
        <v/>
      </c>
      <c r="J116" s="288" t="str">
        <f>IF('Statement of Marks'!HC117="","",'Statement of Marks'!HC117)</f>
        <v/>
      </c>
      <c r="K116" s="296" t="str">
        <f>IF(B116="","",'Statement of Marks'!FJ117)</f>
        <v/>
      </c>
      <c r="L116" s="296" t="str">
        <f>IF(B116="","",'Statement of Marks'!FM117)</f>
        <v/>
      </c>
      <c r="M116" s="296" t="str">
        <f>IF(B116="","",'Statement of Marks'!FP117)</f>
        <v/>
      </c>
      <c r="N116" s="296" t="str">
        <f>IF(B116="","",'Statement of Marks'!FW117)</f>
        <v/>
      </c>
      <c r="O116" s="296" t="str">
        <f>IF(B116="","",'Statement of Marks'!GD117)</f>
        <v/>
      </c>
      <c r="P116" s="296" t="str">
        <f>IF(B116="","",'Statement of Marks'!GK117)</f>
        <v/>
      </c>
      <c r="Q116" s="296" t="str">
        <f>IF(B116="","",'Statement of Marks'!GR117)</f>
        <v/>
      </c>
      <c r="R116" s="296" t="str">
        <f>IF(B116="","",'Statement of Marks'!GS117)</f>
        <v/>
      </c>
      <c r="S116" s="288" t="str">
        <f>IF(COUNTIF(K116:R116,"F")&gt;0,"",CONCATENATE('Statement of Marks'!GU117,'Statement of Marks'!GW117))</f>
        <v xml:space="preserve">           </v>
      </c>
      <c r="T116" s="289">
        <f t="shared" si="18"/>
        <v>0</v>
      </c>
      <c r="U116" s="16"/>
      <c r="V116" s="297" t="str">
        <f t="shared" si="19"/>
        <v/>
      </c>
      <c r="W116" s="297" t="str">
        <f t="shared" si="20"/>
        <v/>
      </c>
      <c r="X116" s="16"/>
      <c r="Y116" s="297" t="str">
        <f t="shared" si="21"/>
        <v/>
      </c>
      <c r="Z116" s="297" t="str">
        <f t="shared" si="22"/>
        <v/>
      </c>
      <c r="AA116" s="16"/>
      <c r="AB116" s="297" t="str">
        <f t="shared" si="23"/>
        <v/>
      </c>
      <c r="AC116" s="298" t="str">
        <f t="shared" si="24"/>
        <v/>
      </c>
      <c r="AD116" s="16"/>
      <c r="AE116" s="297" t="str">
        <f t="shared" si="25"/>
        <v/>
      </c>
      <c r="AF116" s="298" t="str">
        <f t="shared" si="26"/>
        <v/>
      </c>
      <c r="AG116" s="16"/>
      <c r="AH116" s="297" t="str">
        <f t="shared" si="27"/>
        <v/>
      </c>
      <c r="AI116" s="298" t="str">
        <f t="shared" si="28"/>
        <v/>
      </c>
      <c r="AJ116" s="16"/>
      <c r="AK116" s="298" t="str">
        <f t="shared" si="29"/>
        <v/>
      </c>
      <c r="AL116" s="298" t="str">
        <f t="shared" si="30"/>
        <v/>
      </c>
      <c r="AM116" s="16"/>
      <c r="AN116" s="297" t="str">
        <f t="shared" si="31"/>
        <v/>
      </c>
      <c r="AO116" s="16"/>
      <c r="AP116" s="297" t="str">
        <f t="shared" si="32"/>
        <v/>
      </c>
      <c r="AQ116" s="299">
        <f t="shared" si="33"/>
        <v>0</v>
      </c>
      <c r="AR116" s="299">
        <f t="shared" si="34"/>
        <v>0</v>
      </c>
      <c r="AS116" s="300" t="str">
        <f t="shared" si="35"/>
        <v/>
      </c>
      <c r="AT116" s="301" t="str">
        <f>IF(COUNTIF(K116:R116,"F")&gt;0,"",IF(AS116="PASS",'Statement of Marks'!HF117,""))</f>
        <v/>
      </c>
      <c r="AU116" s="301" t="str">
        <f>IF(AS116="PASS",'Statement of Marks'!HG117,"")</f>
        <v/>
      </c>
    </row>
    <row r="117" spans="1:47">
      <c r="A117" s="284">
        <f>IF('Statement of Marks'!A118="","",'Statement of Marks'!A118)</f>
        <v>111</v>
      </c>
      <c r="B117" s="284" t="str">
        <f>IF('Statement of Marks'!B118="","",'Statement of Marks'!B118)</f>
        <v/>
      </c>
      <c r="C117" s="284" t="str">
        <f>IF('Statement of Marks'!C118="","",'Statement of Marks'!C118)</f>
        <v/>
      </c>
      <c r="D117" s="285" t="str">
        <f>IF('Statement of Marks'!D118="","",'Statement of Marks'!D118)</f>
        <v/>
      </c>
      <c r="E117" s="286" t="str">
        <f>IF('Statement of Marks'!E118="","",'Statement of Marks'!E118)</f>
        <v/>
      </c>
      <c r="F117" s="286" t="str">
        <f>IF('Statement of Marks'!F118="","",'Statement of Marks'!F118)</f>
        <v/>
      </c>
      <c r="G117" s="286" t="str">
        <f>IF('Statement of Marks'!G118="","",'Statement of Marks'!G118)</f>
        <v/>
      </c>
      <c r="H117" s="287" t="str">
        <f>IF('Statement of Marks'!GY118="","",'Statement of Marks'!GY118)</f>
        <v/>
      </c>
      <c r="I117" s="287" t="str">
        <f>IF('Statement of Marks'!HB118="","",'Statement of Marks'!HB118)</f>
        <v/>
      </c>
      <c r="J117" s="288" t="str">
        <f>IF('Statement of Marks'!HC118="","",'Statement of Marks'!HC118)</f>
        <v/>
      </c>
      <c r="K117" s="296" t="str">
        <f>IF(B117="","",'Statement of Marks'!FJ118)</f>
        <v/>
      </c>
      <c r="L117" s="296" t="str">
        <f>IF(B117="","",'Statement of Marks'!FM118)</f>
        <v/>
      </c>
      <c r="M117" s="296" t="str">
        <f>IF(B117="","",'Statement of Marks'!FP118)</f>
        <v/>
      </c>
      <c r="N117" s="296" t="str">
        <f>IF(B117="","",'Statement of Marks'!FW118)</f>
        <v/>
      </c>
      <c r="O117" s="296" t="str">
        <f>IF(B117="","",'Statement of Marks'!GD118)</f>
        <v/>
      </c>
      <c r="P117" s="296" t="str">
        <f>IF(B117="","",'Statement of Marks'!GK118)</f>
        <v/>
      </c>
      <c r="Q117" s="296" t="str">
        <f>IF(B117="","",'Statement of Marks'!GR118)</f>
        <v/>
      </c>
      <c r="R117" s="296" t="str">
        <f>IF(B117="","",'Statement of Marks'!GS118)</f>
        <v/>
      </c>
      <c r="S117" s="288" t="str">
        <f>IF(COUNTIF(K117:R117,"F")&gt;0,"",CONCATENATE('Statement of Marks'!GU118,'Statement of Marks'!GW118))</f>
        <v xml:space="preserve">           </v>
      </c>
      <c r="T117" s="289">
        <f t="shared" si="18"/>
        <v>0</v>
      </c>
      <c r="U117" s="16"/>
      <c r="V117" s="297" t="str">
        <f t="shared" si="19"/>
        <v/>
      </c>
      <c r="W117" s="297" t="str">
        <f t="shared" si="20"/>
        <v/>
      </c>
      <c r="X117" s="16"/>
      <c r="Y117" s="297" t="str">
        <f t="shared" si="21"/>
        <v/>
      </c>
      <c r="Z117" s="297" t="str">
        <f t="shared" si="22"/>
        <v/>
      </c>
      <c r="AA117" s="16"/>
      <c r="AB117" s="297" t="str">
        <f t="shared" si="23"/>
        <v/>
      </c>
      <c r="AC117" s="298" t="str">
        <f t="shared" si="24"/>
        <v/>
      </c>
      <c r="AD117" s="16"/>
      <c r="AE117" s="297" t="str">
        <f t="shared" si="25"/>
        <v/>
      </c>
      <c r="AF117" s="298" t="str">
        <f t="shared" si="26"/>
        <v/>
      </c>
      <c r="AG117" s="16"/>
      <c r="AH117" s="297" t="str">
        <f t="shared" si="27"/>
        <v/>
      </c>
      <c r="AI117" s="298" t="str">
        <f t="shared" si="28"/>
        <v/>
      </c>
      <c r="AJ117" s="16"/>
      <c r="AK117" s="298" t="str">
        <f t="shared" si="29"/>
        <v/>
      </c>
      <c r="AL117" s="298" t="str">
        <f t="shared" si="30"/>
        <v/>
      </c>
      <c r="AM117" s="16"/>
      <c r="AN117" s="297" t="str">
        <f t="shared" si="31"/>
        <v/>
      </c>
      <c r="AO117" s="16"/>
      <c r="AP117" s="297" t="str">
        <f t="shared" si="32"/>
        <v/>
      </c>
      <c r="AQ117" s="299">
        <f t="shared" si="33"/>
        <v>0</v>
      </c>
      <c r="AR117" s="299">
        <f t="shared" si="34"/>
        <v>0</v>
      </c>
      <c r="AS117" s="300" t="str">
        <f t="shared" si="35"/>
        <v/>
      </c>
      <c r="AT117" s="301" t="str">
        <f>IF(COUNTIF(K117:R117,"F")&gt;0,"",IF(AS117="PASS",'Statement of Marks'!HF118,""))</f>
        <v/>
      </c>
      <c r="AU117" s="301" t="str">
        <f>IF(AS117="PASS",'Statement of Marks'!HG118,"")</f>
        <v/>
      </c>
    </row>
    <row r="118" spans="1:47">
      <c r="A118" s="284">
        <f>IF('Statement of Marks'!A119="","",'Statement of Marks'!A119)</f>
        <v>112</v>
      </c>
      <c r="B118" s="284" t="str">
        <f>IF('Statement of Marks'!B119="","",'Statement of Marks'!B119)</f>
        <v/>
      </c>
      <c r="C118" s="284" t="str">
        <f>IF('Statement of Marks'!C119="","",'Statement of Marks'!C119)</f>
        <v/>
      </c>
      <c r="D118" s="285" t="str">
        <f>IF('Statement of Marks'!D119="","",'Statement of Marks'!D119)</f>
        <v/>
      </c>
      <c r="E118" s="286" t="str">
        <f>IF('Statement of Marks'!E119="","",'Statement of Marks'!E119)</f>
        <v/>
      </c>
      <c r="F118" s="286" t="str">
        <f>IF('Statement of Marks'!F119="","",'Statement of Marks'!F119)</f>
        <v/>
      </c>
      <c r="G118" s="286" t="str">
        <f>IF('Statement of Marks'!G119="","",'Statement of Marks'!G119)</f>
        <v/>
      </c>
      <c r="H118" s="287" t="str">
        <f>IF('Statement of Marks'!GY119="","",'Statement of Marks'!GY119)</f>
        <v/>
      </c>
      <c r="I118" s="287" t="str">
        <f>IF('Statement of Marks'!HB119="","",'Statement of Marks'!HB119)</f>
        <v/>
      </c>
      <c r="J118" s="288" t="str">
        <f>IF('Statement of Marks'!HC119="","",'Statement of Marks'!HC119)</f>
        <v/>
      </c>
      <c r="K118" s="296" t="str">
        <f>IF(B118="","",'Statement of Marks'!FJ119)</f>
        <v/>
      </c>
      <c r="L118" s="296" t="str">
        <f>IF(B118="","",'Statement of Marks'!FM119)</f>
        <v/>
      </c>
      <c r="M118" s="296" t="str">
        <f>IF(B118="","",'Statement of Marks'!FP119)</f>
        <v/>
      </c>
      <c r="N118" s="296" t="str">
        <f>IF(B118="","",'Statement of Marks'!FW119)</f>
        <v/>
      </c>
      <c r="O118" s="296" t="str">
        <f>IF(B118="","",'Statement of Marks'!GD119)</f>
        <v/>
      </c>
      <c r="P118" s="296" t="str">
        <f>IF(B118="","",'Statement of Marks'!GK119)</f>
        <v/>
      </c>
      <c r="Q118" s="296" t="str">
        <f>IF(B118="","",'Statement of Marks'!GR119)</f>
        <v/>
      </c>
      <c r="R118" s="296" t="str">
        <f>IF(B118="","",'Statement of Marks'!GS119)</f>
        <v/>
      </c>
      <c r="S118" s="288" t="str">
        <f>IF(COUNTIF(K118:R118,"F")&gt;0,"",CONCATENATE('Statement of Marks'!GU119,'Statement of Marks'!GW119))</f>
        <v xml:space="preserve">           </v>
      </c>
      <c r="T118" s="289">
        <f t="shared" si="18"/>
        <v>0</v>
      </c>
      <c r="U118" s="16"/>
      <c r="V118" s="297" t="str">
        <f t="shared" si="19"/>
        <v/>
      </c>
      <c r="W118" s="297" t="str">
        <f t="shared" si="20"/>
        <v/>
      </c>
      <c r="X118" s="16"/>
      <c r="Y118" s="297" t="str">
        <f t="shared" si="21"/>
        <v/>
      </c>
      <c r="Z118" s="297" t="str">
        <f t="shared" si="22"/>
        <v/>
      </c>
      <c r="AA118" s="16"/>
      <c r="AB118" s="297" t="str">
        <f t="shared" si="23"/>
        <v/>
      </c>
      <c r="AC118" s="298" t="str">
        <f t="shared" si="24"/>
        <v/>
      </c>
      <c r="AD118" s="16"/>
      <c r="AE118" s="297" t="str">
        <f t="shared" si="25"/>
        <v/>
      </c>
      <c r="AF118" s="298" t="str">
        <f t="shared" si="26"/>
        <v/>
      </c>
      <c r="AG118" s="16"/>
      <c r="AH118" s="297" t="str">
        <f t="shared" si="27"/>
        <v/>
      </c>
      <c r="AI118" s="298" t="str">
        <f t="shared" si="28"/>
        <v/>
      </c>
      <c r="AJ118" s="16"/>
      <c r="AK118" s="298" t="str">
        <f t="shared" si="29"/>
        <v/>
      </c>
      <c r="AL118" s="298" t="str">
        <f t="shared" si="30"/>
        <v/>
      </c>
      <c r="AM118" s="16"/>
      <c r="AN118" s="297" t="str">
        <f t="shared" si="31"/>
        <v/>
      </c>
      <c r="AO118" s="16"/>
      <c r="AP118" s="297" t="str">
        <f t="shared" si="32"/>
        <v/>
      </c>
      <c r="AQ118" s="299">
        <f t="shared" si="33"/>
        <v>0</v>
      </c>
      <c r="AR118" s="299">
        <f t="shared" si="34"/>
        <v>0</v>
      </c>
      <c r="AS118" s="300" t="str">
        <f t="shared" si="35"/>
        <v/>
      </c>
      <c r="AT118" s="301" t="str">
        <f>IF(COUNTIF(K118:R118,"F")&gt;0,"",IF(AS118="PASS",'Statement of Marks'!HF119,""))</f>
        <v/>
      </c>
      <c r="AU118" s="301" t="str">
        <f>IF(AS118="PASS",'Statement of Marks'!HG119,"")</f>
        <v/>
      </c>
    </row>
    <row r="119" spans="1:47">
      <c r="A119" s="284">
        <f>IF('Statement of Marks'!A120="","",'Statement of Marks'!A120)</f>
        <v>113</v>
      </c>
      <c r="B119" s="284" t="str">
        <f>IF('Statement of Marks'!B120="","",'Statement of Marks'!B120)</f>
        <v/>
      </c>
      <c r="C119" s="284" t="str">
        <f>IF('Statement of Marks'!C120="","",'Statement of Marks'!C120)</f>
        <v/>
      </c>
      <c r="D119" s="285" t="str">
        <f>IF('Statement of Marks'!D120="","",'Statement of Marks'!D120)</f>
        <v/>
      </c>
      <c r="E119" s="286" t="str">
        <f>IF('Statement of Marks'!E120="","",'Statement of Marks'!E120)</f>
        <v/>
      </c>
      <c r="F119" s="286" t="str">
        <f>IF('Statement of Marks'!F120="","",'Statement of Marks'!F120)</f>
        <v/>
      </c>
      <c r="G119" s="286" t="str">
        <f>IF('Statement of Marks'!G120="","",'Statement of Marks'!G120)</f>
        <v/>
      </c>
      <c r="H119" s="287" t="str">
        <f>IF('Statement of Marks'!GY120="","",'Statement of Marks'!GY120)</f>
        <v/>
      </c>
      <c r="I119" s="287" t="str">
        <f>IF('Statement of Marks'!HB120="","",'Statement of Marks'!HB120)</f>
        <v/>
      </c>
      <c r="J119" s="288" t="str">
        <f>IF('Statement of Marks'!HC120="","",'Statement of Marks'!HC120)</f>
        <v/>
      </c>
      <c r="K119" s="296" t="str">
        <f>IF(B119="","",'Statement of Marks'!FJ120)</f>
        <v/>
      </c>
      <c r="L119" s="296" t="str">
        <f>IF(B119="","",'Statement of Marks'!FM120)</f>
        <v/>
      </c>
      <c r="M119" s="296" t="str">
        <f>IF(B119="","",'Statement of Marks'!FP120)</f>
        <v/>
      </c>
      <c r="N119" s="296" t="str">
        <f>IF(B119="","",'Statement of Marks'!FW120)</f>
        <v/>
      </c>
      <c r="O119" s="296" t="str">
        <f>IF(B119="","",'Statement of Marks'!GD120)</f>
        <v/>
      </c>
      <c r="P119" s="296" t="str">
        <f>IF(B119="","",'Statement of Marks'!GK120)</f>
        <v/>
      </c>
      <c r="Q119" s="296" t="str">
        <f>IF(B119="","",'Statement of Marks'!GR120)</f>
        <v/>
      </c>
      <c r="R119" s="296" t="str">
        <f>IF(B119="","",'Statement of Marks'!GS120)</f>
        <v/>
      </c>
      <c r="S119" s="288" t="str">
        <f>IF(COUNTIF(K119:R119,"F")&gt;0,"",CONCATENATE('Statement of Marks'!GU120,'Statement of Marks'!GW120))</f>
        <v xml:space="preserve">           </v>
      </c>
      <c r="T119" s="289">
        <f t="shared" si="18"/>
        <v>0</v>
      </c>
      <c r="U119" s="16"/>
      <c r="V119" s="297" t="str">
        <f t="shared" si="19"/>
        <v/>
      </c>
      <c r="W119" s="297" t="str">
        <f t="shared" si="20"/>
        <v/>
      </c>
      <c r="X119" s="16"/>
      <c r="Y119" s="297" t="str">
        <f t="shared" si="21"/>
        <v/>
      </c>
      <c r="Z119" s="297" t="str">
        <f t="shared" si="22"/>
        <v/>
      </c>
      <c r="AA119" s="16"/>
      <c r="AB119" s="297" t="str">
        <f t="shared" si="23"/>
        <v/>
      </c>
      <c r="AC119" s="298" t="str">
        <f t="shared" si="24"/>
        <v/>
      </c>
      <c r="AD119" s="16"/>
      <c r="AE119" s="297" t="str">
        <f t="shared" si="25"/>
        <v/>
      </c>
      <c r="AF119" s="298" t="str">
        <f t="shared" si="26"/>
        <v/>
      </c>
      <c r="AG119" s="16"/>
      <c r="AH119" s="297" t="str">
        <f t="shared" si="27"/>
        <v/>
      </c>
      <c r="AI119" s="298" t="str">
        <f t="shared" si="28"/>
        <v/>
      </c>
      <c r="AJ119" s="16"/>
      <c r="AK119" s="298" t="str">
        <f t="shared" si="29"/>
        <v/>
      </c>
      <c r="AL119" s="298" t="str">
        <f t="shared" si="30"/>
        <v/>
      </c>
      <c r="AM119" s="16"/>
      <c r="AN119" s="297" t="str">
        <f t="shared" si="31"/>
        <v/>
      </c>
      <c r="AO119" s="16"/>
      <c r="AP119" s="297" t="str">
        <f t="shared" si="32"/>
        <v/>
      </c>
      <c r="AQ119" s="299">
        <f t="shared" si="33"/>
        <v>0</v>
      </c>
      <c r="AR119" s="299">
        <f t="shared" si="34"/>
        <v>0</v>
      </c>
      <c r="AS119" s="300" t="str">
        <f t="shared" si="35"/>
        <v/>
      </c>
      <c r="AT119" s="301" t="str">
        <f>IF(COUNTIF(K119:R119,"F")&gt;0,"",IF(AS119="PASS",'Statement of Marks'!HF120,""))</f>
        <v/>
      </c>
      <c r="AU119" s="301" t="str">
        <f>IF(AS119="PASS",'Statement of Marks'!HG120,"")</f>
        <v/>
      </c>
    </row>
    <row r="120" spans="1:47">
      <c r="A120" s="284">
        <f>IF('Statement of Marks'!A121="","",'Statement of Marks'!A121)</f>
        <v>114</v>
      </c>
      <c r="B120" s="284" t="str">
        <f>IF('Statement of Marks'!B121="","",'Statement of Marks'!B121)</f>
        <v/>
      </c>
      <c r="C120" s="284" t="str">
        <f>IF('Statement of Marks'!C121="","",'Statement of Marks'!C121)</f>
        <v/>
      </c>
      <c r="D120" s="285" t="str">
        <f>IF('Statement of Marks'!D121="","",'Statement of Marks'!D121)</f>
        <v/>
      </c>
      <c r="E120" s="286" t="str">
        <f>IF('Statement of Marks'!E121="","",'Statement of Marks'!E121)</f>
        <v/>
      </c>
      <c r="F120" s="286" t="str">
        <f>IF('Statement of Marks'!F121="","",'Statement of Marks'!F121)</f>
        <v/>
      </c>
      <c r="G120" s="286" t="str">
        <f>IF('Statement of Marks'!G121="","",'Statement of Marks'!G121)</f>
        <v/>
      </c>
      <c r="H120" s="287" t="str">
        <f>IF('Statement of Marks'!GY121="","",'Statement of Marks'!GY121)</f>
        <v/>
      </c>
      <c r="I120" s="287" t="str">
        <f>IF('Statement of Marks'!HB121="","",'Statement of Marks'!HB121)</f>
        <v/>
      </c>
      <c r="J120" s="288" t="str">
        <f>IF('Statement of Marks'!HC121="","",'Statement of Marks'!HC121)</f>
        <v/>
      </c>
      <c r="K120" s="296" t="str">
        <f>IF(B120="","",'Statement of Marks'!FJ121)</f>
        <v/>
      </c>
      <c r="L120" s="296" t="str">
        <f>IF(B120="","",'Statement of Marks'!FM121)</f>
        <v/>
      </c>
      <c r="M120" s="296" t="str">
        <f>IF(B120="","",'Statement of Marks'!FP121)</f>
        <v/>
      </c>
      <c r="N120" s="296" t="str">
        <f>IF(B120="","",'Statement of Marks'!FW121)</f>
        <v/>
      </c>
      <c r="O120" s="296" t="str">
        <f>IF(B120="","",'Statement of Marks'!GD121)</f>
        <v/>
      </c>
      <c r="P120" s="296" t="str">
        <f>IF(B120="","",'Statement of Marks'!GK121)</f>
        <v/>
      </c>
      <c r="Q120" s="296" t="str">
        <f>IF(B120="","",'Statement of Marks'!GR121)</f>
        <v/>
      </c>
      <c r="R120" s="296" t="str">
        <f>IF(B120="","",'Statement of Marks'!GS121)</f>
        <v/>
      </c>
      <c r="S120" s="288" t="str">
        <f>IF(COUNTIF(K120:R120,"F")&gt;0,"",CONCATENATE('Statement of Marks'!GU121,'Statement of Marks'!GW121))</f>
        <v xml:space="preserve">           </v>
      </c>
      <c r="T120" s="289">
        <f t="shared" si="18"/>
        <v>0</v>
      </c>
      <c r="U120" s="16"/>
      <c r="V120" s="297" t="str">
        <f t="shared" si="19"/>
        <v/>
      </c>
      <c r="W120" s="297" t="str">
        <f t="shared" si="20"/>
        <v/>
      </c>
      <c r="X120" s="16"/>
      <c r="Y120" s="297" t="str">
        <f t="shared" si="21"/>
        <v/>
      </c>
      <c r="Z120" s="297" t="str">
        <f t="shared" si="22"/>
        <v/>
      </c>
      <c r="AA120" s="16"/>
      <c r="AB120" s="297" t="str">
        <f t="shared" si="23"/>
        <v/>
      </c>
      <c r="AC120" s="298" t="str">
        <f t="shared" si="24"/>
        <v/>
      </c>
      <c r="AD120" s="16"/>
      <c r="AE120" s="297" t="str">
        <f t="shared" si="25"/>
        <v/>
      </c>
      <c r="AF120" s="298" t="str">
        <f t="shared" si="26"/>
        <v/>
      </c>
      <c r="AG120" s="16"/>
      <c r="AH120" s="297" t="str">
        <f t="shared" si="27"/>
        <v/>
      </c>
      <c r="AI120" s="298" t="str">
        <f t="shared" si="28"/>
        <v/>
      </c>
      <c r="AJ120" s="16"/>
      <c r="AK120" s="298" t="str">
        <f t="shared" si="29"/>
        <v/>
      </c>
      <c r="AL120" s="298" t="str">
        <f t="shared" si="30"/>
        <v/>
      </c>
      <c r="AM120" s="16"/>
      <c r="AN120" s="297" t="str">
        <f t="shared" si="31"/>
        <v/>
      </c>
      <c r="AO120" s="16"/>
      <c r="AP120" s="297" t="str">
        <f t="shared" si="32"/>
        <v/>
      </c>
      <c r="AQ120" s="299">
        <f t="shared" si="33"/>
        <v>0</v>
      </c>
      <c r="AR120" s="299">
        <f t="shared" si="34"/>
        <v>0</v>
      </c>
      <c r="AS120" s="300" t="str">
        <f t="shared" si="35"/>
        <v/>
      </c>
      <c r="AT120" s="301" t="str">
        <f>IF(COUNTIF(K120:R120,"F")&gt;0,"",IF(AS120="PASS",'Statement of Marks'!HF121,""))</f>
        <v/>
      </c>
      <c r="AU120" s="301" t="str">
        <f>IF(AS120="PASS",'Statement of Marks'!HG121,"")</f>
        <v/>
      </c>
    </row>
    <row r="121" spans="1:47">
      <c r="A121" s="284">
        <f>IF('Statement of Marks'!A122="","",'Statement of Marks'!A122)</f>
        <v>115</v>
      </c>
      <c r="B121" s="284" t="str">
        <f>IF('Statement of Marks'!B122="","",'Statement of Marks'!B122)</f>
        <v/>
      </c>
      <c r="C121" s="284" t="str">
        <f>IF('Statement of Marks'!C122="","",'Statement of Marks'!C122)</f>
        <v/>
      </c>
      <c r="D121" s="285" t="str">
        <f>IF('Statement of Marks'!D122="","",'Statement of Marks'!D122)</f>
        <v/>
      </c>
      <c r="E121" s="286" t="str">
        <f>IF('Statement of Marks'!E122="","",'Statement of Marks'!E122)</f>
        <v/>
      </c>
      <c r="F121" s="286" t="str">
        <f>IF('Statement of Marks'!F122="","",'Statement of Marks'!F122)</f>
        <v/>
      </c>
      <c r="G121" s="286" t="str">
        <f>IF('Statement of Marks'!G122="","",'Statement of Marks'!G122)</f>
        <v/>
      </c>
      <c r="H121" s="287" t="str">
        <f>IF('Statement of Marks'!GY122="","",'Statement of Marks'!GY122)</f>
        <v/>
      </c>
      <c r="I121" s="287" t="str">
        <f>IF('Statement of Marks'!HB122="","",'Statement of Marks'!HB122)</f>
        <v/>
      </c>
      <c r="J121" s="288" t="str">
        <f>IF('Statement of Marks'!HC122="","",'Statement of Marks'!HC122)</f>
        <v/>
      </c>
      <c r="K121" s="296" t="str">
        <f>IF(B121="","",'Statement of Marks'!FJ122)</f>
        <v/>
      </c>
      <c r="L121" s="296" t="str">
        <f>IF(B121="","",'Statement of Marks'!FM122)</f>
        <v/>
      </c>
      <c r="M121" s="296" t="str">
        <f>IF(B121="","",'Statement of Marks'!FP122)</f>
        <v/>
      </c>
      <c r="N121" s="296" t="str">
        <f>IF(B121="","",'Statement of Marks'!FW122)</f>
        <v/>
      </c>
      <c r="O121" s="296" t="str">
        <f>IF(B121="","",'Statement of Marks'!GD122)</f>
        <v/>
      </c>
      <c r="P121" s="296" t="str">
        <f>IF(B121="","",'Statement of Marks'!GK122)</f>
        <v/>
      </c>
      <c r="Q121" s="296" t="str">
        <f>IF(B121="","",'Statement of Marks'!GR122)</f>
        <v/>
      </c>
      <c r="R121" s="296" t="str">
        <f>IF(B121="","",'Statement of Marks'!GS122)</f>
        <v/>
      </c>
      <c r="S121" s="288" t="str">
        <f>IF(COUNTIF(K121:R121,"F")&gt;0,"",CONCATENATE('Statement of Marks'!GU122,'Statement of Marks'!GW122))</f>
        <v xml:space="preserve">           </v>
      </c>
      <c r="T121" s="289">
        <f t="shared" si="18"/>
        <v>0</v>
      </c>
      <c r="U121" s="16"/>
      <c r="V121" s="297" t="str">
        <f t="shared" si="19"/>
        <v/>
      </c>
      <c r="W121" s="297" t="str">
        <f t="shared" si="20"/>
        <v/>
      </c>
      <c r="X121" s="16"/>
      <c r="Y121" s="297" t="str">
        <f t="shared" si="21"/>
        <v/>
      </c>
      <c r="Z121" s="297" t="str">
        <f t="shared" si="22"/>
        <v/>
      </c>
      <c r="AA121" s="16"/>
      <c r="AB121" s="297" t="str">
        <f t="shared" si="23"/>
        <v/>
      </c>
      <c r="AC121" s="298" t="str">
        <f t="shared" si="24"/>
        <v/>
      </c>
      <c r="AD121" s="16"/>
      <c r="AE121" s="297" t="str">
        <f t="shared" si="25"/>
        <v/>
      </c>
      <c r="AF121" s="298" t="str">
        <f t="shared" si="26"/>
        <v/>
      </c>
      <c r="AG121" s="16"/>
      <c r="AH121" s="297" t="str">
        <f t="shared" si="27"/>
        <v/>
      </c>
      <c r="AI121" s="298" t="str">
        <f t="shared" si="28"/>
        <v/>
      </c>
      <c r="AJ121" s="16"/>
      <c r="AK121" s="298" t="str">
        <f t="shared" si="29"/>
        <v/>
      </c>
      <c r="AL121" s="298" t="str">
        <f t="shared" si="30"/>
        <v/>
      </c>
      <c r="AM121" s="16"/>
      <c r="AN121" s="297" t="str">
        <f t="shared" si="31"/>
        <v/>
      </c>
      <c r="AO121" s="16"/>
      <c r="AP121" s="297" t="str">
        <f t="shared" si="32"/>
        <v/>
      </c>
      <c r="AQ121" s="299">
        <f t="shared" si="33"/>
        <v>0</v>
      </c>
      <c r="AR121" s="299">
        <f t="shared" si="34"/>
        <v>0</v>
      </c>
      <c r="AS121" s="300" t="str">
        <f t="shared" si="35"/>
        <v/>
      </c>
      <c r="AT121" s="301" t="str">
        <f>IF(COUNTIF(K121:R121,"F")&gt;0,"",IF(AS121="PASS",'Statement of Marks'!HF122,""))</f>
        <v/>
      </c>
      <c r="AU121" s="301" t="str">
        <f>IF(AS121="PASS",'Statement of Marks'!HG122,"")</f>
        <v/>
      </c>
    </row>
    <row r="122" spans="1:47">
      <c r="A122" s="284">
        <f>IF('Statement of Marks'!A123="","",'Statement of Marks'!A123)</f>
        <v>116</v>
      </c>
      <c r="B122" s="284" t="str">
        <f>IF('Statement of Marks'!B123="","",'Statement of Marks'!B123)</f>
        <v/>
      </c>
      <c r="C122" s="284" t="str">
        <f>IF('Statement of Marks'!C123="","",'Statement of Marks'!C123)</f>
        <v/>
      </c>
      <c r="D122" s="285" t="str">
        <f>IF('Statement of Marks'!D123="","",'Statement of Marks'!D123)</f>
        <v/>
      </c>
      <c r="E122" s="286" t="str">
        <f>IF('Statement of Marks'!E123="","",'Statement of Marks'!E123)</f>
        <v/>
      </c>
      <c r="F122" s="286" t="str">
        <f>IF('Statement of Marks'!F123="","",'Statement of Marks'!F123)</f>
        <v/>
      </c>
      <c r="G122" s="286" t="str">
        <f>IF('Statement of Marks'!G123="","",'Statement of Marks'!G123)</f>
        <v/>
      </c>
      <c r="H122" s="287" t="str">
        <f>IF('Statement of Marks'!GY123="","",'Statement of Marks'!GY123)</f>
        <v/>
      </c>
      <c r="I122" s="287" t="str">
        <f>IF('Statement of Marks'!HB123="","",'Statement of Marks'!HB123)</f>
        <v/>
      </c>
      <c r="J122" s="288" t="str">
        <f>IF('Statement of Marks'!HC123="","",'Statement of Marks'!HC123)</f>
        <v/>
      </c>
      <c r="K122" s="296" t="str">
        <f>IF(B122="","",'Statement of Marks'!FJ123)</f>
        <v/>
      </c>
      <c r="L122" s="296" t="str">
        <f>IF(B122="","",'Statement of Marks'!FM123)</f>
        <v/>
      </c>
      <c r="M122" s="296" t="str">
        <f>IF(B122="","",'Statement of Marks'!FP123)</f>
        <v/>
      </c>
      <c r="N122" s="296" t="str">
        <f>IF(B122="","",'Statement of Marks'!FW123)</f>
        <v/>
      </c>
      <c r="O122" s="296" t="str">
        <f>IF(B122="","",'Statement of Marks'!GD123)</f>
        <v/>
      </c>
      <c r="P122" s="296" t="str">
        <f>IF(B122="","",'Statement of Marks'!GK123)</f>
        <v/>
      </c>
      <c r="Q122" s="296" t="str">
        <f>IF(B122="","",'Statement of Marks'!GR123)</f>
        <v/>
      </c>
      <c r="R122" s="296" t="str">
        <f>IF(B122="","",'Statement of Marks'!GS123)</f>
        <v/>
      </c>
      <c r="S122" s="288" t="str">
        <f>IF(COUNTIF(K122:R122,"F")&gt;0,"",CONCATENATE('Statement of Marks'!GU123,'Statement of Marks'!GW123))</f>
        <v xml:space="preserve">           </v>
      </c>
      <c r="T122" s="289">
        <f t="shared" si="18"/>
        <v>0</v>
      </c>
      <c r="U122" s="16"/>
      <c r="V122" s="297" t="str">
        <f t="shared" si="19"/>
        <v/>
      </c>
      <c r="W122" s="297" t="str">
        <f t="shared" si="20"/>
        <v/>
      </c>
      <c r="X122" s="16"/>
      <c r="Y122" s="297" t="str">
        <f t="shared" si="21"/>
        <v/>
      </c>
      <c r="Z122" s="297" t="str">
        <f t="shared" si="22"/>
        <v/>
      </c>
      <c r="AA122" s="16"/>
      <c r="AB122" s="297" t="str">
        <f t="shared" si="23"/>
        <v/>
      </c>
      <c r="AC122" s="298" t="str">
        <f t="shared" si="24"/>
        <v/>
      </c>
      <c r="AD122" s="16"/>
      <c r="AE122" s="297" t="str">
        <f t="shared" si="25"/>
        <v/>
      </c>
      <c r="AF122" s="298" t="str">
        <f t="shared" si="26"/>
        <v/>
      </c>
      <c r="AG122" s="16"/>
      <c r="AH122" s="297" t="str">
        <f t="shared" si="27"/>
        <v/>
      </c>
      <c r="AI122" s="298" t="str">
        <f t="shared" si="28"/>
        <v/>
      </c>
      <c r="AJ122" s="16"/>
      <c r="AK122" s="298" t="str">
        <f t="shared" si="29"/>
        <v/>
      </c>
      <c r="AL122" s="298" t="str">
        <f t="shared" si="30"/>
        <v/>
      </c>
      <c r="AM122" s="16"/>
      <c r="AN122" s="297" t="str">
        <f t="shared" si="31"/>
        <v/>
      </c>
      <c r="AO122" s="16"/>
      <c r="AP122" s="297" t="str">
        <f t="shared" si="32"/>
        <v/>
      </c>
      <c r="AQ122" s="299">
        <f t="shared" si="33"/>
        <v>0</v>
      </c>
      <c r="AR122" s="299">
        <f t="shared" si="34"/>
        <v>0</v>
      </c>
      <c r="AS122" s="300" t="str">
        <f t="shared" si="35"/>
        <v/>
      </c>
      <c r="AT122" s="301" t="str">
        <f>IF(COUNTIF(K122:R122,"F")&gt;0,"",IF(AS122="PASS",'Statement of Marks'!HF123,""))</f>
        <v/>
      </c>
      <c r="AU122" s="301" t="str">
        <f>IF(AS122="PASS",'Statement of Marks'!HG123,"")</f>
        <v/>
      </c>
    </row>
    <row r="123" spans="1:47">
      <c r="A123" s="284">
        <f>IF('Statement of Marks'!A124="","",'Statement of Marks'!A124)</f>
        <v>117</v>
      </c>
      <c r="B123" s="284" t="str">
        <f>IF('Statement of Marks'!B124="","",'Statement of Marks'!B124)</f>
        <v/>
      </c>
      <c r="C123" s="284" t="str">
        <f>IF('Statement of Marks'!C124="","",'Statement of Marks'!C124)</f>
        <v/>
      </c>
      <c r="D123" s="285" t="str">
        <f>IF('Statement of Marks'!D124="","",'Statement of Marks'!D124)</f>
        <v/>
      </c>
      <c r="E123" s="286" t="str">
        <f>IF('Statement of Marks'!E124="","",'Statement of Marks'!E124)</f>
        <v/>
      </c>
      <c r="F123" s="286" t="str">
        <f>IF('Statement of Marks'!F124="","",'Statement of Marks'!F124)</f>
        <v/>
      </c>
      <c r="G123" s="286" t="str">
        <f>IF('Statement of Marks'!G124="","",'Statement of Marks'!G124)</f>
        <v/>
      </c>
      <c r="H123" s="287" t="str">
        <f>IF('Statement of Marks'!GY124="","",'Statement of Marks'!GY124)</f>
        <v/>
      </c>
      <c r="I123" s="287" t="str">
        <f>IF('Statement of Marks'!HB124="","",'Statement of Marks'!HB124)</f>
        <v/>
      </c>
      <c r="J123" s="288" t="str">
        <f>IF('Statement of Marks'!HC124="","",'Statement of Marks'!HC124)</f>
        <v/>
      </c>
      <c r="K123" s="296" t="str">
        <f>IF(B123="","",'Statement of Marks'!FJ124)</f>
        <v/>
      </c>
      <c r="L123" s="296" t="str">
        <f>IF(B123="","",'Statement of Marks'!FM124)</f>
        <v/>
      </c>
      <c r="M123" s="296" t="str">
        <f>IF(B123="","",'Statement of Marks'!FP124)</f>
        <v/>
      </c>
      <c r="N123" s="296" t="str">
        <f>IF(B123="","",'Statement of Marks'!FW124)</f>
        <v/>
      </c>
      <c r="O123" s="296" t="str">
        <f>IF(B123="","",'Statement of Marks'!GD124)</f>
        <v/>
      </c>
      <c r="P123" s="296" t="str">
        <f>IF(B123="","",'Statement of Marks'!GK124)</f>
        <v/>
      </c>
      <c r="Q123" s="296" t="str">
        <f>IF(B123="","",'Statement of Marks'!GR124)</f>
        <v/>
      </c>
      <c r="R123" s="296" t="str">
        <f>IF(B123="","",'Statement of Marks'!GS124)</f>
        <v/>
      </c>
      <c r="S123" s="288" t="str">
        <f>IF(COUNTIF(K123:R123,"F")&gt;0,"",CONCATENATE('Statement of Marks'!GU124,'Statement of Marks'!GW124))</f>
        <v xml:space="preserve">           </v>
      </c>
      <c r="T123" s="289">
        <f t="shared" si="18"/>
        <v>0</v>
      </c>
      <c r="U123" s="16"/>
      <c r="V123" s="297" t="str">
        <f t="shared" si="19"/>
        <v/>
      </c>
      <c r="W123" s="297" t="str">
        <f t="shared" si="20"/>
        <v/>
      </c>
      <c r="X123" s="16"/>
      <c r="Y123" s="297" t="str">
        <f t="shared" si="21"/>
        <v/>
      </c>
      <c r="Z123" s="297" t="str">
        <f t="shared" si="22"/>
        <v/>
      </c>
      <c r="AA123" s="16"/>
      <c r="AB123" s="297" t="str">
        <f t="shared" si="23"/>
        <v/>
      </c>
      <c r="AC123" s="298" t="str">
        <f t="shared" si="24"/>
        <v/>
      </c>
      <c r="AD123" s="16"/>
      <c r="AE123" s="297" t="str">
        <f t="shared" si="25"/>
        <v/>
      </c>
      <c r="AF123" s="298" t="str">
        <f t="shared" si="26"/>
        <v/>
      </c>
      <c r="AG123" s="16"/>
      <c r="AH123" s="297" t="str">
        <f t="shared" si="27"/>
        <v/>
      </c>
      <c r="AI123" s="298" t="str">
        <f t="shared" si="28"/>
        <v/>
      </c>
      <c r="AJ123" s="16"/>
      <c r="AK123" s="298" t="str">
        <f t="shared" si="29"/>
        <v/>
      </c>
      <c r="AL123" s="298" t="str">
        <f t="shared" si="30"/>
        <v/>
      </c>
      <c r="AM123" s="16"/>
      <c r="AN123" s="297" t="str">
        <f t="shared" si="31"/>
        <v/>
      </c>
      <c r="AO123" s="16"/>
      <c r="AP123" s="297" t="str">
        <f t="shared" si="32"/>
        <v/>
      </c>
      <c r="AQ123" s="299">
        <f t="shared" si="33"/>
        <v>0</v>
      </c>
      <c r="AR123" s="299">
        <f t="shared" si="34"/>
        <v>0</v>
      </c>
      <c r="AS123" s="300" t="str">
        <f t="shared" si="35"/>
        <v/>
      </c>
      <c r="AT123" s="301" t="str">
        <f>IF(COUNTIF(K123:R123,"F")&gt;0,"",IF(AS123="PASS",'Statement of Marks'!HF124,""))</f>
        <v/>
      </c>
      <c r="AU123" s="301" t="str">
        <f>IF(AS123="PASS",'Statement of Marks'!HG124,"")</f>
        <v/>
      </c>
    </row>
    <row r="124" spans="1:47">
      <c r="A124" s="284">
        <f>IF('Statement of Marks'!A125="","",'Statement of Marks'!A125)</f>
        <v>118</v>
      </c>
      <c r="B124" s="284" t="str">
        <f>IF('Statement of Marks'!B125="","",'Statement of Marks'!B125)</f>
        <v/>
      </c>
      <c r="C124" s="284" t="str">
        <f>IF('Statement of Marks'!C125="","",'Statement of Marks'!C125)</f>
        <v/>
      </c>
      <c r="D124" s="285" t="str">
        <f>IF('Statement of Marks'!D125="","",'Statement of Marks'!D125)</f>
        <v/>
      </c>
      <c r="E124" s="286" t="str">
        <f>IF('Statement of Marks'!E125="","",'Statement of Marks'!E125)</f>
        <v/>
      </c>
      <c r="F124" s="286" t="str">
        <f>IF('Statement of Marks'!F125="","",'Statement of Marks'!F125)</f>
        <v/>
      </c>
      <c r="G124" s="286" t="str">
        <f>IF('Statement of Marks'!G125="","",'Statement of Marks'!G125)</f>
        <v/>
      </c>
      <c r="H124" s="287" t="str">
        <f>IF('Statement of Marks'!GY125="","",'Statement of Marks'!GY125)</f>
        <v/>
      </c>
      <c r="I124" s="287" t="str">
        <f>IF('Statement of Marks'!HB125="","",'Statement of Marks'!HB125)</f>
        <v/>
      </c>
      <c r="J124" s="288" t="str">
        <f>IF('Statement of Marks'!HC125="","",'Statement of Marks'!HC125)</f>
        <v/>
      </c>
      <c r="K124" s="296" t="str">
        <f>IF(B124="","",'Statement of Marks'!FJ125)</f>
        <v/>
      </c>
      <c r="L124" s="296" t="str">
        <f>IF(B124="","",'Statement of Marks'!FM125)</f>
        <v/>
      </c>
      <c r="M124" s="296" t="str">
        <f>IF(B124="","",'Statement of Marks'!FP125)</f>
        <v/>
      </c>
      <c r="N124" s="296" t="str">
        <f>IF(B124="","",'Statement of Marks'!FW125)</f>
        <v/>
      </c>
      <c r="O124" s="296" t="str">
        <f>IF(B124="","",'Statement of Marks'!GD125)</f>
        <v/>
      </c>
      <c r="P124" s="296" t="str">
        <f>IF(B124="","",'Statement of Marks'!GK125)</f>
        <v/>
      </c>
      <c r="Q124" s="296" t="str">
        <f>IF(B124="","",'Statement of Marks'!GR125)</f>
        <v/>
      </c>
      <c r="R124" s="296" t="str">
        <f>IF(B124="","",'Statement of Marks'!GS125)</f>
        <v/>
      </c>
      <c r="S124" s="288" t="str">
        <f>IF(COUNTIF(K124:R124,"F")&gt;0,"",CONCATENATE('Statement of Marks'!GU125,'Statement of Marks'!GW125))</f>
        <v xml:space="preserve">           </v>
      </c>
      <c r="T124" s="289">
        <f t="shared" si="18"/>
        <v>0</v>
      </c>
      <c r="U124" s="16"/>
      <c r="V124" s="297" t="str">
        <f t="shared" si="19"/>
        <v/>
      </c>
      <c r="W124" s="297" t="str">
        <f t="shared" si="20"/>
        <v/>
      </c>
      <c r="X124" s="16"/>
      <c r="Y124" s="297" t="str">
        <f t="shared" si="21"/>
        <v/>
      </c>
      <c r="Z124" s="297" t="str">
        <f t="shared" si="22"/>
        <v/>
      </c>
      <c r="AA124" s="16"/>
      <c r="AB124" s="297" t="str">
        <f t="shared" si="23"/>
        <v/>
      </c>
      <c r="AC124" s="298" t="str">
        <f t="shared" si="24"/>
        <v/>
      </c>
      <c r="AD124" s="16"/>
      <c r="AE124" s="297" t="str">
        <f t="shared" si="25"/>
        <v/>
      </c>
      <c r="AF124" s="298" t="str">
        <f t="shared" si="26"/>
        <v/>
      </c>
      <c r="AG124" s="16"/>
      <c r="AH124" s="297" t="str">
        <f t="shared" si="27"/>
        <v/>
      </c>
      <c r="AI124" s="298" t="str">
        <f t="shared" si="28"/>
        <v/>
      </c>
      <c r="AJ124" s="16"/>
      <c r="AK124" s="298" t="str">
        <f t="shared" si="29"/>
        <v/>
      </c>
      <c r="AL124" s="298" t="str">
        <f t="shared" si="30"/>
        <v/>
      </c>
      <c r="AM124" s="16"/>
      <c r="AN124" s="297" t="str">
        <f t="shared" si="31"/>
        <v/>
      </c>
      <c r="AO124" s="16"/>
      <c r="AP124" s="297" t="str">
        <f t="shared" si="32"/>
        <v/>
      </c>
      <c r="AQ124" s="299">
        <f t="shared" si="33"/>
        <v>0</v>
      </c>
      <c r="AR124" s="299">
        <f t="shared" si="34"/>
        <v>0</v>
      </c>
      <c r="AS124" s="300" t="str">
        <f t="shared" si="35"/>
        <v/>
      </c>
      <c r="AT124" s="301" t="str">
        <f>IF(COUNTIF(K124:R124,"F")&gt;0,"",IF(AS124="PASS",'Statement of Marks'!HF125,""))</f>
        <v/>
      </c>
      <c r="AU124" s="301" t="str">
        <f>IF(AS124="PASS",'Statement of Marks'!HG125,"")</f>
        <v/>
      </c>
    </row>
    <row r="125" spans="1:47">
      <c r="A125" s="284">
        <f>IF('Statement of Marks'!A126="","",'Statement of Marks'!A126)</f>
        <v>119</v>
      </c>
      <c r="B125" s="284" t="str">
        <f>IF('Statement of Marks'!B126="","",'Statement of Marks'!B126)</f>
        <v/>
      </c>
      <c r="C125" s="284" t="str">
        <f>IF('Statement of Marks'!C126="","",'Statement of Marks'!C126)</f>
        <v/>
      </c>
      <c r="D125" s="285" t="str">
        <f>IF('Statement of Marks'!D126="","",'Statement of Marks'!D126)</f>
        <v/>
      </c>
      <c r="E125" s="286" t="str">
        <f>IF('Statement of Marks'!E126="","",'Statement of Marks'!E126)</f>
        <v/>
      </c>
      <c r="F125" s="286" t="str">
        <f>IF('Statement of Marks'!F126="","",'Statement of Marks'!F126)</f>
        <v/>
      </c>
      <c r="G125" s="286" t="str">
        <f>IF('Statement of Marks'!G126="","",'Statement of Marks'!G126)</f>
        <v/>
      </c>
      <c r="H125" s="287" t="str">
        <f>IF('Statement of Marks'!GY126="","",'Statement of Marks'!GY126)</f>
        <v/>
      </c>
      <c r="I125" s="287" t="str">
        <f>IF('Statement of Marks'!HB126="","",'Statement of Marks'!HB126)</f>
        <v/>
      </c>
      <c r="J125" s="288" t="str">
        <f>IF('Statement of Marks'!HC126="","",'Statement of Marks'!HC126)</f>
        <v/>
      </c>
      <c r="K125" s="296" t="str">
        <f>IF(B125="","",'Statement of Marks'!FJ126)</f>
        <v/>
      </c>
      <c r="L125" s="296" t="str">
        <f>IF(B125="","",'Statement of Marks'!FM126)</f>
        <v/>
      </c>
      <c r="M125" s="296" t="str">
        <f>IF(B125="","",'Statement of Marks'!FP126)</f>
        <v/>
      </c>
      <c r="N125" s="296" t="str">
        <f>IF(B125="","",'Statement of Marks'!FW126)</f>
        <v/>
      </c>
      <c r="O125" s="296" t="str">
        <f>IF(B125="","",'Statement of Marks'!GD126)</f>
        <v/>
      </c>
      <c r="P125" s="296" t="str">
        <f>IF(B125="","",'Statement of Marks'!GK126)</f>
        <v/>
      </c>
      <c r="Q125" s="296" t="str">
        <f>IF(B125="","",'Statement of Marks'!GR126)</f>
        <v/>
      </c>
      <c r="R125" s="296" t="str">
        <f>IF(B125="","",'Statement of Marks'!GS126)</f>
        <v/>
      </c>
      <c r="S125" s="288" t="str">
        <f>IF(COUNTIF(K125:R125,"F")&gt;0,"",CONCATENATE('Statement of Marks'!GU126,'Statement of Marks'!GW126))</f>
        <v xml:space="preserve">           </v>
      </c>
      <c r="T125" s="289">
        <f t="shared" si="18"/>
        <v>0</v>
      </c>
      <c r="U125" s="16"/>
      <c r="V125" s="297" t="str">
        <f t="shared" si="19"/>
        <v/>
      </c>
      <c r="W125" s="297" t="str">
        <f t="shared" si="20"/>
        <v/>
      </c>
      <c r="X125" s="16"/>
      <c r="Y125" s="297" t="str">
        <f t="shared" si="21"/>
        <v/>
      </c>
      <c r="Z125" s="297" t="str">
        <f t="shared" si="22"/>
        <v/>
      </c>
      <c r="AA125" s="16"/>
      <c r="AB125" s="297" t="str">
        <f t="shared" si="23"/>
        <v/>
      </c>
      <c r="AC125" s="298" t="str">
        <f t="shared" si="24"/>
        <v/>
      </c>
      <c r="AD125" s="16"/>
      <c r="AE125" s="297" t="str">
        <f t="shared" si="25"/>
        <v/>
      </c>
      <c r="AF125" s="298" t="str">
        <f t="shared" si="26"/>
        <v/>
      </c>
      <c r="AG125" s="16"/>
      <c r="AH125" s="297" t="str">
        <f t="shared" si="27"/>
        <v/>
      </c>
      <c r="AI125" s="298" t="str">
        <f t="shared" si="28"/>
        <v/>
      </c>
      <c r="AJ125" s="16"/>
      <c r="AK125" s="298" t="str">
        <f t="shared" si="29"/>
        <v/>
      </c>
      <c r="AL125" s="298" t="str">
        <f t="shared" si="30"/>
        <v/>
      </c>
      <c r="AM125" s="16"/>
      <c r="AN125" s="297" t="str">
        <f t="shared" si="31"/>
        <v/>
      </c>
      <c r="AO125" s="16"/>
      <c r="AP125" s="297" t="str">
        <f t="shared" si="32"/>
        <v/>
      </c>
      <c r="AQ125" s="299">
        <f t="shared" si="33"/>
        <v>0</v>
      </c>
      <c r="AR125" s="299">
        <f t="shared" si="34"/>
        <v>0</v>
      </c>
      <c r="AS125" s="300" t="str">
        <f t="shared" si="35"/>
        <v/>
      </c>
      <c r="AT125" s="301" t="str">
        <f>IF(COUNTIF(K125:R125,"F")&gt;0,"",IF(AS125="PASS",'Statement of Marks'!HF126,""))</f>
        <v/>
      </c>
      <c r="AU125" s="301" t="str">
        <f>IF(AS125="PASS",'Statement of Marks'!HG126,"")</f>
        <v/>
      </c>
    </row>
    <row r="126" spans="1:47">
      <c r="A126" s="284">
        <f>IF('Statement of Marks'!A127="","",'Statement of Marks'!A127)</f>
        <v>120</v>
      </c>
      <c r="B126" s="284" t="str">
        <f>IF('Statement of Marks'!B127="","",'Statement of Marks'!B127)</f>
        <v/>
      </c>
      <c r="C126" s="284" t="str">
        <f>IF('Statement of Marks'!C127="","",'Statement of Marks'!C127)</f>
        <v/>
      </c>
      <c r="D126" s="285" t="str">
        <f>IF('Statement of Marks'!D127="","",'Statement of Marks'!D127)</f>
        <v/>
      </c>
      <c r="E126" s="286" t="str">
        <f>IF('Statement of Marks'!E127="","",'Statement of Marks'!E127)</f>
        <v/>
      </c>
      <c r="F126" s="286" t="str">
        <f>IF('Statement of Marks'!F127="","",'Statement of Marks'!F127)</f>
        <v/>
      </c>
      <c r="G126" s="286" t="str">
        <f>IF('Statement of Marks'!G127="","",'Statement of Marks'!G127)</f>
        <v/>
      </c>
      <c r="H126" s="287" t="str">
        <f>IF('Statement of Marks'!GY127="","",'Statement of Marks'!GY127)</f>
        <v/>
      </c>
      <c r="I126" s="287" t="str">
        <f>IF('Statement of Marks'!HB127="","",'Statement of Marks'!HB127)</f>
        <v/>
      </c>
      <c r="J126" s="288" t="str">
        <f>IF('Statement of Marks'!HC127="","",'Statement of Marks'!HC127)</f>
        <v/>
      </c>
      <c r="K126" s="296" t="str">
        <f>IF(B126="","",'Statement of Marks'!FJ127)</f>
        <v/>
      </c>
      <c r="L126" s="296" t="str">
        <f>IF(B126="","",'Statement of Marks'!FM127)</f>
        <v/>
      </c>
      <c r="M126" s="296" t="str">
        <f>IF(B126="","",'Statement of Marks'!FP127)</f>
        <v/>
      </c>
      <c r="N126" s="296" t="str">
        <f>IF(B126="","",'Statement of Marks'!FW127)</f>
        <v/>
      </c>
      <c r="O126" s="296" t="str">
        <f>IF(B126="","",'Statement of Marks'!GD127)</f>
        <v/>
      </c>
      <c r="P126" s="296" t="str">
        <f>IF(B126="","",'Statement of Marks'!GK127)</f>
        <v/>
      </c>
      <c r="Q126" s="296" t="str">
        <f>IF(B126="","",'Statement of Marks'!GR127)</f>
        <v/>
      </c>
      <c r="R126" s="296" t="str">
        <f>IF(B126="","",'Statement of Marks'!GS127)</f>
        <v/>
      </c>
      <c r="S126" s="288" t="str">
        <f>IF(COUNTIF(K126:R126,"F")&gt;0,"",CONCATENATE('Statement of Marks'!GU127,'Statement of Marks'!GW127))</f>
        <v xml:space="preserve">           </v>
      </c>
      <c r="T126" s="289">
        <f t="shared" si="18"/>
        <v>0</v>
      </c>
      <c r="U126" s="16"/>
      <c r="V126" s="297" t="str">
        <f t="shared" si="19"/>
        <v/>
      </c>
      <c r="W126" s="297" t="str">
        <f t="shared" si="20"/>
        <v/>
      </c>
      <c r="X126" s="16"/>
      <c r="Y126" s="297" t="str">
        <f t="shared" si="21"/>
        <v/>
      </c>
      <c r="Z126" s="297" t="str">
        <f t="shared" si="22"/>
        <v/>
      </c>
      <c r="AA126" s="16"/>
      <c r="AB126" s="297" t="str">
        <f t="shared" si="23"/>
        <v/>
      </c>
      <c r="AC126" s="298" t="str">
        <f t="shared" si="24"/>
        <v/>
      </c>
      <c r="AD126" s="16"/>
      <c r="AE126" s="297" t="str">
        <f t="shared" si="25"/>
        <v/>
      </c>
      <c r="AF126" s="298" t="str">
        <f t="shared" si="26"/>
        <v/>
      </c>
      <c r="AG126" s="16"/>
      <c r="AH126" s="297" t="str">
        <f t="shared" si="27"/>
        <v/>
      </c>
      <c r="AI126" s="298" t="str">
        <f t="shared" si="28"/>
        <v/>
      </c>
      <c r="AJ126" s="16"/>
      <c r="AK126" s="298" t="str">
        <f t="shared" si="29"/>
        <v/>
      </c>
      <c r="AL126" s="298" t="str">
        <f t="shared" si="30"/>
        <v/>
      </c>
      <c r="AM126" s="16"/>
      <c r="AN126" s="297" t="str">
        <f t="shared" si="31"/>
        <v/>
      </c>
      <c r="AO126" s="16"/>
      <c r="AP126" s="297" t="str">
        <f t="shared" si="32"/>
        <v/>
      </c>
      <c r="AQ126" s="299">
        <f t="shared" si="33"/>
        <v>0</v>
      </c>
      <c r="AR126" s="299">
        <f t="shared" si="34"/>
        <v>0</v>
      </c>
      <c r="AS126" s="300" t="str">
        <f t="shared" si="35"/>
        <v/>
      </c>
      <c r="AT126" s="301" t="str">
        <f>IF(COUNTIF(K126:R126,"F")&gt;0,"",IF(AS126="PASS",'Statement of Marks'!HF127,""))</f>
        <v/>
      </c>
      <c r="AU126" s="301" t="str">
        <f>IF(AS126="PASS",'Statement of Marks'!HG127,"")</f>
        <v/>
      </c>
    </row>
    <row r="127" spans="1:47">
      <c r="A127" s="284">
        <f>IF('Statement of Marks'!A128="","",'Statement of Marks'!A128)</f>
        <v>121</v>
      </c>
      <c r="B127" s="284" t="str">
        <f>IF('Statement of Marks'!B128="","",'Statement of Marks'!B128)</f>
        <v/>
      </c>
      <c r="C127" s="284" t="str">
        <f>IF('Statement of Marks'!C128="","",'Statement of Marks'!C128)</f>
        <v/>
      </c>
      <c r="D127" s="285" t="str">
        <f>IF('Statement of Marks'!D128="","",'Statement of Marks'!D128)</f>
        <v/>
      </c>
      <c r="E127" s="286" t="str">
        <f>IF('Statement of Marks'!E128="","",'Statement of Marks'!E128)</f>
        <v/>
      </c>
      <c r="F127" s="286" t="str">
        <f>IF('Statement of Marks'!F128="","",'Statement of Marks'!F128)</f>
        <v/>
      </c>
      <c r="G127" s="286" t="str">
        <f>IF('Statement of Marks'!G128="","",'Statement of Marks'!G128)</f>
        <v/>
      </c>
      <c r="H127" s="287" t="str">
        <f>IF('Statement of Marks'!GY128="","",'Statement of Marks'!GY128)</f>
        <v/>
      </c>
      <c r="I127" s="287" t="str">
        <f>IF('Statement of Marks'!HB128="","",'Statement of Marks'!HB128)</f>
        <v/>
      </c>
      <c r="J127" s="288" t="str">
        <f>IF('Statement of Marks'!HC128="","",'Statement of Marks'!HC128)</f>
        <v/>
      </c>
      <c r="K127" s="296" t="str">
        <f>IF(B127="","",'Statement of Marks'!FJ128)</f>
        <v/>
      </c>
      <c r="L127" s="296" t="str">
        <f>IF(B127="","",'Statement of Marks'!FM128)</f>
        <v/>
      </c>
      <c r="M127" s="296" t="str">
        <f>IF(B127="","",'Statement of Marks'!FP128)</f>
        <v/>
      </c>
      <c r="N127" s="296" t="str">
        <f>IF(B127="","",'Statement of Marks'!FW128)</f>
        <v/>
      </c>
      <c r="O127" s="296" t="str">
        <f>IF(B127="","",'Statement of Marks'!GD128)</f>
        <v/>
      </c>
      <c r="P127" s="296" t="str">
        <f>IF(B127="","",'Statement of Marks'!GK128)</f>
        <v/>
      </c>
      <c r="Q127" s="296" t="str">
        <f>IF(B127="","",'Statement of Marks'!GR128)</f>
        <v/>
      </c>
      <c r="R127" s="296" t="str">
        <f>IF(B127="","",'Statement of Marks'!GS128)</f>
        <v/>
      </c>
      <c r="S127" s="288" t="str">
        <f>IF(COUNTIF(K127:R127,"F")&gt;0,"",CONCATENATE('Statement of Marks'!GU128,'Statement of Marks'!GW128))</f>
        <v xml:space="preserve">           </v>
      </c>
      <c r="T127" s="289">
        <f t="shared" si="18"/>
        <v>0</v>
      </c>
      <c r="U127" s="16"/>
      <c r="V127" s="297" t="str">
        <f t="shared" si="19"/>
        <v/>
      </c>
      <c r="W127" s="297" t="str">
        <f t="shared" si="20"/>
        <v/>
      </c>
      <c r="X127" s="16"/>
      <c r="Y127" s="297" t="str">
        <f t="shared" si="21"/>
        <v/>
      </c>
      <c r="Z127" s="297" t="str">
        <f t="shared" si="22"/>
        <v/>
      </c>
      <c r="AA127" s="16"/>
      <c r="AB127" s="297" t="str">
        <f t="shared" si="23"/>
        <v/>
      </c>
      <c r="AC127" s="298" t="str">
        <f t="shared" si="24"/>
        <v/>
      </c>
      <c r="AD127" s="16"/>
      <c r="AE127" s="297" t="str">
        <f t="shared" si="25"/>
        <v/>
      </c>
      <c r="AF127" s="298" t="str">
        <f t="shared" si="26"/>
        <v/>
      </c>
      <c r="AG127" s="16"/>
      <c r="AH127" s="297" t="str">
        <f t="shared" si="27"/>
        <v/>
      </c>
      <c r="AI127" s="298" t="str">
        <f t="shared" si="28"/>
        <v/>
      </c>
      <c r="AJ127" s="16"/>
      <c r="AK127" s="298" t="str">
        <f t="shared" si="29"/>
        <v/>
      </c>
      <c r="AL127" s="298" t="str">
        <f t="shared" si="30"/>
        <v/>
      </c>
      <c r="AM127" s="16"/>
      <c r="AN127" s="297" t="str">
        <f t="shared" si="31"/>
        <v/>
      </c>
      <c r="AO127" s="16"/>
      <c r="AP127" s="297" t="str">
        <f t="shared" si="32"/>
        <v/>
      </c>
      <c r="AQ127" s="299">
        <f t="shared" si="33"/>
        <v>0</v>
      </c>
      <c r="AR127" s="299">
        <f t="shared" si="34"/>
        <v>0</v>
      </c>
      <c r="AS127" s="300" t="str">
        <f t="shared" si="35"/>
        <v/>
      </c>
      <c r="AT127" s="301" t="str">
        <f>IF(COUNTIF(K127:R127,"F")&gt;0,"",IF(AS127="PASS",'Statement of Marks'!HF128,""))</f>
        <v/>
      </c>
      <c r="AU127" s="301" t="str">
        <f>IF(AS127="PASS",'Statement of Marks'!HG128,"")</f>
        <v/>
      </c>
    </row>
    <row r="128" spans="1:47">
      <c r="A128" s="284">
        <f>IF('Statement of Marks'!A129="","",'Statement of Marks'!A129)</f>
        <v>122</v>
      </c>
      <c r="B128" s="284" t="str">
        <f>IF('Statement of Marks'!B129="","",'Statement of Marks'!B129)</f>
        <v/>
      </c>
      <c r="C128" s="284" t="str">
        <f>IF('Statement of Marks'!C129="","",'Statement of Marks'!C129)</f>
        <v/>
      </c>
      <c r="D128" s="285" t="str">
        <f>IF('Statement of Marks'!D129="","",'Statement of Marks'!D129)</f>
        <v/>
      </c>
      <c r="E128" s="286" t="str">
        <f>IF('Statement of Marks'!E129="","",'Statement of Marks'!E129)</f>
        <v/>
      </c>
      <c r="F128" s="286" t="str">
        <f>IF('Statement of Marks'!F129="","",'Statement of Marks'!F129)</f>
        <v/>
      </c>
      <c r="G128" s="286" t="str">
        <f>IF('Statement of Marks'!G129="","",'Statement of Marks'!G129)</f>
        <v/>
      </c>
      <c r="H128" s="287" t="str">
        <f>IF('Statement of Marks'!GY129="","",'Statement of Marks'!GY129)</f>
        <v/>
      </c>
      <c r="I128" s="287" t="str">
        <f>IF('Statement of Marks'!HB129="","",'Statement of Marks'!HB129)</f>
        <v/>
      </c>
      <c r="J128" s="288" t="str">
        <f>IF('Statement of Marks'!HC129="","",'Statement of Marks'!HC129)</f>
        <v/>
      </c>
      <c r="K128" s="296" t="str">
        <f>IF(B128="","",'Statement of Marks'!FJ129)</f>
        <v/>
      </c>
      <c r="L128" s="296" t="str">
        <f>IF(B128="","",'Statement of Marks'!FM129)</f>
        <v/>
      </c>
      <c r="M128" s="296" t="str">
        <f>IF(B128="","",'Statement of Marks'!FP129)</f>
        <v/>
      </c>
      <c r="N128" s="296" t="str">
        <f>IF(B128="","",'Statement of Marks'!FW129)</f>
        <v/>
      </c>
      <c r="O128" s="296" t="str">
        <f>IF(B128="","",'Statement of Marks'!GD129)</f>
        <v/>
      </c>
      <c r="P128" s="296" t="str">
        <f>IF(B128="","",'Statement of Marks'!GK129)</f>
        <v/>
      </c>
      <c r="Q128" s="296" t="str">
        <f>IF(B128="","",'Statement of Marks'!GR129)</f>
        <v/>
      </c>
      <c r="R128" s="296" t="str">
        <f>IF(B128="","",'Statement of Marks'!GS129)</f>
        <v/>
      </c>
      <c r="S128" s="288" t="str">
        <f>IF(COUNTIF(K128:R128,"F")&gt;0,"",CONCATENATE('Statement of Marks'!GU129,'Statement of Marks'!GW129))</f>
        <v xml:space="preserve">           </v>
      </c>
      <c r="T128" s="289">
        <f t="shared" si="18"/>
        <v>0</v>
      </c>
      <c r="U128" s="16"/>
      <c r="V128" s="297" t="str">
        <f t="shared" si="19"/>
        <v/>
      </c>
      <c r="W128" s="297" t="str">
        <f t="shared" si="20"/>
        <v/>
      </c>
      <c r="X128" s="16"/>
      <c r="Y128" s="297" t="str">
        <f t="shared" si="21"/>
        <v/>
      </c>
      <c r="Z128" s="297" t="str">
        <f t="shared" si="22"/>
        <v/>
      </c>
      <c r="AA128" s="16"/>
      <c r="AB128" s="297" t="str">
        <f t="shared" si="23"/>
        <v/>
      </c>
      <c r="AC128" s="298" t="str">
        <f t="shared" si="24"/>
        <v/>
      </c>
      <c r="AD128" s="16"/>
      <c r="AE128" s="297" t="str">
        <f t="shared" si="25"/>
        <v/>
      </c>
      <c r="AF128" s="298" t="str">
        <f t="shared" si="26"/>
        <v/>
      </c>
      <c r="AG128" s="16"/>
      <c r="AH128" s="297" t="str">
        <f t="shared" si="27"/>
        <v/>
      </c>
      <c r="AI128" s="298" t="str">
        <f t="shared" si="28"/>
        <v/>
      </c>
      <c r="AJ128" s="16"/>
      <c r="AK128" s="298" t="str">
        <f t="shared" si="29"/>
        <v/>
      </c>
      <c r="AL128" s="298" t="str">
        <f t="shared" si="30"/>
        <v/>
      </c>
      <c r="AM128" s="16"/>
      <c r="AN128" s="297" t="str">
        <f t="shared" si="31"/>
        <v/>
      </c>
      <c r="AO128" s="16"/>
      <c r="AP128" s="297" t="str">
        <f t="shared" si="32"/>
        <v/>
      </c>
      <c r="AQ128" s="299">
        <f t="shared" si="33"/>
        <v>0</v>
      </c>
      <c r="AR128" s="299">
        <f t="shared" si="34"/>
        <v>0</v>
      </c>
      <c r="AS128" s="300" t="str">
        <f t="shared" si="35"/>
        <v/>
      </c>
      <c r="AT128" s="301" t="str">
        <f>IF(COUNTIF(K128:R128,"F")&gt;0,"",IF(AS128="PASS",'Statement of Marks'!HF129,""))</f>
        <v/>
      </c>
      <c r="AU128" s="301" t="str">
        <f>IF(AS128="PASS",'Statement of Marks'!HG129,"")</f>
        <v/>
      </c>
    </row>
    <row r="129" spans="1:47">
      <c r="A129" s="284">
        <f>IF('Statement of Marks'!A130="","",'Statement of Marks'!A130)</f>
        <v>123</v>
      </c>
      <c r="B129" s="284" t="str">
        <f>IF('Statement of Marks'!B130="","",'Statement of Marks'!B130)</f>
        <v/>
      </c>
      <c r="C129" s="284" t="str">
        <f>IF('Statement of Marks'!C130="","",'Statement of Marks'!C130)</f>
        <v/>
      </c>
      <c r="D129" s="285" t="str">
        <f>IF('Statement of Marks'!D130="","",'Statement of Marks'!D130)</f>
        <v/>
      </c>
      <c r="E129" s="286" t="str">
        <f>IF('Statement of Marks'!E130="","",'Statement of Marks'!E130)</f>
        <v/>
      </c>
      <c r="F129" s="286" t="str">
        <f>IF('Statement of Marks'!F130="","",'Statement of Marks'!F130)</f>
        <v/>
      </c>
      <c r="G129" s="286" t="str">
        <f>IF('Statement of Marks'!G130="","",'Statement of Marks'!G130)</f>
        <v/>
      </c>
      <c r="H129" s="287" t="str">
        <f>IF('Statement of Marks'!GY130="","",'Statement of Marks'!GY130)</f>
        <v/>
      </c>
      <c r="I129" s="287" t="str">
        <f>IF('Statement of Marks'!HB130="","",'Statement of Marks'!HB130)</f>
        <v/>
      </c>
      <c r="J129" s="288" t="str">
        <f>IF('Statement of Marks'!HC130="","",'Statement of Marks'!HC130)</f>
        <v/>
      </c>
      <c r="K129" s="296" t="str">
        <f>IF(B129="","",'Statement of Marks'!FJ130)</f>
        <v/>
      </c>
      <c r="L129" s="296" t="str">
        <f>IF(B129="","",'Statement of Marks'!FM130)</f>
        <v/>
      </c>
      <c r="M129" s="296" t="str">
        <f>IF(B129="","",'Statement of Marks'!FP130)</f>
        <v/>
      </c>
      <c r="N129" s="296" t="str">
        <f>IF(B129="","",'Statement of Marks'!FW130)</f>
        <v/>
      </c>
      <c r="O129" s="296" t="str">
        <f>IF(B129="","",'Statement of Marks'!GD130)</f>
        <v/>
      </c>
      <c r="P129" s="296" t="str">
        <f>IF(B129="","",'Statement of Marks'!GK130)</f>
        <v/>
      </c>
      <c r="Q129" s="296" t="str">
        <f>IF(B129="","",'Statement of Marks'!GR130)</f>
        <v/>
      </c>
      <c r="R129" s="296" t="str">
        <f>IF(B129="","",'Statement of Marks'!GS130)</f>
        <v/>
      </c>
      <c r="S129" s="288" t="str">
        <f>IF(COUNTIF(K129:R129,"F")&gt;0,"",CONCATENATE('Statement of Marks'!GU130,'Statement of Marks'!GW130))</f>
        <v xml:space="preserve">           </v>
      </c>
      <c r="T129" s="289">
        <f t="shared" si="18"/>
        <v>0</v>
      </c>
      <c r="U129" s="16"/>
      <c r="V129" s="297" t="str">
        <f t="shared" si="19"/>
        <v/>
      </c>
      <c r="W129" s="297" t="str">
        <f t="shared" si="20"/>
        <v/>
      </c>
      <c r="X129" s="16"/>
      <c r="Y129" s="297" t="str">
        <f t="shared" si="21"/>
        <v/>
      </c>
      <c r="Z129" s="297" t="str">
        <f t="shared" si="22"/>
        <v/>
      </c>
      <c r="AA129" s="16"/>
      <c r="AB129" s="297" t="str">
        <f t="shared" si="23"/>
        <v/>
      </c>
      <c r="AC129" s="298" t="str">
        <f t="shared" si="24"/>
        <v/>
      </c>
      <c r="AD129" s="16"/>
      <c r="AE129" s="297" t="str">
        <f t="shared" si="25"/>
        <v/>
      </c>
      <c r="AF129" s="298" t="str">
        <f t="shared" si="26"/>
        <v/>
      </c>
      <c r="AG129" s="16"/>
      <c r="AH129" s="297" t="str">
        <f t="shared" si="27"/>
        <v/>
      </c>
      <c r="AI129" s="298" t="str">
        <f t="shared" si="28"/>
        <v/>
      </c>
      <c r="AJ129" s="16"/>
      <c r="AK129" s="298" t="str">
        <f t="shared" si="29"/>
        <v/>
      </c>
      <c r="AL129" s="298" t="str">
        <f t="shared" si="30"/>
        <v/>
      </c>
      <c r="AM129" s="16"/>
      <c r="AN129" s="297" t="str">
        <f t="shared" si="31"/>
        <v/>
      </c>
      <c r="AO129" s="16"/>
      <c r="AP129" s="297" t="str">
        <f t="shared" si="32"/>
        <v/>
      </c>
      <c r="AQ129" s="299">
        <f t="shared" si="33"/>
        <v>0</v>
      </c>
      <c r="AR129" s="299">
        <f t="shared" si="34"/>
        <v>0</v>
      </c>
      <c r="AS129" s="300" t="str">
        <f t="shared" si="35"/>
        <v/>
      </c>
      <c r="AT129" s="301" t="str">
        <f>IF(COUNTIF(K129:R129,"F")&gt;0,"",IF(AS129="PASS",'Statement of Marks'!HF130,""))</f>
        <v/>
      </c>
      <c r="AU129" s="301" t="str">
        <f>IF(AS129="PASS",'Statement of Marks'!HG130,"")</f>
        <v/>
      </c>
    </row>
    <row r="130" spans="1:47">
      <c r="A130" s="284">
        <f>IF('Statement of Marks'!A131="","",'Statement of Marks'!A131)</f>
        <v>124</v>
      </c>
      <c r="B130" s="284" t="str">
        <f>IF('Statement of Marks'!B131="","",'Statement of Marks'!B131)</f>
        <v/>
      </c>
      <c r="C130" s="284" t="str">
        <f>IF('Statement of Marks'!C131="","",'Statement of Marks'!C131)</f>
        <v/>
      </c>
      <c r="D130" s="285" t="str">
        <f>IF('Statement of Marks'!D131="","",'Statement of Marks'!D131)</f>
        <v/>
      </c>
      <c r="E130" s="286" t="str">
        <f>IF('Statement of Marks'!E131="","",'Statement of Marks'!E131)</f>
        <v/>
      </c>
      <c r="F130" s="286" t="str">
        <f>IF('Statement of Marks'!F131="","",'Statement of Marks'!F131)</f>
        <v/>
      </c>
      <c r="G130" s="286" t="str">
        <f>IF('Statement of Marks'!G131="","",'Statement of Marks'!G131)</f>
        <v/>
      </c>
      <c r="H130" s="287" t="str">
        <f>IF('Statement of Marks'!GY131="","",'Statement of Marks'!GY131)</f>
        <v/>
      </c>
      <c r="I130" s="287" t="str">
        <f>IF('Statement of Marks'!HB131="","",'Statement of Marks'!HB131)</f>
        <v/>
      </c>
      <c r="J130" s="288" t="str">
        <f>IF('Statement of Marks'!HC131="","",'Statement of Marks'!HC131)</f>
        <v/>
      </c>
      <c r="K130" s="296" t="str">
        <f>IF(B130="","",'Statement of Marks'!FJ131)</f>
        <v/>
      </c>
      <c r="L130" s="296" t="str">
        <f>IF(B130="","",'Statement of Marks'!FM131)</f>
        <v/>
      </c>
      <c r="M130" s="296" t="str">
        <f>IF(B130="","",'Statement of Marks'!FP131)</f>
        <v/>
      </c>
      <c r="N130" s="296" t="str">
        <f>IF(B130="","",'Statement of Marks'!FW131)</f>
        <v/>
      </c>
      <c r="O130" s="296" t="str">
        <f>IF(B130="","",'Statement of Marks'!GD131)</f>
        <v/>
      </c>
      <c r="P130" s="296" t="str">
        <f>IF(B130="","",'Statement of Marks'!GK131)</f>
        <v/>
      </c>
      <c r="Q130" s="296" t="str">
        <f>IF(B130="","",'Statement of Marks'!GR131)</f>
        <v/>
      </c>
      <c r="R130" s="296" t="str">
        <f>IF(B130="","",'Statement of Marks'!GS131)</f>
        <v/>
      </c>
      <c r="S130" s="288" t="str">
        <f>IF(COUNTIF(K130:R130,"F")&gt;0,"",CONCATENATE('Statement of Marks'!GU131,'Statement of Marks'!GW131))</f>
        <v xml:space="preserve">           </v>
      </c>
      <c r="T130" s="289">
        <f t="shared" si="18"/>
        <v>0</v>
      </c>
      <c r="U130" s="16"/>
      <c r="V130" s="297" t="str">
        <f t="shared" si="19"/>
        <v/>
      </c>
      <c r="W130" s="297" t="str">
        <f t="shared" si="20"/>
        <v/>
      </c>
      <c r="X130" s="16"/>
      <c r="Y130" s="297" t="str">
        <f t="shared" si="21"/>
        <v/>
      </c>
      <c r="Z130" s="297" t="str">
        <f t="shared" si="22"/>
        <v/>
      </c>
      <c r="AA130" s="16"/>
      <c r="AB130" s="297" t="str">
        <f t="shared" si="23"/>
        <v/>
      </c>
      <c r="AC130" s="298" t="str">
        <f t="shared" si="24"/>
        <v/>
      </c>
      <c r="AD130" s="16"/>
      <c r="AE130" s="297" t="str">
        <f t="shared" si="25"/>
        <v/>
      </c>
      <c r="AF130" s="298" t="str">
        <f t="shared" si="26"/>
        <v/>
      </c>
      <c r="AG130" s="16"/>
      <c r="AH130" s="297" t="str">
        <f t="shared" si="27"/>
        <v/>
      </c>
      <c r="AI130" s="298" t="str">
        <f t="shared" si="28"/>
        <v/>
      </c>
      <c r="AJ130" s="16"/>
      <c r="AK130" s="298" t="str">
        <f t="shared" si="29"/>
        <v/>
      </c>
      <c r="AL130" s="298" t="str">
        <f t="shared" si="30"/>
        <v/>
      </c>
      <c r="AM130" s="16"/>
      <c r="AN130" s="297" t="str">
        <f t="shared" si="31"/>
        <v/>
      </c>
      <c r="AO130" s="16"/>
      <c r="AP130" s="297" t="str">
        <f t="shared" si="32"/>
        <v/>
      </c>
      <c r="AQ130" s="299">
        <f t="shared" si="33"/>
        <v>0</v>
      </c>
      <c r="AR130" s="299">
        <f t="shared" si="34"/>
        <v>0</v>
      </c>
      <c r="AS130" s="300" t="str">
        <f t="shared" si="35"/>
        <v/>
      </c>
      <c r="AT130" s="301" t="str">
        <f>IF(COUNTIF(K130:R130,"F")&gt;0,"",IF(AS130="PASS",'Statement of Marks'!HF131,""))</f>
        <v/>
      </c>
      <c r="AU130" s="301" t="str">
        <f>IF(AS130="PASS",'Statement of Marks'!HG131,"")</f>
        <v/>
      </c>
    </row>
    <row r="131" spans="1:47">
      <c r="A131" s="284">
        <f>IF('Statement of Marks'!A132="","",'Statement of Marks'!A132)</f>
        <v>125</v>
      </c>
      <c r="B131" s="284" t="str">
        <f>IF('Statement of Marks'!B132="","",'Statement of Marks'!B132)</f>
        <v/>
      </c>
      <c r="C131" s="284" t="str">
        <f>IF('Statement of Marks'!C132="","",'Statement of Marks'!C132)</f>
        <v/>
      </c>
      <c r="D131" s="285" t="str">
        <f>IF('Statement of Marks'!D132="","",'Statement of Marks'!D132)</f>
        <v/>
      </c>
      <c r="E131" s="286" t="str">
        <f>IF('Statement of Marks'!E132="","",'Statement of Marks'!E132)</f>
        <v/>
      </c>
      <c r="F131" s="286" t="str">
        <f>IF('Statement of Marks'!F132="","",'Statement of Marks'!F132)</f>
        <v/>
      </c>
      <c r="G131" s="286" t="str">
        <f>IF('Statement of Marks'!G132="","",'Statement of Marks'!G132)</f>
        <v/>
      </c>
      <c r="H131" s="287" t="str">
        <f>IF('Statement of Marks'!GY132="","",'Statement of Marks'!GY132)</f>
        <v/>
      </c>
      <c r="I131" s="287" t="str">
        <f>IF('Statement of Marks'!HB132="","",'Statement of Marks'!HB132)</f>
        <v/>
      </c>
      <c r="J131" s="288" t="str">
        <f>IF('Statement of Marks'!HC132="","",'Statement of Marks'!HC132)</f>
        <v/>
      </c>
      <c r="K131" s="296" t="str">
        <f>IF(B131="","",'Statement of Marks'!FJ132)</f>
        <v/>
      </c>
      <c r="L131" s="296" t="str">
        <f>IF(B131="","",'Statement of Marks'!FM132)</f>
        <v/>
      </c>
      <c r="M131" s="296" t="str">
        <f>IF(B131="","",'Statement of Marks'!FP132)</f>
        <v/>
      </c>
      <c r="N131" s="296" t="str">
        <f>IF(B131="","",'Statement of Marks'!FW132)</f>
        <v/>
      </c>
      <c r="O131" s="296" t="str">
        <f>IF(B131="","",'Statement of Marks'!GD132)</f>
        <v/>
      </c>
      <c r="P131" s="296" t="str">
        <f>IF(B131="","",'Statement of Marks'!GK132)</f>
        <v/>
      </c>
      <c r="Q131" s="296" t="str">
        <f>IF(B131="","",'Statement of Marks'!GR132)</f>
        <v/>
      </c>
      <c r="R131" s="296" t="str">
        <f>IF(B131="","",'Statement of Marks'!GS132)</f>
        <v/>
      </c>
      <c r="S131" s="288" t="str">
        <f>IF(COUNTIF(K131:R131,"F")&gt;0,"",CONCATENATE('Statement of Marks'!GU132,'Statement of Marks'!GW132))</f>
        <v xml:space="preserve">           </v>
      </c>
      <c r="T131" s="289">
        <f t="shared" si="18"/>
        <v>0</v>
      </c>
      <c r="U131" s="16"/>
      <c r="V131" s="297" t="str">
        <f t="shared" si="19"/>
        <v/>
      </c>
      <c r="W131" s="297" t="str">
        <f t="shared" si="20"/>
        <v/>
      </c>
      <c r="X131" s="16"/>
      <c r="Y131" s="297" t="str">
        <f t="shared" si="21"/>
        <v/>
      </c>
      <c r="Z131" s="297" t="str">
        <f t="shared" si="22"/>
        <v/>
      </c>
      <c r="AA131" s="16"/>
      <c r="AB131" s="297" t="str">
        <f t="shared" si="23"/>
        <v/>
      </c>
      <c r="AC131" s="298" t="str">
        <f t="shared" si="24"/>
        <v/>
      </c>
      <c r="AD131" s="16"/>
      <c r="AE131" s="297" t="str">
        <f t="shared" si="25"/>
        <v/>
      </c>
      <c r="AF131" s="298" t="str">
        <f t="shared" si="26"/>
        <v/>
      </c>
      <c r="AG131" s="16"/>
      <c r="AH131" s="297" t="str">
        <f t="shared" si="27"/>
        <v/>
      </c>
      <c r="AI131" s="298" t="str">
        <f t="shared" si="28"/>
        <v/>
      </c>
      <c r="AJ131" s="16"/>
      <c r="AK131" s="298" t="str">
        <f t="shared" si="29"/>
        <v/>
      </c>
      <c r="AL131" s="298" t="str">
        <f t="shared" si="30"/>
        <v/>
      </c>
      <c r="AM131" s="16"/>
      <c r="AN131" s="297" t="str">
        <f t="shared" si="31"/>
        <v/>
      </c>
      <c r="AO131" s="16"/>
      <c r="AP131" s="297" t="str">
        <f t="shared" si="32"/>
        <v/>
      </c>
      <c r="AQ131" s="299">
        <f t="shared" si="33"/>
        <v>0</v>
      </c>
      <c r="AR131" s="299">
        <f t="shared" si="34"/>
        <v>0</v>
      </c>
      <c r="AS131" s="300" t="str">
        <f t="shared" si="35"/>
        <v/>
      </c>
      <c r="AT131" s="301" t="str">
        <f>IF(COUNTIF(K131:R131,"F")&gt;0,"",IF(AS131="PASS",'Statement of Marks'!HF132,""))</f>
        <v/>
      </c>
      <c r="AU131" s="301" t="str">
        <f>IF(AS131="PASS",'Statement of Marks'!HG132,"")</f>
        <v/>
      </c>
    </row>
    <row r="132" spans="1:47">
      <c r="A132" s="284">
        <f>IF('Statement of Marks'!A133="","",'Statement of Marks'!A133)</f>
        <v>126</v>
      </c>
      <c r="B132" s="284" t="str">
        <f>IF('Statement of Marks'!B133="","",'Statement of Marks'!B133)</f>
        <v/>
      </c>
      <c r="C132" s="284" t="str">
        <f>IF('Statement of Marks'!C133="","",'Statement of Marks'!C133)</f>
        <v/>
      </c>
      <c r="D132" s="285" t="str">
        <f>IF('Statement of Marks'!D133="","",'Statement of Marks'!D133)</f>
        <v/>
      </c>
      <c r="E132" s="286" t="str">
        <f>IF('Statement of Marks'!E133="","",'Statement of Marks'!E133)</f>
        <v/>
      </c>
      <c r="F132" s="286" t="str">
        <f>IF('Statement of Marks'!F133="","",'Statement of Marks'!F133)</f>
        <v/>
      </c>
      <c r="G132" s="286" t="str">
        <f>IF('Statement of Marks'!G133="","",'Statement of Marks'!G133)</f>
        <v/>
      </c>
      <c r="H132" s="287" t="str">
        <f>IF('Statement of Marks'!GY133="","",'Statement of Marks'!GY133)</f>
        <v/>
      </c>
      <c r="I132" s="287" t="str">
        <f>IF('Statement of Marks'!HB133="","",'Statement of Marks'!HB133)</f>
        <v/>
      </c>
      <c r="J132" s="288" t="str">
        <f>IF('Statement of Marks'!HC133="","",'Statement of Marks'!HC133)</f>
        <v/>
      </c>
      <c r="K132" s="296" t="str">
        <f>IF(B132="","",'Statement of Marks'!FJ133)</f>
        <v/>
      </c>
      <c r="L132" s="296" t="str">
        <f>IF(B132="","",'Statement of Marks'!FM133)</f>
        <v/>
      </c>
      <c r="M132" s="296" t="str">
        <f>IF(B132="","",'Statement of Marks'!FP133)</f>
        <v/>
      </c>
      <c r="N132" s="296" t="str">
        <f>IF(B132="","",'Statement of Marks'!FW133)</f>
        <v/>
      </c>
      <c r="O132" s="296" t="str">
        <f>IF(B132="","",'Statement of Marks'!GD133)</f>
        <v/>
      </c>
      <c r="P132" s="296" t="str">
        <f>IF(B132="","",'Statement of Marks'!GK133)</f>
        <v/>
      </c>
      <c r="Q132" s="296" t="str">
        <f>IF(B132="","",'Statement of Marks'!GR133)</f>
        <v/>
      </c>
      <c r="R132" s="296" t="str">
        <f>IF(B132="","",'Statement of Marks'!GS133)</f>
        <v/>
      </c>
      <c r="S132" s="288" t="str">
        <f>IF(COUNTIF(K132:R132,"F")&gt;0,"",CONCATENATE('Statement of Marks'!GU133,'Statement of Marks'!GW133))</f>
        <v xml:space="preserve">           </v>
      </c>
      <c r="T132" s="289">
        <f t="shared" si="18"/>
        <v>0</v>
      </c>
      <c r="U132" s="16"/>
      <c r="V132" s="297" t="str">
        <f t="shared" si="19"/>
        <v/>
      </c>
      <c r="W132" s="297" t="str">
        <f t="shared" si="20"/>
        <v/>
      </c>
      <c r="X132" s="16"/>
      <c r="Y132" s="297" t="str">
        <f t="shared" si="21"/>
        <v/>
      </c>
      <c r="Z132" s="297" t="str">
        <f t="shared" si="22"/>
        <v/>
      </c>
      <c r="AA132" s="16"/>
      <c r="AB132" s="297" t="str">
        <f t="shared" si="23"/>
        <v/>
      </c>
      <c r="AC132" s="298" t="str">
        <f t="shared" si="24"/>
        <v/>
      </c>
      <c r="AD132" s="16"/>
      <c r="AE132" s="297" t="str">
        <f t="shared" si="25"/>
        <v/>
      </c>
      <c r="AF132" s="298" t="str">
        <f t="shared" si="26"/>
        <v/>
      </c>
      <c r="AG132" s="16"/>
      <c r="AH132" s="297" t="str">
        <f t="shared" si="27"/>
        <v/>
      </c>
      <c r="AI132" s="298" t="str">
        <f t="shared" si="28"/>
        <v/>
      </c>
      <c r="AJ132" s="16"/>
      <c r="AK132" s="298" t="str">
        <f t="shared" si="29"/>
        <v/>
      </c>
      <c r="AL132" s="298" t="str">
        <f t="shared" si="30"/>
        <v/>
      </c>
      <c r="AM132" s="16"/>
      <c r="AN132" s="297" t="str">
        <f t="shared" si="31"/>
        <v/>
      </c>
      <c r="AO132" s="16"/>
      <c r="AP132" s="297" t="str">
        <f t="shared" si="32"/>
        <v/>
      </c>
      <c r="AQ132" s="299">
        <f t="shared" si="33"/>
        <v>0</v>
      </c>
      <c r="AR132" s="299">
        <f t="shared" si="34"/>
        <v>0</v>
      </c>
      <c r="AS132" s="300" t="str">
        <f t="shared" si="35"/>
        <v/>
      </c>
      <c r="AT132" s="301" t="str">
        <f>IF(COUNTIF(K132:R132,"F")&gt;0,"",IF(AS132="PASS",'Statement of Marks'!HF133,""))</f>
        <v/>
      </c>
      <c r="AU132" s="301" t="str">
        <f>IF(AS132="PASS",'Statement of Marks'!HG133,"")</f>
        <v/>
      </c>
    </row>
    <row r="133" spans="1:47">
      <c r="A133" s="284">
        <f>IF('Statement of Marks'!A134="","",'Statement of Marks'!A134)</f>
        <v>127</v>
      </c>
      <c r="B133" s="284" t="str">
        <f>IF('Statement of Marks'!B134="","",'Statement of Marks'!B134)</f>
        <v/>
      </c>
      <c r="C133" s="284" t="str">
        <f>IF('Statement of Marks'!C134="","",'Statement of Marks'!C134)</f>
        <v/>
      </c>
      <c r="D133" s="285" t="str">
        <f>IF('Statement of Marks'!D134="","",'Statement of Marks'!D134)</f>
        <v/>
      </c>
      <c r="E133" s="286" t="str">
        <f>IF('Statement of Marks'!E134="","",'Statement of Marks'!E134)</f>
        <v/>
      </c>
      <c r="F133" s="286" t="str">
        <f>IF('Statement of Marks'!F134="","",'Statement of Marks'!F134)</f>
        <v/>
      </c>
      <c r="G133" s="286" t="str">
        <f>IF('Statement of Marks'!G134="","",'Statement of Marks'!G134)</f>
        <v/>
      </c>
      <c r="H133" s="287" t="str">
        <f>IF('Statement of Marks'!GY134="","",'Statement of Marks'!GY134)</f>
        <v/>
      </c>
      <c r="I133" s="287" t="str">
        <f>IF('Statement of Marks'!HB134="","",'Statement of Marks'!HB134)</f>
        <v/>
      </c>
      <c r="J133" s="288" t="str">
        <f>IF('Statement of Marks'!HC134="","",'Statement of Marks'!HC134)</f>
        <v/>
      </c>
      <c r="K133" s="296" t="str">
        <f>IF(B133="","",'Statement of Marks'!FJ134)</f>
        <v/>
      </c>
      <c r="L133" s="296" t="str">
        <f>IF(B133="","",'Statement of Marks'!FM134)</f>
        <v/>
      </c>
      <c r="M133" s="296" t="str">
        <f>IF(B133="","",'Statement of Marks'!FP134)</f>
        <v/>
      </c>
      <c r="N133" s="296" t="str">
        <f>IF(B133="","",'Statement of Marks'!FW134)</f>
        <v/>
      </c>
      <c r="O133" s="296" t="str">
        <f>IF(B133="","",'Statement of Marks'!GD134)</f>
        <v/>
      </c>
      <c r="P133" s="296" t="str">
        <f>IF(B133="","",'Statement of Marks'!GK134)</f>
        <v/>
      </c>
      <c r="Q133" s="296" t="str">
        <f>IF(B133="","",'Statement of Marks'!GR134)</f>
        <v/>
      </c>
      <c r="R133" s="296" t="str">
        <f>IF(B133="","",'Statement of Marks'!GS134)</f>
        <v/>
      </c>
      <c r="S133" s="288" t="str">
        <f>IF(COUNTIF(K133:R133,"F")&gt;0,"",CONCATENATE('Statement of Marks'!GU134,'Statement of Marks'!GW134))</f>
        <v xml:space="preserve">           </v>
      </c>
      <c r="T133" s="289">
        <f t="shared" si="18"/>
        <v>0</v>
      </c>
      <c r="U133" s="16"/>
      <c r="V133" s="297" t="str">
        <f t="shared" si="19"/>
        <v/>
      </c>
      <c r="W133" s="297" t="str">
        <f t="shared" si="20"/>
        <v/>
      </c>
      <c r="X133" s="16"/>
      <c r="Y133" s="297" t="str">
        <f t="shared" si="21"/>
        <v/>
      </c>
      <c r="Z133" s="297" t="str">
        <f t="shared" si="22"/>
        <v/>
      </c>
      <c r="AA133" s="16"/>
      <c r="AB133" s="297" t="str">
        <f t="shared" si="23"/>
        <v/>
      </c>
      <c r="AC133" s="298" t="str">
        <f t="shared" si="24"/>
        <v/>
      </c>
      <c r="AD133" s="16"/>
      <c r="AE133" s="297" t="str">
        <f t="shared" si="25"/>
        <v/>
      </c>
      <c r="AF133" s="298" t="str">
        <f t="shared" si="26"/>
        <v/>
      </c>
      <c r="AG133" s="16"/>
      <c r="AH133" s="297" t="str">
        <f t="shared" si="27"/>
        <v/>
      </c>
      <c r="AI133" s="298" t="str">
        <f t="shared" si="28"/>
        <v/>
      </c>
      <c r="AJ133" s="16"/>
      <c r="AK133" s="298" t="str">
        <f t="shared" si="29"/>
        <v/>
      </c>
      <c r="AL133" s="298" t="str">
        <f t="shared" si="30"/>
        <v/>
      </c>
      <c r="AM133" s="16"/>
      <c r="AN133" s="297" t="str">
        <f t="shared" si="31"/>
        <v/>
      </c>
      <c r="AO133" s="16"/>
      <c r="AP133" s="297" t="str">
        <f t="shared" si="32"/>
        <v/>
      </c>
      <c r="AQ133" s="299">
        <f t="shared" si="33"/>
        <v>0</v>
      </c>
      <c r="AR133" s="299">
        <f t="shared" si="34"/>
        <v>0</v>
      </c>
      <c r="AS133" s="300" t="str">
        <f t="shared" si="35"/>
        <v/>
      </c>
      <c r="AT133" s="301" t="str">
        <f>IF(COUNTIF(K133:R133,"F")&gt;0,"",IF(AS133="PASS",'Statement of Marks'!HF134,""))</f>
        <v/>
      </c>
      <c r="AU133" s="301" t="str">
        <f>IF(AS133="PASS",'Statement of Marks'!HG134,"")</f>
        <v/>
      </c>
    </row>
    <row r="134" spans="1:47">
      <c r="A134" s="284">
        <f>IF('Statement of Marks'!A135="","",'Statement of Marks'!A135)</f>
        <v>128</v>
      </c>
      <c r="B134" s="284" t="str">
        <f>IF('Statement of Marks'!B135="","",'Statement of Marks'!B135)</f>
        <v/>
      </c>
      <c r="C134" s="284" t="str">
        <f>IF('Statement of Marks'!C135="","",'Statement of Marks'!C135)</f>
        <v/>
      </c>
      <c r="D134" s="285" t="str">
        <f>IF('Statement of Marks'!D135="","",'Statement of Marks'!D135)</f>
        <v/>
      </c>
      <c r="E134" s="286" t="str">
        <f>IF('Statement of Marks'!E135="","",'Statement of Marks'!E135)</f>
        <v/>
      </c>
      <c r="F134" s="286" t="str">
        <f>IF('Statement of Marks'!F135="","",'Statement of Marks'!F135)</f>
        <v/>
      </c>
      <c r="G134" s="286" t="str">
        <f>IF('Statement of Marks'!G135="","",'Statement of Marks'!G135)</f>
        <v/>
      </c>
      <c r="H134" s="287" t="str">
        <f>IF('Statement of Marks'!GY135="","",'Statement of Marks'!GY135)</f>
        <v/>
      </c>
      <c r="I134" s="287" t="str">
        <f>IF('Statement of Marks'!HB135="","",'Statement of Marks'!HB135)</f>
        <v/>
      </c>
      <c r="J134" s="288" t="str">
        <f>IF('Statement of Marks'!HC135="","",'Statement of Marks'!HC135)</f>
        <v/>
      </c>
      <c r="K134" s="296" t="str">
        <f>IF(B134="","",'Statement of Marks'!FJ135)</f>
        <v/>
      </c>
      <c r="L134" s="296" t="str">
        <f>IF(B134="","",'Statement of Marks'!FM135)</f>
        <v/>
      </c>
      <c r="M134" s="296" t="str">
        <f>IF(B134="","",'Statement of Marks'!FP135)</f>
        <v/>
      </c>
      <c r="N134" s="296" t="str">
        <f>IF(B134="","",'Statement of Marks'!FW135)</f>
        <v/>
      </c>
      <c r="O134" s="296" t="str">
        <f>IF(B134="","",'Statement of Marks'!GD135)</f>
        <v/>
      </c>
      <c r="P134" s="296" t="str">
        <f>IF(B134="","",'Statement of Marks'!GK135)</f>
        <v/>
      </c>
      <c r="Q134" s="296" t="str">
        <f>IF(B134="","",'Statement of Marks'!GR135)</f>
        <v/>
      </c>
      <c r="R134" s="296" t="str">
        <f>IF(B134="","",'Statement of Marks'!GS135)</f>
        <v/>
      </c>
      <c r="S134" s="288" t="str">
        <f>IF(COUNTIF(K134:R134,"F")&gt;0,"",CONCATENATE('Statement of Marks'!GU135,'Statement of Marks'!GW135))</f>
        <v xml:space="preserve">           </v>
      </c>
      <c r="T134" s="289">
        <f t="shared" si="18"/>
        <v>0</v>
      </c>
      <c r="U134" s="16"/>
      <c r="V134" s="297" t="str">
        <f t="shared" si="19"/>
        <v/>
      </c>
      <c r="W134" s="297" t="str">
        <f t="shared" si="20"/>
        <v/>
      </c>
      <c r="X134" s="16"/>
      <c r="Y134" s="297" t="str">
        <f t="shared" si="21"/>
        <v/>
      </c>
      <c r="Z134" s="297" t="str">
        <f t="shared" si="22"/>
        <v/>
      </c>
      <c r="AA134" s="16"/>
      <c r="AB134" s="297" t="str">
        <f t="shared" si="23"/>
        <v/>
      </c>
      <c r="AC134" s="298" t="str">
        <f t="shared" si="24"/>
        <v/>
      </c>
      <c r="AD134" s="16"/>
      <c r="AE134" s="297" t="str">
        <f t="shared" si="25"/>
        <v/>
      </c>
      <c r="AF134" s="298" t="str">
        <f t="shared" si="26"/>
        <v/>
      </c>
      <c r="AG134" s="16"/>
      <c r="AH134" s="297" t="str">
        <f t="shared" si="27"/>
        <v/>
      </c>
      <c r="AI134" s="298" t="str">
        <f t="shared" si="28"/>
        <v/>
      </c>
      <c r="AJ134" s="16"/>
      <c r="AK134" s="298" t="str">
        <f t="shared" si="29"/>
        <v/>
      </c>
      <c r="AL134" s="298" t="str">
        <f t="shared" si="30"/>
        <v/>
      </c>
      <c r="AM134" s="16"/>
      <c r="AN134" s="297" t="str">
        <f t="shared" si="31"/>
        <v/>
      </c>
      <c r="AO134" s="16"/>
      <c r="AP134" s="297" t="str">
        <f t="shared" si="32"/>
        <v/>
      </c>
      <c r="AQ134" s="299">
        <f t="shared" si="33"/>
        <v>0</v>
      </c>
      <c r="AR134" s="299">
        <f t="shared" si="34"/>
        <v>0</v>
      </c>
      <c r="AS134" s="300" t="str">
        <f t="shared" si="35"/>
        <v/>
      </c>
      <c r="AT134" s="301" t="str">
        <f>IF(COUNTIF(K134:R134,"F")&gt;0,"",IF(AS134="PASS",'Statement of Marks'!HF135,""))</f>
        <v/>
      </c>
      <c r="AU134" s="301" t="str">
        <f>IF(AS134="PASS",'Statement of Marks'!HG135,"")</f>
        <v/>
      </c>
    </row>
    <row r="135" spans="1:47">
      <c r="A135" s="284">
        <f>IF('Statement of Marks'!A136="","",'Statement of Marks'!A136)</f>
        <v>129</v>
      </c>
      <c r="B135" s="284" t="str">
        <f>IF('Statement of Marks'!B136="","",'Statement of Marks'!B136)</f>
        <v/>
      </c>
      <c r="C135" s="284" t="str">
        <f>IF('Statement of Marks'!C136="","",'Statement of Marks'!C136)</f>
        <v/>
      </c>
      <c r="D135" s="285" t="str">
        <f>IF('Statement of Marks'!D136="","",'Statement of Marks'!D136)</f>
        <v/>
      </c>
      <c r="E135" s="286" t="str">
        <f>IF('Statement of Marks'!E136="","",'Statement of Marks'!E136)</f>
        <v/>
      </c>
      <c r="F135" s="286" t="str">
        <f>IF('Statement of Marks'!F136="","",'Statement of Marks'!F136)</f>
        <v/>
      </c>
      <c r="G135" s="286" t="str">
        <f>IF('Statement of Marks'!G136="","",'Statement of Marks'!G136)</f>
        <v/>
      </c>
      <c r="H135" s="287" t="str">
        <f>IF('Statement of Marks'!GY136="","",'Statement of Marks'!GY136)</f>
        <v/>
      </c>
      <c r="I135" s="287" t="str">
        <f>IF('Statement of Marks'!HB136="","",'Statement of Marks'!HB136)</f>
        <v/>
      </c>
      <c r="J135" s="288" t="str">
        <f>IF('Statement of Marks'!HC136="","",'Statement of Marks'!HC136)</f>
        <v/>
      </c>
      <c r="K135" s="296" t="str">
        <f>IF(B135="","",'Statement of Marks'!FJ136)</f>
        <v/>
      </c>
      <c r="L135" s="296" t="str">
        <f>IF(B135="","",'Statement of Marks'!FM136)</f>
        <v/>
      </c>
      <c r="M135" s="296" t="str">
        <f>IF(B135="","",'Statement of Marks'!FP136)</f>
        <v/>
      </c>
      <c r="N135" s="296" t="str">
        <f>IF(B135="","",'Statement of Marks'!FW136)</f>
        <v/>
      </c>
      <c r="O135" s="296" t="str">
        <f>IF(B135="","",'Statement of Marks'!GD136)</f>
        <v/>
      </c>
      <c r="P135" s="296" t="str">
        <f>IF(B135="","",'Statement of Marks'!GK136)</f>
        <v/>
      </c>
      <c r="Q135" s="296" t="str">
        <f>IF(B135="","",'Statement of Marks'!GR136)</f>
        <v/>
      </c>
      <c r="R135" s="296" t="str">
        <f>IF(B135="","",'Statement of Marks'!GS136)</f>
        <v/>
      </c>
      <c r="S135" s="288" t="str">
        <f>IF(COUNTIF(K135:R135,"F")&gt;0,"",CONCATENATE('Statement of Marks'!GU136,'Statement of Marks'!GW136))</f>
        <v xml:space="preserve">           </v>
      </c>
      <c r="T135" s="289">
        <f t="shared" si="18"/>
        <v>0</v>
      </c>
      <c r="U135" s="16"/>
      <c r="V135" s="297" t="str">
        <f t="shared" si="19"/>
        <v/>
      </c>
      <c r="W135" s="297" t="str">
        <f t="shared" si="20"/>
        <v/>
      </c>
      <c r="X135" s="16"/>
      <c r="Y135" s="297" t="str">
        <f t="shared" si="21"/>
        <v/>
      </c>
      <c r="Z135" s="297" t="str">
        <f t="shared" si="22"/>
        <v/>
      </c>
      <c r="AA135" s="16"/>
      <c r="AB135" s="297" t="str">
        <f t="shared" si="23"/>
        <v/>
      </c>
      <c r="AC135" s="298" t="str">
        <f t="shared" si="24"/>
        <v/>
      </c>
      <c r="AD135" s="16"/>
      <c r="AE135" s="297" t="str">
        <f t="shared" si="25"/>
        <v/>
      </c>
      <c r="AF135" s="298" t="str">
        <f t="shared" si="26"/>
        <v/>
      </c>
      <c r="AG135" s="16"/>
      <c r="AH135" s="297" t="str">
        <f t="shared" si="27"/>
        <v/>
      </c>
      <c r="AI135" s="298" t="str">
        <f t="shared" si="28"/>
        <v/>
      </c>
      <c r="AJ135" s="16"/>
      <c r="AK135" s="298" t="str">
        <f t="shared" si="29"/>
        <v/>
      </c>
      <c r="AL135" s="298" t="str">
        <f t="shared" si="30"/>
        <v/>
      </c>
      <c r="AM135" s="16"/>
      <c r="AN135" s="297" t="str">
        <f t="shared" si="31"/>
        <v/>
      </c>
      <c r="AO135" s="16"/>
      <c r="AP135" s="297" t="str">
        <f t="shared" si="32"/>
        <v/>
      </c>
      <c r="AQ135" s="299">
        <f t="shared" si="33"/>
        <v>0</v>
      </c>
      <c r="AR135" s="299">
        <f t="shared" si="34"/>
        <v>0</v>
      </c>
      <c r="AS135" s="300" t="str">
        <f t="shared" si="35"/>
        <v/>
      </c>
      <c r="AT135" s="301" t="str">
        <f>IF(COUNTIF(K135:R135,"F")&gt;0,"",IF(AS135="PASS",'Statement of Marks'!HF136,""))</f>
        <v/>
      </c>
      <c r="AU135" s="301" t="str">
        <f>IF(AS135="PASS",'Statement of Marks'!HG136,"")</f>
        <v/>
      </c>
    </row>
    <row r="136" spans="1:47">
      <c r="A136" s="284">
        <f>IF('Statement of Marks'!A137="","",'Statement of Marks'!A137)</f>
        <v>130</v>
      </c>
      <c r="B136" s="284" t="str">
        <f>IF('Statement of Marks'!B137="","",'Statement of Marks'!B137)</f>
        <v/>
      </c>
      <c r="C136" s="284" t="str">
        <f>IF('Statement of Marks'!C137="","",'Statement of Marks'!C137)</f>
        <v/>
      </c>
      <c r="D136" s="285" t="str">
        <f>IF('Statement of Marks'!D137="","",'Statement of Marks'!D137)</f>
        <v/>
      </c>
      <c r="E136" s="286" t="str">
        <f>IF('Statement of Marks'!E137="","",'Statement of Marks'!E137)</f>
        <v/>
      </c>
      <c r="F136" s="286" t="str">
        <f>IF('Statement of Marks'!F137="","",'Statement of Marks'!F137)</f>
        <v/>
      </c>
      <c r="G136" s="286" t="str">
        <f>IF('Statement of Marks'!G137="","",'Statement of Marks'!G137)</f>
        <v/>
      </c>
      <c r="H136" s="287" t="str">
        <f>IF('Statement of Marks'!GY137="","",'Statement of Marks'!GY137)</f>
        <v/>
      </c>
      <c r="I136" s="287" t="str">
        <f>IF('Statement of Marks'!HB137="","",'Statement of Marks'!HB137)</f>
        <v/>
      </c>
      <c r="J136" s="288" t="str">
        <f>IF('Statement of Marks'!HC137="","",'Statement of Marks'!HC137)</f>
        <v/>
      </c>
      <c r="K136" s="296" t="str">
        <f>IF(B136="","",'Statement of Marks'!FJ137)</f>
        <v/>
      </c>
      <c r="L136" s="296" t="str">
        <f>IF(B136="","",'Statement of Marks'!FM137)</f>
        <v/>
      </c>
      <c r="M136" s="296" t="str">
        <f>IF(B136="","",'Statement of Marks'!FP137)</f>
        <v/>
      </c>
      <c r="N136" s="296" t="str">
        <f>IF(B136="","",'Statement of Marks'!FW137)</f>
        <v/>
      </c>
      <c r="O136" s="296" t="str">
        <f>IF(B136="","",'Statement of Marks'!GD137)</f>
        <v/>
      </c>
      <c r="P136" s="296" t="str">
        <f>IF(B136="","",'Statement of Marks'!GK137)</f>
        <v/>
      </c>
      <c r="Q136" s="296" t="str">
        <f>IF(B136="","",'Statement of Marks'!GR137)</f>
        <v/>
      </c>
      <c r="R136" s="296" t="str">
        <f>IF(B136="","",'Statement of Marks'!GS137)</f>
        <v/>
      </c>
      <c r="S136" s="288" t="str">
        <f>IF(COUNTIF(K136:R136,"F")&gt;0,"",CONCATENATE('Statement of Marks'!GU137,'Statement of Marks'!GW137))</f>
        <v xml:space="preserve">           </v>
      </c>
      <c r="T136" s="289">
        <f t="shared" ref="T136:T199" si="36">IF(COUNTIF(K136:R136,"F")&gt;0,"",COUNTIF(K136:R136,"S")+COUNTIF(K136:R136,"RE")+COUNTIF(K136:R136,"REP"))</f>
        <v>0</v>
      </c>
      <c r="U136" s="16"/>
      <c r="V136" s="297" t="str">
        <f t="shared" ref="V136:V199" si="37">IF(U136="","",IF(OR(U136="AB",K136="RE"),U136,IF(AND(K136="S"),ROUNDUP(U136,0),)))</f>
        <v/>
      </c>
      <c r="W136" s="297" t="str">
        <f t="shared" ref="W136:W199" si="38">IF(U136="","",IF(OR(U136="AB",U136&lt;36%*$U$6),"F","P"))</f>
        <v/>
      </c>
      <c r="X136" s="16"/>
      <c r="Y136" s="297" t="str">
        <f t="shared" ref="Y136:Y199" si="39">IF(X136="","",IF(OR(X136="AB",L136="RE"),X136,IF(AND(L136="S"),ROUNDUP(X136,0),)))</f>
        <v/>
      </c>
      <c r="Z136" s="297" t="str">
        <f t="shared" ref="Z136:Z199" si="40">IF(X136="","",IF(OR(X136="AB",X136&lt;36%*$X$6),"F","P"))</f>
        <v/>
      </c>
      <c r="AA136" s="16"/>
      <c r="AB136" s="297" t="str">
        <f t="shared" ref="AB136:AB199" si="41">IF(AA136="","",IF(OR(AA136="AB",M136="RE"),AA136,IF(AND(M136="S"),ROUNDUP(AA136,0),)))</f>
        <v/>
      </c>
      <c r="AC136" s="298" t="str">
        <f t="shared" ref="AC136:AC199" si="42">IF(AA136="","",IF(OR(AA136="AB",AA136&lt;36%*$AA$6),"F","P"))</f>
        <v/>
      </c>
      <c r="AD136" s="16"/>
      <c r="AE136" s="297" t="str">
        <f t="shared" ref="AE136:AE199" si="43">IF(AD136="","",IF(OR(AD136="AB",N136="RE"),AD136,IF(AND(N136="S"),ROUNDUP(AD136,0),)))</f>
        <v/>
      </c>
      <c r="AF136" s="298" t="str">
        <f t="shared" ref="AF136:AF199" si="44">IF(AD136="","",IF(OR(AD136="AB",AD136&lt;36%*$AD$6),"F","P"))</f>
        <v/>
      </c>
      <c r="AG136" s="16"/>
      <c r="AH136" s="297" t="str">
        <f t="shared" ref="AH136:AH199" si="45">IF(AG136="","",IF(OR(AG136="AB",O136="RE"),AG136,IF(AND(O136="S"),ROUNDUP(AG136,0),)))</f>
        <v/>
      </c>
      <c r="AI136" s="298" t="str">
        <f t="shared" ref="AI136:AI199" si="46">IF(AG136="","",IF(OR(AG136="AB",AG136&lt;36%*$AG$6),"F","P"))</f>
        <v/>
      </c>
      <c r="AJ136" s="16"/>
      <c r="AK136" s="298" t="str">
        <f t="shared" ref="AK136:AK199" si="47">IF(AJ136="","",IF(OR(AJ136="AB",P136="RE"),AJ136,IF(AND(P136="S"),ROUNDUP(AJ136,0),)))</f>
        <v/>
      </c>
      <c r="AL136" s="298" t="str">
        <f t="shared" ref="AL136:AL199" si="48">IF(AJ136="","",IF(OR(AJ136="AB",AJ136&lt;36%*$AJ$6),"F","P"))</f>
        <v/>
      </c>
      <c r="AM136" s="16"/>
      <c r="AN136" s="297" t="str">
        <f t="shared" ref="AN136:AN199" si="49">IF(AM136="","",IF(OR(AM136="AB",AM136&lt;15),"F","P"))</f>
        <v/>
      </c>
      <c r="AO136" s="16"/>
      <c r="AP136" s="297" t="str">
        <f t="shared" ref="AP136:AP199" si="50">IF(AO136="","",IF(OR(AO136="AB",AO136&lt;36),"F","P"))</f>
        <v/>
      </c>
      <c r="AQ136" s="299">
        <f t="shared" ref="AQ136:AQ199" si="51">IF(COUNTIF(K136:Q136,"F")&gt;0,"",COUNTA(U136,X136,AA136,AD136,AG136,AJ136,AM136))</f>
        <v>0</v>
      </c>
      <c r="AR136" s="299">
        <f t="shared" ref="AR136:AR199" si="52">IF(COUNTIF(K136:Q136,"F")&gt;0,"",COUNTIF(U136:AN136,"P"))</f>
        <v>0</v>
      </c>
      <c r="AS136" s="300" t="str">
        <f t="shared" ref="AS136:AS199" si="53">IF(AND(U136="",X136="",AA136="",AD136="",AG136="",AJ136="",AM136="",AO136=""),"",IF(COUNTIF(K136:R136,"F")&gt;0,"",IF(T136=0,"",IF(T136&gt;AQ136,H136,IF(T136&gt;AR136,"FAIL","PASS")))))</f>
        <v/>
      </c>
      <c r="AT136" s="301" t="str">
        <f>IF(COUNTIF(K136:R136,"F")&gt;0,"",IF(AS136="PASS",'Statement of Marks'!HF137,""))</f>
        <v/>
      </c>
      <c r="AU136" s="301" t="str">
        <f>IF(AS136="PASS",'Statement of Marks'!HG137,"")</f>
        <v/>
      </c>
    </row>
    <row r="137" spans="1:47">
      <c r="A137" s="284">
        <f>IF('Statement of Marks'!A138="","",'Statement of Marks'!A138)</f>
        <v>131</v>
      </c>
      <c r="B137" s="284" t="str">
        <f>IF('Statement of Marks'!B138="","",'Statement of Marks'!B138)</f>
        <v/>
      </c>
      <c r="C137" s="284" t="str">
        <f>IF('Statement of Marks'!C138="","",'Statement of Marks'!C138)</f>
        <v/>
      </c>
      <c r="D137" s="285" t="str">
        <f>IF('Statement of Marks'!D138="","",'Statement of Marks'!D138)</f>
        <v/>
      </c>
      <c r="E137" s="286" t="str">
        <f>IF('Statement of Marks'!E138="","",'Statement of Marks'!E138)</f>
        <v/>
      </c>
      <c r="F137" s="286" t="str">
        <f>IF('Statement of Marks'!F138="","",'Statement of Marks'!F138)</f>
        <v/>
      </c>
      <c r="G137" s="286" t="str">
        <f>IF('Statement of Marks'!G138="","",'Statement of Marks'!G138)</f>
        <v/>
      </c>
      <c r="H137" s="287" t="str">
        <f>IF('Statement of Marks'!GY138="","",'Statement of Marks'!GY138)</f>
        <v/>
      </c>
      <c r="I137" s="287" t="str">
        <f>IF('Statement of Marks'!HB138="","",'Statement of Marks'!HB138)</f>
        <v/>
      </c>
      <c r="J137" s="288" t="str">
        <f>IF('Statement of Marks'!HC138="","",'Statement of Marks'!HC138)</f>
        <v/>
      </c>
      <c r="K137" s="296" t="str">
        <f>IF(B137="","",'Statement of Marks'!FJ138)</f>
        <v/>
      </c>
      <c r="L137" s="296" t="str">
        <f>IF(B137="","",'Statement of Marks'!FM138)</f>
        <v/>
      </c>
      <c r="M137" s="296" t="str">
        <f>IF(B137="","",'Statement of Marks'!FP138)</f>
        <v/>
      </c>
      <c r="N137" s="296" t="str">
        <f>IF(B137="","",'Statement of Marks'!FW138)</f>
        <v/>
      </c>
      <c r="O137" s="296" t="str">
        <f>IF(B137="","",'Statement of Marks'!GD138)</f>
        <v/>
      </c>
      <c r="P137" s="296" t="str">
        <f>IF(B137="","",'Statement of Marks'!GK138)</f>
        <v/>
      </c>
      <c r="Q137" s="296" t="str">
        <f>IF(B137="","",'Statement of Marks'!GR138)</f>
        <v/>
      </c>
      <c r="R137" s="296" t="str">
        <f>IF(B137="","",'Statement of Marks'!GS138)</f>
        <v/>
      </c>
      <c r="S137" s="288" t="str">
        <f>IF(COUNTIF(K137:R137,"F")&gt;0,"",CONCATENATE('Statement of Marks'!GU138,'Statement of Marks'!GW138))</f>
        <v xml:space="preserve">           </v>
      </c>
      <c r="T137" s="289">
        <f t="shared" si="36"/>
        <v>0</v>
      </c>
      <c r="U137" s="16"/>
      <c r="V137" s="297" t="str">
        <f t="shared" si="37"/>
        <v/>
      </c>
      <c r="W137" s="297" t="str">
        <f t="shared" si="38"/>
        <v/>
      </c>
      <c r="X137" s="16"/>
      <c r="Y137" s="297" t="str">
        <f t="shared" si="39"/>
        <v/>
      </c>
      <c r="Z137" s="297" t="str">
        <f t="shared" si="40"/>
        <v/>
      </c>
      <c r="AA137" s="16"/>
      <c r="AB137" s="297" t="str">
        <f t="shared" si="41"/>
        <v/>
      </c>
      <c r="AC137" s="298" t="str">
        <f t="shared" si="42"/>
        <v/>
      </c>
      <c r="AD137" s="16"/>
      <c r="AE137" s="297" t="str">
        <f t="shared" si="43"/>
        <v/>
      </c>
      <c r="AF137" s="298" t="str">
        <f t="shared" si="44"/>
        <v/>
      </c>
      <c r="AG137" s="16"/>
      <c r="AH137" s="297" t="str">
        <f t="shared" si="45"/>
        <v/>
      </c>
      <c r="AI137" s="298" t="str">
        <f t="shared" si="46"/>
        <v/>
      </c>
      <c r="AJ137" s="16"/>
      <c r="AK137" s="298" t="str">
        <f t="shared" si="47"/>
        <v/>
      </c>
      <c r="AL137" s="298" t="str">
        <f t="shared" si="48"/>
        <v/>
      </c>
      <c r="AM137" s="16"/>
      <c r="AN137" s="297" t="str">
        <f t="shared" si="49"/>
        <v/>
      </c>
      <c r="AO137" s="16"/>
      <c r="AP137" s="297" t="str">
        <f t="shared" si="50"/>
        <v/>
      </c>
      <c r="AQ137" s="299">
        <f t="shared" si="51"/>
        <v>0</v>
      </c>
      <c r="AR137" s="299">
        <f t="shared" si="52"/>
        <v>0</v>
      </c>
      <c r="AS137" s="300" t="str">
        <f t="shared" si="53"/>
        <v/>
      </c>
      <c r="AT137" s="301" t="str">
        <f>IF(COUNTIF(K137:R137,"F")&gt;0,"",IF(AS137="PASS",'Statement of Marks'!HF138,""))</f>
        <v/>
      </c>
      <c r="AU137" s="301" t="str">
        <f>IF(AS137="PASS",'Statement of Marks'!HG138,"")</f>
        <v/>
      </c>
    </row>
    <row r="138" spans="1:47">
      <c r="A138" s="284">
        <f>IF('Statement of Marks'!A139="","",'Statement of Marks'!A139)</f>
        <v>132</v>
      </c>
      <c r="B138" s="284" t="str">
        <f>IF('Statement of Marks'!B139="","",'Statement of Marks'!B139)</f>
        <v/>
      </c>
      <c r="C138" s="284" t="str">
        <f>IF('Statement of Marks'!C139="","",'Statement of Marks'!C139)</f>
        <v/>
      </c>
      <c r="D138" s="285" t="str">
        <f>IF('Statement of Marks'!D139="","",'Statement of Marks'!D139)</f>
        <v/>
      </c>
      <c r="E138" s="286" t="str">
        <f>IF('Statement of Marks'!E139="","",'Statement of Marks'!E139)</f>
        <v/>
      </c>
      <c r="F138" s="286" t="str">
        <f>IF('Statement of Marks'!F139="","",'Statement of Marks'!F139)</f>
        <v/>
      </c>
      <c r="G138" s="286" t="str">
        <f>IF('Statement of Marks'!G139="","",'Statement of Marks'!G139)</f>
        <v/>
      </c>
      <c r="H138" s="287" t="str">
        <f>IF('Statement of Marks'!GY139="","",'Statement of Marks'!GY139)</f>
        <v/>
      </c>
      <c r="I138" s="287" t="str">
        <f>IF('Statement of Marks'!HB139="","",'Statement of Marks'!HB139)</f>
        <v/>
      </c>
      <c r="J138" s="288" t="str">
        <f>IF('Statement of Marks'!HC139="","",'Statement of Marks'!HC139)</f>
        <v/>
      </c>
      <c r="K138" s="296" t="str">
        <f>IF(B138="","",'Statement of Marks'!FJ139)</f>
        <v/>
      </c>
      <c r="L138" s="296" t="str">
        <f>IF(B138="","",'Statement of Marks'!FM139)</f>
        <v/>
      </c>
      <c r="M138" s="296" t="str">
        <f>IF(B138="","",'Statement of Marks'!FP139)</f>
        <v/>
      </c>
      <c r="N138" s="296" t="str">
        <f>IF(B138="","",'Statement of Marks'!FW139)</f>
        <v/>
      </c>
      <c r="O138" s="296" t="str">
        <f>IF(B138="","",'Statement of Marks'!GD139)</f>
        <v/>
      </c>
      <c r="P138" s="296" t="str">
        <f>IF(B138="","",'Statement of Marks'!GK139)</f>
        <v/>
      </c>
      <c r="Q138" s="296" t="str">
        <f>IF(B138="","",'Statement of Marks'!GR139)</f>
        <v/>
      </c>
      <c r="R138" s="296" t="str">
        <f>IF(B138="","",'Statement of Marks'!GS139)</f>
        <v/>
      </c>
      <c r="S138" s="288" t="str">
        <f>IF(COUNTIF(K138:R138,"F")&gt;0,"",CONCATENATE('Statement of Marks'!GU139,'Statement of Marks'!GW139))</f>
        <v xml:space="preserve">           </v>
      </c>
      <c r="T138" s="289">
        <f t="shared" si="36"/>
        <v>0</v>
      </c>
      <c r="U138" s="16"/>
      <c r="V138" s="297" t="str">
        <f t="shared" si="37"/>
        <v/>
      </c>
      <c r="W138" s="297" t="str">
        <f t="shared" si="38"/>
        <v/>
      </c>
      <c r="X138" s="16"/>
      <c r="Y138" s="297" t="str">
        <f t="shared" si="39"/>
        <v/>
      </c>
      <c r="Z138" s="297" t="str">
        <f t="shared" si="40"/>
        <v/>
      </c>
      <c r="AA138" s="16"/>
      <c r="AB138" s="297" t="str">
        <f t="shared" si="41"/>
        <v/>
      </c>
      <c r="AC138" s="298" t="str">
        <f t="shared" si="42"/>
        <v/>
      </c>
      <c r="AD138" s="16"/>
      <c r="AE138" s="297" t="str">
        <f t="shared" si="43"/>
        <v/>
      </c>
      <c r="AF138" s="298" t="str">
        <f t="shared" si="44"/>
        <v/>
      </c>
      <c r="AG138" s="16"/>
      <c r="AH138" s="297" t="str">
        <f t="shared" si="45"/>
        <v/>
      </c>
      <c r="AI138" s="298" t="str">
        <f t="shared" si="46"/>
        <v/>
      </c>
      <c r="AJ138" s="16"/>
      <c r="AK138" s="298" t="str">
        <f t="shared" si="47"/>
        <v/>
      </c>
      <c r="AL138" s="298" t="str">
        <f t="shared" si="48"/>
        <v/>
      </c>
      <c r="AM138" s="16"/>
      <c r="AN138" s="297" t="str">
        <f t="shared" si="49"/>
        <v/>
      </c>
      <c r="AO138" s="16"/>
      <c r="AP138" s="297" t="str">
        <f t="shared" si="50"/>
        <v/>
      </c>
      <c r="AQ138" s="299">
        <f t="shared" si="51"/>
        <v>0</v>
      </c>
      <c r="AR138" s="299">
        <f t="shared" si="52"/>
        <v>0</v>
      </c>
      <c r="AS138" s="300" t="str">
        <f t="shared" si="53"/>
        <v/>
      </c>
      <c r="AT138" s="301" t="str">
        <f>IF(COUNTIF(K138:R138,"F")&gt;0,"",IF(AS138="PASS",'Statement of Marks'!HF139,""))</f>
        <v/>
      </c>
      <c r="AU138" s="301" t="str">
        <f>IF(AS138="PASS",'Statement of Marks'!HG139,"")</f>
        <v/>
      </c>
    </row>
    <row r="139" spans="1:47">
      <c r="A139" s="284">
        <f>IF('Statement of Marks'!A140="","",'Statement of Marks'!A140)</f>
        <v>133</v>
      </c>
      <c r="B139" s="284" t="str">
        <f>IF('Statement of Marks'!B140="","",'Statement of Marks'!B140)</f>
        <v/>
      </c>
      <c r="C139" s="284" t="str">
        <f>IF('Statement of Marks'!C140="","",'Statement of Marks'!C140)</f>
        <v/>
      </c>
      <c r="D139" s="285" t="str">
        <f>IF('Statement of Marks'!D140="","",'Statement of Marks'!D140)</f>
        <v/>
      </c>
      <c r="E139" s="286" t="str">
        <f>IF('Statement of Marks'!E140="","",'Statement of Marks'!E140)</f>
        <v/>
      </c>
      <c r="F139" s="286" t="str">
        <f>IF('Statement of Marks'!F140="","",'Statement of Marks'!F140)</f>
        <v/>
      </c>
      <c r="G139" s="286" t="str">
        <f>IF('Statement of Marks'!G140="","",'Statement of Marks'!G140)</f>
        <v/>
      </c>
      <c r="H139" s="287" t="str">
        <f>IF('Statement of Marks'!GY140="","",'Statement of Marks'!GY140)</f>
        <v/>
      </c>
      <c r="I139" s="287" t="str">
        <f>IF('Statement of Marks'!HB140="","",'Statement of Marks'!HB140)</f>
        <v/>
      </c>
      <c r="J139" s="288" t="str">
        <f>IF('Statement of Marks'!HC140="","",'Statement of Marks'!HC140)</f>
        <v/>
      </c>
      <c r="K139" s="296" t="str">
        <f>IF(B139="","",'Statement of Marks'!FJ140)</f>
        <v/>
      </c>
      <c r="L139" s="296" t="str">
        <f>IF(B139="","",'Statement of Marks'!FM140)</f>
        <v/>
      </c>
      <c r="M139" s="296" t="str">
        <f>IF(B139="","",'Statement of Marks'!FP140)</f>
        <v/>
      </c>
      <c r="N139" s="296" t="str">
        <f>IF(B139="","",'Statement of Marks'!FW140)</f>
        <v/>
      </c>
      <c r="O139" s="296" t="str">
        <f>IF(B139="","",'Statement of Marks'!GD140)</f>
        <v/>
      </c>
      <c r="P139" s="296" t="str">
        <f>IF(B139="","",'Statement of Marks'!GK140)</f>
        <v/>
      </c>
      <c r="Q139" s="296" t="str">
        <f>IF(B139="","",'Statement of Marks'!GR140)</f>
        <v/>
      </c>
      <c r="R139" s="296" t="str">
        <f>IF(B139="","",'Statement of Marks'!GS140)</f>
        <v/>
      </c>
      <c r="S139" s="288" t="str">
        <f>IF(COUNTIF(K139:R139,"F")&gt;0,"",CONCATENATE('Statement of Marks'!GU140,'Statement of Marks'!GW140))</f>
        <v xml:space="preserve">           </v>
      </c>
      <c r="T139" s="289">
        <f t="shared" si="36"/>
        <v>0</v>
      </c>
      <c r="U139" s="16"/>
      <c r="V139" s="297" t="str">
        <f t="shared" si="37"/>
        <v/>
      </c>
      <c r="W139" s="297" t="str">
        <f t="shared" si="38"/>
        <v/>
      </c>
      <c r="X139" s="16"/>
      <c r="Y139" s="297" t="str">
        <f t="shared" si="39"/>
        <v/>
      </c>
      <c r="Z139" s="297" t="str">
        <f t="shared" si="40"/>
        <v/>
      </c>
      <c r="AA139" s="16"/>
      <c r="AB139" s="297" t="str">
        <f t="shared" si="41"/>
        <v/>
      </c>
      <c r="AC139" s="298" t="str">
        <f t="shared" si="42"/>
        <v/>
      </c>
      <c r="AD139" s="16"/>
      <c r="AE139" s="297" t="str">
        <f t="shared" si="43"/>
        <v/>
      </c>
      <c r="AF139" s="298" t="str">
        <f t="shared" si="44"/>
        <v/>
      </c>
      <c r="AG139" s="16"/>
      <c r="AH139" s="297" t="str">
        <f t="shared" si="45"/>
        <v/>
      </c>
      <c r="AI139" s="298" t="str">
        <f t="shared" si="46"/>
        <v/>
      </c>
      <c r="AJ139" s="16"/>
      <c r="AK139" s="298" t="str">
        <f t="shared" si="47"/>
        <v/>
      </c>
      <c r="AL139" s="298" t="str">
        <f t="shared" si="48"/>
        <v/>
      </c>
      <c r="AM139" s="16"/>
      <c r="AN139" s="297" t="str">
        <f t="shared" si="49"/>
        <v/>
      </c>
      <c r="AO139" s="16"/>
      <c r="AP139" s="297" t="str">
        <f t="shared" si="50"/>
        <v/>
      </c>
      <c r="AQ139" s="299">
        <f t="shared" si="51"/>
        <v>0</v>
      </c>
      <c r="AR139" s="299">
        <f t="shared" si="52"/>
        <v>0</v>
      </c>
      <c r="AS139" s="300" t="str">
        <f t="shared" si="53"/>
        <v/>
      </c>
      <c r="AT139" s="301" t="str">
        <f>IF(COUNTIF(K139:R139,"F")&gt;0,"",IF(AS139="PASS",'Statement of Marks'!HF140,""))</f>
        <v/>
      </c>
      <c r="AU139" s="301" t="str">
        <f>IF(AS139="PASS",'Statement of Marks'!HG140,"")</f>
        <v/>
      </c>
    </row>
    <row r="140" spans="1:47">
      <c r="A140" s="284">
        <f>IF('Statement of Marks'!A141="","",'Statement of Marks'!A141)</f>
        <v>134</v>
      </c>
      <c r="B140" s="284" t="str">
        <f>IF('Statement of Marks'!B141="","",'Statement of Marks'!B141)</f>
        <v/>
      </c>
      <c r="C140" s="284" t="str">
        <f>IF('Statement of Marks'!C141="","",'Statement of Marks'!C141)</f>
        <v/>
      </c>
      <c r="D140" s="285" t="str">
        <f>IF('Statement of Marks'!D141="","",'Statement of Marks'!D141)</f>
        <v/>
      </c>
      <c r="E140" s="286" t="str">
        <f>IF('Statement of Marks'!E141="","",'Statement of Marks'!E141)</f>
        <v/>
      </c>
      <c r="F140" s="286" t="str">
        <f>IF('Statement of Marks'!F141="","",'Statement of Marks'!F141)</f>
        <v/>
      </c>
      <c r="G140" s="286" t="str">
        <f>IF('Statement of Marks'!G141="","",'Statement of Marks'!G141)</f>
        <v/>
      </c>
      <c r="H140" s="287" t="str">
        <f>IF('Statement of Marks'!GY141="","",'Statement of Marks'!GY141)</f>
        <v/>
      </c>
      <c r="I140" s="287" t="str">
        <f>IF('Statement of Marks'!HB141="","",'Statement of Marks'!HB141)</f>
        <v/>
      </c>
      <c r="J140" s="288" t="str">
        <f>IF('Statement of Marks'!HC141="","",'Statement of Marks'!HC141)</f>
        <v/>
      </c>
      <c r="K140" s="296" t="str">
        <f>IF(B140="","",'Statement of Marks'!FJ141)</f>
        <v/>
      </c>
      <c r="L140" s="296" t="str">
        <f>IF(B140="","",'Statement of Marks'!FM141)</f>
        <v/>
      </c>
      <c r="M140" s="296" t="str">
        <f>IF(B140="","",'Statement of Marks'!FP141)</f>
        <v/>
      </c>
      <c r="N140" s="296" t="str">
        <f>IF(B140="","",'Statement of Marks'!FW141)</f>
        <v/>
      </c>
      <c r="O140" s="296" t="str">
        <f>IF(B140="","",'Statement of Marks'!GD141)</f>
        <v/>
      </c>
      <c r="P140" s="296" t="str">
        <f>IF(B140="","",'Statement of Marks'!GK141)</f>
        <v/>
      </c>
      <c r="Q140" s="296" t="str">
        <f>IF(B140="","",'Statement of Marks'!GR141)</f>
        <v/>
      </c>
      <c r="R140" s="296" t="str">
        <f>IF(B140="","",'Statement of Marks'!GS141)</f>
        <v/>
      </c>
      <c r="S140" s="288" t="str">
        <f>IF(COUNTIF(K140:R140,"F")&gt;0,"",CONCATENATE('Statement of Marks'!GU141,'Statement of Marks'!GW141))</f>
        <v xml:space="preserve">           </v>
      </c>
      <c r="T140" s="289">
        <f t="shared" si="36"/>
        <v>0</v>
      </c>
      <c r="U140" s="16"/>
      <c r="V140" s="297" t="str">
        <f t="shared" si="37"/>
        <v/>
      </c>
      <c r="W140" s="297" t="str">
        <f t="shared" si="38"/>
        <v/>
      </c>
      <c r="X140" s="16"/>
      <c r="Y140" s="297" t="str">
        <f t="shared" si="39"/>
        <v/>
      </c>
      <c r="Z140" s="297" t="str">
        <f t="shared" si="40"/>
        <v/>
      </c>
      <c r="AA140" s="16"/>
      <c r="AB140" s="297" t="str">
        <f t="shared" si="41"/>
        <v/>
      </c>
      <c r="AC140" s="298" t="str">
        <f t="shared" si="42"/>
        <v/>
      </c>
      <c r="AD140" s="16"/>
      <c r="AE140" s="297" t="str">
        <f t="shared" si="43"/>
        <v/>
      </c>
      <c r="AF140" s="298" t="str">
        <f t="shared" si="44"/>
        <v/>
      </c>
      <c r="AG140" s="16"/>
      <c r="AH140" s="297" t="str">
        <f t="shared" si="45"/>
        <v/>
      </c>
      <c r="AI140" s="298" t="str">
        <f t="shared" si="46"/>
        <v/>
      </c>
      <c r="AJ140" s="16"/>
      <c r="AK140" s="298" t="str">
        <f t="shared" si="47"/>
        <v/>
      </c>
      <c r="AL140" s="298" t="str">
        <f t="shared" si="48"/>
        <v/>
      </c>
      <c r="AM140" s="16"/>
      <c r="AN140" s="297" t="str">
        <f t="shared" si="49"/>
        <v/>
      </c>
      <c r="AO140" s="16"/>
      <c r="AP140" s="297" t="str">
        <f t="shared" si="50"/>
        <v/>
      </c>
      <c r="AQ140" s="299">
        <f t="shared" si="51"/>
        <v>0</v>
      </c>
      <c r="AR140" s="299">
        <f t="shared" si="52"/>
        <v>0</v>
      </c>
      <c r="AS140" s="300" t="str">
        <f t="shared" si="53"/>
        <v/>
      </c>
      <c r="AT140" s="301" t="str">
        <f>IF(COUNTIF(K140:R140,"F")&gt;0,"",IF(AS140="PASS",'Statement of Marks'!HF141,""))</f>
        <v/>
      </c>
      <c r="AU140" s="301" t="str">
        <f>IF(AS140="PASS",'Statement of Marks'!HG141,"")</f>
        <v/>
      </c>
    </row>
    <row r="141" spans="1:47">
      <c r="A141" s="284">
        <f>IF('Statement of Marks'!A142="","",'Statement of Marks'!A142)</f>
        <v>135</v>
      </c>
      <c r="B141" s="284" t="str">
        <f>IF('Statement of Marks'!B142="","",'Statement of Marks'!B142)</f>
        <v/>
      </c>
      <c r="C141" s="284" t="str">
        <f>IF('Statement of Marks'!C142="","",'Statement of Marks'!C142)</f>
        <v/>
      </c>
      <c r="D141" s="285" t="str">
        <f>IF('Statement of Marks'!D142="","",'Statement of Marks'!D142)</f>
        <v/>
      </c>
      <c r="E141" s="286" t="str">
        <f>IF('Statement of Marks'!E142="","",'Statement of Marks'!E142)</f>
        <v/>
      </c>
      <c r="F141" s="286" t="str">
        <f>IF('Statement of Marks'!F142="","",'Statement of Marks'!F142)</f>
        <v/>
      </c>
      <c r="G141" s="286" t="str">
        <f>IF('Statement of Marks'!G142="","",'Statement of Marks'!G142)</f>
        <v/>
      </c>
      <c r="H141" s="287" t="str">
        <f>IF('Statement of Marks'!GY142="","",'Statement of Marks'!GY142)</f>
        <v/>
      </c>
      <c r="I141" s="287" t="str">
        <f>IF('Statement of Marks'!HB142="","",'Statement of Marks'!HB142)</f>
        <v/>
      </c>
      <c r="J141" s="288" t="str">
        <f>IF('Statement of Marks'!HC142="","",'Statement of Marks'!HC142)</f>
        <v/>
      </c>
      <c r="K141" s="296" t="str">
        <f>IF(B141="","",'Statement of Marks'!FJ142)</f>
        <v/>
      </c>
      <c r="L141" s="296" t="str">
        <f>IF(B141="","",'Statement of Marks'!FM142)</f>
        <v/>
      </c>
      <c r="M141" s="296" t="str">
        <f>IF(B141="","",'Statement of Marks'!FP142)</f>
        <v/>
      </c>
      <c r="N141" s="296" t="str">
        <f>IF(B141="","",'Statement of Marks'!FW142)</f>
        <v/>
      </c>
      <c r="O141" s="296" t="str">
        <f>IF(B141="","",'Statement of Marks'!GD142)</f>
        <v/>
      </c>
      <c r="P141" s="296" t="str">
        <f>IF(B141="","",'Statement of Marks'!GK142)</f>
        <v/>
      </c>
      <c r="Q141" s="296" t="str">
        <f>IF(B141="","",'Statement of Marks'!GR142)</f>
        <v/>
      </c>
      <c r="R141" s="296" t="str">
        <f>IF(B141="","",'Statement of Marks'!GS142)</f>
        <v/>
      </c>
      <c r="S141" s="288" t="str">
        <f>IF(COUNTIF(K141:R141,"F")&gt;0,"",CONCATENATE('Statement of Marks'!GU142,'Statement of Marks'!GW142))</f>
        <v xml:space="preserve">           </v>
      </c>
      <c r="T141" s="289">
        <f t="shared" si="36"/>
        <v>0</v>
      </c>
      <c r="U141" s="16"/>
      <c r="V141" s="297" t="str">
        <f t="shared" si="37"/>
        <v/>
      </c>
      <c r="W141" s="297" t="str">
        <f t="shared" si="38"/>
        <v/>
      </c>
      <c r="X141" s="16"/>
      <c r="Y141" s="297" t="str">
        <f t="shared" si="39"/>
        <v/>
      </c>
      <c r="Z141" s="297" t="str">
        <f t="shared" si="40"/>
        <v/>
      </c>
      <c r="AA141" s="16"/>
      <c r="AB141" s="297" t="str">
        <f t="shared" si="41"/>
        <v/>
      </c>
      <c r="AC141" s="298" t="str">
        <f t="shared" si="42"/>
        <v/>
      </c>
      <c r="AD141" s="16"/>
      <c r="AE141" s="297" t="str">
        <f t="shared" si="43"/>
        <v/>
      </c>
      <c r="AF141" s="298" t="str">
        <f t="shared" si="44"/>
        <v/>
      </c>
      <c r="AG141" s="16"/>
      <c r="AH141" s="297" t="str">
        <f t="shared" si="45"/>
        <v/>
      </c>
      <c r="AI141" s="298" t="str">
        <f t="shared" si="46"/>
        <v/>
      </c>
      <c r="AJ141" s="16"/>
      <c r="AK141" s="298" t="str">
        <f t="shared" si="47"/>
        <v/>
      </c>
      <c r="AL141" s="298" t="str">
        <f t="shared" si="48"/>
        <v/>
      </c>
      <c r="AM141" s="16"/>
      <c r="AN141" s="297" t="str">
        <f t="shared" si="49"/>
        <v/>
      </c>
      <c r="AO141" s="16"/>
      <c r="AP141" s="297" t="str">
        <f t="shared" si="50"/>
        <v/>
      </c>
      <c r="AQ141" s="299">
        <f t="shared" si="51"/>
        <v>0</v>
      </c>
      <c r="AR141" s="299">
        <f t="shared" si="52"/>
        <v>0</v>
      </c>
      <c r="AS141" s="300" t="str">
        <f t="shared" si="53"/>
        <v/>
      </c>
      <c r="AT141" s="301" t="str">
        <f>IF(COUNTIF(K141:R141,"F")&gt;0,"",IF(AS141="PASS",'Statement of Marks'!HF142,""))</f>
        <v/>
      </c>
      <c r="AU141" s="301" t="str">
        <f>IF(AS141="PASS",'Statement of Marks'!HG142,"")</f>
        <v/>
      </c>
    </row>
    <row r="142" spans="1:47">
      <c r="A142" s="284">
        <f>IF('Statement of Marks'!A143="","",'Statement of Marks'!A143)</f>
        <v>136</v>
      </c>
      <c r="B142" s="284" t="str">
        <f>IF('Statement of Marks'!B143="","",'Statement of Marks'!B143)</f>
        <v/>
      </c>
      <c r="C142" s="284" t="str">
        <f>IF('Statement of Marks'!C143="","",'Statement of Marks'!C143)</f>
        <v/>
      </c>
      <c r="D142" s="285" t="str">
        <f>IF('Statement of Marks'!D143="","",'Statement of Marks'!D143)</f>
        <v/>
      </c>
      <c r="E142" s="286" t="str">
        <f>IF('Statement of Marks'!E143="","",'Statement of Marks'!E143)</f>
        <v/>
      </c>
      <c r="F142" s="286" t="str">
        <f>IF('Statement of Marks'!F143="","",'Statement of Marks'!F143)</f>
        <v/>
      </c>
      <c r="G142" s="286" t="str">
        <f>IF('Statement of Marks'!G143="","",'Statement of Marks'!G143)</f>
        <v/>
      </c>
      <c r="H142" s="287" t="str">
        <f>IF('Statement of Marks'!GY143="","",'Statement of Marks'!GY143)</f>
        <v/>
      </c>
      <c r="I142" s="287" t="str">
        <f>IF('Statement of Marks'!HB143="","",'Statement of Marks'!HB143)</f>
        <v/>
      </c>
      <c r="J142" s="288" t="str">
        <f>IF('Statement of Marks'!HC143="","",'Statement of Marks'!HC143)</f>
        <v/>
      </c>
      <c r="K142" s="296" t="str">
        <f>IF(B142="","",'Statement of Marks'!FJ143)</f>
        <v/>
      </c>
      <c r="L142" s="296" t="str">
        <f>IF(B142="","",'Statement of Marks'!FM143)</f>
        <v/>
      </c>
      <c r="M142" s="296" t="str">
        <f>IF(B142="","",'Statement of Marks'!FP143)</f>
        <v/>
      </c>
      <c r="N142" s="296" t="str">
        <f>IF(B142="","",'Statement of Marks'!FW143)</f>
        <v/>
      </c>
      <c r="O142" s="296" t="str">
        <f>IF(B142="","",'Statement of Marks'!GD143)</f>
        <v/>
      </c>
      <c r="P142" s="296" t="str">
        <f>IF(B142="","",'Statement of Marks'!GK143)</f>
        <v/>
      </c>
      <c r="Q142" s="296" t="str">
        <f>IF(B142="","",'Statement of Marks'!GR143)</f>
        <v/>
      </c>
      <c r="R142" s="296" t="str">
        <f>IF(B142="","",'Statement of Marks'!GS143)</f>
        <v/>
      </c>
      <c r="S142" s="288" t="str">
        <f>IF(COUNTIF(K142:R142,"F")&gt;0,"",CONCATENATE('Statement of Marks'!GU143,'Statement of Marks'!GW143))</f>
        <v xml:space="preserve">           </v>
      </c>
      <c r="T142" s="289">
        <f t="shared" si="36"/>
        <v>0</v>
      </c>
      <c r="U142" s="16"/>
      <c r="V142" s="297" t="str">
        <f t="shared" si="37"/>
        <v/>
      </c>
      <c r="W142" s="297" t="str">
        <f t="shared" si="38"/>
        <v/>
      </c>
      <c r="X142" s="16"/>
      <c r="Y142" s="297" t="str">
        <f t="shared" si="39"/>
        <v/>
      </c>
      <c r="Z142" s="297" t="str">
        <f t="shared" si="40"/>
        <v/>
      </c>
      <c r="AA142" s="16"/>
      <c r="AB142" s="297" t="str">
        <f t="shared" si="41"/>
        <v/>
      </c>
      <c r="AC142" s="298" t="str">
        <f t="shared" si="42"/>
        <v/>
      </c>
      <c r="AD142" s="16"/>
      <c r="AE142" s="297" t="str">
        <f t="shared" si="43"/>
        <v/>
      </c>
      <c r="AF142" s="298" t="str">
        <f t="shared" si="44"/>
        <v/>
      </c>
      <c r="AG142" s="16"/>
      <c r="AH142" s="297" t="str">
        <f t="shared" si="45"/>
        <v/>
      </c>
      <c r="AI142" s="298" t="str">
        <f t="shared" si="46"/>
        <v/>
      </c>
      <c r="AJ142" s="16"/>
      <c r="AK142" s="298" t="str">
        <f t="shared" si="47"/>
        <v/>
      </c>
      <c r="AL142" s="298" t="str">
        <f t="shared" si="48"/>
        <v/>
      </c>
      <c r="AM142" s="16"/>
      <c r="AN142" s="297" t="str">
        <f t="shared" si="49"/>
        <v/>
      </c>
      <c r="AO142" s="16"/>
      <c r="AP142" s="297" t="str">
        <f t="shared" si="50"/>
        <v/>
      </c>
      <c r="AQ142" s="299">
        <f t="shared" si="51"/>
        <v>0</v>
      </c>
      <c r="AR142" s="299">
        <f t="shared" si="52"/>
        <v>0</v>
      </c>
      <c r="AS142" s="300" t="str">
        <f t="shared" si="53"/>
        <v/>
      </c>
      <c r="AT142" s="301" t="str">
        <f>IF(COUNTIF(K142:R142,"F")&gt;0,"",IF(AS142="PASS",'Statement of Marks'!HF143,""))</f>
        <v/>
      </c>
      <c r="AU142" s="301" t="str">
        <f>IF(AS142="PASS",'Statement of Marks'!HG143,"")</f>
        <v/>
      </c>
    </row>
    <row r="143" spans="1:47">
      <c r="A143" s="284">
        <f>IF('Statement of Marks'!A144="","",'Statement of Marks'!A144)</f>
        <v>137</v>
      </c>
      <c r="B143" s="284" t="str">
        <f>IF('Statement of Marks'!B144="","",'Statement of Marks'!B144)</f>
        <v/>
      </c>
      <c r="C143" s="284" t="str">
        <f>IF('Statement of Marks'!C144="","",'Statement of Marks'!C144)</f>
        <v/>
      </c>
      <c r="D143" s="285" t="str">
        <f>IF('Statement of Marks'!D144="","",'Statement of Marks'!D144)</f>
        <v/>
      </c>
      <c r="E143" s="286" t="str">
        <f>IF('Statement of Marks'!E144="","",'Statement of Marks'!E144)</f>
        <v/>
      </c>
      <c r="F143" s="286" t="str">
        <f>IF('Statement of Marks'!F144="","",'Statement of Marks'!F144)</f>
        <v/>
      </c>
      <c r="G143" s="286" t="str">
        <f>IF('Statement of Marks'!G144="","",'Statement of Marks'!G144)</f>
        <v/>
      </c>
      <c r="H143" s="287" t="str">
        <f>IF('Statement of Marks'!GY144="","",'Statement of Marks'!GY144)</f>
        <v/>
      </c>
      <c r="I143" s="287" t="str">
        <f>IF('Statement of Marks'!HB144="","",'Statement of Marks'!HB144)</f>
        <v/>
      </c>
      <c r="J143" s="288" t="str">
        <f>IF('Statement of Marks'!HC144="","",'Statement of Marks'!HC144)</f>
        <v/>
      </c>
      <c r="K143" s="296" t="str">
        <f>IF(B143="","",'Statement of Marks'!FJ144)</f>
        <v/>
      </c>
      <c r="L143" s="296" t="str">
        <f>IF(B143="","",'Statement of Marks'!FM144)</f>
        <v/>
      </c>
      <c r="M143" s="296" t="str">
        <f>IF(B143="","",'Statement of Marks'!FP144)</f>
        <v/>
      </c>
      <c r="N143" s="296" t="str">
        <f>IF(B143="","",'Statement of Marks'!FW144)</f>
        <v/>
      </c>
      <c r="O143" s="296" t="str">
        <f>IF(B143="","",'Statement of Marks'!GD144)</f>
        <v/>
      </c>
      <c r="P143" s="296" t="str">
        <f>IF(B143="","",'Statement of Marks'!GK144)</f>
        <v/>
      </c>
      <c r="Q143" s="296" t="str">
        <f>IF(B143="","",'Statement of Marks'!GR144)</f>
        <v/>
      </c>
      <c r="R143" s="296" t="str">
        <f>IF(B143="","",'Statement of Marks'!GS144)</f>
        <v/>
      </c>
      <c r="S143" s="288" t="str">
        <f>IF(COUNTIF(K143:R143,"F")&gt;0,"",CONCATENATE('Statement of Marks'!GU144,'Statement of Marks'!GW144))</f>
        <v xml:space="preserve">           </v>
      </c>
      <c r="T143" s="289">
        <f t="shared" si="36"/>
        <v>0</v>
      </c>
      <c r="U143" s="16"/>
      <c r="V143" s="297" t="str">
        <f t="shared" si="37"/>
        <v/>
      </c>
      <c r="W143" s="297" t="str">
        <f t="shared" si="38"/>
        <v/>
      </c>
      <c r="X143" s="16"/>
      <c r="Y143" s="297" t="str">
        <f t="shared" si="39"/>
        <v/>
      </c>
      <c r="Z143" s="297" t="str">
        <f t="shared" si="40"/>
        <v/>
      </c>
      <c r="AA143" s="16"/>
      <c r="AB143" s="297" t="str">
        <f t="shared" si="41"/>
        <v/>
      </c>
      <c r="AC143" s="298" t="str">
        <f t="shared" si="42"/>
        <v/>
      </c>
      <c r="AD143" s="16"/>
      <c r="AE143" s="297" t="str">
        <f t="shared" si="43"/>
        <v/>
      </c>
      <c r="AF143" s="298" t="str">
        <f t="shared" si="44"/>
        <v/>
      </c>
      <c r="AG143" s="16"/>
      <c r="AH143" s="297" t="str">
        <f t="shared" si="45"/>
        <v/>
      </c>
      <c r="AI143" s="298" t="str">
        <f t="shared" si="46"/>
        <v/>
      </c>
      <c r="AJ143" s="16"/>
      <c r="AK143" s="298" t="str">
        <f t="shared" si="47"/>
        <v/>
      </c>
      <c r="AL143" s="298" t="str">
        <f t="shared" si="48"/>
        <v/>
      </c>
      <c r="AM143" s="16"/>
      <c r="AN143" s="297" t="str">
        <f t="shared" si="49"/>
        <v/>
      </c>
      <c r="AO143" s="16"/>
      <c r="AP143" s="297" t="str">
        <f t="shared" si="50"/>
        <v/>
      </c>
      <c r="AQ143" s="299">
        <f t="shared" si="51"/>
        <v>0</v>
      </c>
      <c r="AR143" s="299">
        <f t="shared" si="52"/>
        <v>0</v>
      </c>
      <c r="AS143" s="300" t="str">
        <f t="shared" si="53"/>
        <v/>
      </c>
      <c r="AT143" s="301" t="str">
        <f>IF(COUNTIF(K143:R143,"F")&gt;0,"",IF(AS143="PASS",'Statement of Marks'!HF144,""))</f>
        <v/>
      </c>
      <c r="AU143" s="301" t="str">
        <f>IF(AS143="PASS",'Statement of Marks'!HG144,"")</f>
        <v/>
      </c>
    </row>
    <row r="144" spans="1:47">
      <c r="A144" s="284">
        <f>IF('Statement of Marks'!A145="","",'Statement of Marks'!A145)</f>
        <v>138</v>
      </c>
      <c r="B144" s="284" t="str">
        <f>IF('Statement of Marks'!B145="","",'Statement of Marks'!B145)</f>
        <v/>
      </c>
      <c r="C144" s="284" t="str">
        <f>IF('Statement of Marks'!C145="","",'Statement of Marks'!C145)</f>
        <v/>
      </c>
      <c r="D144" s="285" t="str">
        <f>IF('Statement of Marks'!D145="","",'Statement of Marks'!D145)</f>
        <v/>
      </c>
      <c r="E144" s="286" t="str">
        <f>IF('Statement of Marks'!E145="","",'Statement of Marks'!E145)</f>
        <v/>
      </c>
      <c r="F144" s="286" t="str">
        <f>IF('Statement of Marks'!F145="","",'Statement of Marks'!F145)</f>
        <v/>
      </c>
      <c r="G144" s="286" t="str">
        <f>IF('Statement of Marks'!G145="","",'Statement of Marks'!G145)</f>
        <v/>
      </c>
      <c r="H144" s="287" t="str">
        <f>IF('Statement of Marks'!GY145="","",'Statement of Marks'!GY145)</f>
        <v/>
      </c>
      <c r="I144" s="287" t="str">
        <f>IF('Statement of Marks'!HB145="","",'Statement of Marks'!HB145)</f>
        <v/>
      </c>
      <c r="J144" s="288" t="str">
        <f>IF('Statement of Marks'!HC145="","",'Statement of Marks'!HC145)</f>
        <v/>
      </c>
      <c r="K144" s="296" t="str">
        <f>IF(B144="","",'Statement of Marks'!FJ145)</f>
        <v/>
      </c>
      <c r="L144" s="296" t="str">
        <f>IF(B144="","",'Statement of Marks'!FM145)</f>
        <v/>
      </c>
      <c r="M144" s="296" t="str">
        <f>IF(B144="","",'Statement of Marks'!FP145)</f>
        <v/>
      </c>
      <c r="N144" s="296" t="str">
        <f>IF(B144="","",'Statement of Marks'!FW145)</f>
        <v/>
      </c>
      <c r="O144" s="296" t="str">
        <f>IF(B144="","",'Statement of Marks'!GD145)</f>
        <v/>
      </c>
      <c r="P144" s="296" t="str">
        <f>IF(B144="","",'Statement of Marks'!GK145)</f>
        <v/>
      </c>
      <c r="Q144" s="296" t="str">
        <f>IF(B144="","",'Statement of Marks'!GR145)</f>
        <v/>
      </c>
      <c r="R144" s="296" t="str">
        <f>IF(B144="","",'Statement of Marks'!GS145)</f>
        <v/>
      </c>
      <c r="S144" s="288" t="str">
        <f>IF(COUNTIF(K144:R144,"F")&gt;0,"",CONCATENATE('Statement of Marks'!GU145,'Statement of Marks'!GW145))</f>
        <v xml:space="preserve">           </v>
      </c>
      <c r="T144" s="289">
        <f t="shared" si="36"/>
        <v>0</v>
      </c>
      <c r="U144" s="16"/>
      <c r="V144" s="297" t="str">
        <f t="shared" si="37"/>
        <v/>
      </c>
      <c r="W144" s="297" t="str">
        <f t="shared" si="38"/>
        <v/>
      </c>
      <c r="X144" s="16"/>
      <c r="Y144" s="297" t="str">
        <f t="shared" si="39"/>
        <v/>
      </c>
      <c r="Z144" s="297" t="str">
        <f t="shared" si="40"/>
        <v/>
      </c>
      <c r="AA144" s="16"/>
      <c r="AB144" s="297" t="str">
        <f t="shared" si="41"/>
        <v/>
      </c>
      <c r="AC144" s="298" t="str">
        <f t="shared" si="42"/>
        <v/>
      </c>
      <c r="AD144" s="16"/>
      <c r="AE144" s="297" t="str">
        <f t="shared" si="43"/>
        <v/>
      </c>
      <c r="AF144" s="298" t="str">
        <f t="shared" si="44"/>
        <v/>
      </c>
      <c r="AG144" s="16"/>
      <c r="AH144" s="297" t="str">
        <f t="shared" si="45"/>
        <v/>
      </c>
      <c r="AI144" s="298" t="str">
        <f t="shared" si="46"/>
        <v/>
      </c>
      <c r="AJ144" s="16"/>
      <c r="AK144" s="298" t="str">
        <f t="shared" si="47"/>
        <v/>
      </c>
      <c r="AL144" s="298" t="str">
        <f t="shared" si="48"/>
        <v/>
      </c>
      <c r="AM144" s="16"/>
      <c r="AN144" s="297" t="str">
        <f t="shared" si="49"/>
        <v/>
      </c>
      <c r="AO144" s="16"/>
      <c r="AP144" s="297" t="str">
        <f t="shared" si="50"/>
        <v/>
      </c>
      <c r="AQ144" s="299">
        <f t="shared" si="51"/>
        <v>0</v>
      </c>
      <c r="AR144" s="299">
        <f t="shared" si="52"/>
        <v>0</v>
      </c>
      <c r="AS144" s="300" t="str">
        <f t="shared" si="53"/>
        <v/>
      </c>
      <c r="AT144" s="301" t="str">
        <f>IF(COUNTIF(K144:R144,"F")&gt;0,"",IF(AS144="PASS",'Statement of Marks'!HF145,""))</f>
        <v/>
      </c>
      <c r="AU144" s="301" t="str">
        <f>IF(AS144="PASS",'Statement of Marks'!HG145,"")</f>
        <v/>
      </c>
    </row>
    <row r="145" spans="1:47">
      <c r="A145" s="284">
        <f>IF('Statement of Marks'!A146="","",'Statement of Marks'!A146)</f>
        <v>139</v>
      </c>
      <c r="B145" s="284" t="str">
        <f>IF('Statement of Marks'!B146="","",'Statement of Marks'!B146)</f>
        <v/>
      </c>
      <c r="C145" s="284" t="str">
        <f>IF('Statement of Marks'!C146="","",'Statement of Marks'!C146)</f>
        <v/>
      </c>
      <c r="D145" s="285" t="str">
        <f>IF('Statement of Marks'!D146="","",'Statement of Marks'!D146)</f>
        <v/>
      </c>
      <c r="E145" s="286" t="str">
        <f>IF('Statement of Marks'!E146="","",'Statement of Marks'!E146)</f>
        <v/>
      </c>
      <c r="F145" s="286" t="str">
        <f>IF('Statement of Marks'!F146="","",'Statement of Marks'!F146)</f>
        <v/>
      </c>
      <c r="G145" s="286" t="str">
        <f>IF('Statement of Marks'!G146="","",'Statement of Marks'!G146)</f>
        <v/>
      </c>
      <c r="H145" s="287" t="str">
        <f>IF('Statement of Marks'!GY146="","",'Statement of Marks'!GY146)</f>
        <v/>
      </c>
      <c r="I145" s="287" t="str">
        <f>IF('Statement of Marks'!HB146="","",'Statement of Marks'!HB146)</f>
        <v/>
      </c>
      <c r="J145" s="288" t="str">
        <f>IF('Statement of Marks'!HC146="","",'Statement of Marks'!HC146)</f>
        <v/>
      </c>
      <c r="K145" s="296" t="str">
        <f>IF(B145="","",'Statement of Marks'!FJ146)</f>
        <v/>
      </c>
      <c r="L145" s="296" t="str">
        <f>IF(B145="","",'Statement of Marks'!FM146)</f>
        <v/>
      </c>
      <c r="M145" s="296" t="str">
        <f>IF(B145="","",'Statement of Marks'!FP146)</f>
        <v/>
      </c>
      <c r="N145" s="296" t="str">
        <f>IF(B145="","",'Statement of Marks'!FW146)</f>
        <v/>
      </c>
      <c r="O145" s="296" t="str">
        <f>IF(B145="","",'Statement of Marks'!GD146)</f>
        <v/>
      </c>
      <c r="P145" s="296" t="str">
        <f>IF(B145="","",'Statement of Marks'!GK146)</f>
        <v/>
      </c>
      <c r="Q145" s="296" t="str">
        <f>IF(B145="","",'Statement of Marks'!GR146)</f>
        <v/>
      </c>
      <c r="R145" s="296" t="str">
        <f>IF(B145="","",'Statement of Marks'!GS146)</f>
        <v/>
      </c>
      <c r="S145" s="288" t="str">
        <f>IF(COUNTIF(K145:R145,"F")&gt;0,"",CONCATENATE('Statement of Marks'!GU146,'Statement of Marks'!GW146))</f>
        <v xml:space="preserve">           </v>
      </c>
      <c r="T145" s="289">
        <f t="shared" si="36"/>
        <v>0</v>
      </c>
      <c r="U145" s="16"/>
      <c r="V145" s="297" t="str">
        <f t="shared" si="37"/>
        <v/>
      </c>
      <c r="W145" s="297" t="str">
        <f t="shared" si="38"/>
        <v/>
      </c>
      <c r="X145" s="16"/>
      <c r="Y145" s="297" t="str">
        <f t="shared" si="39"/>
        <v/>
      </c>
      <c r="Z145" s="297" t="str">
        <f t="shared" si="40"/>
        <v/>
      </c>
      <c r="AA145" s="16"/>
      <c r="AB145" s="297" t="str">
        <f t="shared" si="41"/>
        <v/>
      </c>
      <c r="AC145" s="298" t="str">
        <f t="shared" si="42"/>
        <v/>
      </c>
      <c r="AD145" s="16"/>
      <c r="AE145" s="297" t="str">
        <f t="shared" si="43"/>
        <v/>
      </c>
      <c r="AF145" s="298" t="str">
        <f t="shared" si="44"/>
        <v/>
      </c>
      <c r="AG145" s="16"/>
      <c r="AH145" s="297" t="str">
        <f t="shared" si="45"/>
        <v/>
      </c>
      <c r="AI145" s="298" t="str">
        <f t="shared" si="46"/>
        <v/>
      </c>
      <c r="AJ145" s="16"/>
      <c r="AK145" s="298" t="str">
        <f t="shared" si="47"/>
        <v/>
      </c>
      <c r="AL145" s="298" t="str">
        <f t="shared" si="48"/>
        <v/>
      </c>
      <c r="AM145" s="16"/>
      <c r="AN145" s="297" t="str">
        <f t="shared" si="49"/>
        <v/>
      </c>
      <c r="AO145" s="16"/>
      <c r="AP145" s="297" t="str">
        <f t="shared" si="50"/>
        <v/>
      </c>
      <c r="AQ145" s="299">
        <f t="shared" si="51"/>
        <v>0</v>
      </c>
      <c r="AR145" s="299">
        <f t="shared" si="52"/>
        <v>0</v>
      </c>
      <c r="AS145" s="300" t="str">
        <f t="shared" si="53"/>
        <v/>
      </c>
      <c r="AT145" s="301" t="str">
        <f>IF(COUNTIF(K145:R145,"F")&gt;0,"",IF(AS145="PASS",'Statement of Marks'!HF146,""))</f>
        <v/>
      </c>
      <c r="AU145" s="301" t="str">
        <f>IF(AS145="PASS",'Statement of Marks'!HG146,"")</f>
        <v/>
      </c>
    </row>
    <row r="146" spans="1:47">
      <c r="A146" s="284">
        <f>IF('Statement of Marks'!A147="","",'Statement of Marks'!A147)</f>
        <v>140</v>
      </c>
      <c r="B146" s="284" t="str">
        <f>IF('Statement of Marks'!B147="","",'Statement of Marks'!B147)</f>
        <v/>
      </c>
      <c r="C146" s="284" t="str">
        <f>IF('Statement of Marks'!C147="","",'Statement of Marks'!C147)</f>
        <v/>
      </c>
      <c r="D146" s="285" t="str">
        <f>IF('Statement of Marks'!D147="","",'Statement of Marks'!D147)</f>
        <v/>
      </c>
      <c r="E146" s="286" t="str">
        <f>IF('Statement of Marks'!E147="","",'Statement of Marks'!E147)</f>
        <v/>
      </c>
      <c r="F146" s="286" t="str">
        <f>IF('Statement of Marks'!F147="","",'Statement of Marks'!F147)</f>
        <v/>
      </c>
      <c r="G146" s="286" t="str">
        <f>IF('Statement of Marks'!G147="","",'Statement of Marks'!G147)</f>
        <v/>
      </c>
      <c r="H146" s="287" t="str">
        <f>IF('Statement of Marks'!GY147="","",'Statement of Marks'!GY147)</f>
        <v/>
      </c>
      <c r="I146" s="287" t="str">
        <f>IF('Statement of Marks'!HB147="","",'Statement of Marks'!HB147)</f>
        <v/>
      </c>
      <c r="J146" s="288" t="str">
        <f>IF('Statement of Marks'!HC147="","",'Statement of Marks'!HC147)</f>
        <v/>
      </c>
      <c r="K146" s="296" t="str">
        <f>IF(B146="","",'Statement of Marks'!FJ147)</f>
        <v/>
      </c>
      <c r="L146" s="296" t="str">
        <f>IF(B146="","",'Statement of Marks'!FM147)</f>
        <v/>
      </c>
      <c r="M146" s="296" t="str">
        <f>IF(B146="","",'Statement of Marks'!FP147)</f>
        <v/>
      </c>
      <c r="N146" s="296" t="str">
        <f>IF(B146="","",'Statement of Marks'!FW147)</f>
        <v/>
      </c>
      <c r="O146" s="296" t="str">
        <f>IF(B146="","",'Statement of Marks'!GD147)</f>
        <v/>
      </c>
      <c r="P146" s="296" t="str">
        <f>IF(B146="","",'Statement of Marks'!GK147)</f>
        <v/>
      </c>
      <c r="Q146" s="296" t="str">
        <f>IF(B146="","",'Statement of Marks'!GR147)</f>
        <v/>
      </c>
      <c r="R146" s="296" t="str">
        <f>IF(B146="","",'Statement of Marks'!GS147)</f>
        <v/>
      </c>
      <c r="S146" s="288" t="str">
        <f>IF(COUNTIF(K146:R146,"F")&gt;0,"",CONCATENATE('Statement of Marks'!GU147,'Statement of Marks'!GW147))</f>
        <v xml:space="preserve">           </v>
      </c>
      <c r="T146" s="289">
        <f t="shared" si="36"/>
        <v>0</v>
      </c>
      <c r="U146" s="16"/>
      <c r="V146" s="297" t="str">
        <f t="shared" si="37"/>
        <v/>
      </c>
      <c r="W146" s="297" t="str">
        <f t="shared" si="38"/>
        <v/>
      </c>
      <c r="X146" s="16"/>
      <c r="Y146" s="297" t="str">
        <f t="shared" si="39"/>
        <v/>
      </c>
      <c r="Z146" s="297" t="str">
        <f t="shared" si="40"/>
        <v/>
      </c>
      <c r="AA146" s="16"/>
      <c r="AB146" s="297" t="str">
        <f t="shared" si="41"/>
        <v/>
      </c>
      <c r="AC146" s="298" t="str">
        <f t="shared" si="42"/>
        <v/>
      </c>
      <c r="AD146" s="16"/>
      <c r="AE146" s="297" t="str">
        <f t="shared" si="43"/>
        <v/>
      </c>
      <c r="AF146" s="298" t="str">
        <f t="shared" si="44"/>
        <v/>
      </c>
      <c r="AG146" s="16"/>
      <c r="AH146" s="297" t="str">
        <f t="shared" si="45"/>
        <v/>
      </c>
      <c r="AI146" s="298" t="str">
        <f t="shared" si="46"/>
        <v/>
      </c>
      <c r="AJ146" s="16"/>
      <c r="AK146" s="298" t="str">
        <f t="shared" si="47"/>
        <v/>
      </c>
      <c r="AL146" s="298" t="str">
        <f t="shared" si="48"/>
        <v/>
      </c>
      <c r="AM146" s="16"/>
      <c r="AN146" s="297" t="str">
        <f t="shared" si="49"/>
        <v/>
      </c>
      <c r="AO146" s="16"/>
      <c r="AP146" s="297" t="str">
        <f t="shared" si="50"/>
        <v/>
      </c>
      <c r="AQ146" s="299">
        <f t="shared" si="51"/>
        <v>0</v>
      </c>
      <c r="AR146" s="299">
        <f t="shared" si="52"/>
        <v>0</v>
      </c>
      <c r="AS146" s="300" t="str">
        <f t="shared" si="53"/>
        <v/>
      </c>
      <c r="AT146" s="301" t="str">
        <f>IF(COUNTIF(K146:R146,"F")&gt;0,"",IF(AS146="PASS",'Statement of Marks'!HF147,""))</f>
        <v/>
      </c>
      <c r="AU146" s="301" t="str">
        <f>IF(AS146="PASS",'Statement of Marks'!HG147,"")</f>
        <v/>
      </c>
    </row>
    <row r="147" spans="1:47">
      <c r="A147" s="284">
        <f>IF('Statement of Marks'!A148="","",'Statement of Marks'!A148)</f>
        <v>141</v>
      </c>
      <c r="B147" s="284" t="str">
        <f>IF('Statement of Marks'!B148="","",'Statement of Marks'!B148)</f>
        <v/>
      </c>
      <c r="C147" s="284" t="str">
        <f>IF('Statement of Marks'!C148="","",'Statement of Marks'!C148)</f>
        <v/>
      </c>
      <c r="D147" s="285" t="str">
        <f>IF('Statement of Marks'!D148="","",'Statement of Marks'!D148)</f>
        <v/>
      </c>
      <c r="E147" s="286" t="str">
        <f>IF('Statement of Marks'!E148="","",'Statement of Marks'!E148)</f>
        <v/>
      </c>
      <c r="F147" s="286" t="str">
        <f>IF('Statement of Marks'!F148="","",'Statement of Marks'!F148)</f>
        <v/>
      </c>
      <c r="G147" s="286" t="str">
        <f>IF('Statement of Marks'!G148="","",'Statement of Marks'!G148)</f>
        <v/>
      </c>
      <c r="H147" s="287" t="str">
        <f>IF('Statement of Marks'!GY148="","",'Statement of Marks'!GY148)</f>
        <v/>
      </c>
      <c r="I147" s="287" t="str">
        <f>IF('Statement of Marks'!HB148="","",'Statement of Marks'!HB148)</f>
        <v/>
      </c>
      <c r="J147" s="288" t="str">
        <f>IF('Statement of Marks'!HC148="","",'Statement of Marks'!HC148)</f>
        <v/>
      </c>
      <c r="K147" s="296" t="str">
        <f>IF(B147="","",'Statement of Marks'!FJ148)</f>
        <v/>
      </c>
      <c r="L147" s="296" t="str">
        <f>IF(B147="","",'Statement of Marks'!FM148)</f>
        <v/>
      </c>
      <c r="M147" s="296" t="str">
        <f>IF(B147="","",'Statement of Marks'!FP148)</f>
        <v/>
      </c>
      <c r="N147" s="296" t="str">
        <f>IF(B147="","",'Statement of Marks'!FW148)</f>
        <v/>
      </c>
      <c r="O147" s="296" t="str">
        <f>IF(B147="","",'Statement of Marks'!GD148)</f>
        <v/>
      </c>
      <c r="P147" s="296" t="str">
        <f>IF(B147="","",'Statement of Marks'!GK148)</f>
        <v/>
      </c>
      <c r="Q147" s="296" t="str">
        <f>IF(B147="","",'Statement of Marks'!GR148)</f>
        <v/>
      </c>
      <c r="R147" s="296" t="str">
        <f>IF(B147="","",'Statement of Marks'!GS148)</f>
        <v/>
      </c>
      <c r="S147" s="288" t="str">
        <f>IF(COUNTIF(K147:R147,"F")&gt;0,"",CONCATENATE('Statement of Marks'!GU148,'Statement of Marks'!GW148))</f>
        <v xml:space="preserve">           </v>
      </c>
      <c r="T147" s="289">
        <f t="shared" si="36"/>
        <v>0</v>
      </c>
      <c r="U147" s="16"/>
      <c r="V147" s="297" t="str">
        <f t="shared" si="37"/>
        <v/>
      </c>
      <c r="W147" s="297" t="str">
        <f t="shared" si="38"/>
        <v/>
      </c>
      <c r="X147" s="16"/>
      <c r="Y147" s="297" t="str">
        <f t="shared" si="39"/>
        <v/>
      </c>
      <c r="Z147" s="297" t="str">
        <f t="shared" si="40"/>
        <v/>
      </c>
      <c r="AA147" s="16"/>
      <c r="AB147" s="297" t="str">
        <f t="shared" si="41"/>
        <v/>
      </c>
      <c r="AC147" s="298" t="str">
        <f t="shared" si="42"/>
        <v/>
      </c>
      <c r="AD147" s="16"/>
      <c r="AE147" s="297" t="str">
        <f t="shared" si="43"/>
        <v/>
      </c>
      <c r="AF147" s="298" t="str">
        <f t="shared" si="44"/>
        <v/>
      </c>
      <c r="AG147" s="16"/>
      <c r="AH147" s="297" t="str">
        <f t="shared" si="45"/>
        <v/>
      </c>
      <c r="AI147" s="298" t="str">
        <f t="shared" si="46"/>
        <v/>
      </c>
      <c r="AJ147" s="16"/>
      <c r="AK147" s="298" t="str">
        <f t="shared" si="47"/>
        <v/>
      </c>
      <c r="AL147" s="298" t="str">
        <f t="shared" si="48"/>
        <v/>
      </c>
      <c r="AM147" s="16"/>
      <c r="AN147" s="297" t="str">
        <f t="shared" si="49"/>
        <v/>
      </c>
      <c r="AO147" s="16"/>
      <c r="AP147" s="297" t="str">
        <f t="shared" si="50"/>
        <v/>
      </c>
      <c r="AQ147" s="299">
        <f t="shared" si="51"/>
        <v>0</v>
      </c>
      <c r="AR147" s="299">
        <f t="shared" si="52"/>
        <v>0</v>
      </c>
      <c r="AS147" s="300" t="str">
        <f t="shared" si="53"/>
        <v/>
      </c>
      <c r="AT147" s="301" t="str">
        <f>IF(COUNTIF(K147:R147,"F")&gt;0,"",IF(AS147="PASS",'Statement of Marks'!HF148,""))</f>
        <v/>
      </c>
      <c r="AU147" s="301" t="str">
        <f>IF(AS147="PASS",'Statement of Marks'!HG148,"")</f>
        <v/>
      </c>
    </row>
    <row r="148" spans="1:47">
      <c r="A148" s="284">
        <f>IF('Statement of Marks'!A149="","",'Statement of Marks'!A149)</f>
        <v>142</v>
      </c>
      <c r="B148" s="284" t="str">
        <f>IF('Statement of Marks'!B149="","",'Statement of Marks'!B149)</f>
        <v/>
      </c>
      <c r="C148" s="284" t="str">
        <f>IF('Statement of Marks'!C149="","",'Statement of Marks'!C149)</f>
        <v/>
      </c>
      <c r="D148" s="285" t="str">
        <f>IF('Statement of Marks'!D149="","",'Statement of Marks'!D149)</f>
        <v/>
      </c>
      <c r="E148" s="286" t="str">
        <f>IF('Statement of Marks'!E149="","",'Statement of Marks'!E149)</f>
        <v/>
      </c>
      <c r="F148" s="286" t="str">
        <f>IF('Statement of Marks'!F149="","",'Statement of Marks'!F149)</f>
        <v/>
      </c>
      <c r="G148" s="286" t="str">
        <f>IF('Statement of Marks'!G149="","",'Statement of Marks'!G149)</f>
        <v/>
      </c>
      <c r="H148" s="287" t="str">
        <f>IF('Statement of Marks'!GY149="","",'Statement of Marks'!GY149)</f>
        <v/>
      </c>
      <c r="I148" s="287" t="str">
        <f>IF('Statement of Marks'!HB149="","",'Statement of Marks'!HB149)</f>
        <v/>
      </c>
      <c r="J148" s="288" t="str">
        <f>IF('Statement of Marks'!HC149="","",'Statement of Marks'!HC149)</f>
        <v/>
      </c>
      <c r="K148" s="296" t="str">
        <f>IF(B148="","",'Statement of Marks'!FJ149)</f>
        <v/>
      </c>
      <c r="L148" s="296" t="str">
        <f>IF(B148="","",'Statement of Marks'!FM149)</f>
        <v/>
      </c>
      <c r="M148" s="296" t="str">
        <f>IF(B148="","",'Statement of Marks'!FP149)</f>
        <v/>
      </c>
      <c r="N148" s="296" t="str">
        <f>IF(B148="","",'Statement of Marks'!FW149)</f>
        <v/>
      </c>
      <c r="O148" s="296" t="str">
        <f>IF(B148="","",'Statement of Marks'!GD149)</f>
        <v/>
      </c>
      <c r="P148" s="296" t="str">
        <f>IF(B148="","",'Statement of Marks'!GK149)</f>
        <v/>
      </c>
      <c r="Q148" s="296" t="str">
        <f>IF(B148="","",'Statement of Marks'!GR149)</f>
        <v/>
      </c>
      <c r="R148" s="296" t="str">
        <f>IF(B148="","",'Statement of Marks'!GS149)</f>
        <v/>
      </c>
      <c r="S148" s="288" t="str">
        <f>IF(COUNTIF(K148:R148,"F")&gt;0,"",CONCATENATE('Statement of Marks'!GU149,'Statement of Marks'!GW149))</f>
        <v xml:space="preserve">           </v>
      </c>
      <c r="T148" s="289">
        <f t="shared" si="36"/>
        <v>0</v>
      </c>
      <c r="U148" s="16"/>
      <c r="V148" s="297" t="str">
        <f t="shared" si="37"/>
        <v/>
      </c>
      <c r="W148" s="297" t="str">
        <f t="shared" si="38"/>
        <v/>
      </c>
      <c r="X148" s="16"/>
      <c r="Y148" s="297" t="str">
        <f t="shared" si="39"/>
        <v/>
      </c>
      <c r="Z148" s="297" t="str">
        <f t="shared" si="40"/>
        <v/>
      </c>
      <c r="AA148" s="16"/>
      <c r="AB148" s="297" t="str">
        <f t="shared" si="41"/>
        <v/>
      </c>
      <c r="AC148" s="298" t="str">
        <f t="shared" si="42"/>
        <v/>
      </c>
      <c r="AD148" s="16"/>
      <c r="AE148" s="297" t="str">
        <f t="shared" si="43"/>
        <v/>
      </c>
      <c r="AF148" s="298" t="str">
        <f t="shared" si="44"/>
        <v/>
      </c>
      <c r="AG148" s="16"/>
      <c r="AH148" s="297" t="str">
        <f t="shared" si="45"/>
        <v/>
      </c>
      <c r="AI148" s="298" t="str">
        <f t="shared" si="46"/>
        <v/>
      </c>
      <c r="AJ148" s="16"/>
      <c r="AK148" s="298" t="str">
        <f t="shared" si="47"/>
        <v/>
      </c>
      <c r="AL148" s="298" t="str">
        <f t="shared" si="48"/>
        <v/>
      </c>
      <c r="AM148" s="16"/>
      <c r="AN148" s="297" t="str">
        <f t="shared" si="49"/>
        <v/>
      </c>
      <c r="AO148" s="16"/>
      <c r="AP148" s="297" t="str">
        <f t="shared" si="50"/>
        <v/>
      </c>
      <c r="AQ148" s="299">
        <f t="shared" si="51"/>
        <v>0</v>
      </c>
      <c r="AR148" s="299">
        <f t="shared" si="52"/>
        <v>0</v>
      </c>
      <c r="AS148" s="300" t="str">
        <f t="shared" si="53"/>
        <v/>
      </c>
      <c r="AT148" s="301" t="str">
        <f>IF(COUNTIF(K148:R148,"F")&gt;0,"",IF(AS148="PASS",'Statement of Marks'!HF149,""))</f>
        <v/>
      </c>
      <c r="AU148" s="301" t="str">
        <f>IF(AS148="PASS",'Statement of Marks'!HG149,"")</f>
        <v/>
      </c>
    </row>
    <row r="149" spans="1:47">
      <c r="A149" s="284">
        <f>IF('Statement of Marks'!A150="","",'Statement of Marks'!A150)</f>
        <v>143</v>
      </c>
      <c r="B149" s="284" t="str">
        <f>IF('Statement of Marks'!B150="","",'Statement of Marks'!B150)</f>
        <v/>
      </c>
      <c r="C149" s="284" t="str">
        <f>IF('Statement of Marks'!C150="","",'Statement of Marks'!C150)</f>
        <v/>
      </c>
      <c r="D149" s="285" t="str">
        <f>IF('Statement of Marks'!D150="","",'Statement of Marks'!D150)</f>
        <v/>
      </c>
      <c r="E149" s="286" t="str">
        <f>IF('Statement of Marks'!E150="","",'Statement of Marks'!E150)</f>
        <v/>
      </c>
      <c r="F149" s="286" t="str">
        <f>IF('Statement of Marks'!F150="","",'Statement of Marks'!F150)</f>
        <v/>
      </c>
      <c r="G149" s="286" t="str">
        <f>IF('Statement of Marks'!G150="","",'Statement of Marks'!G150)</f>
        <v/>
      </c>
      <c r="H149" s="287" t="str">
        <f>IF('Statement of Marks'!GY150="","",'Statement of Marks'!GY150)</f>
        <v/>
      </c>
      <c r="I149" s="287" t="str">
        <f>IF('Statement of Marks'!HB150="","",'Statement of Marks'!HB150)</f>
        <v/>
      </c>
      <c r="J149" s="288" t="str">
        <f>IF('Statement of Marks'!HC150="","",'Statement of Marks'!HC150)</f>
        <v/>
      </c>
      <c r="K149" s="296" t="str">
        <f>IF(B149="","",'Statement of Marks'!FJ150)</f>
        <v/>
      </c>
      <c r="L149" s="296" t="str">
        <f>IF(B149="","",'Statement of Marks'!FM150)</f>
        <v/>
      </c>
      <c r="M149" s="296" t="str">
        <f>IF(B149="","",'Statement of Marks'!FP150)</f>
        <v/>
      </c>
      <c r="N149" s="296" t="str">
        <f>IF(B149="","",'Statement of Marks'!FW150)</f>
        <v/>
      </c>
      <c r="O149" s="296" t="str">
        <f>IF(B149="","",'Statement of Marks'!GD150)</f>
        <v/>
      </c>
      <c r="P149" s="296" t="str">
        <f>IF(B149="","",'Statement of Marks'!GK150)</f>
        <v/>
      </c>
      <c r="Q149" s="296" t="str">
        <f>IF(B149="","",'Statement of Marks'!GR150)</f>
        <v/>
      </c>
      <c r="R149" s="296" t="str">
        <f>IF(B149="","",'Statement of Marks'!GS150)</f>
        <v/>
      </c>
      <c r="S149" s="288" t="str">
        <f>IF(COUNTIF(K149:R149,"F")&gt;0,"",CONCATENATE('Statement of Marks'!GU150,'Statement of Marks'!GW150))</f>
        <v xml:space="preserve">           </v>
      </c>
      <c r="T149" s="289">
        <f t="shared" si="36"/>
        <v>0</v>
      </c>
      <c r="U149" s="16"/>
      <c r="V149" s="297" t="str">
        <f t="shared" si="37"/>
        <v/>
      </c>
      <c r="W149" s="297" t="str">
        <f t="shared" si="38"/>
        <v/>
      </c>
      <c r="X149" s="16"/>
      <c r="Y149" s="297" t="str">
        <f t="shared" si="39"/>
        <v/>
      </c>
      <c r="Z149" s="297" t="str">
        <f t="shared" si="40"/>
        <v/>
      </c>
      <c r="AA149" s="16"/>
      <c r="AB149" s="297" t="str">
        <f t="shared" si="41"/>
        <v/>
      </c>
      <c r="AC149" s="298" t="str">
        <f t="shared" si="42"/>
        <v/>
      </c>
      <c r="AD149" s="16"/>
      <c r="AE149" s="297" t="str">
        <f t="shared" si="43"/>
        <v/>
      </c>
      <c r="AF149" s="298" t="str">
        <f t="shared" si="44"/>
        <v/>
      </c>
      <c r="AG149" s="16"/>
      <c r="AH149" s="297" t="str">
        <f t="shared" si="45"/>
        <v/>
      </c>
      <c r="AI149" s="298" t="str">
        <f t="shared" si="46"/>
        <v/>
      </c>
      <c r="AJ149" s="16"/>
      <c r="AK149" s="298" t="str">
        <f t="shared" si="47"/>
        <v/>
      </c>
      <c r="AL149" s="298" t="str">
        <f t="shared" si="48"/>
        <v/>
      </c>
      <c r="AM149" s="16"/>
      <c r="AN149" s="297" t="str">
        <f t="shared" si="49"/>
        <v/>
      </c>
      <c r="AO149" s="16"/>
      <c r="AP149" s="297" t="str">
        <f t="shared" si="50"/>
        <v/>
      </c>
      <c r="AQ149" s="299">
        <f t="shared" si="51"/>
        <v>0</v>
      </c>
      <c r="AR149" s="299">
        <f t="shared" si="52"/>
        <v>0</v>
      </c>
      <c r="AS149" s="300" t="str">
        <f t="shared" si="53"/>
        <v/>
      </c>
      <c r="AT149" s="301" t="str">
        <f>IF(COUNTIF(K149:R149,"F")&gt;0,"",IF(AS149="PASS",'Statement of Marks'!HF150,""))</f>
        <v/>
      </c>
      <c r="AU149" s="301" t="str">
        <f>IF(AS149="PASS",'Statement of Marks'!HG150,"")</f>
        <v/>
      </c>
    </row>
    <row r="150" spans="1:47">
      <c r="A150" s="284">
        <f>IF('Statement of Marks'!A151="","",'Statement of Marks'!A151)</f>
        <v>144</v>
      </c>
      <c r="B150" s="284" t="str">
        <f>IF('Statement of Marks'!B151="","",'Statement of Marks'!B151)</f>
        <v/>
      </c>
      <c r="C150" s="284" t="str">
        <f>IF('Statement of Marks'!C151="","",'Statement of Marks'!C151)</f>
        <v/>
      </c>
      <c r="D150" s="285" t="str">
        <f>IF('Statement of Marks'!D151="","",'Statement of Marks'!D151)</f>
        <v/>
      </c>
      <c r="E150" s="286" t="str">
        <f>IF('Statement of Marks'!E151="","",'Statement of Marks'!E151)</f>
        <v/>
      </c>
      <c r="F150" s="286" t="str">
        <f>IF('Statement of Marks'!F151="","",'Statement of Marks'!F151)</f>
        <v/>
      </c>
      <c r="G150" s="286" t="str">
        <f>IF('Statement of Marks'!G151="","",'Statement of Marks'!G151)</f>
        <v/>
      </c>
      <c r="H150" s="287" t="str">
        <f>IF('Statement of Marks'!GY151="","",'Statement of Marks'!GY151)</f>
        <v/>
      </c>
      <c r="I150" s="287" t="str">
        <f>IF('Statement of Marks'!HB151="","",'Statement of Marks'!HB151)</f>
        <v/>
      </c>
      <c r="J150" s="288" t="str">
        <f>IF('Statement of Marks'!HC151="","",'Statement of Marks'!HC151)</f>
        <v/>
      </c>
      <c r="K150" s="296" t="str">
        <f>IF(B150="","",'Statement of Marks'!FJ151)</f>
        <v/>
      </c>
      <c r="L150" s="296" t="str">
        <f>IF(B150="","",'Statement of Marks'!FM151)</f>
        <v/>
      </c>
      <c r="M150" s="296" t="str">
        <f>IF(B150="","",'Statement of Marks'!FP151)</f>
        <v/>
      </c>
      <c r="N150" s="296" t="str">
        <f>IF(B150="","",'Statement of Marks'!FW151)</f>
        <v/>
      </c>
      <c r="O150" s="296" t="str">
        <f>IF(B150="","",'Statement of Marks'!GD151)</f>
        <v/>
      </c>
      <c r="P150" s="296" t="str">
        <f>IF(B150="","",'Statement of Marks'!GK151)</f>
        <v/>
      </c>
      <c r="Q150" s="296" t="str">
        <f>IF(B150="","",'Statement of Marks'!GR151)</f>
        <v/>
      </c>
      <c r="R150" s="296" t="str">
        <f>IF(B150="","",'Statement of Marks'!GS151)</f>
        <v/>
      </c>
      <c r="S150" s="288" t="str">
        <f>IF(COUNTIF(K150:R150,"F")&gt;0,"",CONCATENATE('Statement of Marks'!GU151,'Statement of Marks'!GW151))</f>
        <v xml:space="preserve">           </v>
      </c>
      <c r="T150" s="289">
        <f t="shared" si="36"/>
        <v>0</v>
      </c>
      <c r="U150" s="16"/>
      <c r="V150" s="297" t="str">
        <f t="shared" si="37"/>
        <v/>
      </c>
      <c r="W150" s="297" t="str">
        <f t="shared" si="38"/>
        <v/>
      </c>
      <c r="X150" s="16"/>
      <c r="Y150" s="297" t="str">
        <f t="shared" si="39"/>
        <v/>
      </c>
      <c r="Z150" s="297" t="str">
        <f t="shared" si="40"/>
        <v/>
      </c>
      <c r="AA150" s="16"/>
      <c r="AB150" s="297" t="str">
        <f t="shared" si="41"/>
        <v/>
      </c>
      <c r="AC150" s="298" t="str">
        <f t="shared" si="42"/>
        <v/>
      </c>
      <c r="AD150" s="16"/>
      <c r="AE150" s="297" t="str">
        <f t="shared" si="43"/>
        <v/>
      </c>
      <c r="AF150" s="298" t="str">
        <f t="shared" si="44"/>
        <v/>
      </c>
      <c r="AG150" s="16"/>
      <c r="AH150" s="297" t="str">
        <f t="shared" si="45"/>
        <v/>
      </c>
      <c r="AI150" s="298" t="str">
        <f t="shared" si="46"/>
        <v/>
      </c>
      <c r="AJ150" s="16"/>
      <c r="AK150" s="298" t="str">
        <f t="shared" si="47"/>
        <v/>
      </c>
      <c r="AL150" s="298" t="str">
        <f t="shared" si="48"/>
        <v/>
      </c>
      <c r="AM150" s="16"/>
      <c r="AN150" s="297" t="str">
        <f t="shared" si="49"/>
        <v/>
      </c>
      <c r="AO150" s="16"/>
      <c r="AP150" s="297" t="str">
        <f t="shared" si="50"/>
        <v/>
      </c>
      <c r="AQ150" s="299">
        <f t="shared" si="51"/>
        <v>0</v>
      </c>
      <c r="AR150" s="299">
        <f t="shared" si="52"/>
        <v>0</v>
      </c>
      <c r="AS150" s="300" t="str">
        <f t="shared" si="53"/>
        <v/>
      </c>
      <c r="AT150" s="301" t="str">
        <f>IF(COUNTIF(K150:R150,"F")&gt;0,"",IF(AS150="PASS",'Statement of Marks'!HF151,""))</f>
        <v/>
      </c>
      <c r="AU150" s="301" t="str">
        <f>IF(AS150="PASS",'Statement of Marks'!HG151,"")</f>
        <v/>
      </c>
    </row>
    <row r="151" spans="1:47">
      <c r="A151" s="284">
        <f>IF('Statement of Marks'!A152="","",'Statement of Marks'!A152)</f>
        <v>145</v>
      </c>
      <c r="B151" s="284" t="str">
        <f>IF('Statement of Marks'!B152="","",'Statement of Marks'!B152)</f>
        <v/>
      </c>
      <c r="C151" s="284" t="str">
        <f>IF('Statement of Marks'!C152="","",'Statement of Marks'!C152)</f>
        <v/>
      </c>
      <c r="D151" s="285" t="str">
        <f>IF('Statement of Marks'!D152="","",'Statement of Marks'!D152)</f>
        <v/>
      </c>
      <c r="E151" s="286" t="str">
        <f>IF('Statement of Marks'!E152="","",'Statement of Marks'!E152)</f>
        <v/>
      </c>
      <c r="F151" s="286" t="str">
        <f>IF('Statement of Marks'!F152="","",'Statement of Marks'!F152)</f>
        <v/>
      </c>
      <c r="G151" s="286" t="str">
        <f>IF('Statement of Marks'!G152="","",'Statement of Marks'!G152)</f>
        <v/>
      </c>
      <c r="H151" s="287" t="str">
        <f>IF('Statement of Marks'!GY152="","",'Statement of Marks'!GY152)</f>
        <v/>
      </c>
      <c r="I151" s="287" t="str">
        <f>IF('Statement of Marks'!HB152="","",'Statement of Marks'!HB152)</f>
        <v/>
      </c>
      <c r="J151" s="288" t="str">
        <f>IF('Statement of Marks'!HC152="","",'Statement of Marks'!HC152)</f>
        <v/>
      </c>
      <c r="K151" s="296" t="str">
        <f>IF(B151="","",'Statement of Marks'!FJ152)</f>
        <v/>
      </c>
      <c r="L151" s="296" t="str">
        <f>IF(B151="","",'Statement of Marks'!FM152)</f>
        <v/>
      </c>
      <c r="M151" s="296" t="str">
        <f>IF(B151="","",'Statement of Marks'!FP152)</f>
        <v/>
      </c>
      <c r="N151" s="296" t="str">
        <f>IF(B151="","",'Statement of Marks'!FW152)</f>
        <v/>
      </c>
      <c r="O151" s="296" t="str">
        <f>IF(B151="","",'Statement of Marks'!GD152)</f>
        <v/>
      </c>
      <c r="P151" s="296" t="str">
        <f>IF(B151="","",'Statement of Marks'!GK152)</f>
        <v/>
      </c>
      <c r="Q151" s="296" t="str">
        <f>IF(B151="","",'Statement of Marks'!GR152)</f>
        <v/>
      </c>
      <c r="R151" s="296" t="str">
        <f>IF(B151="","",'Statement of Marks'!GS152)</f>
        <v/>
      </c>
      <c r="S151" s="288" t="str">
        <f>IF(COUNTIF(K151:R151,"F")&gt;0,"",CONCATENATE('Statement of Marks'!GU152,'Statement of Marks'!GW152))</f>
        <v xml:space="preserve">           </v>
      </c>
      <c r="T151" s="289">
        <f t="shared" si="36"/>
        <v>0</v>
      </c>
      <c r="U151" s="16"/>
      <c r="V151" s="297" t="str">
        <f t="shared" si="37"/>
        <v/>
      </c>
      <c r="W151" s="297" t="str">
        <f t="shared" si="38"/>
        <v/>
      </c>
      <c r="X151" s="16"/>
      <c r="Y151" s="297" t="str">
        <f t="shared" si="39"/>
        <v/>
      </c>
      <c r="Z151" s="297" t="str">
        <f t="shared" si="40"/>
        <v/>
      </c>
      <c r="AA151" s="16"/>
      <c r="AB151" s="297" t="str">
        <f t="shared" si="41"/>
        <v/>
      </c>
      <c r="AC151" s="298" t="str">
        <f t="shared" si="42"/>
        <v/>
      </c>
      <c r="AD151" s="16"/>
      <c r="AE151" s="297" t="str">
        <f t="shared" si="43"/>
        <v/>
      </c>
      <c r="AF151" s="298" t="str">
        <f t="shared" si="44"/>
        <v/>
      </c>
      <c r="AG151" s="16"/>
      <c r="AH151" s="297" t="str">
        <f t="shared" si="45"/>
        <v/>
      </c>
      <c r="AI151" s="298" t="str">
        <f t="shared" si="46"/>
        <v/>
      </c>
      <c r="AJ151" s="16"/>
      <c r="AK151" s="298" t="str">
        <f t="shared" si="47"/>
        <v/>
      </c>
      <c r="AL151" s="298" t="str">
        <f t="shared" si="48"/>
        <v/>
      </c>
      <c r="AM151" s="16"/>
      <c r="AN151" s="297" t="str">
        <f t="shared" si="49"/>
        <v/>
      </c>
      <c r="AO151" s="16"/>
      <c r="AP151" s="297" t="str">
        <f t="shared" si="50"/>
        <v/>
      </c>
      <c r="AQ151" s="299">
        <f t="shared" si="51"/>
        <v>0</v>
      </c>
      <c r="AR151" s="299">
        <f t="shared" si="52"/>
        <v>0</v>
      </c>
      <c r="AS151" s="300" t="str">
        <f t="shared" si="53"/>
        <v/>
      </c>
      <c r="AT151" s="301" t="str">
        <f>IF(COUNTIF(K151:R151,"F")&gt;0,"",IF(AS151="PASS",'Statement of Marks'!HF152,""))</f>
        <v/>
      </c>
      <c r="AU151" s="301" t="str">
        <f>IF(AS151="PASS",'Statement of Marks'!HG152,"")</f>
        <v/>
      </c>
    </row>
    <row r="152" spans="1:47">
      <c r="A152" s="284">
        <f>IF('Statement of Marks'!A153="","",'Statement of Marks'!A153)</f>
        <v>146</v>
      </c>
      <c r="B152" s="284" t="str">
        <f>IF('Statement of Marks'!B153="","",'Statement of Marks'!B153)</f>
        <v/>
      </c>
      <c r="C152" s="284" t="str">
        <f>IF('Statement of Marks'!C153="","",'Statement of Marks'!C153)</f>
        <v/>
      </c>
      <c r="D152" s="285" t="str">
        <f>IF('Statement of Marks'!D153="","",'Statement of Marks'!D153)</f>
        <v/>
      </c>
      <c r="E152" s="286" t="str">
        <f>IF('Statement of Marks'!E153="","",'Statement of Marks'!E153)</f>
        <v/>
      </c>
      <c r="F152" s="286" t="str">
        <f>IF('Statement of Marks'!F153="","",'Statement of Marks'!F153)</f>
        <v/>
      </c>
      <c r="G152" s="286" t="str">
        <f>IF('Statement of Marks'!G153="","",'Statement of Marks'!G153)</f>
        <v/>
      </c>
      <c r="H152" s="287" t="str">
        <f>IF('Statement of Marks'!GY153="","",'Statement of Marks'!GY153)</f>
        <v/>
      </c>
      <c r="I152" s="287" t="str">
        <f>IF('Statement of Marks'!HB153="","",'Statement of Marks'!HB153)</f>
        <v/>
      </c>
      <c r="J152" s="288" t="str">
        <f>IF('Statement of Marks'!HC153="","",'Statement of Marks'!HC153)</f>
        <v/>
      </c>
      <c r="K152" s="296" t="str">
        <f>IF(B152="","",'Statement of Marks'!FJ153)</f>
        <v/>
      </c>
      <c r="L152" s="296" t="str">
        <f>IF(B152="","",'Statement of Marks'!FM153)</f>
        <v/>
      </c>
      <c r="M152" s="296" t="str">
        <f>IF(B152="","",'Statement of Marks'!FP153)</f>
        <v/>
      </c>
      <c r="N152" s="296" t="str">
        <f>IF(B152="","",'Statement of Marks'!FW153)</f>
        <v/>
      </c>
      <c r="O152" s="296" t="str">
        <f>IF(B152="","",'Statement of Marks'!GD153)</f>
        <v/>
      </c>
      <c r="P152" s="296" t="str">
        <f>IF(B152="","",'Statement of Marks'!GK153)</f>
        <v/>
      </c>
      <c r="Q152" s="296" t="str">
        <f>IF(B152="","",'Statement of Marks'!GR153)</f>
        <v/>
      </c>
      <c r="R152" s="296" t="str">
        <f>IF(B152="","",'Statement of Marks'!GS153)</f>
        <v/>
      </c>
      <c r="S152" s="288" t="str">
        <f>IF(COUNTIF(K152:R152,"F")&gt;0,"",CONCATENATE('Statement of Marks'!GU153,'Statement of Marks'!GW153))</f>
        <v xml:space="preserve">           </v>
      </c>
      <c r="T152" s="289">
        <f t="shared" si="36"/>
        <v>0</v>
      </c>
      <c r="U152" s="16"/>
      <c r="V152" s="297" t="str">
        <f t="shared" si="37"/>
        <v/>
      </c>
      <c r="W152" s="297" t="str">
        <f t="shared" si="38"/>
        <v/>
      </c>
      <c r="X152" s="16"/>
      <c r="Y152" s="297" t="str">
        <f t="shared" si="39"/>
        <v/>
      </c>
      <c r="Z152" s="297" t="str">
        <f t="shared" si="40"/>
        <v/>
      </c>
      <c r="AA152" s="16"/>
      <c r="AB152" s="297" t="str">
        <f t="shared" si="41"/>
        <v/>
      </c>
      <c r="AC152" s="298" t="str">
        <f t="shared" si="42"/>
        <v/>
      </c>
      <c r="AD152" s="16"/>
      <c r="AE152" s="297" t="str">
        <f t="shared" si="43"/>
        <v/>
      </c>
      <c r="AF152" s="298" t="str">
        <f t="shared" si="44"/>
        <v/>
      </c>
      <c r="AG152" s="16"/>
      <c r="AH152" s="297" t="str">
        <f t="shared" si="45"/>
        <v/>
      </c>
      <c r="AI152" s="298" t="str">
        <f t="shared" si="46"/>
        <v/>
      </c>
      <c r="AJ152" s="16"/>
      <c r="AK152" s="298" t="str">
        <f t="shared" si="47"/>
        <v/>
      </c>
      <c r="AL152" s="298" t="str">
        <f t="shared" si="48"/>
        <v/>
      </c>
      <c r="AM152" s="16"/>
      <c r="AN152" s="297" t="str">
        <f t="shared" si="49"/>
        <v/>
      </c>
      <c r="AO152" s="16"/>
      <c r="AP152" s="297" t="str">
        <f t="shared" si="50"/>
        <v/>
      </c>
      <c r="AQ152" s="299">
        <f t="shared" si="51"/>
        <v>0</v>
      </c>
      <c r="AR152" s="299">
        <f t="shared" si="52"/>
        <v>0</v>
      </c>
      <c r="AS152" s="300" t="str">
        <f t="shared" si="53"/>
        <v/>
      </c>
      <c r="AT152" s="301" t="str">
        <f>IF(COUNTIF(K152:R152,"F")&gt;0,"",IF(AS152="PASS",'Statement of Marks'!HF153,""))</f>
        <v/>
      </c>
      <c r="AU152" s="301" t="str">
        <f>IF(AS152="PASS",'Statement of Marks'!HG153,"")</f>
        <v/>
      </c>
    </row>
    <row r="153" spans="1:47">
      <c r="A153" s="284">
        <f>IF('Statement of Marks'!A154="","",'Statement of Marks'!A154)</f>
        <v>147</v>
      </c>
      <c r="B153" s="284" t="str">
        <f>IF('Statement of Marks'!B154="","",'Statement of Marks'!B154)</f>
        <v/>
      </c>
      <c r="C153" s="284" t="str">
        <f>IF('Statement of Marks'!C154="","",'Statement of Marks'!C154)</f>
        <v/>
      </c>
      <c r="D153" s="285" t="str">
        <f>IF('Statement of Marks'!D154="","",'Statement of Marks'!D154)</f>
        <v/>
      </c>
      <c r="E153" s="286" t="str">
        <f>IF('Statement of Marks'!E154="","",'Statement of Marks'!E154)</f>
        <v/>
      </c>
      <c r="F153" s="286" t="str">
        <f>IF('Statement of Marks'!F154="","",'Statement of Marks'!F154)</f>
        <v/>
      </c>
      <c r="G153" s="286" t="str">
        <f>IF('Statement of Marks'!G154="","",'Statement of Marks'!G154)</f>
        <v/>
      </c>
      <c r="H153" s="287" t="str">
        <f>IF('Statement of Marks'!GY154="","",'Statement of Marks'!GY154)</f>
        <v/>
      </c>
      <c r="I153" s="287" t="str">
        <f>IF('Statement of Marks'!HB154="","",'Statement of Marks'!HB154)</f>
        <v/>
      </c>
      <c r="J153" s="288" t="str">
        <f>IF('Statement of Marks'!HC154="","",'Statement of Marks'!HC154)</f>
        <v/>
      </c>
      <c r="K153" s="296" t="str">
        <f>IF(B153="","",'Statement of Marks'!FJ154)</f>
        <v/>
      </c>
      <c r="L153" s="296" t="str">
        <f>IF(B153="","",'Statement of Marks'!FM154)</f>
        <v/>
      </c>
      <c r="M153" s="296" t="str">
        <f>IF(B153="","",'Statement of Marks'!FP154)</f>
        <v/>
      </c>
      <c r="N153" s="296" t="str">
        <f>IF(B153="","",'Statement of Marks'!FW154)</f>
        <v/>
      </c>
      <c r="O153" s="296" t="str">
        <f>IF(B153="","",'Statement of Marks'!GD154)</f>
        <v/>
      </c>
      <c r="P153" s="296" t="str">
        <f>IF(B153="","",'Statement of Marks'!GK154)</f>
        <v/>
      </c>
      <c r="Q153" s="296" t="str">
        <f>IF(B153="","",'Statement of Marks'!GR154)</f>
        <v/>
      </c>
      <c r="R153" s="296" t="str">
        <f>IF(B153="","",'Statement of Marks'!GS154)</f>
        <v/>
      </c>
      <c r="S153" s="288" t="str">
        <f>IF(COUNTIF(K153:R153,"F")&gt;0,"",CONCATENATE('Statement of Marks'!GU154,'Statement of Marks'!GW154))</f>
        <v xml:space="preserve">           </v>
      </c>
      <c r="T153" s="289">
        <f t="shared" si="36"/>
        <v>0</v>
      </c>
      <c r="U153" s="16"/>
      <c r="V153" s="297" t="str">
        <f t="shared" si="37"/>
        <v/>
      </c>
      <c r="W153" s="297" t="str">
        <f t="shared" si="38"/>
        <v/>
      </c>
      <c r="X153" s="16"/>
      <c r="Y153" s="297" t="str">
        <f t="shared" si="39"/>
        <v/>
      </c>
      <c r="Z153" s="297" t="str">
        <f t="shared" si="40"/>
        <v/>
      </c>
      <c r="AA153" s="16"/>
      <c r="AB153" s="297" t="str">
        <f t="shared" si="41"/>
        <v/>
      </c>
      <c r="AC153" s="298" t="str">
        <f t="shared" si="42"/>
        <v/>
      </c>
      <c r="AD153" s="16"/>
      <c r="AE153" s="297" t="str">
        <f t="shared" si="43"/>
        <v/>
      </c>
      <c r="AF153" s="298" t="str">
        <f t="shared" si="44"/>
        <v/>
      </c>
      <c r="AG153" s="16"/>
      <c r="AH153" s="297" t="str">
        <f t="shared" si="45"/>
        <v/>
      </c>
      <c r="AI153" s="298" t="str">
        <f t="shared" si="46"/>
        <v/>
      </c>
      <c r="AJ153" s="16"/>
      <c r="AK153" s="298" t="str">
        <f t="shared" si="47"/>
        <v/>
      </c>
      <c r="AL153" s="298" t="str">
        <f t="shared" si="48"/>
        <v/>
      </c>
      <c r="AM153" s="16"/>
      <c r="AN153" s="297" t="str">
        <f t="shared" si="49"/>
        <v/>
      </c>
      <c r="AO153" s="16"/>
      <c r="AP153" s="297" t="str">
        <f t="shared" si="50"/>
        <v/>
      </c>
      <c r="AQ153" s="299">
        <f t="shared" si="51"/>
        <v>0</v>
      </c>
      <c r="AR153" s="299">
        <f t="shared" si="52"/>
        <v>0</v>
      </c>
      <c r="AS153" s="300" t="str">
        <f t="shared" si="53"/>
        <v/>
      </c>
      <c r="AT153" s="301" t="str">
        <f>IF(COUNTIF(K153:R153,"F")&gt;0,"",IF(AS153="PASS",'Statement of Marks'!HF154,""))</f>
        <v/>
      </c>
      <c r="AU153" s="301" t="str">
        <f>IF(AS153="PASS",'Statement of Marks'!HG154,"")</f>
        <v/>
      </c>
    </row>
    <row r="154" spans="1:47">
      <c r="A154" s="284">
        <f>IF('Statement of Marks'!A155="","",'Statement of Marks'!A155)</f>
        <v>148</v>
      </c>
      <c r="B154" s="284" t="str">
        <f>IF('Statement of Marks'!B155="","",'Statement of Marks'!B155)</f>
        <v/>
      </c>
      <c r="C154" s="284" t="str">
        <f>IF('Statement of Marks'!C155="","",'Statement of Marks'!C155)</f>
        <v/>
      </c>
      <c r="D154" s="285" t="str">
        <f>IF('Statement of Marks'!D155="","",'Statement of Marks'!D155)</f>
        <v/>
      </c>
      <c r="E154" s="286" t="str">
        <f>IF('Statement of Marks'!E155="","",'Statement of Marks'!E155)</f>
        <v/>
      </c>
      <c r="F154" s="286" t="str">
        <f>IF('Statement of Marks'!F155="","",'Statement of Marks'!F155)</f>
        <v/>
      </c>
      <c r="G154" s="286" t="str">
        <f>IF('Statement of Marks'!G155="","",'Statement of Marks'!G155)</f>
        <v/>
      </c>
      <c r="H154" s="287" t="str">
        <f>IF('Statement of Marks'!GY155="","",'Statement of Marks'!GY155)</f>
        <v/>
      </c>
      <c r="I154" s="287" t="str">
        <f>IF('Statement of Marks'!HB155="","",'Statement of Marks'!HB155)</f>
        <v/>
      </c>
      <c r="J154" s="288" t="str">
        <f>IF('Statement of Marks'!HC155="","",'Statement of Marks'!HC155)</f>
        <v/>
      </c>
      <c r="K154" s="296" t="str">
        <f>IF(B154="","",'Statement of Marks'!FJ155)</f>
        <v/>
      </c>
      <c r="L154" s="296" t="str">
        <f>IF(B154="","",'Statement of Marks'!FM155)</f>
        <v/>
      </c>
      <c r="M154" s="296" t="str">
        <f>IF(B154="","",'Statement of Marks'!FP155)</f>
        <v/>
      </c>
      <c r="N154" s="296" t="str">
        <f>IF(B154="","",'Statement of Marks'!FW155)</f>
        <v/>
      </c>
      <c r="O154" s="296" t="str">
        <f>IF(B154="","",'Statement of Marks'!GD155)</f>
        <v/>
      </c>
      <c r="P154" s="296" t="str">
        <f>IF(B154="","",'Statement of Marks'!GK155)</f>
        <v/>
      </c>
      <c r="Q154" s="296" t="str">
        <f>IF(B154="","",'Statement of Marks'!GR155)</f>
        <v/>
      </c>
      <c r="R154" s="296" t="str">
        <f>IF(B154="","",'Statement of Marks'!GS155)</f>
        <v/>
      </c>
      <c r="S154" s="288" t="str">
        <f>IF(COUNTIF(K154:R154,"F")&gt;0,"",CONCATENATE('Statement of Marks'!GU155,'Statement of Marks'!GW155))</f>
        <v xml:space="preserve">           </v>
      </c>
      <c r="T154" s="289">
        <f t="shared" si="36"/>
        <v>0</v>
      </c>
      <c r="U154" s="16"/>
      <c r="V154" s="297" t="str">
        <f t="shared" si="37"/>
        <v/>
      </c>
      <c r="W154" s="297" t="str">
        <f t="shared" si="38"/>
        <v/>
      </c>
      <c r="X154" s="16"/>
      <c r="Y154" s="297" t="str">
        <f t="shared" si="39"/>
        <v/>
      </c>
      <c r="Z154" s="297" t="str">
        <f t="shared" si="40"/>
        <v/>
      </c>
      <c r="AA154" s="16"/>
      <c r="AB154" s="297" t="str">
        <f t="shared" si="41"/>
        <v/>
      </c>
      <c r="AC154" s="298" t="str">
        <f t="shared" si="42"/>
        <v/>
      </c>
      <c r="AD154" s="16"/>
      <c r="AE154" s="297" t="str">
        <f t="shared" si="43"/>
        <v/>
      </c>
      <c r="AF154" s="298" t="str">
        <f t="shared" si="44"/>
        <v/>
      </c>
      <c r="AG154" s="16"/>
      <c r="AH154" s="297" t="str">
        <f t="shared" si="45"/>
        <v/>
      </c>
      <c r="AI154" s="298" t="str">
        <f t="shared" si="46"/>
        <v/>
      </c>
      <c r="AJ154" s="16"/>
      <c r="AK154" s="298" t="str">
        <f t="shared" si="47"/>
        <v/>
      </c>
      <c r="AL154" s="298" t="str">
        <f t="shared" si="48"/>
        <v/>
      </c>
      <c r="AM154" s="16"/>
      <c r="AN154" s="297" t="str">
        <f t="shared" si="49"/>
        <v/>
      </c>
      <c r="AO154" s="16"/>
      <c r="AP154" s="297" t="str">
        <f t="shared" si="50"/>
        <v/>
      </c>
      <c r="AQ154" s="299">
        <f t="shared" si="51"/>
        <v>0</v>
      </c>
      <c r="AR154" s="299">
        <f t="shared" si="52"/>
        <v>0</v>
      </c>
      <c r="AS154" s="300" t="str">
        <f t="shared" si="53"/>
        <v/>
      </c>
      <c r="AT154" s="301" t="str">
        <f>IF(COUNTIF(K154:R154,"F")&gt;0,"",IF(AS154="PASS",'Statement of Marks'!HF155,""))</f>
        <v/>
      </c>
      <c r="AU154" s="301" t="str">
        <f>IF(AS154="PASS",'Statement of Marks'!HG155,"")</f>
        <v/>
      </c>
    </row>
    <row r="155" spans="1:47">
      <c r="A155" s="284">
        <f>IF('Statement of Marks'!A156="","",'Statement of Marks'!A156)</f>
        <v>149</v>
      </c>
      <c r="B155" s="284" t="str">
        <f>IF('Statement of Marks'!B156="","",'Statement of Marks'!B156)</f>
        <v/>
      </c>
      <c r="C155" s="284" t="str">
        <f>IF('Statement of Marks'!C156="","",'Statement of Marks'!C156)</f>
        <v/>
      </c>
      <c r="D155" s="285" t="str">
        <f>IF('Statement of Marks'!D156="","",'Statement of Marks'!D156)</f>
        <v/>
      </c>
      <c r="E155" s="286" t="str">
        <f>IF('Statement of Marks'!E156="","",'Statement of Marks'!E156)</f>
        <v/>
      </c>
      <c r="F155" s="286" t="str">
        <f>IF('Statement of Marks'!F156="","",'Statement of Marks'!F156)</f>
        <v/>
      </c>
      <c r="G155" s="286" t="str">
        <f>IF('Statement of Marks'!G156="","",'Statement of Marks'!G156)</f>
        <v/>
      </c>
      <c r="H155" s="287" t="str">
        <f>IF('Statement of Marks'!GY156="","",'Statement of Marks'!GY156)</f>
        <v/>
      </c>
      <c r="I155" s="287" t="str">
        <f>IF('Statement of Marks'!HB156="","",'Statement of Marks'!HB156)</f>
        <v/>
      </c>
      <c r="J155" s="288" t="str">
        <f>IF('Statement of Marks'!HC156="","",'Statement of Marks'!HC156)</f>
        <v/>
      </c>
      <c r="K155" s="296" t="str">
        <f>IF(B155="","",'Statement of Marks'!FJ156)</f>
        <v/>
      </c>
      <c r="L155" s="296" t="str">
        <f>IF(B155="","",'Statement of Marks'!FM156)</f>
        <v/>
      </c>
      <c r="M155" s="296" t="str">
        <f>IF(B155="","",'Statement of Marks'!FP156)</f>
        <v/>
      </c>
      <c r="N155" s="296" t="str">
        <f>IF(B155="","",'Statement of Marks'!FW156)</f>
        <v/>
      </c>
      <c r="O155" s="296" t="str">
        <f>IF(B155="","",'Statement of Marks'!GD156)</f>
        <v/>
      </c>
      <c r="P155" s="296" t="str">
        <f>IF(B155="","",'Statement of Marks'!GK156)</f>
        <v/>
      </c>
      <c r="Q155" s="296" t="str">
        <f>IF(B155="","",'Statement of Marks'!GR156)</f>
        <v/>
      </c>
      <c r="R155" s="296" t="str">
        <f>IF(B155="","",'Statement of Marks'!GS156)</f>
        <v/>
      </c>
      <c r="S155" s="288" t="str">
        <f>IF(COUNTIF(K155:R155,"F")&gt;0,"",CONCATENATE('Statement of Marks'!GU156,'Statement of Marks'!GW156))</f>
        <v xml:space="preserve">           </v>
      </c>
      <c r="T155" s="289">
        <f t="shared" si="36"/>
        <v>0</v>
      </c>
      <c r="U155" s="16"/>
      <c r="V155" s="297" t="str">
        <f t="shared" si="37"/>
        <v/>
      </c>
      <c r="W155" s="297" t="str">
        <f t="shared" si="38"/>
        <v/>
      </c>
      <c r="X155" s="16"/>
      <c r="Y155" s="297" t="str">
        <f t="shared" si="39"/>
        <v/>
      </c>
      <c r="Z155" s="297" t="str">
        <f t="shared" si="40"/>
        <v/>
      </c>
      <c r="AA155" s="16"/>
      <c r="AB155" s="297" t="str">
        <f t="shared" si="41"/>
        <v/>
      </c>
      <c r="AC155" s="298" t="str">
        <f t="shared" si="42"/>
        <v/>
      </c>
      <c r="AD155" s="16"/>
      <c r="AE155" s="297" t="str">
        <f t="shared" si="43"/>
        <v/>
      </c>
      <c r="AF155" s="298" t="str">
        <f t="shared" si="44"/>
        <v/>
      </c>
      <c r="AG155" s="16"/>
      <c r="AH155" s="297" t="str">
        <f t="shared" si="45"/>
        <v/>
      </c>
      <c r="AI155" s="298" t="str">
        <f t="shared" si="46"/>
        <v/>
      </c>
      <c r="AJ155" s="16"/>
      <c r="AK155" s="298" t="str">
        <f t="shared" si="47"/>
        <v/>
      </c>
      <c r="AL155" s="298" t="str">
        <f t="shared" si="48"/>
        <v/>
      </c>
      <c r="AM155" s="16"/>
      <c r="AN155" s="297" t="str">
        <f t="shared" si="49"/>
        <v/>
      </c>
      <c r="AO155" s="16"/>
      <c r="AP155" s="297" t="str">
        <f t="shared" si="50"/>
        <v/>
      </c>
      <c r="AQ155" s="299">
        <f t="shared" si="51"/>
        <v>0</v>
      </c>
      <c r="AR155" s="299">
        <f t="shared" si="52"/>
        <v>0</v>
      </c>
      <c r="AS155" s="300" t="str">
        <f t="shared" si="53"/>
        <v/>
      </c>
      <c r="AT155" s="301" t="str">
        <f>IF(COUNTIF(K155:R155,"F")&gt;0,"",IF(AS155="PASS",'Statement of Marks'!HF156,""))</f>
        <v/>
      </c>
      <c r="AU155" s="301" t="str">
        <f>IF(AS155="PASS",'Statement of Marks'!HG156,"")</f>
        <v/>
      </c>
    </row>
    <row r="156" spans="1:47">
      <c r="A156" s="284">
        <f>IF('Statement of Marks'!A157="","",'Statement of Marks'!A157)</f>
        <v>150</v>
      </c>
      <c r="B156" s="284" t="str">
        <f>IF('Statement of Marks'!B157="","",'Statement of Marks'!B157)</f>
        <v/>
      </c>
      <c r="C156" s="284" t="str">
        <f>IF('Statement of Marks'!C157="","",'Statement of Marks'!C157)</f>
        <v/>
      </c>
      <c r="D156" s="285" t="str">
        <f>IF('Statement of Marks'!D157="","",'Statement of Marks'!D157)</f>
        <v/>
      </c>
      <c r="E156" s="286" t="str">
        <f>IF('Statement of Marks'!E157="","",'Statement of Marks'!E157)</f>
        <v/>
      </c>
      <c r="F156" s="286" t="str">
        <f>IF('Statement of Marks'!F157="","",'Statement of Marks'!F157)</f>
        <v/>
      </c>
      <c r="G156" s="286" t="str">
        <f>IF('Statement of Marks'!G157="","",'Statement of Marks'!G157)</f>
        <v/>
      </c>
      <c r="H156" s="287" t="str">
        <f>IF('Statement of Marks'!GY157="","",'Statement of Marks'!GY157)</f>
        <v/>
      </c>
      <c r="I156" s="287" t="str">
        <f>IF('Statement of Marks'!HB157="","",'Statement of Marks'!HB157)</f>
        <v/>
      </c>
      <c r="J156" s="288" t="str">
        <f>IF('Statement of Marks'!HC157="","",'Statement of Marks'!HC157)</f>
        <v/>
      </c>
      <c r="K156" s="296" t="str">
        <f>IF(B156="","",'Statement of Marks'!FJ157)</f>
        <v/>
      </c>
      <c r="L156" s="296" t="str">
        <f>IF(B156="","",'Statement of Marks'!FM157)</f>
        <v/>
      </c>
      <c r="M156" s="296" t="str">
        <f>IF(B156="","",'Statement of Marks'!FP157)</f>
        <v/>
      </c>
      <c r="N156" s="296" t="str">
        <f>IF(B156="","",'Statement of Marks'!FW157)</f>
        <v/>
      </c>
      <c r="O156" s="296" t="str">
        <f>IF(B156="","",'Statement of Marks'!GD157)</f>
        <v/>
      </c>
      <c r="P156" s="296" t="str">
        <f>IF(B156="","",'Statement of Marks'!GK157)</f>
        <v/>
      </c>
      <c r="Q156" s="296" t="str">
        <f>IF(B156="","",'Statement of Marks'!GR157)</f>
        <v/>
      </c>
      <c r="R156" s="296" t="str">
        <f>IF(B156="","",'Statement of Marks'!GS157)</f>
        <v/>
      </c>
      <c r="S156" s="288" t="str">
        <f>IF(COUNTIF(K156:R156,"F")&gt;0,"",CONCATENATE('Statement of Marks'!GU157,'Statement of Marks'!GW157))</f>
        <v xml:space="preserve">           </v>
      </c>
      <c r="T156" s="289">
        <f t="shared" si="36"/>
        <v>0</v>
      </c>
      <c r="U156" s="16"/>
      <c r="V156" s="297" t="str">
        <f t="shared" si="37"/>
        <v/>
      </c>
      <c r="W156" s="297" t="str">
        <f t="shared" si="38"/>
        <v/>
      </c>
      <c r="X156" s="16"/>
      <c r="Y156" s="297" t="str">
        <f t="shared" si="39"/>
        <v/>
      </c>
      <c r="Z156" s="297" t="str">
        <f t="shared" si="40"/>
        <v/>
      </c>
      <c r="AA156" s="16"/>
      <c r="AB156" s="297" t="str">
        <f t="shared" si="41"/>
        <v/>
      </c>
      <c r="AC156" s="298" t="str">
        <f t="shared" si="42"/>
        <v/>
      </c>
      <c r="AD156" s="16"/>
      <c r="AE156" s="297" t="str">
        <f t="shared" si="43"/>
        <v/>
      </c>
      <c r="AF156" s="298" t="str">
        <f t="shared" si="44"/>
        <v/>
      </c>
      <c r="AG156" s="16"/>
      <c r="AH156" s="297" t="str">
        <f t="shared" si="45"/>
        <v/>
      </c>
      <c r="AI156" s="298" t="str">
        <f t="shared" si="46"/>
        <v/>
      </c>
      <c r="AJ156" s="16"/>
      <c r="AK156" s="298" t="str">
        <f t="shared" si="47"/>
        <v/>
      </c>
      <c r="AL156" s="298" t="str">
        <f t="shared" si="48"/>
        <v/>
      </c>
      <c r="AM156" s="16"/>
      <c r="AN156" s="297" t="str">
        <f t="shared" si="49"/>
        <v/>
      </c>
      <c r="AO156" s="16"/>
      <c r="AP156" s="297" t="str">
        <f t="shared" si="50"/>
        <v/>
      </c>
      <c r="AQ156" s="299">
        <f t="shared" si="51"/>
        <v>0</v>
      </c>
      <c r="AR156" s="299">
        <f t="shared" si="52"/>
        <v>0</v>
      </c>
      <c r="AS156" s="300" t="str">
        <f t="shared" si="53"/>
        <v/>
      </c>
      <c r="AT156" s="301" t="str">
        <f>IF(COUNTIF(K156:R156,"F")&gt;0,"",IF(AS156="PASS",'Statement of Marks'!HF157,""))</f>
        <v/>
      </c>
      <c r="AU156" s="301" t="str">
        <f>IF(AS156="PASS",'Statement of Marks'!HG157,"")</f>
        <v/>
      </c>
    </row>
    <row r="157" spans="1:47">
      <c r="A157" s="284">
        <f>IF('Statement of Marks'!A158="","",'Statement of Marks'!A158)</f>
        <v>151</v>
      </c>
      <c r="B157" s="284" t="str">
        <f>IF('Statement of Marks'!B158="","",'Statement of Marks'!B158)</f>
        <v/>
      </c>
      <c r="C157" s="284" t="str">
        <f>IF('Statement of Marks'!C158="","",'Statement of Marks'!C158)</f>
        <v/>
      </c>
      <c r="D157" s="285" t="str">
        <f>IF('Statement of Marks'!D158="","",'Statement of Marks'!D158)</f>
        <v/>
      </c>
      <c r="E157" s="286" t="str">
        <f>IF('Statement of Marks'!E158="","",'Statement of Marks'!E158)</f>
        <v/>
      </c>
      <c r="F157" s="286" t="str">
        <f>IF('Statement of Marks'!F158="","",'Statement of Marks'!F158)</f>
        <v/>
      </c>
      <c r="G157" s="286" t="str">
        <f>IF('Statement of Marks'!G158="","",'Statement of Marks'!G158)</f>
        <v/>
      </c>
      <c r="H157" s="287" t="str">
        <f>IF('Statement of Marks'!GY158="","",'Statement of Marks'!GY158)</f>
        <v/>
      </c>
      <c r="I157" s="287" t="str">
        <f>IF('Statement of Marks'!HB158="","",'Statement of Marks'!HB158)</f>
        <v/>
      </c>
      <c r="J157" s="288" t="str">
        <f>IF('Statement of Marks'!HC158="","",'Statement of Marks'!HC158)</f>
        <v/>
      </c>
      <c r="K157" s="296" t="str">
        <f>IF(B157="","",'Statement of Marks'!FJ158)</f>
        <v/>
      </c>
      <c r="L157" s="296" t="str">
        <f>IF(B157="","",'Statement of Marks'!FM158)</f>
        <v/>
      </c>
      <c r="M157" s="296" t="str">
        <f>IF(B157="","",'Statement of Marks'!FP158)</f>
        <v/>
      </c>
      <c r="N157" s="296" t="str">
        <f>IF(B157="","",'Statement of Marks'!FW158)</f>
        <v/>
      </c>
      <c r="O157" s="296" t="str">
        <f>IF(B157="","",'Statement of Marks'!GD158)</f>
        <v/>
      </c>
      <c r="P157" s="296" t="str">
        <f>IF(B157="","",'Statement of Marks'!GK158)</f>
        <v/>
      </c>
      <c r="Q157" s="296" t="str">
        <f>IF(B157="","",'Statement of Marks'!GR158)</f>
        <v/>
      </c>
      <c r="R157" s="296" t="str">
        <f>IF(B157="","",'Statement of Marks'!GS158)</f>
        <v/>
      </c>
      <c r="S157" s="288" t="str">
        <f>IF(COUNTIF(K157:R157,"F")&gt;0,"",CONCATENATE('Statement of Marks'!GU158,'Statement of Marks'!GW158))</f>
        <v xml:space="preserve">           </v>
      </c>
      <c r="T157" s="289">
        <f t="shared" si="36"/>
        <v>0</v>
      </c>
      <c r="U157" s="16"/>
      <c r="V157" s="297" t="str">
        <f t="shared" si="37"/>
        <v/>
      </c>
      <c r="W157" s="297" t="str">
        <f t="shared" si="38"/>
        <v/>
      </c>
      <c r="X157" s="16"/>
      <c r="Y157" s="297" t="str">
        <f t="shared" si="39"/>
        <v/>
      </c>
      <c r="Z157" s="297" t="str">
        <f t="shared" si="40"/>
        <v/>
      </c>
      <c r="AA157" s="16"/>
      <c r="AB157" s="297" t="str">
        <f t="shared" si="41"/>
        <v/>
      </c>
      <c r="AC157" s="298" t="str">
        <f t="shared" si="42"/>
        <v/>
      </c>
      <c r="AD157" s="16"/>
      <c r="AE157" s="297" t="str">
        <f t="shared" si="43"/>
        <v/>
      </c>
      <c r="AF157" s="298" t="str">
        <f t="shared" si="44"/>
        <v/>
      </c>
      <c r="AG157" s="16"/>
      <c r="AH157" s="297" t="str">
        <f t="shared" si="45"/>
        <v/>
      </c>
      <c r="AI157" s="298" t="str">
        <f t="shared" si="46"/>
        <v/>
      </c>
      <c r="AJ157" s="16"/>
      <c r="AK157" s="298" t="str">
        <f t="shared" si="47"/>
        <v/>
      </c>
      <c r="AL157" s="298" t="str">
        <f t="shared" si="48"/>
        <v/>
      </c>
      <c r="AM157" s="16"/>
      <c r="AN157" s="297" t="str">
        <f t="shared" si="49"/>
        <v/>
      </c>
      <c r="AO157" s="16"/>
      <c r="AP157" s="297" t="str">
        <f t="shared" si="50"/>
        <v/>
      </c>
      <c r="AQ157" s="299">
        <f t="shared" si="51"/>
        <v>0</v>
      </c>
      <c r="AR157" s="299">
        <f t="shared" si="52"/>
        <v>0</v>
      </c>
      <c r="AS157" s="300" t="str">
        <f t="shared" si="53"/>
        <v/>
      </c>
      <c r="AT157" s="301" t="str">
        <f>IF(COUNTIF(K157:R157,"F")&gt;0,"",IF(AS157="PASS",'Statement of Marks'!HF158,""))</f>
        <v/>
      </c>
      <c r="AU157" s="301" t="str">
        <f>IF(AS157="PASS",'Statement of Marks'!HG158,"")</f>
        <v/>
      </c>
    </row>
    <row r="158" spans="1:47">
      <c r="A158" s="284">
        <f>IF('Statement of Marks'!A159="","",'Statement of Marks'!A159)</f>
        <v>152</v>
      </c>
      <c r="B158" s="284" t="str">
        <f>IF('Statement of Marks'!B159="","",'Statement of Marks'!B159)</f>
        <v/>
      </c>
      <c r="C158" s="284" t="str">
        <f>IF('Statement of Marks'!C159="","",'Statement of Marks'!C159)</f>
        <v/>
      </c>
      <c r="D158" s="285" t="str">
        <f>IF('Statement of Marks'!D159="","",'Statement of Marks'!D159)</f>
        <v/>
      </c>
      <c r="E158" s="286" t="str">
        <f>IF('Statement of Marks'!E159="","",'Statement of Marks'!E159)</f>
        <v/>
      </c>
      <c r="F158" s="286" t="str">
        <f>IF('Statement of Marks'!F159="","",'Statement of Marks'!F159)</f>
        <v/>
      </c>
      <c r="G158" s="286" t="str">
        <f>IF('Statement of Marks'!G159="","",'Statement of Marks'!G159)</f>
        <v/>
      </c>
      <c r="H158" s="287" t="str">
        <f>IF('Statement of Marks'!GY159="","",'Statement of Marks'!GY159)</f>
        <v/>
      </c>
      <c r="I158" s="287" t="str">
        <f>IF('Statement of Marks'!HB159="","",'Statement of Marks'!HB159)</f>
        <v/>
      </c>
      <c r="J158" s="288" t="str">
        <f>IF('Statement of Marks'!HC159="","",'Statement of Marks'!HC159)</f>
        <v/>
      </c>
      <c r="K158" s="296" t="str">
        <f>IF(B158="","",'Statement of Marks'!FJ159)</f>
        <v/>
      </c>
      <c r="L158" s="296" t="str">
        <f>IF(B158="","",'Statement of Marks'!FM159)</f>
        <v/>
      </c>
      <c r="M158" s="296" t="str">
        <f>IF(B158="","",'Statement of Marks'!FP159)</f>
        <v/>
      </c>
      <c r="N158" s="296" t="str">
        <f>IF(B158="","",'Statement of Marks'!FW159)</f>
        <v/>
      </c>
      <c r="O158" s="296" t="str">
        <f>IF(B158="","",'Statement of Marks'!GD159)</f>
        <v/>
      </c>
      <c r="P158" s="296" t="str">
        <f>IF(B158="","",'Statement of Marks'!GK159)</f>
        <v/>
      </c>
      <c r="Q158" s="296" t="str">
        <f>IF(B158="","",'Statement of Marks'!GR159)</f>
        <v/>
      </c>
      <c r="R158" s="296" t="str">
        <f>IF(B158="","",'Statement of Marks'!GS159)</f>
        <v/>
      </c>
      <c r="S158" s="288" t="str">
        <f>IF(COUNTIF(K158:R158,"F")&gt;0,"",CONCATENATE('Statement of Marks'!GU159,'Statement of Marks'!GW159))</f>
        <v xml:space="preserve">           </v>
      </c>
      <c r="T158" s="289">
        <f t="shared" si="36"/>
        <v>0</v>
      </c>
      <c r="U158" s="16"/>
      <c r="V158" s="297" t="str">
        <f t="shared" si="37"/>
        <v/>
      </c>
      <c r="W158" s="297" t="str">
        <f t="shared" si="38"/>
        <v/>
      </c>
      <c r="X158" s="16"/>
      <c r="Y158" s="297" t="str">
        <f t="shared" si="39"/>
        <v/>
      </c>
      <c r="Z158" s="297" t="str">
        <f t="shared" si="40"/>
        <v/>
      </c>
      <c r="AA158" s="16"/>
      <c r="AB158" s="297" t="str">
        <f t="shared" si="41"/>
        <v/>
      </c>
      <c r="AC158" s="298" t="str">
        <f t="shared" si="42"/>
        <v/>
      </c>
      <c r="AD158" s="16"/>
      <c r="AE158" s="297" t="str">
        <f t="shared" si="43"/>
        <v/>
      </c>
      <c r="AF158" s="298" t="str">
        <f t="shared" si="44"/>
        <v/>
      </c>
      <c r="AG158" s="16"/>
      <c r="AH158" s="297" t="str">
        <f t="shared" si="45"/>
        <v/>
      </c>
      <c r="AI158" s="298" t="str">
        <f t="shared" si="46"/>
        <v/>
      </c>
      <c r="AJ158" s="16"/>
      <c r="AK158" s="298" t="str">
        <f t="shared" si="47"/>
        <v/>
      </c>
      <c r="AL158" s="298" t="str">
        <f t="shared" si="48"/>
        <v/>
      </c>
      <c r="AM158" s="16"/>
      <c r="AN158" s="297" t="str">
        <f t="shared" si="49"/>
        <v/>
      </c>
      <c r="AO158" s="16"/>
      <c r="AP158" s="297" t="str">
        <f t="shared" si="50"/>
        <v/>
      </c>
      <c r="AQ158" s="299">
        <f t="shared" si="51"/>
        <v>0</v>
      </c>
      <c r="AR158" s="299">
        <f t="shared" si="52"/>
        <v>0</v>
      </c>
      <c r="AS158" s="300" t="str">
        <f t="shared" si="53"/>
        <v/>
      </c>
      <c r="AT158" s="301" t="str">
        <f>IF(COUNTIF(K158:R158,"F")&gt;0,"",IF(AS158="PASS",'Statement of Marks'!HF159,""))</f>
        <v/>
      </c>
      <c r="AU158" s="301" t="str">
        <f>IF(AS158="PASS",'Statement of Marks'!HG159,"")</f>
        <v/>
      </c>
    </row>
    <row r="159" spans="1:47">
      <c r="A159" s="284">
        <f>IF('Statement of Marks'!A160="","",'Statement of Marks'!A160)</f>
        <v>153</v>
      </c>
      <c r="B159" s="284" t="str">
        <f>IF('Statement of Marks'!B160="","",'Statement of Marks'!B160)</f>
        <v/>
      </c>
      <c r="C159" s="284" t="str">
        <f>IF('Statement of Marks'!C160="","",'Statement of Marks'!C160)</f>
        <v/>
      </c>
      <c r="D159" s="285" t="str">
        <f>IF('Statement of Marks'!D160="","",'Statement of Marks'!D160)</f>
        <v/>
      </c>
      <c r="E159" s="286" t="str">
        <f>IF('Statement of Marks'!E160="","",'Statement of Marks'!E160)</f>
        <v/>
      </c>
      <c r="F159" s="286" t="str">
        <f>IF('Statement of Marks'!F160="","",'Statement of Marks'!F160)</f>
        <v/>
      </c>
      <c r="G159" s="286" t="str">
        <f>IF('Statement of Marks'!G160="","",'Statement of Marks'!G160)</f>
        <v/>
      </c>
      <c r="H159" s="287" t="str">
        <f>IF('Statement of Marks'!GY160="","",'Statement of Marks'!GY160)</f>
        <v/>
      </c>
      <c r="I159" s="287" t="str">
        <f>IF('Statement of Marks'!HB160="","",'Statement of Marks'!HB160)</f>
        <v/>
      </c>
      <c r="J159" s="288" t="str">
        <f>IF('Statement of Marks'!HC160="","",'Statement of Marks'!HC160)</f>
        <v/>
      </c>
      <c r="K159" s="296" t="str">
        <f>IF(B159="","",'Statement of Marks'!FJ160)</f>
        <v/>
      </c>
      <c r="L159" s="296" t="str">
        <f>IF(B159="","",'Statement of Marks'!FM160)</f>
        <v/>
      </c>
      <c r="M159" s="296" t="str">
        <f>IF(B159="","",'Statement of Marks'!FP160)</f>
        <v/>
      </c>
      <c r="N159" s="296" t="str">
        <f>IF(B159="","",'Statement of Marks'!FW160)</f>
        <v/>
      </c>
      <c r="O159" s="296" t="str">
        <f>IF(B159="","",'Statement of Marks'!GD160)</f>
        <v/>
      </c>
      <c r="P159" s="296" t="str">
        <f>IF(B159="","",'Statement of Marks'!GK160)</f>
        <v/>
      </c>
      <c r="Q159" s="296" t="str">
        <f>IF(B159="","",'Statement of Marks'!GR160)</f>
        <v/>
      </c>
      <c r="R159" s="296" t="str">
        <f>IF(B159="","",'Statement of Marks'!GS160)</f>
        <v/>
      </c>
      <c r="S159" s="288" t="str">
        <f>IF(COUNTIF(K159:R159,"F")&gt;0,"",CONCATENATE('Statement of Marks'!GU160,'Statement of Marks'!GW160))</f>
        <v xml:space="preserve">           </v>
      </c>
      <c r="T159" s="289">
        <f t="shared" si="36"/>
        <v>0</v>
      </c>
      <c r="U159" s="16"/>
      <c r="V159" s="297" t="str">
        <f t="shared" si="37"/>
        <v/>
      </c>
      <c r="W159" s="297" t="str">
        <f t="shared" si="38"/>
        <v/>
      </c>
      <c r="X159" s="16"/>
      <c r="Y159" s="297" t="str">
        <f t="shared" si="39"/>
        <v/>
      </c>
      <c r="Z159" s="297" t="str">
        <f t="shared" si="40"/>
        <v/>
      </c>
      <c r="AA159" s="16"/>
      <c r="AB159" s="297" t="str">
        <f t="shared" si="41"/>
        <v/>
      </c>
      <c r="AC159" s="298" t="str">
        <f t="shared" si="42"/>
        <v/>
      </c>
      <c r="AD159" s="16"/>
      <c r="AE159" s="297" t="str">
        <f t="shared" si="43"/>
        <v/>
      </c>
      <c r="AF159" s="298" t="str">
        <f t="shared" si="44"/>
        <v/>
      </c>
      <c r="AG159" s="16"/>
      <c r="AH159" s="297" t="str">
        <f t="shared" si="45"/>
        <v/>
      </c>
      <c r="AI159" s="298" t="str">
        <f t="shared" si="46"/>
        <v/>
      </c>
      <c r="AJ159" s="16"/>
      <c r="AK159" s="298" t="str">
        <f t="shared" si="47"/>
        <v/>
      </c>
      <c r="AL159" s="298" t="str">
        <f t="shared" si="48"/>
        <v/>
      </c>
      <c r="AM159" s="16"/>
      <c r="AN159" s="297" t="str">
        <f t="shared" si="49"/>
        <v/>
      </c>
      <c r="AO159" s="16"/>
      <c r="AP159" s="297" t="str">
        <f t="shared" si="50"/>
        <v/>
      </c>
      <c r="AQ159" s="299">
        <f t="shared" si="51"/>
        <v>0</v>
      </c>
      <c r="AR159" s="299">
        <f t="shared" si="52"/>
        <v>0</v>
      </c>
      <c r="AS159" s="300" t="str">
        <f t="shared" si="53"/>
        <v/>
      </c>
      <c r="AT159" s="301" t="str">
        <f>IF(COUNTIF(K159:R159,"F")&gt;0,"",IF(AS159="PASS",'Statement of Marks'!HF160,""))</f>
        <v/>
      </c>
      <c r="AU159" s="301" t="str">
        <f>IF(AS159="PASS",'Statement of Marks'!HG160,"")</f>
        <v/>
      </c>
    </row>
    <row r="160" spans="1:47">
      <c r="A160" s="284">
        <f>IF('Statement of Marks'!A161="","",'Statement of Marks'!A161)</f>
        <v>154</v>
      </c>
      <c r="B160" s="284" t="str">
        <f>IF('Statement of Marks'!B161="","",'Statement of Marks'!B161)</f>
        <v/>
      </c>
      <c r="C160" s="284" t="str">
        <f>IF('Statement of Marks'!C161="","",'Statement of Marks'!C161)</f>
        <v/>
      </c>
      <c r="D160" s="285" t="str">
        <f>IF('Statement of Marks'!D161="","",'Statement of Marks'!D161)</f>
        <v/>
      </c>
      <c r="E160" s="286" t="str">
        <f>IF('Statement of Marks'!E161="","",'Statement of Marks'!E161)</f>
        <v/>
      </c>
      <c r="F160" s="286" t="str">
        <f>IF('Statement of Marks'!F161="","",'Statement of Marks'!F161)</f>
        <v/>
      </c>
      <c r="G160" s="286" t="str">
        <f>IF('Statement of Marks'!G161="","",'Statement of Marks'!G161)</f>
        <v/>
      </c>
      <c r="H160" s="287" t="str">
        <f>IF('Statement of Marks'!GY161="","",'Statement of Marks'!GY161)</f>
        <v/>
      </c>
      <c r="I160" s="287" t="str">
        <f>IF('Statement of Marks'!HB161="","",'Statement of Marks'!HB161)</f>
        <v/>
      </c>
      <c r="J160" s="288" t="str">
        <f>IF('Statement of Marks'!HC161="","",'Statement of Marks'!HC161)</f>
        <v/>
      </c>
      <c r="K160" s="296" t="str">
        <f>IF(B160="","",'Statement of Marks'!FJ161)</f>
        <v/>
      </c>
      <c r="L160" s="296" t="str">
        <f>IF(B160="","",'Statement of Marks'!FM161)</f>
        <v/>
      </c>
      <c r="M160" s="296" t="str">
        <f>IF(B160="","",'Statement of Marks'!FP161)</f>
        <v/>
      </c>
      <c r="N160" s="296" t="str">
        <f>IF(B160="","",'Statement of Marks'!FW161)</f>
        <v/>
      </c>
      <c r="O160" s="296" t="str">
        <f>IF(B160="","",'Statement of Marks'!GD161)</f>
        <v/>
      </c>
      <c r="P160" s="296" t="str">
        <f>IF(B160="","",'Statement of Marks'!GK161)</f>
        <v/>
      </c>
      <c r="Q160" s="296" t="str">
        <f>IF(B160="","",'Statement of Marks'!GR161)</f>
        <v/>
      </c>
      <c r="R160" s="296" t="str">
        <f>IF(B160="","",'Statement of Marks'!GS161)</f>
        <v/>
      </c>
      <c r="S160" s="288" t="str">
        <f>IF(COUNTIF(K160:R160,"F")&gt;0,"",CONCATENATE('Statement of Marks'!GU161,'Statement of Marks'!GW161))</f>
        <v xml:space="preserve">           </v>
      </c>
      <c r="T160" s="289">
        <f t="shared" si="36"/>
        <v>0</v>
      </c>
      <c r="U160" s="16"/>
      <c r="V160" s="297" t="str">
        <f t="shared" si="37"/>
        <v/>
      </c>
      <c r="W160" s="297" t="str">
        <f t="shared" si="38"/>
        <v/>
      </c>
      <c r="X160" s="16"/>
      <c r="Y160" s="297" t="str">
        <f t="shared" si="39"/>
        <v/>
      </c>
      <c r="Z160" s="297" t="str">
        <f t="shared" si="40"/>
        <v/>
      </c>
      <c r="AA160" s="16"/>
      <c r="AB160" s="297" t="str">
        <f t="shared" si="41"/>
        <v/>
      </c>
      <c r="AC160" s="298" t="str">
        <f t="shared" si="42"/>
        <v/>
      </c>
      <c r="AD160" s="16"/>
      <c r="AE160" s="297" t="str">
        <f t="shared" si="43"/>
        <v/>
      </c>
      <c r="AF160" s="298" t="str">
        <f t="shared" si="44"/>
        <v/>
      </c>
      <c r="AG160" s="16"/>
      <c r="AH160" s="297" t="str">
        <f t="shared" si="45"/>
        <v/>
      </c>
      <c r="AI160" s="298" t="str">
        <f t="shared" si="46"/>
        <v/>
      </c>
      <c r="AJ160" s="16"/>
      <c r="AK160" s="298" t="str">
        <f t="shared" si="47"/>
        <v/>
      </c>
      <c r="AL160" s="298" t="str">
        <f t="shared" si="48"/>
        <v/>
      </c>
      <c r="AM160" s="16"/>
      <c r="AN160" s="297" t="str">
        <f t="shared" si="49"/>
        <v/>
      </c>
      <c r="AO160" s="16"/>
      <c r="AP160" s="297" t="str">
        <f t="shared" si="50"/>
        <v/>
      </c>
      <c r="AQ160" s="299">
        <f t="shared" si="51"/>
        <v>0</v>
      </c>
      <c r="AR160" s="299">
        <f t="shared" si="52"/>
        <v>0</v>
      </c>
      <c r="AS160" s="300" t="str">
        <f t="shared" si="53"/>
        <v/>
      </c>
      <c r="AT160" s="301" t="str">
        <f>IF(COUNTIF(K160:R160,"F")&gt;0,"",IF(AS160="PASS",'Statement of Marks'!HF161,""))</f>
        <v/>
      </c>
      <c r="AU160" s="301" t="str">
        <f>IF(AS160="PASS",'Statement of Marks'!HG161,"")</f>
        <v/>
      </c>
    </row>
    <row r="161" spans="1:47">
      <c r="A161" s="284">
        <f>IF('Statement of Marks'!A162="","",'Statement of Marks'!A162)</f>
        <v>155</v>
      </c>
      <c r="B161" s="284" t="str">
        <f>IF('Statement of Marks'!B162="","",'Statement of Marks'!B162)</f>
        <v/>
      </c>
      <c r="C161" s="284" t="str">
        <f>IF('Statement of Marks'!C162="","",'Statement of Marks'!C162)</f>
        <v/>
      </c>
      <c r="D161" s="285" t="str">
        <f>IF('Statement of Marks'!D162="","",'Statement of Marks'!D162)</f>
        <v/>
      </c>
      <c r="E161" s="286" t="str">
        <f>IF('Statement of Marks'!E162="","",'Statement of Marks'!E162)</f>
        <v/>
      </c>
      <c r="F161" s="286" t="str">
        <f>IF('Statement of Marks'!F162="","",'Statement of Marks'!F162)</f>
        <v/>
      </c>
      <c r="G161" s="286" t="str">
        <f>IF('Statement of Marks'!G162="","",'Statement of Marks'!G162)</f>
        <v/>
      </c>
      <c r="H161" s="287" t="str">
        <f>IF('Statement of Marks'!GY162="","",'Statement of Marks'!GY162)</f>
        <v/>
      </c>
      <c r="I161" s="287" t="str">
        <f>IF('Statement of Marks'!HB162="","",'Statement of Marks'!HB162)</f>
        <v/>
      </c>
      <c r="J161" s="288" t="str">
        <f>IF('Statement of Marks'!HC162="","",'Statement of Marks'!HC162)</f>
        <v/>
      </c>
      <c r="K161" s="296" t="str">
        <f>IF(B161="","",'Statement of Marks'!FJ162)</f>
        <v/>
      </c>
      <c r="L161" s="296" t="str">
        <f>IF(B161="","",'Statement of Marks'!FM162)</f>
        <v/>
      </c>
      <c r="M161" s="296" t="str">
        <f>IF(B161="","",'Statement of Marks'!FP162)</f>
        <v/>
      </c>
      <c r="N161" s="296" t="str">
        <f>IF(B161="","",'Statement of Marks'!FW162)</f>
        <v/>
      </c>
      <c r="O161" s="296" t="str">
        <f>IF(B161="","",'Statement of Marks'!GD162)</f>
        <v/>
      </c>
      <c r="P161" s="296" t="str">
        <f>IF(B161="","",'Statement of Marks'!GK162)</f>
        <v/>
      </c>
      <c r="Q161" s="296" t="str">
        <f>IF(B161="","",'Statement of Marks'!GR162)</f>
        <v/>
      </c>
      <c r="R161" s="296" t="str">
        <f>IF(B161="","",'Statement of Marks'!GS162)</f>
        <v/>
      </c>
      <c r="S161" s="288" t="str">
        <f>IF(COUNTIF(K161:R161,"F")&gt;0,"",CONCATENATE('Statement of Marks'!GU162,'Statement of Marks'!GW162))</f>
        <v xml:space="preserve">           </v>
      </c>
      <c r="T161" s="289">
        <f t="shared" si="36"/>
        <v>0</v>
      </c>
      <c r="U161" s="16"/>
      <c r="V161" s="297" t="str">
        <f t="shared" si="37"/>
        <v/>
      </c>
      <c r="W161" s="297" t="str">
        <f t="shared" si="38"/>
        <v/>
      </c>
      <c r="X161" s="16"/>
      <c r="Y161" s="297" t="str">
        <f t="shared" si="39"/>
        <v/>
      </c>
      <c r="Z161" s="297" t="str">
        <f t="shared" si="40"/>
        <v/>
      </c>
      <c r="AA161" s="16"/>
      <c r="AB161" s="297" t="str">
        <f t="shared" si="41"/>
        <v/>
      </c>
      <c r="AC161" s="298" t="str">
        <f t="shared" si="42"/>
        <v/>
      </c>
      <c r="AD161" s="16"/>
      <c r="AE161" s="297" t="str">
        <f t="shared" si="43"/>
        <v/>
      </c>
      <c r="AF161" s="298" t="str">
        <f t="shared" si="44"/>
        <v/>
      </c>
      <c r="AG161" s="16"/>
      <c r="AH161" s="297" t="str">
        <f t="shared" si="45"/>
        <v/>
      </c>
      <c r="AI161" s="298" t="str">
        <f t="shared" si="46"/>
        <v/>
      </c>
      <c r="AJ161" s="16"/>
      <c r="AK161" s="298" t="str">
        <f t="shared" si="47"/>
        <v/>
      </c>
      <c r="AL161" s="298" t="str">
        <f t="shared" si="48"/>
        <v/>
      </c>
      <c r="AM161" s="16"/>
      <c r="AN161" s="297" t="str">
        <f t="shared" si="49"/>
        <v/>
      </c>
      <c r="AO161" s="16"/>
      <c r="AP161" s="297" t="str">
        <f t="shared" si="50"/>
        <v/>
      </c>
      <c r="AQ161" s="299">
        <f t="shared" si="51"/>
        <v>0</v>
      </c>
      <c r="AR161" s="299">
        <f t="shared" si="52"/>
        <v>0</v>
      </c>
      <c r="AS161" s="300" t="str">
        <f t="shared" si="53"/>
        <v/>
      </c>
      <c r="AT161" s="301" t="str">
        <f>IF(COUNTIF(K161:R161,"F")&gt;0,"",IF(AS161="PASS",'Statement of Marks'!HF162,""))</f>
        <v/>
      </c>
      <c r="AU161" s="301" t="str">
        <f>IF(AS161="PASS",'Statement of Marks'!HG162,"")</f>
        <v/>
      </c>
    </row>
    <row r="162" spans="1:47">
      <c r="A162" s="284">
        <f>IF('Statement of Marks'!A163="","",'Statement of Marks'!A163)</f>
        <v>156</v>
      </c>
      <c r="B162" s="284" t="str">
        <f>IF('Statement of Marks'!B163="","",'Statement of Marks'!B163)</f>
        <v/>
      </c>
      <c r="C162" s="284" t="str">
        <f>IF('Statement of Marks'!C163="","",'Statement of Marks'!C163)</f>
        <v/>
      </c>
      <c r="D162" s="285" t="str">
        <f>IF('Statement of Marks'!D163="","",'Statement of Marks'!D163)</f>
        <v/>
      </c>
      <c r="E162" s="286" t="str">
        <f>IF('Statement of Marks'!E163="","",'Statement of Marks'!E163)</f>
        <v/>
      </c>
      <c r="F162" s="286" t="str">
        <f>IF('Statement of Marks'!F163="","",'Statement of Marks'!F163)</f>
        <v/>
      </c>
      <c r="G162" s="286" t="str">
        <f>IF('Statement of Marks'!G163="","",'Statement of Marks'!G163)</f>
        <v/>
      </c>
      <c r="H162" s="287" t="str">
        <f>IF('Statement of Marks'!GY163="","",'Statement of Marks'!GY163)</f>
        <v/>
      </c>
      <c r="I162" s="287" t="str">
        <f>IF('Statement of Marks'!HB163="","",'Statement of Marks'!HB163)</f>
        <v/>
      </c>
      <c r="J162" s="288" t="str">
        <f>IF('Statement of Marks'!HC163="","",'Statement of Marks'!HC163)</f>
        <v/>
      </c>
      <c r="K162" s="296" t="str">
        <f>IF(B162="","",'Statement of Marks'!FJ163)</f>
        <v/>
      </c>
      <c r="L162" s="296" t="str">
        <f>IF(B162="","",'Statement of Marks'!FM163)</f>
        <v/>
      </c>
      <c r="M162" s="296" t="str">
        <f>IF(B162="","",'Statement of Marks'!FP163)</f>
        <v/>
      </c>
      <c r="N162" s="296" t="str">
        <f>IF(B162="","",'Statement of Marks'!FW163)</f>
        <v/>
      </c>
      <c r="O162" s="296" t="str">
        <f>IF(B162="","",'Statement of Marks'!GD163)</f>
        <v/>
      </c>
      <c r="P162" s="296" t="str">
        <f>IF(B162="","",'Statement of Marks'!GK163)</f>
        <v/>
      </c>
      <c r="Q162" s="296" t="str">
        <f>IF(B162="","",'Statement of Marks'!GR163)</f>
        <v/>
      </c>
      <c r="R162" s="296" t="str">
        <f>IF(B162="","",'Statement of Marks'!GS163)</f>
        <v/>
      </c>
      <c r="S162" s="288" t="str">
        <f>IF(COUNTIF(K162:R162,"F")&gt;0,"",CONCATENATE('Statement of Marks'!GU163,'Statement of Marks'!GW163))</f>
        <v xml:space="preserve">           </v>
      </c>
      <c r="T162" s="289">
        <f t="shared" si="36"/>
        <v>0</v>
      </c>
      <c r="U162" s="16"/>
      <c r="V162" s="297" t="str">
        <f t="shared" si="37"/>
        <v/>
      </c>
      <c r="W162" s="297" t="str">
        <f t="shared" si="38"/>
        <v/>
      </c>
      <c r="X162" s="16"/>
      <c r="Y162" s="297" t="str">
        <f t="shared" si="39"/>
        <v/>
      </c>
      <c r="Z162" s="297" t="str">
        <f t="shared" si="40"/>
        <v/>
      </c>
      <c r="AA162" s="16"/>
      <c r="AB162" s="297" t="str">
        <f t="shared" si="41"/>
        <v/>
      </c>
      <c r="AC162" s="298" t="str">
        <f t="shared" si="42"/>
        <v/>
      </c>
      <c r="AD162" s="16"/>
      <c r="AE162" s="297" t="str">
        <f t="shared" si="43"/>
        <v/>
      </c>
      <c r="AF162" s="298" t="str">
        <f t="shared" si="44"/>
        <v/>
      </c>
      <c r="AG162" s="16"/>
      <c r="AH162" s="297" t="str">
        <f t="shared" si="45"/>
        <v/>
      </c>
      <c r="AI162" s="298" t="str">
        <f t="shared" si="46"/>
        <v/>
      </c>
      <c r="AJ162" s="16"/>
      <c r="AK162" s="298" t="str">
        <f t="shared" si="47"/>
        <v/>
      </c>
      <c r="AL162" s="298" t="str">
        <f t="shared" si="48"/>
        <v/>
      </c>
      <c r="AM162" s="16"/>
      <c r="AN162" s="297" t="str">
        <f t="shared" si="49"/>
        <v/>
      </c>
      <c r="AO162" s="16"/>
      <c r="AP162" s="297" t="str">
        <f t="shared" si="50"/>
        <v/>
      </c>
      <c r="AQ162" s="299">
        <f t="shared" si="51"/>
        <v>0</v>
      </c>
      <c r="AR162" s="299">
        <f t="shared" si="52"/>
        <v>0</v>
      </c>
      <c r="AS162" s="300" t="str">
        <f t="shared" si="53"/>
        <v/>
      </c>
      <c r="AT162" s="301" t="str">
        <f>IF(COUNTIF(K162:R162,"F")&gt;0,"",IF(AS162="PASS",'Statement of Marks'!HF163,""))</f>
        <v/>
      </c>
      <c r="AU162" s="301" t="str">
        <f>IF(AS162="PASS",'Statement of Marks'!HG163,"")</f>
        <v/>
      </c>
    </row>
    <row r="163" spans="1:47">
      <c r="A163" s="284">
        <f>IF('Statement of Marks'!A164="","",'Statement of Marks'!A164)</f>
        <v>157</v>
      </c>
      <c r="B163" s="284" t="str">
        <f>IF('Statement of Marks'!B164="","",'Statement of Marks'!B164)</f>
        <v/>
      </c>
      <c r="C163" s="284" t="str">
        <f>IF('Statement of Marks'!C164="","",'Statement of Marks'!C164)</f>
        <v/>
      </c>
      <c r="D163" s="285" t="str">
        <f>IF('Statement of Marks'!D164="","",'Statement of Marks'!D164)</f>
        <v/>
      </c>
      <c r="E163" s="286" t="str">
        <f>IF('Statement of Marks'!E164="","",'Statement of Marks'!E164)</f>
        <v/>
      </c>
      <c r="F163" s="286" t="str">
        <f>IF('Statement of Marks'!F164="","",'Statement of Marks'!F164)</f>
        <v/>
      </c>
      <c r="G163" s="286" t="str">
        <f>IF('Statement of Marks'!G164="","",'Statement of Marks'!G164)</f>
        <v/>
      </c>
      <c r="H163" s="287" t="str">
        <f>IF('Statement of Marks'!GY164="","",'Statement of Marks'!GY164)</f>
        <v/>
      </c>
      <c r="I163" s="287" t="str">
        <f>IF('Statement of Marks'!HB164="","",'Statement of Marks'!HB164)</f>
        <v/>
      </c>
      <c r="J163" s="288" t="str">
        <f>IF('Statement of Marks'!HC164="","",'Statement of Marks'!HC164)</f>
        <v/>
      </c>
      <c r="K163" s="296" t="str">
        <f>IF(B163="","",'Statement of Marks'!FJ164)</f>
        <v/>
      </c>
      <c r="L163" s="296" t="str">
        <f>IF(B163="","",'Statement of Marks'!FM164)</f>
        <v/>
      </c>
      <c r="M163" s="296" t="str">
        <f>IF(B163="","",'Statement of Marks'!FP164)</f>
        <v/>
      </c>
      <c r="N163" s="296" t="str">
        <f>IF(B163="","",'Statement of Marks'!FW164)</f>
        <v/>
      </c>
      <c r="O163" s="296" t="str">
        <f>IF(B163="","",'Statement of Marks'!GD164)</f>
        <v/>
      </c>
      <c r="P163" s="296" t="str">
        <f>IF(B163="","",'Statement of Marks'!GK164)</f>
        <v/>
      </c>
      <c r="Q163" s="296" t="str">
        <f>IF(B163="","",'Statement of Marks'!GR164)</f>
        <v/>
      </c>
      <c r="R163" s="296" t="str">
        <f>IF(B163="","",'Statement of Marks'!GS164)</f>
        <v/>
      </c>
      <c r="S163" s="288" t="str">
        <f>IF(COUNTIF(K163:R163,"F")&gt;0,"",CONCATENATE('Statement of Marks'!GU164,'Statement of Marks'!GW164))</f>
        <v xml:space="preserve">           </v>
      </c>
      <c r="T163" s="289">
        <f t="shared" si="36"/>
        <v>0</v>
      </c>
      <c r="U163" s="16"/>
      <c r="V163" s="297" t="str">
        <f t="shared" si="37"/>
        <v/>
      </c>
      <c r="W163" s="297" t="str">
        <f t="shared" si="38"/>
        <v/>
      </c>
      <c r="X163" s="16"/>
      <c r="Y163" s="297" t="str">
        <f t="shared" si="39"/>
        <v/>
      </c>
      <c r="Z163" s="297" t="str">
        <f t="shared" si="40"/>
        <v/>
      </c>
      <c r="AA163" s="16"/>
      <c r="AB163" s="297" t="str">
        <f t="shared" si="41"/>
        <v/>
      </c>
      <c r="AC163" s="298" t="str">
        <f t="shared" si="42"/>
        <v/>
      </c>
      <c r="AD163" s="16"/>
      <c r="AE163" s="297" t="str">
        <f t="shared" si="43"/>
        <v/>
      </c>
      <c r="AF163" s="298" t="str">
        <f t="shared" si="44"/>
        <v/>
      </c>
      <c r="AG163" s="16"/>
      <c r="AH163" s="297" t="str">
        <f t="shared" si="45"/>
        <v/>
      </c>
      <c r="AI163" s="298" t="str">
        <f t="shared" si="46"/>
        <v/>
      </c>
      <c r="AJ163" s="16"/>
      <c r="AK163" s="298" t="str">
        <f t="shared" si="47"/>
        <v/>
      </c>
      <c r="AL163" s="298" t="str">
        <f t="shared" si="48"/>
        <v/>
      </c>
      <c r="AM163" s="16"/>
      <c r="AN163" s="297" t="str">
        <f t="shared" si="49"/>
        <v/>
      </c>
      <c r="AO163" s="16"/>
      <c r="AP163" s="297" t="str">
        <f t="shared" si="50"/>
        <v/>
      </c>
      <c r="AQ163" s="299">
        <f t="shared" si="51"/>
        <v>0</v>
      </c>
      <c r="AR163" s="299">
        <f t="shared" si="52"/>
        <v>0</v>
      </c>
      <c r="AS163" s="300" t="str">
        <f t="shared" si="53"/>
        <v/>
      </c>
      <c r="AT163" s="301" t="str">
        <f>IF(COUNTIF(K163:R163,"F")&gt;0,"",IF(AS163="PASS",'Statement of Marks'!HF164,""))</f>
        <v/>
      </c>
      <c r="AU163" s="301" t="str">
        <f>IF(AS163="PASS",'Statement of Marks'!HG164,"")</f>
        <v/>
      </c>
    </row>
    <row r="164" spans="1:47">
      <c r="A164" s="284">
        <f>IF('Statement of Marks'!A165="","",'Statement of Marks'!A165)</f>
        <v>158</v>
      </c>
      <c r="B164" s="284" t="str">
        <f>IF('Statement of Marks'!B165="","",'Statement of Marks'!B165)</f>
        <v/>
      </c>
      <c r="C164" s="284" t="str">
        <f>IF('Statement of Marks'!C165="","",'Statement of Marks'!C165)</f>
        <v/>
      </c>
      <c r="D164" s="285" t="str">
        <f>IF('Statement of Marks'!D165="","",'Statement of Marks'!D165)</f>
        <v/>
      </c>
      <c r="E164" s="286" t="str">
        <f>IF('Statement of Marks'!E165="","",'Statement of Marks'!E165)</f>
        <v/>
      </c>
      <c r="F164" s="286" t="str">
        <f>IF('Statement of Marks'!F165="","",'Statement of Marks'!F165)</f>
        <v/>
      </c>
      <c r="G164" s="286" t="str">
        <f>IF('Statement of Marks'!G165="","",'Statement of Marks'!G165)</f>
        <v/>
      </c>
      <c r="H164" s="287" t="str">
        <f>IF('Statement of Marks'!GY165="","",'Statement of Marks'!GY165)</f>
        <v/>
      </c>
      <c r="I164" s="287" t="str">
        <f>IF('Statement of Marks'!HB165="","",'Statement of Marks'!HB165)</f>
        <v/>
      </c>
      <c r="J164" s="288" t="str">
        <f>IF('Statement of Marks'!HC165="","",'Statement of Marks'!HC165)</f>
        <v/>
      </c>
      <c r="K164" s="296" t="str">
        <f>IF(B164="","",'Statement of Marks'!FJ165)</f>
        <v/>
      </c>
      <c r="L164" s="296" t="str">
        <f>IF(B164="","",'Statement of Marks'!FM165)</f>
        <v/>
      </c>
      <c r="M164" s="296" t="str">
        <f>IF(B164="","",'Statement of Marks'!FP165)</f>
        <v/>
      </c>
      <c r="N164" s="296" t="str">
        <f>IF(B164="","",'Statement of Marks'!FW165)</f>
        <v/>
      </c>
      <c r="O164" s="296" t="str">
        <f>IF(B164="","",'Statement of Marks'!GD165)</f>
        <v/>
      </c>
      <c r="P164" s="296" t="str">
        <f>IF(B164="","",'Statement of Marks'!GK165)</f>
        <v/>
      </c>
      <c r="Q164" s="296" t="str">
        <f>IF(B164="","",'Statement of Marks'!GR165)</f>
        <v/>
      </c>
      <c r="R164" s="296" t="str">
        <f>IF(B164="","",'Statement of Marks'!GS165)</f>
        <v/>
      </c>
      <c r="S164" s="288" t="str">
        <f>IF(COUNTIF(K164:R164,"F")&gt;0,"",CONCATENATE('Statement of Marks'!GU165,'Statement of Marks'!GW165))</f>
        <v xml:space="preserve">           </v>
      </c>
      <c r="T164" s="289">
        <f t="shared" si="36"/>
        <v>0</v>
      </c>
      <c r="U164" s="16"/>
      <c r="V164" s="297" t="str">
        <f t="shared" si="37"/>
        <v/>
      </c>
      <c r="W164" s="297" t="str">
        <f t="shared" si="38"/>
        <v/>
      </c>
      <c r="X164" s="16"/>
      <c r="Y164" s="297" t="str">
        <f t="shared" si="39"/>
        <v/>
      </c>
      <c r="Z164" s="297" t="str">
        <f t="shared" si="40"/>
        <v/>
      </c>
      <c r="AA164" s="16"/>
      <c r="AB164" s="297" t="str">
        <f t="shared" si="41"/>
        <v/>
      </c>
      <c r="AC164" s="298" t="str">
        <f t="shared" si="42"/>
        <v/>
      </c>
      <c r="AD164" s="16"/>
      <c r="AE164" s="297" t="str">
        <f t="shared" si="43"/>
        <v/>
      </c>
      <c r="AF164" s="298" t="str">
        <f t="shared" si="44"/>
        <v/>
      </c>
      <c r="AG164" s="16"/>
      <c r="AH164" s="297" t="str">
        <f t="shared" si="45"/>
        <v/>
      </c>
      <c r="AI164" s="298" t="str">
        <f t="shared" si="46"/>
        <v/>
      </c>
      <c r="AJ164" s="16"/>
      <c r="AK164" s="298" t="str">
        <f t="shared" si="47"/>
        <v/>
      </c>
      <c r="AL164" s="298" t="str">
        <f t="shared" si="48"/>
        <v/>
      </c>
      <c r="AM164" s="16"/>
      <c r="AN164" s="297" t="str">
        <f t="shared" si="49"/>
        <v/>
      </c>
      <c r="AO164" s="16"/>
      <c r="AP164" s="297" t="str">
        <f t="shared" si="50"/>
        <v/>
      </c>
      <c r="AQ164" s="299">
        <f t="shared" si="51"/>
        <v>0</v>
      </c>
      <c r="AR164" s="299">
        <f t="shared" si="52"/>
        <v>0</v>
      </c>
      <c r="AS164" s="300" t="str">
        <f t="shared" si="53"/>
        <v/>
      </c>
      <c r="AT164" s="301" t="str">
        <f>IF(COUNTIF(K164:R164,"F")&gt;0,"",IF(AS164="PASS",'Statement of Marks'!HF165,""))</f>
        <v/>
      </c>
      <c r="AU164" s="301" t="str">
        <f>IF(AS164="PASS",'Statement of Marks'!HG165,"")</f>
        <v/>
      </c>
    </row>
    <row r="165" spans="1:47">
      <c r="A165" s="284">
        <f>IF('Statement of Marks'!A166="","",'Statement of Marks'!A166)</f>
        <v>159</v>
      </c>
      <c r="B165" s="284" t="str">
        <f>IF('Statement of Marks'!B166="","",'Statement of Marks'!B166)</f>
        <v/>
      </c>
      <c r="C165" s="284" t="str">
        <f>IF('Statement of Marks'!C166="","",'Statement of Marks'!C166)</f>
        <v/>
      </c>
      <c r="D165" s="285" t="str">
        <f>IF('Statement of Marks'!D166="","",'Statement of Marks'!D166)</f>
        <v/>
      </c>
      <c r="E165" s="286" t="str">
        <f>IF('Statement of Marks'!E166="","",'Statement of Marks'!E166)</f>
        <v/>
      </c>
      <c r="F165" s="286" t="str">
        <f>IF('Statement of Marks'!F166="","",'Statement of Marks'!F166)</f>
        <v/>
      </c>
      <c r="G165" s="286" t="str">
        <f>IF('Statement of Marks'!G166="","",'Statement of Marks'!G166)</f>
        <v/>
      </c>
      <c r="H165" s="287" t="str">
        <f>IF('Statement of Marks'!GY166="","",'Statement of Marks'!GY166)</f>
        <v/>
      </c>
      <c r="I165" s="287" t="str">
        <f>IF('Statement of Marks'!HB166="","",'Statement of Marks'!HB166)</f>
        <v/>
      </c>
      <c r="J165" s="288" t="str">
        <f>IF('Statement of Marks'!HC166="","",'Statement of Marks'!HC166)</f>
        <v/>
      </c>
      <c r="K165" s="296" t="str">
        <f>IF(B165="","",'Statement of Marks'!FJ166)</f>
        <v/>
      </c>
      <c r="L165" s="296" t="str">
        <f>IF(B165="","",'Statement of Marks'!FM166)</f>
        <v/>
      </c>
      <c r="M165" s="296" t="str">
        <f>IF(B165="","",'Statement of Marks'!FP166)</f>
        <v/>
      </c>
      <c r="N165" s="296" t="str">
        <f>IF(B165="","",'Statement of Marks'!FW166)</f>
        <v/>
      </c>
      <c r="O165" s="296" t="str">
        <f>IF(B165="","",'Statement of Marks'!GD166)</f>
        <v/>
      </c>
      <c r="P165" s="296" t="str">
        <f>IF(B165="","",'Statement of Marks'!GK166)</f>
        <v/>
      </c>
      <c r="Q165" s="296" t="str">
        <f>IF(B165="","",'Statement of Marks'!GR166)</f>
        <v/>
      </c>
      <c r="R165" s="296" t="str">
        <f>IF(B165="","",'Statement of Marks'!GS166)</f>
        <v/>
      </c>
      <c r="S165" s="288" t="str">
        <f>IF(COUNTIF(K165:R165,"F")&gt;0,"",CONCATENATE('Statement of Marks'!GU166,'Statement of Marks'!GW166))</f>
        <v xml:space="preserve">           </v>
      </c>
      <c r="T165" s="289">
        <f t="shared" si="36"/>
        <v>0</v>
      </c>
      <c r="U165" s="16"/>
      <c r="V165" s="297" t="str">
        <f t="shared" si="37"/>
        <v/>
      </c>
      <c r="W165" s="297" t="str">
        <f t="shared" si="38"/>
        <v/>
      </c>
      <c r="X165" s="16"/>
      <c r="Y165" s="297" t="str">
        <f t="shared" si="39"/>
        <v/>
      </c>
      <c r="Z165" s="297" t="str">
        <f t="shared" si="40"/>
        <v/>
      </c>
      <c r="AA165" s="16"/>
      <c r="AB165" s="297" t="str">
        <f t="shared" si="41"/>
        <v/>
      </c>
      <c r="AC165" s="298" t="str">
        <f t="shared" si="42"/>
        <v/>
      </c>
      <c r="AD165" s="16"/>
      <c r="AE165" s="297" t="str">
        <f t="shared" si="43"/>
        <v/>
      </c>
      <c r="AF165" s="298" t="str">
        <f t="shared" si="44"/>
        <v/>
      </c>
      <c r="AG165" s="16"/>
      <c r="AH165" s="297" t="str">
        <f t="shared" si="45"/>
        <v/>
      </c>
      <c r="AI165" s="298" t="str">
        <f t="shared" si="46"/>
        <v/>
      </c>
      <c r="AJ165" s="16"/>
      <c r="AK165" s="298" t="str">
        <f t="shared" si="47"/>
        <v/>
      </c>
      <c r="AL165" s="298" t="str">
        <f t="shared" si="48"/>
        <v/>
      </c>
      <c r="AM165" s="16"/>
      <c r="AN165" s="297" t="str">
        <f t="shared" si="49"/>
        <v/>
      </c>
      <c r="AO165" s="16"/>
      <c r="AP165" s="297" t="str">
        <f t="shared" si="50"/>
        <v/>
      </c>
      <c r="AQ165" s="299">
        <f t="shared" si="51"/>
        <v>0</v>
      </c>
      <c r="AR165" s="299">
        <f t="shared" si="52"/>
        <v>0</v>
      </c>
      <c r="AS165" s="300" t="str">
        <f t="shared" si="53"/>
        <v/>
      </c>
      <c r="AT165" s="301" t="str">
        <f>IF(COUNTIF(K165:R165,"F")&gt;0,"",IF(AS165="PASS",'Statement of Marks'!HF166,""))</f>
        <v/>
      </c>
      <c r="AU165" s="301" t="str">
        <f>IF(AS165="PASS",'Statement of Marks'!HG166,"")</f>
        <v/>
      </c>
    </row>
    <row r="166" spans="1:47">
      <c r="A166" s="284">
        <f>IF('Statement of Marks'!A167="","",'Statement of Marks'!A167)</f>
        <v>160</v>
      </c>
      <c r="B166" s="284" t="str">
        <f>IF('Statement of Marks'!B167="","",'Statement of Marks'!B167)</f>
        <v/>
      </c>
      <c r="C166" s="284" t="str">
        <f>IF('Statement of Marks'!C167="","",'Statement of Marks'!C167)</f>
        <v/>
      </c>
      <c r="D166" s="285" t="str">
        <f>IF('Statement of Marks'!D167="","",'Statement of Marks'!D167)</f>
        <v/>
      </c>
      <c r="E166" s="286" t="str">
        <f>IF('Statement of Marks'!E167="","",'Statement of Marks'!E167)</f>
        <v/>
      </c>
      <c r="F166" s="286" t="str">
        <f>IF('Statement of Marks'!F167="","",'Statement of Marks'!F167)</f>
        <v/>
      </c>
      <c r="G166" s="286" t="str">
        <f>IF('Statement of Marks'!G167="","",'Statement of Marks'!G167)</f>
        <v/>
      </c>
      <c r="H166" s="287" t="str">
        <f>IF('Statement of Marks'!GY167="","",'Statement of Marks'!GY167)</f>
        <v/>
      </c>
      <c r="I166" s="287" t="str">
        <f>IF('Statement of Marks'!HB167="","",'Statement of Marks'!HB167)</f>
        <v/>
      </c>
      <c r="J166" s="288" t="str">
        <f>IF('Statement of Marks'!HC167="","",'Statement of Marks'!HC167)</f>
        <v/>
      </c>
      <c r="K166" s="296" t="str">
        <f>IF(B166="","",'Statement of Marks'!FJ167)</f>
        <v/>
      </c>
      <c r="L166" s="296" t="str">
        <f>IF(B166="","",'Statement of Marks'!FM167)</f>
        <v/>
      </c>
      <c r="M166" s="296" t="str">
        <f>IF(B166="","",'Statement of Marks'!FP167)</f>
        <v/>
      </c>
      <c r="N166" s="296" t="str">
        <f>IF(B166="","",'Statement of Marks'!FW167)</f>
        <v/>
      </c>
      <c r="O166" s="296" t="str">
        <f>IF(B166="","",'Statement of Marks'!GD167)</f>
        <v/>
      </c>
      <c r="P166" s="296" t="str">
        <f>IF(B166="","",'Statement of Marks'!GK167)</f>
        <v/>
      </c>
      <c r="Q166" s="296" t="str">
        <f>IF(B166="","",'Statement of Marks'!GR167)</f>
        <v/>
      </c>
      <c r="R166" s="296" t="str">
        <f>IF(B166="","",'Statement of Marks'!GS167)</f>
        <v/>
      </c>
      <c r="S166" s="288" t="str">
        <f>IF(COUNTIF(K166:R166,"F")&gt;0,"",CONCATENATE('Statement of Marks'!GU167,'Statement of Marks'!GW167))</f>
        <v xml:space="preserve">           </v>
      </c>
      <c r="T166" s="289">
        <f t="shared" si="36"/>
        <v>0</v>
      </c>
      <c r="U166" s="16"/>
      <c r="V166" s="297" t="str">
        <f t="shared" si="37"/>
        <v/>
      </c>
      <c r="W166" s="297" t="str">
        <f t="shared" si="38"/>
        <v/>
      </c>
      <c r="X166" s="16"/>
      <c r="Y166" s="297" t="str">
        <f t="shared" si="39"/>
        <v/>
      </c>
      <c r="Z166" s="297" t="str">
        <f t="shared" si="40"/>
        <v/>
      </c>
      <c r="AA166" s="16"/>
      <c r="AB166" s="297" t="str">
        <f t="shared" si="41"/>
        <v/>
      </c>
      <c r="AC166" s="298" t="str">
        <f t="shared" si="42"/>
        <v/>
      </c>
      <c r="AD166" s="16"/>
      <c r="AE166" s="297" t="str">
        <f t="shared" si="43"/>
        <v/>
      </c>
      <c r="AF166" s="298" t="str">
        <f t="shared" si="44"/>
        <v/>
      </c>
      <c r="AG166" s="16"/>
      <c r="AH166" s="297" t="str">
        <f t="shared" si="45"/>
        <v/>
      </c>
      <c r="AI166" s="298" t="str">
        <f t="shared" si="46"/>
        <v/>
      </c>
      <c r="AJ166" s="16"/>
      <c r="AK166" s="298" t="str">
        <f t="shared" si="47"/>
        <v/>
      </c>
      <c r="AL166" s="298" t="str">
        <f t="shared" si="48"/>
        <v/>
      </c>
      <c r="AM166" s="16"/>
      <c r="AN166" s="297" t="str">
        <f t="shared" si="49"/>
        <v/>
      </c>
      <c r="AO166" s="16"/>
      <c r="AP166" s="297" t="str">
        <f t="shared" si="50"/>
        <v/>
      </c>
      <c r="AQ166" s="299">
        <f t="shared" si="51"/>
        <v>0</v>
      </c>
      <c r="AR166" s="299">
        <f t="shared" si="52"/>
        <v>0</v>
      </c>
      <c r="AS166" s="300" t="str">
        <f t="shared" si="53"/>
        <v/>
      </c>
      <c r="AT166" s="301" t="str">
        <f>IF(COUNTIF(K166:R166,"F")&gt;0,"",IF(AS166="PASS",'Statement of Marks'!HF167,""))</f>
        <v/>
      </c>
      <c r="AU166" s="301" t="str">
        <f>IF(AS166="PASS",'Statement of Marks'!HG167,"")</f>
        <v/>
      </c>
    </row>
    <row r="167" spans="1:47">
      <c r="A167" s="284">
        <f>IF('Statement of Marks'!A168="","",'Statement of Marks'!A168)</f>
        <v>161</v>
      </c>
      <c r="B167" s="284" t="str">
        <f>IF('Statement of Marks'!B168="","",'Statement of Marks'!B168)</f>
        <v/>
      </c>
      <c r="C167" s="284" t="str">
        <f>IF('Statement of Marks'!C168="","",'Statement of Marks'!C168)</f>
        <v/>
      </c>
      <c r="D167" s="285" t="str">
        <f>IF('Statement of Marks'!D168="","",'Statement of Marks'!D168)</f>
        <v/>
      </c>
      <c r="E167" s="286" t="str">
        <f>IF('Statement of Marks'!E168="","",'Statement of Marks'!E168)</f>
        <v/>
      </c>
      <c r="F167" s="286" t="str">
        <f>IF('Statement of Marks'!F168="","",'Statement of Marks'!F168)</f>
        <v/>
      </c>
      <c r="G167" s="286" t="str">
        <f>IF('Statement of Marks'!G168="","",'Statement of Marks'!G168)</f>
        <v/>
      </c>
      <c r="H167" s="287" t="str">
        <f>IF('Statement of Marks'!GY168="","",'Statement of Marks'!GY168)</f>
        <v/>
      </c>
      <c r="I167" s="287" t="str">
        <f>IF('Statement of Marks'!HB168="","",'Statement of Marks'!HB168)</f>
        <v/>
      </c>
      <c r="J167" s="288" t="str">
        <f>IF('Statement of Marks'!HC168="","",'Statement of Marks'!HC168)</f>
        <v/>
      </c>
      <c r="K167" s="296" t="str">
        <f>IF(B167="","",'Statement of Marks'!FJ168)</f>
        <v/>
      </c>
      <c r="L167" s="296" t="str">
        <f>IF(B167="","",'Statement of Marks'!FM168)</f>
        <v/>
      </c>
      <c r="M167" s="296" t="str">
        <f>IF(B167="","",'Statement of Marks'!FP168)</f>
        <v/>
      </c>
      <c r="N167" s="296" t="str">
        <f>IF(B167="","",'Statement of Marks'!FW168)</f>
        <v/>
      </c>
      <c r="O167" s="296" t="str">
        <f>IF(B167="","",'Statement of Marks'!GD168)</f>
        <v/>
      </c>
      <c r="P167" s="296" t="str">
        <f>IF(B167="","",'Statement of Marks'!GK168)</f>
        <v/>
      </c>
      <c r="Q167" s="296" t="str">
        <f>IF(B167="","",'Statement of Marks'!GR168)</f>
        <v/>
      </c>
      <c r="R167" s="296" t="str">
        <f>IF(B167="","",'Statement of Marks'!GS168)</f>
        <v/>
      </c>
      <c r="S167" s="288" t="str">
        <f>IF(COUNTIF(K167:R167,"F")&gt;0,"",CONCATENATE('Statement of Marks'!GU168,'Statement of Marks'!GW168))</f>
        <v xml:space="preserve">           </v>
      </c>
      <c r="T167" s="289">
        <f t="shared" si="36"/>
        <v>0</v>
      </c>
      <c r="U167" s="16"/>
      <c r="V167" s="297" t="str">
        <f t="shared" si="37"/>
        <v/>
      </c>
      <c r="W167" s="297" t="str">
        <f t="shared" si="38"/>
        <v/>
      </c>
      <c r="X167" s="16"/>
      <c r="Y167" s="297" t="str">
        <f t="shared" si="39"/>
        <v/>
      </c>
      <c r="Z167" s="297" t="str">
        <f t="shared" si="40"/>
        <v/>
      </c>
      <c r="AA167" s="16"/>
      <c r="AB167" s="297" t="str">
        <f t="shared" si="41"/>
        <v/>
      </c>
      <c r="AC167" s="298" t="str">
        <f t="shared" si="42"/>
        <v/>
      </c>
      <c r="AD167" s="16"/>
      <c r="AE167" s="297" t="str">
        <f t="shared" si="43"/>
        <v/>
      </c>
      <c r="AF167" s="298" t="str">
        <f t="shared" si="44"/>
        <v/>
      </c>
      <c r="AG167" s="16"/>
      <c r="AH167" s="297" t="str">
        <f t="shared" si="45"/>
        <v/>
      </c>
      <c r="AI167" s="298" t="str">
        <f t="shared" si="46"/>
        <v/>
      </c>
      <c r="AJ167" s="16"/>
      <c r="AK167" s="298" t="str">
        <f t="shared" si="47"/>
        <v/>
      </c>
      <c r="AL167" s="298" t="str">
        <f t="shared" si="48"/>
        <v/>
      </c>
      <c r="AM167" s="16"/>
      <c r="AN167" s="297" t="str">
        <f t="shared" si="49"/>
        <v/>
      </c>
      <c r="AO167" s="16"/>
      <c r="AP167" s="297" t="str">
        <f t="shared" si="50"/>
        <v/>
      </c>
      <c r="AQ167" s="299">
        <f t="shared" si="51"/>
        <v>0</v>
      </c>
      <c r="AR167" s="299">
        <f t="shared" si="52"/>
        <v>0</v>
      </c>
      <c r="AS167" s="300" t="str">
        <f t="shared" si="53"/>
        <v/>
      </c>
      <c r="AT167" s="301" t="str">
        <f>IF(COUNTIF(K167:R167,"F")&gt;0,"",IF(AS167="PASS",'Statement of Marks'!HF168,""))</f>
        <v/>
      </c>
      <c r="AU167" s="301" t="str">
        <f>IF(AS167="PASS",'Statement of Marks'!HG168,"")</f>
        <v/>
      </c>
    </row>
    <row r="168" spans="1:47">
      <c r="A168" s="284">
        <f>IF('Statement of Marks'!A169="","",'Statement of Marks'!A169)</f>
        <v>162</v>
      </c>
      <c r="B168" s="284" t="str">
        <f>IF('Statement of Marks'!B169="","",'Statement of Marks'!B169)</f>
        <v/>
      </c>
      <c r="C168" s="284" t="str">
        <f>IF('Statement of Marks'!C169="","",'Statement of Marks'!C169)</f>
        <v/>
      </c>
      <c r="D168" s="285" t="str">
        <f>IF('Statement of Marks'!D169="","",'Statement of Marks'!D169)</f>
        <v/>
      </c>
      <c r="E168" s="286" t="str">
        <f>IF('Statement of Marks'!E169="","",'Statement of Marks'!E169)</f>
        <v/>
      </c>
      <c r="F168" s="286" t="str">
        <f>IF('Statement of Marks'!F169="","",'Statement of Marks'!F169)</f>
        <v/>
      </c>
      <c r="G168" s="286" t="str">
        <f>IF('Statement of Marks'!G169="","",'Statement of Marks'!G169)</f>
        <v/>
      </c>
      <c r="H168" s="287" t="str">
        <f>IF('Statement of Marks'!GY169="","",'Statement of Marks'!GY169)</f>
        <v/>
      </c>
      <c r="I168" s="287" t="str">
        <f>IF('Statement of Marks'!HB169="","",'Statement of Marks'!HB169)</f>
        <v/>
      </c>
      <c r="J168" s="288" t="str">
        <f>IF('Statement of Marks'!HC169="","",'Statement of Marks'!HC169)</f>
        <v/>
      </c>
      <c r="K168" s="296" t="str">
        <f>IF(B168="","",'Statement of Marks'!FJ169)</f>
        <v/>
      </c>
      <c r="L168" s="296" t="str">
        <f>IF(B168="","",'Statement of Marks'!FM169)</f>
        <v/>
      </c>
      <c r="M168" s="296" t="str">
        <f>IF(B168="","",'Statement of Marks'!FP169)</f>
        <v/>
      </c>
      <c r="N168" s="296" t="str">
        <f>IF(B168="","",'Statement of Marks'!FW169)</f>
        <v/>
      </c>
      <c r="O168" s="296" t="str">
        <f>IF(B168="","",'Statement of Marks'!GD169)</f>
        <v/>
      </c>
      <c r="P168" s="296" t="str">
        <f>IF(B168="","",'Statement of Marks'!GK169)</f>
        <v/>
      </c>
      <c r="Q168" s="296" t="str">
        <f>IF(B168="","",'Statement of Marks'!GR169)</f>
        <v/>
      </c>
      <c r="R168" s="296" t="str">
        <f>IF(B168="","",'Statement of Marks'!GS169)</f>
        <v/>
      </c>
      <c r="S168" s="288" t="str">
        <f>IF(COUNTIF(K168:R168,"F")&gt;0,"",CONCATENATE('Statement of Marks'!GU169,'Statement of Marks'!GW169))</f>
        <v xml:space="preserve">           </v>
      </c>
      <c r="T168" s="289">
        <f t="shared" si="36"/>
        <v>0</v>
      </c>
      <c r="U168" s="16"/>
      <c r="V168" s="297" t="str">
        <f t="shared" si="37"/>
        <v/>
      </c>
      <c r="W168" s="297" t="str">
        <f t="shared" si="38"/>
        <v/>
      </c>
      <c r="X168" s="16"/>
      <c r="Y168" s="297" t="str">
        <f t="shared" si="39"/>
        <v/>
      </c>
      <c r="Z168" s="297" t="str">
        <f t="shared" si="40"/>
        <v/>
      </c>
      <c r="AA168" s="16"/>
      <c r="AB168" s="297" t="str">
        <f t="shared" si="41"/>
        <v/>
      </c>
      <c r="AC168" s="298" t="str">
        <f t="shared" si="42"/>
        <v/>
      </c>
      <c r="AD168" s="16"/>
      <c r="AE168" s="297" t="str">
        <f t="shared" si="43"/>
        <v/>
      </c>
      <c r="AF168" s="298" t="str">
        <f t="shared" si="44"/>
        <v/>
      </c>
      <c r="AG168" s="16"/>
      <c r="AH168" s="297" t="str">
        <f t="shared" si="45"/>
        <v/>
      </c>
      <c r="AI168" s="298" t="str">
        <f t="shared" si="46"/>
        <v/>
      </c>
      <c r="AJ168" s="16"/>
      <c r="AK168" s="298" t="str">
        <f t="shared" si="47"/>
        <v/>
      </c>
      <c r="AL168" s="298" t="str">
        <f t="shared" si="48"/>
        <v/>
      </c>
      <c r="AM168" s="16"/>
      <c r="AN168" s="297" t="str">
        <f t="shared" si="49"/>
        <v/>
      </c>
      <c r="AO168" s="16"/>
      <c r="AP168" s="297" t="str">
        <f t="shared" si="50"/>
        <v/>
      </c>
      <c r="AQ168" s="299">
        <f t="shared" si="51"/>
        <v>0</v>
      </c>
      <c r="AR168" s="299">
        <f t="shared" si="52"/>
        <v>0</v>
      </c>
      <c r="AS168" s="300" t="str">
        <f t="shared" si="53"/>
        <v/>
      </c>
      <c r="AT168" s="301" t="str">
        <f>IF(COUNTIF(K168:R168,"F")&gt;0,"",IF(AS168="PASS",'Statement of Marks'!HF169,""))</f>
        <v/>
      </c>
      <c r="AU168" s="301" t="str">
        <f>IF(AS168="PASS",'Statement of Marks'!HG169,"")</f>
        <v/>
      </c>
    </row>
    <row r="169" spans="1:47">
      <c r="A169" s="284">
        <f>IF('Statement of Marks'!A170="","",'Statement of Marks'!A170)</f>
        <v>163</v>
      </c>
      <c r="B169" s="284" t="str">
        <f>IF('Statement of Marks'!B170="","",'Statement of Marks'!B170)</f>
        <v/>
      </c>
      <c r="C169" s="284" t="str">
        <f>IF('Statement of Marks'!C170="","",'Statement of Marks'!C170)</f>
        <v/>
      </c>
      <c r="D169" s="285" t="str">
        <f>IF('Statement of Marks'!D170="","",'Statement of Marks'!D170)</f>
        <v/>
      </c>
      <c r="E169" s="286" t="str">
        <f>IF('Statement of Marks'!E170="","",'Statement of Marks'!E170)</f>
        <v/>
      </c>
      <c r="F169" s="286" t="str">
        <f>IF('Statement of Marks'!F170="","",'Statement of Marks'!F170)</f>
        <v/>
      </c>
      <c r="G169" s="286" t="str">
        <f>IF('Statement of Marks'!G170="","",'Statement of Marks'!G170)</f>
        <v/>
      </c>
      <c r="H169" s="287" t="str">
        <f>IF('Statement of Marks'!GY170="","",'Statement of Marks'!GY170)</f>
        <v/>
      </c>
      <c r="I169" s="287" t="str">
        <f>IF('Statement of Marks'!HB170="","",'Statement of Marks'!HB170)</f>
        <v/>
      </c>
      <c r="J169" s="288" t="str">
        <f>IF('Statement of Marks'!HC170="","",'Statement of Marks'!HC170)</f>
        <v/>
      </c>
      <c r="K169" s="296" t="str">
        <f>IF(B169="","",'Statement of Marks'!FJ170)</f>
        <v/>
      </c>
      <c r="L169" s="296" t="str">
        <f>IF(B169="","",'Statement of Marks'!FM170)</f>
        <v/>
      </c>
      <c r="M169" s="296" t="str">
        <f>IF(B169="","",'Statement of Marks'!FP170)</f>
        <v/>
      </c>
      <c r="N169" s="296" t="str">
        <f>IF(B169="","",'Statement of Marks'!FW170)</f>
        <v/>
      </c>
      <c r="O169" s="296" t="str">
        <f>IF(B169="","",'Statement of Marks'!GD170)</f>
        <v/>
      </c>
      <c r="P169" s="296" t="str">
        <f>IF(B169="","",'Statement of Marks'!GK170)</f>
        <v/>
      </c>
      <c r="Q169" s="296" t="str">
        <f>IF(B169="","",'Statement of Marks'!GR170)</f>
        <v/>
      </c>
      <c r="R169" s="296" t="str">
        <f>IF(B169="","",'Statement of Marks'!GS170)</f>
        <v/>
      </c>
      <c r="S169" s="288" t="str">
        <f>IF(COUNTIF(K169:R169,"F")&gt;0,"",CONCATENATE('Statement of Marks'!GU170,'Statement of Marks'!GW170))</f>
        <v xml:space="preserve">           </v>
      </c>
      <c r="T169" s="289">
        <f t="shared" si="36"/>
        <v>0</v>
      </c>
      <c r="U169" s="16"/>
      <c r="V169" s="297" t="str">
        <f t="shared" si="37"/>
        <v/>
      </c>
      <c r="W169" s="297" t="str">
        <f t="shared" si="38"/>
        <v/>
      </c>
      <c r="X169" s="16"/>
      <c r="Y169" s="297" t="str">
        <f t="shared" si="39"/>
        <v/>
      </c>
      <c r="Z169" s="297" t="str">
        <f t="shared" si="40"/>
        <v/>
      </c>
      <c r="AA169" s="16"/>
      <c r="AB169" s="297" t="str">
        <f t="shared" si="41"/>
        <v/>
      </c>
      <c r="AC169" s="298" t="str">
        <f t="shared" si="42"/>
        <v/>
      </c>
      <c r="AD169" s="16"/>
      <c r="AE169" s="297" t="str">
        <f t="shared" si="43"/>
        <v/>
      </c>
      <c r="AF169" s="298" t="str">
        <f t="shared" si="44"/>
        <v/>
      </c>
      <c r="AG169" s="16"/>
      <c r="AH169" s="297" t="str">
        <f t="shared" si="45"/>
        <v/>
      </c>
      <c r="AI169" s="298" t="str">
        <f t="shared" si="46"/>
        <v/>
      </c>
      <c r="AJ169" s="16"/>
      <c r="AK169" s="298" t="str">
        <f t="shared" si="47"/>
        <v/>
      </c>
      <c r="AL169" s="298" t="str">
        <f t="shared" si="48"/>
        <v/>
      </c>
      <c r="AM169" s="16"/>
      <c r="AN169" s="297" t="str">
        <f t="shared" si="49"/>
        <v/>
      </c>
      <c r="AO169" s="16"/>
      <c r="AP169" s="297" t="str">
        <f t="shared" si="50"/>
        <v/>
      </c>
      <c r="AQ169" s="299">
        <f t="shared" si="51"/>
        <v>0</v>
      </c>
      <c r="AR169" s="299">
        <f t="shared" si="52"/>
        <v>0</v>
      </c>
      <c r="AS169" s="300" t="str">
        <f t="shared" si="53"/>
        <v/>
      </c>
      <c r="AT169" s="301" t="str">
        <f>IF(COUNTIF(K169:R169,"F")&gt;0,"",IF(AS169="PASS",'Statement of Marks'!HF170,""))</f>
        <v/>
      </c>
      <c r="AU169" s="301" t="str">
        <f>IF(AS169="PASS",'Statement of Marks'!HG170,"")</f>
        <v/>
      </c>
    </row>
    <row r="170" spans="1:47">
      <c r="A170" s="284">
        <f>IF('Statement of Marks'!A171="","",'Statement of Marks'!A171)</f>
        <v>164</v>
      </c>
      <c r="B170" s="284" t="str">
        <f>IF('Statement of Marks'!B171="","",'Statement of Marks'!B171)</f>
        <v/>
      </c>
      <c r="C170" s="284" t="str">
        <f>IF('Statement of Marks'!C171="","",'Statement of Marks'!C171)</f>
        <v/>
      </c>
      <c r="D170" s="285" t="str">
        <f>IF('Statement of Marks'!D171="","",'Statement of Marks'!D171)</f>
        <v/>
      </c>
      <c r="E170" s="286" t="str">
        <f>IF('Statement of Marks'!E171="","",'Statement of Marks'!E171)</f>
        <v/>
      </c>
      <c r="F170" s="286" t="str">
        <f>IF('Statement of Marks'!F171="","",'Statement of Marks'!F171)</f>
        <v/>
      </c>
      <c r="G170" s="286" t="str">
        <f>IF('Statement of Marks'!G171="","",'Statement of Marks'!G171)</f>
        <v/>
      </c>
      <c r="H170" s="287" t="str">
        <f>IF('Statement of Marks'!GY171="","",'Statement of Marks'!GY171)</f>
        <v/>
      </c>
      <c r="I170" s="287" t="str">
        <f>IF('Statement of Marks'!HB171="","",'Statement of Marks'!HB171)</f>
        <v/>
      </c>
      <c r="J170" s="288" t="str">
        <f>IF('Statement of Marks'!HC171="","",'Statement of Marks'!HC171)</f>
        <v/>
      </c>
      <c r="K170" s="296" t="str">
        <f>IF(B170="","",'Statement of Marks'!FJ171)</f>
        <v/>
      </c>
      <c r="L170" s="296" t="str">
        <f>IF(B170="","",'Statement of Marks'!FM171)</f>
        <v/>
      </c>
      <c r="M170" s="296" t="str">
        <f>IF(B170="","",'Statement of Marks'!FP171)</f>
        <v/>
      </c>
      <c r="N170" s="296" t="str">
        <f>IF(B170="","",'Statement of Marks'!FW171)</f>
        <v/>
      </c>
      <c r="O170" s="296" t="str">
        <f>IF(B170="","",'Statement of Marks'!GD171)</f>
        <v/>
      </c>
      <c r="P170" s="296" t="str">
        <f>IF(B170="","",'Statement of Marks'!GK171)</f>
        <v/>
      </c>
      <c r="Q170" s="296" t="str">
        <f>IF(B170="","",'Statement of Marks'!GR171)</f>
        <v/>
      </c>
      <c r="R170" s="296" t="str">
        <f>IF(B170="","",'Statement of Marks'!GS171)</f>
        <v/>
      </c>
      <c r="S170" s="288" t="str">
        <f>IF(COUNTIF(K170:R170,"F")&gt;0,"",CONCATENATE('Statement of Marks'!GU171,'Statement of Marks'!GW171))</f>
        <v xml:space="preserve">           </v>
      </c>
      <c r="T170" s="289">
        <f t="shared" si="36"/>
        <v>0</v>
      </c>
      <c r="U170" s="16"/>
      <c r="V170" s="297" t="str">
        <f t="shared" si="37"/>
        <v/>
      </c>
      <c r="W170" s="297" t="str">
        <f t="shared" si="38"/>
        <v/>
      </c>
      <c r="X170" s="16"/>
      <c r="Y170" s="297" t="str">
        <f t="shared" si="39"/>
        <v/>
      </c>
      <c r="Z170" s="297" t="str">
        <f t="shared" si="40"/>
        <v/>
      </c>
      <c r="AA170" s="16"/>
      <c r="AB170" s="297" t="str">
        <f t="shared" si="41"/>
        <v/>
      </c>
      <c r="AC170" s="298" t="str">
        <f t="shared" si="42"/>
        <v/>
      </c>
      <c r="AD170" s="16"/>
      <c r="AE170" s="297" t="str">
        <f t="shared" si="43"/>
        <v/>
      </c>
      <c r="AF170" s="298" t="str">
        <f t="shared" si="44"/>
        <v/>
      </c>
      <c r="AG170" s="16"/>
      <c r="AH170" s="297" t="str">
        <f t="shared" si="45"/>
        <v/>
      </c>
      <c r="AI170" s="298" t="str">
        <f t="shared" si="46"/>
        <v/>
      </c>
      <c r="AJ170" s="16"/>
      <c r="AK170" s="298" t="str">
        <f t="shared" si="47"/>
        <v/>
      </c>
      <c r="AL170" s="298" t="str">
        <f t="shared" si="48"/>
        <v/>
      </c>
      <c r="AM170" s="16"/>
      <c r="AN170" s="297" t="str">
        <f t="shared" si="49"/>
        <v/>
      </c>
      <c r="AO170" s="16"/>
      <c r="AP170" s="297" t="str">
        <f t="shared" si="50"/>
        <v/>
      </c>
      <c r="AQ170" s="299">
        <f t="shared" si="51"/>
        <v>0</v>
      </c>
      <c r="AR170" s="299">
        <f t="shared" si="52"/>
        <v>0</v>
      </c>
      <c r="AS170" s="300" t="str">
        <f t="shared" si="53"/>
        <v/>
      </c>
      <c r="AT170" s="301" t="str">
        <f>IF(COUNTIF(K170:R170,"F")&gt;0,"",IF(AS170="PASS",'Statement of Marks'!HF171,""))</f>
        <v/>
      </c>
      <c r="AU170" s="301" t="str">
        <f>IF(AS170="PASS",'Statement of Marks'!HG171,"")</f>
        <v/>
      </c>
    </row>
    <row r="171" spans="1:47">
      <c r="A171" s="284">
        <f>IF('Statement of Marks'!A172="","",'Statement of Marks'!A172)</f>
        <v>165</v>
      </c>
      <c r="B171" s="284" t="str">
        <f>IF('Statement of Marks'!B172="","",'Statement of Marks'!B172)</f>
        <v/>
      </c>
      <c r="C171" s="284" t="str">
        <f>IF('Statement of Marks'!C172="","",'Statement of Marks'!C172)</f>
        <v/>
      </c>
      <c r="D171" s="285" t="str">
        <f>IF('Statement of Marks'!D172="","",'Statement of Marks'!D172)</f>
        <v/>
      </c>
      <c r="E171" s="286" t="str">
        <f>IF('Statement of Marks'!E172="","",'Statement of Marks'!E172)</f>
        <v/>
      </c>
      <c r="F171" s="286" t="str">
        <f>IF('Statement of Marks'!F172="","",'Statement of Marks'!F172)</f>
        <v/>
      </c>
      <c r="G171" s="286" t="str">
        <f>IF('Statement of Marks'!G172="","",'Statement of Marks'!G172)</f>
        <v/>
      </c>
      <c r="H171" s="287" t="str">
        <f>IF('Statement of Marks'!GY172="","",'Statement of Marks'!GY172)</f>
        <v/>
      </c>
      <c r="I171" s="287" t="str">
        <f>IF('Statement of Marks'!HB172="","",'Statement of Marks'!HB172)</f>
        <v/>
      </c>
      <c r="J171" s="288" t="str">
        <f>IF('Statement of Marks'!HC172="","",'Statement of Marks'!HC172)</f>
        <v/>
      </c>
      <c r="K171" s="296" t="str">
        <f>IF(B171="","",'Statement of Marks'!FJ172)</f>
        <v/>
      </c>
      <c r="L171" s="296" t="str">
        <f>IF(B171="","",'Statement of Marks'!FM172)</f>
        <v/>
      </c>
      <c r="M171" s="296" t="str">
        <f>IF(B171="","",'Statement of Marks'!FP172)</f>
        <v/>
      </c>
      <c r="N171" s="296" t="str">
        <f>IF(B171="","",'Statement of Marks'!FW172)</f>
        <v/>
      </c>
      <c r="O171" s="296" t="str">
        <f>IF(B171="","",'Statement of Marks'!GD172)</f>
        <v/>
      </c>
      <c r="P171" s="296" t="str">
        <f>IF(B171="","",'Statement of Marks'!GK172)</f>
        <v/>
      </c>
      <c r="Q171" s="296" t="str">
        <f>IF(B171="","",'Statement of Marks'!GR172)</f>
        <v/>
      </c>
      <c r="R171" s="296" t="str">
        <f>IF(B171="","",'Statement of Marks'!GS172)</f>
        <v/>
      </c>
      <c r="S171" s="288" t="str">
        <f>IF(COUNTIF(K171:R171,"F")&gt;0,"",CONCATENATE('Statement of Marks'!GU172,'Statement of Marks'!GW172))</f>
        <v xml:space="preserve">           </v>
      </c>
      <c r="T171" s="289">
        <f t="shared" si="36"/>
        <v>0</v>
      </c>
      <c r="U171" s="16"/>
      <c r="V171" s="297" t="str">
        <f t="shared" si="37"/>
        <v/>
      </c>
      <c r="W171" s="297" t="str">
        <f t="shared" si="38"/>
        <v/>
      </c>
      <c r="X171" s="16"/>
      <c r="Y171" s="297" t="str">
        <f t="shared" si="39"/>
        <v/>
      </c>
      <c r="Z171" s="297" t="str">
        <f t="shared" si="40"/>
        <v/>
      </c>
      <c r="AA171" s="16"/>
      <c r="AB171" s="297" t="str">
        <f t="shared" si="41"/>
        <v/>
      </c>
      <c r="AC171" s="298" t="str">
        <f t="shared" si="42"/>
        <v/>
      </c>
      <c r="AD171" s="16"/>
      <c r="AE171" s="297" t="str">
        <f t="shared" si="43"/>
        <v/>
      </c>
      <c r="AF171" s="298" t="str">
        <f t="shared" si="44"/>
        <v/>
      </c>
      <c r="AG171" s="16"/>
      <c r="AH171" s="297" t="str">
        <f t="shared" si="45"/>
        <v/>
      </c>
      <c r="AI171" s="298" t="str">
        <f t="shared" si="46"/>
        <v/>
      </c>
      <c r="AJ171" s="16"/>
      <c r="AK171" s="298" t="str">
        <f t="shared" si="47"/>
        <v/>
      </c>
      <c r="AL171" s="298" t="str">
        <f t="shared" si="48"/>
        <v/>
      </c>
      <c r="AM171" s="16"/>
      <c r="AN171" s="297" t="str">
        <f t="shared" si="49"/>
        <v/>
      </c>
      <c r="AO171" s="16"/>
      <c r="AP171" s="297" t="str">
        <f t="shared" si="50"/>
        <v/>
      </c>
      <c r="AQ171" s="299">
        <f t="shared" si="51"/>
        <v>0</v>
      </c>
      <c r="AR171" s="299">
        <f t="shared" si="52"/>
        <v>0</v>
      </c>
      <c r="AS171" s="300" t="str">
        <f t="shared" si="53"/>
        <v/>
      </c>
      <c r="AT171" s="301" t="str">
        <f>IF(COUNTIF(K171:R171,"F")&gt;0,"",IF(AS171="PASS",'Statement of Marks'!HF172,""))</f>
        <v/>
      </c>
      <c r="AU171" s="301" t="str">
        <f>IF(AS171="PASS",'Statement of Marks'!HG172,"")</f>
        <v/>
      </c>
    </row>
    <row r="172" spans="1:47">
      <c r="A172" s="284">
        <f>IF('Statement of Marks'!A173="","",'Statement of Marks'!A173)</f>
        <v>166</v>
      </c>
      <c r="B172" s="284" t="str">
        <f>IF('Statement of Marks'!B173="","",'Statement of Marks'!B173)</f>
        <v/>
      </c>
      <c r="C172" s="284" t="str">
        <f>IF('Statement of Marks'!C173="","",'Statement of Marks'!C173)</f>
        <v/>
      </c>
      <c r="D172" s="285" t="str">
        <f>IF('Statement of Marks'!D173="","",'Statement of Marks'!D173)</f>
        <v/>
      </c>
      <c r="E172" s="286" t="str">
        <f>IF('Statement of Marks'!E173="","",'Statement of Marks'!E173)</f>
        <v/>
      </c>
      <c r="F172" s="286" t="str">
        <f>IF('Statement of Marks'!F173="","",'Statement of Marks'!F173)</f>
        <v/>
      </c>
      <c r="G172" s="286" t="str">
        <f>IF('Statement of Marks'!G173="","",'Statement of Marks'!G173)</f>
        <v/>
      </c>
      <c r="H172" s="287" t="str">
        <f>IF('Statement of Marks'!GY173="","",'Statement of Marks'!GY173)</f>
        <v/>
      </c>
      <c r="I172" s="287" t="str">
        <f>IF('Statement of Marks'!HB173="","",'Statement of Marks'!HB173)</f>
        <v/>
      </c>
      <c r="J172" s="288" t="str">
        <f>IF('Statement of Marks'!HC173="","",'Statement of Marks'!HC173)</f>
        <v/>
      </c>
      <c r="K172" s="296" t="str">
        <f>IF(B172="","",'Statement of Marks'!FJ173)</f>
        <v/>
      </c>
      <c r="L172" s="296" t="str">
        <f>IF(B172="","",'Statement of Marks'!FM173)</f>
        <v/>
      </c>
      <c r="M172" s="296" t="str">
        <f>IF(B172="","",'Statement of Marks'!FP173)</f>
        <v/>
      </c>
      <c r="N172" s="296" t="str">
        <f>IF(B172="","",'Statement of Marks'!FW173)</f>
        <v/>
      </c>
      <c r="O172" s="296" t="str">
        <f>IF(B172="","",'Statement of Marks'!GD173)</f>
        <v/>
      </c>
      <c r="P172" s="296" t="str">
        <f>IF(B172="","",'Statement of Marks'!GK173)</f>
        <v/>
      </c>
      <c r="Q172" s="296" t="str">
        <f>IF(B172="","",'Statement of Marks'!GR173)</f>
        <v/>
      </c>
      <c r="R172" s="296" t="str">
        <f>IF(B172="","",'Statement of Marks'!GS173)</f>
        <v/>
      </c>
      <c r="S172" s="288" t="str">
        <f>IF(COUNTIF(K172:R172,"F")&gt;0,"",CONCATENATE('Statement of Marks'!GU173,'Statement of Marks'!GW173))</f>
        <v xml:space="preserve">           </v>
      </c>
      <c r="T172" s="289">
        <f t="shared" si="36"/>
        <v>0</v>
      </c>
      <c r="U172" s="16"/>
      <c r="V172" s="297" t="str">
        <f t="shared" si="37"/>
        <v/>
      </c>
      <c r="W172" s="297" t="str">
        <f t="shared" si="38"/>
        <v/>
      </c>
      <c r="X172" s="16"/>
      <c r="Y172" s="297" t="str">
        <f t="shared" si="39"/>
        <v/>
      </c>
      <c r="Z172" s="297" t="str">
        <f t="shared" si="40"/>
        <v/>
      </c>
      <c r="AA172" s="16"/>
      <c r="AB172" s="297" t="str">
        <f t="shared" si="41"/>
        <v/>
      </c>
      <c r="AC172" s="298" t="str">
        <f t="shared" si="42"/>
        <v/>
      </c>
      <c r="AD172" s="16"/>
      <c r="AE172" s="297" t="str">
        <f t="shared" si="43"/>
        <v/>
      </c>
      <c r="AF172" s="298" t="str">
        <f t="shared" si="44"/>
        <v/>
      </c>
      <c r="AG172" s="16"/>
      <c r="AH172" s="297" t="str">
        <f t="shared" si="45"/>
        <v/>
      </c>
      <c r="AI172" s="298" t="str">
        <f t="shared" si="46"/>
        <v/>
      </c>
      <c r="AJ172" s="16"/>
      <c r="AK172" s="298" t="str">
        <f t="shared" si="47"/>
        <v/>
      </c>
      <c r="AL172" s="298" t="str">
        <f t="shared" si="48"/>
        <v/>
      </c>
      <c r="AM172" s="16"/>
      <c r="AN172" s="297" t="str">
        <f t="shared" si="49"/>
        <v/>
      </c>
      <c r="AO172" s="16"/>
      <c r="AP172" s="297" t="str">
        <f t="shared" si="50"/>
        <v/>
      </c>
      <c r="AQ172" s="299">
        <f t="shared" si="51"/>
        <v>0</v>
      </c>
      <c r="AR172" s="299">
        <f t="shared" si="52"/>
        <v>0</v>
      </c>
      <c r="AS172" s="300" t="str">
        <f t="shared" si="53"/>
        <v/>
      </c>
      <c r="AT172" s="301" t="str">
        <f>IF(COUNTIF(K172:R172,"F")&gt;0,"",IF(AS172="PASS",'Statement of Marks'!HF173,""))</f>
        <v/>
      </c>
      <c r="AU172" s="301" t="str">
        <f>IF(AS172="PASS",'Statement of Marks'!HG173,"")</f>
        <v/>
      </c>
    </row>
    <row r="173" spans="1:47">
      <c r="A173" s="284">
        <f>IF('Statement of Marks'!A174="","",'Statement of Marks'!A174)</f>
        <v>167</v>
      </c>
      <c r="B173" s="284" t="str">
        <f>IF('Statement of Marks'!B174="","",'Statement of Marks'!B174)</f>
        <v/>
      </c>
      <c r="C173" s="284" t="str">
        <f>IF('Statement of Marks'!C174="","",'Statement of Marks'!C174)</f>
        <v/>
      </c>
      <c r="D173" s="285" t="str">
        <f>IF('Statement of Marks'!D174="","",'Statement of Marks'!D174)</f>
        <v/>
      </c>
      <c r="E173" s="286" t="str">
        <f>IF('Statement of Marks'!E174="","",'Statement of Marks'!E174)</f>
        <v/>
      </c>
      <c r="F173" s="286" t="str">
        <f>IF('Statement of Marks'!F174="","",'Statement of Marks'!F174)</f>
        <v/>
      </c>
      <c r="G173" s="286" t="str">
        <f>IF('Statement of Marks'!G174="","",'Statement of Marks'!G174)</f>
        <v/>
      </c>
      <c r="H173" s="287" t="str">
        <f>IF('Statement of Marks'!GY174="","",'Statement of Marks'!GY174)</f>
        <v/>
      </c>
      <c r="I173" s="287" t="str">
        <f>IF('Statement of Marks'!HB174="","",'Statement of Marks'!HB174)</f>
        <v/>
      </c>
      <c r="J173" s="288" t="str">
        <f>IF('Statement of Marks'!HC174="","",'Statement of Marks'!HC174)</f>
        <v/>
      </c>
      <c r="K173" s="296" t="str">
        <f>IF(B173="","",'Statement of Marks'!FJ174)</f>
        <v/>
      </c>
      <c r="L173" s="296" t="str">
        <f>IF(B173="","",'Statement of Marks'!FM174)</f>
        <v/>
      </c>
      <c r="M173" s="296" t="str">
        <f>IF(B173="","",'Statement of Marks'!FP174)</f>
        <v/>
      </c>
      <c r="N173" s="296" t="str">
        <f>IF(B173="","",'Statement of Marks'!FW174)</f>
        <v/>
      </c>
      <c r="O173" s="296" t="str">
        <f>IF(B173="","",'Statement of Marks'!GD174)</f>
        <v/>
      </c>
      <c r="P173" s="296" t="str">
        <f>IF(B173="","",'Statement of Marks'!GK174)</f>
        <v/>
      </c>
      <c r="Q173" s="296" t="str">
        <f>IF(B173="","",'Statement of Marks'!GR174)</f>
        <v/>
      </c>
      <c r="R173" s="296" t="str">
        <f>IF(B173="","",'Statement of Marks'!GS174)</f>
        <v/>
      </c>
      <c r="S173" s="288" t="str">
        <f>IF(COUNTIF(K173:R173,"F")&gt;0,"",CONCATENATE('Statement of Marks'!GU174,'Statement of Marks'!GW174))</f>
        <v xml:space="preserve">           </v>
      </c>
      <c r="T173" s="289">
        <f t="shared" si="36"/>
        <v>0</v>
      </c>
      <c r="U173" s="16"/>
      <c r="V173" s="297" t="str">
        <f t="shared" si="37"/>
        <v/>
      </c>
      <c r="W173" s="297" t="str">
        <f t="shared" si="38"/>
        <v/>
      </c>
      <c r="X173" s="16"/>
      <c r="Y173" s="297" t="str">
        <f t="shared" si="39"/>
        <v/>
      </c>
      <c r="Z173" s="297" t="str">
        <f t="shared" si="40"/>
        <v/>
      </c>
      <c r="AA173" s="16"/>
      <c r="AB173" s="297" t="str">
        <f t="shared" si="41"/>
        <v/>
      </c>
      <c r="AC173" s="298" t="str">
        <f t="shared" si="42"/>
        <v/>
      </c>
      <c r="AD173" s="16"/>
      <c r="AE173" s="297" t="str">
        <f t="shared" si="43"/>
        <v/>
      </c>
      <c r="AF173" s="298" t="str">
        <f t="shared" si="44"/>
        <v/>
      </c>
      <c r="AG173" s="16"/>
      <c r="AH173" s="297" t="str">
        <f t="shared" si="45"/>
        <v/>
      </c>
      <c r="AI173" s="298" t="str">
        <f t="shared" si="46"/>
        <v/>
      </c>
      <c r="AJ173" s="16"/>
      <c r="AK173" s="298" t="str">
        <f t="shared" si="47"/>
        <v/>
      </c>
      <c r="AL173" s="298" t="str">
        <f t="shared" si="48"/>
        <v/>
      </c>
      <c r="AM173" s="16"/>
      <c r="AN173" s="297" t="str">
        <f t="shared" si="49"/>
        <v/>
      </c>
      <c r="AO173" s="16"/>
      <c r="AP173" s="297" t="str">
        <f t="shared" si="50"/>
        <v/>
      </c>
      <c r="AQ173" s="299">
        <f t="shared" si="51"/>
        <v>0</v>
      </c>
      <c r="AR173" s="299">
        <f t="shared" si="52"/>
        <v>0</v>
      </c>
      <c r="AS173" s="300" t="str">
        <f t="shared" si="53"/>
        <v/>
      </c>
      <c r="AT173" s="301" t="str">
        <f>IF(COUNTIF(K173:R173,"F")&gt;0,"",IF(AS173="PASS",'Statement of Marks'!HF174,""))</f>
        <v/>
      </c>
      <c r="AU173" s="301" t="str">
        <f>IF(AS173="PASS",'Statement of Marks'!HG174,"")</f>
        <v/>
      </c>
    </row>
    <row r="174" spans="1:47">
      <c r="A174" s="284">
        <f>IF('Statement of Marks'!A175="","",'Statement of Marks'!A175)</f>
        <v>168</v>
      </c>
      <c r="B174" s="284" t="str">
        <f>IF('Statement of Marks'!B175="","",'Statement of Marks'!B175)</f>
        <v/>
      </c>
      <c r="C174" s="284" t="str">
        <f>IF('Statement of Marks'!C175="","",'Statement of Marks'!C175)</f>
        <v/>
      </c>
      <c r="D174" s="285" t="str">
        <f>IF('Statement of Marks'!D175="","",'Statement of Marks'!D175)</f>
        <v/>
      </c>
      <c r="E174" s="286" t="str">
        <f>IF('Statement of Marks'!E175="","",'Statement of Marks'!E175)</f>
        <v/>
      </c>
      <c r="F174" s="286" t="str">
        <f>IF('Statement of Marks'!F175="","",'Statement of Marks'!F175)</f>
        <v/>
      </c>
      <c r="G174" s="286" t="str">
        <f>IF('Statement of Marks'!G175="","",'Statement of Marks'!G175)</f>
        <v/>
      </c>
      <c r="H174" s="287" t="str">
        <f>IF('Statement of Marks'!GY175="","",'Statement of Marks'!GY175)</f>
        <v/>
      </c>
      <c r="I174" s="287" t="str">
        <f>IF('Statement of Marks'!HB175="","",'Statement of Marks'!HB175)</f>
        <v/>
      </c>
      <c r="J174" s="288" t="str">
        <f>IF('Statement of Marks'!HC175="","",'Statement of Marks'!HC175)</f>
        <v/>
      </c>
      <c r="K174" s="296" t="str">
        <f>IF(B174="","",'Statement of Marks'!FJ175)</f>
        <v/>
      </c>
      <c r="L174" s="296" t="str">
        <f>IF(B174="","",'Statement of Marks'!FM175)</f>
        <v/>
      </c>
      <c r="M174" s="296" t="str">
        <f>IF(B174="","",'Statement of Marks'!FP175)</f>
        <v/>
      </c>
      <c r="N174" s="296" t="str">
        <f>IF(B174="","",'Statement of Marks'!FW175)</f>
        <v/>
      </c>
      <c r="O174" s="296" t="str">
        <f>IF(B174="","",'Statement of Marks'!GD175)</f>
        <v/>
      </c>
      <c r="P174" s="296" t="str">
        <f>IF(B174="","",'Statement of Marks'!GK175)</f>
        <v/>
      </c>
      <c r="Q174" s="296" t="str">
        <f>IF(B174="","",'Statement of Marks'!GR175)</f>
        <v/>
      </c>
      <c r="R174" s="296" t="str">
        <f>IF(B174="","",'Statement of Marks'!GS175)</f>
        <v/>
      </c>
      <c r="S174" s="288" t="str">
        <f>IF(COUNTIF(K174:R174,"F")&gt;0,"",CONCATENATE('Statement of Marks'!GU175,'Statement of Marks'!GW175))</f>
        <v xml:space="preserve">           </v>
      </c>
      <c r="T174" s="289">
        <f t="shared" si="36"/>
        <v>0</v>
      </c>
      <c r="U174" s="16"/>
      <c r="V174" s="297" t="str">
        <f t="shared" si="37"/>
        <v/>
      </c>
      <c r="W174" s="297" t="str">
        <f t="shared" si="38"/>
        <v/>
      </c>
      <c r="X174" s="16"/>
      <c r="Y174" s="297" t="str">
        <f t="shared" si="39"/>
        <v/>
      </c>
      <c r="Z174" s="297" t="str">
        <f t="shared" si="40"/>
        <v/>
      </c>
      <c r="AA174" s="16"/>
      <c r="AB174" s="297" t="str">
        <f t="shared" si="41"/>
        <v/>
      </c>
      <c r="AC174" s="298" t="str">
        <f t="shared" si="42"/>
        <v/>
      </c>
      <c r="AD174" s="16"/>
      <c r="AE174" s="297" t="str">
        <f t="shared" si="43"/>
        <v/>
      </c>
      <c r="AF174" s="298" t="str">
        <f t="shared" si="44"/>
        <v/>
      </c>
      <c r="AG174" s="16"/>
      <c r="AH174" s="297" t="str">
        <f t="shared" si="45"/>
        <v/>
      </c>
      <c r="AI174" s="298" t="str">
        <f t="shared" si="46"/>
        <v/>
      </c>
      <c r="AJ174" s="16"/>
      <c r="AK174" s="298" t="str">
        <f t="shared" si="47"/>
        <v/>
      </c>
      <c r="AL174" s="298" t="str">
        <f t="shared" si="48"/>
        <v/>
      </c>
      <c r="AM174" s="16"/>
      <c r="AN174" s="297" t="str">
        <f t="shared" si="49"/>
        <v/>
      </c>
      <c r="AO174" s="16"/>
      <c r="AP174" s="297" t="str">
        <f t="shared" si="50"/>
        <v/>
      </c>
      <c r="AQ174" s="299">
        <f t="shared" si="51"/>
        <v>0</v>
      </c>
      <c r="AR174" s="299">
        <f t="shared" si="52"/>
        <v>0</v>
      </c>
      <c r="AS174" s="300" t="str">
        <f t="shared" si="53"/>
        <v/>
      </c>
      <c r="AT174" s="301" t="str">
        <f>IF(COUNTIF(K174:R174,"F")&gt;0,"",IF(AS174="PASS",'Statement of Marks'!HF175,""))</f>
        <v/>
      </c>
      <c r="AU174" s="301" t="str">
        <f>IF(AS174="PASS",'Statement of Marks'!HG175,"")</f>
        <v/>
      </c>
    </row>
    <row r="175" spans="1:47">
      <c r="A175" s="284">
        <f>IF('Statement of Marks'!A176="","",'Statement of Marks'!A176)</f>
        <v>169</v>
      </c>
      <c r="B175" s="284" t="str">
        <f>IF('Statement of Marks'!B176="","",'Statement of Marks'!B176)</f>
        <v/>
      </c>
      <c r="C175" s="284" t="str">
        <f>IF('Statement of Marks'!C176="","",'Statement of Marks'!C176)</f>
        <v/>
      </c>
      <c r="D175" s="285" t="str">
        <f>IF('Statement of Marks'!D176="","",'Statement of Marks'!D176)</f>
        <v/>
      </c>
      <c r="E175" s="286" t="str">
        <f>IF('Statement of Marks'!E176="","",'Statement of Marks'!E176)</f>
        <v/>
      </c>
      <c r="F175" s="286" t="str">
        <f>IF('Statement of Marks'!F176="","",'Statement of Marks'!F176)</f>
        <v/>
      </c>
      <c r="G175" s="286" t="str">
        <f>IF('Statement of Marks'!G176="","",'Statement of Marks'!G176)</f>
        <v/>
      </c>
      <c r="H175" s="287" t="str">
        <f>IF('Statement of Marks'!GY176="","",'Statement of Marks'!GY176)</f>
        <v/>
      </c>
      <c r="I175" s="287" t="str">
        <f>IF('Statement of Marks'!HB176="","",'Statement of Marks'!HB176)</f>
        <v/>
      </c>
      <c r="J175" s="288" t="str">
        <f>IF('Statement of Marks'!HC176="","",'Statement of Marks'!HC176)</f>
        <v/>
      </c>
      <c r="K175" s="296" t="str">
        <f>IF(B175="","",'Statement of Marks'!FJ176)</f>
        <v/>
      </c>
      <c r="L175" s="296" t="str">
        <f>IF(B175="","",'Statement of Marks'!FM176)</f>
        <v/>
      </c>
      <c r="M175" s="296" t="str">
        <f>IF(B175="","",'Statement of Marks'!FP176)</f>
        <v/>
      </c>
      <c r="N175" s="296" t="str">
        <f>IF(B175="","",'Statement of Marks'!FW176)</f>
        <v/>
      </c>
      <c r="O175" s="296" t="str">
        <f>IF(B175="","",'Statement of Marks'!GD176)</f>
        <v/>
      </c>
      <c r="P175" s="296" t="str">
        <f>IF(B175="","",'Statement of Marks'!GK176)</f>
        <v/>
      </c>
      <c r="Q175" s="296" t="str">
        <f>IF(B175="","",'Statement of Marks'!GR176)</f>
        <v/>
      </c>
      <c r="R175" s="296" t="str">
        <f>IF(B175="","",'Statement of Marks'!GS176)</f>
        <v/>
      </c>
      <c r="S175" s="288" t="str">
        <f>IF(COUNTIF(K175:R175,"F")&gt;0,"",CONCATENATE('Statement of Marks'!GU176,'Statement of Marks'!GW176))</f>
        <v xml:space="preserve">           </v>
      </c>
      <c r="T175" s="289">
        <f t="shared" si="36"/>
        <v>0</v>
      </c>
      <c r="U175" s="16"/>
      <c r="V175" s="297" t="str">
        <f t="shared" si="37"/>
        <v/>
      </c>
      <c r="W175" s="297" t="str">
        <f t="shared" si="38"/>
        <v/>
      </c>
      <c r="X175" s="16"/>
      <c r="Y175" s="297" t="str">
        <f t="shared" si="39"/>
        <v/>
      </c>
      <c r="Z175" s="297" t="str">
        <f t="shared" si="40"/>
        <v/>
      </c>
      <c r="AA175" s="16"/>
      <c r="AB175" s="297" t="str">
        <f t="shared" si="41"/>
        <v/>
      </c>
      <c r="AC175" s="298" t="str">
        <f t="shared" si="42"/>
        <v/>
      </c>
      <c r="AD175" s="16"/>
      <c r="AE175" s="297" t="str">
        <f t="shared" si="43"/>
        <v/>
      </c>
      <c r="AF175" s="298" t="str">
        <f t="shared" si="44"/>
        <v/>
      </c>
      <c r="AG175" s="16"/>
      <c r="AH175" s="297" t="str">
        <f t="shared" si="45"/>
        <v/>
      </c>
      <c r="AI175" s="298" t="str">
        <f t="shared" si="46"/>
        <v/>
      </c>
      <c r="AJ175" s="16"/>
      <c r="AK175" s="298" t="str">
        <f t="shared" si="47"/>
        <v/>
      </c>
      <c r="AL175" s="298" t="str">
        <f t="shared" si="48"/>
        <v/>
      </c>
      <c r="AM175" s="16"/>
      <c r="AN175" s="297" t="str">
        <f t="shared" si="49"/>
        <v/>
      </c>
      <c r="AO175" s="16"/>
      <c r="AP175" s="297" t="str">
        <f t="shared" si="50"/>
        <v/>
      </c>
      <c r="AQ175" s="299">
        <f t="shared" si="51"/>
        <v>0</v>
      </c>
      <c r="AR175" s="299">
        <f t="shared" si="52"/>
        <v>0</v>
      </c>
      <c r="AS175" s="300" t="str">
        <f t="shared" si="53"/>
        <v/>
      </c>
      <c r="AT175" s="301" t="str">
        <f>IF(COUNTIF(K175:R175,"F")&gt;0,"",IF(AS175="PASS",'Statement of Marks'!HF176,""))</f>
        <v/>
      </c>
      <c r="AU175" s="301" t="str">
        <f>IF(AS175="PASS",'Statement of Marks'!HG176,"")</f>
        <v/>
      </c>
    </row>
    <row r="176" spans="1:47">
      <c r="A176" s="284">
        <f>IF('Statement of Marks'!A177="","",'Statement of Marks'!A177)</f>
        <v>170</v>
      </c>
      <c r="B176" s="284" t="str">
        <f>IF('Statement of Marks'!B177="","",'Statement of Marks'!B177)</f>
        <v/>
      </c>
      <c r="C176" s="284" t="str">
        <f>IF('Statement of Marks'!C177="","",'Statement of Marks'!C177)</f>
        <v/>
      </c>
      <c r="D176" s="285" t="str">
        <f>IF('Statement of Marks'!D177="","",'Statement of Marks'!D177)</f>
        <v/>
      </c>
      <c r="E176" s="286" t="str">
        <f>IF('Statement of Marks'!E177="","",'Statement of Marks'!E177)</f>
        <v/>
      </c>
      <c r="F176" s="286" t="str">
        <f>IF('Statement of Marks'!F177="","",'Statement of Marks'!F177)</f>
        <v/>
      </c>
      <c r="G176" s="286" t="str">
        <f>IF('Statement of Marks'!G177="","",'Statement of Marks'!G177)</f>
        <v/>
      </c>
      <c r="H176" s="287" t="str">
        <f>IF('Statement of Marks'!GY177="","",'Statement of Marks'!GY177)</f>
        <v/>
      </c>
      <c r="I176" s="287" t="str">
        <f>IF('Statement of Marks'!HB177="","",'Statement of Marks'!HB177)</f>
        <v/>
      </c>
      <c r="J176" s="288" t="str">
        <f>IF('Statement of Marks'!HC177="","",'Statement of Marks'!HC177)</f>
        <v/>
      </c>
      <c r="K176" s="296" t="str">
        <f>IF(B176="","",'Statement of Marks'!FJ177)</f>
        <v/>
      </c>
      <c r="L176" s="296" t="str">
        <f>IF(B176="","",'Statement of Marks'!FM177)</f>
        <v/>
      </c>
      <c r="M176" s="296" t="str">
        <f>IF(B176="","",'Statement of Marks'!FP177)</f>
        <v/>
      </c>
      <c r="N176" s="296" t="str">
        <f>IF(B176="","",'Statement of Marks'!FW177)</f>
        <v/>
      </c>
      <c r="O176" s="296" t="str">
        <f>IF(B176="","",'Statement of Marks'!GD177)</f>
        <v/>
      </c>
      <c r="P176" s="296" t="str">
        <f>IF(B176="","",'Statement of Marks'!GK177)</f>
        <v/>
      </c>
      <c r="Q176" s="296" t="str">
        <f>IF(B176="","",'Statement of Marks'!GR177)</f>
        <v/>
      </c>
      <c r="R176" s="296" t="str">
        <f>IF(B176="","",'Statement of Marks'!GS177)</f>
        <v/>
      </c>
      <c r="S176" s="288" t="str">
        <f>IF(COUNTIF(K176:R176,"F")&gt;0,"",CONCATENATE('Statement of Marks'!GU177,'Statement of Marks'!GW177))</f>
        <v xml:space="preserve">           </v>
      </c>
      <c r="T176" s="289">
        <f t="shared" si="36"/>
        <v>0</v>
      </c>
      <c r="U176" s="16"/>
      <c r="V176" s="297" t="str">
        <f t="shared" si="37"/>
        <v/>
      </c>
      <c r="W176" s="297" t="str">
        <f t="shared" si="38"/>
        <v/>
      </c>
      <c r="X176" s="16"/>
      <c r="Y176" s="297" t="str">
        <f t="shared" si="39"/>
        <v/>
      </c>
      <c r="Z176" s="297" t="str">
        <f t="shared" si="40"/>
        <v/>
      </c>
      <c r="AA176" s="16"/>
      <c r="AB176" s="297" t="str">
        <f t="shared" si="41"/>
        <v/>
      </c>
      <c r="AC176" s="298" t="str">
        <f t="shared" si="42"/>
        <v/>
      </c>
      <c r="AD176" s="16"/>
      <c r="AE176" s="297" t="str">
        <f t="shared" si="43"/>
        <v/>
      </c>
      <c r="AF176" s="298" t="str">
        <f t="shared" si="44"/>
        <v/>
      </c>
      <c r="AG176" s="16"/>
      <c r="AH176" s="297" t="str">
        <f t="shared" si="45"/>
        <v/>
      </c>
      <c r="AI176" s="298" t="str">
        <f t="shared" si="46"/>
        <v/>
      </c>
      <c r="AJ176" s="16"/>
      <c r="AK176" s="298" t="str">
        <f t="shared" si="47"/>
        <v/>
      </c>
      <c r="AL176" s="298" t="str">
        <f t="shared" si="48"/>
        <v/>
      </c>
      <c r="AM176" s="16"/>
      <c r="AN176" s="297" t="str">
        <f t="shared" si="49"/>
        <v/>
      </c>
      <c r="AO176" s="16"/>
      <c r="AP176" s="297" t="str">
        <f t="shared" si="50"/>
        <v/>
      </c>
      <c r="AQ176" s="299">
        <f t="shared" si="51"/>
        <v>0</v>
      </c>
      <c r="AR176" s="299">
        <f t="shared" si="52"/>
        <v>0</v>
      </c>
      <c r="AS176" s="300" t="str">
        <f t="shared" si="53"/>
        <v/>
      </c>
      <c r="AT176" s="301" t="str">
        <f>IF(COUNTIF(K176:R176,"F")&gt;0,"",IF(AS176="PASS",'Statement of Marks'!HF177,""))</f>
        <v/>
      </c>
      <c r="AU176" s="301" t="str">
        <f>IF(AS176="PASS",'Statement of Marks'!HG177,"")</f>
        <v/>
      </c>
    </row>
    <row r="177" spans="1:47">
      <c r="A177" s="284">
        <f>IF('Statement of Marks'!A178="","",'Statement of Marks'!A178)</f>
        <v>171</v>
      </c>
      <c r="B177" s="284" t="str">
        <f>IF('Statement of Marks'!B178="","",'Statement of Marks'!B178)</f>
        <v/>
      </c>
      <c r="C177" s="284" t="str">
        <f>IF('Statement of Marks'!C178="","",'Statement of Marks'!C178)</f>
        <v/>
      </c>
      <c r="D177" s="285" t="str">
        <f>IF('Statement of Marks'!D178="","",'Statement of Marks'!D178)</f>
        <v/>
      </c>
      <c r="E177" s="286" t="str">
        <f>IF('Statement of Marks'!E178="","",'Statement of Marks'!E178)</f>
        <v/>
      </c>
      <c r="F177" s="286" t="str">
        <f>IF('Statement of Marks'!F178="","",'Statement of Marks'!F178)</f>
        <v/>
      </c>
      <c r="G177" s="286" t="str">
        <f>IF('Statement of Marks'!G178="","",'Statement of Marks'!G178)</f>
        <v/>
      </c>
      <c r="H177" s="287" t="str">
        <f>IF('Statement of Marks'!GY178="","",'Statement of Marks'!GY178)</f>
        <v/>
      </c>
      <c r="I177" s="287" t="str">
        <f>IF('Statement of Marks'!HB178="","",'Statement of Marks'!HB178)</f>
        <v/>
      </c>
      <c r="J177" s="288" t="str">
        <f>IF('Statement of Marks'!HC178="","",'Statement of Marks'!HC178)</f>
        <v/>
      </c>
      <c r="K177" s="296" t="str">
        <f>IF(B177="","",'Statement of Marks'!FJ178)</f>
        <v/>
      </c>
      <c r="L177" s="296" t="str">
        <f>IF(B177="","",'Statement of Marks'!FM178)</f>
        <v/>
      </c>
      <c r="M177" s="296" t="str">
        <f>IF(B177="","",'Statement of Marks'!FP178)</f>
        <v/>
      </c>
      <c r="N177" s="296" t="str">
        <f>IF(B177="","",'Statement of Marks'!FW178)</f>
        <v/>
      </c>
      <c r="O177" s="296" t="str">
        <f>IF(B177="","",'Statement of Marks'!GD178)</f>
        <v/>
      </c>
      <c r="P177" s="296" t="str">
        <f>IF(B177="","",'Statement of Marks'!GK178)</f>
        <v/>
      </c>
      <c r="Q177" s="296" t="str">
        <f>IF(B177="","",'Statement of Marks'!GR178)</f>
        <v/>
      </c>
      <c r="R177" s="296" t="str">
        <f>IF(B177="","",'Statement of Marks'!GS178)</f>
        <v/>
      </c>
      <c r="S177" s="288" t="str">
        <f>IF(COUNTIF(K177:R177,"F")&gt;0,"",CONCATENATE('Statement of Marks'!GU178,'Statement of Marks'!GW178))</f>
        <v xml:space="preserve">           </v>
      </c>
      <c r="T177" s="289">
        <f t="shared" si="36"/>
        <v>0</v>
      </c>
      <c r="U177" s="16"/>
      <c r="V177" s="297" t="str">
        <f t="shared" si="37"/>
        <v/>
      </c>
      <c r="W177" s="297" t="str">
        <f t="shared" si="38"/>
        <v/>
      </c>
      <c r="X177" s="16"/>
      <c r="Y177" s="297" t="str">
        <f t="shared" si="39"/>
        <v/>
      </c>
      <c r="Z177" s="297" t="str">
        <f t="shared" si="40"/>
        <v/>
      </c>
      <c r="AA177" s="16"/>
      <c r="AB177" s="297" t="str">
        <f t="shared" si="41"/>
        <v/>
      </c>
      <c r="AC177" s="298" t="str">
        <f t="shared" si="42"/>
        <v/>
      </c>
      <c r="AD177" s="16"/>
      <c r="AE177" s="297" t="str">
        <f t="shared" si="43"/>
        <v/>
      </c>
      <c r="AF177" s="298" t="str">
        <f t="shared" si="44"/>
        <v/>
      </c>
      <c r="AG177" s="16"/>
      <c r="AH177" s="297" t="str">
        <f t="shared" si="45"/>
        <v/>
      </c>
      <c r="AI177" s="298" t="str">
        <f t="shared" si="46"/>
        <v/>
      </c>
      <c r="AJ177" s="16"/>
      <c r="AK177" s="298" t="str">
        <f t="shared" si="47"/>
        <v/>
      </c>
      <c r="AL177" s="298" t="str">
        <f t="shared" si="48"/>
        <v/>
      </c>
      <c r="AM177" s="16"/>
      <c r="AN177" s="297" t="str">
        <f t="shared" si="49"/>
        <v/>
      </c>
      <c r="AO177" s="16"/>
      <c r="AP177" s="297" t="str">
        <f t="shared" si="50"/>
        <v/>
      </c>
      <c r="AQ177" s="299">
        <f t="shared" si="51"/>
        <v>0</v>
      </c>
      <c r="AR177" s="299">
        <f t="shared" si="52"/>
        <v>0</v>
      </c>
      <c r="AS177" s="300" t="str">
        <f t="shared" si="53"/>
        <v/>
      </c>
      <c r="AT177" s="301" t="str">
        <f>IF(COUNTIF(K177:R177,"F")&gt;0,"",IF(AS177="PASS",'Statement of Marks'!HF178,""))</f>
        <v/>
      </c>
      <c r="AU177" s="301" t="str">
        <f>IF(AS177="PASS",'Statement of Marks'!HG178,"")</f>
        <v/>
      </c>
    </row>
    <row r="178" spans="1:47">
      <c r="A178" s="284">
        <f>IF('Statement of Marks'!A179="","",'Statement of Marks'!A179)</f>
        <v>172</v>
      </c>
      <c r="B178" s="284" t="str">
        <f>IF('Statement of Marks'!B179="","",'Statement of Marks'!B179)</f>
        <v/>
      </c>
      <c r="C178" s="284" t="str">
        <f>IF('Statement of Marks'!C179="","",'Statement of Marks'!C179)</f>
        <v/>
      </c>
      <c r="D178" s="285" t="str">
        <f>IF('Statement of Marks'!D179="","",'Statement of Marks'!D179)</f>
        <v/>
      </c>
      <c r="E178" s="286" t="str">
        <f>IF('Statement of Marks'!E179="","",'Statement of Marks'!E179)</f>
        <v/>
      </c>
      <c r="F178" s="286" t="str">
        <f>IF('Statement of Marks'!F179="","",'Statement of Marks'!F179)</f>
        <v/>
      </c>
      <c r="G178" s="286" t="str">
        <f>IF('Statement of Marks'!G179="","",'Statement of Marks'!G179)</f>
        <v/>
      </c>
      <c r="H178" s="287" t="str">
        <f>IF('Statement of Marks'!GY179="","",'Statement of Marks'!GY179)</f>
        <v/>
      </c>
      <c r="I178" s="287" t="str">
        <f>IF('Statement of Marks'!HB179="","",'Statement of Marks'!HB179)</f>
        <v/>
      </c>
      <c r="J178" s="288" t="str">
        <f>IF('Statement of Marks'!HC179="","",'Statement of Marks'!HC179)</f>
        <v/>
      </c>
      <c r="K178" s="296" t="str">
        <f>IF(B178="","",'Statement of Marks'!FJ179)</f>
        <v/>
      </c>
      <c r="L178" s="296" t="str">
        <f>IF(B178="","",'Statement of Marks'!FM179)</f>
        <v/>
      </c>
      <c r="M178" s="296" t="str">
        <f>IF(B178="","",'Statement of Marks'!FP179)</f>
        <v/>
      </c>
      <c r="N178" s="296" t="str">
        <f>IF(B178="","",'Statement of Marks'!FW179)</f>
        <v/>
      </c>
      <c r="O178" s="296" t="str">
        <f>IF(B178="","",'Statement of Marks'!GD179)</f>
        <v/>
      </c>
      <c r="P178" s="296" t="str">
        <f>IF(B178="","",'Statement of Marks'!GK179)</f>
        <v/>
      </c>
      <c r="Q178" s="296" t="str">
        <f>IF(B178="","",'Statement of Marks'!GR179)</f>
        <v/>
      </c>
      <c r="R178" s="296" t="str">
        <f>IF(B178="","",'Statement of Marks'!GS179)</f>
        <v/>
      </c>
      <c r="S178" s="288" t="str">
        <f>IF(COUNTIF(K178:R178,"F")&gt;0,"",CONCATENATE('Statement of Marks'!GU179,'Statement of Marks'!GW179))</f>
        <v xml:space="preserve">           </v>
      </c>
      <c r="T178" s="289">
        <f t="shared" si="36"/>
        <v>0</v>
      </c>
      <c r="U178" s="16"/>
      <c r="V178" s="297" t="str">
        <f t="shared" si="37"/>
        <v/>
      </c>
      <c r="W178" s="297" t="str">
        <f t="shared" si="38"/>
        <v/>
      </c>
      <c r="X178" s="16"/>
      <c r="Y178" s="297" t="str">
        <f t="shared" si="39"/>
        <v/>
      </c>
      <c r="Z178" s="297" t="str">
        <f t="shared" si="40"/>
        <v/>
      </c>
      <c r="AA178" s="16"/>
      <c r="AB178" s="297" t="str">
        <f t="shared" si="41"/>
        <v/>
      </c>
      <c r="AC178" s="298" t="str">
        <f t="shared" si="42"/>
        <v/>
      </c>
      <c r="AD178" s="16"/>
      <c r="AE178" s="297" t="str">
        <f t="shared" si="43"/>
        <v/>
      </c>
      <c r="AF178" s="298" t="str">
        <f t="shared" si="44"/>
        <v/>
      </c>
      <c r="AG178" s="16"/>
      <c r="AH178" s="297" t="str">
        <f t="shared" si="45"/>
        <v/>
      </c>
      <c r="AI178" s="298" t="str">
        <f t="shared" si="46"/>
        <v/>
      </c>
      <c r="AJ178" s="16"/>
      <c r="AK178" s="298" t="str">
        <f t="shared" si="47"/>
        <v/>
      </c>
      <c r="AL178" s="298" t="str">
        <f t="shared" si="48"/>
        <v/>
      </c>
      <c r="AM178" s="16"/>
      <c r="AN178" s="297" t="str">
        <f t="shared" si="49"/>
        <v/>
      </c>
      <c r="AO178" s="16"/>
      <c r="AP178" s="297" t="str">
        <f t="shared" si="50"/>
        <v/>
      </c>
      <c r="AQ178" s="299">
        <f t="shared" si="51"/>
        <v>0</v>
      </c>
      <c r="AR178" s="299">
        <f t="shared" si="52"/>
        <v>0</v>
      </c>
      <c r="AS178" s="300" t="str">
        <f t="shared" si="53"/>
        <v/>
      </c>
      <c r="AT178" s="301" t="str">
        <f>IF(COUNTIF(K178:R178,"F")&gt;0,"",IF(AS178="PASS",'Statement of Marks'!HF179,""))</f>
        <v/>
      </c>
      <c r="AU178" s="301" t="str">
        <f>IF(AS178="PASS",'Statement of Marks'!HG179,"")</f>
        <v/>
      </c>
    </row>
    <row r="179" spans="1:47">
      <c r="A179" s="284">
        <f>IF('Statement of Marks'!A180="","",'Statement of Marks'!A180)</f>
        <v>173</v>
      </c>
      <c r="B179" s="284" t="str">
        <f>IF('Statement of Marks'!B180="","",'Statement of Marks'!B180)</f>
        <v/>
      </c>
      <c r="C179" s="284" t="str">
        <f>IF('Statement of Marks'!C180="","",'Statement of Marks'!C180)</f>
        <v/>
      </c>
      <c r="D179" s="285" t="str">
        <f>IF('Statement of Marks'!D180="","",'Statement of Marks'!D180)</f>
        <v/>
      </c>
      <c r="E179" s="286" t="str">
        <f>IF('Statement of Marks'!E180="","",'Statement of Marks'!E180)</f>
        <v/>
      </c>
      <c r="F179" s="286" t="str">
        <f>IF('Statement of Marks'!F180="","",'Statement of Marks'!F180)</f>
        <v/>
      </c>
      <c r="G179" s="286" t="str">
        <f>IF('Statement of Marks'!G180="","",'Statement of Marks'!G180)</f>
        <v/>
      </c>
      <c r="H179" s="287" t="str">
        <f>IF('Statement of Marks'!GY180="","",'Statement of Marks'!GY180)</f>
        <v/>
      </c>
      <c r="I179" s="287" t="str">
        <f>IF('Statement of Marks'!HB180="","",'Statement of Marks'!HB180)</f>
        <v/>
      </c>
      <c r="J179" s="288" t="str">
        <f>IF('Statement of Marks'!HC180="","",'Statement of Marks'!HC180)</f>
        <v/>
      </c>
      <c r="K179" s="296" t="str">
        <f>IF(B179="","",'Statement of Marks'!FJ180)</f>
        <v/>
      </c>
      <c r="L179" s="296" t="str">
        <f>IF(B179="","",'Statement of Marks'!FM180)</f>
        <v/>
      </c>
      <c r="M179" s="296" t="str">
        <f>IF(B179="","",'Statement of Marks'!FP180)</f>
        <v/>
      </c>
      <c r="N179" s="296" t="str">
        <f>IF(B179="","",'Statement of Marks'!FW180)</f>
        <v/>
      </c>
      <c r="O179" s="296" t="str">
        <f>IF(B179="","",'Statement of Marks'!GD180)</f>
        <v/>
      </c>
      <c r="P179" s="296" t="str">
        <f>IF(B179="","",'Statement of Marks'!GK180)</f>
        <v/>
      </c>
      <c r="Q179" s="296" t="str">
        <f>IF(B179="","",'Statement of Marks'!GR180)</f>
        <v/>
      </c>
      <c r="R179" s="296" t="str">
        <f>IF(B179="","",'Statement of Marks'!GS180)</f>
        <v/>
      </c>
      <c r="S179" s="288" t="str">
        <f>IF(COUNTIF(K179:R179,"F")&gt;0,"",CONCATENATE('Statement of Marks'!GU180,'Statement of Marks'!GW180))</f>
        <v xml:space="preserve">           </v>
      </c>
      <c r="T179" s="289">
        <f t="shared" si="36"/>
        <v>0</v>
      </c>
      <c r="U179" s="16"/>
      <c r="V179" s="297" t="str">
        <f t="shared" si="37"/>
        <v/>
      </c>
      <c r="W179" s="297" t="str">
        <f t="shared" si="38"/>
        <v/>
      </c>
      <c r="X179" s="16"/>
      <c r="Y179" s="297" t="str">
        <f t="shared" si="39"/>
        <v/>
      </c>
      <c r="Z179" s="297" t="str">
        <f t="shared" si="40"/>
        <v/>
      </c>
      <c r="AA179" s="16"/>
      <c r="AB179" s="297" t="str">
        <f t="shared" si="41"/>
        <v/>
      </c>
      <c r="AC179" s="298" t="str">
        <f t="shared" si="42"/>
        <v/>
      </c>
      <c r="AD179" s="16"/>
      <c r="AE179" s="297" t="str">
        <f t="shared" si="43"/>
        <v/>
      </c>
      <c r="AF179" s="298" t="str">
        <f t="shared" si="44"/>
        <v/>
      </c>
      <c r="AG179" s="16"/>
      <c r="AH179" s="297" t="str">
        <f t="shared" si="45"/>
        <v/>
      </c>
      <c r="AI179" s="298" t="str">
        <f t="shared" si="46"/>
        <v/>
      </c>
      <c r="AJ179" s="16"/>
      <c r="AK179" s="298" t="str">
        <f t="shared" si="47"/>
        <v/>
      </c>
      <c r="AL179" s="298" t="str">
        <f t="shared" si="48"/>
        <v/>
      </c>
      <c r="AM179" s="16"/>
      <c r="AN179" s="297" t="str">
        <f t="shared" si="49"/>
        <v/>
      </c>
      <c r="AO179" s="16"/>
      <c r="AP179" s="297" t="str">
        <f t="shared" si="50"/>
        <v/>
      </c>
      <c r="AQ179" s="299">
        <f t="shared" si="51"/>
        <v>0</v>
      </c>
      <c r="AR179" s="299">
        <f t="shared" si="52"/>
        <v>0</v>
      </c>
      <c r="AS179" s="300" t="str">
        <f t="shared" si="53"/>
        <v/>
      </c>
      <c r="AT179" s="301" t="str">
        <f>IF(COUNTIF(K179:R179,"F")&gt;0,"",IF(AS179="PASS",'Statement of Marks'!HF180,""))</f>
        <v/>
      </c>
      <c r="AU179" s="301" t="str">
        <f>IF(AS179="PASS",'Statement of Marks'!HG180,"")</f>
        <v/>
      </c>
    </row>
    <row r="180" spans="1:47">
      <c r="A180" s="284">
        <f>IF('Statement of Marks'!A181="","",'Statement of Marks'!A181)</f>
        <v>174</v>
      </c>
      <c r="B180" s="284" t="str">
        <f>IF('Statement of Marks'!B181="","",'Statement of Marks'!B181)</f>
        <v/>
      </c>
      <c r="C180" s="284" t="str">
        <f>IF('Statement of Marks'!C181="","",'Statement of Marks'!C181)</f>
        <v/>
      </c>
      <c r="D180" s="285" t="str">
        <f>IF('Statement of Marks'!D181="","",'Statement of Marks'!D181)</f>
        <v/>
      </c>
      <c r="E180" s="286" t="str">
        <f>IF('Statement of Marks'!E181="","",'Statement of Marks'!E181)</f>
        <v/>
      </c>
      <c r="F180" s="286" t="str">
        <f>IF('Statement of Marks'!F181="","",'Statement of Marks'!F181)</f>
        <v/>
      </c>
      <c r="G180" s="286" t="str">
        <f>IF('Statement of Marks'!G181="","",'Statement of Marks'!G181)</f>
        <v/>
      </c>
      <c r="H180" s="287" t="str">
        <f>IF('Statement of Marks'!GY181="","",'Statement of Marks'!GY181)</f>
        <v/>
      </c>
      <c r="I180" s="287" t="str">
        <f>IF('Statement of Marks'!HB181="","",'Statement of Marks'!HB181)</f>
        <v/>
      </c>
      <c r="J180" s="288" t="str">
        <f>IF('Statement of Marks'!HC181="","",'Statement of Marks'!HC181)</f>
        <v/>
      </c>
      <c r="K180" s="296" t="str">
        <f>IF(B180="","",'Statement of Marks'!FJ181)</f>
        <v/>
      </c>
      <c r="L180" s="296" t="str">
        <f>IF(B180="","",'Statement of Marks'!FM181)</f>
        <v/>
      </c>
      <c r="M180" s="296" t="str">
        <f>IF(B180="","",'Statement of Marks'!FP181)</f>
        <v/>
      </c>
      <c r="N180" s="296" t="str">
        <f>IF(B180="","",'Statement of Marks'!FW181)</f>
        <v/>
      </c>
      <c r="O180" s="296" t="str">
        <f>IF(B180="","",'Statement of Marks'!GD181)</f>
        <v/>
      </c>
      <c r="P180" s="296" t="str">
        <f>IF(B180="","",'Statement of Marks'!GK181)</f>
        <v/>
      </c>
      <c r="Q180" s="296" t="str">
        <f>IF(B180="","",'Statement of Marks'!GR181)</f>
        <v/>
      </c>
      <c r="R180" s="296" t="str">
        <f>IF(B180="","",'Statement of Marks'!GS181)</f>
        <v/>
      </c>
      <c r="S180" s="288" t="str">
        <f>IF(COUNTIF(K180:R180,"F")&gt;0,"",CONCATENATE('Statement of Marks'!GU181,'Statement of Marks'!GW181))</f>
        <v xml:space="preserve">           </v>
      </c>
      <c r="T180" s="289">
        <f t="shared" si="36"/>
        <v>0</v>
      </c>
      <c r="U180" s="16"/>
      <c r="V180" s="297" t="str">
        <f t="shared" si="37"/>
        <v/>
      </c>
      <c r="W180" s="297" t="str">
        <f t="shared" si="38"/>
        <v/>
      </c>
      <c r="X180" s="16"/>
      <c r="Y180" s="297" t="str">
        <f t="shared" si="39"/>
        <v/>
      </c>
      <c r="Z180" s="297" t="str">
        <f t="shared" si="40"/>
        <v/>
      </c>
      <c r="AA180" s="16"/>
      <c r="AB180" s="297" t="str">
        <f t="shared" si="41"/>
        <v/>
      </c>
      <c r="AC180" s="298" t="str">
        <f t="shared" si="42"/>
        <v/>
      </c>
      <c r="AD180" s="16"/>
      <c r="AE180" s="297" t="str">
        <f t="shared" si="43"/>
        <v/>
      </c>
      <c r="AF180" s="298" t="str">
        <f t="shared" si="44"/>
        <v/>
      </c>
      <c r="AG180" s="16"/>
      <c r="AH180" s="297" t="str">
        <f t="shared" si="45"/>
        <v/>
      </c>
      <c r="AI180" s="298" t="str">
        <f t="shared" si="46"/>
        <v/>
      </c>
      <c r="AJ180" s="16"/>
      <c r="AK180" s="298" t="str">
        <f t="shared" si="47"/>
        <v/>
      </c>
      <c r="AL180" s="298" t="str">
        <f t="shared" si="48"/>
        <v/>
      </c>
      <c r="AM180" s="16"/>
      <c r="AN180" s="297" t="str">
        <f t="shared" si="49"/>
        <v/>
      </c>
      <c r="AO180" s="16"/>
      <c r="AP180" s="297" t="str">
        <f t="shared" si="50"/>
        <v/>
      </c>
      <c r="AQ180" s="299">
        <f t="shared" si="51"/>
        <v>0</v>
      </c>
      <c r="AR180" s="299">
        <f t="shared" si="52"/>
        <v>0</v>
      </c>
      <c r="AS180" s="300" t="str">
        <f t="shared" si="53"/>
        <v/>
      </c>
      <c r="AT180" s="301" t="str">
        <f>IF(COUNTIF(K180:R180,"F")&gt;0,"",IF(AS180="PASS",'Statement of Marks'!HF181,""))</f>
        <v/>
      </c>
      <c r="AU180" s="301" t="str">
        <f>IF(AS180="PASS",'Statement of Marks'!HG181,"")</f>
        <v/>
      </c>
    </row>
    <row r="181" spans="1:47">
      <c r="A181" s="284">
        <f>IF('Statement of Marks'!A182="","",'Statement of Marks'!A182)</f>
        <v>175</v>
      </c>
      <c r="B181" s="284" t="str">
        <f>IF('Statement of Marks'!B182="","",'Statement of Marks'!B182)</f>
        <v/>
      </c>
      <c r="C181" s="284" t="str">
        <f>IF('Statement of Marks'!C182="","",'Statement of Marks'!C182)</f>
        <v/>
      </c>
      <c r="D181" s="285" t="str">
        <f>IF('Statement of Marks'!D182="","",'Statement of Marks'!D182)</f>
        <v/>
      </c>
      <c r="E181" s="286" t="str">
        <f>IF('Statement of Marks'!E182="","",'Statement of Marks'!E182)</f>
        <v/>
      </c>
      <c r="F181" s="286" t="str">
        <f>IF('Statement of Marks'!F182="","",'Statement of Marks'!F182)</f>
        <v/>
      </c>
      <c r="G181" s="286" t="str">
        <f>IF('Statement of Marks'!G182="","",'Statement of Marks'!G182)</f>
        <v/>
      </c>
      <c r="H181" s="287" t="str">
        <f>IF('Statement of Marks'!GY182="","",'Statement of Marks'!GY182)</f>
        <v/>
      </c>
      <c r="I181" s="287" t="str">
        <f>IF('Statement of Marks'!HB182="","",'Statement of Marks'!HB182)</f>
        <v/>
      </c>
      <c r="J181" s="288" t="str">
        <f>IF('Statement of Marks'!HC182="","",'Statement of Marks'!HC182)</f>
        <v/>
      </c>
      <c r="K181" s="296" t="str">
        <f>IF(B181="","",'Statement of Marks'!FJ182)</f>
        <v/>
      </c>
      <c r="L181" s="296" t="str">
        <f>IF(B181="","",'Statement of Marks'!FM182)</f>
        <v/>
      </c>
      <c r="M181" s="296" t="str">
        <f>IF(B181="","",'Statement of Marks'!FP182)</f>
        <v/>
      </c>
      <c r="N181" s="296" t="str">
        <f>IF(B181="","",'Statement of Marks'!FW182)</f>
        <v/>
      </c>
      <c r="O181" s="296" t="str">
        <f>IF(B181="","",'Statement of Marks'!GD182)</f>
        <v/>
      </c>
      <c r="P181" s="296" t="str">
        <f>IF(B181="","",'Statement of Marks'!GK182)</f>
        <v/>
      </c>
      <c r="Q181" s="296" t="str">
        <f>IF(B181="","",'Statement of Marks'!GR182)</f>
        <v/>
      </c>
      <c r="R181" s="296" t="str">
        <f>IF(B181="","",'Statement of Marks'!GS182)</f>
        <v/>
      </c>
      <c r="S181" s="288" t="str">
        <f>IF(COUNTIF(K181:R181,"F")&gt;0,"",CONCATENATE('Statement of Marks'!GU182,'Statement of Marks'!GW182))</f>
        <v xml:space="preserve">           </v>
      </c>
      <c r="T181" s="289">
        <f t="shared" si="36"/>
        <v>0</v>
      </c>
      <c r="U181" s="16"/>
      <c r="V181" s="297" t="str">
        <f t="shared" si="37"/>
        <v/>
      </c>
      <c r="W181" s="297" t="str">
        <f t="shared" si="38"/>
        <v/>
      </c>
      <c r="X181" s="16"/>
      <c r="Y181" s="297" t="str">
        <f t="shared" si="39"/>
        <v/>
      </c>
      <c r="Z181" s="297" t="str">
        <f t="shared" si="40"/>
        <v/>
      </c>
      <c r="AA181" s="16"/>
      <c r="AB181" s="297" t="str">
        <f t="shared" si="41"/>
        <v/>
      </c>
      <c r="AC181" s="298" t="str">
        <f t="shared" si="42"/>
        <v/>
      </c>
      <c r="AD181" s="16"/>
      <c r="AE181" s="297" t="str">
        <f t="shared" si="43"/>
        <v/>
      </c>
      <c r="AF181" s="298" t="str">
        <f t="shared" si="44"/>
        <v/>
      </c>
      <c r="AG181" s="16"/>
      <c r="AH181" s="297" t="str">
        <f t="shared" si="45"/>
        <v/>
      </c>
      <c r="AI181" s="298" t="str">
        <f t="shared" si="46"/>
        <v/>
      </c>
      <c r="AJ181" s="16"/>
      <c r="AK181" s="298" t="str">
        <f t="shared" si="47"/>
        <v/>
      </c>
      <c r="AL181" s="298" t="str">
        <f t="shared" si="48"/>
        <v/>
      </c>
      <c r="AM181" s="16"/>
      <c r="AN181" s="297" t="str">
        <f t="shared" si="49"/>
        <v/>
      </c>
      <c r="AO181" s="16"/>
      <c r="AP181" s="297" t="str">
        <f t="shared" si="50"/>
        <v/>
      </c>
      <c r="AQ181" s="299">
        <f t="shared" si="51"/>
        <v>0</v>
      </c>
      <c r="AR181" s="299">
        <f t="shared" si="52"/>
        <v>0</v>
      </c>
      <c r="AS181" s="300" t="str">
        <f t="shared" si="53"/>
        <v/>
      </c>
      <c r="AT181" s="301" t="str">
        <f>IF(COUNTIF(K181:R181,"F")&gt;0,"",IF(AS181="PASS",'Statement of Marks'!HF182,""))</f>
        <v/>
      </c>
      <c r="AU181" s="301" t="str">
        <f>IF(AS181="PASS",'Statement of Marks'!HG182,"")</f>
        <v/>
      </c>
    </row>
    <row r="182" spans="1:47">
      <c r="A182" s="284">
        <f>IF('Statement of Marks'!A183="","",'Statement of Marks'!A183)</f>
        <v>176</v>
      </c>
      <c r="B182" s="284" t="str">
        <f>IF('Statement of Marks'!B183="","",'Statement of Marks'!B183)</f>
        <v/>
      </c>
      <c r="C182" s="284" t="str">
        <f>IF('Statement of Marks'!C183="","",'Statement of Marks'!C183)</f>
        <v/>
      </c>
      <c r="D182" s="285" t="str">
        <f>IF('Statement of Marks'!D183="","",'Statement of Marks'!D183)</f>
        <v/>
      </c>
      <c r="E182" s="286" t="str">
        <f>IF('Statement of Marks'!E183="","",'Statement of Marks'!E183)</f>
        <v/>
      </c>
      <c r="F182" s="286" t="str">
        <f>IF('Statement of Marks'!F183="","",'Statement of Marks'!F183)</f>
        <v/>
      </c>
      <c r="G182" s="286" t="str">
        <f>IF('Statement of Marks'!G183="","",'Statement of Marks'!G183)</f>
        <v/>
      </c>
      <c r="H182" s="287" t="str">
        <f>IF('Statement of Marks'!GY183="","",'Statement of Marks'!GY183)</f>
        <v/>
      </c>
      <c r="I182" s="287" t="str">
        <f>IF('Statement of Marks'!HB183="","",'Statement of Marks'!HB183)</f>
        <v/>
      </c>
      <c r="J182" s="288" t="str">
        <f>IF('Statement of Marks'!HC183="","",'Statement of Marks'!HC183)</f>
        <v/>
      </c>
      <c r="K182" s="296" t="str">
        <f>IF(B182="","",'Statement of Marks'!FJ183)</f>
        <v/>
      </c>
      <c r="L182" s="296" t="str">
        <f>IF(B182="","",'Statement of Marks'!FM183)</f>
        <v/>
      </c>
      <c r="M182" s="296" t="str">
        <f>IF(B182="","",'Statement of Marks'!FP183)</f>
        <v/>
      </c>
      <c r="N182" s="296" t="str">
        <f>IF(B182="","",'Statement of Marks'!FW183)</f>
        <v/>
      </c>
      <c r="O182" s="296" t="str">
        <f>IF(B182="","",'Statement of Marks'!GD183)</f>
        <v/>
      </c>
      <c r="P182" s="296" t="str">
        <f>IF(B182="","",'Statement of Marks'!GK183)</f>
        <v/>
      </c>
      <c r="Q182" s="296" t="str">
        <f>IF(B182="","",'Statement of Marks'!GR183)</f>
        <v/>
      </c>
      <c r="R182" s="296" t="str">
        <f>IF(B182="","",'Statement of Marks'!GS183)</f>
        <v/>
      </c>
      <c r="S182" s="288" t="str">
        <f>IF(COUNTIF(K182:R182,"F")&gt;0,"",CONCATENATE('Statement of Marks'!GU183,'Statement of Marks'!GW183))</f>
        <v xml:space="preserve">           </v>
      </c>
      <c r="T182" s="289">
        <f t="shared" si="36"/>
        <v>0</v>
      </c>
      <c r="U182" s="16"/>
      <c r="V182" s="297" t="str">
        <f t="shared" si="37"/>
        <v/>
      </c>
      <c r="W182" s="297" t="str">
        <f t="shared" si="38"/>
        <v/>
      </c>
      <c r="X182" s="16"/>
      <c r="Y182" s="297" t="str">
        <f t="shared" si="39"/>
        <v/>
      </c>
      <c r="Z182" s="297" t="str">
        <f t="shared" si="40"/>
        <v/>
      </c>
      <c r="AA182" s="16"/>
      <c r="AB182" s="297" t="str">
        <f t="shared" si="41"/>
        <v/>
      </c>
      <c r="AC182" s="298" t="str">
        <f t="shared" si="42"/>
        <v/>
      </c>
      <c r="AD182" s="16"/>
      <c r="AE182" s="297" t="str">
        <f t="shared" si="43"/>
        <v/>
      </c>
      <c r="AF182" s="298" t="str">
        <f t="shared" si="44"/>
        <v/>
      </c>
      <c r="AG182" s="16"/>
      <c r="AH182" s="297" t="str">
        <f t="shared" si="45"/>
        <v/>
      </c>
      <c r="AI182" s="298" t="str">
        <f t="shared" si="46"/>
        <v/>
      </c>
      <c r="AJ182" s="16"/>
      <c r="AK182" s="298" t="str">
        <f t="shared" si="47"/>
        <v/>
      </c>
      <c r="AL182" s="298" t="str">
        <f t="shared" si="48"/>
        <v/>
      </c>
      <c r="AM182" s="16"/>
      <c r="AN182" s="297" t="str">
        <f t="shared" si="49"/>
        <v/>
      </c>
      <c r="AO182" s="16"/>
      <c r="AP182" s="297" t="str">
        <f t="shared" si="50"/>
        <v/>
      </c>
      <c r="AQ182" s="299">
        <f t="shared" si="51"/>
        <v>0</v>
      </c>
      <c r="AR182" s="299">
        <f t="shared" si="52"/>
        <v>0</v>
      </c>
      <c r="AS182" s="300" t="str">
        <f t="shared" si="53"/>
        <v/>
      </c>
      <c r="AT182" s="301" t="str">
        <f>IF(COUNTIF(K182:R182,"F")&gt;0,"",IF(AS182="PASS",'Statement of Marks'!HF183,""))</f>
        <v/>
      </c>
      <c r="AU182" s="301" t="str">
        <f>IF(AS182="PASS",'Statement of Marks'!HG183,"")</f>
        <v/>
      </c>
    </row>
    <row r="183" spans="1:47">
      <c r="A183" s="284">
        <f>IF('Statement of Marks'!A184="","",'Statement of Marks'!A184)</f>
        <v>177</v>
      </c>
      <c r="B183" s="284" t="str">
        <f>IF('Statement of Marks'!B184="","",'Statement of Marks'!B184)</f>
        <v/>
      </c>
      <c r="C183" s="284" t="str">
        <f>IF('Statement of Marks'!C184="","",'Statement of Marks'!C184)</f>
        <v/>
      </c>
      <c r="D183" s="285" t="str">
        <f>IF('Statement of Marks'!D184="","",'Statement of Marks'!D184)</f>
        <v/>
      </c>
      <c r="E183" s="286" t="str">
        <f>IF('Statement of Marks'!E184="","",'Statement of Marks'!E184)</f>
        <v/>
      </c>
      <c r="F183" s="286" t="str">
        <f>IF('Statement of Marks'!F184="","",'Statement of Marks'!F184)</f>
        <v/>
      </c>
      <c r="G183" s="286" t="str">
        <f>IF('Statement of Marks'!G184="","",'Statement of Marks'!G184)</f>
        <v/>
      </c>
      <c r="H183" s="287" t="str">
        <f>IF('Statement of Marks'!GY184="","",'Statement of Marks'!GY184)</f>
        <v/>
      </c>
      <c r="I183" s="287" t="str">
        <f>IF('Statement of Marks'!HB184="","",'Statement of Marks'!HB184)</f>
        <v/>
      </c>
      <c r="J183" s="288" t="str">
        <f>IF('Statement of Marks'!HC184="","",'Statement of Marks'!HC184)</f>
        <v/>
      </c>
      <c r="K183" s="296" t="str">
        <f>IF(B183="","",'Statement of Marks'!FJ184)</f>
        <v/>
      </c>
      <c r="L183" s="296" t="str">
        <f>IF(B183="","",'Statement of Marks'!FM184)</f>
        <v/>
      </c>
      <c r="M183" s="296" t="str">
        <f>IF(B183="","",'Statement of Marks'!FP184)</f>
        <v/>
      </c>
      <c r="N183" s="296" t="str">
        <f>IF(B183="","",'Statement of Marks'!FW184)</f>
        <v/>
      </c>
      <c r="O183" s="296" t="str">
        <f>IF(B183="","",'Statement of Marks'!GD184)</f>
        <v/>
      </c>
      <c r="P183" s="296" t="str">
        <f>IF(B183="","",'Statement of Marks'!GK184)</f>
        <v/>
      </c>
      <c r="Q183" s="296" t="str">
        <f>IF(B183="","",'Statement of Marks'!GR184)</f>
        <v/>
      </c>
      <c r="R183" s="296" t="str">
        <f>IF(B183="","",'Statement of Marks'!GS184)</f>
        <v/>
      </c>
      <c r="S183" s="288" t="str">
        <f>IF(COUNTIF(K183:R183,"F")&gt;0,"",CONCATENATE('Statement of Marks'!GU184,'Statement of Marks'!GW184))</f>
        <v xml:space="preserve">           </v>
      </c>
      <c r="T183" s="289">
        <f t="shared" si="36"/>
        <v>0</v>
      </c>
      <c r="U183" s="16"/>
      <c r="V183" s="297" t="str">
        <f t="shared" si="37"/>
        <v/>
      </c>
      <c r="W183" s="297" t="str">
        <f t="shared" si="38"/>
        <v/>
      </c>
      <c r="X183" s="16"/>
      <c r="Y183" s="297" t="str">
        <f t="shared" si="39"/>
        <v/>
      </c>
      <c r="Z183" s="297" t="str">
        <f t="shared" si="40"/>
        <v/>
      </c>
      <c r="AA183" s="16"/>
      <c r="AB183" s="297" t="str">
        <f t="shared" si="41"/>
        <v/>
      </c>
      <c r="AC183" s="298" t="str">
        <f t="shared" si="42"/>
        <v/>
      </c>
      <c r="AD183" s="16"/>
      <c r="AE183" s="297" t="str">
        <f t="shared" si="43"/>
        <v/>
      </c>
      <c r="AF183" s="298" t="str">
        <f t="shared" si="44"/>
        <v/>
      </c>
      <c r="AG183" s="16"/>
      <c r="AH183" s="297" t="str">
        <f t="shared" si="45"/>
        <v/>
      </c>
      <c r="AI183" s="298" t="str">
        <f t="shared" si="46"/>
        <v/>
      </c>
      <c r="AJ183" s="16"/>
      <c r="AK183" s="298" t="str">
        <f t="shared" si="47"/>
        <v/>
      </c>
      <c r="AL183" s="298" t="str">
        <f t="shared" si="48"/>
        <v/>
      </c>
      <c r="AM183" s="16"/>
      <c r="AN183" s="297" t="str">
        <f t="shared" si="49"/>
        <v/>
      </c>
      <c r="AO183" s="16"/>
      <c r="AP183" s="297" t="str">
        <f t="shared" si="50"/>
        <v/>
      </c>
      <c r="AQ183" s="299">
        <f t="shared" si="51"/>
        <v>0</v>
      </c>
      <c r="AR183" s="299">
        <f t="shared" si="52"/>
        <v>0</v>
      </c>
      <c r="AS183" s="300" t="str">
        <f t="shared" si="53"/>
        <v/>
      </c>
      <c r="AT183" s="301" t="str">
        <f>IF(COUNTIF(K183:R183,"F")&gt;0,"",IF(AS183="PASS",'Statement of Marks'!HF184,""))</f>
        <v/>
      </c>
      <c r="AU183" s="301" t="str">
        <f>IF(AS183="PASS",'Statement of Marks'!HG184,"")</f>
        <v/>
      </c>
    </row>
    <row r="184" spans="1:47">
      <c r="A184" s="284">
        <f>IF('Statement of Marks'!A185="","",'Statement of Marks'!A185)</f>
        <v>178</v>
      </c>
      <c r="B184" s="284" t="str">
        <f>IF('Statement of Marks'!B185="","",'Statement of Marks'!B185)</f>
        <v/>
      </c>
      <c r="C184" s="284" t="str">
        <f>IF('Statement of Marks'!C185="","",'Statement of Marks'!C185)</f>
        <v/>
      </c>
      <c r="D184" s="285" t="str">
        <f>IF('Statement of Marks'!D185="","",'Statement of Marks'!D185)</f>
        <v/>
      </c>
      <c r="E184" s="286" t="str">
        <f>IF('Statement of Marks'!E185="","",'Statement of Marks'!E185)</f>
        <v/>
      </c>
      <c r="F184" s="286" t="str">
        <f>IF('Statement of Marks'!F185="","",'Statement of Marks'!F185)</f>
        <v/>
      </c>
      <c r="G184" s="286" t="str">
        <f>IF('Statement of Marks'!G185="","",'Statement of Marks'!G185)</f>
        <v/>
      </c>
      <c r="H184" s="287" t="str">
        <f>IF('Statement of Marks'!GY185="","",'Statement of Marks'!GY185)</f>
        <v/>
      </c>
      <c r="I184" s="287" t="str">
        <f>IF('Statement of Marks'!HB185="","",'Statement of Marks'!HB185)</f>
        <v/>
      </c>
      <c r="J184" s="288" t="str">
        <f>IF('Statement of Marks'!HC185="","",'Statement of Marks'!HC185)</f>
        <v/>
      </c>
      <c r="K184" s="296" t="str">
        <f>IF(B184="","",'Statement of Marks'!FJ185)</f>
        <v/>
      </c>
      <c r="L184" s="296" t="str">
        <f>IF(B184="","",'Statement of Marks'!FM185)</f>
        <v/>
      </c>
      <c r="M184" s="296" t="str">
        <f>IF(B184="","",'Statement of Marks'!FP185)</f>
        <v/>
      </c>
      <c r="N184" s="296" t="str">
        <f>IF(B184="","",'Statement of Marks'!FW185)</f>
        <v/>
      </c>
      <c r="O184" s="296" t="str">
        <f>IF(B184="","",'Statement of Marks'!GD185)</f>
        <v/>
      </c>
      <c r="P184" s="296" t="str">
        <f>IF(B184="","",'Statement of Marks'!GK185)</f>
        <v/>
      </c>
      <c r="Q184" s="296" t="str">
        <f>IF(B184="","",'Statement of Marks'!GR185)</f>
        <v/>
      </c>
      <c r="R184" s="296" t="str">
        <f>IF(B184="","",'Statement of Marks'!GS185)</f>
        <v/>
      </c>
      <c r="S184" s="288" t="str">
        <f>IF(COUNTIF(K184:R184,"F")&gt;0,"",CONCATENATE('Statement of Marks'!GU185,'Statement of Marks'!GW185))</f>
        <v xml:space="preserve">           </v>
      </c>
      <c r="T184" s="289">
        <f t="shared" si="36"/>
        <v>0</v>
      </c>
      <c r="U184" s="16"/>
      <c r="V184" s="297" t="str">
        <f t="shared" si="37"/>
        <v/>
      </c>
      <c r="W184" s="297" t="str">
        <f t="shared" si="38"/>
        <v/>
      </c>
      <c r="X184" s="16"/>
      <c r="Y184" s="297" t="str">
        <f t="shared" si="39"/>
        <v/>
      </c>
      <c r="Z184" s="297" t="str">
        <f t="shared" si="40"/>
        <v/>
      </c>
      <c r="AA184" s="16"/>
      <c r="AB184" s="297" t="str">
        <f t="shared" si="41"/>
        <v/>
      </c>
      <c r="AC184" s="298" t="str">
        <f t="shared" si="42"/>
        <v/>
      </c>
      <c r="AD184" s="16"/>
      <c r="AE184" s="297" t="str">
        <f t="shared" si="43"/>
        <v/>
      </c>
      <c r="AF184" s="298" t="str">
        <f t="shared" si="44"/>
        <v/>
      </c>
      <c r="AG184" s="16"/>
      <c r="AH184" s="297" t="str">
        <f t="shared" si="45"/>
        <v/>
      </c>
      <c r="AI184" s="298" t="str">
        <f t="shared" si="46"/>
        <v/>
      </c>
      <c r="AJ184" s="16"/>
      <c r="AK184" s="298" t="str">
        <f t="shared" si="47"/>
        <v/>
      </c>
      <c r="AL184" s="298" t="str">
        <f t="shared" si="48"/>
        <v/>
      </c>
      <c r="AM184" s="16"/>
      <c r="AN184" s="297" t="str">
        <f t="shared" si="49"/>
        <v/>
      </c>
      <c r="AO184" s="16"/>
      <c r="AP184" s="297" t="str">
        <f t="shared" si="50"/>
        <v/>
      </c>
      <c r="AQ184" s="299">
        <f t="shared" si="51"/>
        <v>0</v>
      </c>
      <c r="AR184" s="299">
        <f t="shared" si="52"/>
        <v>0</v>
      </c>
      <c r="AS184" s="300" t="str">
        <f t="shared" si="53"/>
        <v/>
      </c>
      <c r="AT184" s="301" t="str">
        <f>IF(COUNTIF(K184:R184,"F")&gt;0,"",IF(AS184="PASS",'Statement of Marks'!HF185,""))</f>
        <v/>
      </c>
      <c r="AU184" s="301" t="str">
        <f>IF(AS184="PASS",'Statement of Marks'!HG185,"")</f>
        <v/>
      </c>
    </row>
    <row r="185" spans="1:47">
      <c r="A185" s="284">
        <f>IF('Statement of Marks'!A186="","",'Statement of Marks'!A186)</f>
        <v>179</v>
      </c>
      <c r="B185" s="284" t="str">
        <f>IF('Statement of Marks'!B186="","",'Statement of Marks'!B186)</f>
        <v/>
      </c>
      <c r="C185" s="284" t="str">
        <f>IF('Statement of Marks'!C186="","",'Statement of Marks'!C186)</f>
        <v/>
      </c>
      <c r="D185" s="285" t="str">
        <f>IF('Statement of Marks'!D186="","",'Statement of Marks'!D186)</f>
        <v/>
      </c>
      <c r="E185" s="286" t="str">
        <f>IF('Statement of Marks'!E186="","",'Statement of Marks'!E186)</f>
        <v/>
      </c>
      <c r="F185" s="286" t="str">
        <f>IF('Statement of Marks'!F186="","",'Statement of Marks'!F186)</f>
        <v/>
      </c>
      <c r="G185" s="286" t="str">
        <f>IF('Statement of Marks'!G186="","",'Statement of Marks'!G186)</f>
        <v/>
      </c>
      <c r="H185" s="287" t="str">
        <f>IF('Statement of Marks'!GY186="","",'Statement of Marks'!GY186)</f>
        <v/>
      </c>
      <c r="I185" s="287" t="str">
        <f>IF('Statement of Marks'!HB186="","",'Statement of Marks'!HB186)</f>
        <v/>
      </c>
      <c r="J185" s="288" t="str">
        <f>IF('Statement of Marks'!HC186="","",'Statement of Marks'!HC186)</f>
        <v/>
      </c>
      <c r="K185" s="296" t="str">
        <f>IF(B185="","",'Statement of Marks'!FJ186)</f>
        <v/>
      </c>
      <c r="L185" s="296" t="str">
        <f>IF(B185="","",'Statement of Marks'!FM186)</f>
        <v/>
      </c>
      <c r="M185" s="296" t="str">
        <f>IF(B185="","",'Statement of Marks'!FP186)</f>
        <v/>
      </c>
      <c r="N185" s="296" t="str">
        <f>IF(B185="","",'Statement of Marks'!FW186)</f>
        <v/>
      </c>
      <c r="O185" s="296" t="str">
        <f>IF(B185="","",'Statement of Marks'!GD186)</f>
        <v/>
      </c>
      <c r="P185" s="296" t="str">
        <f>IF(B185="","",'Statement of Marks'!GK186)</f>
        <v/>
      </c>
      <c r="Q185" s="296" t="str">
        <f>IF(B185="","",'Statement of Marks'!GR186)</f>
        <v/>
      </c>
      <c r="R185" s="296" t="str">
        <f>IF(B185="","",'Statement of Marks'!GS186)</f>
        <v/>
      </c>
      <c r="S185" s="288" t="str">
        <f>IF(COUNTIF(K185:R185,"F")&gt;0,"",CONCATENATE('Statement of Marks'!GU186,'Statement of Marks'!GW186))</f>
        <v xml:space="preserve">           </v>
      </c>
      <c r="T185" s="289">
        <f t="shared" si="36"/>
        <v>0</v>
      </c>
      <c r="U185" s="16"/>
      <c r="V185" s="297" t="str">
        <f t="shared" si="37"/>
        <v/>
      </c>
      <c r="W185" s="297" t="str">
        <f t="shared" si="38"/>
        <v/>
      </c>
      <c r="X185" s="16"/>
      <c r="Y185" s="297" t="str">
        <f t="shared" si="39"/>
        <v/>
      </c>
      <c r="Z185" s="297" t="str">
        <f t="shared" si="40"/>
        <v/>
      </c>
      <c r="AA185" s="16"/>
      <c r="AB185" s="297" t="str">
        <f t="shared" si="41"/>
        <v/>
      </c>
      <c r="AC185" s="298" t="str">
        <f t="shared" si="42"/>
        <v/>
      </c>
      <c r="AD185" s="16"/>
      <c r="AE185" s="297" t="str">
        <f t="shared" si="43"/>
        <v/>
      </c>
      <c r="AF185" s="298" t="str">
        <f t="shared" si="44"/>
        <v/>
      </c>
      <c r="AG185" s="16"/>
      <c r="AH185" s="297" t="str">
        <f t="shared" si="45"/>
        <v/>
      </c>
      <c r="AI185" s="298" t="str">
        <f t="shared" si="46"/>
        <v/>
      </c>
      <c r="AJ185" s="16"/>
      <c r="AK185" s="298" t="str">
        <f t="shared" si="47"/>
        <v/>
      </c>
      <c r="AL185" s="298" t="str">
        <f t="shared" si="48"/>
        <v/>
      </c>
      <c r="AM185" s="16"/>
      <c r="AN185" s="297" t="str">
        <f t="shared" si="49"/>
        <v/>
      </c>
      <c r="AO185" s="16"/>
      <c r="AP185" s="297" t="str">
        <f t="shared" si="50"/>
        <v/>
      </c>
      <c r="AQ185" s="299">
        <f t="shared" si="51"/>
        <v>0</v>
      </c>
      <c r="AR185" s="299">
        <f t="shared" si="52"/>
        <v>0</v>
      </c>
      <c r="AS185" s="300" t="str">
        <f t="shared" si="53"/>
        <v/>
      </c>
      <c r="AT185" s="301" t="str">
        <f>IF(COUNTIF(K185:R185,"F")&gt;0,"",IF(AS185="PASS",'Statement of Marks'!HF186,""))</f>
        <v/>
      </c>
      <c r="AU185" s="301" t="str">
        <f>IF(AS185="PASS",'Statement of Marks'!HG186,"")</f>
        <v/>
      </c>
    </row>
    <row r="186" spans="1:47">
      <c r="A186" s="284">
        <f>IF('Statement of Marks'!A187="","",'Statement of Marks'!A187)</f>
        <v>180</v>
      </c>
      <c r="B186" s="284" t="str">
        <f>IF('Statement of Marks'!B187="","",'Statement of Marks'!B187)</f>
        <v/>
      </c>
      <c r="C186" s="284" t="str">
        <f>IF('Statement of Marks'!C187="","",'Statement of Marks'!C187)</f>
        <v/>
      </c>
      <c r="D186" s="285" t="str">
        <f>IF('Statement of Marks'!D187="","",'Statement of Marks'!D187)</f>
        <v/>
      </c>
      <c r="E186" s="286" t="str">
        <f>IF('Statement of Marks'!E187="","",'Statement of Marks'!E187)</f>
        <v/>
      </c>
      <c r="F186" s="286" t="str">
        <f>IF('Statement of Marks'!F187="","",'Statement of Marks'!F187)</f>
        <v/>
      </c>
      <c r="G186" s="286" t="str">
        <f>IF('Statement of Marks'!G187="","",'Statement of Marks'!G187)</f>
        <v/>
      </c>
      <c r="H186" s="287" t="str">
        <f>IF('Statement of Marks'!GY187="","",'Statement of Marks'!GY187)</f>
        <v/>
      </c>
      <c r="I186" s="287" t="str">
        <f>IF('Statement of Marks'!HB187="","",'Statement of Marks'!HB187)</f>
        <v/>
      </c>
      <c r="J186" s="288" t="str">
        <f>IF('Statement of Marks'!HC187="","",'Statement of Marks'!HC187)</f>
        <v/>
      </c>
      <c r="K186" s="296" t="str">
        <f>IF(B186="","",'Statement of Marks'!FJ187)</f>
        <v/>
      </c>
      <c r="L186" s="296" t="str">
        <f>IF(B186="","",'Statement of Marks'!FM187)</f>
        <v/>
      </c>
      <c r="M186" s="296" t="str">
        <f>IF(B186="","",'Statement of Marks'!FP187)</f>
        <v/>
      </c>
      <c r="N186" s="296" t="str">
        <f>IF(B186="","",'Statement of Marks'!FW187)</f>
        <v/>
      </c>
      <c r="O186" s="296" t="str">
        <f>IF(B186="","",'Statement of Marks'!GD187)</f>
        <v/>
      </c>
      <c r="P186" s="296" t="str">
        <f>IF(B186="","",'Statement of Marks'!GK187)</f>
        <v/>
      </c>
      <c r="Q186" s="296" t="str">
        <f>IF(B186="","",'Statement of Marks'!GR187)</f>
        <v/>
      </c>
      <c r="R186" s="296" t="str">
        <f>IF(B186="","",'Statement of Marks'!GS187)</f>
        <v/>
      </c>
      <c r="S186" s="288" t="str">
        <f>IF(COUNTIF(K186:R186,"F")&gt;0,"",CONCATENATE('Statement of Marks'!GU187,'Statement of Marks'!GW187))</f>
        <v xml:space="preserve">           </v>
      </c>
      <c r="T186" s="289">
        <f t="shared" si="36"/>
        <v>0</v>
      </c>
      <c r="U186" s="16"/>
      <c r="V186" s="297" t="str">
        <f t="shared" si="37"/>
        <v/>
      </c>
      <c r="W186" s="297" t="str">
        <f t="shared" si="38"/>
        <v/>
      </c>
      <c r="X186" s="16"/>
      <c r="Y186" s="297" t="str">
        <f t="shared" si="39"/>
        <v/>
      </c>
      <c r="Z186" s="297" t="str">
        <f t="shared" si="40"/>
        <v/>
      </c>
      <c r="AA186" s="16"/>
      <c r="AB186" s="297" t="str">
        <f t="shared" si="41"/>
        <v/>
      </c>
      <c r="AC186" s="298" t="str">
        <f t="shared" si="42"/>
        <v/>
      </c>
      <c r="AD186" s="16"/>
      <c r="AE186" s="297" t="str">
        <f t="shared" si="43"/>
        <v/>
      </c>
      <c r="AF186" s="298" t="str">
        <f t="shared" si="44"/>
        <v/>
      </c>
      <c r="AG186" s="16"/>
      <c r="AH186" s="297" t="str">
        <f t="shared" si="45"/>
        <v/>
      </c>
      <c r="AI186" s="298" t="str">
        <f t="shared" si="46"/>
        <v/>
      </c>
      <c r="AJ186" s="16"/>
      <c r="AK186" s="298" t="str">
        <f t="shared" si="47"/>
        <v/>
      </c>
      <c r="AL186" s="298" t="str">
        <f t="shared" si="48"/>
        <v/>
      </c>
      <c r="AM186" s="16"/>
      <c r="AN186" s="297" t="str">
        <f t="shared" si="49"/>
        <v/>
      </c>
      <c r="AO186" s="16"/>
      <c r="AP186" s="297" t="str">
        <f t="shared" si="50"/>
        <v/>
      </c>
      <c r="AQ186" s="299">
        <f t="shared" si="51"/>
        <v>0</v>
      </c>
      <c r="AR186" s="299">
        <f t="shared" si="52"/>
        <v>0</v>
      </c>
      <c r="AS186" s="300" t="str">
        <f t="shared" si="53"/>
        <v/>
      </c>
      <c r="AT186" s="301" t="str">
        <f>IF(COUNTIF(K186:R186,"F")&gt;0,"",IF(AS186="PASS",'Statement of Marks'!HF187,""))</f>
        <v/>
      </c>
      <c r="AU186" s="301" t="str">
        <f>IF(AS186="PASS",'Statement of Marks'!HG187,"")</f>
        <v/>
      </c>
    </row>
    <row r="187" spans="1:47">
      <c r="A187" s="284">
        <f>IF('Statement of Marks'!A188="","",'Statement of Marks'!A188)</f>
        <v>181</v>
      </c>
      <c r="B187" s="284" t="str">
        <f>IF('Statement of Marks'!B188="","",'Statement of Marks'!B188)</f>
        <v/>
      </c>
      <c r="C187" s="284" t="str">
        <f>IF('Statement of Marks'!C188="","",'Statement of Marks'!C188)</f>
        <v/>
      </c>
      <c r="D187" s="285" t="str">
        <f>IF('Statement of Marks'!D188="","",'Statement of Marks'!D188)</f>
        <v/>
      </c>
      <c r="E187" s="286" t="str">
        <f>IF('Statement of Marks'!E188="","",'Statement of Marks'!E188)</f>
        <v/>
      </c>
      <c r="F187" s="286" t="str">
        <f>IF('Statement of Marks'!F188="","",'Statement of Marks'!F188)</f>
        <v/>
      </c>
      <c r="G187" s="286" t="str">
        <f>IF('Statement of Marks'!G188="","",'Statement of Marks'!G188)</f>
        <v/>
      </c>
      <c r="H187" s="287" t="str">
        <f>IF('Statement of Marks'!GY188="","",'Statement of Marks'!GY188)</f>
        <v/>
      </c>
      <c r="I187" s="287" t="str">
        <f>IF('Statement of Marks'!HB188="","",'Statement of Marks'!HB188)</f>
        <v/>
      </c>
      <c r="J187" s="288" t="str">
        <f>IF('Statement of Marks'!HC188="","",'Statement of Marks'!HC188)</f>
        <v/>
      </c>
      <c r="K187" s="296" t="str">
        <f>IF(B187="","",'Statement of Marks'!FJ188)</f>
        <v/>
      </c>
      <c r="L187" s="296" t="str">
        <f>IF(B187="","",'Statement of Marks'!FM188)</f>
        <v/>
      </c>
      <c r="M187" s="296" t="str">
        <f>IF(B187="","",'Statement of Marks'!FP188)</f>
        <v/>
      </c>
      <c r="N187" s="296" t="str">
        <f>IF(B187="","",'Statement of Marks'!FW188)</f>
        <v/>
      </c>
      <c r="O187" s="296" t="str">
        <f>IF(B187="","",'Statement of Marks'!GD188)</f>
        <v/>
      </c>
      <c r="P187" s="296" t="str">
        <f>IF(B187="","",'Statement of Marks'!GK188)</f>
        <v/>
      </c>
      <c r="Q187" s="296" t="str">
        <f>IF(B187="","",'Statement of Marks'!GR188)</f>
        <v/>
      </c>
      <c r="R187" s="296" t="str">
        <f>IF(B187="","",'Statement of Marks'!GS188)</f>
        <v/>
      </c>
      <c r="S187" s="288" t="str">
        <f>IF(COUNTIF(K187:R187,"F")&gt;0,"",CONCATENATE('Statement of Marks'!GU188,'Statement of Marks'!GW188))</f>
        <v xml:space="preserve">           </v>
      </c>
      <c r="T187" s="289">
        <f t="shared" si="36"/>
        <v>0</v>
      </c>
      <c r="U187" s="16"/>
      <c r="V187" s="297" t="str">
        <f t="shared" si="37"/>
        <v/>
      </c>
      <c r="W187" s="297" t="str">
        <f t="shared" si="38"/>
        <v/>
      </c>
      <c r="X187" s="16"/>
      <c r="Y187" s="297" t="str">
        <f t="shared" si="39"/>
        <v/>
      </c>
      <c r="Z187" s="297" t="str">
        <f t="shared" si="40"/>
        <v/>
      </c>
      <c r="AA187" s="16"/>
      <c r="AB187" s="297" t="str">
        <f t="shared" si="41"/>
        <v/>
      </c>
      <c r="AC187" s="298" t="str">
        <f t="shared" si="42"/>
        <v/>
      </c>
      <c r="AD187" s="16"/>
      <c r="AE187" s="297" t="str">
        <f t="shared" si="43"/>
        <v/>
      </c>
      <c r="AF187" s="298" t="str">
        <f t="shared" si="44"/>
        <v/>
      </c>
      <c r="AG187" s="16"/>
      <c r="AH187" s="297" t="str">
        <f t="shared" si="45"/>
        <v/>
      </c>
      <c r="AI187" s="298" t="str">
        <f t="shared" si="46"/>
        <v/>
      </c>
      <c r="AJ187" s="16"/>
      <c r="AK187" s="298" t="str">
        <f t="shared" si="47"/>
        <v/>
      </c>
      <c r="AL187" s="298" t="str">
        <f t="shared" si="48"/>
        <v/>
      </c>
      <c r="AM187" s="16"/>
      <c r="AN187" s="297" t="str">
        <f t="shared" si="49"/>
        <v/>
      </c>
      <c r="AO187" s="16"/>
      <c r="AP187" s="297" t="str">
        <f t="shared" si="50"/>
        <v/>
      </c>
      <c r="AQ187" s="299">
        <f t="shared" si="51"/>
        <v>0</v>
      </c>
      <c r="AR187" s="299">
        <f t="shared" si="52"/>
        <v>0</v>
      </c>
      <c r="AS187" s="300" t="str">
        <f t="shared" si="53"/>
        <v/>
      </c>
      <c r="AT187" s="301" t="str">
        <f>IF(COUNTIF(K187:R187,"F")&gt;0,"",IF(AS187="PASS",'Statement of Marks'!HF188,""))</f>
        <v/>
      </c>
      <c r="AU187" s="301" t="str">
        <f>IF(AS187="PASS",'Statement of Marks'!HG188,"")</f>
        <v/>
      </c>
    </row>
    <row r="188" spans="1:47">
      <c r="A188" s="284">
        <f>IF('Statement of Marks'!A189="","",'Statement of Marks'!A189)</f>
        <v>182</v>
      </c>
      <c r="B188" s="284" t="str">
        <f>IF('Statement of Marks'!B189="","",'Statement of Marks'!B189)</f>
        <v/>
      </c>
      <c r="C188" s="284" t="str">
        <f>IF('Statement of Marks'!C189="","",'Statement of Marks'!C189)</f>
        <v/>
      </c>
      <c r="D188" s="285" t="str">
        <f>IF('Statement of Marks'!D189="","",'Statement of Marks'!D189)</f>
        <v/>
      </c>
      <c r="E188" s="286" t="str">
        <f>IF('Statement of Marks'!E189="","",'Statement of Marks'!E189)</f>
        <v/>
      </c>
      <c r="F188" s="286" t="str">
        <f>IF('Statement of Marks'!F189="","",'Statement of Marks'!F189)</f>
        <v/>
      </c>
      <c r="G188" s="286" t="str">
        <f>IF('Statement of Marks'!G189="","",'Statement of Marks'!G189)</f>
        <v/>
      </c>
      <c r="H188" s="287" t="str">
        <f>IF('Statement of Marks'!GY189="","",'Statement of Marks'!GY189)</f>
        <v/>
      </c>
      <c r="I188" s="287" t="str">
        <f>IF('Statement of Marks'!HB189="","",'Statement of Marks'!HB189)</f>
        <v/>
      </c>
      <c r="J188" s="288" t="str">
        <f>IF('Statement of Marks'!HC189="","",'Statement of Marks'!HC189)</f>
        <v/>
      </c>
      <c r="K188" s="296" t="str">
        <f>IF(B188="","",'Statement of Marks'!FJ189)</f>
        <v/>
      </c>
      <c r="L188" s="296" t="str">
        <f>IF(B188="","",'Statement of Marks'!FM189)</f>
        <v/>
      </c>
      <c r="M188" s="296" t="str">
        <f>IF(B188="","",'Statement of Marks'!FP189)</f>
        <v/>
      </c>
      <c r="N188" s="296" t="str">
        <f>IF(B188="","",'Statement of Marks'!FW189)</f>
        <v/>
      </c>
      <c r="O188" s="296" t="str">
        <f>IF(B188="","",'Statement of Marks'!GD189)</f>
        <v/>
      </c>
      <c r="P188" s="296" t="str">
        <f>IF(B188="","",'Statement of Marks'!GK189)</f>
        <v/>
      </c>
      <c r="Q188" s="296" t="str">
        <f>IF(B188="","",'Statement of Marks'!GR189)</f>
        <v/>
      </c>
      <c r="R188" s="296" t="str">
        <f>IF(B188="","",'Statement of Marks'!GS189)</f>
        <v/>
      </c>
      <c r="S188" s="288" t="str">
        <f>IF(COUNTIF(K188:R188,"F")&gt;0,"",CONCATENATE('Statement of Marks'!GU189,'Statement of Marks'!GW189))</f>
        <v xml:space="preserve">           </v>
      </c>
      <c r="T188" s="289">
        <f t="shared" si="36"/>
        <v>0</v>
      </c>
      <c r="U188" s="16"/>
      <c r="V188" s="297" t="str">
        <f t="shared" si="37"/>
        <v/>
      </c>
      <c r="W188" s="297" t="str">
        <f t="shared" si="38"/>
        <v/>
      </c>
      <c r="X188" s="16"/>
      <c r="Y188" s="297" t="str">
        <f t="shared" si="39"/>
        <v/>
      </c>
      <c r="Z188" s="297" t="str">
        <f t="shared" si="40"/>
        <v/>
      </c>
      <c r="AA188" s="16"/>
      <c r="AB188" s="297" t="str">
        <f t="shared" si="41"/>
        <v/>
      </c>
      <c r="AC188" s="298" t="str">
        <f t="shared" si="42"/>
        <v/>
      </c>
      <c r="AD188" s="16"/>
      <c r="AE188" s="297" t="str">
        <f t="shared" si="43"/>
        <v/>
      </c>
      <c r="AF188" s="298" t="str">
        <f t="shared" si="44"/>
        <v/>
      </c>
      <c r="AG188" s="16"/>
      <c r="AH188" s="297" t="str">
        <f t="shared" si="45"/>
        <v/>
      </c>
      <c r="AI188" s="298" t="str">
        <f t="shared" si="46"/>
        <v/>
      </c>
      <c r="AJ188" s="16"/>
      <c r="AK188" s="298" t="str">
        <f t="shared" si="47"/>
        <v/>
      </c>
      <c r="AL188" s="298" t="str">
        <f t="shared" si="48"/>
        <v/>
      </c>
      <c r="AM188" s="16"/>
      <c r="AN188" s="297" t="str">
        <f t="shared" si="49"/>
        <v/>
      </c>
      <c r="AO188" s="16"/>
      <c r="AP188" s="297" t="str">
        <f t="shared" si="50"/>
        <v/>
      </c>
      <c r="AQ188" s="299">
        <f t="shared" si="51"/>
        <v>0</v>
      </c>
      <c r="AR188" s="299">
        <f t="shared" si="52"/>
        <v>0</v>
      </c>
      <c r="AS188" s="300" t="str">
        <f t="shared" si="53"/>
        <v/>
      </c>
      <c r="AT188" s="301" t="str">
        <f>IF(COUNTIF(K188:R188,"F")&gt;0,"",IF(AS188="PASS",'Statement of Marks'!HF189,""))</f>
        <v/>
      </c>
      <c r="AU188" s="301" t="str">
        <f>IF(AS188="PASS",'Statement of Marks'!HG189,"")</f>
        <v/>
      </c>
    </row>
    <row r="189" spans="1:47">
      <c r="A189" s="284">
        <f>IF('Statement of Marks'!A190="","",'Statement of Marks'!A190)</f>
        <v>183</v>
      </c>
      <c r="B189" s="284" t="str">
        <f>IF('Statement of Marks'!B190="","",'Statement of Marks'!B190)</f>
        <v/>
      </c>
      <c r="C189" s="284" t="str">
        <f>IF('Statement of Marks'!C190="","",'Statement of Marks'!C190)</f>
        <v/>
      </c>
      <c r="D189" s="285" t="str">
        <f>IF('Statement of Marks'!D190="","",'Statement of Marks'!D190)</f>
        <v/>
      </c>
      <c r="E189" s="286" t="str">
        <f>IF('Statement of Marks'!E190="","",'Statement of Marks'!E190)</f>
        <v/>
      </c>
      <c r="F189" s="286" t="str">
        <f>IF('Statement of Marks'!F190="","",'Statement of Marks'!F190)</f>
        <v/>
      </c>
      <c r="G189" s="286" t="str">
        <f>IF('Statement of Marks'!G190="","",'Statement of Marks'!G190)</f>
        <v/>
      </c>
      <c r="H189" s="287" t="str">
        <f>IF('Statement of Marks'!GY190="","",'Statement of Marks'!GY190)</f>
        <v/>
      </c>
      <c r="I189" s="287" t="str">
        <f>IF('Statement of Marks'!HB190="","",'Statement of Marks'!HB190)</f>
        <v/>
      </c>
      <c r="J189" s="288" t="str">
        <f>IF('Statement of Marks'!HC190="","",'Statement of Marks'!HC190)</f>
        <v/>
      </c>
      <c r="K189" s="296" t="str">
        <f>IF(B189="","",'Statement of Marks'!FJ190)</f>
        <v/>
      </c>
      <c r="L189" s="296" t="str">
        <f>IF(B189="","",'Statement of Marks'!FM190)</f>
        <v/>
      </c>
      <c r="M189" s="296" t="str">
        <f>IF(B189="","",'Statement of Marks'!FP190)</f>
        <v/>
      </c>
      <c r="N189" s="296" t="str">
        <f>IF(B189="","",'Statement of Marks'!FW190)</f>
        <v/>
      </c>
      <c r="O189" s="296" t="str">
        <f>IF(B189="","",'Statement of Marks'!GD190)</f>
        <v/>
      </c>
      <c r="P189" s="296" t="str">
        <f>IF(B189="","",'Statement of Marks'!GK190)</f>
        <v/>
      </c>
      <c r="Q189" s="296" t="str">
        <f>IF(B189="","",'Statement of Marks'!GR190)</f>
        <v/>
      </c>
      <c r="R189" s="296" t="str">
        <f>IF(B189="","",'Statement of Marks'!GS190)</f>
        <v/>
      </c>
      <c r="S189" s="288" t="str">
        <f>IF(COUNTIF(K189:R189,"F")&gt;0,"",CONCATENATE('Statement of Marks'!GU190,'Statement of Marks'!GW190))</f>
        <v xml:space="preserve">           </v>
      </c>
      <c r="T189" s="289">
        <f t="shared" si="36"/>
        <v>0</v>
      </c>
      <c r="U189" s="16"/>
      <c r="V189" s="297" t="str">
        <f t="shared" si="37"/>
        <v/>
      </c>
      <c r="W189" s="297" t="str">
        <f t="shared" si="38"/>
        <v/>
      </c>
      <c r="X189" s="16"/>
      <c r="Y189" s="297" t="str">
        <f t="shared" si="39"/>
        <v/>
      </c>
      <c r="Z189" s="297" t="str">
        <f t="shared" si="40"/>
        <v/>
      </c>
      <c r="AA189" s="16"/>
      <c r="AB189" s="297" t="str">
        <f t="shared" si="41"/>
        <v/>
      </c>
      <c r="AC189" s="298" t="str">
        <f t="shared" si="42"/>
        <v/>
      </c>
      <c r="AD189" s="16"/>
      <c r="AE189" s="297" t="str">
        <f t="shared" si="43"/>
        <v/>
      </c>
      <c r="AF189" s="298" t="str">
        <f t="shared" si="44"/>
        <v/>
      </c>
      <c r="AG189" s="16"/>
      <c r="AH189" s="297" t="str">
        <f t="shared" si="45"/>
        <v/>
      </c>
      <c r="AI189" s="298" t="str">
        <f t="shared" si="46"/>
        <v/>
      </c>
      <c r="AJ189" s="16"/>
      <c r="AK189" s="298" t="str">
        <f t="shared" si="47"/>
        <v/>
      </c>
      <c r="AL189" s="298" t="str">
        <f t="shared" si="48"/>
        <v/>
      </c>
      <c r="AM189" s="16"/>
      <c r="AN189" s="297" t="str">
        <f t="shared" si="49"/>
        <v/>
      </c>
      <c r="AO189" s="16"/>
      <c r="AP189" s="297" t="str">
        <f t="shared" si="50"/>
        <v/>
      </c>
      <c r="AQ189" s="299">
        <f t="shared" si="51"/>
        <v>0</v>
      </c>
      <c r="AR189" s="299">
        <f t="shared" si="52"/>
        <v>0</v>
      </c>
      <c r="AS189" s="300" t="str">
        <f t="shared" si="53"/>
        <v/>
      </c>
      <c r="AT189" s="301" t="str">
        <f>IF(COUNTIF(K189:R189,"F")&gt;0,"",IF(AS189="PASS",'Statement of Marks'!HF190,""))</f>
        <v/>
      </c>
      <c r="AU189" s="301" t="str">
        <f>IF(AS189="PASS",'Statement of Marks'!HG190,"")</f>
        <v/>
      </c>
    </row>
    <row r="190" spans="1:47">
      <c r="A190" s="284">
        <f>IF('Statement of Marks'!A191="","",'Statement of Marks'!A191)</f>
        <v>184</v>
      </c>
      <c r="B190" s="284" t="str">
        <f>IF('Statement of Marks'!B191="","",'Statement of Marks'!B191)</f>
        <v/>
      </c>
      <c r="C190" s="284" t="str">
        <f>IF('Statement of Marks'!C191="","",'Statement of Marks'!C191)</f>
        <v/>
      </c>
      <c r="D190" s="285" t="str">
        <f>IF('Statement of Marks'!D191="","",'Statement of Marks'!D191)</f>
        <v/>
      </c>
      <c r="E190" s="286" t="str">
        <f>IF('Statement of Marks'!E191="","",'Statement of Marks'!E191)</f>
        <v/>
      </c>
      <c r="F190" s="286" t="str">
        <f>IF('Statement of Marks'!F191="","",'Statement of Marks'!F191)</f>
        <v/>
      </c>
      <c r="G190" s="286" t="str">
        <f>IF('Statement of Marks'!G191="","",'Statement of Marks'!G191)</f>
        <v/>
      </c>
      <c r="H190" s="287" t="str">
        <f>IF('Statement of Marks'!GY191="","",'Statement of Marks'!GY191)</f>
        <v/>
      </c>
      <c r="I190" s="287" t="str">
        <f>IF('Statement of Marks'!HB191="","",'Statement of Marks'!HB191)</f>
        <v/>
      </c>
      <c r="J190" s="288" t="str">
        <f>IF('Statement of Marks'!HC191="","",'Statement of Marks'!HC191)</f>
        <v/>
      </c>
      <c r="K190" s="296" t="str">
        <f>IF(B190="","",'Statement of Marks'!FJ191)</f>
        <v/>
      </c>
      <c r="L190" s="296" t="str">
        <f>IF(B190="","",'Statement of Marks'!FM191)</f>
        <v/>
      </c>
      <c r="M190" s="296" t="str">
        <f>IF(B190="","",'Statement of Marks'!FP191)</f>
        <v/>
      </c>
      <c r="N190" s="296" t="str">
        <f>IF(B190="","",'Statement of Marks'!FW191)</f>
        <v/>
      </c>
      <c r="O190" s="296" t="str">
        <f>IF(B190="","",'Statement of Marks'!GD191)</f>
        <v/>
      </c>
      <c r="P190" s="296" t="str">
        <f>IF(B190="","",'Statement of Marks'!GK191)</f>
        <v/>
      </c>
      <c r="Q190" s="296" t="str">
        <f>IF(B190="","",'Statement of Marks'!GR191)</f>
        <v/>
      </c>
      <c r="R190" s="296" t="str">
        <f>IF(B190="","",'Statement of Marks'!GS191)</f>
        <v/>
      </c>
      <c r="S190" s="288" t="str">
        <f>IF(COUNTIF(K190:R190,"F")&gt;0,"",CONCATENATE('Statement of Marks'!GU191,'Statement of Marks'!GW191))</f>
        <v xml:space="preserve">           </v>
      </c>
      <c r="T190" s="289">
        <f t="shared" si="36"/>
        <v>0</v>
      </c>
      <c r="U190" s="16"/>
      <c r="V190" s="297" t="str">
        <f t="shared" si="37"/>
        <v/>
      </c>
      <c r="W190" s="297" t="str">
        <f t="shared" si="38"/>
        <v/>
      </c>
      <c r="X190" s="16"/>
      <c r="Y190" s="297" t="str">
        <f t="shared" si="39"/>
        <v/>
      </c>
      <c r="Z190" s="297" t="str">
        <f t="shared" si="40"/>
        <v/>
      </c>
      <c r="AA190" s="16"/>
      <c r="AB190" s="297" t="str">
        <f t="shared" si="41"/>
        <v/>
      </c>
      <c r="AC190" s="298" t="str">
        <f t="shared" si="42"/>
        <v/>
      </c>
      <c r="AD190" s="16"/>
      <c r="AE190" s="297" t="str">
        <f t="shared" si="43"/>
        <v/>
      </c>
      <c r="AF190" s="298" t="str">
        <f t="shared" si="44"/>
        <v/>
      </c>
      <c r="AG190" s="16"/>
      <c r="AH190" s="297" t="str">
        <f t="shared" si="45"/>
        <v/>
      </c>
      <c r="AI190" s="298" t="str">
        <f t="shared" si="46"/>
        <v/>
      </c>
      <c r="AJ190" s="16"/>
      <c r="AK190" s="298" t="str">
        <f t="shared" si="47"/>
        <v/>
      </c>
      <c r="AL190" s="298" t="str">
        <f t="shared" si="48"/>
        <v/>
      </c>
      <c r="AM190" s="16"/>
      <c r="AN190" s="297" t="str">
        <f t="shared" si="49"/>
        <v/>
      </c>
      <c r="AO190" s="16"/>
      <c r="AP190" s="297" t="str">
        <f t="shared" si="50"/>
        <v/>
      </c>
      <c r="AQ190" s="299">
        <f t="shared" si="51"/>
        <v>0</v>
      </c>
      <c r="AR190" s="299">
        <f t="shared" si="52"/>
        <v>0</v>
      </c>
      <c r="AS190" s="300" t="str">
        <f t="shared" si="53"/>
        <v/>
      </c>
      <c r="AT190" s="301" t="str">
        <f>IF(COUNTIF(K190:R190,"F")&gt;0,"",IF(AS190="PASS",'Statement of Marks'!HF191,""))</f>
        <v/>
      </c>
      <c r="AU190" s="301" t="str">
        <f>IF(AS190="PASS",'Statement of Marks'!HG191,"")</f>
        <v/>
      </c>
    </row>
    <row r="191" spans="1:47">
      <c r="A191" s="284">
        <f>IF('Statement of Marks'!A192="","",'Statement of Marks'!A192)</f>
        <v>185</v>
      </c>
      <c r="B191" s="284" t="str">
        <f>IF('Statement of Marks'!B192="","",'Statement of Marks'!B192)</f>
        <v/>
      </c>
      <c r="C191" s="284" t="str">
        <f>IF('Statement of Marks'!C192="","",'Statement of Marks'!C192)</f>
        <v/>
      </c>
      <c r="D191" s="285" t="str">
        <f>IF('Statement of Marks'!D192="","",'Statement of Marks'!D192)</f>
        <v/>
      </c>
      <c r="E191" s="286" t="str">
        <f>IF('Statement of Marks'!E192="","",'Statement of Marks'!E192)</f>
        <v/>
      </c>
      <c r="F191" s="286" t="str">
        <f>IF('Statement of Marks'!F192="","",'Statement of Marks'!F192)</f>
        <v/>
      </c>
      <c r="G191" s="286" t="str">
        <f>IF('Statement of Marks'!G192="","",'Statement of Marks'!G192)</f>
        <v/>
      </c>
      <c r="H191" s="287" t="str">
        <f>IF('Statement of Marks'!GY192="","",'Statement of Marks'!GY192)</f>
        <v/>
      </c>
      <c r="I191" s="287" t="str">
        <f>IF('Statement of Marks'!HB192="","",'Statement of Marks'!HB192)</f>
        <v/>
      </c>
      <c r="J191" s="288" t="str">
        <f>IF('Statement of Marks'!HC192="","",'Statement of Marks'!HC192)</f>
        <v/>
      </c>
      <c r="K191" s="296" t="str">
        <f>IF(B191="","",'Statement of Marks'!FJ192)</f>
        <v/>
      </c>
      <c r="L191" s="296" t="str">
        <f>IF(B191="","",'Statement of Marks'!FM192)</f>
        <v/>
      </c>
      <c r="M191" s="296" t="str">
        <f>IF(B191="","",'Statement of Marks'!FP192)</f>
        <v/>
      </c>
      <c r="N191" s="296" t="str">
        <f>IF(B191="","",'Statement of Marks'!FW192)</f>
        <v/>
      </c>
      <c r="O191" s="296" t="str">
        <f>IF(B191="","",'Statement of Marks'!GD192)</f>
        <v/>
      </c>
      <c r="P191" s="296" t="str">
        <f>IF(B191="","",'Statement of Marks'!GK192)</f>
        <v/>
      </c>
      <c r="Q191" s="296" t="str">
        <f>IF(B191="","",'Statement of Marks'!GR192)</f>
        <v/>
      </c>
      <c r="R191" s="296" t="str">
        <f>IF(B191="","",'Statement of Marks'!GS192)</f>
        <v/>
      </c>
      <c r="S191" s="288" t="str">
        <f>IF(COUNTIF(K191:R191,"F")&gt;0,"",CONCATENATE('Statement of Marks'!GU192,'Statement of Marks'!GW192))</f>
        <v xml:space="preserve">           </v>
      </c>
      <c r="T191" s="289">
        <f t="shared" si="36"/>
        <v>0</v>
      </c>
      <c r="U191" s="16"/>
      <c r="V191" s="297" t="str">
        <f t="shared" si="37"/>
        <v/>
      </c>
      <c r="W191" s="297" t="str">
        <f t="shared" si="38"/>
        <v/>
      </c>
      <c r="X191" s="16"/>
      <c r="Y191" s="297" t="str">
        <f t="shared" si="39"/>
        <v/>
      </c>
      <c r="Z191" s="297" t="str">
        <f t="shared" si="40"/>
        <v/>
      </c>
      <c r="AA191" s="16"/>
      <c r="AB191" s="297" t="str">
        <f t="shared" si="41"/>
        <v/>
      </c>
      <c r="AC191" s="298" t="str">
        <f t="shared" si="42"/>
        <v/>
      </c>
      <c r="AD191" s="16"/>
      <c r="AE191" s="297" t="str">
        <f t="shared" si="43"/>
        <v/>
      </c>
      <c r="AF191" s="298" t="str">
        <f t="shared" si="44"/>
        <v/>
      </c>
      <c r="AG191" s="16"/>
      <c r="AH191" s="297" t="str">
        <f t="shared" si="45"/>
        <v/>
      </c>
      <c r="AI191" s="298" t="str">
        <f t="shared" si="46"/>
        <v/>
      </c>
      <c r="AJ191" s="16"/>
      <c r="AK191" s="298" t="str">
        <f t="shared" si="47"/>
        <v/>
      </c>
      <c r="AL191" s="298" t="str">
        <f t="shared" si="48"/>
        <v/>
      </c>
      <c r="AM191" s="16"/>
      <c r="AN191" s="297" t="str">
        <f t="shared" si="49"/>
        <v/>
      </c>
      <c r="AO191" s="16"/>
      <c r="AP191" s="297" t="str">
        <f t="shared" si="50"/>
        <v/>
      </c>
      <c r="AQ191" s="299">
        <f t="shared" si="51"/>
        <v>0</v>
      </c>
      <c r="AR191" s="299">
        <f t="shared" si="52"/>
        <v>0</v>
      </c>
      <c r="AS191" s="300" t="str">
        <f t="shared" si="53"/>
        <v/>
      </c>
      <c r="AT191" s="301" t="str">
        <f>IF(COUNTIF(K191:R191,"F")&gt;0,"",IF(AS191="PASS",'Statement of Marks'!HF192,""))</f>
        <v/>
      </c>
      <c r="AU191" s="301" t="str">
        <f>IF(AS191="PASS",'Statement of Marks'!HG192,"")</f>
        <v/>
      </c>
    </row>
    <row r="192" spans="1:47">
      <c r="A192" s="284">
        <f>IF('Statement of Marks'!A193="","",'Statement of Marks'!A193)</f>
        <v>186</v>
      </c>
      <c r="B192" s="284" t="str">
        <f>IF('Statement of Marks'!B193="","",'Statement of Marks'!B193)</f>
        <v/>
      </c>
      <c r="C192" s="284" t="str">
        <f>IF('Statement of Marks'!C193="","",'Statement of Marks'!C193)</f>
        <v/>
      </c>
      <c r="D192" s="285" t="str">
        <f>IF('Statement of Marks'!D193="","",'Statement of Marks'!D193)</f>
        <v/>
      </c>
      <c r="E192" s="286" t="str">
        <f>IF('Statement of Marks'!E193="","",'Statement of Marks'!E193)</f>
        <v/>
      </c>
      <c r="F192" s="286" t="str">
        <f>IF('Statement of Marks'!F193="","",'Statement of Marks'!F193)</f>
        <v/>
      </c>
      <c r="G192" s="286" t="str">
        <f>IF('Statement of Marks'!G193="","",'Statement of Marks'!G193)</f>
        <v/>
      </c>
      <c r="H192" s="287" t="str">
        <f>IF('Statement of Marks'!GY193="","",'Statement of Marks'!GY193)</f>
        <v/>
      </c>
      <c r="I192" s="287" t="str">
        <f>IF('Statement of Marks'!HB193="","",'Statement of Marks'!HB193)</f>
        <v/>
      </c>
      <c r="J192" s="288" t="str">
        <f>IF('Statement of Marks'!HC193="","",'Statement of Marks'!HC193)</f>
        <v/>
      </c>
      <c r="K192" s="296" t="str">
        <f>IF(B192="","",'Statement of Marks'!FJ193)</f>
        <v/>
      </c>
      <c r="L192" s="296" t="str">
        <f>IF(B192="","",'Statement of Marks'!FM193)</f>
        <v/>
      </c>
      <c r="M192" s="296" t="str">
        <f>IF(B192="","",'Statement of Marks'!FP193)</f>
        <v/>
      </c>
      <c r="N192" s="296" t="str">
        <f>IF(B192="","",'Statement of Marks'!FW193)</f>
        <v/>
      </c>
      <c r="O192" s="296" t="str">
        <f>IF(B192="","",'Statement of Marks'!GD193)</f>
        <v/>
      </c>
      <c r="P192" s="296" t="str">
        <f>IF(B192="","",'Statement of Marks'!GK193)</f>
        <v/>
      </c>
      <c r="Q192" s="296" t="str">
        <f>IF(B192="","",'Statement of Marks'!GR193)</f>
        <v/>
      </c>
      <c r="R192" s="296" t="str">
        <f>IF(B192="","",'Statement of Marks'!GS193)</f>
        <v/>
      </c>
      <c r="S192" s="288" t="str">
        <f>IF(COUNTIF(K192:R192,"F")&gt;0,"",CONCATENATE('Statement of Marks'!GU193,'Statement of Marks'!GW193))</f>
        <v xml:space="preserve">           </v>
      </c>
      <c r="T192" s="289">
        <f t="shared" si="36"/>
        <v>0</v>
      </c>
      <c r="U192" s="16"/>
      <c r="V192" s="297" t="str">
        <f t="shared" si="37"/>
        <v/>
      </c>
      <c r="W192" s="297" t="str">
        <f t="shared" si="38"/>
        <v/>
      </c>
      <c r="X192" s="16"/>
      <c r="Y192" s="297" t="str">
        <f t="shared" si="39"/>
        <v/>
      </c>
      <c r="Z192" s="297" t="str">
        <f t="shared" si="40"/>
        <v/>
      </c>
      <c r="AA192" s="16"/>
      <c r="AB192" s="297" t="str">
        <f t="shared" si="41"/>
        <v/>
      </c>
      <c r="AC192" s="298" t="str">
        <f t="shared" si="42"/>
        <v/>
      </c>
      <c r="AD192" s="16"/>
      <c r="AE192" s="297" t="str">
        <f t="shared" si="43"/>
        <v/>
      </c>
      <c r="AF192" s="298" t="str">
        <f t="shared" si="44"/>
        <v/>
      </c>
      <c r="AG192" s="16"/>
      <c r="AH192" s="297" t="str">
        <f t="shared" si="45"/>
        <v/>
      </c>
      <c r="AI192" s="298" t="str">
        <f t="shared" si="46"/>
        <v/>
      </c>
      <c r="AJ192" s="16"/>
      <c r="AK192" s="298" t="str">
        <f t="shared" si="47"/>
        <v/>
      </c>
      <c r="AL192" s="298" t="str">
        <f t="shared" si="48"/>
        <v/>
      </c>
      <c r="AM192" s="16"/>
      <c r="AN192" s="297" t="str">
        <f t="shared" si="49"/>
        <v/>
      </c>
      <c r="AO192" s="16"/>
      <c r="AP192" s="297" t="str">
        <f t="shared" si="50"/>
        <v/>
      </c>
      <c r="AQ192" s="299">
        <f t="shared" si="51"/>
        <v>0</v>
      </c>
      <c r="AR192" s="299">
        <f t="shared" si="52"/>
        <v>0</v>
      </c>
      <c r="AS192" s="300" t="str">
        <f t="shared" si="53"/>
        <v/>
      </c>
      <c r="AT192" s="301" t="str">
        <f>IF(COUNTIF(K192:R192,"F")&gt;0,"",IF(AS192="PASS",'Statement of Marks'!HF193,""))</f>
        <v/>
      </c>
      <c r="AU192" s="301" t="str">
        <f>IF(AS192="PASS",'Statement of Marks'!HG193,"")</f>
        <v/>
      </c>
    </row>
    <row r="193" spans="1:47">
      <c r="A193" s="284">
        <f>IF('Statement of Marks'!A194="","",'Statement of Marks'!A194)</f>
        <v>187</v>
      </c>
      <c r="B193" s="284" t="str">
        <f>IF('Statement of Marks'!B194="","",'Statement of Marks'!B194)</f>
        <v/>
      </c>
      <c r="C193" s="284" t="str">
        <f>IF('Statement of Marks'!C194="","",'Statement of Marks'!C194)</f>
        <v/>
      </c>
      <c r="D193" s="285" t="str">
        <f>IF('Statement of Marks'!D194="","",'Statement of Marks'!D194)</f>
        <v/>
      </c>
      <c r="E193" s="286" t="str">
        <f>IF('Statement of Marks'!E194="","",'Statement of Marks'!E194)</f>
        <v/>
      </c>
      <c r="F193" s="286" t="str">
        <f>IF('Statement of Marks'!F194="","",'Statement of Marks'!F194)</f>
        <v/>
      </c>
      <c r="G193" s="286" t="str">
        <f>IF('Statement of Marks'!G194="","",'Statement of Marks'!G194)</f>
        <v/>
      </c>
      <c r="H193" s="287" t="str">
        <f>IF('Statement of Marks'!GY194="","",'Statement of Marks'!GY194)</f>
        <v/>
      </c>
      <c r="I193" s="287" t="str">
        <f>IF('Statement of Marks'!HB194="","",'Statement of Marks'!HB194)</f>
        <v/>
      </c>
      <c r="J193" s="288" t="str">
        <f>IF('Statement of Marks'!HC194="","",'Statement of Marks'!HC194)</f>
        <v/>
      </c>
      <c r="K193" s="296" t="str">
        <f>IF(B193="","",'Statement of Marks'!FJ194)</f>
        <v/>
      </c>
      <c r="L193" s="296" t="str">
        <f>IF(B193="","",'Statement of Marks'!FM194)</f>
        <v/>
      </c>
      <c r="M193" s="296" t="str">
        <f>IF(B193="","",'Statement of Marks'!FP194)</f>
        <v/>
      </c>
      <c r="N193" s="296" t="str">
        <f>IF(B193="","",'Statement of Marks'!FW194)</f>
        <v/>
      </c>
      <c r="O193" s="296" t="str">
        <f>IF(B193="","",'Statement of Marks'!GD194)</f>
        <v/>
      </c>
      <c r="P193" s="296" t="str">
        <f>IF(B193="","",'Statement of Marks'!GK194)</f>
        <v/>
      </c>
      <c r="Q193" s="296" t="str">
        <f>IF(B193="","",'Statement of Marks'!GR194)</f>
        <v/>
      </c>
      <c r="R193" s="296" t="str">
        <f>IF(B193="","",'Statement of Marks'!GS194)</f>
        <v/>
      </c>
      <c r="S193" s="288" t="str">
        <f>IF(COUNTIF(K193:R193,"F")&gt;0,"",CONCATENATE('Statement of Marks'!GU194,'Statement of Marks'!GW194))</f>
        <v xml:space="preserve">           </v>
      </c>
      <c r="T193" s="289">
        <f t="shared" si="36"/>
        <v>0</v>
      </c>
      <c r="U193" s="16"/>
      <c r="V193" s="297" t="str">
        <f t="shared" si="37"/>
        <v/>
      </c>
      <c r="W193" s="297" t="str">
        <f t="shared" si="38"/>
        <v/>
      </c>
      <c r="X193" s="16"/>
      <c r="Y193" s="297" t="str">
        <f t="shared" si="39"/>
        <v/>
      </c>
      <c r="Z193" s="297" t="str">
        <f t="shared" si="40"/>
        <v/>
      </c>
      <c r="AA193" s="16"/>
      <c r="AB193" s="297" t="str">
        <f t="shared" si="41"/>
        <v/>
      </c>
      <c r="AC193" s="298" t="str">
        <f t="shared" si="42"/>
        <v/>
      </c>
      <c r="AD193" s="16"/>
      <c r="AE193" s="297" t="str">
        <f t="shared" si="43"/>
        <v/>
      </c>
      <c r="AF193" s="298" t="str">
        <f t="shared" si="44"/>
        <v/>
      </c>
      <c r="AG193" s="16"/>
      <c r="AH193" s="297" t="str">
        <f t="shared" si="45"/>
        <v/>
      </c>
      <c r="AI193" s="298" t="str">
        <f t="shared" si="46"/>
        <v/>
      </c>
      <c r="AJ193" s="16"/>
      <c r="AK193" s="298" t="str">
        <f t="shared" si="47"/>
        <v/>
      </c>
      <c r="AL193" s="298" t="str">
        <f t="shared" si="48"/>
        <v/>
      </c>
      <c r="AM193" s="16"/>
      <c r="AN193" s="297" t="str">
        <f t="shared" si="49"/>
        <v/>
      </c>
      <c r="AO193" s="16"/>
      <c r="AP193" s="297" t="str">
        <f t="shared" si="50"/>
        <v/>
      </c>
      <c r="AQ193" s="299">
        <f t="shared" si="51"/>
        <v>0</v>
      </c>
      <c r="AR193" s="299">
        <f t="shared" si="52"/>
        <v>0</v>
      </c>
      <c r="AS193" s="300" t="str">
        <f t="shared" si="53"/>
        <v/>
      </c>
      <c r="AT193" s="301" t="str">
        <f>IF(COUNTIF(K193:R193,"F")&gt;0,"",IF(AS193="PASS",'Statement of Marks'!HF194,""))</f>
        <v/>
      </c>
      <c r="AU193" s="301" t="str">
        <f>IF(AS193="PASS",'Statement of Marks'!HG194,"")</f>
        <v/>
      </c>
    </row>
    <row r="194" spans="1:47">
      <c r="A194" s="284">
        <f>IF('Statement of Marks'!A195="","",'Statement of Marks'!A195)</f>
        <v>188</v>
      </c>
      <c r="B194" s="284" t="str">
        <f>IF('Statement of Marks'!B195="","",'Statement of Marks'!B195)</f>
        <v/>
      </c>
      <c r="C194" s="284" t="str">
        <f>IF('Statement of Marks'!C195="","",'Statement of Marks'!C195)</f>
        <v/>
      </c>
      <c r="D194" s="285" t="str">
        <f>IF('Statement of Marks'!D195="","",'Statement of Marks'!D195)</f>
        <v/>
      </c>
      <c r="E194" s="286" t="str">
        <f>IF('Statement of Marks'!E195="","",'Statement of Marks'!E195)</f>
        <v/>
      </c>
      <c r="F194" s="286" t="str">
        <f>IF('Statement of Marks'!F195="","",'Statement of Marks'!F195)</f>
        <v/>
      </c>
      <c r="G194" s="286" t="str">
        <f>IF('Statement of Marks'!G195="","",'Statement of Marks'!G195)</f>
        <v/>
      </c>
      <c r="H194" s="287" t="str">
        <f>IF('Statement of Marks'!GY195="","",'Statement of Marks'!GY195)</f>
        <v/>
      </c>
      <c r="I194" s="287" t="str">
        <f>IF('Statement of Marks'!HB195="","",'Statement of Marks'!HB195)</f>
        <v/>
      </c>
      <c r="J194" s="288" t="str">
        <f>IF('Statement of Marks'!HC195="","",'Statement of Marks'!HC195)</f>
        <v/>
      </c>
      <c r="K194" s="296" t="str">
        <f>IF(B194="","",'Statement of Marks'!FJ195)</f>
        <v/>
      </c>
      <c r="L194" s="296" t="str">
        <f>IF(B194="","",'Statement of Marks'!FM195)</f>
        <v/>
      </c>
      <c r="M194" s="296" t="str">
        <f>IF(B194="","",'Statement of Marks'!FP195)</f>
        <v/>
      </c>
      <c r="N194" s="296" t="str">
        <f>IF(B194="","",'Statement of Marks'!FW195)</f>
        <v/>
      </c>
      <c r="O194" s="296" t="str">
        <f>IF(B194="","",'Statement of Marks'!GD195)</f>
        <v/>
      </c>
      <c r="P194" s="296" t="str">
        <f>IF(B194="","",'Statement of Marks'!GK195)</f>
        <v/>
      </c>
      <c r="Q194" s="296" t="str">
        <f>IF(B194="","",'Statement of Marks'!GR195)</f>
        <v/>
      </c>
      <c r="R194" s="296" t="str">
        <f>IF(B194="","",'Statement of Marks'!GS195)</f>
        <v/>
      </c>
      <c r="S194" s="288" t="str">
        <f>IF(COUNTIF(K194:R194,"F")&gt;0,"",CONCATENATE('Statement of Marks'!GU195,'Statement of Marks'!GW195))</f>
        <v xml:space="preserve">           </v>
      </c>
      <c r="T194" s="289">
        <f t="shared" si="36"/>
        <v>0</v>
      </c>
      <c r="U194" s="16"/>
      <c r="V194" s="297" t="str">
        <f t="shared" si="37"/>
        <v/>
      </c>
      <c r="W194" s="297" t="str">
        <f t="shared" si="38"/>
        <v/>
      </c>
      <c r="X194" s="16"/>
      <c r="Y194" s="297" t="str">
        <f t="shared" si="39"/>
        <v/>
      </c>
      <c r="Z194" s="297" t="str">
        <f t="shared" si="40"/>
        <v/>
      </c>
      <c r="AA194" s="16"/>
      <c r="AB194" s="297" t="str">
        <f t="shared" si="41"/>
        <v/>
      </c>
      <c r="AC194" s="298" t="str">
        <f t="shared" si="42"/>
        <v/>
      </c>
      <c r="AD194" s="16"/>
      <c r="AE194" s="297" t="str">
        <f t="shared" si="43"/>
        <v/>
      </c>
      <c r="AF194" s="298" t="str">
        <f t="shared" si="44"/>
        <v/>
      </c>
      <c r="AG194" s="16"/>
      <c r="AH194" s="297" t="str">
        <f t="shared" si="45"/>
        <v/>
      </c>
      <c r="AI194" s="298" t="str">
        <f t="shared" si="46"/>
        <v/>
      </c>
      <c r="AJ194" s="16"/>
      <c r="AK194" s="298" t="str">
        <f t="shared" si="47"/>
        <v/>
      </c>
      <c r="AL194" s="298" t="str">
        <f t="shared" si="48"/>
        <v/>
      </c>
      <c r="AM194" s="16"/>
      <c r="AN194" s="297" t="str">
        <f t="shared" si="49"/>
        <v/>
      </c>
      <c r="AO194" s="16"/>
      <c r="AP194" s="297" t="str">
        <f t="shared" si="50"/>
        <v/>
      </c>
      <c r="AQ194" s="299">
        <f t="shared" si="51"/>
        <v>0</v>
      </c>
      <c r="AR194" s="299">
        <f t="shared" si="52"/>
        <v>0</v>
      </c>
      <c r="AS194" s="300" t="str">
        <f t="shared" si="53"/>
        <v/>
      </c>
      <c r="AT194" s="301" t="str">
        <f>IF(COUNTIF(K194:R194,"F")&gt;0,"",IF(AS194="PASS",'Statement of Marks'!HF195,""))</f>
        <v/>
      </c>
      <c r="AU194" s="301" t="str">
        <f>IF(AS194="PASS",'Statement of Marks'!HG195,"")</f>
        <v/>
      </c>
    </row>
    <row r="195" spans="1:47">
      <c r="A195" s="284">
        <f>IF('Statement of Marks'!A196="","",'Statement of Marks'!A196)</f>
        <v>189</v>
      </c>
      <c r="B195" s="284" t="str">
        <f>IF('Statement of Marks'!B196="","",'Statement of Marks'!B196)</f>
        <v/>
      </c>
      <c r="C195" s="284" t="str">
        <f>IF('Statement of Marks'!C196="","",'Statement of Marks'!C196)</f>
        <v/>
      </c>
      <c r="D195" s="285" t="str">
        <f>IF('Statement of Marks'!D196="","",'Statement of Marks'!D196)</f>
        <v/>
      </c>
      <c r="E195" s="286" t="str">
        <f>IF('Statement of Marks'!E196="","",'Statement of Marks'!E196)</f>
        <v/>
      </c>
      <c r="F195" s="286" t="str">
        <f>IF('Statement of Marks'!F196="","",'Statement of Marks'!F196)</f>
        <v/>
      </c>
      <c r="G195" s="286" t="str">
        <f>IF('Statement of Marks'!G196="","",'Statement of Marks'!G196)</f>
        <v/>
      </c>
      <c r="H195" s="287" t="str">
        <f>IF('Statement of Marks'!GY196="","",'Statement of Marks'!GY196)</f>
        <v/>
      </c>
      <c r="I195" s="287" t="str">
        <f>IF('Statement of Marks'!HB196="","",'Statement of Marks'!HB196)</f>
        <v/>
      </c>
      <c r="J195" s="288" t="str">
        <f>IF('Statement of Marks'!HC196="","",'Statement of Marks'!HC196)</f>
        <v/>
      </c>
      <c r="K195" s="296" t="str">
        <f>IF(B195="","",'Statement of Marks'!FJ196)</f>
        <v/>
      </c>
      <c r="L195" s="296" t="str">
        <f>IF(B195="","",'Statement of Marks'!FM196)</f>
        <v/>
      </c>
      <c r="M195" s="296" t="str">
        <f>IF(B195="","",'Statement of Marks'!FP196)</f>
        <v/>
      </c>
      <c r="N195" s="296" t="str">
        <f>IF(B195="","",'Statement of Marks'!FW196)</f>
        <v/>
      </c>
      <c r="O195" s="296" t="str">
        <f>IF(B195="","",'Statement of Marks'!GD196)</f>
        <v/>
      </c>
      <c r="P195" s="296" t="str">
        <f>IF(B195="","",'Statement of Marks'!GK196)</f>
        <v/>
      </c>
      <c r="Q195" s="296" t="str">
        <f>IF(B195="","",'Statement of Marks'!GR196)</f>
        <v/>
      </c>
      <c r="R195" s="296" t="str">
        <f>IF(B195="","",'Statement of Marks'!GS196)</f>
        <v/>
      </c>
      <c r="S195" s="288" t="str">
        <f>IF(COUNTIF(K195:R195,"F")&gt;0,"",CONCATENATE('Statement of Marks'!GU196,'Statement of Marks'!GW196))</f>
        <v xml:space="preserve">           </v>
      </c>
      <c r="T195" s="289">
        <f t="shared" si="36"/>
        <v>0</v>
      </c>
      <c r="U195" s="16"/>
      <c r="V195" s="297" t="str">
        <f t="shared" si="37"/>
        <v/>
      </c>
      <c r="W195" s="297" t="str">
        <f t="shared" si="38"/>
        <v/>
      </c>
      <c r="X195" s="16"/>
      <c r="Y195" s="297" t="str">
        <f t="shared" si="39"/>
        <v/>
      </c>
      <c r="Z195" s="297" t="str">
        <f t="shared" si="40"/>
        <v/>
      </c>
      <c r="AA195" s="16"/>
      <c r="AB195" s="297" t="str">
        <f t="shared" si="41"/>
        <v/>
      </c>
      <c r="AC195" s="298" t="str">
        <f t="shared" si="42"/>
        <v/>
      </c>
      <c r="AD195" s="16"/>
      <c r="AE195" s="297" t="str">
        <f t="shared" si="43"/>
        <v/>
      </c>
      <c r="AF195" s="298" t="str">
        <f t="shared" si="44"/>
        <v/>
      </c>
      <c r="AG195" s="16"/>
      <c r="AH195" s="297" t="str">
        <f t="shared" si="45"/>
        <v/>
      </c>
      <c r="AI195" s="298" t="str">
        <f t="shared" si="46"/>
        <v/>
      </c>
      <c r="AJ195" s="16"/>
      <c r="AK195" s="298" t="str">
        <f t="shared" si="47"/>
        <v/>
      </c>
      <c r="AL195" s="298" t="str">
        <f t="shared" si="48"/>
        <v/>
      </c>
      <c r="AM195" s="16"/>
      <c r="AN195" s="297" t="str">
        <f t="shared" si="49"/>
        <v/>
      </c>
      <c r="AO195" s="16"/>
      <c r="AP195" s="297" t="str">
        <f t="shared" si="50"/>
        <v/>
      </c>
      <c r="AQ195" s="299">
        <f t="shared" si="51"/>
        <v>0</v>
      </c>
      <c r="AR195" s="299">
        <f t="shared" si="52"/>
        <v>0</v>
      </c>
      <c r="AS195" s="300" t="str">
        <f t="shared" si="53"/>
        <v/>
      </c>
      <c r="AT195" s="301" t="str">
        <f>IF(COUNTIF(K195:R195,"F")&gt;0,"",IF(AS195="PASS",'Statement of Marks'!HF196,""))</f>
        <v/>
      </c>
      <c r="AU195" s="301" t="str">
        <f>IF(AS195="PASS",'Statement of Marks'!HG196,"")</f>
        <v/>
      </c>
    </row>
    <row r="196" spans="1:47">
      <c r="A196" s="284">
        <f>IF('Statement of Marks'!A197="","",'Statement of Marks'!A197)</f>
        <v>190</v>
      </c>
      <c r="B196" s="284" t="str">
        <f>IF('Statement of Marks'!B197="","",'Statement of Marks'!B197)</f>
        <v/>
      </c>
      <c r="C196" s="284" t="str">
        <f>IF('Statement of Marks'!C197="","",'Statement of Marks'!C197)</f>
        <v/>
      </c>
      <c r="D196" s="285" t="str">
        <f>IF('Statement of Marks'!D197="","",'Statement of Marks'!D197)</f>
        <v/>
      </c>
      <c r="E196" s="286" t="str">
        <f>IF('Statement of Marks'!E197="","",'Statement of Marks'!E197)</f>
        <v/>
      </c>
      <c r="F196" s="286" t="str">
        <f>IF('Statement of Marks'!F197="","",'Statement of Marks'!F197)</f>
        <v/>
      </c>
      <c r="G196" s="286" t="str">
        <f>IF('Statement of Marks'!G197="","",'Statement of Marks'!G197)</f>
        <v/>
      </c>
      <c r="H196" s="287" t="str">
        <f>IF('Statement of Marks'!GY197="","",'Statement of Marks'!GY197)</f>
        <v/>
      </c>
      <c r="I196" s="287" t="str">
        <f>IF('Statement of Marks'!HB197="","",'Statement of Marks'!HB197)</f>
        <v/>
      </c>
      <c r="J196" s="288" t="str">
        <f>IF('Statement of Marks'!HC197="","",'Statement of Marks'!HC197)</f>
        <v/>
      </c>
      <c r="K196" s="296" t="str">
        <f>IF(B196="","",'Statement of Marks'!FJ197)</f>
        <v/>
      </c>
      <c r="L196" s="296" t="str">
        <f>IF(B196="","",'Statement of Marks'!FM197)</f>
        <v/>
      </c>
      <c r="M196" s="296" t="str">
        <f>IF(B196="","",'Statement of Marks'!FP197)</f>
        <v/>
      </c>
      <c r="N196" s="296" t="str">
        <f>IF(B196="","",'Statement of Marks'!FW197)</f>
        <v/>
      </c>
      <c r="O196" s="296" t="str">
        <f>IF(B196="","",'Statement of Marks'!GD197)</f>
        <v/>
      </c>
      <c r="P196" s="296" t="str">
        <f>IF(B196="","",'Statement of Marks'!GK197)</f>
        <v/>
      </c>
      <c r="Q196" s="296" t="str">
        <f>IF(B196="","",'Statement of Marks'!GR197)</f>
        <v/>
      </c>
      <c r="R196" s="296" t="str">
        <f>IF(B196="","",'Statement of Marks'!GS197)</f>
        <v/>
      </c>
      <c r="S196" s="288" t="str">
        <f>IF(COUNTIF(K196:R196,"F")&gt;0,"",CONCATENATE('Statement of Marks'!GU197,'Statement of Marks'!GW197))</f>
        <v xml:space="preserve">           </v>
      </c>
      <c r="T196" s="289">
        <f t="shared" si="36"/>
        <v>0</v>
      </c>
      <c r="U196" s="16"/>
      <c r="V196" s="297" t="str">
        <f t="shared" si="37"/>
        <v/>
      </c>
      <c r="W196" s="297" t="str">
        <f t="shared" si="38"/>
        <v/>
      </c>
      <c r="X196" s="16"/>
      <c r="Y196" s="297" t="str">
        <f t="shared" si="39"/>
        <v/>
      </c>
      <c r="Z196" s="297" t="str">
        <f t="shared" si="40"/>
        <v/>
      </c>
      <c r="AA196" s="16"/>
      <c r="AB196" s="297" t="str">
        <f t="shared" si="41"/>
        <v/>
      </c>
      <c r="AC196" s="298" t="str">
        <f t="shared" si="42"/>
        <v/>
      </c>
      <c r="AD196" s="16"/>
      <c r="AE196" s="297" t="str">
        <f t="shared" si="43"/>
        <v/>
      </c>
      <c r="AF196" s="298" t="str">
        <f t="shared" si="44"/>
        <v/>
      </c>
      <c r="AG196" s="16"/>
      <c r="AH196" s="297" t="str">
        <f t="shared" si="45"/>
        <v/>
      </c>
      <c r="AI196" s="298" t="str">
        <f t="shared" si="46"/>
        <v/>
      </c>
      <c r="AJ196" s="16"/>
      <c r="AK196" s="298" t="str">
        <f t="shared" si="47"/>
        <v/>
      </c>
      <c r="AL196" s="298" t="str">
        <f t="shared" si="48"/>
        <v/>
      </c>
      <c r="AM196" s="16"/>
      <c r="AN196" s="297" t="str">
        <f t="shared" si="49"/>
        <v/>
      </c>
      <c r="AO196" s="16"/>
      <c r="AP196" s="297" t="str">
        <f t="shared" si="50"/>
        <v/>
      </c>
      <c r="AQ196" s="299">
        <f t="shared" si="51"/>
        <v>0</v>
      </c>
      <c r="AR196" s="299">
        <f t="shared" si="52"/>
        <v>0</v>
      </c>
      <c r="AS196" s="300" t="str">
        <f t="shared" si="53"/>
        <v/>
      </c>
      <c r="AT196" s="301" t="str">
        <f>IF(COUNTIF(K196:R196,"F")&gt;0,"",IF(AS196="PASS",'Statement of Marks'!HF197,""))</f>
        <v/>
      </c>
      <c r="AU196" s="301" t="str">
        <f>IF(AS196="PASS",'Statement of Marks'!HG197,"")</f>
        <v/>
      </c>
    </row>
    <row r="197" spans="1:47">
      <c r="A197" s="284">
        <f>IF('Statement of Marks'!A198="","",'Statement of Marks'!A198)</f>
        <v>191</v>
      </c>
      <c r="B197" s="284" t="str">
        <f>IF('Statement of Marks'!B198="","",'Statement of Marks'!B198)</f>
        <v/>
      </c>
      <c r="C197" s="284" t="str">
        <f>IF('Statement of Marks'!C198="","",'Statement of Marks'!C198)</f>
        <v/>
      </c>
      <c r="D197" s="285" t="str">
        <f>IF('Statement of Marks'!D198="","",'Statement of Marks'!D198)</f>
        <v/>
      </c>
      <c r="E197" s="286" t="str">
        <f>IF('Statement of Marks'!E198="","",'Statement of Marks'!E198)</f>
        <v/>
      </c>
      <c r="F197" s="286" t="str">
        <f>IF('Statement of Marks'!F198="","",'Statement of Marks'!F198)</f>
        <v/>
      </c>
      <c r="G197" s="286" t="str">
        <f>IF('Statement of Marks'!G198="","",'Statement of Marks'!G198)</f>
        <v/>
      </c>
      <c r="H197" s="287" t="str">
        <f>IF('Statement of Marks'!GY198="","",'Statement of Marks'!GY198)</f>
        <v/>
      </c>
      <c r="I197" s="287" t="str">
        <f>IF('Statement of Marks'!HB198="","",'Statement of Marks'!HB198)</f>
        <v/>
      </c>
      <c r="J197" s="288" t="str">
        <f>IF('Statement of Marks'!HC198="","",'Statement of Marks'!HC198)</f>
        <v/>
      </c>
      <c r="K197" s="296" t="str">
        <f>IF(B197="","",'Statement of Marks'!FJ198)</f>
        <v/>
      </c>
      <c r="L197" s="296" t="str">
        <f>IF(B197="","",'Statement of Marks'!FM198)</f>
        <v/>
      </c>
      <c r="M197" s="296" t="str">
        <f>IF(B197="","",'Statement of Marks'!FP198)</f>
        <v/>
      </c>
      <c r="N197" s="296" t="str">
        <f>IF(B197="","",'Statement of Marks'!FW198)</f>
        <v/>
      </c>
      <c r="O197" s="296" t="str">
        <f>IF(B197="","",'Statement of Marks'!GD198)</f>
        <v/>
      </c>
      <c r="P197" s="296" t="str">
        <f>IF(B197="","",'Statement of Marks'!GK198)</f>
        <v/>
      </c>
      <c r="Q197" s="296" t="str">
        <f>IF(B197="","",'Statement of Marks'!GR198)</f>
        <v/>
      </c>
      <c r="R197" s="296" t="str">
        <f>IF(B197="","",'Statement of Marks'!GS198)</f>
        <v/>
      </c>
      <c r="S197" s="288" t="str">
        <f>IF(COUNTIF(K197:R197,"F")&gt;0,"",CONCATENATE('Statement of Marks'!GU198,'Statement of Marks'!GW198))</f>
        <v xml:space="preserve">           </v>
      </c>
      <c r="T197" s="289">
        <f t="shared" si="36"/>
        <v>0</v>
      </c>
      <c r="U197" s="16"/>
      <c r="V197" s="297" t="str">
        <f t="shared" si="37"/>
        <v/>
      </c>
      <c r="W197" s="297" t="str">
        <f t="shared" si="38"/>
        <v/>
      </c>
      <c r="X197" s="16"/>
      <c r="Y197" s="297" t="str">
        <f t="shared" si="39"/>
        <v/>
      </c>
      <c r="Z197" s="297" t="str">
        <f t="shared" si="40"/>
        <v/>
      </c>
      <c r="AA197" s="16"/>
      <c r="AB197" s="297" t="str">
        <f t="shared" si="41"/>
        <v/>
      </c>
      <c r="AC197" s="298" t="str">
        <f t="shared" si="42"/>
        <v/>
      </c>
      <c r="AD197" s="16"/>
      <c r="AE197" s="297" t="str">
        <f t="shared" si="43"/>
        <v/>
      </c>
      <c r="AF197" s="298" t="str">
        <f t="shared" si="44"/>
        <v/>
      </c>
      <c r="AG197" s="16"/>
      <c r="AH197" s="297" t="str">
        <f t="shared" si="45"/>
        <v/>
      </c>
      <c r="AI197" s="298" t="str">
        <f t="shared" si="46"/>
        <v/>
      </c>
      <c r="AJ197" s="16"/>
      <c r="AK197" s="298" t="str">
        <f t="shared" si="47"/>
        <v/>
      </c>
      <c r="AL197" s="298" t="str">
        <f t="shared" si="48"/>
        <v/>
      </c>
      <c r="AM197" s="16"/>
      <c r="AN197" s="297" t="str">
        <f t="shared" si="49"/>
        <v/>
      </c>
      <c r="AO197" s="16"/>
      <c r="AP197" s="297" t="str">
        <f t="shared" si="50"/>
        <v/>
      </c>
      <c r="AQ197" s="299">
        <f t="shared" si="51"/>
        <v>0</v>
      </c>
      <c r="AR197" s="299">
        <f t="shared" si="52"/>
        <v>0</v>
      </c>
      <c r="AS197" s="300" t="str">
        <f t="shared" si="53"/>
        <v/>
      </c>
      <c r="AT197" s="301" t="str">
        <f>IF(COUNTIF(K197:R197,"F")&gt;0,"",IF(AS197="PASS",'Statement of Marks'!HF198,""))</f>
        <v/>
      </c>
      <c r="AU197" s="301" t="str">
        <f>IF(AS197="PASS",'Statement of Marks'!HG198,"")</f>
        <v/>
      </c>
    </row>
    <row r="198" spans="1:47">
      <c r="A198" s="284">
        <f>IF('Statement of Marks'!A199="","",'Statement of Marks'!A199)</f>
        <v>192</v>
      </c>
      <c r="B198" s="284" t="str">
        <f>IF('Statement of Marks'!B199="","",'Statement of Marks'!B199)</f>
        <v/>
      </c>
      <c r="C198" s="284" t="str">
        <f>IF('Statement of Marks'!C199="","",'Statement of Marks'!C199)</f>
        <v/>
      </c>
      <c r="D198" s="285" t="str">
        <f>IF('Statement of Marks'!D199="","",'Statement of Marks'!D199)</f>
        <v/>
      </c>
      <c r="E198" s="286" t="str">
        <f>IF('Statement of Marks'!E199="","",'Statement of Marks'!E199)</f>
        <v/>
      </c>
      <c r="F198" s="286" t="str">
        <f>IF('Statement of Marks'!F199="","",'Statement of Marks'!F199)</f>
        <v/>
      </c>
      <c r="G198" s="286" t="str">
        <f>IF('Statement of Marks'!G199="","",'Statement of Marks'!G199)</f>
        <v/>
      </c>
      <c r="H198" s="287" t="str">
        <f>IF('Statement of Marks'!GY199="","",'Statement of Marks'!GY199)</f>
        <v/>
      </c>
      <c r="I198" s="287" t="str">
        <f>IF('Statement of Marks'!HB199="","",'Statement of Marks'!HB199)</f>
        <v/>
      </c>
      <c r="J198" s="288" t="str">
        <f>IF('Statement of Marks'!HC199="","",'Statement of Marks'!HC199)</f>
        <v/>
      </c>
      <c r="K198" s="296" t="str">
        <f>IF(B198="","",'Statement of Marks'!FJ199)</f>
        <v/>
      </c>
      <c r="L198" s="296" t="str">
        <f>IF(B198="","",'Statement of Marks'!FM199)</f>
        <v/>
      </c>
      <c r="M198" s="296" t="str">
        <f>IF(B198="","",'Statement of Marks'!FP199)</f>
        <v/>
      </c>
      <c r="N198" s="296" t="str">
        <f>IF(B198="","",'Statement of Marks'!FW199)</f>
        <v/>
      </c>
      <c r="O198" s="296" t="str">
        <f>IF(B198="","",'Statement of Marks'!GD199)</f>
        <v/>
      </c>
      <c r="P198" s="296" t="str">
        <f>IF(B198="","",'Statement of Marks'!GK199)</f>
        <v/>
      </c>
      <c r="Q198" s="296" t="str">
        <f>IF(B198="","",'Statement of Marks'!GR199)</f>
        <v/>
      </c>
      <c r="R198" s="296" t="str">
        <f>IF(B198="","",'Statement of Marks'!GS199)</f>
        <v/>
      </c>
      <c r="S198" s="288" t="str">
        <f>IF(COUNTIF(K198:R198,"F")&gt;0,"",CONCATENATE('Statement of Marks'!GU199,'Statement of Marks'!GW199))</f>
        <v xml:space="preserve">           </v>
      </c>
      <c r="T198" s="289">
        <f t="shared" si="36"/>
        <v>0</v>
      </c>
      <c r="U198" s="16"/>
      <c r="V198" s="297" t="str">
        <f t="shared" si="37"/>
        <v/>
      </c>
      <c r="W198" s="297" t="str">
        <f t="shared" si="38"/>
        <v/>
      </c>
      <c r="X198" s="16"/>
      <c r="Y198" s="297" t="str">
        <f t="shared" si="39"/>
        <v/>
      </c>
      <c r="Z198" s="297" t="str">
        <f t="shared" si="40"/>
        <v/>
      </c>
      <c r="AA198" s="16"/>
      <c r="AB198" s="297" t="str">
        <f t="shared" si="41"/>
        <v/>
      </c>
      <c r="AC198" s="298" t="str">
        <f t="shared" si="42"/>
        <v/>
      </c>
      <c r="AD198" s="16"/>
      <c r="AE198" s="297" t="str">
        <f t="shared" si="43"/>
        <v/>
      </c>
      <c r="AF198" s="298" t="str">
        <f t="shared" si="44"/>
        <v/>
      </c>
      <c r="AG198" s="16"/>
      <c r="AH198" s="297" t="str">
        <f t="shared" si="45"/>
        <v/>
      </c>
      <c r="AI198" s="298" t="str">
        <f t="shared" si="46"/>
        <v/>
      </c>
      <c r="AJ198" s="16"/>
      <c r="AK198" s="298" t="str">
        <f t="shared" si="47"/>
        <v/>
      </c>
      <c r="AL198" s="298" t="str">
        <f t="shared" si="48"/>
        <v/>
      </c>
      <c r="AM198" s="16"/>
      <c r="AN198" s="297" t="str">
        <f t="shared" si="49"/>
        <v/>
      </c>
      <c r="AO198" s="16"/>
      <c r="AP198" s="297" t="str">
        <f t="shared" si="50"/>
        <v/>
      </c>
      <c r="AQ198" s="299">
        <f t="shared" si="51"/>
        <v>0</v>
      </c>
      <c r="AR198" s="299">
        <f t="shared" si="52"/>
        <v>0</v>
      </c>
      <c r="AS198" s="300" t="str">
        <f t="shared" si="53"/>
        <v/>
      </c>
      <c r="AT198" s="301" t="str">
        <f>IF(COUNTIF(K198:R198,"F")&gt;0,"",IF(AS198="PASS",'Statement of Marks'!HF199,""))</f>
        <v/>
      </c>
      <c r="AU198" s="301" t="str">
        <f>IF(AS198="PASS",'Statement of Marks'!HG199,"")</f>
        <v/>
      </c>
    </row>
    <row r="199" spans="1:47">
      <c r="A199" s="284">
        <f>IF('Statement of Marks'!A200="","",'Statement of Marks'!A200)</f>
        <v>193</v>
      </c>
      <c r="B199" s="284" t="str">
        <f>IF('Statement of Marks'!B200="","",'Statement of Marks'!B200)</f>
        <v/>
      </c>
      <c r="C199" s="284" t="str">
        <f>IF('Statement of Marks'!C200="","",'Statement of Marks'!C200)</f>
        <v/>
      </c>
      <c r="D199" s="285" t="str">
        <f>IF('Statement of Marks'!D200="","",'Statement of Marks'!D200)</f>
        <v/>
      </c>
      <c r="E199" s="286" t="str">
        <f>IF('Statement of Marks'!E200="","",'Statement of Marks'!E200)</f>
        <v/>
      </c>
      <c r="F199" s="286" t="str">
        <f>IF('Statement of Marks'!F200="","",'Statement of Marks'!F200)</f>
        <v/>
      </c>
      <c r="G199" s="286" t="str">
        <f>IF('Statement of Marks'!G200="","",'Statement of Marks'!G200)</f>
        <v/>
      </c>
      <c r="H199" s="287" t="str">
        <f>IF('Statement of Marks'!GY200="","",'Statement of Marks'!GY200)</f>
        <v/>
      </c>
      <c r="I199" s="287" t="str">
        <f>IF('Statement of Marks'!HB200="","",'Statement of Marks'!HB200)</f>
        <v/>
      </c>
      <c r="J199" s="288" t="str">
        <f>IF('Statement of Marks'!HC200="","",'Statement of Marks'!HC200)</f>
        <v/>
      </c>
      <c r="K199" s="296" t="str">
        <f>IF(B199="","",'Statement of Marks'!FJ200)</f>
        <v/>
      </c>
      <c r="L199" s="296" t="str">
        <f>IF(B199="","",'Statement of Marks'!FM200)</f>
        <v/>
      </c>
      <c r="M199" s="296" t="str">
        <f>IF(B199="","",'Statement of Marks'!FP200)</f>
        <v/>
      </c>
      <c r="N199" s="296" t="str">
        <f>IF(B199="","",'Statement of Marks'!FW200)</f>
        <v/>
      </c>
      <c r="O199" s="296" t="str">
        <f>IF(B199="","",'Statement of Marks'!GD200)</f>
        <v/>
      </c>
      <c r="P199" s="296" t="str">
        <f>IF(B199="","",'Statement of Marks'!GK200)</f>
        <v/>
      </c>
      <c r="Q199" s="296" t="str">
        <f>IF(B199="","",'Statement of Marks'!GR200)</f>
        <v/>
      </c>
      <c r="R199" s="296" t="str">
        <f>IF(B199="","",'Statement of Marks'!GS200)</f>
        <v/>
      </c>
      <c r="S199" s="288" t="str">
        <f>IF(COUNTIF(K199:R199,"F")&gt;0,"",CONCATENATE('Statement of Marks'!GU200,'Statement of Marks'!GW200))</f>
        <v xml:space="preserve">           </v>
      </c>
      <c r="T199" s="289">
        <f t="shared" si="36"/>
        <v>0</v>
      </c>
      <c r="U199" s="16"/>
      <c r="V199" s="297" t="str">
        <f t="shared" si="37"/>
        <v/>
      </c>
      <c r="W199" s="297" t="str">
        <f t="shared" si="38"/>
        <v/>
      </c>
      <c r="X199" s="16"/>
      <c r="Y199" s="297" t="str">
        <f t="shared" si="39"/>
        <v/>
      </c>
      <c r="Z199" s="297" t="str">
        <f t="shared" si="40"/>
        <v/>
      </c>
      <c r="AA199" s="16"/>
      <c r="AB199" s="297" t="str">
        <f t="shared" si="41"/>
        <v/>
      </c>
      <c r="AC199" s="298" t="str">
        <f t="shared" si="42"/>
        <v/>
      </c>
      <c r="AD199" s="16"/>
      <c r="AE199" s="297" t="str">
        <f t="shared" si="43"/>
        <v/>
      </c>
      <c r="AF199" s="298" t="str">
        <f t="shared" si="44"/>
        <v/>
      </c>
      <c r="AG199" s="16"/>
      <c r="AH199" s="297" t="str">
        <f t="shared" si="45"/>
        <v/>
      </c>
      <c r="AI199" s="298" t="str">
        <f t="shared" si="46"/>
        <v/>
      </c>
      <c r="AJ199" s="16"/>
      <c r="AK199" s="298" t="str">
        <f t="shared" si="47"/>
        <v/>
      </c>
      <c r="AL199" s="298" t="str">
        <f t="shared" si="48"/>
        <v/>
      </c>
      <c r="AM199" s="16"/>
      <c r="AN199" s="297" t="str">
        <f t="shared" si="49"/>
        <v/>
      </c>
      <c r="AO199" s="16"/>
      <c r="AP199" s="297" t="str">
        <f t="shared" si="50"/>
        <v/>
      </c>
      <c r="AQ199" s="299">
        <f t="shared" si="51"/>
        <v>0</v>
      </c>
      <c r="AR199" s="299">
        <f t="shared" si="52"/>
        <v>0</v>
      </c>
      <c r="AS199" s="300" t="str">
        <f t="shared" si="53"/>
        <v/>
      </c>
      <c r="AT199" s="301" t="str">
        <f>IF(COUNTIF(K199:R199,"F")&gt;0,"",IF(AS199="PASS",'Statement of Marks'!HF200,""))</f>
        <v/>
      </c>
      <c r="AU199" s="301" t="str">
        <f>IF(AS199="PASS",'Statement of Marks'!HG200,"")</f>
        <v/>
      </c>
    </row>
    <row r="200" spans="1:47">
      <c r="A200" s="284">
        <f>IF('Statement of Marks'!A201="","",'Statement of Marks'!A201)</f>
        <v>194</v>
      </c>
      <c r="B200" s="284" t="str">
        <f>IF('Statement of Marks'!B201="","",'Statement of Marks'!B201)</f>
        <v/>
      </c>
      <c r="C200" s="284" t="str">
        <f>IF('Statement of Marks'!C201="","",'Statement of Marks'!C201)</f>
        <v/>
      </c>
      <c r="D200" s="285" t="str">
        <f>IF('Statement of Marks'!D201="","",'Statement of Marks'!D201)</f>
        <v/>
      </c>
      <c r="E200" s="286" t="str">
        <f>IF('Statement of Marks'!E201="","",'Statement of Marks'!E201)</f>
        <v/>
      </c>
      <c r="F200" s="286" t="str">
        <f>IF('Statement of Marks'!F201="","",'Statement of Marks'!F201)</f>
        <v/>
      </c>
      <c r="G200" s="286" t="str">
        <f>IF('Statement of Marks'!G201="","",'Statement of Marks'!G201)</f>
        <v/>
      </c>
      <c r="H200" s="287" t="str">
        <f>IF('Statement of Marks'!GY201="","",'Statement of Marks'!GY201)</f>
        <v/>
      </c>
      <c r="I200" s="287" t="str">
        <f>IF('Statement of Marks'!HB201="","",'Statement of Marks'!HB201)</f>
        <v/>
      </c>
      <c r="J200" s="288" t="str">
        <f>IF('Statement of Marks'!HC201="","",'Statement of Marks'!HC201)</f>
        <v/>
      </c>
      <c r="K200" s="296" t="str">
        <f>IF(B200="","",'Statement of Marks'!FJ201)</f>
        <v/>
      </c>
      <c r="L200" s="296" t="str">
        <f>IF(B200="","",'Statement of Marks'!FM201)</f>
        <v/>
      </c>
      <c r="M200" s="296" t="str">
        <f>IF(B200="","",'Statement of Marks'!FP201)</f>
        <v/>
      </c>
      <c r="N200" s="296" t="str">
        <f>IF(B200="","",'Statement of Marks'!FW201)</f>
        <v/>
      </c>
      <c r="O200" s="296" t="str">
        <f>IF(B200="","",'Statement of Marks'!GD201)</f>
        <v/>
      </c>
      <c r="P200" s="296" t="str">
        <f>IF(B200="","",'Statement of Marks'!GK201)</f>
        <v/>
      </c>
      <c r="Q200" s="296" t="str">
        <f>IF(B200="","",'Statement of Marks'!GR201)</f>
        <v/>
      </c>
      <c r="R200" s="296" t="str">
        <f>IF(B200="","",'Statement of Marks'!GS201)</f>
        <v/>
      </c>
      <c r="S200" s="288" t="str">
        <f>IF(COUNTIF(K200:R200,"F")&gt;0,"",CONCATENATE('Statement of Marks'!GU201,'Statement of Marks'!GW201))</f>
        <v xml:space="preserve">           </v>
      </c>
      <c r="T200" s="289">
        <f t="shared" ref="T200:T206" si="54">IF(COUNTIF(K200:R200,"F")&gt;0,"",COUNTIF(K200:R200,"S")+COUNTIF(K200:R200,"RE")+COUNTIF(K200:R200,"REP"))</f>
        <v>0</v>
      </c>
      <c r="U200" s="16"/>
      <c r="V200" s="297" t="str">
        <f t="shared" ref="V200:V206" si="55">IF(U200="","",IF(OR(U200="AB",K200="RE"),U200,IF(AND(K200="S"),ROUNDUP(U200,0),)))</f>
        <v/>
      </c>
      <c r="W200" s="297" t="str">
        <f t="shared" ref="W200:W206" si="56">IF(U200="","",IF(OR(U200="AB",U200&lt;36%*$U$6),"F","P"))</f>
        <v/>
      </c>
      <c r="X200" s="16"/>
      <c r="Y200" s="297" t="str">
        <f t="shared" ref="Y200:Y206" si="57">IF(X200="","",IF(OR(X200="AB",L200="RE"),X200,IF(AND(L200="S"),ROUNDUP(X200,0),)))</f>
        <v/>
      </c>
      <c r="Z200" s="297" t="str">
        <f t="shared" ref="Z200:Z206" si="58">IF(X200="","",IF(OR(X200="AB",X200&lt;36%*$X$6),"F","P"))</f>
        <v/>
      </c>
      <c r="AA200" s="16"/>
      <c r="AB200" s="297" t="str">
        <f t="shared" ref="AB200:AB205" si="59">IF(AA200="","",IF(OR(AA200="AB",M200="RE"),AA200,IF(AND(M200="S"),ROUNDUP(AA200,0),)))</f>
        <v/>
      </c>
      <c r="AC200" s="298" t="str">
        <f t="shared" ref="AC200:AC205" si="60">IF(AA200="","",IF(OR(AA200="AB",AA200&lt;36%*$AA$6),"F","P"))</f>
        <v/>
      </c>
      <c r="AD200" s="16"/>
      <c r="AE200" s="297" t="str">
        <f t="shared" ref="AE200:AE206" si="61">IF(AD200="","",IF(OR(AD200="AB",N200="RE"),AD200,IF(AND(N200="S"),ROUNDUP(AD200,0),)))</f>
        <v/>
      </c>
      <c r="AF200" s="298" t="str">
        <f t="shared" ref="AF200:AF206" si="62">IF(AD200="","",IF(OR(AD200="AB",AD200&lt;36%*$AD$6),"F","P"))</f>
        <v/>
      </c>
      <c r="AG200" s="16"/>
      <c r="AH200" s="297" t="str">
        <f t="shared" ref="AH200:AH206" si="63">IF(AG200="","",IF(OR(AG200="AB",O200="RE"),AG200,IF(AND(O200="S"),ROUNDUP(AG200,0),)))</f>
        <v/>
      </c>
      <c r="AI200" s="298" t="str">
        <f t="shared" ref="AI200:AI206" si="64">IF(AG200="","",IF(OR(AG200="AB",AG200&lt;36%*$AG$6),"F","P"))</f>
        <v/>
      </c>
      <c r="AJ200" s="16"/>
      <c r="AK200" s="298" t="str">
        <f t="shared" ref="AK200:AK206" si="65">IF(AJ200="","",IF(OR(AJ200="AB",P200="RE"),AJ200,IF(AND(P200="S"),ROUNDUP(AJ200,0),)))</f>
        <v/>
      </c>
      <c r="AL200" s="298" t="str">
        <f t="shared" ref="AL200:AL206" si="66">IF(AJ200="","",IF(OR(AJ200="AB",AJ200&lt;36%*$AJ$6),"F","P"))</f>
        <v/>
      </c>
      <c r="AM200" s="16"/>
      <c r="AN200" s="297" t="str">
        <f t="shared" ref="AN200:AN206" si="67">IF(AM200="","",IF(OR(AM200="AB",AM200&lt;15),"F","P"))</f>
        <v/>
      </c>
      <c r="AO200" s="16"/>
      <c r="AP200" s="297" t="str">
        <f t="shared" ref="AP200:AP206" si="68">IF(AO200="","",IF(OR(AO200="AB",AO200&lt;36),"F","P"))</f>
        <v/>
      </c>
      <c r="AQ200" s="299">
        <f t="shared" ref="AQ200:AQ206" si="69">IF(COUNTIF(K200:Q200,"F")&gt;0,"",COUNTA(U200,X200,AA200,AD200,AG200,AJ200,AM200))</f>
        <v>0</v>
      </c>
      <c r="AR200" s="299">
        <f t="shared" ref="AR200:AR206" si="70">IF(COUNTIF(K200:Q200,"F")&gt;0,"",COUNTIF(U200:AN200,"P"))</f>
        <v>0</v>
      </c>
      <c r="AS200" s="300" t="str">
        <f t="shared" ref="AS200:AS206" si="71">IF(AND(U200="",X200="",AA200="",AD200="",AG200="",AJ200="",AM200="",AO200=""),"",IF(COUNTIF(K200:R200,"F")&gt;0,"",IF(T200=0,"",IF(T200&gt;AQ200,H200,IF(T200&gt;AR200,"FAIL","PASS")))))</f>
        <v/>
      </c>
      <c r="AT200" s="301" t="str">
        <f>IF(COUNTIF(K200:R200,"F")&gt;0,"",IF(AS200="PASS",'Statement of Marks'!HF201,""))</f>
        <v/>
      </c>
      <c r="AU200" s="301" t="str">
        <f>IF(AS200="PASS",'Statement of Marks'!HG201,"")</f>
        <v/>
      </c>
    </row>
    <row r="201" spans="1:47">
      <c r="A201" s="284">
        <f>IF('Statement of Marks'!A202="","",'Statement of Marks'!A202)</f>
        <v>195</v>
      </c>
      <c r="B201" s="284" t="str">
        <f>IF('Statement of Marks'!B202="","",'Statement of Marks'!B202)</f>
        <v/>
      </c>
      <c r="C201" s="284" t="str">
        <f>IF('Statement of Marks'!C202="","",'Statement of Marks'!C202)</f>
        <v/>
      </c>
      <c r="D201" s="285" t="str">
        <f>IF('Statement of Marks'!D202="","",'Statement of Marks'!D202)</f>
        <v/>
      </c>
      <c r="E201" s="286" t="str">
        <f>IF('Statement of Marks'!E202="","",'Statement of Marks'!E202)</f>
        <v/>
      </c>
      <c r="F201" s="286" t="str">
        <f>IF('Statement of Marks'!F202="","",'Statement of Marks'!F202)</f>
        <v/>
      </c>
      <c r="G201" s="286" t="str">
        <f>IF('Statement of Marks'!G202="","",'Statement of Marks'!G202)</f>
        <v/>
      </c>
      <c r="H201" s="287" t="str">
        <f>IF('Statement of Marks'!GY202="","",'Statement of Marks'!GY202)</f>
        <v/>
      </c>
      <c r="I201" s="287" t="str">
        <f>IF('Statement of Marks'!HB202="","",'Statement of Marks'!HB202)</f>
        <v/>
      </c>
      <c r="J201" s="288" t="str">
        <f>IF('Statement of Marks'!HC202="","",'Statement of Marks'!HC202)</f>
        <v/>
      </c>
      <c r="K201" s="296" t="str">
        <f>IF(B201="","",'Statement of Marks'!FJ202)</f>
        <v/>
      </c>
      <c r="L201" s="296" t="str">
        <f>IF(B201="","",'Statement of Marks'!FM202)</f>
        <v/>
      </c>
      <c r="M201" s="296" t="str">
        <f>IF(B201="","",'Statement of Marks'!FP202)</f>
        <v/>
      </c>
      <c r="N201" s="296" t="str">
        <f>IF(B201="","",'Statement of Marks'!FW202)</f>
        <v/>
      </c>
      <c r="O201" s="296" t="str">
        <f>IF(B201="","",'Statement of Marks'!GD202)</f>
        <v/>
      </c>
      <c r="P201" s="296" t="str">
        <f>IF(B201="","",'Statement of Marks'!GK202)</f>
        <v/>
      </c>
      <c r="Q201" s="296" t="str">
        <f>IF(B201="","",'Statement of Marks'!GR202)</f>
        <v/>
      </c>
      <c r="R201" s="296" t="str">
        <f>IF(B201="","",'Statement of Marks'!GS202)</f>
        <v/>
      </c>
      <c r="S201" s="288" t="str">
        <f>IF(COUNTIF(K201:R201,"F")&gt;0,"",CONCATENATE('Statement of Marks'!GU202,'Statement of Marks'!GW202))</f>
        <v xml:space="preserve">           </v>
      </c>
      <c r="T201" s="289">
        <f t="shared" si="54"/>
        <v>0</v>
      </c>
      <c r="U201" s="16"/>
      <c r="V201" s="297" t="str">
        <f t="shared" si="55"/>
        <v/>
      </c>
      <c r="W201" s="297" t="str">
        <f t="shared" si="56"/>
        <v/>
      </c>
      <c r="X201" s="16"/>
      <c r="Y201" s="297" t="str">
        <f t="shared" si="57"/>
        <v/>
      </c>
      <c r="Z201" s="297" t="str">
        <f t="shared" si="58"/>
        <v/>
      </c>
      <c r="AA201" s="16"/>
      <c r="AB201" s="297" t="str">
        <f t="shared" si="59"/>
        <v/>
      </c>
      <c r="AC201" s="298" t="str">
        <f t="shared" si="60"/>
        <v/>
      </c>
      <c r="AD201" s="16"/>
      <c r="AE201" s="297" t="str">
        <f t="shared" si="61"/>
        <v/>
      </c>
      <c r="AF201" s="298" t="str">
        <f t="shared" si="62"/>
        <v/>
      </c>
      <c r="AG201" s="16"/>
      <c r="AH201" s="297" t="str">
        <f t="shared" si="63"/>
        <v/>
      </c>
      <c r="AI201" s="298" t="str">
        <f t="shared" si="64"/>
        <v/>
      </c>
      <c r="AJ201" s="16"/>
      <c r="AK201" s="298" t="str">
        <f t="shared" si="65"/>
        <v/>
      </c>
      <c r="AL201" s="298" t="str">
        <f t="shared" si="66"/>
        <v/>
      </c>
      <c r="AM201" s="16"/>
      <c r="AN201" s="297" t="str">
        <f t="shared" si="67"/>
        <v/>
      </c>
      <c r="AO201" s="16"/>
      <c r="AP201" s="297" t="str">
        <f t="shared" si="68"/>
        <v/>
      </c>
      <c r="AQ201" s="299">
        <f t="shared" si="69"/>
        <v>0</v>
      </c>
      <c r="AR201" s="299">
        <f t="shared" si="70"/>
        <v>0</v>
      </c>
      <c r="AS201" s="300" t="str">
        <f t="shared" si="71"/>
        <v/>
      </c>
      <c r="AT201" s="301" t="str">
        <f>IF(COUNTIF(K201:R201,"F")&gt;0,"",IF(AS201="PASS",'Statement of Marks'!HF202,""))</f>
        <v/>
      </c>
      <c r="AU201" s="301" t="str">
        <f>IF(AS201="PASS",'Statement of Marks'!HG202,"")</f>
        <v/>
      </c>
    </row>
    <row r="202" spans="1:47">
      <c r="A202" s="284">
        <f>IF('Statement of Marks'!A203="","",'Statement of Marks'!A203)</f>
        <v>196</v>
      </c>
      <c r="B202" s="284" t="str">
        <f>IF('Statement of Marks'!B203="","",'Statement of Marks'!B203)</f>
        <v/>
      </c>
      <c r="C202" s="284" t="str">
        <f>IF('Statement of Marks'!C203="","",'Statement of Marks'!C203)</f>
        <v/>
      </c>
      <c r="D202" s="285" t="str">
        <f>IF('Statement of Marks'!D203="","",'Statement of Marks'!D203)</f>
        <v/>
      </c>
      <c r="E202" s="286" t="str">
        <f>IF('Statement of Marks'!E203="","",'Statement of Marks'!E203)</f>
        <v/>
      </c>
      <c r="F202" s="286" t="str">
        <f>IF('Statement of Marks'!F203="","",'Statement of Marks'!F203)</f>
        <v/>
      </c>
      <c r="G202" s="286" t="str">
        <f>IF('Statement of Marks'!G203="","",'Statement of Marks'!G203)</f>
        <v/>
      </c>
      <c r="H202" s="287" t="str">
        <f>IF('Statement of Marks'!GY203="","",'Statement of Marks'!GY203)</f>
        <v/>
      </c>
      <c r="I202" s="287" t="str">
        <f>IF('Statement of Marks'!HB203="","",'Statement of Marks'!HB203)</f>
        <v/>
      </c>
      <c r="J202" s="288" t="str">
        <f>IF('Statement of Marks'!HC203="","",'Statement of Marks'!HC203)</f>
        <v/>
      </c>
      <c r="K202" s="296" t="str">
        <f>IF(B202="","",'Statement of Marks'!FJ203)</f>
        <v/>
      </c>
      <c r="L202" s="296" t="str">
        <f>IF(B202="","",'Statement of Marks'!FM203)</f>
        <v/>
      </c>
      <c r="M202" s="296" t="str">
        <f>IF(B202="","",'Statement of Marks'!FP203)</f>
        <v/>
      </c>
      <c r="N202" s="296" t="str">
        <f>IF(B202="","",'Statement of Marks'!FW203)</f>
        <v/>
      </c>
      <c r="O202" s="296" t="str">
        <f>IF(B202="","",'Statement of Marks'!GD203)</f>
        <v/>
      </c>
      <c r="P202" s="296" t="str">
        <f>IF(B202="","",'Statement of Marks'!GK203)</f>
        <v/>
      </c>
      <c r="Q202" s="296" t="str">
        <f>IF(B202="","",'Statement of Marks'!GR203)</f>
        <v/>
      </c>
      <c r="R202" s="296" t="str">
        <f>IF(B202="","",'Statement of Marks'!GS203)</f>
        <v/>
      </c>
      <c r="S202" s="288" t="str">
        <f>IF(COUNTIF(K202:R202,"F")&gt;0,"",CONCATENATE('Statement of Marks'!GU203,'Statement of Marks'!GW203))</f>
        <v xml:space="preserve">           </v>
      </c>
      <c r="T202" s="289">
        <f t="shared" si="54"/>
        <v>0</v>
      </c>
      <c r="U202" s="16"/>
      <c r="V202" s="297" t="str">
        <f t="shared" si="55"/>
        <v/>
      </c>
      <c r="W202" s="297" t="str">
        <f t="shared" si="56"/>
        <v/>
      </c>
      <c r="X202" s="16"/>
      <c r="Y202" s="297" t="str">
        <f t="shared" si="57"/>
        <v/>
      </c>
      <c r="Z202" s="297" t="str">
        <f t="shared" si="58"/>
        <v/>
      </c>
      <c r="AA202" s="16"/>
      <c r="AB202" s="297" t="str">
        <f t="shared" si="59"/>
        <v/>
      </c>
      <c r="AC202" s="298" t="str">
        <f t="shared" si="60"/>
        <v/>
      </c>
      <c r="AD202" s="16"/>
      <c r="AE202" s="297" t="str">
        <f t="shared" si="61"/>
        <v/>
      </c>
      <c r="AF202" s="298" t="str">
        <f t="shared" si="62"/>
        <v/>
      </c>
      <c r="AG202" s="16"/>
      <c r="AH202" s="297" t="str">
        <f t="shared" si="63"/>
        <v/>
      </c>
      <c r="AI202" s="298" t="str">
        <f t="shared" si="64"/>
        <v/>
      </c>
      <c r="AJ202" s="16"/>
      <c r="AK202" s="298" t="str">
        <f t="shared" si="65"/>
        <v/>
      </c>
      <c r="AL202" s="298" t="str">
        <f t="shared" si="66"/>
        <v/>
      </c>
      <c r="AM202" s="16"/>
      <c r="AN202" s="297" t="str">
        <f t="shared" si="67"/>
        <v/>
      </c>
      <c r="AO202" s="16"/>
      <c r="AP202" s="297" t="str">
        <f t="shared" si="68"/>
        <v/>
      </c>
      <c r="AQ202" s="299">
        <f t="shared" si="69"/>
        <v>0</v>
      </c>
      <c r="AR202" s="299">
        <f t="shared" si="70"/>
        <v>0</v>
      </c>
      <c r="AS202" s="300" t="str">
        <f t="shared" si="71"/>
        <v/>
      </c>
      <c r="AT202" s="301" t="str">
        <f>IF(COUNTIF(K202:R202,"F")&gt;0,"",IF(AS202="PASS",'Statement of Marks'!HF203,""))</f>
        <v/>
      </c>
      <c r="AU202" s="301" t="str">
        <f>IF(AS202="PASS",'Statement of Marks'!HG203,"")</f>
        <v/>
      </c>
    </row>
    <row r="203" spans="1:47">
      <c r="A203" s="284">
        <f>IF('Statement of Marks'!A204="","",'Statement of Marks'!A204)</f>
        <v>197</v>
      </c>
      <c r="B203" s="284" t="str">
        <f>IF('Statement of Marks'!B204="","",'Statement of Marks'!B204)</f>
        <v/>
      </c>
      <c r="C203" s="284" t="str">
        <f>IF('Statement of Marks'!C204="","",'Statement of Marks'!C204)</f>
        <v/>
      </c>
      <c r="D203" s="285" t="str">
        <f>IF('Statement of Marks'!D204="","",'Statement of Marks'!D204)</f>
        <v/>
      </c>
      <c r="E203" s="286" t="str">
        <f>IF('Statement of Marks'!E204="","",'Statement of Marks'!E204)</f>
        <v/>
      </c>
      <c r="F203" s="286" t="str">
        <f>IF('Statement of Marks'!F204="","",'Statement of Marks'!F204)</f>
        <v/>
      </c>
      <c r="G203" s="286" t="str">
        <f>IF('Statement of Marks'!G204="","",'Statement of Marks'!G204)</f>
        <v/>
      </c>
      <c r="H203" s="287" t="str">
        <f>IF('Statement of Marks'!GY204="","",'Statement of Marks'!GY204)</f>
        <v/>
      </c>
      <c r="I203" s="287" t="str">
        <f>IF('Statement of Marks'!HB204="","",'Statement of Marks'!HB204)</f>
        <v/>
      </c>
      <c r="J203" s="288" t="str">
        <f>IF('Statement of Marks'!HC204="","",'Statement of Marks'!HC204)</f>
        <v/>
      </c>
      <c r="K203" s="296" t="str">
        <f>IF(B203="","",'Statement of Marks'!FJ204)</f>
        <v/>
      </c>
      <c r="L203" s="296" t="str">
        <f>IF(B203="","",'Statement of Marks'!FM204)</f>
        <v/>
      </c>
      <c r="M203" s="296" t="str">
        <f>IF(B203="","",'Statement of Marks'!FP204)</f>
        <v/>
      </c>
      <c r="N203" s="296" t="str">
        <f>IF(B203="","",'Statement of Marks'!FW204)</f>
        <v/>
      </c>
      <c r="O203" s="296" t="str">
        <f>IF(B203="","",'Statement of Marks'!GD204)</f>
        <v/>
      </c>
      <c r="P203" s="296" t="str">
        <f>IF(B203="","",'Statement of Marks'!GK204)</f>
        <v/>
      </c>
      <c r="Q203" s="296" t="str">
        <f>IF(B203="","",'Statement of Marks'!GR204)</f>
        <v/>
      </c>
      <c r="R203" s="296" t="str">
        <f>IF(B203="","",'Statement of Marks'!GS204)</f>
        <v/>
      </c>
      <c r="S203" s="288" t="str">
        <f>IF(COUNTIF(K203:R203,"F")&gt;0,"",CONCATENATE('Statement of Marks'!GU204,'Statement of Marks'!GW204))</f>
        <v xml:space="preserve">           </v>
      </c>
      <c r="T203" s="289">
        <f t="shared" si="54"/>
        <v>0</v>
      </c>
      <c r="U203" s="16"/>
      <c r="V203" s="297" t="str">
        <f t="shared" si="55"/>
        <v/>
      </c>
      <c r="W203" s="297" t="str">
        <f t="shared" si="56"/>
        <v/>
      </c>
      <c r="X203" s="16"/>
      <c r="Y203" s="297" t="str">
        <f t="shared" si="57"/>
        <v/>
      </c>
      <c r="Z203" s="297" t="str">
        <f t="shared" si="58"/>
        <v/>
      </c>
      <c r="AA203" s="16"/>
      <c r="AB203" s="297" t="str">
        <f t="shared" si="59"/>
        <v/>
      </c>
      <c r="AC203" s="298" t="str">
        <f t="shared" si="60"/>
        <v/>
      </c>
      <c r="AD203" s="16"/>
      <c r="AE203" s="297" t="str">
        <f t="shared" si="61"/>
        <v/>
      </c>
      <c r="AF203" s="298" t="str">
        <f t="shared" si="62"/>
        <v/>
      </c>
      <c r="AG203" s="16"/>
      <c r="AH203" s="297" t="str">
        <f t="shared" si="63"/>
        <v/>
      </c>
      <c r="AI203" s="298" t="str">
        <f t="shared" si="64"/>
        <v/>
      </c>
      <c r="AJ203" s="16"/>
      <c r="AK203" s="298" t="str">
        <f t="shared" si="65"/>
        <v/>
      </c>
      <c r="AL203" s="298" t="str">
        <f t="shared" si="66"/>
        <v/>
      </c>
      <c r="AM203" s="16"/>
      <c r="AN203" s="297" t="str">
        <f t="shared" si="67"/>
        <v/>
      </c>
      <c r="AO203" s="16"/>
      <c r="AP203" s="297" t="str">
        <f t="shared" si="68"/>
        <v/>
      </c>
      <c r="AQ203" s="299">
        <f t="shared" si="69"/>
        <v>0</v>
      </c>
      <c r="AR203" s="299">
        <f t="shared" si="70"/>
        <v>0</v>
      </c>
      <c r="AS203" s="300" t="str">
        <f t="shared" si="71"/>
        <v/>
      </c>
      <c r="AT203" s="301" t="str">
        <f>IF(COUNTIF(K203:R203,"F")&gt;0,"",IF(AS203="PASS",'Statement of Marks'!HF204,""))</f>
        <v/>
      </c>
      <c r="AU203" s="301" t="str">
        <f>IF(AS203="PASS",'Statement of Marks'!HG204,"")</f>
        <v/>
      </c>
    </row>
    <row r="204" spans="1:47">
      <c r="A204" s="284">
        <f>IF('Statement of Marks'!A205="","",'Statement of Marks'!A205)</f>
        <v>198</v>
      </c>
      <c r="B204" s="284" t="str">
        <f>IF('Statement of Marks'!B205="","",'Statement of Marks'!B205)</f>
        <v/>
      </c>
      <c r="C204" s="284" t="str">
        <f>IF('Statement of Marks'!C205="","",'Statement of Marks'!C205)</f>
        <v/>
      </c>
      <c r="D204" s="285" t="str">
        <f>IF('Statement of Marks'!D205="","",'Statement of Marks'!D205)</f>
        <v/>
      </c>
      <c r="E204" s="286" t="str">
        <f>IF('Statement of Marks'!E205="","",'Statement of Marks'!E205)</f>
        <v/>
      </c>
      <c r="F204" s="286" t="str">
        <f>IF('Statement of Marks'!F205="","",'Statement of Marks'!F205)</f>
        <v/>
      </c>
      <c r="G204" s="286" t="str">
        <f>IF('Statement of Marks'!G205="","",'Statement of Marks'!G205)</f>
        <v/>
      </c>
      <c r="H204" s="287" t="str">
        <f>IF('Statement of Marks'!GY205="","",'Statement of Marks'!GY205)</f>
        <v/>
      </c>
      <c r="I204" s="287" t="str">
        <f>IF('Statement of Marks'!HB205="","",'Statement of Marks'!HB205)</f>
        <v/>
      </c>
      <c r="J204" s="288" t="str">
        <f>IF('Statement of Marks'!HC205="","",'Statement of Marks'!HC205)</f>
        <v/>
      </c>
      <c r="K204" s="296" t="str">
        <f>IF(B204="","",'Statement of Marks'!FJ205)</f>
        <v/>
      </c>
      <c r="L204" s="296" t="str">
        <f>IF(B204="","",'Statement of Marks'!FM205)</f>
        <v/>
      </c>
      <c r="M204" s="296" t="str">
        <f>IF(B204="","",'Statement of Marks'!FP205)</f>
        <v/>
      </c>
      <c r="N204" s="296" t="str">
        <f>IF(B204="","",'Statement of Marks'!FW205)</f>
        <v/>
      </c>
      <c r="O204" s="296" t="str">
        <f>IF(B204="","",'Statement of Marks'!GD205)</f>
        <v/>
      </c>
      <c r="P204" s="296" t="str">
        <f>IF(B204="","",'Statement of Marks'!GK205)</f>
        <v/>
      </c>
      <c r="Q204" s="296" t="str">
        <f>IF(B204="","",'Statement of Marks'!GR205)</f>
        <v/>
      </c>
      <c r="R204" s="296" t="str">
        <f>IF(B204="","",'Statement of Marks'!GS205)</f>
        <v/>
      </c>
      <c r="S204" s="288" t="str">
        <f>IF(COUNTIF(K204:R204,"F")&gt;0,"",CONCATENATE('Statement of Marks'!GU205,'Statement of Marks'!GW205))</f>
        <v xml:space="preserve">           </v>
      </c>
      <c r="T204" s="289">
        <f t="shared" si="54"/>
        <v>0</v>
      </c>
      <c r="U204" s="16"/>
      <c r="V204" s="297" t="str">
        <f t="shared" si="55"/>
        <v/>
      </c>
      <c r="W204" s="297" t="str">
        <f t="shared" si="56"/>
        <v/>
      </c>
      <c r="X204" s="16"/>
      <c r="Y204" s="297" t="str">
        <f t="shared" si="57"/>
        <v/>
      </c>
      <c r="Z204" s="297" t="str">
        <f t="shared" si="58"/>
        <v/>
      </c>
      <c r="AA204" s="16"/>
      <c r="AB204" s="297" t="str">
        <f t="shared" si="59"/>
        <v/>
      </c>
      <c r="AC204" s="298" t="str">
        <f t="shared" si="60"/>
        <v/>
      </c>
      <c r="AD204" s="16"/>
      <c r="AE204" s="297" t="str">
        <f t="shared" si="61"/>
        <v/>
      </c>
      <c r="AF204" s="298" t="str">
        <f t="shared" si="62"/>
        <v/>
      </c>
      <c r="AG204" s="16"/>
      <c r="AH204" s="297" t="str">
        <f t="shared" si="63"/>
        <v/>
      </c>
      <c r="AI204" s="298" t="str">
        <f t="shared" si="64"/>
        <v/>
      </c>
      <c r="AJ204" s="16"/>
      <c r="AK204" s="298" t="str">
        <f t="shared" si="65"/>
        <v/>
      </c>
      <c r="AL204" s="298" t="str">
        <f t="shared" si="66"/>
        <v/>
      </c>
      <c r="AM204" s="16"/>
      <c r="AN204" s="297" t="str">
        <f t="shared" si="67"/>
        <v/>
      </c>
      <c r="AO204" s="16"/>
      <c r="AP204" s="297" t="str">
        <f t="shared" si="68"/>
        <v/>
      </c>
      <c r="AQ204" s="299">
        <f t="shared" si="69"/>
        <v>0</v>
      </c>
      <c r="AR204" s="299">
        <f t="shared" si="70"/>
        <v>0</v>
      </c>
      <c r="AS204" s="300" t="str">
        <f t="shared" si="71"/>
        <v/>
      </c>
      <c r="AT204" s="301" t="str">
        <f>IF(COUNTIF(K204:R204,"F")&gt;0,"",IF(AS204="PASS",'Statement of Marks'!HF205,""))</f>
        <v/>
      </c>
      <c r="AU204" s="301" t="str">
        <f>IF(AS204="PASS",'Statement of Marks'!HG205,"")</f>
        <v/>
      </c>
    </row>
    <row r="205" spans="1:47">
      <c r="A205" s="284">
        <f>IF('Statement of Marks'!A206="","",'Statement of Marks'!A206)</f>
        <v>199</v>
      </c>
      <c r="B205" s="284" t="str">
        <f>IF('Statement of Marks'!B206="","",'Statement of Marks'!B206)</f>
        <v/>
      </c>
      <c r="C205" s="284" t="str">
        <f>IF('Statement of Marks'!C206="","",'Statement of Marks'!C206)</f>
        <v/>
      </c>
      <c r="D205" s="285" t="str">
        <f>IF('Statement of Marks'!D206="","",'Statement of Marks'!D206)</f>
        <v/>
      </c>
      <c r="E205" s="286" t="str">
        <f>IF('Statement of Marks'!E206="","",'Statement of Marks'!E206)</f>
        <v/>
      </c>
      <c r="F205" s="286" t="str">
        <f>IF('Statement of Marks'!F206="","",'Statement of Marks'!F206)</f>
        <v/>
      </c>
      <c r="G205" s="286" t="str">
        <f>IF('Statement of Marks'!G206="","",'Statement of Marks'!G206)</f>
        <v/>
      </c>
      <c r="H205" s="287" t="str">
        <f>IF('Statement of Marks'!GY206="","",'Statement of Marks'!GY206)</f>
        <v/>
      </c>
      <c r="I205" s="287" t="str">
        <f>IF('Statement of Marks'!HB206="","",'Statement of Marks'!HB206)</f>
        <v/>
      </c>
      <c r="J205" s="288" t="str">
        <f>IF('Statement of Marks'!HC206="","",'Statement of Marks'!HC206)</f>
        <v/>
      </c>
      <c r="K205" s="296" t="str">
        <f>IF(B205="","",'Statement of Marks'!FJ206)</f>
        <v/>
      </c>
      <c r="L205" s="296" t="str">
        <f>IF(B205="","",'Statement of Marks'!FM206)</f>
        <v/>
      </c>
      <c r="M205" s="296" t="str">
        <f>IF(B205="","",'Statement of Marks'!FP206)</f>
        <v/>
      </c>
      <c r="N205" s="296" t="str">
        <f>IF(B205="","",'Statement of Marks'!FW206)</f>
        <v/>
      </c>
      <c r="O205" s="296" t="str">
        <f>IF(B205="","",'Statement of Marks'!GD206)</f>
        <v/>
      </c>
      <c r="P205" s="296" t="str">
        <f>IF(B205="","",'Statement of Marks'!GK206)</f>
        <v/>
      </c>
      <c r="Q205" s="296" t="str">
        <f>IF(B205="","",'Statement of Marks'!GR206)</f>
        <v/>
      </c>
      <c r="R205" s="296" t="str">
        <f>IF(B205="","",'Statement of Marks'!GS206)</f>
        <v/>
      </c>
      <c r="S205" s="288" t="str">
        <f>IF(COUNTIF(K205:R205,"F")&gt;0,"",CONCATENATE('Statement of Marks'!GU206,'Statement of Marks'!GW206))</f>
        <v xml:space="preserve">           </v>
      </c>
      <c r="T205" s="289">
        <f t="shared" si="54"/>
        <v>0</v>
      </c>
      <c r="U205" s="16"/>
      <c r="V205" s="297" t="str">
        <f t="shared" si="55"/>
        <v/>
      </c>
      <c r="W205" s="297" t="str">
        <f t="shared" si="56"/>
        <v/>
      </c>
      <c r="X205" s="16"/>
      <c r="Y205" s="297" t="str">
        <f t="shared" si="57"/>
        <v/>
      </c>
      <c r="Z205" s="297" t="str">
        <f t="shared" si="58"/>
        <v/>
      </c>
      <c r="AA205" s="16"/>
      <c r="AB205" s="297" t="str">
        <f t="shared" si="59"/>
        <v/>
      </c>
      <c r="AC205" s="298" t="str">
        <f t="shared" si="60"/>
        <v/>
      </c>
      <c r="AD205" s="16"/>
      <c r="AE205" s="297" t="str">
        <f t="shared" si="61"/>
        <v/>
      </c>
      <c r="AF205" s="298" t="str">
        <f t="shared" si="62"/>
        <v/>
      </c>
      <c r="AG205" s="16"/>
      <c r="AH205" s="297" t="str">
        <f t="shared" si="63"/>
        <v/>
      </c>
      <c r="AI205" s="298" t="str">
        <f t="shared" si="64"/>
        <v/>
      </c>
      <c r="AJ205" s="16"/>
      <c r="AK205" s="298" t="str">
        <f t="shared" si="65"/>
        <v/>
      </c>
      <c r="AL205" s="298" t="str">
        <f t="shared" si="66"/>
        <v/>
      </c>
      <c r="AM205" s="16"/>
      <c r="AN205" s="297" t="str">
        <f t="shared" si="67"/>
        <v/>
      </c>
      <c r="AO205" s="16"/>
      <c r="AP205" s="297" t="str">
        <f t="shared" si="68"/>
        <v/>
      </c>
      <c r="AQ205" s="299">
        <f t="shared" si="69"/>
        <v>0</v>
      </c>
      <c r="AR205" s="299">
        <f t="shared" si="70"/>
        <v>0</v>
      </c>
      <c r="AS205" s="300" t="str">
        <f t="shared" si="71"/>
        <v/>
      </c>
      <c r="AT205" s="301" t="str">
        <f>IF(COUNTIF(K205:R205,"F")&gt;0,"",IF(AS205="PASS",'Statement of Marks'!HF206,""))</f>
        <v/>
      </c>
      <c r="AU205" s="301" t="str">
        <f>IF(AS205="PASS",'Statement of Marks'!HG206,"")</f>
        <v/>
      </c>
    </row>
    <row r="206" spans="1:47">
      <c r="A206" s="284">
        <f>IF('Statement of Marks'!A207="","",'Statement of Marks'!A207)</f>
        <v>200</v>
      </c>
      <c r="B206" s="284" t="str">
        <f>IF('Statement of Marks'!B207="","",'Statement of Marks'!B207)</f>
        <v/>
      </c>
      <c r="C206" s="284" t="str">
        <f>IF('Statement of Marks'!C207="","",'Statement of Marks'!C207)</f>
        <v/>
      </c>
      <c r="D206" s="285" t="str">
        <f>IF('Statement of Marks'!D207="","",'Statement of Marks'!D207)</f>
        <v/>
      </c>
      <c r="E206" s="286" t="str">
        <f>IF('Statement of Marks'!E207="","",'Statement of Marks'!E207)</f>
        <v/>
      </c>
      <c r="F206" s="286" t="str">
        <f>IF('Statement of Marks'!F207="","",'Statement of Marks'!F207)</f>
        <v/>
      </c>
      <c r="G206" s="286" t="str">
        <f>IF('Statement of Marks'!G207="","",'Statement of Marks'!G207)</f>
        <v/>
      </c>
      <c r="H206" s="287" t="str">
        <f>IF('Statement of Marks'!GY207="","",'Statement of Marks'!GY207)</f>
        <v/>
      </c>
      <c r="I206" s="287" t="str">
        <f>IF('Statement of Marks'!HB207="","",'Statement of Marks'!HB207)</f>
        <v/>
      </c>
      <c r="J206" s="288" t="str">
        <f>IF('Statement of Marks'!HC207="","",'Statement of Marks'!HC207)</f>
        <v/>
      </c>
      <c r="K206" s="296" t="str">
        <f>IF(B206="","",'Statement of Marks'!FJ207)</f>
        <v/>
      </c>
      <c r="L206" s="296" t="str">
        <f>IF(B206="","",'Statement of Marks'!FM207)</f>
        <v/>
      </c>
      <c r="M206" s="296" t="str">
        <f>IF(B206="","",'Statement of Marks'!FP207)</f>
        <v/>
      </c>
      <c r="N206" s="296" t="str">
        <f>IF(B206="","",'Statement of Marks'!FW207)</f>
        <v/>
      </c>
      <c r="O206" s="296" t="str">
        <f>IF(B206="","",'Statement of Marks'!GD207)</f>
        <v/>
      </c>
      <c r="P206" s="296" t="str">
        <f>IF(B206="","",'Statement of Marks'!GK207)</f>
        <v/>
      </c>
      <c r="Q206" s="296" t="str">
        <f>IF(B206="","",'Statement of Marks'!GR207)</f>
        <v/>
      </c>
      <c r="R206" s="296" t="str">
        <f>IF(B206="","",'Statement of Marks'!GS207)</f>
        <v/>
      </c>
      <c r="S206" s="288" t="str">
        <f>IF(COUNTIF(K206:R206,"F")&gt;0,"",CONCATENATE('Statement of Marks'!GU207,'Statement of Marks'!GW207))</f>
        <v xml:space="preserve">           </v>
      </c>
      <c r="T206" s="289">
        <f t="shared" si="54"/>
        <v>0</v>
      </c>
      <c r="U206" s="16"/>
      <c r="V206" s="297" t="str">
        <f t="shared" si="55"/>
        <v/>
      </c>
      <c r="W206" s="297" t="str">
        <f t="shared" si="56"/>
        <v/>
      </c>
      <c r="X206" s="16"/>
      <c r="Y206" s="297" t="str">
        <f t="shared" si="57"/>
        <v/>
      </c>
      <c r="Z206" s="297" t="str">
        <f t="shared" si="58"/>
        <v/>
      </c>
      <c r="AA206" s="16"/>
      <c r="AB206" s="297" t="str">
        <f>IF(AA206="","",IF(OR(AA206="AB",M206="RE"),AA206,IF(AND(M206="S"),ROUNDUP(AA206,0),)))</f>
        <v/>
      </c>
      <c r="AC206" s="298" t="str">
        <f>IF(AA206="","",IF(OR(AA206="AB",AA206&lt;36%*$AA$6),"F","P"))</f>
        <v/>
      </c>
      <c r="AD206" s="16"/>
      <c r="AE206" s="297" t="str">
        <f t="shared" si="61"/>
        <v/>
      </c>
      <c r="AF206" s="298" t="str">
        <f t="shared" si="62"/>
        <v/>
      </c>
      <c r="AG206" s="16"/>
      <c r="AH206" s="297" t="str">
        <f t="shared" si="63"/>
        <v/>
      </c>
      <c r="AI206" s="298" t="str">
        <f t="shared" si="64"/>
        <v/>
      </c>
      <c r="AJ206" s="16"/>
      <c r="AK206" s="298" t="str">
        <f t="shared" si="65"/>
        <v/>
      </c>
      <c r="AL206" s="298" t="str">
        <f t="shared" si="66"/>
        <v/>
      </c>
      <c r="AM206" s="16"/>
      <c r="AN206" s="297" t="str">
        <f t="shared" si="67"/>
        <v/>
      </c>
      <c r="AO206" s="16"/>
      <c r="AP206" s="297" t="str">
        <f t="shared" si="68"/>
        <v/>
      </c>
      <c r="AQ206" s="299">
        <f t="shared" si="69"/>
        <v>0</v>
      </c>
      <c r="AR206" s="299">
        <f t="shared" si="70"/>
        <v>0</v>
      </c>
      <c r="AS206" s="300" t="str">
        <f t="shared" si="71"/>
        <v/>
      </c>
      <c r="AT206" s="301" t="str">
        <f>IF(COUNTIF(K206:R206,"F")&gt;0,"",IF(AS206="PASS",'Statement of Marks'!HF207,""))</f>
        <v/>
      </c>
      <c r="AU206" s="301" t="str">
        <f>IF(AS206="PASS",'Statement of Marks'!HG207,"")</f>
        <v/>
      </c>
    </row>
    <row r="207" spans="1:47" ht="15.75">
      <c r="A207" s="1362"/>
      <c r="B207" s="1363"/>
      <c r="C207" s="1363"/>
      <c r="D207" s="1363"/>
      <c r="E207" s="1363"/>
      <c r="F207" s="1363"/>
      <c r="G207" s="1363"/>
      <c r="H207" s="1363"/>
      <c r="I207" s="1363"/>
      <c r="J207" s="1363"/>
      <c r="K207" s="1363"/>
      <c r="L207" s="1363"/>
      <c r="M207" s="1363"/>
      <c r="N207" s="1363"/>
      <c r="O207" s="1363"/>
      <c r="P207" s="1363"/>
      <c r="Q207" s="1363"/>
      <c r="R207" s="1363"/>
      <c r="S207" s="1363"/>
      <c r="T207" s="1363"/>
      <c r="U207" s="1363"/>
      <c r="V207" s="1363"/>
      <c r="W207" s="1363"/>
      <c r="X207" s="1363"/>
      <c r="Y207" s="1363"/>
      <c r="Z207" s="1363"/>
      <c r="AA207" s="1363"/>
      <c r="AB207" s="1363"/>
      <c r="AC207" s="1363"/>
      <c r="AD207" s="1363"/>
      <c r="AE207" s="1363"/>
      <c r="AF207" s="1363"/>
      <c r="AG207" s="1363"/>
      <c r="AH207" s="1363"/>
      <c r="AI207" s="1363"/>
      <c r="AJ207" s="1363"/>
      <c r="AK207" s="1363"/>
      <c r="AL207" s="1363"/>
      <c r="AM207" s="1363"/>
      <c r="AN207" s="1363"/>
      <c r="AO207" s="1363"/>
      <c r="AP207" s="1363"/>
      <c r="AQ207" s="1363"/>
      <c r="AR207" s="1363"/>
      <c r="AS207" s="1363"/>
      <c r="AT207" s="1363"/>
      <c r="AU207" s="1363"/>
    </row>
    <row r="208" spans="1:47" ht="18.75">
      <c r="A208" s="303"/>
      <c r="B208" s="1384" t="str">
        <f>IF('Master Sheet'!D11="Hindi","विवरण","Details")</f>
        <v>विवरण</v>
      </c>
      <c r="C208" s="1384"/>
      <c r="D208" s="1384"/>
      <c r="E208" s="652" t="str">
        <f>IF('Master Sheet'!D11="Hindi","मुख्य परीक्षा","Main Exam")</f>
        <v>मुख्य परीक्षा</v>
      </c>
      <c r="F208" s="652" t="str">
        <f>IF('Master Sheet'!D11="Hindi","पूरक परीक्षा","Supp. Exam")</f>
        <v>पूरक परीक्षा</v>
      </c>
      <c r="G208" s="652" t="str">
        <f>IF('Master Sheet'!D11="Hindi","अंतिम परिणाम","Final Result")</f>
        <v>अंतिम परिणाम</v>
      </c>
      <c r="H208" s="1380"/>
      <c r="I208" s="1383" t="str">
        <f>IF('Master Sheet'!D11="Hindi","कुल प्रविष्ट","Total appeared")</f>
        <v>कुल प्रविष्ट</v>
      </c>
      <c r="J208" s="1383"/>
      <c r="K208" s="654">
        <f>SUM(K213,K215,K216,K217)</f>
        <v>11</v>
      </c>
      <c r="L208" s="654">
        <f t="shared" ref="L208:N208" si="72">SUM(L213,L215,L216,L217)</f>
        <v>11</v>
      </c>
      <c r="M208" s="654">
        <f t="shared" si="72"/>
        <v>11</v>
      </c>
      <c r="N208" s="654">
        <f t="shared" si="72"/>
        <v>11</v>
      </c>
      <c r="O208" s="654">
        <f>SUM(O213,O215,O216,O217)</f>
        <v>11</v>
      </c>
      <c r="P208" s="654">
        <f>SUM(P213,P215,P216,P217)</f>
        <v>0</v>
      </c>
      <c r="Q208" s="654">
        <f t="shared" ref="Q208:R208" si="73">SUM(Q213,Q215,Q216,Q217)</f>
        <v>11</v>
      </c>
      <c r="R208" s="654">
        <f t="shared" si="73"/>
        <v>11</v>
      </c>
      <c r="S208" s="1340" t="str">
        <f>IF('Master Sheet'!D11="Hindi","हस्ताक्षर कक्षाध्यापक","Signature of the class teacher")</f>
        <v>हस्ताक्षर कक्षाध्यापक</v>
      </c>
      <c r="T208" s="1360" t="str">
        <f>CONCATENATE("( ",UPPER('Master Sheet'!D17)," )")</f>
        <v>( YOGESH )</v>
      </c>
      <c r="U208" s="1360"/>
      <c r="V208" s="1360"/>
      <c r="W208" s="1360"/>
      <c r="X208" s="1360"/>
      <c r="Y208" s="1360"/>
      <c r="Z208" s="1360"/>
      <c r="AA208" s="304"/>
      <c r="AB208" s="304"/>
      <c r="AC208" s="304"/>
      <c r="AD208" s="304"/>
      <c r="AE208" s="304"/>
      <c r="AF208" s="304"/>
      <c r="AG208" s="304"/>
      <c r="AH208" s="304"/>
      <c r="AI208" s="304"/>
      <c r="AJ208" s="304"/>
      <c r="AK208" s="304"/>
      <c r="AL208" s="304"/>
      <c r="AM208" s="304"/>
      <c r="AN208" s="304"/>
      <c r="AO208" s="304"/>
      <c r="AP208" s="304"/>
      <c r="AQ208" s="304"/>
      <c r="AR208" s="304"/>
      <c r="AS208" s="304"/>
      <c r="AT208" s="304"/>
      <c r="AU208" s="305"/>
    </row>
    <row r="209" spans="1:47" ht="18.75" customHeight="1">
      <c r="A209" s="306"/>
      <c r="B209" s="1379" t="str">
        <f>IF('Master Sheet'!D11="Hindi","कुल प्रविष्ट","Total appeared")</f>
        <v>कुल प्रविष्ट</v>
      </c>
      <c r="C209" s="1379"/>
      <c r="D209" s="1379"/>
      <c r="E209" s="307">
        <f>COUNTA(B7:B206)-COUNTIF(B7:B206,"0")-COUNTIF(B7:B206,"blank")-COUNTIF(B7:B206,"")-COUNTIF(B7:B206,"NSO")</f>
        <v>11</v>
      </c>
      <c r="F209" s="308">
        <f>COUNTIF(H7:H206,"SUPPLEMENTARY")</f>
        <v>2</v>
      </c>
      <c r="G209" s="307">
        <f>E209</f>
        <v>11</v>
      </c>
      <c r="H209" s="1381"/>
      <c r="I209" s="1379" t="str">
        <f>IF('Master Sheet'!D11="Hindi","विशेष योग्यता","Distinction Marks")</f>
        <v>विशेष योग्यता</v>
      </c>
      <c r="J209" s="1379"/>
      <c r="K209" s="309">
        <f t="shared" ref="K209:P209" si="74">COUNTIF(K7:K206,"D")</f>
        <v>0</v>
      </c>
      <c r="L209" s="309">
        <f t="shared" si="74"/>
        <v>0</v>
      </c>
      <c r="M209" s="309">
        <f t="shared" si="74"/>
        <v>0</v>
      </c>
      <c r="N209" s="309">
        <f t="shared" si="74"/>
        <v>2</v>
      </c>
      <c r="O209" s="309">
        <f t="shared" si="74"/>
        <v>2</v>
      </c>
      <c r="P209" s="309">
        <f t="shared" si="74"/>
        <v>0</v>
      </c>
      <c r="Q209" s="309">
        <f>COUNTIF(Q7:Q206,"A")</f>
        <v>11</v>
      </c>
      <c r="R209" s="309">
        <f>COUNTIF(R7:R206,"A")</f>
        <v>1</v>
      </c>
      <c r="S209" s="1333"/>
      <c r="T209" s="1361"/>
      <c r="U209" s="1361"/>
      <c r="V209" s="1361"/>
      <c r="W209" s="1361"/>
      <c r="X209" s="1361"/>
      <c r="Y209" s="1361"/>
      <c r="Z209" s="1361"/>
      <c r="AA209" s="310"/>
      <c r="AB209" s="310"/>
      <c r="AC209" s="310"/>
      <c r="AD209" s="310"/>
      <c r="AE209" s="310"/>
      <c r="AF209" s="310"/>
      <c r="AG209" s="310"/>
      <c r="AH209" s="310"/>
      <c r="AI209" s="310"/>
      <c r="AJ209" s="310"/>
      <c r="AK209" s="310"/>
      <c r="AL209" s="310"/>
      <c r="AM209" s="310"/>
      <c r="AN209" s="310"/>
      <c r="AO209" s="310"/>
      <c r="AP209" s="310"/>
      <c r="AQ209" s="310"/>
      <c r="AR209" s="310"/>
      <c r="AS209" s="310"/>
      <c r="AT209" s="310"/>
      <c r="AU209" s="311"/>
    </row>
    <row r="210" spans="1:47" ht="18.75" customHeight="1">
      <c r="A210" s="306"/>
      <c r="B210" s="1379" t="str">
        <f>IF('Master Sheet'!D11="Hindi","प्रथम श्रेणी","1st Div.")</f>
        <v>प्रथम श्रेणी</v>
      </c>
      <c r="C210" s="1379"/>
      <c r="D210" s="1379"/>
      <c r="E210" s="312">
        <f>COUNTIF(I7:I206,"I")</f>
        <v>4</v>
      </c>
      <c r="F210" s="312">
        <f>COUNTIF(AU7:AU206,"I")</f>
        <v>0</v>
      </c>
      <c r="G210" s="313">
        <f>SUM(E210,F210)</f>
        <v>4</v>
      </c>
      <c r="H210" s="1381"/>
      <c r="I210" s="1379" t="str">
        <f>IF('Master Sheet'!D11="Hindi","प्रथम श्रेणी","1st Div.")</f>
        <v>प्रथम श्रेणी</v>
      </c>
      <c r="J210" s="1379"/>
      <c r="K210" s="314">
        <f t="shared" ref="K210:P210" si="75">COUNTIF(K7:K206,"I")</f>
        <v>3</v>
      </c>
      <c r="L210" s="314">
        <f t="shared" si="75"/>
        <v>8</v>
      </c>
      <c r="M210" s="314">
        <f t="shared" si="75"/>
        <v>4</v>
      </c>
      <c r="N210" s="314">
        <f t="shared" si="75"/>
        <v>5</v>
      </c>
      <c r="O210" s="314">
        <f t="shared" si="75"/>
        <v>1</v>
      </c>
      <c r="P210" s="314">
        <f t="shared" si="75"/>
        <v>0</v>
      </c>
      <c r="Q210" s="314">
        <f>COUNTIF(Q7:Q206,"B")</f>
        <v>0</v>
      </c>
      <c r="R210" s="314">
        <f>COUNTIF(R7:R206,"B")</f>
        <v>10</v>
      </c>
      <c r="S210" s="1333"/>
      <c r="T210" s="1361"/>
      <c r="U210" s="1361"/>
      <c r="V210" s="1361"/>
      <c r="W210" s="1361"/>
      <c r="X210" s="1361"/>
      <c r="Y210" s="1361"/>
      <c r="Z210" s="1361"/>
      <c r="AA210" s="310"/>
      <c r="AB210" s="310"/>
      <c r="AC210" s="310"/>
      <c r="AD210" s="310"/>
      <c r="AE210" s="310"/>
      <c r="AF210" s="310"/>
      <c r="AG210" s="310"/>
      <c r="AH210" s="310"/>
      <c r="AI210" s="310"/>
      <c r="AJ210" s="310"/>
      <c r="AK210" s="310"/>
      <c r="AL210" s="310"/>
      <c r="AM210" s="310"/>
      <c r="AN210" s="310"/>
      <c r="AO210" s="310"/>
      <c r="AP210" s="310"/>
      <c r="AQ210" s="310"/>
      <c r="AR210" s="310"/>
      <c r="AS210" s="310"/>
      <c r="AT210" s="310"/>
      <c r="AU210" s="311"/>
    </row>
    <row r="211" spans="1:47" ht="18.75" customHeight="1">
      <c r="A211" s="315"/>
      <c r="B211" s="1379" t="str">
        <f>IF('Master Sheet'!D11="Hindi","द्वितीय श्रेणी","2nd Div.")</f>
        <v>द्वितीय श्रेणी</v>
      </c>
      <c r="C211" s="1379"/>
      <c r="D211" s="1379"/>
      <c r="E211" s="309">
        <f>COUNTIF(I7:I206,"II")</f>
        <v>2</v>
      </c>
      <c r="F211" s="309">
        <f>COUNTIF(AU7:AU206,"II")</f>
        <v>1</v>
      </c>
      <c r="G211" s="313">
        <f>SUM(E211,F211)</f>
        <v>3</v>
      </c>
      <c r="H211" s="1381"/>
      <c r="I211" s="1379" t="str">
        <f>IF('Master Sheet'!D11="Hindi","द्वितीय श्रेणी","2nd Div.")</f>
        <v>द्वितीय श्रेणी</v>
      </c>
      <c r="J211" s="1379"/>
      <c r="K211" s="314">
        <f t="shared" ref="K211:P211" si="76">COUNTIF(K7:K206,"II")</f>
        <v>7</v>
      </c>
      <c r="L211" s="314">
        <f t="shared" si="76"/>
        <v>3</v>
      </c>
      <c r="M211" s="314">
        <f t="shared" si="76"/>
        <v>1</v>
      </c>
      <c r="N211" s="314">
        <f t="shared" si="76"/>
        <v>2</v>
      </c>
      <c r="O211" s="314">
        <f t="shared" si="76"/>
        <v>5</v>
      </c>
      <c r="P211" s="314">
        <f t="shared" si="76"/>
        <v>0</v>
      </c>
      <c r="Q211" s="314">
        <f>COUNTIF(Q7:Q206,"C")</f>
        <v>0</v>
      </c>
      <c r="R211" s="314">
        <f>COUNTIF(R7:R206,"C")</f>
        <v>0</v>
      </c>
      <c r="S211" s="1333" t="str">
        <f>IF('Master Sheet'!D11="Hindi","हस्ताक्षर जांचकर्ता","Signature of the checker")</f>
        <v>हस्ताक्षर जांचकर्ता</v>
      </c>
      <c r="T211" s="1361" t="str">
        <f>CONCATENATE("( ",UPPER('Master Sheet'!D15)," )")</f>
        <v>( RAKESH KUMAR )</v>
      </c>
      <c r="U211" s="1361"/>
      <c r="V211" s="1361"/>
      <c r="W211" s="1361"/>
      <c r="X211" s="1361"/>
      <c r="Y211" s="1361"/>
      <c r="Z211" s="1361"/>
      <c r="AA211" s="310"/>
      <c r="AB211" s="310"/>
      <c r="AC211" s="310"/>
      <c r="AD211" s="310"/>
      <c r="AE211" s="310"/>
      <c r="AF211" s="310"/>
      <c r="AG211" s="310"/>
      <c r="AH211" s="310"/>
      <c r="AI211" s="310"/>
      <c r="AJ211" s="310"/>
      <c r="AK211" s="310"/>
      <c r="AL211" s="310"/>
      <c r="AM211" s="310"/>
      <c r="AN211" s="310"/>
      <c r="AO211" s="310"/>
      <c r="AP211" s="310"/>
      <c r="AQ211" s="310"/>
      <c r="AR211" s="310"/>
      <c r="AS211" s="310"/>
      <c r="AT211" s="310"/>
      <c r="AU211" s="311"/>
    </row>
    <row r="212" spans="1:47" ht="18.75" customHeight="1">
      <c r="A212" s="316"/>
      <c r="B212" s="1379" t="str">
        <f>IF('Master Sheet'!D11="Hindi","तृतीय श्रेणी","3rd Div.")</f>
        <v>तृतीय श्रेणी</v>
      </c>
      <c r="C212" s="1379"/>
      <c r="D212" s="1379"/>
      <c r="E212" s="308">
        <f>COUNTIF(I7:I206,"III")</f>
        <v>2</v>
      </c>
      <c r="F212" s="312">
        <f>COUNTIF(AU7:AU206,"III")</f>
        <v>1</v>
      </c>
      <c r="G212" s="317">
        <f>SUM(E212,F212)</f>
        <v>3</v>
      </c>
      <c r="H212" s="1381"/>
      <c r="I212" s="1379" t="str">
        <f>IF('Master Sheet'!D11="Hindi","तृतीय श्रेणी","3rd Div.")</f>
        <v>तृतीय श्रेणी</v>
      </c>
      <c r="J212" s="1379"/>
      <c r="K212" s="318">
        <f t="shared" ref="K212:P212" si="77">COUNTIF(K7:K206,"III")+COUNTIF(K7:K206,"G")</f>
        <v>1</v>
      </c>
      <c r="L212" s="318">
        <f t="shared" si="77"/>
        <v>0</v>
      </c>
      <c r="M212" s="318">
        <f t="shared" si="77"/>
        <v>3</v>
      </c>
      <c r="N212" s="318">
        <f t="shared" si="77"/>
        <v>2</v>
      </c>
      <c r="O212" s="318">
        <f t="shared" si="77"/>
        <v>2</v>
      </c>
      <c r="P212" s="318">
        <f t="shared" si="77"/>
        <v>0</v>
      </c>
      <c r="Q212" s="318">
        <f>COUNTIF(Q7:Q206,"D")</f>
        <v>0</v>
      </c>
      <c r="R212" s="318">
        <f>COUNTIF(R7:R206,"D")</f>
        <v>0</v>
      </c>
      <c r="S212" s="1333"/>
      <c r="T212" s="1361"/>
      <c r="U212" s="1361"/>
      <c r="V212" s="1361"/>
      <c r="W212" s="1361"/>
      <c r="X212" s="1361"/>
      <c r="Y212" s="1361"/>
      <c r="Z212" s="1361"/>
      <c r="AA212" s="310"/>
      <c r="AB212" s="310"/>
      <c r="AC212" s="310"/>
      <c r="AD212" s="310"/>
      <c r="AE212" s="310"/>
      <c r="AF212" s="310"/>
      <c r="AG212" s="310"/>
      <c r="AH212" s="310"/>
      <c r="AI212" s="310"/>
      <c r="AJ212" s="310"/>
      <c r="AK212" s="310"/>
      <c r="AL212" s="310"/>
      <c r="AM212" s="310"/>
      <c r="AN212" s="310"/>
      <c r="AO212" s="310"/>
      <c r="AP212" s="310"/>
      <c r="AQ212" s="310"/>
      <c r="AR212" s="310"/>
      <c r="AS212" s="310"/>
      <c r="AT212" s="310"/>
      <c r="AU212" s="311"/>
    </row>
    <row r="213" spans="1:47" ht="18.75" customHeight="1">
      <c r="A213" s="319"/>
      <c r="B213" s="1379" t="str">
        <f>IF('Master Sheet'!D11="Hindi","उतीर्ण","Pass")</f>
        <v>उतीर्ण</v>
      </c>
      <c r="C213" s="1379"/>
      <c r="D213" s="1379"/>
      <c r="E213" s="307">
        <f>COUNTIF(H7:H206,"PASS")+COUNTIF(H7:H206,"BY GRACE PASS")</f>
        <v>8</v>
      </c>
      <c r="F213" s="320">
        <f>COUNTIF(AS7:AS206,"PASS")</f>
        <v>2</v>
      </c>
      <c r="G213" s="313">
        <f>SUM(E213,F213)</f>
        <v>10</v>
      </c>
      <c r="H213" s="1381"/>
      <c r="I213" s="1379" t="str">
        <f>IF('Master Sheet'!D11="Hindi","उतीर्ण","Pass")</f>
        <v>उतीर्ण</v>
      </c>
      <c r="J213" s="1379"/>
      <c r="K213" s="318">
        <f>SUM(K209,K210,K211,K212)</f>
        <v>11</v>
      </c>
      <c r="L213" s="318">
        <f t="shared" ref="L213:N213" si="78">SUM(L209,L210,L211,L212)</f>
        <v>11</v>
      </c>
      <c r="M213" s="318">
        <f t="shared" si="78"/>
        <v>8</v>
      </c>
      <c r="N213" s="318">
        <f t="shared" si="78"/>
        <v>11</v>
      </c>
      <c r="O213" s="318">
        <f>SUM(O209,O210,O211,O212)</f>
        <v>10</v>
      </c>
      <c r="P213" s="318">
        <f>SUM(P209,P210,P211,P212)</f>
        <v>0</v>
      </c>
      <c r="Q213" s="318">
        <f t="shared" ref="Q213:R213" si="79">SUM(Q209,Q210,Q211,Q212)</f>
        <v>11</v>
      </c>
      <c r="R213" s="318">
        <f t="shared" si="79"/>
        <v>11</v>
      </c>
      <c r="S213" s="1333"/>
      <c r="T213" s="1361"/>
      <c r="U213" s="1361"/>
      <c r="V213" s="1361"/>
      <c r="W213" s="1361"/>
      <c r="X213" s="1361"/>
      <c r="Y213" s="1361"/>
      <c r="Z213" s="1361"/>
      <c r="AA213" s="310"/>
      <c r="AB213" s="310"/>
      <c r="AC213" s="310"/>
      <c r="AD213" s="310"/>
      <c r="AE213" s="310"/>
      <c r="AF213" s="310"/>
      <c r="AG213" s="310"/>
      <c r="AH213" s="310"/>
      <c r="AI213" s="310"/>
      <c r="AJ213" s="310"/>
      <c r="AK213" s="310"/>
      <c r="AL213" s="310"/>
      <c r="AM213" s="310"/>
      <c r="AN213" s="310"/>
      <c r="AO213" s="310"/>
      <c r="AP213" s="310"/>
      <c r="AQ213" s="310"/>
      <c r="AR213" s="310"/>
      <c r="AS213" s="310"/>
      <c r="AT213" s="310"/>
      <c r="AU213" s="311"/>
    </row>
    <row r="214" spans="1:47" ht="33.75" customHeight="1">
      <c r="A214" s="319"/>
      <c r="B214" s="1379" t="str">
        <f>IF('Master Sheet'!D11="Hindi","उतीर्ण प्रतिशत","Pass %")</f>
        <v>उतीर्ण प्रतिशत</v>
      </c>
      <c r="C214" s="1379"/>
      <c r="D214" s="1379"/>
      <c r="E214" s="321">
        <f>IF(E209=0,"",E213/E209*100)</f>
        <v>72.727272727272734</v>
      </c>
      <c r="F214" s="321">
        <f>IF(F209=0,"",F213/F209*100)</f>
        <v>100</v>
      </c>
      <c r="G214" s="321">
        <f>IF(G209=0,"",G213/G209*100)</f>
        <v>90.909090909090907</v>
      </c>
      <c r="H214" s="1381"/>
      <c r="I214" s="1379" t="str">
        <f>IF('Master Sheet'!D11="Hindi","उतीर्ण प्रतिशत","Pass %")</f>
        <v>उतीर्ण प्रतिशत</v>
      </c>
      <c r="J214" s="1379"/>
      <c r="K214" s="322">
        <f>IF(K208=0,"",K213/K208*100)</f>
        <v>100</v>
      </c>
      <c r="L214" s="322">
        <f t="shared" ref="L214:N214" si="80">IF(L208=0,"",L213/L208*100)</f>
        <v>100</v>
      </c>
      <c r="M214" s="322">
        <f t="shared" si="80"/>
        <v>72.727272727272734</v>
      </c>
      <c r="N214" s="322">
        <f t="shared" si="80"/>
        <v>100</v>
      </c>
      <c r="O214" s="322">
        <f>IF(O208=0,"",O213/O208*100)</f>
        <v>90.909090909090907</v>
      </c>
      <c r="P214" s="322" t="str">
        <f>IF(P208=0,"",P213/P208*100)</f>
        <v/>
      </c>
      <c r="Q214" s="322">
        <f t="shared" ref="Q214:R214" si="81">IF(Q208=0,"",Q213/Q208*100)</f>
        <v>100</v>
      </c>
      <c r="R214" s="322">
        <f t="shared" si="81"/>
        <v>100</v>
      </c>
      <c r="S214" s="1333" t="str">
        <f>IF('Master Sheet'!D11="Hindi","हस्ताक्षर परीक्षा प्रभारी","Signature of the exam. Incharge")</f>
        <v>हस्ताक्षर परीक्षा प्रभारी</v>
      </c>
      <c r="T214" s="1361" t="str">
        <f>CONCATENATE("( ",UPPER('Master Sheet'!D14)," )")</f>
        <v>( HEERALAL JAT )</v>
      </c>
      <c r="U214" s="1361"/>
      <c r="V214" s="1361"/>
      <c r="W214" s="1361"/>
      <c r="X214" s="1361"/>
      <c r="Y214" s="1361"/>
      <c r="Z214" s="1361"/>
      <c r="AA214" s="310"/>
      <c r="AB214" s="310"/>
      <c r="AC214" s="310"/>
      <c r="AD214" s="310"/>
      <c r="AE214" s="310"/>
      <c r="AF214" s="310"/>
      <c r="AG214" s="310"/>
      <c r="AH214" s="310"/>
      <c r="AI214" s="310"/>
      <c r="AJ214" s="310"/>
      <c r="AK214" s="310"/>
      <c r="AL214" s="310"/>
      <c r="AM214" s="310"/>
      <c r="AN214" s="310"/>
      <c r="AO214" s="310"/>
      <c r="AP214" s="310"/>
      <c r="AQ214" s="310"/>
      <c r="AR214" s="310"/>
      <c r="AS214" s="310"/>
      <c r="AT214" s="310"/>
      <c r="AU214" s="311"/>
    </row>
    <row r="215" spans="1:47" ht="18.75" customHeight="1">
      <c r="A215" s="319"/>
      <c r="B215" s="1379" t="str">
        <f>IF('Master Sheet'!D11="Hindi","अनुतीर्ण","Failed")</f>
        <v>अनुतीर्ण</v>
      </c>
      <c r="C215" s="1379"/>
      <c r="D215" s="1379"/>
      <c r="E215" s="323">
        <f>COUNTIF(H7:H206,"FAIL")</f>
        <v>1</v>
      </c>
      <c r="F215" s="324">
        <f>COUNTIF(AS7:AS206,"FAIL")</f>
        <v>0</v>
      </c>
      <c r="G215" s="325">
        <f>E215</f>
        <v>1</v>
      </c>
      <c r="H215" s="1381"/>
      <c r="I215" s="1379" t="str">
        <f>IF('Master Sheet'!D11="Hindi","पूरक","Supp.")</f>
        <v>पूरक</v>
      </c>
      <c r="J215" s="1379"/>
      <c r="K215" s="326">
        <f t="shared" ref="K215:Q215" si="82">COUNTIF(K7:K206,"S")</f>
        <v>0</v>
      </c>
      <c r="L215" s="326">
        <f t="shared" si="82"/>
        <v>0</v>
      </c>
      <c r="M215" s="326">
        <f t="shared" si="82"/>
        <v>2</v>
      </c>
      <c r="N215" s="326">
        <f t="shared" si="82"/>
        <v>0</v>
      </c>
      <c r="O215" s="326">
        <f t="shared" si="82"/>
        <v>1</v>
      </c>
      <c r="P215" s="326">
        <f t="shared" ref="P215" si="83">COUNTIF(P7:P206,"S")</f>
        <v>0</v>
      </c>
      <c r="Q215" s="326">
        <f t="shared" si="82"/>
        <v>0</v>
      </c>
      <c r="R215" s="326">
        <f t="shared" ref="R215" si="84">COUNTIF(R7:R206,"S")</f>
        <v>0</v>
      </c>
      <c r="S215" s="1333"/>
      <c r="T215" s="1361"/>
      <c r="U215" s="1361"/>
      <c r="V215" s="1361"/>
      <c r="W215" s="1361"/>
      <c r="X215" s="1361"/>
      <c r="Y215" s="1361"/>
      <c r="Z215" s="1361"/>
      <c r="AA215" s="310"/>
      <c r="AB215" s="310"/>
      <c r="AC215" s="310"/>
      <c r="AD215" s="310"/>
      <c r="AE215" s="310"/>
      <c r="AF215" s="310"/>
      <c r="AG215" s="310"/>
      <c r="AH215" s="310"/>
      <c r="AI215" s="310"/>
      <c r="AJ215" s="310"/>
      <c r="AK215" s="310"/>
      <c r="AL215" s="310"/>
      <c r="AM215" s="310"/>
      <c r="AN215" s="310"/>
      <c r="AO215" s="310"/>
      <c r="AP215" s="310"/>
      <c r="AQ215" s="310"/>
      <c r="AR215" s="310"/>
      <c r="AS215" s="310"/>
      <c r="AT215" s="310"/>
      <c r="AU215" s="311"/>
    </row>
    <row r="216" spans="1:47" ht="18.75" customHeight="1">
      <c r="A216" s="319"/>
      <c r="B216" s="1379" t="str">
        <f>IF('Master Sheet'!D11="Hindi","पूरक","Supp.")</f>
        <v>पूरक</v>
      </c>
      <c r="C216" s="1379"/>
      <c r="D216" s="1390"/>
      <c r="E216" s="327">
        <f>COUNTIF(H7:H206,"SUPPLEMENTARY")</f>
        <v>2</v>
      </c>
      <c r="F216" s="328">
        <f>COUNTIF(AS7:AS206,"SUPPLEMENTARY")</f>
        <v>0</v>
      </c>
      <c r="G216" s="328">
        <f>F216</f>
        <v>0</v>
      </c>
      <c r="H216" s="1381"/>
      <c r="I216" s="1379" t="str">
        <f>IF('Master Sheet'!D11="Hindi","अनुतीर्ण","Failed")</f>
        <v>अनुतीर्ण</v>
      </c>
      <c r="J216" s="1379"/>
      <c r="K216" s="326">
        <f t="shared" ref="K216:Q216" si="85">COUNTIF(K7:K206,"F")</f>
        <v>0</v>
      </c>
      <c r="L216" s="326">
        <f t="shared" si="85"/>
        <v>0</v>
      </c>
      <c r="M216" s="326">
        <f t="shared" si="85"/>
        <v>1</v>
      </c>
      <c r="N216" s="326">
        <f t="shared" si="85"/>
        <v>0</v>
      </c>
      <c r="O216" s="326">
        <f t="shared" si="85"/>
        <v>0</v>
      </c>
      <c r="P216" s="326">
        <f t="shared" ref="P216" si="86">COUNTIF(P7:P206,"F")</f>
        <v>0</v>
      </c>
      <c r="Q216" s="326">
        <f t="shared" si="85"/>
        <v>0</v>
      </c>
      <c r="R216" s="326">
        <f t="shared" ref="R216" si="87">COUNTIF(R7:R206,"F")</f>
        <v>0</v>
      </c>
      <c r="S216" s="1333" t="str">
        <f>IF('Master Sheet'!D11="Hindi","हस्ताक्षर संस्था प्रधान","Head of Institute's Signature")</f>
        <v>हस्ताक्षर संस्था प्रधान</v>
      </c>
      <c r="T216" s="1361" t="str">
        <f>CONCATENATE("( ",UPPER('Master Sheet'!D12)," )")</f>
        <v>( DEWANANAD )</v>
      </c>
      <c r="U216" s="1361"/>
      <c r="V216" s="1361"/>
      <c r="W216" s="1361"/>
      <c r="X216" s="1361"/>
      <c r="Y216" s="1361"/>
      <c r="Z216" s="1361"/>
      <c r="AA216" s="310"/>
      <c r="AB216" s="310"/>
      <c r="AC216" s="310"/>
      <c r="AD216" s="310"/>
      <c r="AE216" s="310"/>
      <c r="AF216" s="310"/>
      <c r="AG216" s="310"/>
      <c r="AH216" s="310"/>
      <c r="AI216" s="310"/>
      <c r="AJ216" s="310"/>
      <c r="AK216" s="310"/>
      <c r="AL216" s="310"/>
      <c r="AM216" s="310"/>
      <c r="AN216" s="310"/>
      <c r="AO216" s="310"/>
      <c r="AP216" s="310"/>
      <c r="AQ216" s="310"/>
      <c r="AR216" s="310"/>
      <c r="AS216" s="310"/>
      <c r="AT216" s="310"/>
      <c r="AU216" s="311"/>
    </row>
    <row r="217" spans="1:47" ht="18.75" customHeight="1">
      <c r="A217" s="306"/>
      <c r="B217" s="1386" t="str">
        <f>IF('Master Sheet'!D11="Hindi","पूरक परीक्षा परिणाम घोषित दिनांक :-","Date of Supplementary result declaration :-")</f>
        <v>पूरक परीक्षा परिणाम घोषित दिनांक :-</v>
      </c>
      <c r="C217" s="1387"/>
      <c r="D217" s="1387"/>
      <c r="E217" s="1388"/>
      <c r="F217" s="1389"/>
      <c r="G217" s="653">
        <f>'Master Sheet'!D18</f>
        <v>46149</v>
      </c>
      <c r="H217" s="1382"/>
      <c r="I217" s="1379" t="str">
        <f>IF('Master Sheet'!D11="Hindi","पुनः परीक्षा","Re-Exam")</f>
        <v>पुनः परीक्षा</v>
      </c>
      <c r="J217" s="1379"/>
      <c r="K217" s="326">
        <f t="shared" ref="K217:Q217" si="88">COUNTIF(K7:K206,"RE")</f>
        <v>0</v>
      </c>
      <c r="L217" s="326">
        <f t="shared" si="88"/>
        <v>0</v>
      </c>
      <c r="M217" s="326">
        <f t="shared" si="88"/>
        <v>0</v>
      </c>
      <c r="N217" s="326">
        <f t="shared" si="88"/>
        <v>0</v>
      </c>
      <c r="O217" s="326">
        <f t="shared" si="88"/>
        <v>0</v>
      </c>
      <c r="P217" s="326">
        <f t="shared" ref="P217" si="89">COUNTIF(P7:P206,"RE")</f>
        <v>0</v>
      </c>
      <c r="Q217" s="326">
        <f t="shared" si="88"/>
        <v>0</v>
      </c>
      <c r="R217" s="326">
        <f t="shared" ref="R217" si="90">COUNTIF(R7:R206,"RE")</f>
        <v>0</v>
      </c>
      <c r="S217" s="1333"/>
      <c r="T217" s="1361"/>
      <c r="U217" s="1361"/>
      <c r="V217" s="1361"/>
      <c r="W217" s="1361"/>
      <c r="X217" s="1361"/>
      <c r="Y217" s="1361"/>
      <c r="Z217" s="1361"/>
      <c r="AA217" s="74"/>
      <c r="AB217" s="74"/>
      <c r="AC217" s="74"/>
      <c r="AD217" s="74"/>
      <c r="AE217" s="1385"/>
      <c r="AF217" s="1385"/>
      <c r="AG217" s="1385"/>
      <c r="AH217" s="1385"/>
      <c r="AI217" s="74"/>
      <c r="AJ217" s="74"/>
      <c r="AK217" s="74"/>
      <c r="AL217" s="74"/>
      <c r="AM217" s="74"/>
      <c r="AN217" s="74"/>
      <c r="AO217" s="74"/>
      <c r="AP217" s="74"/>
      <c r="AQ217" s="74"/>
      <c r="AR217" s="74"/>
      <c r="AS217" s="74"/>
      <c r="AT217" s="74"/>
      <c r="AU217" s="329"/>
    </row>
    <row r="218" spans="1:47" ht="18.75" customHeight="1">
      <c r="A218" s="306"/>
      <c r="B218" s="1391"/>
      <c r="C218" s="1392"/>
      <c r="D218" s="1392"/>
      <c r="E218" s="1392"/>
      <c r="F218" s="1392"/>
      <c r="G218" s="1392"/>
      <c r="H218" s="1393"/>
      <c r="I218" s="1379" t="str">
        <f>IF('Master Sheet'!D11="Hindi","अनुपस्थित","Absent")</f>
        <v>अनुपस्थित</v>
      </c>
      <c r="J218" s="1379"/>
      <c r="K218" s="326">
        <f t="shared" ref="K218:Q218" si="91">COUNTIF(K7:K206,"AB")</f>
        <v>0</v>
      </c>
      <c r="L218" s="326">
        <f t="shared" si="91"/>
        <v>0</v>
      </c>
      <c r="M218" s="326">
        <f t="shared" si="91"/>
        <v>0</v>
      </c>
      <c r="N218" s="326">
        <f t="shared" si="91"/>
        <v>0</v>
      </c>
      <c r="O218" s="326">
        <f t="shared" si="91"/>
        <v>0</v>
      </c>
      <c r="P218" s="326">
        <f t="shared" ref="P218" si="92">COUNTIF(P7:P206,"AB")</f>
        <v>0</v>
      </c>
      <c r="Q218" s="326">
        <f t="shared" si="91"/>
        <v>0</v>
      </c>
      <c r="R218" s="326">
        <f t="shared" ref="R218" si="93">COUNTIF(R7:R206,"AB")</f>
        <v>0</v>
      </c>
      <c r="S218" s="1333"/>
      <c r="T218" s="1361"/>
      <c r="U218" s="1361"/>
      <c r="V218" s="1361"/>
      <c r="W218" s="1361"/>
      <c r="X218" s="1361"/>
      <c r="Y218" s="1361"/>
      <c r="Z218" s="1361"/>
      <c r="AA218" s="74"/>
      <c r="AB218" s="74"/>
      <c r="AC218" s="74"/>
      <c r="AD218" s="74"/>
      <c r="AE218" s="1385"/>
      <c r="AF218" s="1385"/>
      <c r="AG218" s="1385"/>
      <c r="AH218" s="1385"/>
      <c r="AI218" s="74"/>
      <c r="AJ218" s="74"/>
      <c r="AK218" s="74"/>
      <c r="AL218" s="74"/>
      <c r="AM218" s="74"/>
      <c r="AN218" s="74"/>
      <c r="AO218" s="74"/>
      <c r="AP218" s="74"/>
      <c r="AQ218" s="74"/>
      <c r="AR218" s="74"/>
      <c r="AS218" s="74"/>
      <c r="AT218" s="74"/>
      <c r="AU218" s="329"/>
    </row>
    <row r="219" spans="1:47">
      <c r="A219" s="330"/>
      <c r="B219" s="331"/>
      <c r="C219" s="331"/>
      <c r="D219" s="331"/>
      <c r="E219" s="331"/>
      <c r="F219" s="331"/>
      <c r="G219" s="331"/>
      <c r="H219" s="331"/>
      <c r="I219" s="331"/>
      <c r="J219" s="331"/>
      <c r="K219" s="331"/>
      <c r="L219" s="331"/>
      <c r="M219" s="331"/>
      <c r="N219" s="331"/>
      <c r="O219" s="331"/>
      <c r="P219" s="331"/>
      <c r="Q219" s="331"/>
      <c r="R219" s="331"/>
      <c r="S219" s="331"/>
      <c r="T219" s="331"/>
      <c r="U219" s="331"/>
      <c r="V219" s="331"/>
      <c r="W219" s="331"/>
      <c r="X219" s="331"/>
      <c r="Y219" s="331"/>
      <c r="Z219" s="331"/>
      <c r="AA219" s="331"/>
      <c r="AB219" s="331"/>
      <c r="AC219" s="331"/>
      <c r="AD219" s="331"/>
      <c r="AE219" s="331"/>
      <c r="AF219" s="331"/>
      <c r="AG219" s="331"/>
      <c r="AH219" s="331"/>
      <c r="AI219" s="331"/>
      <c r="AJ219" s="331"/>
      <c r="AK219" s="331"/>
      <c r="AL219" s="331"/>
      <c r="AM219" s="331"/>
      <c r="AN219" s="331"/>
      <c r="AO219" s="331"/>
      <c r="AP219" s="331"/>
      <c r="AQ219" s="331"/>
      <c r="AR219" s="331"/>
      <c r="AS219" s="331"/>
      <c r="AT219" s="331"/>
      <c r="AU219" s="332"/>
    </row>
    <row r="220" spans="1:47" ht="18.75">
      <c r="D220" s="333"/>
      <c r="E220" s="334"/>
    </row>
  </sheetData>
  <sheetProtection password="D1E2" sheet="1" objects="1" scenarios="1" formatCells="0" formatColumns="0" formatRows="0"/>
  <protectedRanges>
    <protectedRange password="EA02" sqref="X7:X207 AA7:AA207 AD7:AD207 AG7:AG207 AM7:AM207 U7:U207 AJ7:AJ206 AO7:AO206" name="suppl marks"/>
  </protectedRanges>
  <mergeCells count="82">
    <mergeCell ref="G2:G4"/>
    <mergeCell ref="C2:C4"/>
    <mergeCell ref="D2:D4"/>
    <mergeCell ref="E2:E4"/>
    <mergeCell ref="T1:AT1"/>
    <mergeCell ref="A1:J1"/>
    <mergeCell ref="K1:S1"/>
    <mergeCell ref="A2:B4"/>
    <mergeCell ref="S2:S5"/>
    <mergeCell ref="T2:T5"/>
    <mergeCell ref="U2:W4"/>
    <mergeCell ref="X2:Z4"/>
    <mergeCell ref="AA2:AC2"/>
    <mergeCell ref="AA3:AC3"/>
    <mergeCell ref="AD2:AF2"/>
    <mergeCell ref="AD3:AF3"/>
    <mergeCell ref="AE217:AH218"/>
    <mergeCell ref="I218:J218"/>
    <mergeCell ref="B214:D214"/>
    <mergeCell ref="I214:J214"/>
    <mergeCell ref="S214:S215"/>
    <mergeCell ref="T214:Z215"/>
    <mergeCell ref="B215:D215"/>
    <mergeCell ref="I215:J215"/>
    <mergeCell ref="B217:F217"/>
    <mergeCell ref="B216:D216"/>
    <mergeCell ref="I216:J216"/>
    <mergeCell ref="S216:S218"/>
    <mergeCell ref="T216:Z218"/>
    <mergeCell ref="I217:J217"/>
    <mergeCell ref="B218:H218"/>
    <mergeCell ref="S211:S213"/>
    <mergeCell ref="T211:Z213"/>
    <mergeCell ref="B212:D212"/>
    <mergeCell ref="I212:J212"/>
    <mergeCell ref="B213:D213"/>
    <mergeCell ref="B209:D209"/>
    <mergeCell ref="I209:J209"/>
    <mergeCell ref="B210:D210"/>
    <mergeCell ref="I210:J210"/>
    <mergeCell ref="H208:H217"/>
    <mergeCell ref="B211:D211"/>
    <mergeCell ref="I211:J211"/>
    <mergeCell ref="I208:J208"/>
    <mergeCell ref="I213:J213"/>
    <mergeCell ref="B208:D208"/>
    <mergeCell ref="L5:L6"/>
    <mergeCell ref="A5:A6"/>
    <mergeCell ref="B5:B6"/>
    <mergeCell ref="C5:C6"/>
    <mergeCell ref="D5:D6"/>
    <mergeCell ref="E5:E6"/>
    <mergeCell ref="G5:G6"/>
    <mergeCell ref="H5:H6"/>
    <mergeCell ref="I5:I6"/>
    <mergeCell ref="J5:J6"/>
    <mergeCell ref="K5:K6"/>
    <mergeCell ref="AS2:AU4"/>
    <mergeCell ref="AJ4:AL4"/>
    <mergeCell ref="AJ2:AL2"/>
    <mergeCell ref="P5:P6"/>
    <mergeCell ref="AM2:AN4"/>
    <mergeCell ref="AA4:AC4"/>
    <mergeCell ref="AD4:AF4"/>
    <mergeCell ref="AG4:AI4"/>
    <mergeCell ref="AQ2:AQ5"/>
    <mergeCell ref="N5:N6"/>
    <mergeCell ref="AG2:AI2"/>
    <mergeCell ref="AR2:AR5"/>
    <mergeCell ref="F2:F4"/>
    <mergeCell ref="S208:S210"/>
    <mergeCell ref="F5:F6"/>
    <mergeCell ref="AG3:AI3"/>
    <mergeCell ref="AJ3:AL3"/>
    <mergeCell ref="AO2:AP4"/>
    <mergeCell ref="K2:R4"/>
    <mergeCell ref="O5:O6"/>
    <mergeCell ref="M5:M6"/>
    <mergeCell ref="Q5:Q6"/>
    <mergeCell ref="R5:R6"/>
    <mergeCell ref="T208:Z210"/>
    <mergeCell ref="A207:AU207"/>
  </mergeCells>
  <conditionalFormatting sqref="G208:G211 O210:P211 B7:AB206 H208 G215 G213 E208 AJ7:AJ206 T214 T208 A7:A207 A1:A3 K208:R209 AM7:AR206 AD7:AE206 AG7:AH206 K2 K5:R5 T216 C2 P208:P211">
    <cfRule type="cellIs" dxfId="162" priority="22" stopIfTrue="1" operator="equal">
      <formula>0</formula>
    </cfRule>
  </conditionalFormatting>
  <conditionalFormatting sqref="G208 E208 H219:H65571 O210:P210 K208:R208">
    <cfRule type="containsText" dxfId="161" priority="21" stopIfTrue="1" operator="containsText" text="iwjd">
      <formula>NOT(ISERROR(SEARCH("iwjd",E208)))</formula>
    </cfRule>
  </conditionalFormatting>
  <conditionalFormatting sqref="H7:H206">
    <cfRule type="expression" dxfId="160" priority="9" stopIfTrue="1">
      <formula>H7="SUPPLEMENTARY"</formula>
    </cfRule>
  </conditionalFormatting>
  <conditionalFormatting sqref="K208:R218">
    <cfRule type="cellIs" dxfId="159" priority="19" stopIfTrue="1" operator="equal">
      <formula>0</formula>
    </cfRule>
  </conditionalFormatting>
  <conditionalFormatting sqref="K7:R206">
    <cfRule type="containsText" dxfId="158" priority="18" stopIfTrue="1" operator="containsText" text="s">
      <formula>NOT(ISERROR(SEARCH("s",K7)))</formula>
    </cfRule>
  </conditionalFormatting>
  <conditionalFormatting sqref="AQ7:AQ206">
    <cfRule type="containsText" dxfId="157" priority="17" stopIfTrue="1" operator="containsText" text="NA">
      <formula>NOT(ISERROR(SEARCH("NA",AQ7)))</formula>
    </cfRule>
  </conditionalFormatting>
  <conditionalFormatting sqref="AQ7:AQ206">
    <cfRule type="containsText" dxfId="156" priority="16" stopIfTrue="1" operator="containsText" text="ml">
      <formula>NOT(ISERROR(SEARCH("ml",AQ7)))</formula>
    </cfRule>
  </conditionalFormatting>
  <conditionalFormatting sqref="AS7:AU206">
    <cfRule type="containsText" dxfId="155" priority="15" operator="containsText" text="vuqRrh.kZ">
      <formula>NOT(ISERROR(SEARCH("vuqRrh.kZ",AS7)))</formula>
    </cfRule>
  </conditionalFormatting>
  <conditionalFormatting sqref="J7:J206">
    <cfRule type="top10" dxfId="154" priority="11" stopIfTrue="1" rank="3"/>
    <cfRule type="top10" dxfId="153" priority="12" stopIfTrue="1" percent="1" rank="3"/>
    <cfRule type="top10" dxfId="152" priority="13" stopIfTrue="1" percent="1" rank="3"/>
  </conditionalFormatting>
  <conditionalFormatting sqref="J7:J206">
    <cfRule type="top10" dxfId="151" priority="10" stopIfTrue="1" rank="3"/>
  </conditionalFormatting>
  <conditionalFormatting sqref="B7:B206">
    <cfRule type="expression" dxfId="150" priority="8">
      <formula>H7="SUPPLEMENTARY"</formula>
    </cfRule>
  </conditionalFormatting>
  <conditionalFormatting sqref="E7:E206">
    <cfRule type="expression" dxfId="149" priority="7">
      <formula>H7="SUPPLEMENTARY"</formula>
    </cfRule>
  </conditionalFormatting>
  <conditionalFormatting sqref="F7:F206">
    <cfRule type="expression" dxfId="148" priority="6">
      <formula>H7="SUPPLEMENTARY"</formula>
    </cfRule>
  </conditionalFormatting>
  <conditionalFormatting sqref="G7:G206">
    <cfRule type="expression" dxfId="147" priority="5">
      <formula>H7="SUPPLEMENTARY"</formula>
    </cfRule>
  </conditionalFormatting>
  <conditionalFormatting sqref="G208 E208">
    <cfRule type="containsText" dxfId="146" priority="3" stopIfTrue="1" operator="containsText" text="iwjd">
      <formula>NOT(ISERROR(SEARCH("iwjd",E208)))</formula>
    </cfRule>
  </conditionalFormatting>
  <conditionalFormatting sqref="F208">
    <cfRule type="containsText" dxfId="145" priority="2" stopIfTrue="1" operator="containsText" text="iwjd">
      <formula>NOT(ISERROR(SEARCH("iwjd",F208)))</formula>
    </cfRule>
  </conditionalFormatting>
  <conditionalFormatting sqref="G208">
    <cfRule type="containsText" dxfId="144" priority="1" stopIfTrue="1" operator="containsText" text="iwjd">
      <formula>NOT(ISERROR(SEARCH("iwjd",G208)))</formula>
    </cfRule>
  </conditionalFormatting>
  <dataValidations count="8">
    <dataValidation type="custom" allowBlank="1" showInputMessage="1" showErrorMessage="1" error="Check the student's result यदि उक्त विषय में पूरक आई है तो ही मार्क फिल कर सकते है " sqref="X7:X206">
      <formula1>IF(OR(L7="S",L7="RE"),(OR(X7="AB",X7&lt;=$X$6)),"")</formula1>
    </dataValidation>
    <dataValidation type="custom" allowBlank="1" showInputMessage="1" showErrorMessage="1" error="Check the student's result यदि उक्त विषय में पूरक आई है तो ही मार्क फिल कर सकते है " sqref="AA7:AA206">
      <formula1>IF(OR(M7="S",M7="RE",M7="REP"),(OR(AA7="AB",AA7&lt;=$AA$6)),"")</formula1>
    </dataValidation>
    <dataValidation type="custom" allowBlank="1" showInputMessage="1" showErrorMessage="1" error="Check the student's result यदि उक्त विषय में पूरक आई है तो ही मार्क फिल कर सकते है " sqref="AD7:AD206">
      <formula1>IF(OR(N7="S",N7="RE",N7="REP"),(OR(AD7="AB",AD7&lt;=$AD$6)),"")</formula1>
    </dataValidation>
    <dataValidation type="custom" allowBlank="1" showInputMessage="1" showErrorMessage="1" error="Check the student's result यदि उक्त विषय में पूरक आई है तो ही मार्क फिल कर सकते है " sqref="AG7:AG206">
      <formula1>IF(OR(O7="S",O7="RE",O7="REP"),(OR(AG7="AB",AG7&lt;=$AG$6)),"")</formula1>
    </dataValidation>
    <dataValidation type="custom" allowBlank="1" showInputMessage="1" showErrorMessage="1" error="Check the student's result यदि उक्त विषय में पूरक आई है तो ही मार्क फिल कर सकते है " sqref="U7:U206">
      <formula1>IF(OR(K7="S",K7="RE"),(OR(U7="AB",U7&lt;=U$6)),"")</formula1>
    </dataValidation>
    <dataValidation type="custom" allowBlank="1" showInputMessage="1" showErrorMessage="1" error="Check the student's result यदि उक्त विषय में पूरक आई है तो ही मार्क फिल कर सकते है " sqref="AM7:AM206">
      <formula1>IF(OR(Q7="S",Q7="RE",Q7="REP"),(OR(AM7="AB",AM7&lt;=$AM$6)),"")</formula1>
    </dataValidation>
    <dataValidation type="custom" allowBlank="1" showInputMessage="1" showErrorMessage="1" error="Check the student's result यदि उक्त विषय में पूरक आई है तो ही मार्क फिल कर सकते है " sqref="AJ7:AJ206">
      <formula1>IF(OR(P7="S",P7="RE",P7="REP"),(OR(AJ7="AB",AJ7&lt;=$AJ$6)),"")</formula1>
    </dataValidation>
    <dataValidation type="custom" allowBlank="1" showInputMessage="1" showErrorMessage="1" error="Check the student's result यदि उक्त विषय में पूरक आई है तो ही मार्क फिल कर सकते है " sqref="AO7:AO206">
      <formula1>IF(OR(T7="S",T7="RE",T7="REP"),(OR(AO7="AB",AO7&lt;=$AO$6)),"")</formula1>
    </dataValidation>
  </dataValidations>
  <pageMargins left="0.7" right="0.2" top="0.25" bottom="0.25" header="0.3" footer="0.3"/>
  <pageSetup paperSize="9" scale="80" fitToHeight="12" orientation="landscape" r:id="rId1"/>
</worksheet>
</file>

<file path=xl/worksheets/sheet8.xml><?xml version="1.0" encoding="utf-8"?>
<worksheet xmlns="http://schemas.openxmlformats.org/spreadsheetml/2006/main" xmlns:r="http://schemas.openxmlformats.org/officeDocument/2006/relationships">
  <sheetPr codeName="Sheet7">
    <pageSetUpPr fitToPage="1"/>
  </sheetPr>
  <dimension ref="A1:P51"/>
  <sheetViews>
    <sheetView showGridLines="0" view="pageBreakPreview" zoomScale="98" zoomScaleSheetLayoutView="98" workbookViewId="0">
      <selection activeCell="S8" sqref="S8"/>
    </sheetView>
  </sheetViews>
  <sheetFormatPr defaultRowHeight="15"/>
  <cols>
    <col min="1" max="1" width="21.375" style="130" customWidth="1"/>
    <col min="2" max="2" width="18" style="132" customWidth="1"/>
    <col min="3" max="4" width="7.75" style="130" customWidth="1"/>
    <col min="5" max="5" width="8.75" style="130" customWidth="1"/>
    <col min="6" max="6" width="7" style="130" customWidth="1"/>
    <col min="7" max="13" width="6.75" style="130" customWidth="1"/>
    <col min="14" max="14" width="7" style="130" customWidth="1"/>
    <col min="15" max="15" width="8.375" style="130" customWidth="1"/>
    <col min="16" max="16" width="4.25" style="130" customWidth="1"/>
    <col min="17" max="16384" width="9" style="17"/>
  </cols>
  <sheetData>
    <row r="1" spans="1:16" ht="40.5" customHeight="1" thickBot="1">
      <c r="A1" s="1437" t="str">
        <f>IF('Master Sheet'!D11="Hindi",CONCATENATE("विद्यालय का नाम :-","  ",'Master Sheet'!D8),CONCATENATE("School Name :-","  ",'Master Sheet'!D7))</f>
        <v xml:space="preserve">विद्यालय का नाम :-  महात्मा गाँधी राजकीय विद्यालय (अंग्रेजी माध्यम) बर, पाली </v>
      </c>
      <c r="B1" s="1437"/>
      <c r="C1" s="1437"/>
      <c r="D1" s="1437"/>
      <c r="E1" s="1437"/>
      <c r="F1" s="1437"/>
      <c r="G1" s="1437"/>
      <c r="H1" s="1437"/>
      <c r="I1" s="1437"/>
      <c r="J1" s="1437"/>
      <c r="K1" s="1437"/>
      <c r="L1" s="1437"/>
      <c r="M1" s="1437"/>
      <c r="N1" s="1437"/>
      <c r="O1" s="1437"/>
      <c r="P1" s="142"/>
    </row>
    <row r="2" spans="1:16" ht="20.25" customHeight="1" thickTop="1">
      <c r="A2" s="1438" t="str">
        <f>IF('Master Sheet'!$D$11="Hindi","विषय वार और विषयाध्यापक वार परिणाम","SUBJECT-WISE &amp; TEACHER'S-WISE RESULT")</f>
        <v>विषय वार और विषयाध्यापक वार परिणाम</v>
      </c>
      <c r="B2" s="1439"/>
      <c r="C2" s="1439"/>
      <c r="D2" s="1439"/>
      <c r="E2" s="1439"/>
      <c r="F2" s="1446" t="str">
        <f>IF('Master Sheet'!$D$11="Hindi","कक्षा :-","Class :-")</f>
        <v>कक्षा :-</v>
      </c>
      <c r="G2" s="1447"/>
      <c r="H2" s="1442" t="str">
        <f>CONCATENATE('Marks Entry'!H2," '",'Marks Entry'!H3,"'")</f>
        <v>11 'Arts'</v>
      </c>
      <c r="I2" s="1443"/>
      <c r="J2" s="1446" t="str">
        <f>IF('Master Sheet'!$D$11="Hindi","सत्र :-","Session :-")</f>
        <v>सत्र :-</v>
      </c>
      <c r="K2" s="1447"/>
      <c r="L2" s="1447"/>
      <c r="M2" s="1442" t="str">
        <f>'Marks Entry'!H1</f>
        <v>2025-2026</v>
      </c>
      <c r="N2" s="1442"/>
      <c r="O2" s="1443"/>
      <c r="P2" s="147"/>
    </row>
    <row r="3" spans="1:16" ht="20.25" customHeight="1" thickBot="1">
      <c r="A3" s="1440"/>
      <c r="B3" s="1441"/>
      <c r="C3" s="1441"/>
      <c r="D3" s="1441"/>
      <c r="E3" s="1441"/>
      <c r="F3" s="1448"/>
      <c r="G3" s="1449"/>
      <c r="H3" s="1444"/>
      <c r="I3" s="1445"/>
      <c r="J3" s="1448"/>
      <c r="K3" s="1449"/>
      <c r="L3" s="1449"/>
      <c r="M3" s="1450"/>
      <c r="N3" s="1450"/>
      <c r="O3" s="1451"/>
      <c r="P3" s="147"/>
    </row>
    <row r="4" spans="1:16" ht="91.5" customHeight="1" thickTop="1" thickBot="1">
      <c r="A4" s="663" t="str">
        <f>IF('Master Sheet'!$D$11="Hindi","विषयाध्यापक का नाम","Subject Teacher")</f>
        <v>विषयाध्यापक का नाम</v>
      </c>
      <c r="B4" s="664" t="str">
        <f>IF('Master Sheet'!$D$11="Hindi","विषय","Subject")</f>
        <v>विषय</v>
      </c>
      <c r="C4" s="665" t="str">
        <f>IF('Master Sheet'!$D$11="Hindi","कुल प्रविष्ट विद्यार्थी","No. of students appeared")</f>
        <v>कुल प्रविष्ट विद्यार्थी</v>
      </c>
      <c r="D4" s="666" t="str">
        <f>IF('Master Sheet'!$D$11="Hindi","उतीर्ण","Pass")</f>
        <v>उतीर्ण</v>
      </c>
      <c r="E4" s="666" t="str">
        <f>IF('Master Sheet'!$D$11="Hindi","प्रतिशत","Percentage")</f>
        <v>प्रतिशत</v>
      </c>
      <c r="F4" s="665" t="str">
        <f>IF('Master Sheet'!$D$11="Hindi","प्रथम श्रेणी","1st Div.")</f>
        <v>प्रथम श्रेणी</v>
      </c>
      <c r="G4" s="671" t="str">
        <f>IF('Master Sheet'!$D$11="Hindi","द्वितीय श्रेणी","2nd Div.")</f>
        <v>द्वितीय श्रेणी</v>
      </c>
      <c r="H4" s="673" t="str">
        <f>IF('Master Sheet'!$D$11="Hindi","तृतीय श्रेणी","3rd Div.")</f>
        <v>तृतीय श्रेणी</v>
      </c>
      <c r="I4" s="674" t="str">
        <f>IF('Master Sheet'!$D$11="Hindi","सानुग्रह उतीर्ण ","By Grace Pass")</f>
        <v xml:space="preserve">सानुग्रह उतीर्ण </v>
      </c>
      <c r="J4" s="672" t="str">
        <f>IF('Master Sheet'!$D$11="Hindi","पूरक","Supplementary")</f>
        <v>पूरक</v>
      </c>
      <c r="K4" s="665" t="str">
        <f>IF('Master Sheet'!$D$11="Hindi","अनुतीर्ण","Failed")</f>
        <v>अनुतीर्ण</v>
      </c>
      <c r="L4" s="665" t="str">
        <f>IF('Master Sheet'!$D$11="Hindi","अनुपस्थित","Absent")</f>
        <v>अनुपस्थित</v>
      </c>
      <c r="M4" s="665" t="str">
        <f>IF('Master Sheet'!$D$11="Hindi","पुनः परीक्षा","Re-Exam")</f>
        <v>पुनः परीक्षा</v>
      </c>
      <c r="N4" s="665" t="str">
        <f>IF('Master Sheet'!$D$11="Hindi","नाम पृथक","NSO")</f>
        <v>नाम पृथक</v>
      </c>
      <c r="O4" s="666" t="str">
        <f>IF('Master Sheet'!$D$11="Hindi","कुल योग","Total")</f>
        <v>कुल योग</v>
      </c>
      <c r="P4" s="147"/>
    </row>
    <row r="5" spans="1:16" ht="24" customHeight="1" thickTop="1">
      <c r="A5" s="681" t="str">
        <f>IF('Statement of Marks'!J210="","",'Statement of Marks'!J210)</f>
        <v>RADHESHYAM</v>
      </c>
      <c r="B5" s="682" t="str">
        <f>'Statement of Marks'!J209</f>
        <v>Com. Hindi</v>
      </c>
      <c r="C5" s="683">
        <f>'Statement of Marks'!J211</f>
        <v>11</v>
      </c>
      <c r="D5" s="683">
        <f>'Statement of Marks'!P213</f>
        <v>11</v>
      </c>
      <c r="E5" s="684">
        <f>IF(AND(A5="",B5="",C5=""),"", 'Statement of Marks'!J214)</f>
        <v>100</v>
      </c>
      <c r="F5" s="685">
        <f>'Statement of Marks'!J213</f>
        <v>3</v>
      </c>
      <c r="G5" s="686">
        <f>'Statement of Marks'!L213</f>
        <v>7</v>
      </c>
      <c r="H5" s="685">
        <f>'Statement of Marks'!N213</f>
        <v>1</v>
      </c>
      <c r="I5" s="687" t="s">
        <v>311</v>
      </c>
      <c r="J5" s="688">
        <f>'Statement of Marks'!J215</f>
        <v>0</v>
      </c>
      <c r="K5" s="685">
        <f>'Statement of Marks'!J216</f>
        <v>0</v>
      </c>
      <c r="L5" s="685">
        <f>'Statement of Marks'!J218</f>
        <v>0</v>
      </c>
      <c r="M5" s="685">
        <f>'Statement of Marks'!J219</f>
        <v>0</v>
      </c>
      <c r="N5" s="689">
        <f>COUNTIF('Statement of Marks'!$B$8:$B$207,"nso")</f>
        <v>0</v>
      </c>
      <c r="O5" s="690">
        <f>IF(D5="","",SUM(D5,J5,K5,M5,N5,L5))</f>
        <v>11</v>
      </c>
      <c r="P5" s="211"/>
    </row>
    <row r="6" spans="1:16" ht="24" customHeight="1">
      <c r="A6" s="667" t="str">
        <f>IF('Statement of Marks'!X210="","",'Statement of Marks'!X210)</f>
        <v>HEERALAL JAT</v>
      </c>
      <c r="B6" s="336" t="str">
        <f>'Statement of Marks'!X209</f>
        <v>Com. English</v>
      </c>
      <c r="C6" s="337">
        <f>'Statement of Marks'!X211</f>
        <v>11</v>
      </c>
      <c r="D6" s="337">
        <f>'Statement of Marks'!AD213</f>
        <v>11</v>
      </c>
      <c r="E6" s="338">
        <f>IF(AND(A6="",B6="",C6=""),"",'Statement of Marks'!X214)</f>
        <v>100</v>
      </c>
      <c r="F6" s="339">
        <f>'Statement of Marks'!X213</f>
        <v>8</v>
      </c>
      <c r="G6" s="675">
        <f>'Statement of Marks'!Z213</f>
        <v>3</v>
      </c>
      <c r="H6" s="339">
        <f>'Statement of Marks'!AB213</f>
        <v>0</v>
      </c>
      <c r="I6" s="678" t="s">
        <v>311</v>
      </c>
      <c r="J6" s="676">
        <f>'Statement of Marks'!X215</f>
        <v>0</v>
      </c>
      <c r="K6" s="339">
        <f>'Statement of Marks'!X216</f>
        <v>0</v>
      </c>
      <c r="L6" s="339">
        <f>'Statement of Marks'!X218</f>
        <v>0</v>
      </c>
      <c r="M6" s="339">
        <f>'Statement of Marks'!X219</f>
        <v>0</v>
      </c>
      <c r="N6" s="340">
        <f>COUNTIF('Statement of Marks'!$B$8:$B$207,"nso")</f>
        <v>0</v>
      </c>
      <c r="O6" s="335">
        <f t="shared" ref="O6:O19" si="0">IF(D6="","",SUM(D6,J6,K6,M6,N6,L6))</f>
        <v>11</v>
      </c>
      <c r="P6" s="211"/>
    </row>
    <row r="7" spans="1:16" ht="24" customHeight="1">
      <c r="A7" s="668" t="str">
        <f>IF('Statement of Marks'!AL210="","",'Statement of Marks'!AL210)</f>
        <v>Heeralal Jat</v>
      </c>
      <c r="B7" s="342" t="str">
        <f>IF('Statement of Marks'!AL209="","",'Statement of Marks'!AL209)</f>
        <v>POLITICAL SCIENCE</v>
      </c>
      <c r="C7" s="337">
        <f>IF('Statement of Marks'!AL211="","",'Statement of Marks'!AL211)</f>
        <v>20</v>
      </c>
      <c r="D7" s="337">
        <f>'Statement of Marks'!AP213</f>
        <v>17</v>
      </c>
      <c r="E7" s="338">
        <f>IF(AND(A7="",B7="",C7=""),"",'Statement of Marks'!AL214)</f>
        <v>85</v>
      </c>
      <c r="F7" s="339">
        <f>'Statement of Marks'!AL213</f>
        <v>4</v>
      </c>
      <c r="G7" s="339">
        <f>'Statement of Marks'!AM213</f>
        <v>9</v>
      </c>
      <c r="H7" s="339">
        <f>'Statement of Marks'!AN213</f>
        <v>3</v>
      </c>
      <c r="I7" s="339">
        <f>'Statement of Marks'!AO213</f>
        <v>1</v>
      </c>
      <c r="J7" s="677">
        <f>'Statement of Marks'!AL215</f>
        <v>2</v>
      </c>
      <c r="K7" s="339">
        <f>'Statement of Marks'!AL216</f>
        <v>1</v>
      </c>
      <c r="L7" s="339">
        <f>'Statement of Marks'!AL218</f>
        <v>0</v>
      </c>
      <c r="M7" s="339">
        <f>'Statement of Marks'!AL219</f>
        <v>0</v>
      </c>
      <c r="N7" s="340">
        <f>COUNTIF('Statement of Marks'!$B$8:$B$207,"nso")</f>
        <v>0</v>
      </c>
      <c r="O7" s="335">
        <f t="shared" si="0"/>
        <v>20</v>
      </c>
      <c r="P7" s="211"/>
    </row>
    <row r="8" spans="1:16" ht="24" customHeight="1">
      <c r="A8" s="668" t="str">
        <f>IF('Statement of Marks'!AQ210="","",'Statement of Marks'!AQ210)</f>
        <v/>
      </c>
      <c r="B8" s="342" t="str">
        <f>IF('Statement of Marks'!AQ209="","",'Statement of Marks'!AQ209)</f>
        <v>BIOLOGY</v>
      </c>
      <c r="C8" s="337">
        <f>IF('Statement of Marks'!AQ211="","",'Statement of Marks'!AQ211)</f>
        <v>10</v>
      </c>
      <c r="D8" s="344">
        <f>'Statement of Marks'!AU213</f>
        <v>9</v>
      </c>
      <c r="E8" s="338">
        <f>IF(AND(A8="",B8="",C8=""),"",'Statement of Marks'!AQ214)</f>
        <v>90</v>
      </c>
      <c r="F8" s="339">
        <f>'Statement of Marks'!AQ213</f>
        <v>6</v>
      </c>
      <c r="G8" s="339">
        <f>'Statement of Marks'!AR213</f>
        <v>3</v>
      </c>
      <c r="H8" s="339">
        <f>'Statement of Marks'!AS213</f>
        <v>0</v>
      </c>
      <c r="I8" s="339">
        <f>'Statement of Marks'!AT213</f>
        <v>0</v>
      </c>
      <c r="J8" s="677">
        <f>'Statement of Marks'!AQ215</f>
        <v>0</v>
      </c>
      <c r="K8" s="343">
        <f>'Statement of Marks'!AQ216</f>
        <v>1</v>
      </c>
      <c r="L8" s="343">
        <f>'Statement of Marks'!AQ218</f>
        <v>0</v>
      </c>
      <c r="M8" s="343">
        <f>'Statement of Marks'!AQ219</f>
        <v>0</v>
      </c>
      <c r="N8" s="340">
        <f>COUNTIF('Statement of Marks'!$B$8:$B$207,"nso")</f>
        <v>0</v>
      </c>
      <c r="O8" s="335">
        <f t="shared" si="0"/>
        <v>10</v>
      </c>
      <c r="P8" s="211"/>
    </row>
    <row r="9" spans="1:16" ht="24" customHeight="1">
      <c r="A9" s="668" t="str">
        <f>IF('Statement of Marks'!AV210="","",'Statement of Marks'!AV210)</f>
        <v/>
      </c>
      <c r="B9" s="342" t="str">
        <f>IF('Statement of Marks'!AV209="","",'Statement of Marks'!AV209)</f>
        <v/>
      </c>
      <c r="C9" s="337" t="str">
        <f>IF('Statement of Marks'!AV211="","",'Statement of Marks'!AV211)</f>
        <v/>
      </c>
      <c r="D9" s="337" t="str">
        <f>'Statement of Marks'!AZ213</f>
        <v/>
      </c>
      <c r="E9" s="338" t="str">
        <f>IF(AND(A9="",B9="",C9=""),"",'Statement of Marks'!AV214)</f>
        <v/>
      </c>
      <c r="F9" s="339" t="str">
        <f>'Statement of Marks'!AV213</f>
        <v/>
      </c>
      <c r="G9" s="339" t="str">
        <f>'Statement of Marks'!AW213</f>
        <v/>
      </c>
      <c r="H9" s="339" t="str">
        <f>'Statement of Marks'!AX213</f>
        <v/>
      </c>
      <c r="I9" s="339" t="str">
        <f>'Statement of Marks'!AY213</f>
        <v/>
      </c>
      <c r="J9" s="677" t="str">
        <f>'Statement of Marks'!AV215</f>
        <v/>
      </c>
      <c r="K9" s="343" t="str">
        <f>'Statement of Marks'!AV216</f>
        <v/>
      </c>
      <c r="L9" s="343" t="str">
        <f>'Statement of Marks'!AV218</f>
        <v/>
      </c>
      <c r="M9" s="343" t="str">
        <f>'Statement of Marks'!AV219</f>
        <v/>
      </c>
      <c r="N9" s="340">
        <f>COUNTIF('Statement of Marks'!$B$8:$B$207,"nso")</f>
        <v>0</v>
      </c>
      <c r="O9" s="335" t="str">
        <f t="shared" si="0"/>
        <v/>
      </c>
      <c r="P9" s="211"/>
    </row>
    <row r="10" spans="1:16" ht="24" customHeight="1">
      <c r="A10" s="341" t="str">
        <f>'Statement of Marks'!BI210</f>
        <v>Rakesh Kumar</v>
      </c>
      <c r="B10" s="342" t="str">
        <f>'Statement of Marks'!BI209</f>
        <v>HISTORY</v>
      </c>
      <c r="C10" s="337">
        <f>'Statement of Marks'!BI211</f>
        <v>15</v>
      </c>
      <c r="D10" s="337">
        <f>'Statement of Marks'!BM213</f>
        <v>14</v>
      </c>
      <c r="E10" s="338">
        <f>'Statement of Marks'!BI214</f>
        <v>93.333333333333329</v>
      </c>
      <c r="F10" s="339">
        <f>'Statement of Marks'!BI213</f>
        <v>4</v>
      </c>
      <c r="G10" s="339">
        <f>'Statement of Marks'!BJ213</f>
        <v>8</v>
      </c>
      <c r="H10" s="339">
        <f>'Statement of Marks'!BK213</f>
        <v>2</v>
      </c>
      <c r="I10" s="339">
        <f>'Statement of Marks'!BL213</f>
        <v>0</v>
      </c>
      <c r="J10" s="678">
        <f>'Statement of Marks'!BI215</f>
        <v>0</v>
      </c>
      <c r="K10" s="339">
        <f>'Statement of Marks'!BI216</f>
        <v>1</v>
      </c>
      <c r="L10" s="339">
        <f>'Statement of Marks'!BI218</f>
        <v>0</v>
      </c>
      <c r="M10" s="339">
        <f>'Statement of Marks'!BI219</f>
        <v>0</v>
      </c>
      <c r="N10" s="340">
        <f>COUNTIF('Statement of Marks'!$B$8:$B$207,"nso")</f>
        <v>0</v>
      </c>
      <c r="O10" s="335">
        <f t="shared" si="0"/>
        <v>15</v>
      </c>
      <c r="P10" s="211"/>
    </row>
    <row r="11" spans="1:16" ht="24" customHeight="1">
      <c r="A11" s="341" t="str">
        <f>'Statement of Marks'!BN210</f>
        <v/>
      </c>
      <c r="B11" s="342" t="str">
        <f>'Statement of Marks'!BN209</f>
        <v>ACCOUNTANCY</v>
      </c>
      <c r="C11" s="337">
        <f>'Statement of Marks'!BN211</f>
        <v>14</v>
      </c>
      <c r="D11" s="337">
        <f>'Statement of Marks'!BR213</f>
        <v>14</v>
      </c>
      <c r="E11" s="338">
        <f>'Statement of Marks'!BN214</f>
        <v>100</v>
      </c>
      <c r="F11" s="339">
        <f>'Statement of Marks'!BN213</f>
        <v>8</v>
      </c>
      <c r="G11" s="339">
        <f>'Statement of Marks'!BO213</f>
        <v>6</v>
      </c>
      <c r="H11" s="339">
        <f>'Statement of Marks'!BP213</f>
        <v>0</v>
      </c>
      <c r="I11" s="339">
        <f>'Statement of Marks'!BQ213</f>
        <v>0</v>
      </c>
      <c r="J11" s="677">
        <f>'Statement of Marks'!BO215</f>
        <v>0</v>
      </c>
      <c r="K11" s="343">
        <f>'Statement of Marks'!BO216</f>
        <v>0</v>
      </c>
      <c r="L11" s="343">
        <f>'Statement of Marks'!BO218</f>
        <v>0</v>
      </c>
      <c r="M11" s="343">
        <f>'Statement of Marks'!BO219</f>
        <v>0</v>
      </c>
      <c r="N11" s="340">
        <f>COUNTIF('Statement of Marks'!$B$8:$B$207,"nso")</f>
        <v>0</v>
      </c>
      <c r="O11" s="335">
        <f>IF(D11="","",SUM(D11,J11,K11,M11,N11,L11))</f>
        <v>14</v>
      </c>
      <c r="P11" s="211"/>
    </row>
    <row r="12" spans="1:16" ht="24" customHeight="1">
      <c r="A12" s="341" t="str">
        <f>'Statement of Marks'!BS210</f>
        <v/>
      </c>
      <c r="B12" s="342" t="str">
        <f>'Statement of Marks'!BS209</f>
        <v>ECONOMICS</v>
      </c>
      <c r="C12" s="337">
        <f>'Statement of Marks'!BS211</f>
        <v>1</v>
      </c>
      <c r="D12" s="337">
        <f>'Statement of Marks'!BW213</f>
        <v>1</v>
      </c>
      <c r="E12" s="338">
        <f>'Statement of Marks'!BS214</f>
        <v>100</v>
      </c>
      <c r="F12" s="339">
        <f>'Statement of Marks'!BS213</f>
        <v>1</v>
      </c>
      <c r="G12" s="339">
        <f>'Statement of Marks'!BT213</f>
        <v>0</v>
      </c>
      <c r="H12" s="339">
        <f>'Statement of Marks'!BU213</f>
        <v>0</v>
      </c>
      <c r="I12" s="339">
        <f>'Statement of Marks'!BV213</f>
        <v>0</v>
      </c>
      <c r="J12" s="677">
        <f>'Statement of Marks'!BS215</f>
        <v>0</v>
      </c>
      <c r="K12" s="343">
        <f>'Statement of Marks'!BS216</f>
        <v>0</v>
      </c>
      <c r="L12" s="343">
        <f>'Statement of Marks'!BS218</f>
        <v>0</v>
      </c>
      <c r="M12" s="343">
        <f>'Statement of Marks'!BS219</f>
        <v>0</v>
      </c>
      <c r="N12" s="340">
        <f>COUNTIF('Statement of Marks'!$B$8:$B$207,"nso")</f>
        <v>0</v>
      </c>
      <c r="O12" s="335">
        <f t="shared" si="0"/>
        <v>1</v>
      </c>
      <c r="P12" s="211"/>
    </row>
    <row r="13" spans="1:16" ht="24" customHeight="1">
      <c r="A13" s="341" t="str">
        <f>'Statement of Marks'!CF210</f>
        <v>Yogendra</v>
      </c>
      <c r="B13" s="342" t="str">
        <f>'Statement of Marks'!CF209</f>
        <v>GEOGRAPHY</v>
      </c>
      <c r="C13" s="337">
        <f>'Statement of Marks'!CF211</f>
        <v>21</v>
      </c>
      <c r="D13" s="344">
        <f>'Statement of Marks'!CJ213</f>
        <v>21</v>
      </c>
      <c r="E13" s="338">
        <f>'Statement of Marks'!CF214</f>
        <v>100</v>
      </c>
      <c r="F13" s="339">
        <f>'Statement of Marks'!CF213</f>
        <v>16</v>
      </c>
      <c r="G13" s="339">
        <f>'Statement of Marks'!CG213</f>
        <v>5</v>
      </c>
      <c r="H13" s="339">
        <f>'Statement of Marks'!CH213</f>
        <v>0</v>
      </c>
      <c r="I13" s="339">
        <f>'Statement of Marks'!CI213</f>
        <v>0</v>
      </c>
      <c r="J13" s="678">
        <f>'Statement of Marks'!CF215</f>
        <v>0</v>
      </c>
      <c r="K13" s="339">
        <f>'Statement of Marks'!CF216</f>
        <v>0</v>
      </c>
      <c r="L13" s="339">
        <f>'Statement of Marks'!CF218</f>
        <v>0</v>
      </c>
      <c r="M13" s="339">
        <f>'Statement of Marks'!CF219</f>
        <v>0</v>
      </c>
      <c r="N13" s="340">
        <f>COUNTIF('Statement of Marks'!$B$8:$B$207,"nso")</f>
        <v>0</v>
      </c>
      <c r="O13" s="335">
        <f t="shared" si="0"/>
        <v>21</v>
      </c>
      <c r="P13" s="211"/>
    </row>
    <row r="14" spans="1:16" ht="24" customHeight="1">
      <c r="A14" s="341" t="str">
        <f>'Statement of Marks'!CK210</f>
        <v/>
      </c>
      <c r="B14" s="342" t="str">
        <f>'Statement of Marks'!CK209</f>
        <v>HOME SCIENCE</v>
      </c>
      <c r="C14" s="337">
        <f>'Statement of Marks'!CK211</f>
        <v>8</v>
      </c>
      <c r="D14" s="337">
        <f>'Statement of Marks'!CO213</f>
        <v>7</v>
      </c>
      <c r="E14" s="338">
        <f>'Statement of Marks'!CK214</f>
        <v>87.5</v>
      </c>
      <c r="F14" s="339">
        <f>'Statement of Marks'!CK213</f>
        <v>2</v>
      </c>
      <c r="G14" s="339">
        <f>'Statement of Marks'!CL213</f>
        <v>1</v>
      </c>
      <c r="H14" s="339">
        <f>'Statement of Marks'!CM213</f>
        <v>3</v>
      </c>
      <c r="I14" s="339">
        <f>'Statement of Marks'!CN213</f>
        <v>1</v>
      </c>
      <c r="J14" s="677">
        <f>'Statement of Marks'!CL215</f>
        <v>1</v>
      </c>
      <c r="K14" s="343">
        <f>'Statement of Marks'!CL216</f>
        <v>0</v>
      </c>
      <c r="L14" s="343">
        <f>'Statement of Marks'!CL218</f>
        <v>0</v>
      </c>
      <c r="M14" s="343">
        <f>'Statement of Marks'!CL219</f>
        <v>0</v>
      </c>
      <c r="N14" s="340">
        <f>COUNTIF('Statement of Marks'!$B$8:$B$207,"nso")</f>
        <v>0</v>
      </c>
      <c r="O14" s="335">
        <f t="shared" si="0"/>
        <v>8</v>
      </c>
      <c r="P14" s="211"/>
    </row>
    <row r="15" spans="1:16" ht="24" customHeight="1">
      <c r="A15" s="341" t="str">
        <f>'Statement of Marks'!CP210</f>
        <v/>
      </c>
      <c r="B15" s="342" t="str">
        <f>'Statement of Marks'!CP209</f>
        <v>TYPING</v>
      </c>
      <c r="C15" s="337">
        <f>'Statement of Marks'!CP211</f>
        <v>1</v>
      </c>
      <c r="D15" s="337">
        <f>'Statement of Marks'!CT213</f>
        <v>1</v>
      </c>
      <c r="E15" s="338">
        <f>'Statement of Marks'!CP214</f>
        <v>100</v>
      </c>
      <c r="F15" s="339">
        <f>'Statement of Marks'!CP213</f>
        <v>0</v>
      </c>
      <c r="G15" s="339">
        <f>'Statement of Marks'!CQ213</f>
        <v>1</v>
      </c>
      <c r="H15" s="339">
        <f>'Statement of Marks'!CR213</f>
        <v>0</v>
      </c>
      <c r="I15" s="339">
        <f>'Statement of Marks'!CS213</f>
        <v>0</v>
      </c>
      <c r="J15" s="677">
        <f>'Statement of Marks'!CP215</f>
        <v>0</v>
      </c>
      <c r="K15" s="343">
        <f>'Statement of Marks'!CP216</f>
        <v>0</v>
      </c>
      <c r="L15" s="343">
        <f>'Statement of Marks'!CP218</f>
        <v>0</v>
      </c>
      <c r="M15" s="343">
        <f>'Statement of Marks'!CP219</f>
        <v>0</v>
      </c>
      <c r="N15" s="340">
        <f>COUNTIF('Statement of Marks'!$B$8:$B$207,"nso")</f>
        <v>0</v>
      </c>
      <c r="O15" s="335">
        <f t="shared" si="0"/>
        <v>1</v>
      </c>
      <c r="P15" s="211"/>
    </row>
    <row r="16" spans="1:16" ht="24" customHeight="1">
      <c r="A16" s="345" t="str">
        <f>'Statement of Marks'!DD210</f>
        <v/>
      </c>
      <c r="B16" s="346" t="str">
        <f>'Statement of Marks'!DD209</f>
        <v/>
      </c>
      <c r="C16" s="347" t="str">
        <f>'Statement of Marks'!DD211</f>
        <v/>
      </c>
      <c r="D16" s="347" t="str">
        <f>'Statement of Marks'!DH213</f>
        <v/>
      </c>
      <c r="E16" s="348" t="str">
        <f>'Statement of Marks'!DD214</f>
        <v/>
      </c>
      <c r="F16" s="340" t="str">
        <f>'Statement of Marks'!DD213</f>
        <v/>
      </c>
      <c r="G16" s="340" t="str">
        <f>'Statement of Marks'!DE213</f>
        <v/>
      </c>
      <c r="H16" s="340" t="str">
        <f>'Statement of Marks'!DF213</f>
        <v/>
      </c>
      <c r="I16" s="340" t="str">
        <f>'Statement of Marks'!DG213</f>
        <v/>
      </c>
      <c r="J16" s="679" t="str">
        <f>'Statement of Marks'!DD215</f>
        <v/>
      </c>
      <c r="K16" s="349" t="str">
        <f>'Statement of Marks'!DD216</f>
        <v/>
      </c>
      <c r="L16" s="349" t="str">
        <f>'Statement of Marks'!DD218</f>
        <v/>
      </c>
      <c r="M16" s="349" t="str">
        <f>'Statement of Marks'!DD219</f>
        <v/>
      </c>
      <c r="N16" s="340">
        <f>COUNTIF('Statement of Marks'!$B$8:$B$207,"nso")</f>
        <v>0</v>
      </c>
      <c r="O16" s="335" t="str">
        <f t="shared" si="0"/>
        <v/>
      </c>
      <c r="P16" s="211"/>
    </row>
    <row r="17" spans="1:16" ht="24" customHeight="1">
      <c r="A17" s="345" t="str">
        <f>'Statement of Marks'!DI210</f>
        <v/>
      </c>
      <c r="B17" s="346" t="str">
        <f>'Statement of Marks'!DI209</f>
        <v/>
      </c>
      <c r="C17" s="347" t="str">
        <f>'Statement of Marks'!DI211</f>
        <v/>
      </c>
      <c r="D17" s="347" t="str">
        <f>'Statement of Marks'!DR213</f>
        <v/>
      </c>
      <c r="E17" s="348" t="str">
        <f>'Statement of Marks'!DI214</f>
        <v/>
      </c>
      <c r="F17" s="340" t="str">
        <f>'Statement of Marks'!DI213</f>
        <v/>
      </c>
      <c r="G17" s="340" t="str">
        <f>'Statement of Marks'!DJ213</f>
        <v/>
      </c>
      <c r="H17" s="340" t="str">
        <f>'Statement of Marks'!DK213</f>
        <v/>
      </c>
      <c r="I17" s="340" t="str">
        <f>'Statement of Marks'!DL213</f>
        <v/>
      </c>
      <c r="J17" s="679" t="str">
        <f>'Statement of Marks'!DI215</f>
        <v/>
      </c>
      <c r="K17" s="349" t="str">
        <f>'Statement of Marks'!DI216</f>
        <v/>
      </c>
      <c r="L17" s="349" t="str">
        <f>'Statement of Marks'!DI218</f>
        <v/>
      </c>
      <c r="M17" s="349" t="str">
        <f>'Statement of Marks'!DI219</f>
        <v/>
      </c>
      <c r="N17" s="340">
        <f>COUNTIF('Statement of Marks'!$B$8:$B$207,"nso")</f>
        <v>0</v>
      </c>
      <c r="O17" s="335" t="str">
        <f t="shared" si="0"/>
        <v/>
      </c>
      <c r="P17" s="211"/>
    </row>
    <row r="18" spans="1:16" ht="24" customHeight="1">
      <c r="A18" s="345" t="str">
        <f>'Statement of Marks'!DN210</f>
        <v/>
      </c>
      <c r="B18" s="346" t="str">
        <f>'Statement of Marks'!DN209</f>
        <v/>
      </c>
      <c r="C18" s="347" t="str">
        <f>'Statement of Marks'!DN211</f>
        <v/>
      </c>
      <c r="D18" s="347" t="str">
        <f>'Statement of Marks'!DR213</f>
        <v/>
      </c>
      <c r="E18" s="348" t="str">
        <f>'Statement of Marks'!DN214</f>
        <v/>
      </c>
      <c r="F18" s="340" t="str">
        <f>'Statement of Marks'!DN213</f>
        <v/>
      </c>
      <c r="G18" s="340" t="str">
        <f>'Statement of Marks'!DO213</f>
        <v/>
      </c>
      <c r="H18" s="340" t="str">
        <f>'Statement of Marks'!DP213</f>
        <v/>
      </c>
      <c r="I18" s="340" t="str">
        <f>'Statement of Marks'!DQ213</f>
        <v/>
      </c>
      <c r="J18" s="679" t="str">
        <f>'Statement of Marks'!DN215</f>
        <v/>
      </c>
      <c r="K18" s="349" t="str">
        <f>'Statement of Marks'!DN216</f>
        <v/>
      </c>
      <c r="L18" s="349" t="str">
        <f>'Statement of Marks'!DN218</f>
        <v/>
      </c>
      <c r="M18" s="349" t="str">
        <f>'Statement of Marks'!DN219</f>
        <v/>
      </c>
      <c r="N18" s="340">
        <f>COUNTIF('Statement of Marks'!$B$8:$B$207,"nso")</f>
        <v>0</v>
      </c>
      <c r="O18" s="335" t="str">
        <f t="shared" si="0"/>
        <v/>
      </c>
      <c r="P18" s="211"/>
    </row>
    <row r="19" spans="1:16" ht="24" customHeight="1">
      <c r="A19" s="345" t="str">
        <f>'Statement of Marks'!DS210</f>
        <v>Lalit Kumar</v>
      </c>
      <c r="B19" s="669" t="str">
        <f>'Statement of Marks'!DS209</f>
        <v>जीवन कौशल</v>
      </c>
      <c r="C19" s="347">
        <f>'Statement of Marks'!DS211</f>
        <v>30</v>
      </c>
      <c r="D19" s="347">
        <f>'Statement of Marks'!EF213</f>
        <v>30</v>
      </c>
      <c r="E19" s="348">
        <f>'Statement of Marks'!DS214</f>
        <v>100</v>
      </c>
      <c r="F19" s="340">
        <f>'Statement of Marks'!DS213</f>
        <v>30</v>
      </c>
      <c r="G19" s="340">
        <f>'Statement of Marks'!DT213</f>
        <v>0</v>
      </c>
      <c r="H19" s="340">
        <f>'Statement of Marks'!DU213</f>
        <v>0</v>
      </c>
      <c r="I19" s="340">
        <f>'Statement of Marks'!DV213</f>
        <v>0</v>
      </c>
      <c r="J19" s="679">
        <f>'Statement of Marks'!DS215</f>
        <v>0</v>
      </c>
      <c r="K19" s="349">
        <f>'Statement of Marks'!DS216</f>
        <v>0</v>
      </c>
      <c r="L19" s="349">
        <f>'Statement of Marks'!DS218</f>
        <v>0</v>
      </c>
      <c r="M19" s="349">
        <f>'Statement of Marks'!DS219</f>
        <v>0</v>
      </c>
      <c r="N19" s="340">
        <f>COUNTIF('Statement of Marks'!$B$8:$B$207,"nso")</f>
        <v>0</v>
      </c>
      <c r="O19" s="335">
        <f t="shared" si="0"/>
        <v>30</v>
      </c>
      <c r="P19" s="211"/>
    </row>
    <row r="20" spans="1:16" ht="24" customHeight="1" thickBot="1">
      <c r="A20" s="350" t="str">
        <f>'Statement of Marks'!EY210</f>
        <v>Pravin Kumar</v>
      </c>
      <c r="B20" s="670" t="str">
        <f>'Statement of Marks'!EY209</f>
        <v xml:space="preserve">आजादी के बाद का स्वर्णिम भारत </v>
      </c>
      <c r="C20" s="351">
        <f>'Statement of Marks'!EY211</f>
        <v>31</v>
      </c>
      <c r="D20" s="352">
        <f>'Statement of Marks'!FD213</f>
        <v>31</v>
      </c>
      <c r="E20" s="353">
        <f>'Statement of Marks'!EY214</f>
        <v>100</v>
      </c>
      <c r="F20" s="354">
        <f>'Statement of Marks'!EY213</f>
        <v>1</v>
      </c>
      <c r="G20" s="354">
        <f>'Statement of Marks'!EZ213</f>
        <v>30</v>
      </c>
      <c r="H20" s="354">
        <f>'Statement of Marks'!FA213</f>
        <v>0</v>
      </c>
      <c r="I20" s="354">
        <f>'Statement of Marks'!FB213</f>
        <v>0</v>
      </c>
      <c r="J20" s="680">
        <f>'Statement of Marks'!EY215</f>
        <v>0</v>
      </c>
      <c r="K20" s="354">
        <f>'Statement of Marks'!EY216</f>
        <v>0</v>
      </c>
      <c r="L20" s="354">
        <f>'Statement of Marks'!EY218</f>
        <v>0</v>
      </c>
      <c r="M20" s="354">
        <f>'Statement of Marks'!EY219</f>
        <v>0</v>
      </c>
      <c r="N20" s="354">
        <f>COUNTIF('Statement of Marks'!$B$8:$B$207,"nso")</f>
        <v>0</v>
      </c>
      <c r="O20" s="355">
        <f>IF(D20="","",SUM(D20,J20,K20,M20,N20,L20))</f>
        <v>31</v>
      </c>
      <c r="P20" s="211"/>
    </row>
    <row r="21" spans="1:16" ht="21" customHeight="1" thickTop="1">
      <c r="A21" s="356"/>
      <c r="B21" s="357"/>
      <c r="C21" s="358"/>
      <c r="D21" s="359"/>
      <c r="E21" s="360"/>
      <c r="F21" s="361"/>
      <c r="G21" s="358"/>
      <c r="H21" s="361"/>
      <c r="I21" s="358"/>
      <c r="J21" s="361"/>
      <c r="K21" s="361"/>
      <c r="L21" s="361"/>
      <c r="M21" s="361"/>
      <c r="N21" s="361"/>
      <c r="O21" s="361"/>
      <c r="P21" s="211"/>
    </row>
    <row r="22" spans="1:16" ht="39" customHeight="1">
      <c r="A22" s="1427" t="str">
        <f>CONCATENATE("( ",UPPER('Master Sheet'!D14)," )")</f>
        <v>( HEERALAL JAT )</v>
      </c>
      <c r="B22" s="1427"/>
      <c r="C22" s="1427"/>
      <c r="D22" s="359"/>
      <c r="E22" s="360"/>
      <c r="F22" s="361"/>
      <c r="G22" s="358"/>
      <c r="H22" s="361"/>
      <c r="I22" s="358"/>
      <c r="J22" s="1428" t="str">
        <f>CONCATENATE("( ",UPPER('Master Sheet'!D12)," )")</f>
        <v>( DEWANANAD )</v>
      </c>
      <c r="K22" s="1428"/>
      <c r="L22" s="1428"/>
      <c r="M22" s="1428"/>
      <c r="N22" s="1428"/>
      <c r="O22" s="1428"/>
      <c r="P22" s="211"/>
    </row>
    <row r="23" spans="1:16" ht="30" customHeight="1">
      <c r="A23" s="1425" t="str">
        <f>IF('Master Sheet'!$D$11="Hindi","हस्ताक्षर परीक्षा प्रभारी","Signature of the exam. Incharge")</f>
        <v>हस्ताक्षर परीक्षा प्रभारी</v>
      </c>
      <c r="B23" s="1425"/>
      <c r="C23" s="1425"/>
      <c r="D23" s="362"/>
      <c r="E23" s="363"/>
      <c r="F23" s="364"/>
      <c r="G23" s="365"/>
      <c r="H23" s="364"/>
      <c r="I23" s="365"/>
      <c r="J23" s="1426" t="str">
        <f>IF('Master Sheet'!$D$11="Hindi","हस्ताक्षर मय सील मोहर संस्था प्रधान","Signature &amp; Seal of the Head of the Institution")</f>
        <v>हस्ताक्षर मय सील मोहर संस्था प्रधान</v>
      </c>
      <c r="K23" s="1426"/>
      <c r="L23" s="1426"/>
      <c r="M23" s="1426"/>
      <c r="N23" s="1426"/>
      <c r="O23" s="1426"/>
      <c r="P23" s="211"/>
    </row>
    <row r="24" spans="1:16" ht="15.75">
      <c r="A24" s="211"/>
      <c r="B24" s="366"/>
      <c r="C24" s="365"/>
      <c r="D24" s="362"/>
      <c r="E24" s="363"/>
      <c r="F24" s="364"/>
      <c r="G24" s="365"/>
      <c r="H24" s="364"/>
      <c r="I24" s="365"/>
      <c r="J24" s="367"/>
      <c r="K24" s="367"/>
      <c r="L24" s="367"/>
      <c r="M24" s="367"/>
      <c r="N24" s="367"/>
      <c r="O24" s="367"/>
      <c r="P24" s="211"/>
    </row>
    <row r="25" spans="1:16">
      <c r="A25" s="1436" t="s">
        <v>223</v>
      </c>
      <c r="B25" s="1436"/>
      <c r="C25" s="1436"/>
      <c r="D25" s="1436"/>
      <c r="E25" s="1436"/>
      <c r="F25" s="1436"/>
      <c r="G25" s="1436"/>
      <c r="H25" s="1436"/>
      <c r="I25" s="1436"/>
      <c r="J25" s="1436"/>
      <c r="K25" s="1436"/>
      <c r="L25" s="1436"/>
      <c r="M25" s="1436"/>
      <c r="N25" s="1436"/>
      <c r="O25" s="1436"/>
      <c r="P25" s="368"/>
    </row>
    <row r="26" spans="1:16" ht="15.75" customHeight="1">
      <c r="A26" s="1436"/>
      <c r="B26" s="1436"/>
      <c r="C26" s="1436"/>
      <c r="D26" s="1436"/>
      <c r="E26" s="1436"/>
      <c r="F26" s="1436"/>
      <c r="G26" s="1436"/>
      <c r="H26" s="1436"/>
      <c r="I26" s="1436"/>
      <c r="J26" s="1436"/>
      <c r="K26" s="1436"/>
      <c r="L26" s="1436"/>
      <c r="M26" s="1436"/>
      <c r="N26" s="1436"/>
      <c r="O26" s="1436"/>
      <c r="P26" s="369"/>
    </row>
    <row r="27" spans="1:16" ht="15.75">
      <c r="A27" s="211"/>
      <c r="B27" s="211"/>
      <c r="C27" s="211"/>
      <c r="D27" s="211"/>
      <c r="E27" s="211"/>
      <c r="F27" s="211"/>
      <c r="G27" s="211"/>
      <c r="H27" s="211"/>
      <c r="I27" s="211"/>
      <c r="J27" s="211"/>
      <c r="K27" s="211"/>
      <c r="L27" s="211"/>
      <c r="M27" s="211"/>
      <c r="N27" s="211"/>
      <c r="O27" s="211"/>
      <c r="P27" s="211"/>
    </row>
    <row r="28" spans="1:16" ht="16.5" customHeight="1">
      <c r="A28" s="1452" t="str">
        <f>IF('Master Sheet'!D11="Hindi",CONCATENATE("विद्यालय का नाम :-","  ",'Master Sheet'!D8),CONCATENATE("School Name :-","  ",'Master Sheet'!D7))</f>
        <v xml:space="preserve">विद्यालय का नाम :-  महात्मा गाँधी राजकीय विद्यालय (अंग्रेजी माध्यम) बर, पाली </v>
      </c>
      <c r="B28" s="1452"/>
      <c r="C28" s="1452"/>
      <c r="D28" s="1452"/>
      <c r="E28" s="1452"/>
      <c r="F28" s="1452"/>
      <c r="G28" s="1452"/>
      <c r="H28" s="1452"/>
      <c r="I28" s="1452"/>
      <c r="J28" s="1452"/>
      <c r="K28" s="1452"/>
      <c r="L28" s="1452"/>
      <c r="M28" s="1452"/>
      <c r="N28" s="1452"/>
      <c r="O28" s="1452"/>
      <c r="P28" s="211"/>
    </row>
    <row r="29" spans="1:16" ht="16.5" thickBot="1">
      <c r="A29" s="1452"/>
      <c r="B29" s="1452"/>
      <c r="C29" s="1452"/>
      <c r="D29" s="1452"/>
      <c r="E29" s="1452"/>
      <c r="F29" s="1452"/>
      <c r="G29" s="1452"/>
      <c r="H29" s="1452"/>
      <c r="I29" s="1452"/>
      <c r="J29" s="1452"/>
      <c r="K29" s="1452"/>
      <c r="L29" s="1452"/>
      <c r="M29" s="1452"/>
      <c r="N29" s="1452"/>
      <c r="O29" s="1452"/>
      <c r="P29" s="211"/>
    </row>
    <row r="30" spans="1:16" ht="35.25" customHeight="1" thickTop="1" thickBot="1">
      <c r="A30" s="1453" t="str">
        <f>IF('Master Sheet'!$D$11="Hindi","वर्गवार परीक्षा परिणाम","CATEGORY-WISE RESULT")</f>
        <v>वर्गवार परीक्षा परिणाम</v>
      </c>
      <c r="B30" s="1454"/>
      <c r="C30" s="1454"/>
      <c r="D30" s="1454"/>
      <c r="E30" s="1454"/>
      <c r="F30" s="1454"/>
      <c r="G30" s="1430" t="str">
        <f>IF('Master Sheet'!$D$11="Hindi","कक्षा :-","Class :-")</f>
        <v>कक्षा :-</v>
      </c>
      <c r="H30" s="1430"/>
      <c r="I30" s="1429" t="str">
        <f>CONCATENATE('Marks Entry'!H2," '",'Marks Entry'!H3,"'")</f>
        <v>11 'Arts'</v>
      </c>
      <c r="J30" s="1429"/>
      <c r="K30" s="1429"/>
      <c r="L30" s="1430" t="str">
        <f>IF('Master Sheet'!$D$11="Hindi","सत्र :-","Session :-")</f>
        <v>सत्र :-</v>
      </c>
      <c r="M30" s="1430"/>
      <c r="N30" s="1429" t="str">
        <f>'Marks Entry'!H1</f>
        <v>2025-2026</v>
      </c>
      <c r="O30" s="1431"/>
      <c r="P30" s="211"/>
    </row>
    <row r="31" spans="1:16" ht="33.75" customHeight="1" thickTop="1" thickBot="1">
      <c r="A31" s="1455" t="str">
        <f>IF('Master Sheet'!D11="Hindi","विवरण","Details")</f>
        <v>विवरण</v>
      </c>
      <c r="B31" s="1455"/>
      <c r="C31" s="370" t="s">
        <v>80</v>
      </c>
      <c r="D31" s="370" t="s">
        <v>81</v>
      </c>
      <c r="E31" s="370" t="s">
        <v>82</v>
      </c>
      <c r="F31" s="370" t="s">
        <v>83</v>
      </c>
      <c r="G31" s="370" t="s">
        <v>84</v>
      </c>
      <c r="H31" s="370" t="s">
        <v>85</v>
      </c>
      <c r="I31" s="370" t="s">
        <v>86</v>
      </c>
      <c r="J31" s="370" t="s">
        <v>87</v>
      </c>
      <c r="K31" s="370" t="s">
        <v>88</v>
      </c>
      <c r="L31" s="370" t="s">
        <v>89</v>
      </c>
      <c r="M31" s="370" t="s">
        <v>90</v>
      </c>
      <c r="N31" s="370" t="s">
        <v>91</v>
      </c>
      <c r="O31" s="371" t="s">
        <v>92</v>
      </c>
      <c r="P31" s="211"/>
    </row>
    <row r="32" spans="1:16" ht="23.1" customHeight="1" thickTop="1">
      <c r="A32" s="1456" t="str">
        <f>'Result Aggregate'!BM207</f>
        <v>प्रथम श्रेणी</v>
      </c>
      <c r="B32" s="1457"/>
      <c r="C32" s="770">
        <f>'Result Aggregate'!BN207</f>
        <v>0</v>
      </c>
      <c r="D32" s="770">
        <f>'Result Aggregate'!BO207</f>
        <v>1</v>
      </c>
      <c r="E32" s="770">
        <f>'Result Aggregate'!BP207</f>
        <v>1</v>
      </c>
      <c r="F32" s="770">
        <f>'Result Aggregate'!BQ207</f>
        <v>0</v>
      </c>
      <c r="G32" s="770">
        <f>'Result Aggregate'!BR207</f>
        <v>0</v>
      </c>
      <c r="H32" s="770">
        <f>'Result Aggregate'!BS207</f>
        <v>0</v>
      </c>
      <c r="I32" s="770">
        <f>'Result Aggregate'!BT207</f>
        <v>1</v>
      </c>
      <c r="J32" s="770">
        <f>'Result Aggregate'!BU207</f>
        <v>0</v>
      </c>
      <c r="K32" s="770">
        <f>'Result Aggregate'!BV207</f>
        <v>0</v>
      </c>
      <c r="L32" s="770">
        <f>'Result Aggregate'!BW207</f>
        <v>0</v>
      </c>
      <c r="M32" s="770">
        <f>'Result Aggregate'!BX207</f>
        <v>0</v>
      </c>
      <c r="N32" s="770">
        <f>'Result Aggregate'!BY207</f>
        <v>1</v>
      </c>
      <c r="O32" s="771">
        <f>'Result Aggregate'!BZ207</f>
        <v>4</v>
      </c>
      <c r="P32" s="211"/>
    </row>
    <row r="33" spans="1:16" ht="23.1" customHeight="1">
      <c r="A33" s="1432" t="str">
        <f>'Result Aggregate'!BM208</f>
        <v>द्वितीय श्रेणी</v>
      </c>
      <c r="B33" s="1433"/>
      <c r="C33" s="372">
        <f>'Result Aggregate'!BN208</f>
        <v>0</v>
      </c>
      <c r="D33" s="372">
        <f>'Result Aggregate'!BO208</f>
        <v>0</v>
      </c>
      <c r="E33" s="372">
        <f>'Result Aggregate'!BP208</f>
        <v>0</v>
      </c>
      <c r="F33" s="372">
        <f>'Result Aggregate'!BQ208</f>
        <v>0</v>
      </c>
      <c r="G33" s="372">
        <f>'Result Aggregate'!BR208</f>
        <v>2</v>
      </c>
      <c r="H33" s="372">
        <f>'Result Aggregate'!BS208</f>
        <v>0</v>
      </c>
      <c r="I33" s="372">
        <f>'Result Aggregate'!BT208</f>
        <v>1</v>
      </c>
      <c r="J33" s="372">
        <f>'Result Aggregate'!BU208</f>
        <v>0</v>
      </c>
      <c r="K33" s="372">
        <f>'Result Aggregate'!BV208</f>
        <v>0</v>
      </c>
      <c r="L33" s="372">
        <f>'Result Aggregate'!BW208</f>
        <v>0</v>
      </c>
      <c r="M33" s="372">
        <f>'Result Aggregate'!BX208</f>
        <v>0</v>
      </c>
      <c r="N33" s="372">
        <f>'Result Aggregate'!BY208</f>
        <v>0</v>
      </c>
      <c r="O33" s="373">
        <f>'Result Aggregate'!BZ208</f>
        <v>3</v>
      </c>
      <c r="P33" s="211"/>
    </row>
    <row r="34" spans="1:16" ht="23.1" customHeight="1">
      <c r="A34" s="1432" t="str">
        <f>'Result Aggregate'!BM209</f>
        <v>तृतीय श्रेणी</v>
      </c>
      <c r="B34" s="1433"/>
      <c r="C34" s="372">
        <f>'Result Aggregate'!BN209</f>
        <v>0</v>
      </c>
      <c r="D34" s="372">
        <f>'Result Aggregate'!BO209</f>
        <v>0</v>
      </c>
      <c r="E34" s="372">
        <f>'Result Aggregate'!BP209</f>
        <v>0</v>
      </c>
      <c r="F34" s="372">
        <f>'Result Aggregate'!BQ209</f>
        <v>0</v>
      </c>
      <c r="G34" s="372">
        <f>'Result Aggregate'!BR209</f>
        <v>1</v>
      </c>
      <c r="H34" s="372">
        <f>'Result Aggregate'!BS209</f>
        <v>0</v>
      </c>
      <c r="I34" s="372">
        <f>'Result Aggregate'!BT209</f>
        <v>0</v>
      </c>
      <c r="J34" s="372">
        <f>'Result Aggregate'!BU209</f>
        <v>0</v>
      </c>
      <c r="K34" s="372">
        <f>'Result Aggregate'!BV209</f>
        <v>1</v>
      </c>
      <c r="L34" s="372">
        <f>'Result Aggregate'!BW209</f>
        <v>0</v>
      </c>
      <c r="M34" s="372">
        <f>'Result Aggregate'!BX209</f>
        <v>1</v>
      </c>
      <c r="N34" s="372">
        <f>'Result Aggregate'!BY209</f>
        <v>0</v>
      </c>
      <c r="O34" s="373">
        <f>'Result Aggregate'!BZ209</f>
        <v>3</v>
      </c>
      <c r="P34" s="211"/>
    </row>
    <row r="35" spans="1:16" ht="23.1" customHeight="1">
      <c r="A35" s="1432" t="str">
        <f>'Result Aggregate'!BM210</f>
        <v>उतीर्ण</v>
      </c>
      <c r="B35" s="1433"/>
      <c r="C35" s="372">
        <f>'Result Aggregate'!BN210</f>
        <v>0</v>
      </c>
      <c r="D35" s="372">
        <f>'Result Aggregate'!BO210</f>
        <v>1</v>
      </c>
      <c r="E35" s="372">
        <f>'Result Aggregate'!BP210</f>
        <v>1</v>
      </c>
      <c r="F35" s="372">
        <f>'Result Aggregate'!BQ210</f>
        <v>0</v>
      </c>
      <c r="G35" s="372">
        <f>'Result Aggregate'!BR210</f>
        <v>3</v>
      </c>
      <c r="H35" s="372">
        <f>'Result Aggregate'!BS210</f>
        <v>0</v>
      </c>
      <c r="I35" s="372">
        <f>'Result Aggregate'!BT210</f>
        <v>2</v>
      </c>
      <c r="J35" s="372">
        <f>'Result Aggregate'!BU210</f>
        <v>0</v>
      </c>
      <c r="K35" s="372">
        <f>'Result Aggregate'!BV210</f>
        <v>1</v>
      </c>
      <c r="L35" s="372">
        <f>'Result Aggregate'!BW210</f>
        <v>0</v>
      </c>
      <c r="M35" s="372">
        <f>'Result Aggregate'!BX210</f>
        <v>1</v>
      </c>
      <c r="N35" s="372">
        <f>'Result Aggregate'!BY210</f>
        <v>1</v>
      </c>
      <c r="O35" s="373">
        <f>'Result Aggregate'!BZ210</f>
        <v>10</v>
      </c>
      <c r="P35" s="211"/>
    </row>
    <row r="36" spans="1:16" ht="23.1" customHeight="1">
      <c r="A36" s="1432" t="str">
        <f>'Result Aggregate'!BM211</f>
        <v>पूरक</v>
      </c>
      <c r="B36" s="1433"/>
      <c r="C36" s="372">
        <f>'Result Aggregate'!BN211</f>
        <v>0</v>
      </c>
      <c r="D36" s="372">
        <f>'Result Aggregate'!BO211</f>
        <v>0</v>
      </c>
      <c r="E36" s="372">
        <f>'Result Aggregate'!BP211</f>
        <v>0</v>
      </c>
      <c r="F36" s="372">
        <f>'Result Aggregate'!BQ211</f>
        <v>0</v>
      </c>
      <c r="G36" s="372">
        <f>'Result Aggregate'!BR211</f>
        <v>0</v>
      </c>
      <c r="H36" s="372">
        <f>'Result Aggregate'!BS211</f>
        <v>0</v>
      </c>
      <c r="I36" s="372">
        <f>'Result Aggregate'!BT211</f>
        <v>0</v>
      </c>
      <c r="J36" s="372">
        <f>'Result Aggregate'!BU211</f>
        <v>0</v>
      </c>
      <c r="K36" s="372">
        <f>'Result Aggregate'!BV211</f>
        <v>0</v>
      </c>
      <c r="L36" s="372">
        <f>'Result Aggregate'!BW211</f>
        <v>0</v>
      </c>
      <c r="M36" s="372">
        <f>'Result Aggregate'!BX211</f>
        <v>0</v>
      </c>
      <c r="N36" s="372">
        <f>'Result Aggregate'!BY211</f>
        <v>0</v>
      </c>
      <c r="O36" s="373">
        <f>'Result Aggregate'!BZ211</f>
        <v>0</v>
      </c>
      <c r="P36" s="374"/>
    </row>
    <row r="37" spans="1:16" ht="23.1" customHeight="1">
      <c r="A37" s="1432" t="str">
        <f>'Result Aggregate'!BM212</f>
        <v>पुनः परीक्षा</v>
      </c>
      <c r="B37" s="1433"/>
      <c r="C37" s="372">
        <f>'Result Aggregate'!BN212</f>
        <v>0</v>
      </c>
      <c r="D37" s="372">
        <f>'Result Aggregate'!BO212</f>
        <v>0</v>
      </c>
      <c r="E37" s="372">
        <f>'Result Aggregate'!BP212</f>
        <v>0</v>
      </c>
      <c r="F37" s="372">
        <f>'Result Aggregate'!BQ212</f>
        <v>0</v>
      </c>
      <c r="G37" s="372">
        <f>'Result Aggregate'!BR212</f>
        <v>0</v>
      </c>
      <c r="H37" s="372">
        <f>'Result Aggregate'!BS212</f>
        <v>0</v>
      </c>
      <c r="I37" s="372">
        <f>'Result Aggregate'!BT212</f>
        <v>0</v>
      </c>
      <c r="J37" s="372">
        <f>'Result Aggregate'!BU212</f>
        <v>0</v>
      </c>
      <c r="K37" s="372">
        <f>'Result Aggregate'!BV212</f>
        <v>0</v>
      </c>
      <c r="L37" s="372">
        <f>'Result Aggregate'!BW212</f>
        <v>0</v>
      </c>
      <c r="M37" s="372">
        <f>'Result Aggregate'!BX212</f>
        <v>0</v>
      </c>
      <c r="N37" s="372">
        <f>'Result Aggregate'!BY212</f>
        <v>0</v>
      </c>
      <c r="O37" s="373">
        <f>'Result Aggregate'!BZ212</f>
        <v>0</v>
      </c>
      <c r="P37" s="375"/>
    </row>
    <row r="38" spans="1:16" ht="23.1" customHeight="1">
      <c r="A38" s="1432" t="str">
        <f>'Result Aggregate'!BM213</f>
        <v>अनुतीर्ण</v>
      </c>
      <c r="B38" s="1433"/>
      <c r="C38" s="372">
        <f>'Result Aggregate'!BN213</f>
        <v>0</v>
      </c>
      <c r="D38" s="372">
        <f>'Result Aggregate'!BO213</f>
        <v>1</v>
      </c>
      <c r="E38" s="372">
        <f>'Result Aggregate'!BP213</f>
        <v>0</v>
      </c>
      <c r="F38" s="372">
        <f>'Result Aggregate'!BQ213</f>
        <v>0</v>
      </c>
      <c r="G38" s="372">
        <f>'Result Aggregate'!BR213</f>
        <v>0</v>
      </c>
      <c r="H38" s="372">
        <f>'Result Aggregate'!BS213</f>
        <v>0</v>
      </c>
      <c r="I38" s="372">
        <f>'Result Aggregate'!BT213</f>
        <v>0</v>
      </c>
      <c r="J38" s="372">
        <f>'Result Aggregate'!BU213</f>
        <v>0</v>
      </c>
      <c r="K38" s="372">
        <f>'Result Aggregate'!BV213</f>
        <v>0</v>
      </c>
      <c r="L38" s="372">
        <f>'Result Aggregate'!BW213</f>
        <v>0</v>
      </c>
      <c r="M38" s="372">
        <f>'Result Aggregate'!BX213</f>
        <v>0</v>
      </c>
      <c r="N38" s="372">
        <f>'Result Aggregate'!BY213</f>
        <v>0</v>
      </c>
      <c r="O38" s="373">
        <f>'Result Aggregate'!BZ213</f>
        <v>1</v>
      </c>
      <c r="P38" s="376"/>
    </row>
    <row r="39" spans="1:16" ht="23.1" customHeight="1">
      <c r="A39" s="1432" t="str">
        <f>'Result Aggregate'!BM214</f>
        <v>कुल प्रविष्ट</v>
      </c>
      <c r="B39" s="1433"/>
      <c r="C39" s="372">
        <f>'Result Aggregate'!BN214</f>
        <v>0</v>
      </c>
      <c r="D39" s="372">
        <f>'Result Aggregate'!BO214</f>
        <v>2</v>
      </c>
      <c r="E39" s="372">
        <f>'Result Aggregate'!BP214</f>
        <v>1</v>
      </c>
      <c r="F39" s="372">
        <f>'Result Aggregate'!BQ214</f>
        <v>0</v>
      </c>
      <c r="G39" s="372">
        <f>'Result Aggregate'!BR214</f>
        <v>3</v>
      </c>
      <c r="H39" s="372">
        <f>'Result Aggregate'!BS214</f>
        <v>0</v>
      </c>
      <c r="I39" s="372">
        <f>'Result Aggregate'!BT214</f>
        <v>2</v>
      </c>
      <c r="J39" s="372">
        <f>'Result Aggregate'!BU214</f>
        <v>0</v>
      </c>
      <c r="K39" s="372">
        <f>'Result Aggregate'!BV214</f>
        <v>1</v>
      </c>
      <c r="L39" s="372">
        <f>'Result Aggregate'!BW214</f>
        <v>0</v>
      </c>
      <c r="M39" s="372">
        <f>'Result Aggregate'!BX214</f>
        <v>1</v>
      </c>
      <c r="N39" s="372">
        <f>'Result Aggregate'!BY214</f>
        <v>1</v>
      </c>
      <c r="O39" s="373">
        <f>'Result Aggregate'!BZ214</f>
        <v>11</v>
      </c>
      <c r="P39" s="376"/>
    </row>
    <row r="40" spans="1:16" ht="23.1" customHeight="1">
      <c r="A40" s="1432" t="str">
        <f>'Result Aggregate'!BM215</f>
        <v>उतीर्ण प्रतिशत</v>
      </c>
      <c r="B40" s="1433"/>
      <c r="C40" s="769" t="str">
        <f>'Result Aggregate'!BN215</f>
        <v/>
      </c>
      <c r="D40" s="769">
        <f>'Result Aggregate'!BO215</f>
        <v>50</v>
      </c>
      <c r="E40" s="769">
        <f>'Result Aggregate'!BP215</f>
        <v>100</v>
      </c>
      <c r="F40" s="769" t="str">
        <f>'Result Aggregate'!BQ215</f>
        <v/>
      </c>
      <c r="G40" s="769">
        <f>'Result Aggregate'!BR215</f>
        <v>100</v>
      </c>
      <c r="H40" s="769" t="str">
        <f>'Result Aggregate'!BS215</f>
        <v/>
      </c>
      <c r="I40" s="769">
        <f>'Result Aggregate'!BT215</f>
        <v>100</v>
      </c>
      <c r="J40" s="769" t="str">
        <f>'Result Aggregate'!BU215</f>
        <v/>
      </c>
      <c r="K40" s="769">
        <f>'Result Aggregate'!BV215</f>
        <v>100</v>
      </c>
      <c r="L40" s="769" t="str">
        <f>'Result Aggregate'!BW215</f>
        <v/>
      </c>
      <c r="M40" s="769">
        <f>'Result Aggregate'!BX215</f>
        <v>100</v>
      </c>
      <c r="N40" s="769">
        <f>'Result Aggregate'!BY215</f>
        <v>100</v>
      </c>
      <c r="O40" s="772">
        <f>'Result Aggregate'!BZ215</f>
        <v>90.909090909090907</v>
      </c>
      <c r="P40" s="376"/>
    </row>
    <row r="41" spans="1:16" ht="23.1" customHeight="1" thickBot="1">
      <c r="A41" s="1434" t="str">
        <f>'Result Aggregate'!BM216</f>
        <v>नाम पृथक</v>
      </c>
      <c r="B41" s="1435"/>
      <c r="C41" s="773">
        <f>'Result Aggregate'!BN216</f>
        <v>0</v>
      </c>
      <c r="D41" s="773">
        <f>'Result Aggregate'!BO216</f>
        <v>0</v>
      </c>
      <c r="E41" s="773">
        <f>'Result Aggregate'!BP216</f>
        <v>0</v>
      </c>
      <c r="F41" s="773">
        <f>'Result Aggregate'!BQ216</f>
        <v>0</v>
      </c>
      <c r="G41" s="773">
        <f>'Result Aggregate'!BR216</f>
        <v>0</v>
      </c>
      <c r="H41" s="773">
        <f>'Result Aggregate'!BS216</f>
        <v>0</v>
      </c>
      <c r="I41" s="773">
        <f>'Result Aggregate'!BT216</f>
        <v>0</v>
      </c>
      <c r="J41" s="773">
        <f>'Result Aggregate'!BU216</f>
        <v>0</v>
      </c>
      <c r="K41" s="773">
        <f>'Result Aggregate'!BV216</f>
        <v>0</v>
      </c>
      <c r="L41" s="773">
        <f>'Result Aggregate'!BW216</f>
        <v>0</v>
      </c>
      <c r="M41" s="773">
        <f>'Result Aggregate'!BX216</f>
        <v>0</v>
      </c>
      <c r="N41" s="773">
        <f>'Result Aggregate'!BY216</f>
        <v>0</v>
      </c>
      <c r="O41" s="774">
        <f>'Result Aggregate'!BZ216</f>
        <v>0</v>
      </c>
      <c r="P41" s="377"/>
    </row>
    <row r="42" spans="1:16" ht="19.5" thickTop="1">
      <c r="A42" s="211"/>
      <c r="B42" s="211"/>
      <c r="C42" s="211"/>
      <c r="D42" s="211"/>
      <c r="E42" s="211"/>
      <c r="F42" s="211"/>
      <c r="G42" s="211"/>
      <c r="H42" s="211"/>
      <c r="I42" s="211"/>
      <c r="J42" s="211"/>
      <c r="K42" s="211"/>
      <c r="L42" s="211"/>
      <c r="M42" s="211"/>
      <c r="N42" s="211"/>
      <c r="O42" s="211"/>
      <c r="P42" s="378"/>
    </row>
    <row r="43" spans="1:16" ht="39" customHeight="1">
      <c r="A43" s="1427" t="str">
        <f>CONCATENATE("( ",UPPER('Master Sheet'!D14)," )")</f>
        <v>( HEERALAL JAT )</v>
      </c>
      <c r="B43" s="1427"/>
      <c r="C43" s="1427"/>
      <c r="D43" s="359"/>
      <c r="E43" s="360"/>
      <c r="F43" s="361"/>
      <c r="G43" s="358"/>
      <c r="H43" s="361"/>
      <c r="I43" s="358"/>
      <c r="J43" s="1428" t="str">
        <f>CONCATENATE("( ",UPPER('Master Sheet'!D12)," )")</f>
        <v>( DEWANANAD )</v>
      </c>
      <c r="K43" s="1428"/>
      <c r="L43" s="1428"/>
      <c r="M43" s="1428"/>
      <c r="N43" s="1428"/>
      <c r="O43" s="1428"/>
      <c r="P43" s="211"/>
    </row>
    <row r="44" spans="1:16" ht="21.75" customHeight="1">
      <c r="A44" s="1425" t="str">
        <f>A23</f>
        <v>हस्ताक्षर परीक्षा प्रभारी</v>
      </c>
      <c r="B44" s="1425"/>
      <c r="C44" s="1425"/>
      <c r="D44" s="359"/>
      <c r="E44" s="360"/>
      <c r="F44" s="761"/>
      <c r="G44" s="358"/>
      <c r="H44" s="761"/>
      <c r="I44" s="358"/>
      <c r="J44" s="1426" t="str">
        <f>J23</f>
        <v>हस्ताक्षर मय सील मोहर संस्था प्रधान</v>
      </c>
      <c r="K44" s="1426"/>
      <c r="L44" s="1426"/>
      <c r="M44" s="1426"/>
      <c r="N44" s="1426"/>
      <c r="O44" s="1426"/>
      <c r="P44" s="211"/>
    </row>
    <row r="45" spans="1:16" ht="18.75">
      <c r="A45" s="211"/>
      <c r="B45" s="211"/>
      <c r="C45" s="211"/>
      <c r="D45" s="211"/>
      <c r="E45" s="211"/>
      <c r="F45" s="211"/>
      <c r="G45" s="211"/>
      <c r="H45" s="211"/>
      <c r="I45" s="211"/>
      <c r="J45" s="211"/>
      <c r="K45" s="211"/>
      <c r="L45" s="211"/>
      <c r="M45" s="211"/>
      <c r="N45" s="211"/>
      <c r="O45" s="211"/>
      <c r="P45" s="379"/>
    </row>
    <row r="46" spans="1:16" ht="15.75">
      <c r="A46" s="211"/>
      <c r="B46" s="211"/>
      <c r="C46" s="211"/>
      <c r="D46" s="211"/>
      <c r="E46" s="211"/>
      <c r="F46" s="211"/>
      <c r="G46" s="211"/>
      <c r="H46" s="211"/>
      <c r="I46" s="211"/>
      <c r="J46" s="211"/>
      <c r="K46" s="211"/>
      <c r="L46" s="211"/>
      <c r="M46" s="211"/>
      <c r="N46" s="211"/>
      <c r="O46" s="211"/>
      <c r="P46" s="380"/>
    </row>
    <row r="47" spans="1:16" ht="26.25">
      <c r="A47" s="211"/>
      <c r="B47" s="211"/>
      <c r="C47" s="211"/>
      <c r="D47" s="211"/>
      <c r="E47" s="211"/>
      <c r="F47" s="211"/>
      <c r="G47" s="211"/>
      <c r="H47" s="211"/>
      <c r="I47" s="211"/>
      <c r="J47" s="211"/>
      <c r="K47" s="211"/>
      <c r="L47" s="211"/>
      <c r="M47" s="211"/>
      <c r="N47" s="211"/>
      <c r="O47" s="211"/>
      <c r="P47" s="374"/>
    </row>
    <row r="48" spans="1:16" ht="15.75">
      <c r="A48" s="211"/>
      <c r="B48" s="211"/>
      <c r="C48" s="211"/>
      <c r="D48" s="211"/>
      <c r="E48" s="211"/>
      <c r="F48" s="211"/>
      <c r="G48" s="211"/>
      <c r="H48" s="211"/>
      <c r="I48" s="211"/>
      <c r="J48" s="211"/>
      <c r="K48" s="211"/>
      <c r="L48" s="211"/>
      <c r="M48" s="211"/>
      <c r="N48" s="211"/>
      <c r="O48" s="211"/>
      <c r="P48" s="375"/>
    </row>
    <row r="49" spans="1:16" ht="18.75">
      <c r="A49" s="211"/>
      <c r="B49" s="211"/>
      <c r="C49" s="211"/>
      <c r="D49" s="211"/>
      <c r="E49" s="211"/>
      <c r="F49" s="211"/>
      <c r="G49" s="211"/>
      <c r="H49" s="211"/>
      <c r="I49" s="211"/>
      <c r="J49" s="211"/>
      <c r="K49" s="211"/>
      <c r="L49" s="211"/>
      <c r="M49" s="211"/>
      <c r="N49" s="211"/>
      <c r="O49" s="211"/>
      <c r="P49" s="376"/>
    </row>
    <row r="50" spans="1:16" ht="18.75">
      <c r="A50" s="211"/>
      <c r="B50" s="211"/>
      <c r="C50" s="211"/>
      <c r="D50" s="211"/>
      <c r="E50" s="211"/>
      <c r="F50" s="211"/>
      <c r="G50" s="211"/>
      <c r="H50" s="211"/>
      <c r="I50" s="211"/>
      <c r="J50" s="211"/>
      <c r="K50" s="211"/>
      <c r="L50" s="211"/>
      <c r="M50" s="211"/>
      <c r="N50" s="211"/>
      <c r="O50" s="211"/>
      <c r="P50" s="376"/>
    </row>
    <row r="51" spans="1:16" ht="18.75">
      <c r="A51" s="211"/>
      <c r="B51" s="211"/>
      <c r="C51" s="211"/>
      <c r="D51" s="211"/>
      <c r="E51" s="211"/>
      <c r="F51" s="211"/>
      <c r="G51" s="211"/>
      <c r="H51" s="211"/>
      <c r="I51" s="211"/>
      <c r="J51" s="211"/>
      <c r="K51" s="211"/>
      <c r="L51" s="211"/>
      <c r="M51" s="211"/>
      <c r="N51" s="211"/>
      <c r="O51" s="211"/>
      <c r="P51" s="376"/>
    </row>
  </sheetData>
  <sheetProtection password="D1E2" sheet="1" objects="1" scenarios="1" formatCells="0" formatColumns="0" formatRows="0"/>
  <protectedRanges>
    <protectedRange password="DC77" sqref="A23:I24 A43:O43 A44:I44 A1:O22 A25:O41" name="Range1"/>
    <protectedRange password="DC77" sqref="J23:O24 J44:O44" name="Range1_1"/>
  </protectedRanges>
  <mergeCells count="32">
    <mergeCell ref="A28:O29"/>
    <mergeCell ref="A30:F30"/>
    <mergeCell ref="A31:B31"/>
    <mergeCell ref="A32:B32"/>
    <mergeCell ref="A33:B33"/>
    <mergeCell ref="A34:B34"/>
    <mergeCell ref="A35:B35"/>
    <mergeCell ref="A36:B36"/>
    <mergeCell ref="A37:B37"/>
    <mergeCell ref="A38:B38"/>
    <mergeCell ref="A1:O1"/>
    <mergeCell ref="A2:E3"/>
    <mergeCell ref="H2:I3"/>
    <mergeCell ref="F2:G3"/>
    <mergeCell ref="M2:O3"/>
    <mergeCell ref="J2:L3"/>
    <mergeCell ref="A44:C44"/>
    <mergeCell ref="J44:O44"/>
    <mergeCell ref="A23:C23"/>
    <mergeCell ref="A22:C22"/>
    <mergeCell ref="J22:O22"/>
    <mergeCell ref="I30:K30"/>
    <mergeCell ref="A43:C43"/>
    <mergeCell ref="J43:O43"/>
    <mergeCell ref="G30:H30"/>
    <mergeCell ref="L30:M30"/>
    <mergeCell ref="N30:O30"/>
    <mergeCell ref="J23:O23"/>
    <mergeCell ref="A39:B39"/>
    <mergeCell ref="A40:B40"/>
    <mergeCell ref="A41:B41"/>
    <mergeCell ref="A25:O26"/>
  </mergeCells>
  <conditionalFormatting sqref="A52:A65206 P52:P65206 B52:O65208 P23:P24 P27:P31">
    <cfRule type="containsText" dxfId="143" priority="32" stopIfTrue="1" operator="containsText" text="G1">
      <formula>NOT(ISERROR(SEARCH("G1",A23)))</formula>
    </cfRule>
    <cfRule type="containsText" dxfId="142" priority="33" stopIfTrue="1" operator="containsText" text="G2">
      <formula>NOT(ISERROR(SEARCH("G2",A23)))</formula>
    </cfRule>
    <cfRule type="containsText" dxfId="141" priority="34" stopIfTrue="1" operator="containsText" text="G1">
      <formula>NOT(ISERROR(SEARCH("G1",A23)))</formula>
    </cfRule>
    <cfRule type="containsText" dxfId="140" priority="35" stopIfTrue="1" operator="containsText" text="S">
      <formula>NOT(ISERROR(SEARCH("S",A23)))</formula>
    </cfRule>
    <cfRule type="containsText" dxfId="139" priority="36" stopIfTrue="1" operator="containsText" text="F">
      <formula>NOT(ISERROR(SEARCH("F",A23)))</formula>
    </cfRule>
  </conditionalFormatting>
  <conditionalFormatting sqref="P36:P51 C7:C19 A4:A22 B5:B21 C31:O41">
    <cfRule type="cellIs" dxfId="138" priority="31" stopIfTrue="1" operator="equal">
      <formula>0</formula>
    </cfRule>
  </conditionalFormatting>
  <conditionalFormatting sqref="P23:P24 P27:P31">
    <cfRule type="containsText" dxfId="137" priority="28" stopIfTrue="1" operator="containsText" text="RA">
      <formula>NOT(ISERROR(SEARCH("RA",P23)))</formula>
    </cfRule>
    <cfRule type="containsText" dxfId="136" priority="29" stopIfTrue="1" operator="containsText" text="ML">
      <formula>NOT(ISERROR(SEARCH("ML",P23)))</formula>
    </cfRule>
    <cfRule type="containsText" dxfId="135" priority="30" stopIfTrue="1" operator="containsText" text="ML">
      <formula>NOT(ISERROR(SEARCH("ML",P23)))</formula>
    </cfRule>
  </conditionalFormatting>
  <conditionalFormatting sqref="P23:P24 P27:P31">
    <cfRule type="containsText" dxfId="134" priority="27" stopIfTrue="1" operator="containsText" text="S">
      <formula>NOT(ISERROR(SEARCH("S",P23)))</formula>
    </cfRule>
  </conditionalFormatting>
  <conditionalFormatting sqref="A4">
    <cfRule type="cellIs" dxfId="133" priority="20" stopIfTrue="1" operator="equal">
      <formula>0</formula>
    </cfRule>
  </conditionalFormatting>
  <conditionalFormatting sqref="A4">
    <cfRule type="cellIs" dxfId="132" priority="19" stopIfTrue="1" operator="equal">
      <formula>0</formula>
    </cfRule>
  </conditionalFormatting>
  <conditionalFormatting sqref="J23">
    <cfRule type="cellIs" dxfId="131" priority="18" stopIfTrue="1" operator="equal">
      <formula>0</formula>
    </cfRule>
  </conditionalFormatting>
  <conditionalFormatting sqref="J23">
    <cfRule type="containsText" dxfId="130" priority="17" stopIfTrue="1" operator="containsText" text="iwjd">
      <formula>NOT(ISERROR(SEARCH("iwjd",J23)))</formula>
    </cfRule>
  </conditionalFormatting>
  <conditionalFormatting sqref="P44">
    <cfRule type="containsText" dxfId="129" priority="12" stopIfTrue="1" operator="containsText" text="G1">
      <formula>NOT(ISERROR(SEARCH("G1",P44)))</formula>
    </cfRule>
    <cfRule type="containsText" dxfId="128" priority="13" stopIfTrue="1" operator="containsText" text="G2">
      <formula>NOT(ISERROR(SEARCH("G2",P44)))</formula>
    </cfRule>
    <cfRule type="containsText" dxfId="127" priority="14" stopIfTrue="1" operator="containsText" text="G1">
      <formula>NOT(ISERROR(SEARCH("G1",P44)))</formula>
    </cfRule>
    <cfRule type="containsText" dxfId="126" priority="15" stopIfTrue="1" operator="containsText" text="S">
      <formula>NOT(ISERROR(SEARCH("S",P44)))</formula>
    </cfRule>
    <cfRule type="containsText" dxfId="125" priority="16" stopIfTrue="1" operator="containsText" text="F">
      <formula>NOT(ISERROR(SEARCH("F",P44)))</formula>
    </cfRule>
  </conditionalFormatting>
  <conditionalFormatting sqref="A43">
    <cfRule type="cellIs" dxfId="124" priority="11" stopIfTrue="1" operator="equal">
      <formula>0</formula>
    </cfRule>
  </conditionalFormatting>
  <conditionalFormatting sqref="P44">
    <cfRule type="containsText" dxfId="123" priority="8" stopIfTrue="1" operator="containsText" text="RA">
      <formula>NOT(ISERROR(SEARCH("RA",P44)))</formula>
    </cfRule>
    <cfRule type="containsText" dxfId="122" priority="9" stopIfTrue="1" operator="containsText" text="ML">
      <formula>NOT(ISERROR(SEARCH("ML",P44)))</formula>
    </cfRule>
    <cfRule type="containsText" dxfId="121" priority="10" stopIfTrue="1" operator="containsText" text="ML">
      <formula>NOT(ISERROR(SEARCH("ML",P44)))</formula>
    </cfRule>
  </conditionalFormatting>
  <conditionalFormatting sqref="P44">
    <cfRule type="containsText" dxfId="120" priority="7" stopIfTrue="1" operator="containsText" text="S">
      <formula>NOT(ISERROR(SEARCH("S",P44)))</formula>
    </cfRule>
  </conditionalFormatting>
  <conditionalFormatting sqref="J44">
    <cfRule type="cellIs" dxfId="119" priority="6" stopIfTrue="1" operator="equal">
      <formula>0</formula>
    </cfRule>
  </conditionalFormatting>
  <conditionalFormatting sqref="J44">
    <cfRule type="containsText" dxfId="118" priority="5" stopIfTrue="1" operator="containsText" text="iwjd">
      <formula>NOT(ISERROR(SEARCH("iwjd",J44)))</formula>
    </cfRule>
  </conditionalFormatting>
  <conditionalFormatting sqref="A4">
    <cfRule type="cellIs" dxfId="117" priority="4" stopIfTrue="1" operator="equal">
      <formula>0</formula>
    </cfRule>
  </conditionalFormatting>
  <conditionalFormatting sqref="J23">
    <cfRule type="cellIs" dxfId="116" priority="3" stopIfTrue="1" operator="equal">
      <formula>0</formula>
    </cfRule>
  </conditionalFormatting>
  <conditionalFormatting sqref="J23">
    <cfRule type="containsText" dxfId="115" priority="2" stopIfTrue="1" operator="containsText" text="iwjd">
      <formula>NOT(ISERROR(SEARCH("iwjd",J23)))</formula>
    </cfRule>
  </conditionalFormatting>
  <conditionalFormatting sqref="C40:O40">
    <cfRule type="cellIs" dxfId="114" priority="1" operator="equal">
      <formula>0</formula>
    </cfRule>
  </conditionalFormatting>
  <pageMargins left="0.7" right="0.45" top="0.25" bottom="0.25" header="0.3" footer="0.3"/>
  <pageSetup paperSize="9" scale="89" orientation="landscape" horizontalDpi="300" verticalDpi="300" r:id="rId1"/>
</worksheet>
</file>

<file path=xl/worksheets/sheet9.xml><?xml version="1.0" encoding="utf-8"?>
<worksheet xmlns="http://schemas.openxmlformats.org/spreadsheetml/2006/main" xmlns:r="http://schemas.openxmlformats.org/officeDocument/2006/relationships">
  <sheetPr codeName="Sheet8">
    <pageSetUpPr fitToPage="1"/>
  </sheetPr>
  <dimension ref="A1:BZ243"/>
  <sheetViews>
    <sheetView showGridLines="0" view="pageBreakPreview" zoomScaleSheetLayoutView="100" workbookViewId="0">
      <selection activeCell="U15" sqref="U15"/>
    </sheetView>
  </sheetViews>
  <sheetFormatPr defaultColWidth="9.125" defaultRowHeight="0" customHeight="1" zeroHeight="1"/>
  <cols>
    <col min="1" max="1" width="5" style="381" customWidth="1"/>
    <col min="2" max="2" width="6.125" style="381" customWidth="1"/>
    <col min="3" max="3" width="6.25" style="381" customWidth="1"/>
    <col min="4" max="4" width="12" style="381" customWidth="1"/>
    <col min="5" max="5" width="13.75" style="381" customWidth="1"/>
    <col min="6" max="6" width="13.375" style="381" customWidth="1"/>
    <col min="7" max="7" width="14.5" style="381" bestFit="1" customWidth="1"/>
    <col min="8" max="8" width="4.75" style="416" customWidth="1"/>
    <col min="9" max="9" width="4.125" style="416" customWidth="1"/>
    <col min="10" max="10" width="12.875" style="381" customWidth="1"/>
    <col min="11" max="11" width="5.625" style="381" customWidth="1"/>
    <col min="12" max="12" width="8.5" style="381" customWidth="1"/>
    <col min="13" max="14" width="4.375" style="381" customWidth="1"/>
    <col min="15" max="15" width="18.875" style="381" customWidth="1"/>
    <col min="16" max="16" width="6.75" style="381" customWidth="1"/>
    <col min="17" max="17" width="7.625" style="417" customWidth="1"/>
    <col min="18" max="18" width="5" style="418" customWidth="1"/>
    <col min="19" max="19" width="5.625" style="381" customWidth="1"/>
    <col min="20" max="63" width="5.25" style="381" customWidth="1"/>
    <col min="64" max="64" width="5.375" style="381" hidden="1" customWidth="1"/>
    <col min="65" max="65" width="19.375" style="381" hidden="1" customWidth="1"/>
    <col min="66" max="78" width="6.75" style="381" hidden="1" customWidth="1"/>
    <col min="79" max="80" width="9.125" style="381" customWidth="1"/>
    <col min="81" max="16384" width="9.125" style="381"/>
  </cols>
  <sheetData>
    <row r="1" spans="1:78" ht="28.5" customHeight="1" thickTop="1">
      <c r="A1" s="1459" t="str">
        <f>IF('Master Sheet'!D11="Hindi",CONCATENATE("विद्यालय का नाम :-","  ",'Master Sheet'!D8),CONCATENATE("School Name :-","  ",'Master Sheet'!D7))</f>
        <v xml:space="preserve">विद्यालय का नाम :-  महात्मा गाँधी राजकीय विद्यालय (अंग्रेजी माध्यम) बर, पाली </v>
      </c>
      <c r="B1" s="1459"/>
      <c r="C1" s="1459"/>
      <c r="D1" s="1459"/>
      <c r="E1" s="1459"/>
      <c r="F1" s="1459"/>
      <c r="G1" s="1459"/>
      <c r="H1" s="1459"/>
      <c r="I1" s="1459"/>
      <c r="J1" s="1459"/>
      <c r="K1" s="1459"/>
      <c r="L1" s="1459"/>
      <c r="M1" s="1459"/>
      <c r="N1" s="830"/>
      <c r="O1" s="1458" t="str">
        <f>IF('Master Sheet'!D11="Hindi",CONCATENATE("समेकित परीक्षा परिणाम कक्षा "," - ",'Statement of Marks'!D3," तथा विषयवार परिणाम"),CONCATENATE("Aggregate result of the class"," - ",'Statement of Marks'!D3," &amp; Subject-wise Result"))</f>
        <v>समेकित परीक्षा परिणाम कक्षा  - 11 तथा विषयवार परिणाम</v>
      </c>
      <c r="P1" s="1458"/>
      <c r="Q1" s="1458"/>
      <c r="R1" s="1458"/>
      <c r="S1" s="1458"/>
      <c r="BM1" s="1461" t="s">
        <v>79</v>
      </c>
      <c r="BN1" s="1462"/>
      <c r="BO1" s="1462"/>
      <c r="BP1" s="1462"/>
      <c r="BQ1" s="1462"/>
      <c r="BR1" s="1462"/>
      <c r="BS1" s="1462"/>
      <c r="BT1" s="1462"/>
      <c r="BU1" s="1462"/>
      <c r="BV1" s="1462"/>
      <c r="BW1" s="1462"/>
      <c r="BX1" s="1462"/>
      <c r="BY1" s="1462"/>
      <c r="BZ1" s="1463"/>
    </row>
    <row r="2" spans="1:78" ht="21.75" customHeight="1">
      <c r="A2" s="835" t="str">
        <f>IF('Master Sheet'!$D$11="Hindi","कक्षा :-","Class :-")</f>
        <v>कक्षा :-</v>
      </c>
      <c r="B2" s="1467" t="str">
        <f>CONCATENATE('Marks Entry'!H2," '",'Marks Entry'!H3,"'")</f>
        <v>11 'Arts'</v>
      </c>
      <c r="C2" s="1468"/>
      <c r="D2" s="1469" t="str">
        <f>IF('Statement of Marks'!D4="","",'Statement of Marks'!D4)</f>
        <v>जन्मतिथि 
Date of Birth</v>
      </c>
      <c r="E2" s="1469" t="str">
        <f>IF('Statement of Marks'!E4="","",'Statement of Marks'!E4)</f>
        <v>विद्यार्थी का नाम   Name of student</v>
      </c>
      <c r="F2" s="1469" t="str">
        <f>IF('Statement of Marks'!F4="","",'Statement of Marks'!F4)</f>
        <v>पिता का नाम   Father's Name</v>
      </c>
      <c r="G2" s="1469" t="str">
        <f>IF('Statement of Marks'!G4="","",'Statement of Marks'!G4)</f>
        <v>माता का नाम   Mother's Name</v>
      </c>
      <c r="H2" s="1472" t="str">
        <f>IF('Master Sheet'!$D$11="Hindi","सत्र :-","Session :-")</f>
        <v>सत्र :-</v>
      </c>
      <c r="I2" s="1473"/>
      <c r="J2" s="838" t="str">
        <f>'Marks Entry'!H1</f>
        <v>2025-2026</v>
      </c>
      <c r="K2" s="1471" t="str">
        <f>IF('Master Sheet'!D11="Hindi","प्राप्तांक","Marks Obtained")</f>
        <v>प्राप्तांक</v>
      </c>
      <c r="L2" s="1470" t="str">
        <f>IF('Master Sheet'!D11="Hindi","प्रतिशत","Percentage")</f>
        <v>प्रतिशत</v>
      </c>
      <c r="M2" s="1460" t="str">
        <f>IF('Master Sheet'!$D$11="Hindi","श्रेणी","Division")</f>
        <v>श्रेणी</v>
      </c>
      <c r="N2" s="1517" t="str">
        <f>IF('Master Sheet'!D11="Hindi","कक्षा में स्थान","Position in the Class")</f>
        <v>कक्षा में स्थान</v>
      </c>
      <c r="O2" s="1470" t="str">
        <f>IF('Master Sheet'!$D$11="Hindi","पूरक विषय","Supplementary Subject")</f>
        <v>पूरक विषय</v>
      </c>
      <c r="P2" s="1460" t="str">
        <f>IF('Master Sheet'!$D$11="Hindi","पूरक/पुनः परीक्षा का परिणाम","Supp. / Re-exam Result")</f>
        <v>पूरक/पुनः परीक्षा का परिणाम</v>
      </c>
      <c r="Q2" s="1460" t="str">
        <f>IF('Master Sheet'!$D$11="Hindi","पूरक परीक्षा उतीर्ण के बाद प्रतिशत","Percentage  after Passing the Supplementary Exam")</f>
        <v>पूरक परीक्षा उतीर्ण के बाद प्रतिशत</v>
      </c>
      <c r="R2" s="1460" t="str">
        <f>IF('Master Sheet'!$D$11="Hindi","श्रेणी","Division")</f>
        <v>श्रेणी</v>
      </c>
      <c r="S2" s="1460" t="str">
        <f>IF('Master Sheet'!$D$11="Hindi","उपस्थिति","Attendance")</f>
        <v>उपस्थिति</v>
      </c>
      <c r="BM2" s="1464"/>
      <c r="BN2" s="1465"/>
      <c r="BO2" s="1465"/>
      <c r="BP2" s="1465"/>
      <c r="BQ2" s="1465"/>
      <c r="BR2" s="1465"/>
      <c r="BS2" s="1465"/>
      <c r="BT2" s="1465"/>
      <c r="BU2" s="1465"/>
      <c r="BV2" s="1465"/>
      <c r="BW2" s="1465"/>
      <c r="BX2" s="1465"/>
      <c r="BY2" s="1465"/>
      <c r="BZ2" s="1466"/>
    </row>
    <row r="3" spans="1:78" s="382" customFormat="1" ht="59.25" customHeight="1">
      <c r="A3" s="836" t="str">
        <f>IF('Statement of Marks'!A4="","",'Statement of Marks'!A4)</f>
        <v xml:space="preserve">क्रमांक </v>
      </c>
      <c r="B3" s="836" t="str">
        <f>IF('Statement of Marks'!B4="","",'Statement of Marks'!B4)</f>
        <v xml:space="preserve">नामांक
Roll No. </v>
      </c>
      <c r="C3" s="836" t="str">
        <f>IF('Statement of Marks'!C4="","",'Statement of Marks'!C4)</f>
        <v xml:space="preserve">प्रवेशांक
SR. No. </v>
      </c>
      <c r="D3" s="1470"/>
      <c r="E3" s="1470"/>
      <c r="F3" s="1470"/>
      <c r="G3" s="1470"/>
      <c r="H3" s="837" t="str">
        <f>'Marks Entry'!I3</f>
        <v>जाति वर्ग  (Category)</v>
      </c>
      <c r="I3" s="837" t="str">
        <f>'Marks Entry'!J3</f>
        <v>लिंग  (Gender)</v>
      </c>
      <c r="J3" s="691" t="str">
        <f>IF('Master Sheet'!D11="Hindi","परिणाम ","Result")</f>
        <v xml:space="preserve">परिणाम </v>
      </c>
      <c r="K3" s="1460"/>
      <c r="L3" s="1470"/>
      <c r="M3" s="1460"/>
      <c r="N3" s="1518"/>
      <c r="O3" s="1470"/>
      <c r="P3" s="1460"/>
      <c r="Q3" s="1460"/>
      <c r="R3" s="1460"/>
      <c r="S3" s="1460"/>
      <c r="BM3" s="383" t="str">
        <f>'[1]statement of marks'!G4</f>
        <v>Nk= @ Nk=k dk uke</v>
      </c>
      <c r="BN3" s="384" t="s">
        <v>80</v>
      </c>
      <c r="BO3" s="384" t="s">
        <v>81</v>
      </c>
      <c r="BP3" s="384" t="s">
        <v>82</v>
      </c>
      <c r="BQ3" s="384" t="s">
        <v>83</v>
      </c>
      <c r="BR3" s="384" t="s">
        <v>84</v>
      </c>
      <c r="BS3" s="384" t="s">
        <v>85</v>
      </c>
      <c r="BT3" s="384" t="s">
        <v>86</v>
      </c>
      <c r="BU3" s="384" t="s">
        <v>87</v>
      </c>
      <c r="BV3" s="384" t="s">
        <v>88</v>
      </c>
      <c r="BW3" s="384" t="s">
        <v>89</v>
      </c>
      <c r="BX3" s="384" t="s">
        <v>90</v>
      </c>
      <c r="BY3" s="384" t="s">
        <v>91</v>
      </c>
      <c r="BZ3" s="385" t="s">
        <v>92</v>
      </c>
    </row>
    <row r="4" spans="1:78" ht="14.1" customHeight="1">
      <c r="A4" s="386">
        <f>IF('Statement of Marks'!A8="","",'Statement of Marks'!A8)</f>
        <v>1</v>
      </c>
      <c r="B4" s="840">
        <f>IF('Statement of Marks'!B8="","",'Statement of Marks'!B8)</f>
        <v>1101</v>
      </c>
      <c r="C4" s="841">
        <f>IF('Statement of Marks'!C8="","",'Statement of Marks'!C8)</f>
        <v>230</v>
      </c>
      <c r="D4" s="833">
        <f>IF('Statement of Marks'!D8="","",'Statement of Marks'!D8)</f>
        <v>37622</v>
      </c>
      <c r="E4" s="387" t="str">
        <f>IF('Statement of Marks'!E8="","",'Statement of Marks'!E8)</f>
        <v>A</v>
      </c>
      <c r="F4" s="387" t="str">
        <f>IF('Statement of Marks'!F8="","",'Statement of Marks'!F8)</f>
        <v>X</v>
      </c>
      <c r="G4" s="387" t="str">
        <f>IF('Statement of Marks'!G8="","",'Statement of Marks'!G8)</f>
        <v>M</v>
      </c>
      <c r="H4" s="388" t="str">
        <f>IF('Statement of Marks'!H8="","",'Statement of Marks'!H8)</f>
        <v>GEN</v>
      </c>
      <c r="I4" s="388" t="str">
        <f>IF('Statement of Marks'!I8="","",'Statement of Marks'!I8)</f>
        <v>M</v>
      </c>
      <c r="J4" s="598" t="str">
        <f>IF('Statement of Marks'!GY8="","",'Statement of Marks'!GY8)</f>
        <v>PASS</v>
      </c>
      <c r="K4" s="834">
        <f>IF(B4="","",IF('Statement of Marks'!GZ8="","",'Statement of Marks'!GZ8))</f>
        <v>702</v>
      </c>
      <c r="L4" s="839">
        <f>IF('Statement of Marks'!HC8="","",'Statement of Marks'!HC8)</f>
        <v>70.909090909090907</v>
      </c>
      <c r="M4" s="389" t="str">
        <f>IF('Statement of Marks'!HB8="","",'Statement of Marks'!HB8)</f>
        <v>I</v>
      </c>
      <c r="N4" s="610">
        <f>IF('Statement of Marks'!HD8="","",'Statement of Marks'!HD8)</f>
        <v>1.0000000000000027</v>
      </c>
      <c r="O4" s="390" t="str">
        <f>IF(J4="FAIL","",IF('Statement of Marks'!GU8="","",'Statement of Marks'!GU8))</f>
        <v xml:space="preserve">    </v>
      </c>
      <c r="P4" s="391" t="str">
        <f>IF('Supp. Result Entry'!AS7="","",'Supp. Result Entry'!AS7)</f>
        <v/>
      </c>
      <c r="Q4" s="392" t="str">
        <f>IF('Supp. Result Entry'!AT7="","",'Supp. Result Entry'!AT7)</f>
        <v/>
      </c>
      <c r="R4" s="393" t="str">
        <f>IF('Statement of Marks'!HG8="","",'Statement of Marks'!HG8)</f>
        <v/>
      </c>
      <c r="S4" s="394">
        <f>IF('Statement of Marks'!FH8="","",'Statement of Marks'!FH8)</f>
        <v>340</v>
      </c>
      <c r="BM4" s="395" t="str">
        <f>'Statement of Marks'!E8</f>
        <v>A</v>
      </c>
      <c r="BN4" s="396" t="str">
        <f>IFERROR(IF(AND(M4="",R4="",H4="SC",I4="M"),J4,IF(AND(M4="",H4="SC",I4="M"),R4,IF(AND(R4="",H4="SC",I4="M"),M4,""))),"")</f>
        <v/>
      </c>
      <c r="BO4" s="396" t="str">
        <f>IFERROR(IF(AND(M4="",R4="",H4="SC",I4="F"),J4,IF(AND(M4="",H4="SC",I4="F"),R4,IF(AND(R4="",H4="SC",I4="F"),M4,""))),"")</f>
        <v/>
      </c>
      <c r="BP4" s="396" t="str">
        <f>IFERROR(IF(AND(M4="",R4="",H4="ST",I4="M"),J4,IF(AND(M4="",H4="ST",I4="M"),R4,IF(AND(R4="",H4="ST",I4="M"),M4,""))),"")</f>
        <v/>
      </c>
      <c r="BQ4" s="396" t="str">
        <f>IFERROR(IF(AND(M4="",R4="",H4="ST",I4="F"),J4,IF(AND(M4="",H4="ST",I4="F"),R4,IF(AND(R4="",H4="ST",I4="F"),M4,""))),"")</f>
        <v/>
      </c>
      <c r="BR4" s="396" t="str">
        <f>IFERROR(IF(AND(M4="",R4="",H4="OBC",I4="M"),J4,IF(AND(M4="",H4="OBC",I4="M"),R4,IF(AND(R4="",H4="OBC",I4="M"),M4,""))),"")</f>
        <v/>
      </c>
      <c r="BS4" s="396" t="str">
        <f>IFERROR(IF(AND(M4="",R4="",H4="OBC",I4="F"),J4,IF(AND(M4="",H4="OBC",I4="F"),R4,IF(AND(R4="",H4="OBC",I4="F"),M4,""))),"")</f>
        <v/>
      </c>
      <c r="BT4" s="396" t="str">
        <f>IFERROR(IF(AND(M4="",R4="",H4="GEN",I4="M"),J4,IF(AND(M4="",H4="GEN",I4="M"),R4,IF(AND(R4="",H4="GEN",I4="M"),M4,""))),"")</f>
        <v>I</v>
      </c>
      <c r="BU4" s="396" t="str">
        <f>IFERROR(IF(AND(M4="",R4="",H4="GEN",I4="F"),J4,IF(AND(M4="",H4="GEN",I4="F"),R4,IF(AND(R4="",H4="GEN",I4="F"),M4,""))),"")</f>
        <v/>
      </c>
      <c r="BV4" s="396" t="str">
        <f>IFERROR(IF(AND(M4="",R4="",H4="MIN",I4="M"),J4,IF(AND(M4="",H4="MIN",I4="M"),R4,IF(AND(R4="",H4="MIN",I4="M"),M4,""))),"")</f>
        <v/>
      </c>
      <c r="BW4" s="396" t="str">
        <f>IFERROR(IF(AND(M4="",R4="",H4="MIN",I4="F"),J4,IF(AND(M4="",H4="MIN",I4="F"),R4,IF(AND(R4="",H4="MIN",I4="F"),M4,""))),"")</f>
        <v/>
      </c>
      <c r="BX4" s="396" t="str">
        <f>IFERROR(IF(AND(M4="",R4="",H4="SBC",I4="M"),J4,IF(AND(M4="",H4="SBC",I4="M"),R4,IF(AND(R4="",H4="SBC",I4="M"),M4,""))),"")</f>
        <v/>
      </c>
      <c r="BY4" s="396" t="str">
        <f>IFERROR(IF(AND(M4="",R4="",H4="SBC",I4="F"),J4,IF(AND(M4="",H4="SBC",I4="F"),R4,IF(AND(R4="",H4="SBC",I4="F"),M4,""))),"")</f>
        <v/>
      </c>
      <c r="BZ4" s="397"/>
    </row>
    <row r="5" spans="1:78" ht="14.1" customHeight="1">
      <c r="A5" s="386">
        <f>IF('Statement of Marks'!A9="","",'Statement of Marks'!A9)</f>
        <v>2</v>
      </c>
      <c r="B5" s="840">
        <f>IF('Statement of Marks'!B9="","",'Statement of Marks'!B9)</f>
        <v>1102</v>
      </c>
      <c r="C5" s="841">
        <f>IF('Statement of Marks'!C9="","",'Statement of Marks'!C9)</f>
        <v>231</v>
      </c>
      <c r="D5" s="833">
        <f>IF('Statement of Marks'!D9="","",'Statement of Marks'!D9)</f>
        <v>38090</v>
      </c>
      <c r="E5" s="387" t="str">
        <f>IF('Statement of Marks'!E9="","",'Statement of Marks'!E9)</f>
        <v>B</v>
      </c>
      <c r="F5" s="387" t="str">
        <f>IF('Statement of Marks'!F9="","",'Statement of Marks'!F9)</f>
        <v>Y</v>
      </c>
      <c r="G5" s="387" t="str">
        <f>IF('Statement of Marks'!G9="","",'Statement of Marks'!G9)</f>
        <v>N</v>
      </c>
      <c r="H5" s="388" t="str">
        <f>IF('Statement of Marks'!H9="","",'Statement of Marks'!H9)</f>
        <v>OBC</v>
      </c>
      <c r="I5" s="388" t="str">
        <f>IF('Statement of Marks'!I9="","",'Statement of Marks'!I9)</f>
        <v>M</v>
      </c>
      <c r="J5" s="598" t="str">
        <f>IF('Statement of Marks'!GY9="","",'Statement of Marks'!GY9)</f>
        <v>BY GRACE PASS</v>
      </c>
      <c r="K5" s="834">
        <f>IF(B5="","",IF('Statement of Marks'!GZ9="","",'Statement of Marks'!GZ9))</f>
        <v>597</v>
      </c>
      <c r="L5" s="839">
        <f>IF('Statement of Marks'!HC9="","",'Statement of Marks'!HC9)</f>
        <v>59.699999999999996</v>
      </c>
      <c r="M5" s="389" t="str">
        <f>IF('Statement of Marks'!HB9="","",'Statement of Marks'!HB9)</f>
        <v>II</v>
      </c>
      <c r="N5" s="610">
        <f>IF('Statement of Marks'!HD9="","",'Statement of Marks'!HD9)</f>
        <v>4.9999999999999432</v>
      </c>
      <c r="O5" s="390" t="str">
        <f>IF(J5="FAIL","",IF('Statement of Marks'!GU9="","",'Statement of Marks'!GU9))</f>
        <v xml:space="preserve">    </v>
      </c>
      <c r="P5" s="391" t="str">
        <f>IF('Supp. Result Entry'!AS8="","",'Supp. Result Entry'!AS8)</f>
        <v/>
      </c>
      <c r="Q5" s="392" t="str">
        <f>IF('Supp. Result Entry'!AT8="","",'Supp. Result Entry'!AT8)</f>
        <v/>
      </c>
      <c r="R5" s="393" t="str">
        <f>IF('Statement of Marks'!HG9="","",'Statement of Marks'!HG9)</f>
        <v/>
      </c>
      <c r="S5" s="394">
        <f>IF('Statement of Marks'!FH9="","",'Statement of Marks'!FH9)</f>
        <v>344</v>
      </c>
      <c r="BM5" s="395" t="str">
        <f>'Statement of Marks'!E9</f>
        <v>B</v>
      </c>
      <c r="BN5" s="396" t="str">
        <f t="shared" ref="BN5:BN68" si="0">IFERROR(IF(AND(M5="",R5="",H5="SC",I5="M"),J5,IF(AND(M5="",H5="SC",I5="M"),R5,IF(AND(R5="",H5="SC",I5="M"),M5,""))),"")</f>
        <v/>
      </c>
      <c r="BO5" s="396" t="str">
        <f t="shared" ref="BO5:BO68" si="1">IFERROR(IF(AND(M5="",R5="",H5="SC",I5="F"),J5,IF(AND(M5="",H5="SC",I5="F"),R5,IF(AND(R5="",H5="SC",I5="F"),M5,""))),"")</f>
        <v/>
      </c>
      <c r="BP5" s="396" t="str">
        <f t="shared" ref="BP5:BP68" si="2">IFERROR(IF(AND(M5="",R5="",H5="ST",I5="M"),J5,IF(AND(M5="",H5="ST",I5="M"),R5,IF(AND(R5="",H5="ST",I5="M"),M5,""))),"")</f>
        <v/>
      </c>
      <c r="BQ5" s="396" t="str">
        <f t="shared" ref="BQ5:BQ68" si="3">IFERROR(IF(AND(M5="",R5="",H5="ST",I5="F"),J5,IF(AND(M5="",H5="ST",I5="F"),R5,IF(AND(R5="",H5="ST",I5="F"),M5,""))),"")</f>
        <v/>
      </c>
      <c r="BR5" s="396" t="str">
        <f t="shared" ref="BR5:BR68" si="4">IFERROR(IF(AND(M5="",R5="",H5="OBC",I5="M"),J5,IF(AND(M5="",H5="OBC",I5="M"),R5,IF(AND(R5="",H5="OBC",I5="M"),M5,""))),"")</f>
        <v>II</v>
      </c>
      <c r="BS5" s="396" t="str">
        <f t="shared" ref="BS5:BS68" si="5">IFERROR(IF(AND(M5="",R5="",H5="OBC",I5="F"),J5,IF(AND(M5="",H5="OBC",I5="F"),R5,IF(AND(R5="",H5="OBC",I5="F"),M5,""))),"")</f>
        <v/>
      </c>
      <c r="BT5" s="396" t="str">
        <f t="shared" ref="BT5:BT68" si="6">IFERROR(IF(AND(M5="",R5="",H5="GEN",I5="M"),J5,IF(AND(M5="",H5="GEN",I5="M"),R5,IF(AND(R5="",H5="GEN",I5="M"),M5,""))),"")</f>
        <v/>
      </c>
      <c r="BU5" s="396" t="str">
        <f t="shared" ref="BU5:BU68" si="7">IFERROR(IF(AND(M5="",R5="",H5="GEN",I5="F"),J5,IF(AND(M5="",H5="GEN",I5="F"),R5,IF(AND(R5="",H5="GEN",I5="F"),M5,""))),"")</f>
        <v/>
      </c>
      <c r="BV5" s="396" t="str">
        <f t="shared" ref="BV5:BV68" si="8">IFERROR(IF(AND(M5="",R5="",H5="MIN",I5="M"),J5,IF(AND(M5="",H5="MIN",I5="M"),R5,IF(AND(R5="",H5="MIN",I5="M"),M5,""))),"")</f>
        <v/>
      </c>
      <c r="BW5" s="396" t="str">
        <f t="shared" ref="BW5:BW68" si="9">IFERROR(IF(AND(M5="",R5="",H5="MIN",I5="F"),J5,IF(AND(M5="",H5="MIN",I5="F"),R5,IF(AND(R5="",H5="MIN",I5="F"),M5,""))),"")</f>
        <v/>
      </c>
      <c r="BX5" s="396" t="str">
        <f t="shared" ref="BX5:BX68" si="10">IFERROR(IF(AND(M5="",R5="",H5="SBC",I5="M"),J5,IF(AND(M5="",H5="SBC",I5="M"),R5,IF(AND(R5="",H5="SBC",I5="M"),M5,""))),"")</f>
        <v/>
      </c>
      <c r="BY5" s="396" t="str">
        <f t="shared" ref="BY5:BY68" si="11">IFERROR(IF(AND(M5="",R5="",H5="SBC",I5="F"),J5,IF(AND(M5="",H5="SBC",I5="F"),R5,IF(AND(R5="",H5="SBC",I5="F"),M5,""))),"")</f>
        <v/>
      </c>
      <c r="BZ5" s="397"/>
    </row>
    <row r="6" spans="1:78" ht="14.1" customHeight="1">
      <c r="A6" s="386">
        <f>IF('Statement of Marks'!A10="","",'Statement of Marks'!A10)</f>
        <v>3</v>
      </c>
      <c r="B6" s="840">
        <f>IF('Statement of Marks'!B10="","",'Statement of Marks'!B10)</f>
        <v>1103</v>
      </c>
      <c r="C6" s="841">
        <f>IF('Statement of Marks'!C10="","",'Statement of Marks'!C10)</f>
        <v>555</v>
      </c>
      <c r="D6" s="833">
        <f>IF('Statement of Marks'!D10="","",'Statement of Marks'!D10)</f>
        <v>38414</v>
      </c>
      <c r="E6" s="387" t="str">
        <f>IF('Statement of Marks'!E10="","",'Statement of Marks'!E10)</f>
        <v>C</v>
      </c>
      <c r="F6" s="387" t="str">
        <f>IF('Statement of Marks'!F10="","",'Statement of Marks'!F10)</f>
        <v>Z</v>
      </c>
      <c r="G6" s="387" t="str">
        <f>IF('Statement of Marks'!G10="","",'Statement of Marks'!G10)</f>
        <v>O</v>
      </c>
      <c r="H6" s="388" t="str">
        <f>IF('Statement of Marks'!H10="","",'Statement of Marks'!H10)</f>
        <v>SC</v>
      </c>
      <c r="I6" s="388" t="str">
        <f>IF('Statement of Marks'!I10="","",'Statement of Marks'!I10)</f>
        <v>F</v>
      </c>
      <c r="J6" s="598" t="str">
        <f>IF('Statement of Marks'!GY10="","",'Statement of Marks'!GY10)</f>
        <v>PASS</v>
      </c>
      <c r="K6" s="834">
        <f>IF(B6="","",IF('Statement of Marks'!GZ10="","",'Statement of Marks'!GZ10))</f>
        <v>641</v>
      </c>
      <c r="L6" s="839">
        <f>IF('Statement of Marks'!HC10="","",'Statement of Marks'!HC10)</f>
        <v>64.099999999999994</v>
      </c>
      <c r="M6" s="389" t="str">
        <f>IF('Statement of Marks'!HB10="","",'Statement of Marks'!HB10)</f>
        <v>I</v>
      </c>
      <c r="N6" s="610">
        <f>IF('Statement of Marks'!HD10="","",'Statement of Marks'!HD10)</f>
        <v>4.0000000000000284</v>
      </c>
      <c r="O6" s="390" t="str">
        <f>IF(J6="FAIL","",IF('Statement of Marks'!GU10="","",'Statement of Marks'!GU10))</f>
        <v xml:space="preserve">    </v>
      </c>
      <c r="P6" s="391" t="str">
        <f>IF('Supp. Result Entry'!AS9="","",'Supp. Result Entry'!AS9)</f>
        <v/>
      </c>
      <c r="Q6" s="392" t="str">
        <f>IF('Supp. Result Entry'!AT9="","",'Supp. Result Entry'!AT9)</f>
        <v/>
      </c>
      <c r="R6" s="393" t="str">
        <f>IF('Statement of Marks'!HG10="","",'Statement of Marks'!HG10)</f>
        <v/>
      </c>
      <c r="S6" s="394">
        <f>IF('Statement of Marks'!FH10="","",'Statement of Marks'!FH10)</f>
        <v>346</v>
      </c>
      <c r="BM6" s="395" t="str">
        <f>'Statement of Marks'!E10</f>
        <v>C</v>
      </c>
      <c r="BN6" s="396" t="str">
        <f t="shared" si="0"/>
        <v/>
      </c>
      <c r="BO6" s="396" t="str">
        <f t="shared" si="1"/>
        <v>I</v>
      </c>
      <c r="BP6" s="396" t="str">
        <f t="shared" si="2"/>
        <v/>
      </c>
      <c r="BQ6" s="396" t="str">
        <f t="shared" si="3"/>
        <v/>
      </c>
      <c r="BR6" s="396" t="str">
        <f t="shared" si="4"/>
        <v/>
      </c>
      <c r="BS6" s="396" t="str">
        <f t="shared" si="5"/>
        <v/>
      </c>
      <c r="BT6" s="396" t="str">
        <f t="shared" si="6"/>
        <v/>
      </c>
      <c r="BU6" s="396" t="str">
        <f t="shared" si="7"/>
        <v/>
      </c>
      <c r="BV6" s="396" t="str">
        <f t="shared" si="8"/>
        <v/>
      </c>
      <c r="BW6" s="396" t="str">
        <f t="shared" si="9"/>
        <v/>
      </c>
      <c r="BX6" s="396" t="str">
        <f t="shared" si="10"/>
        <v/>
      </c>
      <c r="BY6" s="396" t="str">
        <f t="shared" si="11"/>
        <v/>
      </c>
      <c r="BZ6" s="397"/>
    </row>
    <row r="7" spans="1:78" ht="14.1" customHeight="1">
      <c r="A7" s="386">
        <f>IF('Statement of Marks'!A11="","",'Statement of Marks'!A11)</f>
        <v>4</v>
      </c>
      <c r="B7" s="840">
        <f>IF('Statement of Marks'!B11="","",'Statement of Marks'!B11)</f>
        <v>1104</v>
      </c>
      <c r="C7" s="841">
        <f>IF('Statement of Marks'!C11="","",'Statement of Marks'!C11)</f>
        <v>444</v>
      </c>
      <c r="D7" s="833">
        <f>IF('Statement of Marks'!D11="","",'Statement of Marks'!D11)</f>
        <v>38874</v>
      </c>
      <c r="E7" s="387" t="str">
        <f>IF('Statement of Marks'!E11="","",'Statement of Marks'!E11)</f>
        <v>D</v>
      </c>
      <c r="F7" s="387" t="str">
        <f>IF('Statement of Marks'!F11="","",'Statement of Marks'!F11)</f>
        <v>W</v>
      </c>
      <c r="G7" s="387" t="str">
        <f>IF('Statement of Marks'!G11="","",'Statement of Marks'!G11)</f>
        <v>P</v>
      </c>
      <c r="H7" s="388" t="str">
        <f>IF('Statement of Marks'!H11="","",'Statement of Marks'!H11)</f>
        <v>ST</v>
      </c>
      <c r="I7" s="388" t="str">
        <f>IF('Statement of Marks'!I11="","",'Statement of Marks'!I11)</f>
        <v>M</v>
      </c>
      <c r="J7" s="598" t="str">
        <f>IF('Statement of Marks'!GY11="","",'Statement of Marks'!GY11)</f>
        <v>PASS</v>
      </c>
      <c r="K7" s="834">
        <f>IF(B7="","",IF('Statement of Marks'!GZ11="","",'Statement of Marks'!GZ11))</f>
        <v>647</v>
      </c>
      <c r="L7" s="839">
        <f>IF('Statement of Marks'!HC11="","",'Statement of Marks'!HC11)</f>
        <v>64.7</v>
      </c>
      <c r="M7" s="389" t="str">
        <f>IF('Statement of Marks'!HB11="","",'Statement of Marks'!HB11)</f>
        <v>I</v>
      </c>
      <c r="N7" s="610">
        <f>IF('Statement of Marks'!HD11="","",'Statement of Marks'!HD11)</f>
        <v>3.0000000000000284</v>
      </c>
      <c r="O7" s="390" t="str">
        <f>IF(J7="FAIL","",IF('Statement of Marks'!GU11="","",'Statement of Marks'!GU11))</f>
        <v xml:space="preserve">    </v>
      </c>
      <c r="P7" s="391" t="str">
        <f>IF('Supp. Result Entry'!AS10="","",'Supp. Result Entry'!AS10)</f>
        <v/>
      </c>
      <c r="Q7" s="392" t="str">
        <f>IF('Supp. Result Entry'!AT10="","",'Supp. Result Entry'!AT10)</f>
        <v/>
      </c>
      <c r="R7" s="393" t="str">
        <f>IF('Statement of Marks'!HG11="","",'Statement of Marks'!HG11)</f>
        <v/>
      </c>
      <c r="S7" s="394">
        <f>IF('Statement of Marks'!FH11="","",'Statement of Marks'!FH11)</f>
        <v>330</v>
      </c>
      <c r="BM7" s="395" t="str">
        <f>'Statement of Marks'!E11</f>
        <v>D</v>
      </c>
      <c r="BN7" s="396" t="str">
        <f t="shared" si="0"/>
        <v/>
      </c>
      <c r="BO7" s="396" t="str">
        <f t="shared" si="1"/>
        <v/>
      </c>
      <c r="BP7" s="396" t="str">
        <f t="shared" si="2"/>
        <v>I</v>
      </c>
      <c r="BQ7" s="396" t="str">
        <f t="shared" si="3"/>
        <v/>
      </c>
      <c r="BR7" s="396" t="str">
        <f t="shared" si="4"/>
        <v/>
      </c>
      <c r="BS7" s="396" t="str">
        <f t="shared" si="5"/>
        <v/>
      </c>
      <c r="BT7" s="396" t="str">
        <f t="shared" si="6"/>
        <v/>
      </c>
      <c r="BU7" s="396" t="str">
        <f t="shared" si="7"/>
        <v/>
      </c>
      <c r="BV7" s="396" t="str">
        <f t="shared" si="8"/>
        <v/>
      </c>
      <c r="BW7" s="396" t="str">
        <f t="shared" si="9"/>
        <v/>
      </c>
      <c r="BX7" s="396" t="str">
        <f t="shared" si="10"/>
        <v/>
      </c>
      <c r="BY7" s="396" t="str">
        <f t="shared" si="11"/>
        <v/>
      </c>
      <c r="BZ7" s="397"/>
    </row>
    <row r="8" spans="1:78" ht="14.1" customHeight="1">
      <c r="A8" s="386">
        <f>IF('Statement of Marks'!A12="","",'Statement of Marks'!A12)</f>
        <v>5</v>
      </c>
      <c r="B8" s="840">
        <f>IF('Statement of Marks'!B12="","",'Statement of Marks'!B12)</f>
        <v>1105</v>
      </c>
      <c r="C8" s="841">
        <f>IF('Statement of Marks'!C12="","",'Statement of Marks'!C12)</f>
        <v>333</v>
      </c>
      <c r="D8" s="833">
        <f>IF('Statement of Marks'!D12="","",'Statement of Marks'!D12)</f>
        <v>39270</v>
      </c>
      <c r="E8" s="387" t="str">
        <f>IF('Statement of Marks'!E12="","",'Statement of Marks'!E12)</f>
        <v>E</v>
      </c>
      <c r="F8" s="387" t="str">
        <f>IF('Statement of Marks'!F12="","",'Statement of Marks'!F12)</f>
        <v>V</v>
      </c>
      <c r="G8" s="387" t="str">
        <f>IF('Statement of Marks'!G12="","",'Statement of Marks'!G12)</f>
        <v>Q</v>
      </c>
      <c r="H8" s="388" t="str">
        <f>IF('Statement of Marks'!H12="","",'Statement of Marks'!H12)</f>
        <v>SBC</v>
      </c>
      <c r="I8" s="388" t="str">
        <f>IF('Statement of Marks'!I12="","",'Statement of Marks'!I12)</f>
        <v>F</v>
      </c>
      <c r="J8" s="598" t="str">
        <f>IF('Statement of Marks'!GY12="","",'Statement of Marks'!GY12)</f>
        <v>PASS</v>
      </c>
      <c r="K8" s="834">
        <f>IF(B8="","",IF('Statement of Marks'!GZ12="","",'Statement of Marks'!GZ12))</f>
        <v>686</v>
      </c>
      <c r="L8" s="839">
        <f>IF('Statement of Marks'!HC12="","",'Statement of Marks'!HC12)</f>
        <v>68.600000000000009</v>
      </c>
      <c r="M8" s="389" t="str">
        <f>IF('Statement of Marks'!HB12="","",'Statement of Marks'!HB12)</f>
        <v>I</v>
      </c>
      <c r="N8" s="610">
        <f>IF('Statement of Marks'!HD12="","",'Statement of Marks'!HD12)</f>
        <v>1.9999999999999858</v>
      </c>
      <c r="O8" s="390" t="str">
        <f>IF(J8="FAIL","",IF('Statement of Marks'!GU12="","",'Statement of Marks'!GU12))</f>
        <v xml:space="preserve">    </v>
      </c>
      <c r="P8" s="391" t="str">
        <f>IF('Supp. Result Entry'!AS11="","",'Supp. Result Entry'!AS11)</f>
        <v/>
      </c>
      <c r="Q8" s="392" t="str">
        <f>IF('Supp. Result Entry'!AT11="","",'Supp. Result Entry'!AT11)</f>
        <v/>
      </c>
      <c r="R8" s="393" t="str">
        <f>IF('Statement of Marks'!HG12="","",'Statement of Marks'!HG12)</f>
        <v/>
      </c>
      <c r="S8" s="394">
        <f>IF('Statement of Marks'!FH12="","",'Statement of Marks'!FH12)</f>
        <v>318</v>
      </c>
      <c r="BM8" s="395" t="str">
        <f>'Statement of Marks'!E12</f>
        <v>E</v>
      </c>
      <c r="BN8" s="396" t="str">
        <f t="shared" si="0"/>
        <v/>
      </c>
      <c r="BO8" s="396" t="str">
        <f t="shared" si="1"/>
        <v/>
      </c>
      <c r="BP8" s="396" t="str">
        <f t="shared" si="2"/>
        <v/>
      </c>
      <c r="BQ8" s="396" t="str">
        <f t="shared" si="3"/>
        <v/>
      </c>
      <c r="BR8" s="396" t="str">
        <f t="shared" si="4"/>
        <v/>
      </c>
      <c r="BS8" s="396" t="str">
        <f t="shared" si="5"/>
        <v/>
      </c>
      <c r="BT8" s="396" t="str">
        <f t="shared" si="6"/>
        <v/>
      </c>
      <c r="BU8" s="396" t="str">
        <f t="shared" si="7"/>
        <v/>
      </c>
      <c r="BV8" s="396" t="str">
        <f t="shared" si="8"/>
        <v/>
      </c>
      <c r="BW8" s="396" t="str">
        <f t="shared" si="9"/>
        <v/>
      </c>
      <c r="BX8" s="396" t="str">
        <f t="shared" si="10"/>
        <v/>
      </c>
      <c r="BY8" s="396" t="str">
        <f t="shared" si="11"/>
        <v>I</v>
      </c>
      <c r="BZ8" s="397"/>
    </row>
    <row r="9" spans="1:78" ht="14.1" customHeight="1">
      <c r="A9" s="386">
        <f>IF('Statement of Marks'!A13="","",'Statement of Marks'!A13)</f>
        <v>6</v>
      </c>
      <c r="B9" s="840">
        <f>IF('Statement of Marks'!B13="","",'Statement of Marks'!B13)</f>
        <v>1106</v>
      </c>
      <c r="C9" s="841">
        <f>IF('Statement of Marks'!C13="","",'Statement of Marks'!C13)</f>
        <v>666</v>
      </c>
      <c r="D9" s="833">
        <f>IF('Statement of Marks'!D13="","",'Statement of Marks'!D13)</f>
        <v>39668</v>
      </c>
      <c r="E9" s="387" t="str">
        <f>IF('Statement of Marks'!E13="","",'Statement of Marks'!E13)</f>
        <v>F</v>
      </c>
      <c r="F9" s="387" t="str">
        <f>IF('Statement of Marks'!F13="","",'Statement of Marks'!F13)</f>
        <v>U</v>
      </c>
      <c r="G9" s="387" t="str">
        <f>IF('Statement of Marks'!G13="","",'Statement of Marks'!G13)</f>
        <v>R</v>
      </c>
      <c r="H9" s="388" t="str">
        <f>IF('Statement of Marks'!H13="","",'Statement of Marks'!H13)</f>
        <v>OBC</v>
      </c>
      <c r="I9" s="388" t="str">
        <f>IF('Statement of Marks'!I13="","",'Statement of Marks'!I13)</f>
        <v>M</v>
      </c>
      <c r="J9" s="598" t="str">
        <f>IF('Statement of Marks'!GY13="","",'Statement of Marks'!GY13)</f>
        <v>PASS</v>
      </c>
      <c r="K9" s="834">
        <f>IF(B9="","",IF('Statement of Marks'!GZ13="","",'Statement of Marks'!GZ13))</f>
        <v>561</v>
      </c>
      <c r="L9" s="839">
        <f>IF('Statement of Marks'!HC13="","",'Statement of Marks'!HC13)</f>
        <v>56.100000000000009</v>
      </c>
      <c r="M9" s="389" t="str">
        <f>IF('Statement of Marks'!HB13="","",'Statement of Marks'!HB13)</f>
        <v>II</v>
      </c>
      <c r="N9" s="610">
        <f>IF('Statement of Marks'!HD13="","",'Statement of Marks'!HD13)</f>
        <v>5.9999999999999432</v>
      </c>
      <c r="O9" s="390" t="str">
        <f>IF(J9="FAIL","",IF('Statement of Marks'!GU13="","",'Statement of Marks'!GU13))</f>
        <v xml:space="preserve">    </v>
      </c>
      <c r="P9" s="391" t="str">
        <f>IF('Supp. Result Entry'!AS12="","",'Supp. Result Entry'!AS12)</f>
        <v/>
      </c>
      <c r="Q9" s="392" t="str">
        <f>IF('Supp. Result Entry'!AT12="","",'Supp. Result Entry'!AT12)</f>
        <v/>
      </c>
      <c r="R9" s="393" t="str">
        <f>IF('Statement of Marks'!HG13="","",'Statement of Marks'!HG13)</f>
        <v/>
      </c>
      <c r="S9" s="394">
        <f>IF('Statement of Marks'!FH13="","",'Statement of Marks'!FH13)</f>
        <v>310</v>
      </c>
      <c r="T9" s="398"/>
      <c r="U9" s="398"/>
      <c r="V9" s="398"/>
      <c r="W9" s="398"/>
      <c r="X9" s="398"/>
      <c r="Y9" s="398"/>
      <c r="Z9" s="398"/>
      <c r="AA9" s="398"/>
      <c r="AB9" s="398"/>
      <c r="AC9" s="398"/>
      <c r="AD9" s="398"/>
      <c r="AE9" s="398"/>
      <c r="AF9" s="398"/>
      <c r="AG9" s="398"/>
      <c r="AH9" s="398"/>
      <c r="AI9" s="398"/>
      <c r="AJ9" s="398"/>
      <c r="AK9" s="398"/>
      <c r="AL9" s="398"/>
      <c r="AM9" s="398"/>
      <c r="AN9" s="398"/>
      <c r="AO9" s="398"/>
      <c r="AP9" s="398"/>
      <c r="AQ9" s="398"/>
      <c r="AR9" s="398"/>
      <c r="AS9" s="398"/>
      <c r="AT9" s="398"/>
      <c r="AU9" s="398"/>
      <c r="AV9" s="398"/>
      <c r="AW9" s="398"/>
      <c r="AX9" s="398"/>
      <c r="AY9" s="398"/>
      <c r="AZ9" s="398"/>
      <c r="BA9" s="398"/>
      <c r="BB9" s="398"/>
      <c r="BC9" s="398"/>
      <c r="BD9" s="398"/>
      <c r="BE9" s="398"/>
      <c r="BF9" s="398"/>
      <c r="BG9" s="398"/>
      <c r="BH9" s="398"/>
      <c r="BI9" s="398"/>
      <c r="BJ9" s="398"/>
      <c r="BK9" s="398"/>
      <c r="BM9" s="395" t="str">
        <f>'Statement of Marks'!E13</f>
        <v>F</v>
      </c>
      <c r="BN9" s="396" t="str">
        <f t="shared" si="0"/>
        <v/>
      </c>
      <c r="BO9" s="396" t="str">
        <f t="shared" si="1"/>
        <v/>
      </c>
      <c r="BP9" s="396" t="str">
        <f t="shared" si="2"/>
        <v/>
      </c>
      <c r="BQ9" s="396" t="str">
        <f t="shared" si="3"/>
        <v/>
      </c>
      <c r="BR9" s="396" t="str">
        <f t="shared" si="4"/>
        <v>II</v>
      </c>
      <c r="BS9" s="396" t="str">
        <f t="shared" si="5"/>
        <v/>
      </c>
      <c r="BT9" s="396" t="str">
        <f t="shared" si="6"/>
        <v/>
      </c>
      <c r="BU9" s="396" t="str">
        <f t="shared" si="7"/>
        <v/>
      </c>
      <c r="BV9" s="396" t="str">
        <f t="shared" si="8"/>
        <v/>
      </c>
      <c r="BW9" s="396" t="str">
        <f t="shared" si="9"/>
        <v/>
      </c>
      <c r="BX9" s="396" t="str">
        <f t="shared" si="10"/>
        <v/>
      </c>
      <c r="BY9" s="396" t="str">
        <f t="shared" si="11"/>
        <v/>
      </c>
      <c r="BZ9" s="397"/>
    </row>
    <row r="10" spans="1:78" ht="14.1" customHeight="1">
      <c r="A10" s="386">
        <f>IF('Statement of Marks'!A14="","",'Statement of Marks'!A14)</f>
        <v>7</v>
      </c>
      <c r="B10" s="840">
        <f>IF('Statement of Marks'!B14="","",'Statement of Marks'!B14)</f>
        <v>1107</v>
      </c>
      <c r="C10" s="841">
        <f>IF('Statement of Marks'!C14="","",'Statement of Marks'!C14)</f>
        <v>222</v>
      </c>
      <c r="D10" s="833">
        <f>IF('Statement of Marks'!D14="","",'Statement of Marks'!D14)</f>
        <v>40065</v>
      </c>
      <c r="E10" s="387" t="str">
        <f>IF('Statement of Marks'!E14="","",'Statement of Marks'!E14)</f>
        <v>G</v>
      </c>
      <c r="F10" s="387" t="str">
        <f>IF('Statement of Marks'!F14="","",'Statement of Marks'!F14)</f>
        <v>T</v>
      </c>
      <c r="G10" s="387" t="str">
        <f>IF('Statement of Marks'!G14="","",'Statement of Marks'!G14)</f>
        <v>S</v>
      </c>
      <c r="H10" s="388" t="str">
        <f>IF('Statement of Marks'!H14="","",'Statement of Marks'!H14)</f>
        <v>GEN</v>
      </c>
      <c r="I10" s="388" t="str">
        <f>IF('Statement of Marks'!I14="","",'Statement of Marks'!I14)</f>
        <v>M</v>
      </c>
      <c r="J10" s="598" t="str">
        <f>IF('Statement of Marks'!GY14="","",'Statement of Marks'!GY14)</f>
        <v>SUPPLEMENTARY</v>
      </c>
      <c r="K10" s="834">
        <f>IF(B10="","",IF('Statement of Marks'!GZ14="","",'Statement of Marks'!GZ14))</f>
        <v>514</v>
      </c>
      <c r="L10" s="839" t="str">
        <f>IF('Statement of Marks'!HC14="","",'Statement of Marks'!HC14)</f>
        <v/>
      </c>
      <c r="M10" s="389" t="str">
        <f>IF('Statement of Marks'!HB14="","",'Statement of Marks'!HB14)</f>
        <v/>
      </c>
      <c r="N10" s="610" t="str">
        <f>IF('Statement of Marks'!HD14="","",'Statement of Marks'!HD14)</f>
        <v/>
      </c>
      <c r="O10" s="390" t="str">
        <f>IF(J10="FAIL","",IF('Statement of Marks'!GU14="","",'Statement of Marks'!GU14))</f>
        <v xml:space="preserve">  POLITICAL SCIENCE  </v>
      </c>
      <c r="P10" s="391" t="str">
        <f>IF('Supp. Result Entry'!AS13="","",'Supp. Result Entry'!AS13)</f>
        <v>PASS</v>
      </c>
      <c r="Q10" s="392">
        <f>IF('Supp. Result Entry'!AT13="","",'Supp. Result Entry'!AT13)</f>
        <v>48.9</v>
      </c>
      <c r="R10" s="393" t="str">
        <f>IF('Statement of Marks'!HG14="","",'Statement of Marks'!HG14)</f>
        <v>II</v>
      </c>
      <c r="S10" s="394">
        <f>IF('Statement of Marks'!FH14="","",'Statement of Marks'!FH14)</f>
        <v>370</v>
      </c>
      <c r="BM10" s="395" t="str">
        <f>'Statement of Marks'!E14</f>
        <v>G</v>
      </c>
      <c r="BN10" s="396" t="str">
        <f t="shared" si="0"/>
        <v/>
      </c>
      <c r="BO10" s="396" t="str">
        <f t="shared" si="1"/>
        <v/>
      </c>
      <c r="BP10" s="396" t="str">
        <f t="shared" si="2"/>
        <v/>
      </c>
      <c r="BQ10" s="396" t="str">
        <f t="shared" si="3"/>
        <v/>
      </c>
      <c r="BR10" s="396" t="str">
        <f t="shared" si="4"/>
        <v/>
      </c>
      <c r="BS10" s="396" t="str">
        <f t="shared" si="5"/>
        <v/>
      </c>
      <c r="BT10" s="396" t="str">
        <f t="shared" si="6"/>
        <v>II</v>
      </c>
      <c r="BU10" s="396" t="str">
        <f t="shared" si="7"/>
        <v/>
      </c>
      <c r="BV10" s="396" t="str">
        <f t="shared" si="8"/>
        <v/>
      </c>
      <c r="BW10" s="396" t="str">
        <f t="shared" si="9"/>
        <v/>
      </c>
      <c r="BX10" s="396" t="str">
        <f t="shared" si="10"/>
        <v/>
      </c>
      <c r="BY10" s="396" t="str">
        <f t="shared" si="11"/>
        <v/>
      </c>
      <c r="BZ10" s="397"/>
    </row>
    <row r="11" spans="1:78" ht="14.1" customHeight="1">
      <c r="A11" s="386">
        <f>IF('Statement of Marks'!A15="","",'Statement of Marks'!A15)</f>
        <v>8</v>
      </c>
      <c r="B11" s="840">
        <f>IF('Statement of Marks'!B15="","",'Statement of Marks'!B15)</f>
        <v>1108</v>
      </c>
      <c r="C11" s="841">
        <f>IF('Statement of Marks'!C15="","",'Statement of Marks'!C15)</f>
        <v>123</v>
      </c>
      <c r="D11" s="833">
        <f>IF('Statement of Marks'!D15="","",'Statement of Marks'!D15)</f>
        <v>39763</v>
      </c>
      <c r="E11" s="387" t="str">
        <f>IF('Statement of Marks'!E15="","",'Statement of Marks'!E15)</f>
        <v>O</v>
      </c>
      <c r="F11" s="387" t="str">
        <f>IF('Statement of Marks'!F15="","",'Statement of Marks'!F15)</f>
        <v>R</v>
      </c>
      <c r="G11" s="387" t="str">
        <f>IF('Statement of Marks'!G15="","",'Statement of Marks'!G15)</f>
        <v>I</v>
      </c>
      <c r="H11" s="388" t="str">
        <f>IF('Statement of Marks'!H15="","",'Statement of Marks'!H15)</f>
        <v>OBC</v>
      </c>
      <c r="I11" s="388" t="str">
        <f>IF('Statement of Marks'!I15="","",'Statement of Marks'!I15)</f>
        <v>M</v>
      </c>
      <c r="J11" s="598" t="str">
        <f>IF('Statement of Marks'!GY15="","",'Statement of Marks'!GY15)</f>
        <v>SUPPLEMENTARY</v>
      </c>
      <c r="K11" s="834">
        <f>IF(B11="","",IF('Statement of Marks'!GZ15="","",'Statement of Marks'!GZ15))</f>
        <v>482</v>
      </c>
      <c r="L11" s="839" t="str">
        <f>IF('Statement of Marks'!HC15="","",'Statement of Marks'!HC15)</f>
        <v/>
      </c>
      <c r="M11" s="389" t="str">
        <f>IF('Statement of Marks'!HB15="","",'Statement of Marks'!HB15)</f>
        <v/>
      </c>
      <c r="N11" s="610" t="str">
        <f>IF('Statement of Marks'!HD15="","",'Statement of Marks'!HD15)</f>
        <v/>
      </c>
      <c r="O11" s="390" t="str">
        <f>IF(J11="FAIL","",IF('Statement of Marks'!GU15="","",'Statement of Marks'!GU15))</f>
        <v xml:space="preserve">  POLITICAL SCIENCE  HOME SCIENCE</v>
      </c>
      <c r="P11" s="391" t="str">
        <f>IF('Supp. Result Entry'!AS14="","",'Supp. Result Entry'!AS14)</f>
        <v>PASS</v>
      </c>
      <c r="Q11" s="392">
        <f>IF('Supp. Result Entry'!AT14="","",'Supp. Result Entry'!AT14)</f>
        <v>42</v>
      </c>
      <c r="R11" s="393" t="str">
        <f>IF('Statement of Marks'!HG15="","",'Statement of Marks'!HG15)</f>
        <v>III</v>
      </c>
      <c r="S11" s="394">
        <f>IF('Statement of Marks'!FH15="","",'Statement of Marks'!FH15)</f>
        <v>330</v>
      </c>
      <c r="BM11" s="395" t="str">
        <f>'Statement of Marks'!E15</f>
        <v>O</v>
      </c>
      <c r="BN11" s="396" t="str">
        <f t="shared" si="0"/>
        <v/>
      </c>
      <c r="BO11" s="396" t="str">
        <f t="shared" si="1"/>
        <v/>
      </c>
      <c r="BP11" s="396" t="str">
        <f t="shared" si="2"/>
        <v/>
      </c>
      <c r="BQ11" s="396" t="str">
        <f t="shared" si="3"/>
        <v/>
      </c>
      <c r="BR11" s="396" t="str">
        <f t="shared" si="4"/>
        <v>III</v>
      </c>
      <c r="BS11" s="396" t="str">
        <f t="shared" si="5"/>
        <v/>
      </c>
      <c r="BT11" s="396" t="str">
        <f t="shared" si="6"/>
        <v/>
      </c>
      <c r="BU11" s="396" t="str">
        <f t="shared" si="7"/>
        <v/>
      </c>
      <c r="BV11" s="396" t="str">
        <f t="shared" si="8"/>
        <v/>
      </c>
      <c r="BW11" s="396" t="str">
        <f t="shared" si="9"/>
        <v/>
      </c>
      <c r="BX11" s="396" t="str">
        <f t="shared" si="10"/>
        <v/>
      </c>
      <c r="BY11" s="396" t="str">
        <f t="shared" si="11"/>
        <v/>
      </c>
      <c r="BZ11" s="397"/>
    </row>
    <row r="12" spans="1:78" ht="14.1" customHeight="1">
      <c r="A12" s="386">
        <f>IF('Statement of Marks'!A16="","",'Statement of Marks'!A16)</f>
        <v>9</v>
      </c>
      <c r="B12" s="840">
        <f>IF('Statement of Marks'!B16="","",'Statement of Marks'!B16)</f>
        <v>1109</v>
      </c>
      <c r="C12" s="841">
        <f>IF('Statement of Marks'!C16="","",'Statement of Marks'!C16)</f>
        <v>345</v>
      </c>
      <c r="D12" s="833">
        <f>IF('Statement of Marks'!D16="","",'Statement of Marks'!D16)</f>
        <v>40795</v>
      </c>
      <c r="E12" s="387" t="str">
        <f>IF('Statement of Marks'!E16="","",'Statement of Marks'!E16)</f>
        <v>P</v>
      </c>
      <c r="F12" s="387" t="str">
        <f>IF('Statement of Marks'!F16="","",'Statement of Marks'!F16)</f>
        <v>P</v>
      </c>
      <c r="G12" s="387" t="str">
        <f>IF('Statement of Marks'!G16="","",'Statement of Marks'!G16)</f>
        <v>N</v>
      </c>
      <c r="H12" s="388" t="str">
        <f>IF('Statement of Marks'!H16="","",'Statement of Marks'!H16)</f>
        <v>SC</v>
      </c>
      <c r="I12" s="388" t="str">
        <f>IF('Statement of Marks'!I16="","",'Statement of Marks'!I16)</f>
        <v>F</v>
      </c>
      <c r="J12" s="598" t="str">
        <f>IF('Statement of Marks'!GY16="","",'Statement of Marks'!GY16)</f>
        <v>FAIL</v>
      </c>
      <c r="K12" s="834">
        <f>IF(B12="","",IF('Statement of Marks'!GZ16="","",'Statement of Marks'!GZ16))</f>
        <v>474</v>
      </c>
      <c r="L12" s="839" t="str">
        <f>IF('Statement of Marks'!HC16="","",'Statement of Marks'!HC16)</f>
        <v/>
      </c>
      <c r="M12" s="389" t="str">
        <f>IF('Statement of Marks'!HB16="","",'Statement of Marks'!HB16)</f>
        <v/>
      </c>
      <c r="N12" s="610" t="str">
        <f>IF('Statement of Marks'!HD16="","",'Statement of Marks'!HD16)</f>
        <v/>
      </c>
      <c r="O12" s="390" t="str">
        <f>IF(J12="FAIL","",IF('Statement of Marks'!GU16="","",'Statement of Marks'!GU16))</f>
        <v/>
      </c>
      <c r="P12" s="391" t="str">
        <f>IF('Supp. Result Entry'!AS15="","",'Supp. Result Entry'!AS15)</f>
        <v/>
      </c>
      <c r="Q12" s="392" t="str">
        <f>IF('Supp. Result Entry'!AT15="","",'Supp. Result Entry'!AT15)</f>
        <v/>
      </c>
      <c r="R12" s="393" t="str">
        <f>IF('Statement of Marks'!HG16="","",'Statement of Marks'!HG16)</f>
        <v/>
      </c>
      <c r="S12" s="394">
        <f>IF('Statement of Marks'!FH16="","",'Statement of Marks'!FH16)</f>
        <v>330</v>
      </c>
      <c r="BM12" s="395" t="str">
        <f>'Statement of Marks'!E16</f>
        <v>P</v>
      </c>
      <c r="BN12" s="396" t="str">
        <f t="shared" si="0"/>
        <v/>
      </c>
      <c r="BO12" s="396" t="str">
        <f t="shared" si="1"/>
        <v>FAIL</v>
      </c>
      <c r="BP12" s="396" t="str">
        <f t="shared" si="2"/>
        <v/>
      </c>
      <c r="BQ12" s="396" t="str">
        <f t="shared" si="3"/>
        <v/>
      </c>
      <c r="BR12" s="396" t="str">
        <f t="shared" si="4"/>
        <v/>
      </c>
      <c r="BS12" s="396" t="str">
        <f t="shared" si="5"/>
        <v/>
      </c>
      <c r="BT12" s="396" t="str">
        <f t="shared" si="6"/>
        <v/>
      </c>
      <c r="BU12" s="396" t="str">
        <f t="shared" si="7"/>
        <v/>
      </c>
      <c r="BV12" s="396" t="str">
        <f t="shared" si="8"/>
        <v/>
      </c>
      <c r="BW12" s="396" t="str">
        <f t="shared" si="9"/>
        <v/>
      </c>
      <c r="BX12" s="396" t="str">
        <f t="shared" si="10"/>
        <v/>
      </c>
      <c r="BY12" s="396" t="str">
        <f t="shared" si="11"/>
        <v/>
      </c>
      <c r="BZ12" s="397"/>
    </row>
    <row r="13" spans="1:78" ht="14.1" customHeight="1">
      <c r="A13" s="386">
        <f>IF('Statement of Marks'!A17="","",'Statement of Marks'!A17)</f>
        <v>10</v>
      </c>
      <c r="B13" s="840">
        <f>IF('Statement of Marks'!B17="","",'Statement of Marks'!B17)</f>
        <v>1110</v>
      </c>
      <c r="C13" s="841">
        <f>IF('Statement of Marks'!C17="","",'Statement of Marks'!C17)</f>
        <v>678</v>
      </c>
      <c r="D13" s="833">
        <f>IF('Statement of Marks'!D17="","",'Statement of Marks'!D17)</f>
        <v>38841</v>
      </c>
      <c r="E13" s="387" t="str">
        <f>IF('Statement of Marks'!E17="","",'Statement of Marks'!E17)</f>
        <v>S</v>
      </c>
      <c r="F13" s="387" t="str">
        <f>IF('Statement of Marks'!F17="","",'Statement of Marks'!F17)</f>
        <v>M</v>
      </c>
      <c r="G13" s="387" t="str">
        <f>IF('Statement of Marks'!G17="","",'Statement of Marks'!G17)</f>
        <v>B</v>
      </c>
      <c r="H13" s="388" t="str">
        <f>IF('Statement of Marks'!H17="","",'Statement of Marks'!H17)</f>
        <v>MIN</v>
      </c>
      <c r="I13" s="388" t="str">
        <f>IF('Statement of Marks'!I17="","",'Statement of Marks'!I17)</f>
        <v>M</v>
      </c>
      <c r="J13" s="598" t="str">
        <f>IF('Statement of Marks'!GY17="","",'Statement of Marks'!GY17)</f>
        <v>BY GRACE PASS</v>
      </c>
      <c r="K13" s="834">
        <f>IF(B13="","",IF('Statement of Marks'!GZ17="","",'Statement of Marks'!GZ17))</f>
        <v>457</v>
      </c>
      <c r="L13" s="839">
        <f>IF('Statement of Marks'!HC17="","",'Statement of Marks'!HC17)</f>
        <v>46.161616161616159</v>
      </c>
      <c r="M13" s="389" t="str">
        <f>IF('Statement of Marks'!HB17="","",'Statement of Marks'!HB17)</f>
        <v>III</v>
      </c>
      <c r="N13" s="610">
        <f>IF('Statement of Marks'!HD17="","",'Statement of Marks'!HD17)</f>
        <v>7.9999999999999432</v>
      </c>
      <c r="O13" s="390" t="str">
        <f>IF(J13="FAIL","",IF('Statement of Marks'!GU17="","",'Statement of Marks'!GU17))</f>
        <v xml:space="preserve">    </v>
      </c>
      <c r="P13" s="391" t="str">
        <f>IF('Supp. Result Entry'!AS16="","",'Supp. Result Entry'!AS16)</f>
        <v/>
      </c>
      <c r="Q13" s="392" t="str">
        <f>IF('Supp. Result Entry'!AT16="","",'Supp. Result Entry'!AT16)</f>
        <v/>
      </c>
      <c r="R13" s="393" t="str">
        <f>IF('Statement of Marks'!HG17="","",'Statement of Marks'!HG17)</f>
        <v/>
      </c>
      <c r="S13" s="394">
        <f>IF('Statement of Marks'!FH17="","",'Statement of Marks'!FH17)</f>
        <v>310</v>
      </c>
      <c r="BM13" s="395" t="str">
        <f>'Statement of Marks'!E17</f>
        <v>S</v>
      </c>
      <c r="BN13" s="396" t="str">
        <f t="shared" si="0"/>
        <v/>
      </c>
      <c r="BO13" s="396" t="str">
        <f t="shared" si="1"/>
        <v/>
      </c>
      <c r="BP13" s="396" t="str">
        <f t="shared" si="2"/>
        <v/>
      </c>
      <c r="BQ13" s="396" t="str">
        <f t="shared" si="3"/>
        <v/>
      </c>
      <c r="BR13" s="396" t="str">
        <f t="shared" si="4"/>
        <v/>
      </c>
      <c r="BS13" s="396" t="str">
        <f t="shared" si="5"/>
        <v/>
      </c>
      <c r="BT13" s="396" t="str">
        <f t="shared" si="6"/>
        <v/>
      </c>
      <c r="BU13" s="396" t="str">
        <f t="shared" si="7"/>
        <v/>
      </c>
      <c r="BV13" s="396" t="str">
        <f t="shared" si="8"/>
        <v>III</v>
      </c>
      <c r="BW13" s="396" t="str">
        <f t="shared" si="9"/>
        <v/>
      </c>
      <c r="BX13" s="396" t="str">
        <f t="shared" si="10"/>
        <v/>
      </c>
      <c r="BY13" s="396" t="str">
        <f t="shared" si="11"/>
        <v/>
      </c>
      <c r="BZ13" s="397"/>
    </row>
    <row r="14" spans="1:78" ht="14.1" customHeight="1">
      <c r="A14" s="386">
        <f>IF('Statement of Marks'!A18="","",'Statement of Marks'!A18)</f>
        <v>11</v>
      </c>
      <c r="B14" s="840">
        <f>IF('Statement of Marks'!B18="","",'Statement of Marks'!B18)</f>
        <v>1111</v>
      </c>
      <c r="C14" s="841">
        <f>IF('Statement of Marks'!C18="","",'Statement of Marks'!C18)</f>
        <v>654</v>
      </c>
      <c r="D14" s="833">
        <f>IF('Statement of Marks'!D18="","",'Statement of Marks'!D18)</f>
        <v>39635</v>
      </c>
      <c r="E14" s="387" t="str">
        <f>IF('Statement of Marks'!E18="","",'Statement of Marks'!E18)</f>
        <v>M</v>
      </c>
      <c r="F14" s="387" t="str">
        <f>IF('Statement of Marks'!F18="","",'Statement of Marks'!F18)</f>
        <v>N</v>
      </c>
      <c r="G14" s="387" t="str">
        <f>IF('Statement of Marks'!G18="","",'Statement of Marks'!G18)</f>
        <v>A</v>
      </c>
      <c r="H14" s="388" t="str">
        <f>IF('Statement of Marks'!H18="","",'Statement of Marks'!H18)</f>
        <v>SBC</v>
      </c>
      <c r="I14" s="388" t="str">
        <f>IF('Statement of Marks'!I18="","",'Statement of Marks'!I18)</f>
        <v>M</v>
      </c>
      <c r="J14" s="598" t="str">
        <f>IF('Statement of Marks'!GY18="","",'Statement of Marks'!GY18)</f>
        <v>PASS</v>
      </c>
      <c r="K14" s="834">
        <f>IF(B14="","",IF('Statement of Marks'!GZ18="","",'Statement of Marks'!GZ18))</f>
        <v>457</v>
      </c>
      <c r="L14" s="839">
        <f>IF('Statement of Marks'!HC18="","",'Statement of Marks'!HC18)</f>
        <v>46.632653061224488</v>
      </c>
      <c r="M14" s="389" t="str">
        <f>IF('Statement of Marks'!HB18="","",'Statement of Marks'!HB18)</f>
        <v>III</v>
      </c>
      <c r="N14" s="610">
        <f>IF('Statement of Marks'!HD18="","",'Statement of Marks'!HD18)</f>
        <v>6.9999999999999432</v>
      </c>
      <c r="O14" s="390" t="str">
        <f>IF(J14="FAIL","",IF('Statement of Marks'!GU18="","",'Statement of Marks'!GU18))</f>
        <v xml:space="preserve">    </v>
      </c>
      <c r="P14" s="391" t="str">
        <f>IF('Supp. Result Entry'!AS17="","",'Supp. Result Entry'!AS17)</f>
        <v/>
      </c>
      <c r="Q14" s="392" t="str">
        <f>IF('Supp. Result Entry'!AT17="","",'Supp. Result Entry'!AT17)</f>
        <v/>
      </c>
      <c r="R14" s="393" t="str">
        <f>IF('Statement of Marks'!HG18="","",'Statement of Marks'!HG18)</f>
        <v/>
      </c>
      <c r="S14" s="394">
        <f>IF('Statement of Marks'!FH18="","",'Statement of Marks'!FH18)</f>
        <v>360</v>
      </c>
      <c r="BM14" s="395" t="str">
        <f>'Statement of Marks'!E18</f>
        <v>M</v>
      </c>
      <c r="BN14" s="396" t="str">
        <f t="shared" si="0"/>
        <v/>
      </c>
      <c r="BO14" s="396" t="str">
        <f t="shared" si="1"/>
        <v/>
      </c>
      <c r="BP14" s="396" t="str">
        <f t="shared" si="2"/>
        <v/>
      </c>
      <c r="BQ14" s="396" t="str">
        <f t="shared" si="3"/>
        <v/>
      </c>
      <c r="BR14" s="396" t="str">
        <f t="shared" si="4"/>
        <v/>
      </c>
      <c r="BS14" s="396" t="str">
        <f t="shared" si="5"/>
        <v/>
      </c>
      <c r="BT14" s="396" t="str">
        <f t="shared" si="6"/>
        <v/>
      </c>
      <c r="BU14" s="396" t="str">
        <f t="shared" si="7"/>
        <v/>
      </c>
      <c r="BV14" s="396" t="str">
        <f t="shared" si="8"/>
        <v/>
      </c>
      <c r="BW14" s="396" t="str">
        <f t="shared" si="9"/>
        <v/>
      </c>
      <c r="BX14" s="396" t="str">
        <f t="shared" si="10"/>
        <v>III</v>
      </c>
      <c r="BY14" s="396" t="str">
        <f t="shared" si="11"/>
        <v/>
      </c>
      <c r="BZ14" s="397"/>
    </row>
    <row r="15" spans="1:78" ht="14.1" customHeight="1">
      <c r="A15" s="386">
        <f>IF('Statement of Marks'!A19="","",'Statement of Marks'!A19)</f>
        <v>12</v>
      </c>
      <c r="B15" s="840" t="str">
        <f>IF('Statement of Marks'!B19="","",'Statement of Marks'!B19)</f>
        <v/>
      </c>
      <c r="C15" s="841" t="str">
        <f>IF('Statement of Marks'!C19="","",'Statement of Marks'!C19)</f>
        <v/>
      </c>
      <c r="D15" s="833" t="str">
        <f>IF('Statement of Marks'!D19="","",'Statement of Marks'!D19)</f>
        <v/>
      </c>
      <c r="E15" s="387" t="str">
        <f>IF('Statement of Marks'!E19="","",'Statement of Marks'!E19)</f>
        <v/>
      </c>
      <c r="F15" s="387" t="str">
        <f>IF('Statement of Marks'!F19="","",'Statement of Marks'!F19)</f>
        <v/>
      </c>
      <c r="G15" s="387" t="str">
        <f>IF('Statement of Marks'!G19="","",'Statement of Marks'!G19)</f>
        <v/>
      </c>
      <c r="H15" s="388" t="str">
        <f>IF('Statement of Marks'!H19="","",'Statement of Marks'!H19)</f>
        <v/>
      </c>
      <c r="I15" s="388" t="str">
        <f>IF('Statement of Marks'!I19="","",'Statement of Marks'!I19)</f>
        <v/>
      </c>
      <c r="J15" s="598" t="str">
        <f>IF('Statement of Marks'!GY19="","",'Statement of Marks'!GY19)</f>
        <v/>
      </c>
      <c r="K15" s="834" t="str">
        <f>IF(B15="","",IF('Statement of Marks'!GZ19="","",'Statement of Marks'!GZ19))</f>
        <v/>
      </c>
      <c r="L15" s="839" t="str">
        <f>IF('Statement of Marks'!HC19="","",'Statement of Marks'!HC19)</f>
        <v/>
      </c>
      <c r="M15" s="389" t="str">
        <f>IF('Statement of Marks'!HB19="","",'Statement of Marks'!HB19)</f>
        <v/>
      </c>
      <c r="N15" s="610" t="str">
        <f>IF('Statement of Marks'!HD19="","",'Statement of Marks'!HD19)</f>
        <v/>
      </c>
      <c r="O15" s="390" t="str">
        <f>IF(J15="FAIL","",IF('Statement of Marks'!GU19="","",'Statement of Marks'!GU19))</f>
        <v xml:space="preserve">    </v>
      </c>
      <c r="P15" s="391" t="str">
        <f>IF('Supp. Result Entry'!AS18="","",'Supp. Result Entry'!AS18)</f>
        <v/>
      </c>
      <c r="Q15" s="392" t="str">
        <f>IF('Supp. Result Entry'!AT18="","",'Supp. Result Entry'!AT18)</f>
        <v/>
      </c>
      <c r="R15" s="393" t="str">
        <f>IF('Statement of Marks'!HG19="","",'Statement of Marks'!HG19)</f>
        <v/>
      </c>
      <c r="S15" s="394" t="str">
        <f>IF('Statement of Marks'!FH19="","",'Statement of Marks'!FH19)</f>
        <v/>
      </c>
      <c r="BM15" s="395" t="str">
        <f>'Statement of Marks'!E19</f>
        <v/>
      </c>
      <c r="BN15" s="396" t="str">
        <f t="shared" si="0"/>
        <v/>
      </c>
      <c r="BO15" s="396" t="str">
        <f t="shared" si="1"/>
        <v/>
      </c>
      <c r="BP15" s="396" t="str">
        <f t="shared" si="2"/>
        <v/>
      </c>
      <c r="BQ15" s="396" t="str">
        <f t="shared" si="3"/>
        <v/>
      </c>
      <c r="BR15" s="396" t="str">
        <f t="shared" si="4"/>
        <v/>
      </c>
      <c r="BS15" s="396" t="str">
        <f t="shared" si="5"/>
        <v/>
      </c>
      <c r="BT15" s="396" t="str">
        <f t="shared" si="6"/>
        <v/>
      </c>
      <c r="BU15" s="396" t="str">
        <f t="shared" si="7"/>
        <v/>
      </c>
      <c r="BV15" s="396" t="str">
        <f t="shared" si="8"/>
        <v/>
      </c>
      <c r="BW15" s="396" t="str">
        <f t="shared" si="9"/>
        <v/>
      </c>
      <c r="BX15" s="396" t="str">
        <f t="shared" si="10"/>
        <v/>
      </c>
      <c r="BY15" s="396" t="str">
        <f t="shared" si="11"/>
        <v/>
      </c>
      <c r="BZ15" s="397"/>
    </row>
    <row r="16" spans="1:78" ht="14.1" customHeight="1">
      <c r="A16" s="386">
        <f>IF('Statement of Marks'!A20="","",'Statement of Marks'!A20)</f>
        <v>13</v>
      </c>
      <c r="B16" s="840" t="str">
        <f>IF('Statement of Marks'!B20="","",'Statement of Marks'!B20)</f>
        <v/>
      </c>
      <c r="C16" s="841" t="str">
        <f>IF('Statement of Marks'!C20="","",'Statement of Marks'!C20)</f>
        <v/>
      </c>
      <c r="D16" s="833" t="str">
        <f>IF('Statement of Marks'!D20="","",'Statement of Marks'!D20)</f>
        <v/>
      </c>
      <c r="E16" s="387" t="str">
        <f>IF('Statement of Marks'!E20="","",'Statement of Marks'!E20)</f>
        <v/>
      </c>
      <c r="F16" s="387" t="str">
        <f>IF('Statement of Marks'!F20="","",'Statement of Marks'!F20)</f>
        <v/>
      </c>
      <c r="G16" s="387" t="str">
        <f>IF('Statement of Marks'!G20="","",'Statement of Marks'!G20)</f>
        <v/>
      </c>
      <c r="H16" s="388" t="str">
        <f>IF('Statement of Marks'!H20="","",'Statement of Marks'!H20)</f>
        <v/>
      </c>
      <c r="I16" s="388" t="str">
        <f>IF('Statement of Marks'!I20="","",'Statement of Marks'!I20)</f>
        <v/>
      </c>
      <c r="J16" s="598" t="str">
        <f>IF('Statement of Marks'!GY20="","",'Statement of Marks'!GY20)</f>
        <v/>
      </c>
      <c r="K16" s="834" t="str">
        <f>IF(B16="","",IF('Statement of Marks'!GZ20="","",'Statement of Marks'!GZ20))</f>
        <v/>
      </c>
      <c r="L16" s="839" t="str">
        <f>IF('Statement of Marks'!HC20="","",'Statement of Marks'!HC20)</f>
        <v/>
      </c>
      <c r="M16" s="389" t="str">
        <f>IF('Statement of Marks'!HB20="","",'Statement of Marks'!HB20)</f>
        <v/>
      </c>
      <c r="N16" s="610" t="str">
        <f>IF('Statement of Marks'!HD20="","",'Statement of Marks'!HD20)</f>
        <v/>
      </c>
      <c r="O16" s="390" t="str">
        <f>IF(J16="FAIL","",IF('Statement of Marks'!GU20="","",'Statement of Marks'!GU20))</f>
        <v xml:space="preserve">    </v>
      </c>
      <c r="P16" s="391" t="str">
        <f>IF('Supp. Result Entry'!AS19="","",'Supp. Result Entry'!AS19)</f>
        <v/>
      </c>
      <c r="Q16" s="392" t="str">
        <f>IF('Supp. Result Entry'!AT19="","",'Supp. Result Entry'!AT19)</f>
        <v/>
      </c>
      <c r="R16" s="393" t="str">
        <f>IF('Statement of Marks'!HG20="","",'Statement of Marks'!HG20)</f>
        <v/>
      </c>
      <c r="S16" s="394" t="str">
        <f>IF('Statement of Marks'!FH20="","",'Statement of Marks'!FH20)</f>
        <v/>
      </c>
      <c r="BM16" s="395" t="str">
        <f>'Statement of Marks'!E20</f>
        <v/>
      </c>
      <c r="BN16" s="396" t="str">
        <f t="shared" si="0"/>
        <v/>
      </c>
      <c r="BO16" s="396" t="str">
        <f t="shared" si="1"/>
        <v/>
      </c>
      <c r="BP16" s="396" t="str">
        <f t="shared" si="2"/>
        <v/>
      </c>
      <c r="BQ16" s="396" t="str">
        <f t="shared" si="3"/>
        <v/>
      </c>
      <c r="BR16" s="396" t="str">
        <f t="shared" si="4"/>
        <v/>
      </c>
      <c r="BS16" s="396" t="str">
        <f t="shared" si="5"/>
        <v/>
      </c>
      <c r="BT16" s="396" t="str">
        <f t="shared" si="6"/>
        <v/>
      </c>
      <c r="BU16" s="396" t="str">
        <f t="shared" si="7"/>
        <v/>
      </c>
      <c r="BV16" s="396" t="str">
        <f t="shared" si="8"/>
        <v/>
      </c>
      <c r="BW16" s="396" t="str">
        <f t="shared" si="9"/>
        <v/>
      </c>
      <c r="BX16" s="396" t="str">
        <f t="shared" si="10"/>
        <v/>
      </c>
      <c r="BY16" s="396" t="str">
        <f t="shared" si="11"/>
        <v/>
      </c>
      <c r="BZ16" s="397"/>
    </row>
    <row r="17" spans="1:78" ht="14.1" customHeight="1">
      <c r="A17" s="386">
        <f>IF('Statement of Marks'!A21="","",'Statement of Marks'!A21)</f>
        <v>14</v>
      </c>
      <c r="B17" s="840" t="str">
        <f>IF('Statement of Marks'!B21="","",'Statement of Marks'!B21)</f>
        <v/>
      </c>
      <c r="C17" s="841" t="str">
        <f>IF('Statement of Marks'!C21="","",'Statement of Marks'!C21)</f>
        <v/>
      </c>
      <c r="D17" s="833" t="str">
        <f>IF('Statement of Marks'!D21="","",'Statement of Marks'!D21)</f>
        <v/>
      </c>
      <c r="E17" s="387" t="str">
        <f>IF('Statement of Marks'!E21="","",'Statement of Marks'!E21)</f>
        <v/>
      </c>
      <c r="F17" s="387" t="str">
        <f>IF('Statement of Marks'!F21="","",'Statement of Marks'!F21)</f>
        <v/>
      </c>
      <c r="G17" s="387" t="str">
        <f>IF('Statement of Marks'!G21="","",'Statement of Marks'!G21)</f>
        <v/>
      </c>
      <c r="H17" s="388" t="str">
        <f>IF('Statement of Marks'!H21="","",'Statement of Marks'!H21)</f>
        <v/>
      </c>
      <c r="I17" s="388" t="str">
        <f>IF('Statement of Marks'!I21="","",'Statement of Marks'!I21)</f>
        <v/>
      </c>
      <c r="J17" s="598" t="str">
        <f>IF('Statement of Marks'!GY21="","",'Statement of Marks'!GY21)</f>
        <v/>
      </c>
      <c r="K17" s="834" t="str">
        <f>IF(B17="","",IF('Statement of Marks'!GZ21="","",'Statement of Marks'!GZ21))</f>
        <v/>
      </c>
      <c r="L17" s="839" t="str">
        <f>IF('Statement of Marks'!HC21="","",'Statement of Marks'!HC21)</f>
        <v/>
      </c>
      <c r="M17" s="389" t="str">
        <f>IF('Statement of Marks'!HB21="","",'Statement of Marks'!HB21)</f>
        <v/>
      </c>
      <c r="N17" s="610" t="str">
        <f>IF('Statement of Marks'!HD21="","",'Statement of Marks'!HD21)</f>
        <v/>
      </c>
      <c r="O17" s="390" t="str">
        <f>IF(J17="FAIL","",IF('Statement of Marks'!GU21="","",'Statement of Marks'!GU21))</f>
        <v xml:space="preserve">    </v>
      </c>
      <c r="P17" s="391" t="str">
        <f>IF('Supp. Result Entry'!AS20="","",'Supp. Result Entry'!AS20)</f>
        <v/>
      </c>
      <c r="Q17" s="392" t="str">
        <f>IF('Supp. Result Entry'!AT20="","",'Supp. Result Entry'!AT20)</f>
        <v/>
      </c>
      <c r="R17" s="393" t="str">
        <f>IF('Statement of Marks'!HG21="","",'Statement of Marks'!HG21)</f>
        <v/>
      </c>
      <c r="S17" s="394" t="str">
        <f>IF('Statement of Marks'!FH21="","",'Statement of Marks'!FH21)</f>
        <v/>
      </c>
      <c r="BM17" s="395" t="str">
        <f>'Statement of Marks'!E21</f>
        <v/>
      </c>
      <c r="BN17" s="396" t="str">
        <f t="shared" si="0"/>
        <v/>
      </c>
      <c r="BO17" s="396" t="str">
        <f t="shared" si="1"/>
        <v/>
      </c>
      <c r="BP17" s="396" t="str">
        <f t="shared" si="2"/>
        <v/>
      </c>
      <c r="BQ17" s="396" t="str">
        <f t="shared" si="3"/>
        <v/>
      </c>
      <c r="BR17" s="396" t="str">
        <f t="shared" si="4"/>
        <v/>
      </c>
      <c r="BS17" s="396" t="str">
        <f t="shared" si="5"/>
        <v/>
      </c>
      <c r="BT17" s="396" t="str">
        <f t="shared" si="6"/>
        <v/>
      </c>
      <c r="BU17" s="396" t="str">
        <f t="shared" si="7"/>
        <v/>
      </c>
      <c r="BV17" s="396" t="str">
        <f t="shared" si="8"/>
        <v/>
      </c>
      <c r="BW17" s="396" t="str">
        <f t="shared" si="9"/>
        <v/>
      </c>
      <c r="BX17" s="396" t="str">
        <f t="shared" si="10"/>
        <v/>
      </c>
      <c r="BY17" s="396" t="str">
        <f t="shared" si="11"/>
        <v/>
      </c>
      <c r="BZ17" s="397"/>
    </row>
    <row r="18" spans="1:78" ht="14.1" customHeight="1">
      <c r="A18" s="386">
        <f>IF('Statement of Marks'!A22="","",'Statement of Marks'!A22)</f>
        <v>15</v>
      </c>
      <c r="B18" s="840" t="str">
        <f>IF('Statement of Marks'!B22="","",'Statement of Marks'!B22)</f>
        <v/>
      </c>
      <c r="C18" s="841" t="str">
        <f>IF('Statement of Marks'!C22="","",'Statement of Marks'!C22)</f>
        <v/>
      </c>
      <c r="D18" s="833" t="str">
        <f>IF('Statement of Marks'!D22="","",'Statement of Marks'!D22)</f>
        <v/>
      </c>
      <c r="E18" s="387" t="str">
        <f>IF('Statement of Marks'!E22="","",'Statement of Marks'!E22)</f>
        <v/>
      </c>
      <c r="F18" s="387" t="str">
        <f>IF('Statement of Marks'!F22="","",'Statement of Marks'!F22)</f>
        <v/>
      </c>
      <c r="G18" s="387" t="str">
        <f>IF('Statement of Marks'!G22="","",'Statement of Marks'!G22)</f>
        <v/>
      </c>
      <c r="H18" s="388" t="str">
        <f>IF('Statement of Marks'!H22="","",'Statement of Marks'!H22)</f>
        <v/>
      </c>
      <c r="I18" s="388" t="str">
        <f>IF('Statement of Marks'!I22="","",'Statement of Marks'!I22)</f>
        <v/>
      </c>
      <c r="J18" s="598" t="str">
        <f>IF('Statement of Marks'!GY22="","",'Statement of Marks'!GY22)</f>
        <v/>
      </c>
      <c r="K18" s="834" t="str">
        <f>IF(B18="","",IF('Statement of Marks'!GZ22="","",'Statement of Marks'!GZ22))</f>
        <v/>
      </c>
      <c r="L18" s="839" t="str">
        <f>IF('Statement of Marks'!HC22="","",'Statement of Marks'!HC22)</f>
        <v/>
      </c>
      <c r="M18" s="389" t="str">
        <f>IF('Statement of Marks'!HB22="","",'Statement of Marks'!HB22)</f>
        <v/>
      </c>
      <c r="N18" s="610" t="str">
        <f>IF('Statement of Marks'!HD22="","",'Statement of Marks'!HD22)</f>
        <v/>
      </c>
      <c r="O18" s="390" t="str">
        <f>IF(J18="FAIL","",IF('Statement of Marks'!GU22="","",'Statement of Marks'!GU22))</f>
        <v xml:space="preserve">    </v>
      </c>
      <c r="P18" s="391" t="str">
        <f>IF('Supp. Result Entry'!AS21="","",'Supp. Result Entry'!AS21)</f>
        <v/>
      </c>
      <c r="Q18" s="392" t="str">
        <f>IF('Supp. Result Entry'!AT21="","",'Supp. Result Entry'!AT21)</f>
        <v/>
      </c>
      <c r="R18" s="393" t="str">
        <f>IF('Statement of Marks'!HG22="","",'Statement of Marks'!HG22)</f>
        <v/>
      </c>
      <c r="S18" s="394" t="str">
        <f>IF('Statement of Marks'!FH22="","",'Statement of Marks'!FH22)</f>
        <v/>
      </c>
      <c r="BM18" s="395" t="str">
        <f>'Statement of Marks'!E22</f>
        <v/>
      </c>
      <c r="BN18" s="396" t="str">
        <f t="shared" si="0"/>
        <v/>
      </c>
      <c r="BO18" s="396" t="str">
        <f t="shared" si="1"/>
        <v/>
      </c>
      <c r="BP18" s="396" t="str">
        <f t="shared" si="2"/>
        <v/>
      </c>
      <c r="BQ18" s="396" t="str">
        <f t="shared" si="3"/>
        <v/>
      </c>
      <c r="BR18" s="396" t="str">
        <f t="shared" si="4"/>
        <v/>
      </c>
      <c r="BS18" s="396" t="str">
        <f t="shared" si="5"/>
        <v/>
      </c>
      <c r="BT18" s="396" t="str">
        <f t="shared" si="6"/>
        <v/>
      </c>
      <c r="BU18" s="396" t="str">
        <f t="shared" si="7"/>
        <v/>
      </c>
      <c r="BV18" s="396" t="str">
        <f t="shared" si="8"/>
        <v/>
      </c>
      <c r="BW18" s="396" t="str">
        <f t="shared" si="9"/>
        <v/>
      </c>
      <c r="BX18" s="396" t="str">
        <f t="shared" si="10"/>
        <v/>
      </c>
      <c r="BY18" s="396" t="str">
        <f t="shared" si="11"/>
        <v/>
      </c>
      <c r="BZ18" s="397"/>
    </row>
    <row r="19" spans="1:78" ht="14.1" customHeight="1">
      <c r="A19" s="386">
        <f>IF('Statement of Marks'!A23="","",'Statement of Marks'!A23)</f>
        <v>16</v>
      </c>
      <c r="B19" s="840" t="str">
        <f>IF('Statement of Marks'!B23="","",'Statement of Marks'!B23)</f>
        <v/>
      </c>
      <c r="C19" s="841" t="str">
        <f>IF('Statement of Marks'!C23="","",'Statement of Marks'!C23)</f>
        <v/>
      </c>
      <c r="D19" s="833" t="str">
        <f>IF('Statement of Marks'!D23="","",'Statement of Marks'!D23)</f>
        <v/>
      </c>
      <c r="E19" s="387" t="str">
        <f>IF('Statement of Marks'!E23="","",'Statement of Marks'!E23)</f>
        <v/>
      </c>
      <c r="F19" s="387" t="str">
        <f>IF('Statement of Marks'!F23="","",'Statement of Marks'!F23)</f>
        <v/>
      </c>
      <c r="G19" s="387" t="str">
        <f>IF('Statement of Marks'!G23="","",'Statement of Marks'!G23)</f>
        <v/>
      </c>
      <c r="H19" s="388" t="str">
        <f>IF('Statement of Marks'!H23="","",'Statement of Marks'!H23)</f>
        <v/>
      </c>
      <c r="I19" s="388" t="str">
        <f>IF('Statement of Marks'!I23="","",'Statement of Marks'!I23)</f>
        <v/>
      </c>
      <c r="J19" s="598" t="str">
        <f>IF('Statement of Marks'!GY23="","",'Statement of Marks'!GY23)</f>
        <v/>
      </c>
      <c r="K19" s="834" t="str">
        <f>IF(B19="","",IF('Statement of Marks'!GZ23="","",'Statement of Marks'!GZ23))</f>
        <v/>
      </c>
      <c r="L19" s="839" t="str">
        <f>IF('Statement of Marks'!HC23="","",'Statement of Marks'!HC23)</f>
        <v/>
      </c>
      <c r="M19" s="389" t="str">
        <f>IF('Statement of Marks'!HB23="","",'Statement of Marks'!HB23)</f>
        <v/>
      </c>
      <c r="N19" s="610" t="str">
        <f>IF('Statement of Marks'!HD23="","",'Statement of Marks'!HD23)</f>
        <v/>
      </c>
      <c r="O19" s="390" t="str">
        <f>IF(J19="FAIL","",IF('Statement of Marks'!GU23="","",'Statement of Marks'!GU23))</f>
        <v xml:space="preserve">    </v>
      </c>
      <c r="P19" s="391" t="str">
        <f>IF('Supp. Result Entry'!AS22="","",'Supp. Result Entry'!AS22)</f>
        <v/>
      </c>
      <c r="Q19" s="392" t="str">
        <f>IF('Supp. Result Entry'!AT22="","",'Supp. Result Entry'!AT22)</f>
        <v/>
      </c>
      <c r="R19" s="393" t="str">
        <f>IF('Statement of Marks'!HG23="","",'Statement of Marks'!HG23)</f>
        <v/>
      </c>
      <c r="S19" s="394" t="str">
        <f>IF('Statement of Marks'!FH23="","",'Statement of Marks'!FH23)</f>
        <v/>
      </c>
      <c r="BM19" s="395" t="str">
        <f>'Statement of Marks'!E23</f>
        <v/>
      </c>
      <c r="BN19" s="396" t="str">
        <f t="shared" si="0"/>
        <v/>
      </c>
      <c r="BO19" s="396" t="str">
        <f t="shared" si="1"/>
        <v/>
      </c>
      <c r="BP19" s="396" t="str">
        <f t="shared" si="2"/>
        <v/>
      </c>
      <c r="BQ19" s="396" t="str">
        <f t="shared" si="3"/>
        <v/>
      </c>
      <c r="BR19" s="396" t="str">
        <f t="shared" si="4"/>
        <v/>
      </c>
      <c r="BS19" s="396" t="str">
        <f t="shared" si="5"/>
        <v/>
      </c>
      <c r="BT19" s="396" t="str">
        <f t="shared" si="6"/>
        <v/>
      </c>
      <c r="BU19" s="396" t="str">
        <f t="shared" si="7"/>
        <v/>
      </c>
      <c r="BV19" s="396" t="str">
        <f t="shared" si="8"/>
        <v/>
      </c>
      <c r="BW19" s="396" t="str">
        <f t="shared" si="9"/>
        <v/>
      </c>
      <c r="BX19" s="396" t="str">
        <f t="shared" si="10"/>
        <v/>
      </c>
      <c r="BY19" s="396" t="str">
        <f t="shared" si="11"/>
        <v/>
      </c>
      <c r="BZ19" s="397"/>
    </row>
    <row r="20" spans="1:78" ht="14.1" customHeight="1">
      <c r="A20" s="386">
        <f>IF('Statement of Marks'!A24="","",'Statement of Marks'!A24)</f>
        <v>17</v>
      </c>
      <c r="B20" s="840" t="str">
        <f>IF('Statement of Marks'!B24="","",'Statement of Marks'!B24)</f>
        <v/>
      </c>
      <c r="C20" s="841" t="str">
        <f>IF('Statement of Marks'!C24="","",'Statement of Marks'!C24)</f>
        <v/>
      </c>
      <c r="D20" s="833" t="str">
        <f>IF('Statement of Marks'!D24="","",'Statement of Marks'!D24)</f>
        <v/>
      </c>
      <c r="E20" s="387" t="str">
        <f>IF('Statement of Marks'!E24="","",'Statement of Marks'!E24)</f>
        <v/>
      </c>
      <c r="F20" s="387" t="str">
        <f>IF('Statement of Marks'!F24="","",'Statement of Marks'!F24)</f>
        <v/>
      </c>
      <c r="G20" s="387" t="str">
        <f>IF('Statement of Marks'!G24="","",'Statement of Marks'!G24)</f>
        <v/>
      </c>
      <c r="H20" s="388" t="str">
        <f>IF('Statement of Marks'!H24="","",'Statement of Marks'!H24)</f>
        <v/>
      </c>
      <c r="I20" s="388" t="str">
        <f>IF('Statement of Marks'!I24="","",'Statement of Marks'!I24)</f>
        <v/>
      </c>
      <c r="J20" s="598" t="str">
        <f>IF('Statement of Marks'!GY24="","",'Statement of Marks'!GY24)</f>
        <v/>
      </c>
      <c r="K20" s="834" t="str">
        <f>IF(B20="","",IF('Statement of Marks'!GZ24="","",'Statement of Marks'!GZ24))</f>
        <v/>
      </c>
      <c r="L20" s="839" t="str">
        <f>IF('Statement of Marks'!HC24="","",'Statement of Marks'!HC24)</f>
        <v/>
      </c>
      <c r="M20" s="389" t="str">
        <f>IF('Statement of Marks'!HB24="","",'Statement of Marks'!HB24)</f>
        <v/>
      </c>
      <c r="N20" s="610" t="str">
        <f>IF('Statement of Marks'!HD24="","",'Statement of Marks'!HD24)</f>
        <v/>
      </c>
      <c r="O20" s="390" t="str">
        <f>IF(J20="FAIL","",IF('Statement of Marks'!GU24="","",'Statement of Marks'!GU24))</f>
        <v xml:space="preserve">    </v>
      </c>
      <c r="P20" s="391" t="str">
        <f>IF('Supp. Result Entry'!AS23="","",'Supp. Result Entry'!AS23)</f>
        <v/>
      </c>
      <c r="Q20" s="392" t="str">
        <f>IF('Supp. Result Entry'!AT23="","",'Supp. Result Entry'!AT23)</f>
        <v/>
      </c>
      <c r="R20" s="393" t="str">
        <f>IF('Statement of Marks'!HG24="","",'Statement of Marks'!HG24)</f>
        <v/>
      </c>
      <c r="S20" s="394" t="str">
        <f>IF('Statement of Marks'!FH24="","",'Statement of Marks'!FH24)</f>
        <v/>
      </c>
      <c r="BM20" s="395" t="str">
        <f>'Statement of Marks'!E24</f>
        <v/>
      </c>
      <c r="BN20" s="396" t="str">
        <f t="shared" si="0"/>
        <v/>
      </c>
      <c r="BO20" s="396" t="str">
        <f t="shared" si="1"/>
        <v/>
      </c>
      <c r="BP20" s="396" t="str">
        <f t="shared" si="2"/>
        <v/>
      </c>
      <c r="BQ20" s="396" t="str">
        <f t="shared" si="3"/>
        <v/>
      </c>
      <c r="BR20" s="396" t="str">
        <f t="shared" si="4"/>
        <v/>
      </c>
      <c r="BS20" s="396" t="str">
        <f t="shared" si="5"/>
        <v/>
      </c>
      <c r="BT20" s="396" t="str">
        <f t="shared" si="6"/>
        <v/>
      </c>
      <c r="BU20" s="396" t="str">
        <f t="shared" si="7"/>
        <v/>
      </c>
      <c r="BV20" s="396" t="str">
        <f t="shared" si="8"/>
        <v/>
      </c>
      <c r="BW20" s="396" t="str">
        <f t="shared" si="9"/>
        <v/>
      </c>
      <c r="BX20" s="396" t="str">
        <f t="shared" si="10"/>
        <v/>
      </c>
      <c r="BY20" s="396" t="str">
        <f t="shared" si="11"/>
        <v/>
      </c>
      <c r="BZ20" s="397"/>
    </row>
    <row r="21" spans="1:78" ht="14.1" customHeight="1">
      <c r="A21" s="386">
        <f>IF('Statement of Marks'!A25="","",'Statement of Marks'!A25)</f>
        <v>18</v>
      </c>
      <c r="B21" s="840" t="str">
        <f>IF('Statement of Marks'!B25="","",'Statement of Marks'!B25)</f>
        <v/>
      </c>
      <c r="C21" s="841" t="str">
        <f>IF('Statement of Marks'!C25="","",'Statement of Marks'!C25)</f>
        <v/>
      </c>
      <c r="D21" s="833" t="str">
        <f>IF('Statement of Marks'!D25="","",'Statement of Marks'!D25)</f>
        <v/>
      </c>
      <c r="E21" s="387" t="str">
        <f>IF('Statement of Marks'!E25="","",'Statement of Marks'!E25)</f>
        <v/>
      </c>
      <c r="F21" s="387" t="str">
        <f>IF('Statement of Marks'!F25="","",'Statement of Marks'!F25)</f>
        <v/>
      </c>
      <c r="G21" s="387" t="str">
        <f>IF('Statement of Marks'!G25="","",'Statement of Marks'!G25)</f>
        <v/>
      </c>
      <c r="H21" s="388" t="str">
        <f>IF('Statement of Marks'!H25="","",'Statement of Marks'!H25)</f>
        <v/>
      </c>
      <c r="I21" s="388" t="str">
        <f>IF('Statement of Marks'!I25="","",'Statement of Marks'!I25)</f>
        <v/>
      </c>
      <c r="J21" s="598" t="str">
        <f>IF('Statement of Marks'!GY25="","",'Statement of Marks'!GY25)</f>
        <v/>
      </c>
      <c r="K21" s="834" t="str">
        <f>IF(B21="","",IF('Statement of Marks'!GZ25="","",'Statement of Marks'!GZ25))</f>
        <v/>
      </c>
      <c r="L21" s="839" t="str">
        <f>IF('Statement of Marks'!HC25="","",'Statement of Marks'!HC25)</f>
        <v/>
      </c>
      <c r="M21" s="389" t="str">
        <f>IF('Statement of Marks'!HB25="","",'Statement of Marks'!HB25)</f>
        <v/>
      </c>
      <c r="N21" s="610" t="str">
        <f>IF('Statement of Marks'!HD25="","",'Statement of Marks'!HD25)</f>
        <v/>
      </c>
      <c r="O21" s="390" t="str">
        <f>IF(J21="FAIL","",IF('Statement of Marks'!GU25="","",'Statement of Marks'!GU25))</f>
        <v xml:space="preserve">    </v>
      </c>
      <c r="P21" s="391" t="str">
        <f>IF('Supp. Result Entry'!AS24="","",'Supp. Result Entry'!AS24)</f>
        <v/>
      </c>
      <c r="Q21" s="392" t="str">
        <f>IF('Supp. Result Entry'!AT24="","",'Supp. Result Entry'!AT24)</f>
        <v/>
      </c>
      <c r="R21" s="393" t="str">
        <f>IF('Statement of Marks'!HG25="","",'Statement of Marks'!HG25)</f>
        <v/>
      </c>
      <c r="S21" s="394" t="str">
        <f>IF('Statement of Marks'!FH25="","",'Statement of Marks'!FH25)</f>
        <v/>
      </c>
      <c r="BM21" s="395" t="str">
        <f>'Statement of Marks'!E25</f>
        <v/>
      </c>
      <c r="BN21" s="396" t="str">
        <f t="shared" si="0"/>
        <v/>
      </c>
      <c r="BO21" s="396" t="str">
        <f t="shared" si="1"/>
        <v/>
      </c>
      <c r="BP21" s="396" t="str">
        <f t="shared" si="2"/>
        <v/>
      </c>
      <c r="BQ21" s="396" t="str">
        <f t="shared" si="3"/>
        <v/>
      </c>
      <c r="BR21" s="396" t="str">
        <f t="shared" si="4"/>
        <v/>
      </c>
      <c r="BS21" s="396" t="str">
        <f t="shared" si="5"/>
        <v/>
      </c>
      <c r="BT21" s="396" t="str">
        <f t="shared" si="6"/>
        <v/>
      </c>
      <c r="BU21" s="396" t="str">
        <f t="shared" si="7"/>
        <v/>
      </c>
      <c r="BV21" s="396" t="str">
        <f t="shared" si="8"/>
        <v/>
      </c>
      <c r="BW21" s="396" t="str">
        <f t="shared" si="9"/>
        <v/>
      </c>
      <c r="BX21" s="396" t="str">
        <f t="shared" si="10"/>
        <v/>
      </c>
      <c r="BY21" s="396" t="str">
        <f t="shared" si="11"/>
        <v/>
      </c>
      <c r="BZ21" s="397"/>
    </row>
    <row r="22" spans="1:78" ht="14.1" customHeight="1">
      <c r="A22" s="386">
        <f>IF('Statement of Marks'!A26="","",'Statement of Marks'!A26)</f>
        <v>19</v>
      </c>
      <c r="B22" s="840" t="str">
        <f>IF('Statement of Marks'!B26="","",'Statement of Marks'!B26)</f>
        <v/>
      </c>
      <c r="C22" s="841" t="str">
        <f>IF('Statement of Marks'!C26="","",'Statement of Marks'!C26)</f>
        <v/>
      </c>
      <c r="D22" s="833" t="str">
        <f>IF('Statement of Marks'!D26="","",'Statement of Marks'!D26)</f>
        <v/>
      </c>
      <c r="E22" s="387" t="str">
        <f>IF('Statement of Marks'!E26="","",'Statement of Marks'!E26)</f>
        <v/>
      </c>
      <c r="F22" s="387" t="str">
        <f>IF('Statement of Marks'!F26="","",'Statement of Marks'!F26)</f>
        <v/>
      </c>
      <c r="G22" s="387" t="str">
        <f>IF('Statement of Marks'!G26="","",'Statement of Marks'!G26)</f>
        <v/>
      </c>
      <c r="H22" s="388" t="str">
        <f>IF('Statement of Marks'!H26="","",'Statement of Marks'!H26)</f>
        <v/>
      </c>
      <c r="I22" s="388" t="str">
        <f>IF('Statement of Marks'!I26="","",'Statement of Marks'!I26)</f>
        <v/>
      </c>
      <c r="J22" s="598" t="str">
        <f>IF('Statement of Marks'!GY26="","",'Statement of Marks'!GY26)</f>
        <v/>
      </c>
      <c r="K22" s="834" t="str">
        <f>IF(B22="","",IF('Statement of Marks'!GZ26="","",'Statement of Marks'!GZ26))</f>
        <v/>
      </c>
      <c r="L22" s="839" t="str">
        <f>IF('Statement of Marks'!HC26="","",'Statement of Marks'!HC26)</f>
        <v/>
      </c>
      <c r="M22" s="389" t="str">
        <f>IF('Statement of Marks'!HB26="","",'Statement of Marks'!HB26)</f>
        <v/>
      </c>
      <c r="N22" s="610" t="str">
        <f>IF('Statement of Marks'!HD26="","",'Statement of Marks'!HD26)</f>
        <v/>
      </c>
      <c r="O22" s="390" t="str">
        <f>IF(J22="FAIL","",IF('Statement of Marks'!GU26="","",'Statement of Marks'!GU26))</f>
        <v xml:space="preserve">    </v>
      </c>
      <c r="P22" s="391" t="str">
        <f>IF('Supp. Result Entry'!AS25="","",'Supp. Result Entry'!AS25)</f>
        <v/>
      </c>
      <c r="Q22" s="392" t="str">
        <f>IF('Supp. Result Entry'!AT25="","",'Supp. Result Entry'!AT25)</f>
        <v/>
      </c>
      <c r="R22" s="393" t="str">
        <f>IF('Statement of Marks'!HG26="","",'Statement of Marks'!HG26)</f>
        <v/>
      </c>
      <c r="S22" s="394" t="str">
        <f>IF('Statement of Marks'!FH26="","",'Statement of Marks'!FH26)</f>
        <v/>
      </c>
      <c r="BM22" s="395" t="str">
        <f>'Statement of Marks'!E26</f>
        <v/>
      </c>
      <c r="BN22" s="396" t="str">
        <f t="shared" si="0"/>
        <v/>
      </c>
      <c r="BO22" s="396" t="str">
        <f t="shared" si="1"/>
        <v/>
      </c>
      <c r="BP22" s="396" t="str">
        <f t="shared" si="2"/>
        <v/>
      </c>
      <c r="BQ22" s="396" t="str">
        <f t="shared" si="3"/>
        <v/>
      </c>
      <c r="BR22" s="396" t="str">
        <f t="shared" si="4"/>
        <v/>
      </c>
      <c r="BS22" s="396" t="str">
        <f t="shared" si="5"/>
        <v/>
      </c>
      <c r="BT22" s="396" t="str">
        <f t="shared" si="6"/>
        <v/>
      </c>
      <c r="BU22" s="396" t="str">
        <f t="shared" si="7"/>
        <v/>
      </c>
      <c r="BV22" s="396" t="str">
        <f t="shared" si="8"/>
        <v/>
      </c>
      <c r="BW22" s="396" t="str">
        <f t="shared" si="9"/>
        <v/>
      </c>
      <c r="BX22" s="396" t="str">
        <f t="shared" si="10"/>
        <v/>
      </c>
      <c r="BY22" s="396" t="str">
        <f t="shared" si="11"/>
        <v/>
      </c>
      <c r="BZ22" s="397"/>
    </row>
    <row r="23" spans="1:78" ht="14.1" customHeight="1">
      <c r="A23" s="386">
        <f>IF('Statement of Marks'!A27="","",'Statement of Marks'!A27)</f>
        <v>20</v>
      </c>
      <c r="B23" s="840" t="str">
        <f>IF('Statement of Marks'!B27="","",'Statement of Marks'!B27)</f>
        <v/>
      </c>
      <c r="C23" s="841" t="str">
        <f>IF('Statement of Marks'!C27="","",'Statement of Marks'!C27)</f>
        <v/>
      </c>
      <c r="D23" s="833" t="str">
        <f>IF('Statement of Marks'!D27="","",'Statement of Marks'!D27)</f>
        <v/>
      </c>
      <c r="E23" s="387" t="str">
        <f>IF('Statement of Marks'!E27="","",'Statement of Marks'!E27)</f>
        <v/>
      </c>
      <c r="F23" s="387" t="str">
        <f>IF('Statement of Marks'!F27="","",'Statement of Marks'!F27)</f>
        <v/>
      </c>
      <c r="G23" s="387" t="str">
        <f>IF('Statement of Marks'!G27="","",'Statement of Marks'!G27)</f>
        <v/>
      </c>
      <c r="H23" s="388" t="str">
        <f>IF('Statement of Marks'!H27="","",'Statement of Marks'!H27)</f>
        <v/>
      </c>
      <c r="I23" s="388" t="str">
        <f>IF('Statement of Marks'!I27="","",'Statement of Marks'!I27)</f>
        <v/>
      </c>
      <c r="J23" s="598" t="str">
        <f>IF('Statement of Marks'!GY27="","",'Statement of Marks'!GY27)</f>
        <v/>
      </c>
      <c r="K23" s="834" t="str">
        <f>IF(B23="","",IF('Statement of Marks'!GZ27="","",'Statement of Marks'!GZ27))</f>
        <v/>
      </c>
      <c r="L23" s="839" t="str">
        <f>IF('Statement of Marks'!HC27="","",'Statement of Marks'!HC27)</f>
        <v/>
      </c>
      <c r="M23" s="389" t="str">
        <f>IF('Statement of Marks'!HB27="","",'Statement of Marks'!HB27)</f>
        <v/>
      </c>
      <c r="N23" s="610" t="str">
        <f>IF('Statement of Marks'!HD27="","",'Statement of Marks'!HD27)</f>
        <v/>
      </c>
      <c r="O23" s="390" t="str">
        <f>IF(J23="FAIL","",IF('Statement of Marks'!GU27="","",'Statement of Marks'!GU27))</f>
        <v xml:space="preserve">    </v>
      </c>
      <c r="P23" s="391" t="str">
        <f>IF('Supp. Result Entry'!AS26="","",'Supp. Result Entry'!AS26)</f>
        <v/>
      </c>
      <c r="Q23" s="392" t="str">
        <f>IF('Supp. Result Entry'!AT26="","",'Supp. Result Entry'!AT26)</f>
        <v/>
      </c>
      <c r="R23" s="393" t="str">
        <f>IF('Statement of Marks'!HG27="","",'Statement of Marks'!HG27)</f>
        <v/>
      </c>
      <c r="S23" s="394" t="str">
        <f>IF('Statement of Marks'!FH27="","",'Statement of Marks'!FH27)</f>
        <v/>
      </c>
      <c r="BM23" s="395" t="str">
        <f>'Statement of Marks'!E27</f>
        <v/>
      </c>
      <c r="BN23" s="396" t="str">
        <f t="shared" si="0"/>
        <v/>
      </c>
      <c r="BO23" s="396" t="str">
        <f t="shared" si="1"/>
        <v/>
      </c>
      <c r="BP23" s="396" t="str">
        <f t="shared" si="2"/>
        <v/>
      </c>
      <c r="BQ23" s="396" t="str">
        <f t="shared" si="3"/>
        <v/>
      </c>
      <c r="BR23" s="396" t="str">
        <f t="shared" si="4"/>
        <v/>
      </c>
      <c r="BS23" s="396" t="str">
        <f t="shared" si="5"/>
        <v/>
      </c>
      <c r="BT23" s="396" t="str">
        <f t="shared" si="6"/>
        <v/>
      </c>
      <c r="BU23" s="396" t="str">
        <f t="shared" si="7"/>
        <v/>
      </c>
      <c r="BV23" s="396" t="str">
        <f t="shared" si="8"/>
        <v/>
      </c>
      <c r="BW23" s="396" t="str">
        <f t="shared" si="9"/>
        <v/>
      </c>
      <c r="BX23" s="396" t="str">
        <f t="shared" si="10"/>
        <v/>
      </c>
      <c r="BY23" s="396" t="str">
        <f t="shared" si="11"/>
        <v/>
      </c>
      <c r="BZ23" s="397"/>
    </row>
    <row r="24" spans="1:78" ht="14.1" customHeight="1">
      <c r="A24" s="386">
        <f>IF('Statement of Marks'!A28="","",'Statement of Marks'!A28)</f>
        <v>21</v>
      </c>
      <c r="B24" s="840" t="str">
        <f>IF('Statement of Marks'!B28="","",'Statement of Marks'!B28)</f>
        <v/>
      </c>
      <c r="C24" s="841" t="str">
        <f>IF('Statement of Marks'!C28="","",'Statement of Marks'!C28)</f>
        <v/>
      </c>
      <c r="D24" s="833" t="str">
        <f>IF('Statement of Marks'!D28="","",'Statement of Marks'!D28)</f>
        <v/>
      </c>
      <c r="E24" s="387" t="str">
        <f>IF('Statement of Marks'!E28="","",'Statement of Marks'!E28)</f>
        <v/>
      </c>
      <c r="F24" s="387" t="str">
        <f>IF('Statement of Marks'!F28="","",'Statement of Marks'!F28)</f>
        <v/>
      </c>
      <c r="G24" s="387" t="str">
        <f>IF('Statement of Marks'!G28="","",'Statement of Marks'!G28)</f>
        <v/>
      </c>
      <c r="H24" s="388" t="str">
        <f>IF('Statement of Marks'!H28="","",'Statement of Marks'!H28)</f>
        <v/>
      </c>
      <c r="I24" s="388" t="str">
        <f>IF('Statement of Marks'!I28="","",'Statement of Marks'!I28)</f>
        <v/>
      </c>
      <c r="J24" s="598" t="str">
        <f>IF('Statement of Marks'!GY28="","",'Statement of Marks'!GY28)</f>
        <v/>
      </c>
      <c r="K24" s="834" t="str">
        <f>IF(B24="","",IF('Statement of Marks'!GZ28="","",'Statement of Marks'!GZ28))</f>
        <v/>
      </c>
      <c r="L24" s="839" t="str">
        <f>IF('Statement of Marks'!HC28="","",'Statement of Marks'!HC28)</f>
        <v/>
      </c>
      <c r="M24" s="389" t="str">
        <f>IF('Statement of Marks'!HB28="","",'Statement of Marks'!HB28)</f>
        <v/>
      </c>
      <c r="N24" s="610" t="str">
        <f>IF('Statement of Marks'!HD28="","",'Statement of Marks'!HD28)</f>
        <v/>
      </c>
      <c r="O24" s="390" t="str">
        <f>IF(J24="FAIL","",IF('Statement of Marks'!GU28="","",'Statement of Marks'!GU28))</f>
        <v xml:space="preserve">    </v>
      </c>
      <c r="P24" s="391" t="str">
        <f>IF('Supp. Result Entry'!AS27="","",'Supp. Result Entry'!AS27)</f>
        <v/>
      </c>
      <c r="Q24" s="392" t="str">
        <f>IF('Supp. Result Entry'!AT27="","",'Supp. Result Entry'!AT27)</f>
        <v/>
      </c>
      <c r="R24" s="393" t="str">
        <f>IF('Statement of Marks'!HG28="","",'Statement of Marks'!HG28)</f>
        <v/>
      </c>
      <c r="S24" s="394" t="str">
        <f>IF('Statement of Marks'!FH28="","",'Statement of Marks'!FH28)</f>
        <v/>
      </c>
      <c r="BM24" s="395" t="str">
        <f>'Statement of Marks'!E28</f>
        <v/>
      </c>
      <c r="BN24" s="396" t="str">
        <f t="shared" si="0"/>
        <v/>
      </c>
      <c r="BO24" s="396" t="str">
        <f t="shared" si="1"/>
        <v/>
      </c>
      <c r="BP24" s="396" t="str">
        <f t="shared" si="2"/>
        <v/>
      </c>
      <c r="BQ24" s="396" t="str">
        <f t="shared" si="3"/>
        <v/>
      </c>
      <c r="BR24" s="396" t="str">
        <f t="shared" si="4"/>
        <v/>
      </c>
      <c r="BS24" s="396" t="str">
        <f t="shared" si="5"/>
        <v/>
      </c>
      <c r="BT24" s="396" t="str">
        <f t="shared" si="6"/>
        <v/>
      </c>
      <c r="BU24" s="396" t="str">
        <f t="shared" si="7"/>
        <v/>
      </c>
      <c r="BV24" s="396" t="str">
        <f t="shared" si="8"/>
        <v/>
      </c>
      <c r="BW24" s="396" t="str">
        <f t="shared" si="9"/>
        <v/>
      </c>
      <c r="BX24" s="396" t="str">
        <f t="shared" si="10"/>
        <v/>
      </c>
      <c r="BY24" s="396" t="str">
        <f t="shared" si="11"/>
        <v/>
      </c>
      <c r="BZ24" s="397"/>
    </row>
    <row r="25" spans="1:78" ht="14.1" customHeight="1">
      <c r="A25" s="386">
        <f>IF('Statement of Marks'!A29="","",'Statement of Marks'!A29)</f>
        <v>22</v>
      </c>
      <c r="B25" s="840" t="str">
        <f>IF('Statement of Marks'!B29="","",'Statement of Marks'!B29)</f>
        <v/>
      </c>
      <c r="C25" s="841" t="str">
        <f>IF('Statement of Marks'!C29="","",'Statement of Marks'!C29)</f>
        <v/>
      </c>
      <c r="D25" s="833" t="str">
        <f>IF('Statement of Marks'!D29="","",'Statement of Marks'!D29)</f>
        <v/>
      </c>
      <c r="E25" s="387" t="str">
        <f>IF('Statement of Marks'!E29="","",'Statement of Marks'!E29)</f>
        <v/>
      </c>
      <c r="F25" s="387" t="str">
        <f>IF('Statement of Marks'!F29="","",'Statement of Marks'!F29)</f>
        <v/>
      </c>
      <c r="G25" s="387" t="str">
        <f>IF('Statement of Marks'!G29="","",'Statement of Marks'!G29)</f>
        <v/>
      </c>
      <c r="H25" s="388" t="str">
        <f>IF('Statement of Marks'!H29="","",'Statement of Marks'!H29)</f>
        <v/>
      </c>
      <c r="I25" s="388" t="str">
        <f>IF('Statement of Marks'!I29="","",'Statement of Marks'!I29)</f>
        <v/>
      </c>
      <c r="J25" s="598" t="str">
        <f>IF('Statement of Marks'!GY29="","",'Statement of Marks'!GY29)</f>
        <v/>
      </c>
      <c r="K25" s="834" t="str">
        <f>IF(B25="","",IF('Statement of Marks'!GZ29="","",'Statement of Marks'!GZ29))</f>
        <v/>
      </c>
      <c r="L25" s="839" t="str">
        <f>IF('Statement of Marks'!HC29="","",'Statement of Marks'!HC29)</f>
        <v/>
      </c>
      <c r="M25" s="389" t="str">
        <f>IF('Statement of Marks'!HB29="","",'Statement of Marks'!HB29)</f>
        <v/>
      </c>
      <c r="N25" s="610" t="str">
        <f>IF('Statement of Marks'!HD29="","",'Statement of Marks'!HD29)</f>
        <v/>
      </c>
      <c r="O25" s="390" t="str">
        <f>IF(J25="FAIL","",IF('Statement of Marks'!GU29="","",'Statement of Marks'!GU29))</f>
        <v xml:space="preserve">    </v>
      </c>
      <c r="P25" s="391" t="str">
        <f>IF('Supp. Result Entry'!AS28="","",'Supp. Result Entry'!AS28)</f>
        <v/>
      </c>
      <c r="Q25" s="392" t="str">
        <f>IF('Supp. Result Entry'!AT28="","",'Supp. Result Entry'!AT28)</f>
        <v/>
      </c>
      <c r="R25" s="393" t="str">
        <f>IF('Statement of Marks'!HG29="","",'Statement of Marks'!HG29)</f>
        <v/>
      </c>
      <c r="S25" s="394" t="str">
        <f>IF('Statement of Marks'!FH29="","",'Statement of Marks'!FH29)</f>
        <v/>
      </c>
      <c r="BM25" s="395" t="str">
        <f>'Statement of Marks'!E29</f>
        <v/>
      </c>
      <c r="BN25" s="396" t="str">
        <f t="shared" si="0"/>
        <v/>
      </c>
      <c r="BO25" s="396" t="str">
        <f t="shared" si="1"/>
        <v/>
      </c>
      <c r="BP25" s="396" t="str">
        <f t="shared" si="2"/>
        <v/>
      </c>
      <c r="BQ25" s="396" t="str">
        <f t="shared" si="3"/>
        <v/>
      </c>
      <c r="BR25" s="396" t="str">
        <f t="shared" si="4"/>
        <v/>
      </c>
      <c r="BS25" s="396" t="str">
        <f t="shared" si="5"/>
        <v/>
      </c>
      <c r="BT25" s="396" t="str">
        <f t="shared" si="6"/>
        <v/>
      </c>
      <c r="BU25" s="396" t="str">
        <f t="shared" si="7"/>
        <v/>
      </c>
      <c r="BV25" s="396" t="str">
        <f t="shared" si="8"/>
        <v/>
      </c>
      <c r="BW25" s="396" t="str">
        <f t="shared" si="9"/>
        <v/>
      </c>
      <c r="BX25" s="396" t="str">
        <f t="shared" si="10"/>
        <v/>
      </c>
      <c r="BY25" s="396" t="str">
        <f t="shared" si="11"/>
        <v/>
      </c>
      <c r="BZ25" s="397"/>
    </row>
    <row r="26" spans="1:78" ht="14.1" customHeight="1">
      <c r="A26" s="386">
        <f>IF('Statement of Marks'!A30="","",'Statement of Marks'!A30)</f>
        <v>23</v>
      </c>
      <c r="B26" s="840" t="str">
        <f>IF('Statement of Marks'!B30="","",'Statement of Marks'!B30)</f>
        <v/>
      </c>
      <c r="C26" s="841" t="str">
        <f>IF('Statement of Marks'!C30="","",'Statement of Marks'!C30)</f>
        <v/>
      </c>
      <c r="D26" s="833" t="str">
        <f>IF('Statement of Marks'!D30="","",'Statement of Marks'!D30)</f>
        <v/>
      </c>
      <c r="E26" s="387" t="str">
        <f>IF('Statement of Marks'!E30="","",'Statement of Marks'!E30)</f>
        <v/>
      </c>
      <c r="F26" s="387" t="str">
        <f>IF('Statement of Marks'!F30="","",'Statement of Marks'!F30)</f>
        <v/>
      </c>
      <c r="G26" s="387" t="str">
        <f>IF('Statement of Marks'!G30="","",'Statement of Marks'!G30)</f>
        <v/>
      </c>
      <c r="H26" s="388" t="str">
        <f>IF('Statement of Marks'!H30="","",'Statement of Marks'!H30)</f>
        <v/>
      </c>
      <c r="I26" s="388" t="str">
        <f>IF('Statement of Marks'!I30="","",'Statement of Marks'!I30)</f>
        <v/>
      </c>
      <c r="J26" s="598" t="str">
        <f>IF('Statement of Marks'!GY30="","",'Statement of Marks'!GY30)</f>
        <v/>
      </c>
      <c r="K26" s="834" t="str">
        <f>IF(B26="","",IF('Statement of Marks'!GZ30="","",'Statement of Marks'!GZ30))</f>
        <v/>
      </c>
      <c r="L26" s="839" t="str">
        <f>IF('Statement of Marks'!HC30="","",'Statement of Marks'!HC30)</f>
        <v/>
      </c>
      <c r="M26" s="389" t="str">
        <f>IF('Statement of Marks'!HB30="","",'Statement of Marks'!HB30)</f>
        <v/>
      </c>
      <c r="N26" s="610" t="str">
        <f>IF('Statement of Marks'!HD30="","",'Statement of Marks'!HD30)</f>
        <v/>
      </c>
      <c r="O26" s="390" t="str">
        <f>IF(J26="FAIL","",IF('Statement of Marks'!GU30="","",'Statement of Marks'!GU30))</f>
        <v xml:space="preserve">    </v>
      </c>
      <c r="P26" s="391" t="str">
        <f>IF('Supp. Result Entry'!AS29="","",'Supp. Result Entry'!AS29)</f>
        <v/>
      </c>
      <c r="Q26" s="392" t="str">
        <f>IF('Supp. Result Entry'!AT29="","",'Supp. Result Entry'!AT29)</f>
        <v/>
      </c>
      <c r="R26" s="393" t="str">
        <f>IF('Statement of Marks'!HG30="","",'Statement of Marks'!HG30)</f>
        <v/>
      </c>
      <c r="S26" s="394" t="str">
        <f>IF('Statement of Marks'!FH30="","",'Statement of Marks'!FH30)</f>
        <v/>
      </c>
      <c r="BM26" s="395" t="str">
        <f>'Statement of Marks'!E30</f>
        <v/>
      </c>
      <c r="BN26" s="396" t="str">
        <f t="shared" si="0"/>
        <v/>
      </c>
      <c r="BO26" s="396" t="str">
        <f t="shared" si="1"/>
        <v/>
      </c>
      <c r="BP26" s="396" t="str">
        <f t="shared" si="2"/>
        <v/>
      </c>
      <c r="BQ26" s="396" t="str">
        <f t="shared" si="3"/>
        <v/>
      </c>
      <c r="BR26" s="396" t="str">
        <f t="shared" si="4"/>
        <v/>
      </c>
      <c r="BS26" s="396" t="str">
        <f t="shared" si="5"/>
        <v/>
      </c>
      <c r="BT26" s="396" t="str">
        <f t="shared" si="6"/>
        <v/>
      </c>
      <c r="BU26" s="396" t="str">
        <f t="shared" si="7"/>
        <v/>
      </c>
      <c r="BV26" s="396" t="str">
        <f t="shared" si="8"/>
        <v/>
      </c>
      <c r="BW26" s="396" t="str">
        <f t="shared" si="9"/>
        <v/>
      </c>
      <c r="BX26" s="396" t="str">
        <f t="shared" si="10"/>
        <v/>
      </c>
      <c r="BY26" s="396" t="str">
        <f t="shared" si="11"/>
        <v/>
      </c>
      <c r="BZ26" s="397"/>
    </row>
    <row r="27" spans="1:78" ht="14.1" customHeight="1">
      <c r="A27" s="386">
        <f>IF('Statement of Marks'!A31="","",'Statement of Marks'!A31)</f>
        <v>24</v>
      </c>
      <c r="B27" s="840" t="str">
        <f>IF('Statement of Marks'!B31="","",'Statement of Marks'!B31)</f>
        <v/>
      </c>
      <c r="C27" s="841" t="str">
        <f>IF('Statement of Marks'!C31="","",'Statement of Marks'!C31)</f>
        <v/>
      </c>
      <c r="D27" s="833" t="str">
        <f>IF('Statement of Marks'!D31="","",'Statement of Marks'!D31)</f>
        <v/>
      </c>
      <c r="E27" s="387" t="str">
        <f>IF('Statement of Marks'!E31="","",'Statement of Marks'!E31)</f>
        <v/>
      </c>
      <c r="F27" s="387" t="str">
        <f>IF('Statement of Marks'!F31="","",'Statement of Marks'!F31)</f>
        <v/>
      </c>
      <c r="G27" s="387" t="str">
        <f>IF('Statement of Marks'!G31="","",'Statement of Marks'!G31)</f>
        <v/>
      </c>
      <c r="H27" s="388" t="str">
        <f>IF('Statement of Marks'!H31="","",'Statement of Marks'!H31)</f>
        <v/>
      </c>
      <c r="I27" s="388" t="str">
        <f>IF('Statement of Marks'!I31="","",'Statement of Marks'!I31)</f>
        <v/>
      </c>
      <c r="J27" s="598" t="str">
        <f>IF('Statement of Marks'!GY31="","",'Statement of Marks'!GY31)</f>
        <v/>
      </c>
      <c r="K27" s="834" t="str">
        <f>IF(B27="","",IF('Statement of Marks'!GZ31="","",'Statement of Marks'!GZ31))</f>
        <v/>
      </c>
      <c r="L27" s="839" t="str">
        <f>IF('Statement of Marks'!HC31="","",'Statement of Marks'!HC31)</f>
        <v/>
      </c>
      <c r="M27" s="389" t="str">
        <f>IF('Statement of Marks'!HB31="","",'Statement of Marks'!HB31)</f>
        <v/>
      </c>
      <c r="N27" s="610" t="str">
        <f>IF('Statement of Marks'!HD31="","",'Statement of Marks'!HD31)</f>
        <v/>
      </c>
      <c r="O27" s="390" t="str">
        <f>IF(J27="FAIL","",IF('Statement of Marks'!GU31="","",'Statement of Marks'!GU31))</f>
        <v xml:space="preserve">    </v>
      </c>
      <c r="P27" s="391" t="str">
        <f>IF('Supp. Result Entry'!AS30="","",'Supp. Result Entry'!AS30)</f>
        <v/>
      </c>
      <c r="Q27" s="392" t="str">
        <f>IF('Supp. Result Entry'!AT30="","",'Supp. Result Entry'!AT30)</f>
        <v/>
      </c>
      <c r="R27" s="393" t="str">
        <f>IF('Statement of Marks'!HG31="","",'Statement of Marks'!HG31)</f>
        <v/>
      </c>
      <c r="S27" s="394" t="str">
        <f>IF('Statement of Marks'!FH31="","",'Statement of Marks'!FH31)</f>
        <v/>
      </c>
      <c r="BM27" s="395" t="str">
        <f>'Statement of Marks'!E31</f>
        <v/>
      </c>
      <c r="BN27" s="396" t="str">
        <f t="shared" si="0"/>
        <v/>
      </c>
      <c r="BO27" s="396" t="str">
        <f t="shared" si="1"/>
        <v/>
      </c>
      <c r="BP27" s="396" t="str">
        <f t="shared" si="2"/>
        <v/>
      </c>
      <c r="BQ27" s="396" t="str">
        <f t="shared" si="3"/>
        <v/>
      </c>
      <c r="BR27" s="396" t="str">
        <f t="shared" si="4"/>
        <v/>
      </c>
      <c r="BS27" s="396" t="str">
        <f t="shared" si="5"/>
        <v/>
      </c>
      <c r="BT27" s="396" t="str">
        <f t="shared" si="6"/>
        <v/>
      </c>
      <c r="BU27" s="396" t="str">
        <f t="shared" si="7"/>
        <v/>
      </c>
      <c r="BV27" s="396" t="str">
        <f t="shared" si="8"/>
        <v/>
      </c>
      <c r="BW27" s="396" t="str">
        <f t="shared" si="9"/>
        <v/>
      </c>
      <c r="BX27" s="396" t="str">
        <f t="shared" si="10"/>
        <v/>
      </c>
      <c r="BY27" s="396" t="str">
        <f t="shared" si="11"/>
        <v/>
      </c>
      <c r="BZ27" s="397"/>
    </row>
    <row r="28" spans="1:78" ht="14.1" customHeight="1">
      <c r="A28" s="386">
        <f>IF('Statement of Marks'!A32="","",'Statement of Marks'!A32)</f>
        <v>25</v>
      </c>
      <c r="B28" s="840" t="str">
        <f>IF('Statement of Marks'!B32="","",'Statement of Marks'!B32)</f>
        <v/>
      </c>
      <c r="C28" s="841" t="str">
        <f>IF('Statement of Marks'!C32="","",'Statement of Marks'!C32)</f>
        <v/>
      </c>
      <c r="D28" s="833" t="str">
        <f>IF('Statement of Marks'!D32="","",'Statement of Marks'!D32)</f>
        <v/>
      </c>
      <c r="E28" s="387" t="str">
        <f>IF('Statement of Marks'!E32="","",'Statement of Marks'!E32)</f>
        <v/>
      </c>
      <c r="F28" s="387" t="str">
        <f>IF('Statement of Marks'!F32="","",'Statement of Marks'!F32)</f>
        <v/>
      </c>
      <c r="G28" s="387" t="str">
        <f>IF('Statement of Marks'!G32="","",'Statement of Marks'!G32)</f>
        <v/>
      </c>
      <c r="H28" s="388" t="str">
        <f>IF('Statement of Marks'!H32="","",'Statement of Marks'!H32)</f>
        <v/>
      </c>
      <c r="I28" s="388" t="str">
        <f>IF('Statement of Marks'!I32="","",'Statement of Marks'!I32)</f>
        <v/>
      </c>
      <c r="J28" s="598" t="str">
        <f>IF('Statement of Marks'!GY32="","",'Statement of Marks'!GY32)</f>
        <v/>
      </c>
      <c r="K28" s="834" t="str">
        <f>IF(B28="","",IF('Statement of Marks'!GZ32="","",'Statement of Marks'!GZ32))</f>
        <v/>
      </c>
      <c r="L28" s="839" t="str">
        <f>IF('Statement of Marks'!HC32="","",'Statement of Marks'!HC32)</f>
        <v/>
      </c>
      <c r="M28" s="389" t="str">
        <f>IF('Statement of Marks'!HB32="","",'Statement of Marks'!HB32)</f>
        <v/>
      </c>
      <c r="N28" s="610" t="str">
        <f>IF('Statement of Marks'!HD32="","",'Statement of Marks'!HD32)</f>
        <v/>
      </c>
      <c r="O28" s="390" t="str">
        <f>IF(J28="FAIL","",IF('Statement of Marks'!GU32="","",'Statement of Marks'!GU32))</f>
        <v xml:space="preserve">    </v>
      </c>
      <c r="P28" s="391" t="str">
        <f>IF('Supp. Result Entry'!AS31="","",'Supp. Result Entry'!AS31)</f>
        <v/>
      </c>
      <c r="Q28" s="392" t="str">
        <f>IF('Supp. Result Entry'!AT31="","",'Supp. Result Entry'!AT31)</f>
        <v/>
      </c>
      <c r="R28" s="393" t="str">
        <f>IF('Statement of Marks'!HG32="","",'Statement of Marks'!HG32)</f>
        <v/>
      </c>
      <c r="S28" s="394" t="str">
        <f>IF('Statement of Marks'!FH32="","",'Statement of Marks'!FH32)</f>
        <v/>
      </c>
      <c r="BM28" s="395" t="str">
        <f>'Statement of Marks'!E32</f>
        <v/>
      </c>
      <c r="BN28" s="396" t="str">
        <f t="shared" si="0"/>
        <v/>
      </c>
      <c r="BO28" s="396" t="str">
        <f t="shared" si="1"/>
        <v/>
      </c>
      <c r="BP28" s="396" t="str">
        <f t="shared" si="2"/>
        <v/>
      </c>
      <c r="BQ28" s="396" t="str">
        <f t="shared" si="3"/>
        <v/>
      </c>
      <c r="BR28" s="396" t="str">
        <f t="shared" si="4"/>
        <v/>
      </c>
      <c r="BS28" s="396" t="str">
        <f t="shared" si="5"/>
        <v/>
      </c>
      <c r="BT28" s="396" t="str">
        <f t="shared" si="6"/>
        <v/>
      </c>
      <c r="BU28" s="396" t="str">
        <f t="shared" si="7"/>
        <v/>
      </c>
      <c r="BV28" s="396" t="str">
        <f t="shared" si="8"/>
        <v/>
      </c>
      <c r="BW28" s="396" t="str">
        <f t="shared" si="9"/>
        <v/>
      </c>
      <c r="BX28" s="396" t="str">
        <f t="shared" si="10"/>
        <v/>
      </c>
      <c r="BY28" s="396" t="str">
        <f t="shared" si="11"/>
        <v/>
      </c>
      <c r="BZ28" s="397"/>
    </row>
    <row r="29" spans="1:78" ht="15.95" customHeight="1">
      <c r="A29" s="386">
        <f>IF('Statement of Marks'!A33="","",'Statement of Marks'!A33)</f>
        <v>26</v>
      </c>
      <c r="B29" s="840" t="str">
        <f>IF('Statement of Marks'!B33="","",'Statement of Marks'!B33)</f>
        <v/>
      </c>
      <c r="C29" s="841" t="str">
        <f>IF('Statement of Marks'!C33="","",'Statement of Marks'!C33)</f>
        <v/>
      </c>
      <c r="D29" s="833" t="str">
        <f>IF('Statement of Marks'!D33="","",'Statement of Marks'!D33)</f>
        <v/>
      </c>
      <c r="E29" s="387" t="str">
        <f>IF('Statement of Marks'!E33="","",'Statement of Marks'!E33)</f>
        <v/>
      </c>
      <c r="F29" s="387" t="str">
        <f>IF('Statement of Marks'!F33="","",'Statement of Marks'!F33)</f>
        <v/>
      </c>
      <c r="G29" s="387" t="str">
        <f>IF('Statement of Marks'!G33="","",'Statement of Marks'!G33)</f>
        <v/>
      </c>
      <c r="H29" s="388" t="str">
        <f>IF('Statement of Marks'!H33="","",'Statement of Marks'!H33)</f>
        <v/>
      </c>
      <c r="I29" s="388" t="str">
        <f>IF('Statement of Marks'!I33="","",'Statement of Marks'!I33)</f>
        <v/>
      </c>
      <c r="J29" s="598" t="str">
        <f>IF('Statement of Marks'!GY33="","",'Statement of Marks'!GY33)</f>
        <v/>
      </c>
      <c r="K29" s="834" t="str">
        <f>IF(B29="","",IF('Statement of Marks'!GZ33="","",'Statement of Marks'!GZ33))</f>
        <v/>
      </c>
      <c r="L29" s="839" t="str">
        <f>IF('Statement of Marks'!HC33="","",'Statement of Marks'!HC33)</f>
        <v/>
      </c>
      <c r="M29" s="389" t="str">
        <f>IF('Statement of Marks'!HB33="","",'Statement of Marks'!HB33)</f>
        <v/>
      </c>
      <c r="N29" s="610" t="str">
        <f>IF('Statement of Marks'!HD33="","",'Statement of Marks'!HD33)</f>
        <v/>
      </c>
      <c r="O29" s="390" t="str">
        <f>IF(J29="FAIL","",IF('Statement of Marks'!GU33="","",'Statement of Marks'!GU33))</f>
        <v xml:space="preserve">    </v>
      </c>
      <c r="P29" s="391" t="str">
        <f>IF('Supp. Result Entry'!AS32="","",'Supp. Result Entry'!AS32)</f>
        <v/>
      </c>
      <c r="Q29" s="392" t="str">
        <f>IF('Supp. Result Entry'!AT32="","",'Supp. Result Entry'!AT32)</f>
        <v/>
      </c>
      <c r="R29" s="393" t="str">
        <f>IF('Statement of Marks'!HG33="","",'Statement of Marks'!HG33)</f>
        <v/>
      </c>
      <c r="S29" s="394" t="str">
        <f>IF('Statement of Marks'!FH33="","",'Statement of Marks'!FH33)</f>
        <v/>
      </c>
      <c r="BM29" s="395" t="str">
        <f>'Statement of Marks'!E33</f>
        <v/>
      </c>
      <c r="BN29" s="396" t="str">
        <f t="shared" si="0"/>
        <v/>
      </c>
      <c r="BO29" s="396" t="str">
        <f t="shared" si="1"/>
        <v/>
      </c>
      <c r="BP29" s="396" t="str">
        <f t="shared" si="2"/>
        <v/>
      </c>
      <c r="BQ29" s="396" t="str">
        <f t="shared" si="3"/>
        <v/>
      </c>
      <c r="BR29" s="396" t="str">
        <f t="shared" si="4"/>
        <v/>
      </c>
      <c r="BS29" s="396" t="str">
        <f t="shared" si="5"/>
        <v/>
      </c>
      <c r="BT29" s="396" t="str">
        <f t="shared" si="6"/>
        <v/>
      </c>
      <c r="BU29" s="396" t="str">
        <f t="shared" si="7"/>
        <v/>
      </c>
      <c r="BV29" s="396" t="str">
        <f t="shared" si="8"/>
        <v/>
      </c>
      <c r="BW29" s="396" t="str">
        <f t="shared" si="9"/>
        <v/>
      </c>
      <c r="BX29" s="396" t="str">
        <f t="shared" si="10"/>
        <v/>
      </c>
      <c r="BY29" s="396" t="str">
        <f t="shared" si="11"/>
        <v/>
      </c>
      <c r="BZ29" s="397"/>
    </row>
    <row r="30" spans="1:78" ht="15.95" customHeight="1">
      <c r="A30" s="386">
        <f>IF('Statement of Marks'!A34="","",'Statement of Marks'!A34)</f>
        <v>27</v>
      </c>
      <c r="B30" s="840" t="str">
        <f>IF('Statement of Marks'!B34="","",'Statement of Marks'!B34)</f>
        <v/>
      </c>
      <c r="C30" s="841" t="str">
        <f>IF('Statement of Marks'!C34="","",'Statement of Marks'!C34)</f>
        <v/>
      </c>
      <c r="D30" s="833" t="str">
        <f>IF('Statement of Marks'!D34="","",'Statement of Marks'!D34)</f>
        <v/>
      </c>
      <c r="E30" s="387" t="str">
        <f>IF('Statement of Marks'!E34="","",'Statement of Marks'!E34)</f>
        <v/>
      </c>
      <c r="F30" s="387" t="str">
        <f>IF('Statement of Marks'!F34="","",'Statement of Marks'!F34)</f>
        <v/>
      </c>
      <c r="G30" s="387" t="str">
        <f>IF('Statement of Marks'!G34="","",'Statement of Marks'!G34)</f>
        <v/>
      </c>
      <c r="H30" s="388" t="str">
        <f>IF('Statement of Marks'!H34="","",'Statement of Marks'!H34)</f>
        <v/>
      </c>
      <c r="I30" s="388" t="str">
        <f>IF('Statement of Marks'!I34="","",'Statement of Marks'!I34)</f>
        <v/>
      </c>
      <c r="J30" s="598" t="str">
        <f>IF('Statement of Marks'!GY34="","",'Statement of Marks'!GY34)</f>
        <v/>
      </c>
      <c r="K30" s="834" t="str">
        <f>IF(B30="","",IF('Statement of Marks'!GZ34="","",'Statement of Marks'!GZ34))</f>
        <v/>
      </c>
      <c r="L30" s="839" t="str">
        <f>IF('Statement of Marks'!HC34="","",'Statement of Marks'!HC34)</f>
        <v/>
      </c>
      <c r="M30" s="389" t="str">
        <f>IF('Statement of Marks'!HB34="","",'Statement of Marks'!HB34)</f>
        <v/>
      </c>
      <c r="N30" s="610" t="str">
        <f>IF('Statement of Marks'!HD34="","",'Statement of Marks'!HD34)</f>
        <v/>
      </c>
      <c r="O30" s="390" t="str">
        <f>IF(J30="FAIL","",IF('Statement of Marks'!GU34="","",'Statement of Marks'!GU34))</f>
        <v xml:space="preserve">    </v>
      </c>
      <c r="P30" s="391" t="str">
        <f>IF('Supp. Result Entry'!AS33="","",'Supp. Result Entry'!AS33)</f>
        <v/>
      </c>
      <c r="Q30" s="392" t="str">
        <f>IF('Supp. Result Entry'!AT33="","",'Supp. Result Entry'!AT33)</f>
        <v/>
      </c>
      <c r="R30" s="393" t="str">
        <f>IF('Statement of Marks'!HG34="","",'Statement of Marks'!HG34)</f>
        <v/>
      </c>
      <c r="S30" s="394" t="str">
        <f>IF('Statement of Marks'!FH34="","",'Statement of Marks'!FH34)</f>
        <v/>
      </c>
      <c r="BM30" s="395" t="str">
        <f>'Statement of Marks'!E34</f>
        <v/>
      </c>
      <c r="BN30" s="396" t="str">
        <f t="shared" si="0"/>
        <v/>
      </c>
      <c r="BO30" s="396" t="str">
        <f t="shared" si="1"/>
        <v/>
      </c>
      <c r="BP30" s="396" t="str">
        <f t="shared" si="2"/>
        <v/>
      </c>
      <c r="BQ30" s="396" t="str">
        <f t="shared" si="3"/>
        <v/>
      </c>
      <c r="BR30" s="396" t="str">
        <f t="shared" si="4"/>
        <v/>
      </c>
      <c r="BS30" s="396" t="str">
        <f t="shared" si="5"/>
        <v/>
      </c>
      <c r="BT30" s="396" t="str">
        <f t="shared" si="6"/>
        <v/>
      </c>
      <c r="BU30" s="396" t="str">
        <f t="shared" si="7"/>
        <v/>
      </c>
      <c r="BV30" s="396" t="str">
        <f t="shared" si="8"/>
        <v/>
      </c>
      <c r="BW30" s="396" t="str">
        <f t="shared" si="9"/>
        <v/>
      </c>
      <c r="BX30" s="396" t="str">
        <f t="shared" si="10"/>
        <v/>
      </c>
      <c r="BY30" s="396" t="str">
        <f t="shared" si="11"/>
        <v/>
      </c>
      <c r="BZ30" s="397"/>
    </row>
    <row r="31" spans="1:78" ht="15.95" customHeight="1">
      <c r="A31" s="386">
        <f>IF('Statement of Marks'!A35="","",'Statement of Marks'!A35)</f>
        <v>28</v>
      </c>
      <c r="B31" s="840" t="str">
        <f>IF('Statement of Marks'!B35="","",'Statement of Marks'!B35)</f>
        <v/>
      </c>
      <c r="C31" s="841" t="str">
        <f>IF('Statement of Marks'!C35="","",'Statement of Marks'!C35)</f>
        <v/>
      </c>
      <c r="D31" s="833" t="str">
        <f>IF('Statement of Marks'!D35="","",'Statement of Marks'!D35)</f>
        <v/>
      </c>
      <c r="E31" s="387" t="str">
        <f>IF('Statement of Marks'!E35="","",'Statement of Marks'!E35)</f>
        <v/>
      </c>
      <c r="F31" s="387" t="str">
        <f>IF('Statement of Marks'!F35="","",'Statement of Marks'!F35)</f>
        <v/>
      </c>
      <c r="G31" s="387" t="str">
        <f>IF('Statement of Marks'!G35="","",'Statement of Marks'!G35)</f>
        <v/>
      </c>
      <c r="H31" s="388" t="str">
        <f>IF('Statement of Marks'!H35="","",'Statement of Marks'!H35)</f>
        <v/>
      </c>
      <c r="I31" s="388" t="str">
        <f>IF('Statement of Marks'!I35="","",'Statement of Marks'!I35)</f>
        <v/>
      </c>
      <c r="J31" s="598" t="str">
        <f>IF('Statement of Marks'!GY35="","",'Statement of Marks'!GY35)</f>
        <v/>
      </c>
      <c r="K31" s="834" t="str">
        <f>IF(B31="","",IF('Statement of Marks'!GZ35="","",'Statement of Marks'!GZ35))</f>
        <v/>
      </c>
      <c r="L31" s="839" t="str">
        <f>IF('Statement of Marks'!HC35="","",'Statement of Marks'!HC35)</f>
        <v/>
      </c>
      <c r="M31" s="389" t="str">
        <f>IF('Statement of Marks'!HB35="","",'Statement of Marks'!HB35)</f>
        <v/>
      </c>
      <c r="N31" s="610" t="str">
        <f>IF('Statement of Marks'!HD35="","",'Statement of Marks'!HD35)</f>
        <v/>
      </c>
      <c r="O31" s="390" t="str">
        <f>IF(J31="FAIL","",IF('Statement of Marks'!GU35="","",'Statement of Marks'!GU35))</f>
        <v xml:space="preserve">    </v>
      </c>
      <c r="P31" s="391" t="str">
        <f>IF('Supp. Result Entry'!AS34="","",'Supp. Result Entry'!AS34)</f>
        <v/>
      </c>
      <c r="Q31" s="392" t="str">
        <f>IF('Supp. Result Entry'!AT34="","",'Supp. Result Entry'!AT34)</f>
        <v/>
      </c>
      <c r="R31" s="393" t="str">
        <f>IF('Statement of Marks'!HG35="","",'Statement of Marks'!HG35)</f>
        <v/>
      </c>
      <c r="S31" s="394" t="str">
        <f>IF('Statement of Marks'!FH35="","",'Statement of Marks'!FH35)</f>
        <v/>
      </c>
      <c r="BM31" s="395" t="str">
        <f>'Statement of Marks'!E35</f>
        <v/>
      </c>
      <c r="BN31" s="396" t="str">
        <f t="shared" si="0"/>
        <v/>
      </c>
      <c r="BO31" s="396" t="str">
        <f t="shared" si="1"/>
        <v/>
      </c>
      <c r="BP31" s="396" t="str">
        <f t="shared" si="2"/>
        <v/>
      </c>
      <c r="BQ31" s="396" t="str">
        <f t="shared" si="3"/>
        <v/>
      </c>
      <c r="BR31" s="396" t="str">
        <f t="shared" si="4"/>
        <v/>
      </c>
      <c r="BS31" s="396" t="str">
        <f t="shared" si="5"/>
        <v/>
      </c>
      <c r="BT31" s="396" t="str">
        <f t="shared" si="6"/>
        <v/>
      </c>
      <c r="BU31" s="396" t="str">
        <f t="shared" si="7"/>
        <v/>
      </c>
      <c r="BV31" s="396" t="str">
        <f t="shared" si="8"/>
        <v/>
      </c>
      <c r="BW31" s="396" t="str">
        <f t="shared" si="9"/>
        <v/>
      </c>
      <c r="BX31" s="396" t="str">
        <f t="shared" si="10"/>
        <v/>
      </c>
      <c r="BY31" s="396" t="str">
        <f t="shared" si="11"/>
        <v/>
      </c>
      <c r="BZ31" s="397"/>
    </row>
    <row r="32" spans="1:78" ht="15.95" customHeight="1">
      <c r="A32" s="386">
        <f>IF('Statement of Marks'!A36="","",'Statement of Marks'!A36)</f>
        <v>29</v>
      </c>
      <c r="B32" s="840" t="str">
        <f>IF('Statement of Marks'!B36="","",'Statement of Marks'!B36)</f>
        <v/>
      </c>
      <c r="C32" s="841" t="str">
        <f>IF('Statement of Marks'!C36="","",'Statement of Marks'!C36)</f>
        <v/>
      </c>
      <c r="D32" s="833" t="str">
        <f>IF('Statement of Marks'!D36="","",'Statement of Marks'!D36)</f>
        <v/>
      </c>
      <c r="E32" s="387" t="str">
        <f>IF('Statement of Marks'!E36="","",'Statement of Marks'!E36)</f>
        <v/>
      </c>
      <c r="F32" s="387" t="str">
        <f>IF('Statement of Marks'!F36="","",'Statement of Marks'!F36)</f>
        <v/>
      </c>
      <c r="G32" s="387" t="str">
        <f>IF('Statement of Marks'!G36="","",'Statement of Marks'!G36)</f>
        <v/>
      </c>
      <c r="H32" s="388" t="str">
        <f>IF('Statement of Marks'!H36="","",'Statement of Marks'!H36)</f>
        <v/>
      </c>
      <c r="I32" s="388" t="str">
        <f>IF('Statement of Marks'!I36="","",'Statement of Marks'!I36)</f>
        <v/>
      </c>
      <c r="J32" s="598" t="str">
        <f>IF('Statement of Marks'!GY36="","",'Statement of Marks'!GY36)</f>
        <v/>
      </c>
      <c r="K32" s="834" t="str">
        <f>IF(B32="","",IF('Statement of Marks'!GZ36="","",'Statement of Marks'!GZ36))</f>
        <v/>
      </c>
      <c r="L32" s="839" t="str">
        <f>IF('Statement of Marks'!HC36="","",'Statement of Marks'!HC36)</f>
        <v/>
      </c>
      <c r="M32" s="389" t="str">
        <f>IF('Statement of Marks'!HB36="","",'Statement of Marks'!HB36)</f>
        <v/>
      </c>
      <c r="N32" s="610" t="str">
        <f>IF('Statement of Marks'!HD36="","",'Statement of Marks'!HD36)</f>
        <v/>
      </c>
      <c r="O32" s="390" t="str">
        <f>IF(J32="FAIL","",IF('Statement of Marks'!GU36="","",'Statement of Marks'!GU36))</f>
        <v xml:space="preserve">    </v>
      </c>
      <c r="P32" s="391" t="str">
        <f>IF('Supp. Result Entry'!AS35="","",'Supp. Result Entry'!AS35)</f>
        <v/>
      </c>
      <c r="Q32" s="392" t="str">
        <f>IF('Supp. Result Entry'!AT35="","",'Supp. Result Entry'!AT35)</f>
        <v/>
      </c>
      <c r="R32" s="393" t="str">
        <f>IF('Statement of Marks'!HG36="","",'Statement of Marks'!HG36)</f>
        <v/>
      </c>
      <c r="S32" s="394" t="str">
        <f>IF('Statement of Marks'!FH36="","",'Statement of Marks'!FH36)</f>
        <v/>
      </c>
      <c r="BM32" s="395" t="str">
        <f>'Statement of Marks'!E36</f>
        <v/>
      </c>
      <c r="BN32" s="396" t="str">
        <f t="shared" si="0"/>
        <v/>
      </c>
      <c r="BO32" s="396" t="str">
        <f t="shared" si="1"/>
        <v/>
      </c>
      <c r="BP32" s="396" t="str">
        <f t="shared" si="2"/>
        <v/>
      </c>
      <c r="BQ32" s="396" t="str">
        <f t="shared" si="3"/>
        <v/>
      </c>
      <c r="BR32" s="396" t="str">
        <f t="shared" si="4"/>
        <v/>
      </c>
      <c r="BS32" s="396" t="str">
        <f t="shared" si="5"/>
        <v/>
      </c>
      <c r="BT32" s="396" t="str">
        <f t="shared" si="6"/>
        <v/>
      </c>
      <c r="BU32" s="396" t="str">
        <f t="shared" si="7"/>
        <v/>
      </c>
      <c r="BV32" s="396" t="str">
        <f t="shared" si="8"/>
        <v/>
      </c>
      <c r="BW32" s="396" t="str">
        <f t="shared" si="9"/>
        <v/>
      </c>
      <c r="BX32" s="396" t="str">
        <f t="shared" si="10"/>
        <v/>
      </c>
      <c r="BY32" s="396" t="str">
        <f t="shared" si="11"/>
        <v/>
      </c>
      <c r="BZ32" s="397"/>
    </row>
    <row r="33" spans="1:78" ht="15.95" customHeight="1">
      <c r="A33" s="386">
        <f>IF('Statement of Marks'!A37="","",'Statement of Marks'!A37)</f>
        <v>30</v>
      </c>
      <c r="B33" s="840" t="str">
        <f>IF('Statement of Marks'!B37="","",'Statement of Marks'!B37)</f>
        <v/>
      </c>
      <c r="C33" s="841" t="str">
        <f>IF('Statement of Marks'!C37="","",'Statement of Marks'!C37)</f>
        <v/>
      </c>
      <c r="D33" s="833" t="str">
        <f>IF('Statement of Marks'!D37="","",'Statement of Marks'!D37)</f>
        <v/>
      </c>
      <c r="E33" s="387" t="str">
        <f>IF('Statement of Marks'!E37="","",'Statement of Marks'!E37)</f>
        <v/>
      </c>
      <c r="F33" s="387" t="str">
        <f>IF('Statement of Marks'!F37="","",'Statement of Marks'!F37)</f>
        <v/>
      </c>
      <c r="G33" s="387" t="str">
        <f>IF('Statement of Marks'!G37="","",'Statement of Marks'!G37)</f>
        <v/>
      </c>
      <c r="H33" s="388" t="str">
        <f>IF('Statement of Marks'!H37="","",'Statement of Marks'!H37)</f>
        <v/>
      </c>
      <c r="I33" s="388" t="str">
        <f>IF('Statement of Marks'!I37="","",'Statement of Marks'!I37)</f>
        <v/>
      </c>
      <c r="J33" s="598" t="str">
        <f>IF('Statement of Marks'!GY37="","",'Statement of Marks'!GY37)</f>
        <v/>
      </c>
      <c r="K33" s="834" t="str">
        <f>IF(B33="","",IF('Statement of Marks'!GZ37="","",'Statement of Marks'!GZ37))</f>
        <v/>
      </c>
      <c r="L33" s="839" t="str">
        <f>IF('Statement of Marks'!HC37="","",'Statement of Marks'!HC37)</f>
        <v/>
      </c>
      <c r="M33" s="389" t="str">
        <f>IF('Statement of Marks'!HB37="","",'Statement of Marks'!HB37)</f>
        <v/>
      </c>
      <c r="N33" s="610" t="str">
        <f>IF('Statement of Marks'!HD37="","",'Statement of Marks'!HD37)</f>
        <v/>
      </c>
      <c r="O33" s="390" t="str">
        <f>IF(J33="FAIL","",IF('Statement of Marks'!GU37="","",'Statement of Marks'!GU37))</f>
        <v xml:space="preserve">    </v>
      </c>
      <c r="P33" s="391" t="str">
        <f>IF('Supp. Result Entry'!AS36="","",'Supp. Result Entry'!AS36)</f>
        <v/>
      </c>
      <c r="Q33" s="392" t="str">
        <f>IF('Supp. Result Entry'!AT36="","",'Supp. Result Entry'!AT36)</f>
        <v/>
      </c>
      <c r="R33" s="393" t="str">
        <f>IF('Statement of Marks'!HG37="","",'Statement of Marks'!HG37)</f>
        <v/>
      </c>
      <c r="S33" s="394" t="str">
        <f>IF('Statement of Marks'!FH37="","",'Statement of Marks'!FH37)</f>
        <v/>
      </c>
      <c r="BM33" s="395" t="str">
        <f>'Statement of Marks'!E37</f>
        <v/>
      </c>
      <c r="BN33" s="396" t="str">
        <f t="shared" si="0"/>
        <v/>
      </c>
      <c r="BO33" s="396" t="str">
        <f t="shared" si="1"/>
        <v/>
      </c>
      <c r="BP33" s="396" t="str">
        <f t="shared" si="2"/>
        <v/>
      </c>
      <c r="BQ33" s="396" t="str">
        <f t="shared" si="3"/>
        <v/>
      </c>
      <c r="BR33" s="396" t="str">
        <f t="shared" si="4"/>
        <v/>
      </c>
      <c r="BS33" s="396" t="str">
        <f t="shared" si="5"/>
        <v/>
      </c>
      <c r="BT33" s="396" t="str">
        <f t="shared" si="6"/>
        <v/>
      </c>
      <c r="BU33" s="396" t="str">
        <f t="shared" si="7"/>
        <v/>
      </c>
      <c r="BV33" s="396" t="str">
        <f t="shared" si="8"/>
        <v/>
      </c>
      <c r="BW33" s="396" t="str">
        <f t="shared" si="9"/>
        <v/>
      </c>
      <c r="BX33" s="396" t="str">
        <f t="shared" si="10"/>
        <v/>
      </c>
      <c r="BY33" s="396" t="str">
        <f t="shared" si="11"/>
        <v/>
      </c>
      <c r="BZ33" s="397"/>
    </row>
    <row r="34" spans="1:78" ht="15.95" customHeight="1">
      <c r="A34" s="386">
        <f>IF('Statement of Marks'!A38="","",'Statement of Marks'!A38)</f>
        <v>31</v>
      </c>
      <c r="B34" s="840" t="str">
        <f>IF('Statement of Marks'!B38="","",'Statement of Marks'!B38)</f>
        <v/>
      </c>
      <c r="C34" s="841" t="str">
        <f>IF('Statement of Marks'!C38="","",'Statement of Marks'!C38)</f>
        <v/>
      </c>
      <c r="D34" s="833" t="str">
        <f>IF('Statement of Marks'!D38="","",'Statement of Marks'!D38)</f>
        <v/>
      </c>
      <c r="E34" s="387" t="str">
        <f>IF('Statement of Marks'!E38="","",'Statement of Marks'!E38)</f>
        <v/>
      </c>
      <c r="F34" s="387" t="str">
        <f>IF('Statement of Marks'!F38="","",'Statement of Marks'!F38)</f>
        <v/>
      </c>
      <c r="G34" s="387" t="str">
        <f>IF('Statement of Marks'!G38="","",'Statement of Marks'!G38)</f>
        <v/>
      </c>
      <c r="H34" s="388" t="str">
        <f>IF('Statement of Marks'!H38="","",'Statement of Marks'!H38)</f>
        <v/>
      </c>
      <c r="I34" s="388" t="str">
        <f>IF('Statement of Marks'!I38="","",'Statement of Marks'!I38)</f>
        <v/>
      </c>
      <c r="J34" s="598" t="str">
        <f>IF('Statement of Marks'!GY38="","",'Statement of Marks'!GY38)</f>
        <v/>
      </c>
      <c r="K34" s="834" t="str">
        <f>IF(B34="","",IF('Statement of Marks'!GZ38="","",'Statement of Marks'!GZ38))</f>
        <v/>
      </c>
      <c r="L34" s="839" t="str">
        <f>IF('Statement of Marks'!HC38="","",'Statement of Marks'!HC38)</f>
        <v/>
      </c>
      <c r="M34" s="389" t="str">
        <f>IF('Statement of Marks'!HB38="","",'Statement of Marks'!HB38)</f>
        <v/>
      </c>
      <c r="N34" s="610" t="str">
        <f>IF('Statement of Marks'!HD38="","",'Statement of Marks'!HD38)</f>
        <v/>
      </c>
      <c r="O34" s="390" t="str">
        <f>IF(J34="FAIL","",IF('Statement of Marks'!GU38="","",'Statement of Marks'!GU38))</f>
        <v xml:space="preserve">    </v>
      </c>
      <c r="P34" s="391" t="str">
        <f>IF('Supp. Result Entry'!AS37="","",'Supp. Result Entry'!AS37)</f>
        <v/>
      </c>
      <c r="Q34" s="392" t="str">
        <f>IF('Supp. Result Entry'!AT37="","",'Supp. Result Entry'!AT37)</f>
        <v/>
      </c>
      <c r="R34" s="393" t="str">
        <f>IF('Statement of Marks'!HG38="","",'Statement of Marks'!HG38)</f>
        <v/>
      </c>
      <c r="S34" s="394" t="str">
        <f>IF('Statement of Marks'!FH38="","",'Statement of Marks'!FH38)</f>
        <v/>
      </c>
      <c r="BM34" s="395" t="str">
        <f>'Statement of Marks'!E38</f>
        <v/>
      </c>
      <c r="BN34" s="396" t="str">
        <f t="shared" si="0"/>
        <v/>
      </c>
      <c r="BO34" s="396" t="str">
        <f t="shared" si="1"/>
        <v/>
      </c>
      <c r="BP34" s="396" t="str">
        <f t="shared" si="2"/>
        <v/>
      </c>
      <c r="BQ34" s="396" t="str">
        <f t="shared" si="3"/>
        <v/>
      </c>
      <c r="BR34" s="396" t="str">
        <f t="shared" si="4"/>
        <v/>
      </c>
      <c r="BS34" s="396" t="str">
        <f t="shared" si="5"/>
        <v/>
      </c>
      <c r="BT34" s="396" t="str">
        <f t="shared" si="6"/>
        <v/>
      </c>
      <c r="BU34" s="396" t="str">
        <f t="shared" si="7"/>
        <v/>
      </c>
      <c r="BV34" s="396" t="str">
        <f t="shared" si="8"/>
        <v/>
      </c>
      <c r="BW34" s="396" t="str">
        <f t="shared" si="9"/>
        <v/>
      </c>
      <c r="BX34" s="396" t="str">
        <f t="shared" si="10"/>
        <v/>
      </c>
      <c r="BY34" s="396" t="str">
        <f t="shared" si="11"/>
        <v/>
      </c>
      <c r="BZ34" s="397"/>
    </row>
    <row r="35" spans="1:78" ht="15.95" customHeight="1">
      <c r="A35" s="386">
        <f>IF('Statement of Marks'!A39="","",'Statement of Marks'!A39)</f>
        <v>32</v>
      </c>
      <c r="B35" s="840" t="str">
        <f>IF('Statement of Marks'!B39="","",'Statement of Marks'!B39)</f>
        <v/>
      </c>
      <c r="C35" s="841" t="str">
        <f>IF('Statement of Marks'!C39="","",'Statement of Marks'!C39)</f>
        <v/>
      </c>
      <c r="D35" s="833" t="str">
        <f>IF('Statement of Marks'!D39="","",'Statement of Marks'!D39)</f>
        <v/>
      </c>
      <c r="E35" s="387" t="str">
        <f>IF('Statement of Marks'!E39="","",'Statement of Marks'!E39)</f>
        <v/>
      </c>
      <c r="F35" s="387" t="str">
        <f>IF('Statement of Marks'!F39="","",'Statement of Marks'!F39)</f>
        <v/>
      </c>
      <c r="G35" s="387" t="str">
        <f>IF('Statement of Marks'!G39="","",'Statement of Marks'!G39)</f>
        <v/>
      </c>
      <c r="H35" s="388" t="str">
        <f>IF('Statement of Marks'!H39="","",'Statement of Marks'!H39)</f>
        <v/>
      </c>
      <c r="I35" s="388" t="str">
        <f>IF('Statement of Marks'!I39="","",'Statement of Marks'!I39)</f>
        <v/>
      </c>
      <c r="J35" s="598" t="str">
        <f>IF('Statement of Marks'!GY39="","",'Statement of Marks'!GY39)</f>
        <v/>
      </c>
      <c r="K35" s="834" t="str">
        <f>IF(B35="","",IF('Statement of Marks'!GZ39="","",'Statement of Marks'!GZ39))</f>
        <v/>
      </c>
      <c r="L35" s="839" t="str">
        <f>IF('Statement of Marks'!HC39="","",'Statement of Marks'!HC39)</f>
        <v/>
      </c>
      <c r="M35" s="389" t="str">
        <f>IF('Statement of Marks'!HB39="","",'Statement of Marks'!HB39)</f>
        <v/>
      </c>
      <c r="N35" s="610" t="str">
        <f>IF('Statement of Marks'!HD39="","",'Statement of Marks'!HD39)</f>
        <v/>
      </c>
      <c r="O35" s="390" t="str">
        <f>IF(J35="FAIL","",IF('Statement of Marks'!GU39="","",'Statement of Marks'!GU39))</f>
        <v xml:space="preserve">    </v>
      </c>
      <c r="P35" s="391" t="str">
        <f>IF('Supp. Result Entry'!AS38="","",'Supp. Result Entry'!AS38)</f>
        <v/>
      </c>
      <c r="Q35" s="392" t="str">
        <f>IF('Supp. Result Entry'!AT38="","",'Supp. Result Entry'!AT38)</f>
        <v/>
      </c>
      <c r="R35" s="393" t="str">
        <f>IF('Statement of Marks'!HG39="","",'Statement of Marks'!HG39)</f>
        <v/>
      </c>
      <c r="S35" s="394" t="str">
        <f>IF('Statement of Marks'!FH39="","",'Statement of Marks'!FH39)</f>
        <v/>
      </c>
      <c r="BM35" s="395" t="str">
        <f>'Statement of Marks'!E39</f>
        <v/>
      </c>
      <c r="BN35" s="396" t="str">
        <f t="shared" si="0"/>
        <v/>
      </c>
      <c r="BO35" s="396" t="str">
        <f t="shared" si="1"/>
        <v/>
      </c>
      <c r="BP35" s="396" t="str">
        <f t="shared" si="2"/>
        <v/>
      </c>
      <c r="BQ35" s="396" t="str">
        <f t="shared" si="3"/>
        <v/>
      </c>
      <c r="BR35" s="396" t="str">
        <f t="shared" si="4"/>
        <v/>
      </c>
      <c r="BS35" s="396" t="str">
        <f t="shared" si="5"/>
        <v/>
      </c>
      <c r="BT35" s="396" t="str">
        <f t="shared" si="6"/>
        <v/>
      </c>
      <c r="BU35" s="396" t="str">
        <f t="shared" si="7"/>
        <v/>
      </c>
      <c r="BV35" s="396" t="str">
        <f t="shared" si="8"/>
        <v/>
      </c>
      <c r="BW35" s="396" t="str">
        <f t="shared" si="9"/>
        <v/>
      </c>
      <c r="BX35" s="396" t="str">
        <f t="shared" si="10"/>
        <v/>
      </c>
      <c r="BY35" s="396" t="str">
        <f t="shared" si="11"/>
        <v/>
      </c>
      <c r="BZ35" s="397"/>
    </row>
    <row r="36" spans="1:78" ht="15.95" customHeight="1">
      <c r="A36" s="386">
        <f>IF('Statement of Marks'!A40="","",'Statement of Marks'!A40)</f>
        <v>33</v>
      </c>
      <c r="B36" s="840" t="str">
        <f>IF('Statement of Marks'!B40="","",'Statement of Marks'!B40)</f>
        <v/>
      </c>
      <c r="C36" s="841" t="str">
        <f>IF('Statement of Marks'!C40="","",'Statement of Marks'!C40)</f>
        <v/>
      </c>
      <c r="D36" s="833" t="str">
        <f>IF('Statement of Marks'!D40="","",'Statement of Marks'!D40)</f>
        <v/>
      </c>
      <c r="E36" s="387" t="str">
        <f>IF('Statement of Marks'!E40="","",'Statement of Marks'!E40)</f>
        <v/>
      </c>
      <c r="F36" s="387" t="str">
        <f>IF('Statement of Marks'!F40="","",'Statement of Marks'!F40)</f>
        <v/>
      </c>
      <c r="G36" s="387" t="str">
        <f>IF('Statement of Marks'!G40="","",'Statement of Marks'!G40)</f>
        <v/>
      </c>
      <c r="H36" s="388" t="str">
        <f>IF('Statement of Marks'!H40="","",'Statement of Marks'!H40)</f>
        <v/>
      </c>
      <c r="I36" s="388" t="str">
        <f>IF('Statement of Marks'!I40="","",'Statement of Marks'!I40)</f>
        <v/>
      </c>
      <c r="J36" s="598" t="str">
        <f>IF('Statement of Marks'!GY40="","",'Statement of Marks'!GY40)</f>
        <v/>
      </c>
      <c r="K36" s="834" t="str">
        <f>IF(B36="","",IF('Statement of Marks'!GZ40="","",'Statement of Marks'!GZ40))</f>
        <v/>
      </c>
      <c r="L36" s="839" t="str">
        <f>IF('Statement of Marks'!HC40="","",'Statement of Marks'!HC40)</f>
        <v/>
      </c>
      <c r="M36" s="389" t="str">
        <f>IF('Statement of Marks'!HB40="","",'Statement of Marks'!HB40)</f>
        <v/>
      </c>
      <c r="N36" s="610" t="str">
        <f>IF('Statement of Marks'!HD40="","",'Statement of Marks'!HD40)</f>
        <v/>
      </c>
      <c r="O36" s="390" t="str">
        <f>IF(J36="FAIL","",IF('Statement of Marks'!GU40="","",'Statement of Marks'!GU40))</f>
        <v xml:space="preserve">    </v>
      </c>
      <c r="P36" s="391" t="str">
        <f>IF('Supp. Result Entry'!AS39="","",'Supp. Result Entry'!AS39)</f>
        <v/>
      </c>
      <c r="Q36" s="392" t="str">
        <f>IF('Supp. Result Entry'!AT39="","",'Supp. Result Entry'!AT39)</f>
        <v/>
      </c>
      <c r="R36" s="393" t="str">
        <f>IF('Statement of Marks'!HG40="","",'Statement of Marks'!HG40)</f>
        <v/>
      </c>
      <c r="S36" s="394" t="str">
        <f>IF('Statement of Marks'!FH40="","",'Statement of Marks'!FH40)</f>
        <v/>
      </c>
      <c r="BM36" s="395" t="str">
        <f>'Statement of Marks'!E40</f>
        <v/>
      </c>
      <c r="BN36" s="396" t="str">
        <f t="shared" si="0"/>
        <v/>
      </c>
      <c r="BO36" s="396" t="str">
        <f t="shared" si="1"/>
        <v/>
      </c>
      <c r="BP36" s="396" t="str">
        <f t="shared" si="2"/>
        <v/>
      </c>
      <c r="BQ36" s="396" t="str">
        <f t="shared" si="3"/>
        <v/>
      </c>
      <c r="BR36" s="396" t="str">
        <f t="shared" si="4"/>
        <v/>
      </c>
      <c r="BS36" s="396" t="str">
        <f t="shared" si="5"/>
        <v/>
      </c>
      <c r="BT36" s="396" t="str">
        <f t="shared" si="6"/>
        <v/>
      </c>
      <c r="BU36" s="396" t="str">
        <f t="shared" si="7"/>
        <v/>
      </c>
      <c r="BV36" s="396" t="str">
        <f t="shared" si="8"/>
        <v/>
      </c>
      <c r="BW36" s="396" t="str">
        <f t="shared" si="9"/>
        <v/>
      </c>
      <c r="BX36" s="396" t="str">
        <f t="shared" si="10"/>
        <v/>
      </c>
      <c r="BY36" s="396" t="str">
        <f t="shared" si="11"/>
        <v/>
      </c>
      <c r="BZ36" s="397"/>
    </row>
    <row r="37" spans="1:78" ht="15.95" customHeight="1">
      <c r="A37" s="386">
        <f>IF('Statement of Marks'!A41="","",'Statement of Marks'!A41)</f>
        <v>34</v>
      </c>
      <c r="B37" s="840" t="str">
        <f>IF('Statement of Marks'!B41="","",'Statement of Marks'!B41)</f>
        <v/>
      </c>
      <c r="C37" s="841" t="str">
        <f>IF('Statement of Marks'!C41="","",'Statement of Marks'!C41)</f>
        <v/>
      </c>
      <c r="D37" s="833" t="str">
        <f>IF('Statement of Marks'!D41="","",'Statement of Marks'!D41)</f>
        <v/>
      </c>
      <c r="E37" s="387" t="str">
        <f>IF('Statement of Marks'!E41="","",'Statement of Marks'!E41)</f>
        <v/>
      </c>
      <c r="F37" s="387" t="str">
        <f>IF('Statement of Marks'!F41="","",'Statement of Marks'!F41)</f>
        <v/>
      </c>
      <c r="G37" s="387" t="str">
        <f>IF('Statement of Marks'!G41="","",'Statement of Marks'!G41)</f>
        <v/>
      </c>
      <c r="H37" s="388" t="str">
        <f>IF('Statement of Marks'!H41="","",'Statement of Marks'!H41)</f>
        <v/>
      </c>
      <c r="I37" s="388" t="str">
        <f>IF('Statement of Marks'!I41="","",'Statement of Marks'!I41)</f>
        <v/>
      </c>
      <c r="J37" s="598" t="str">
        <f>IF('Statement of Marks'!GY41="","",'Statement of Marks'!GY41)</f>
        <v/>
      </c>
      <c r="K37" s="834" t="str">
        <f>IF(B37="","",IF('Statement of Marks'!GZ41="","",'Statement of Marks'!GZ41))</f>
        <v/>
      </c>
      <c r="L37" s="839" t="str">
        <f>IF('Statement of Marks'!HC41="","",'Statement of Marks'!HC41)</f>
        <v/>
      </c>
      <c r="M37" s="389" t="str">
        <f>IF('Statement of Marks'!HB41="","",'Statement of Marks'!HB41)</f>
        <v/>
      </c>
      <c r="N37" s="610" t="str">
        <f>IF('Statement of Marks'!HD41="","",'Statement of Marks'!HD41)</f>
        <v/>
      </c>
      <c r="O37" s="390" t="str">
        <f>IF(J37="FAIL","",IF('Statement of Marks'!GU41="","",'Statement of Marks'!GU41))</f>
        <v xml:space="preserve">    </v>
      </c>
      <c r="P37" s="391" t="str">
        <f>IF('Supp. Result Entry'!AS40="","",'Supp. Result Entry'!AS40)</f>
        <v/>
      </c>
      <c r="Q37" s="392" t="str">
        <f>IF('Supp. Result Entry'!AT40="","",'Supp. Result Entry'!AT40)</f>
        <v/>
      </c>
      <c r="R37" s="393" t="str">
        <f>IF('Statement of Marks'!HG41="","",'Statement of Marks'!HG41)</f>
        <v/>
      </c>
      <c r="S37" s="394" t="str">
        <f>IF('Statement of Marks'!FH41="","",'Statement of Marks'!FH41)</f>
        <v/>
      </c>
      <c r="BM37" s="395" t="str">
        <f>'Statement of Marks'!E41</f>
        <v/>
      </c>
      <c r="BN37" s="396" t="str">
        <f t="shared" si="0"/>
        <v/>
      </c>
      <c r="BO37" s="396" t="str">
        <f t="shared" si="1"/>
        <v/>
      </c>
      <c r="BP37" s="396" t="str">
        <f t="shared" si="2"/>
        <v/>
      </c>
      <c r="BQ37" s="396" t="str">
        <f t="shared" si="3"/>
        <v/>
      </c>
      <c r="BR37" s="396" t="str">
        <f t="shared" si="4"/>
        <v/>
      </c>
      <c r="BS37" s="396" t="str">
        <f t="shared" si="5"/>
        <v/>
      </c>
      <c r="BT37" s="396" t="str">
        <f t="shared" si="6"/>
        <v/>
      </c>
      <c r="BU37" s="396" t="str">
        <f t="shared" si="7"/>
        <v/>
      </c>
      <c r="BV37" s="396" t="str">
        <f t="shared" si="8"/>
        <v/>
      </c>
      <c r="BW37" s="396" t="str">
        <f t="shared" si="9"/>
        <v/>
      </c>
      <c r="BX37" s="396" t="str">
        <f t="shared" si="10"/>
        <v/>
      </c>
      <c r="BY37" s="396" t="str">
        <f t="shared" si="11"/>
        <v/>
      </c>
      <c r="BZ37" s="397"/>
    </row>
    <row r="38" spans="1:78" ht="15.95" customHeight="1">
      <c r="A38" s="386">
        <f>IF('Statement of Marks'!A42="","",'Statement of Marks'!A42)</f>
        <v>35</v>
      </c>
      <c r="B38" s="840" t="str">
        <f>IF('Statement of Marks'!B42="","",'Statement of Marks'!B42)</f>
        <v/>
      </c>
      <c r="C38" s="841" t="str">
        <f>IF('Statement of Marks'!C42="","",'Statement of Marks'!C42)</f>
        <v/>
      </c>
      <c r="D38" s="833" t="str">
        <f>IF('Statement of Marks'!D42="","",'Statement of Marks'!D42)</f>
        <v/>
      </c>
      <c r="E38" s="387" t="str">
        <f>IF('Statement of Marks'!E42="","",'Statement of Marks'!E42)</f>
        <v/>
      </c>
      <c r="F38" s="387" t="str">
        <f>IF('Statement of Marks'!F42="","",'Statement of Marks'!F42)</f>
        <v/>
      </c>
      <c r="G38" s="387" t="str">
        <f>IF('Statement of Marks'!G42="","",'Statement of Marks'!G42)</f>
        <v/>
      </c>
      <c r="H38" s="388" t="str">
        <f>IF('Statement of Marks'!H42="","",'Statement of Marks'!H42)</f>
        <v/>
      </c>
      <c r="I38" s="388" t="str">
        <f>IF('Statement of Marks'!I42="","",'Statement of Marks'!I42)</f>
        <v/>
      </c>
      <c r="J38" s="598" t="str">
        <f>IF('Statement of Marks'!GY42="","",'Statement of Marks'!GY42)</f>
        <v/>
      </c>
      <c r="K38" s="834" t="str">
        <f>IF(B38="","",IF('Statement of Marks'!GZ42="","",'Statement of Marks'!GZ42))</f>
        <v/>
      </c>
      <c r="L38" s="839" t="str">
        <f>IF('Statement of Marks'!HC42="","",'Statement of Marks'!HC42)</f>
        <v/>
      </c>
      <c r="M38" s="389" t="str">
        <f>IF('Statement of Marks'!HB42="","",'Statement of Marks'!HB42)</f>
        <v/>
      </c>
      <c r="N38" s="610" t="str">
        <f>IF('Statement of Marks'!HD42="","",'Statement of Marks'!HD42)</f>
        <v/>
      </c>
      <c r="O38" s="390" t="str">
        <f>IF(J38="FAIL","",IF('Statement of Marks'!GU42="","",'Statement of Marks'!GU42))</f>
        <v xml:space="preserve">    </v>
      </c>
      <c r="P38" s="391" t="str">
        <f>IF('Supp. Result Entry'!AS41="","",'Supp. Result Entry'!AS41)</f>
        <v/>
      </c>
      <c r="Q38" s="392" t="str">
        <f>IF('Supp. Result Entry'!AT41="","",'Supp. Result Entry'!AT41)</f>
        <v/>
      </c>
      <c r="R38" s="393" t="str">
        <f>IF('Statement of Marks'!HG42="","",'Statement of Marks'!HG42)</f>
        <v/>
      </c>
      <c r="S38" s="394" t="str">
        <f>IF('Statement of Marks'!FH42="","",'Statement of Marks'!FH42)</f>
        <v/>
      </c>
      <c r="BM38" s="395" t="str">
        <f>'Statement of Marks'!E42</f>
        <v/>
      </c>
      <c r="BN38" s="396" t="str">
        <f t="shared" si="0"/>
        <v/>
      </c>
      <c r="BO38" s="396" t="str">
        <f t="shared" si="1"/>
        <v/>
      </c>
      <c r="BP38" s="396" t="str">
        <f t="shared" si="2"/>
        <v/>
      </c>
      <c r="BQ38" s="396" t="str">
        <f t="shared" si="3"/>
        <v/>
      </c>
      <c r="BR38" s="396" t="str">
        <f t="shared" si="4"/>
        <v/>
      </c>
      <c r="BS38" s="396" t="str">
        <f t="shared" si="5"/>
        <v/>
      </c>
      <c r="BT38" s="396" t="str">
        <f t="shared" si="6"/>
        <v/>
      </c>
      <c r="BU38" s="396" t="str">
        <f t="shared" si="7"/>
        <v/>
      </c>
      <c r="BV38" s="396" t="str">
        <f t="shared" si="8"/>
        <v/>
      </c>
      <c r="BW38" s="396" t="str">
        <f t="shared" si="9"/>
        <v/>
      </c>
      <c r="BX38" s="396" t="str">
        <f t="shared" si="10"/>
        <v/>
      </c>
      <c r="BY38" s="396" t="str">
        <f t="shared" si="11"/>
        <v/>
      </c>
      <c r="BZ38" s="397"/>
    </row>
    <row r="39" spans="1:78" ht="15.95" customHeight="1">
      <c r="A39" s="386">
        <f>IF('Statement of Marks'!A43="","",'Statement of Marks'!A43)</f>
        <v>36</v>
      </c>
      <c r="B39" s="840" t="str">
        <f>IF('Statement of Marks'!B43="","",'Statement of Marks'!B43)</f>
        <v/>
      </c>
      <c r="C39" s="841" t="str">
        <f>IF('Statement of Marks'!C43="","",'Statement of Marks'!C43)</f>
        <v/>
      </c>
      <c r="D39" s="833" t="str">
        <f>IF('Statement of Marks'!D43="","",'Statement of Marks'!D43)</f>
        <v/>
      </c>
      <c r="E39" s="387" t="str">
        <f>IF('Statement of Marks'!E43="","",'Statement of Marks'!E43)</f>
        <v/>
      </c>
      <c r="F39" s="387" t="str">
        <f>IF('Statement of Marks'!F43="","",'Statement of Marks'!F43)</f>
        <v/>
      </c>
      <c r="G39" s="387" t="str">
        <f>IF('Statement of Marks'!G43="","",'Statement of Marks'!G43)</f>
        <v/>
      </c>
      <c r="H39" s="388" t="str">
        <f>IF('Statement of Marks'!H43="","",'Statement of Marks'!H43)</f>
        <v/>
      </c>
      <c r="I39" s="388" t="str">
        <f>IF('Statement of Marks'!I43="","",'Statement of Marks'!I43)</f>
        <v/>
      </c>
      <c r="J39" s="598" t="str">
        <f>IF('Statement of Marks'!GY43="","",'Statement of Marks'!GY43)</f>
        <v/>
      </c>
      <c r="K39" s="834" t="str">
        <f>IF(B39="","",IF('Statement of Marks'!GZ43="","",'Statement of Marks'!GZ43))</f>
        <v/>
      </c>
      <c r="L39" s="839" t="str">
        <f>IF('Statement of Marks'!HC43="","",'Statement of Marks'!HC43)</f>
        <v/>
      </c>
      <c r="M39" s="389" t="str">
        <f>IF('Statement of Marks'!HB43="","",'Statement of Marks'!HB43)</f>
        <v/>
      </c>
      <c r="N39" s="610" t="str">
        <f>IF('Statement of Marks'!HD43="","",'Statement of Marks'!HD43)</f>
        <v/>
      </c>
      <c r="O39" s="390" t="str">
        <f>IF(J39="FAIL","",IF('Statement of Marks'!GU43="","",'Statement of Marks'!GU43))</f>
        <v xml:space="preserve">    </v>
      </c>
      <c r="P39" s="391" t="str">
        <f>IF('Supp. Result Entry'!AS42="","",'Supp. Result Entry'!AS42)</f>
        <v/>
      </c>
      <c r="Q39" s="392" t="str">
        <f>IF('Supp. Result Entry'!AT42="","",'Supp. Result Entry'!AT42)</f>
        <v/>
      </c>
      <c r="R39" s="393" t="str">
        <f>IF('Statement of Marks'!HG43="","",'Statement of Marks'!HG43)</f>
        <v/>
      </c>
      <c r="S39" s="394" t="str">
        <f>IF('Statement of Marks'!FH43="","",'Statement of Marks'!FH43)</f>
        <v/>
      </c>
      <c r="BM39" s="395" t="str">
        <f>'Statement of Marks'!E43</f>
        <v/>
      </c>
      <c r="BN39" s="396" t="str">
        <f t="shared" si="0"/>
        <v/>
      </c>
      <c r="BO39" s="396" t="str">
        <f t="shared" si="1"/>
        <v/>
      </c>
      <c r="BP39" s="396" t="str">
        <f t="shared" si="2"/>
        <v/>
      </c>
      <c r="BQ39" s="396" t="str">
        <f t="shared" si="3"/>
        <v/>
      </c>
      <c r="BR39" s="396" t="str">
        <f t="shared" si="4"/>
        <v/>
      </c>
      <c r="BS39" s="396" t="str">
        <f t="shared" si="5"/>
        <v/>
      </c>
      <c r="BT39" s="396" t="str">
        <f t="shared" si="6"/>
        <v/>
      </c>
      <c r="BU39" s="396" t="str">
        <f t="shared" si="7"/>
        <v/>
      </c>
      <c r="BV39" s="396" t="str">
        <f t="shared" si="8"/>
        <v/>
      </c>
      <c r="BW39" s="396" t="str">
        <f t="shared" si="9"/>
        <v/>
      </c>
      <c r="BX39" s="396" t="str">
        <f t="shared" si="10"/>
        <v/>
      </c>
      <c r="BY39" s="396" t="str">
        <f t="shared" si="11"/>
        <v/>
      </c>
      <c r="BZ39" s="397"/>
    </row>
    <row r="40" spans="1:78" ht="15.95" customHeight="1">
      <c r="A40" s="386">
        <f>IF('Statement of Marks'!A44="","",'Statement of Marks'!A44)</f>
        <v>37</v>
      </c>
      <c r="B40" s="840" t="str">
        <f>IF('Statement of Marks'!B44="","",'Statement of Marks'!B44)</f>
        <v/>
      </c>
      <c r="C40" s="841" t="str">
        <f>IF('Statement of Marks'!C44="","",'Statement of Marks'!C44)</f>
        <v/>
      </c>
      <c r="D40" s="833" t="str">
        <f>IF('Statement of Marks'!D44="","",'Statement of Marks'!D44)</f>
        <v/>
      </c>
      <c r="E40" s="387" t="str">
        <f>IF('Statement of Marks'!E44="","",'Statement of Marks'!E44)</f>
        <v/>
      </c>
      <c r="F40" s="387" t="str">
        <f>IF('Statement of Marks'!F44="","",'Statement of Marks'!F44)</f>
        <v/>
      </c>
      <c r="G40" s="387" t="str">
        <f>IF('Statement of Marks'!G44="","",'Statement of Marks'!G44)</f>
        <v/>
      </c>
      <c r="H40" s="388" t="str">
        <f>IF('Statement of Marks'!H44="","",'Statement of Marks'!H44)</f>
        <v/>
      </c>
      <c r="I40" s="388" t="str">
        <f>IF('Statement of Marks'!I44="","",'Statement of Marks'!I44)</f>
        <v/>
      </c>
      <c r="J40" s="598" t="str">
        <f>IF('Statement of Marks'!GY44="","",'Statement of Marks'!GY44)</f>
        <v/>
      </c>
      <c r="K40" s="834" t="str">
        <f>IF(B40="","",IF('Statement of Marks'!GZ44="","",'Statement of Marks'!GZ44))</f>
        <v/>
      </c>
      <c r="L40" s="839" t="str">
        <f>IF('Statement of Marks'!HC44="","",'Statement of Marks'!HC44)</f>
        <v/>
      </c>
      <c r="M40" s="389" t="str">
        <f>IF('Statement of Marks'!HB44="","",'Statement of Marks'!HB44)</f>
        <v/>
      </c>
      <c r="N40" s="610" t="str">
        <f>IF('Statement of Marks'!HD44="","",'Statement of Marks'!HD44)</f>
        <v/>
      </c>
      <c r="O40" s="390" t="str">
        <f>IF(J40="FAIL","",IF('Statement of Marks'!GU44="","",'Statement of Marks'!GU44))</f>
        <v xml:space="preserve">    </v>
      </c>
      <c r="P40" s="391" t="str">
        <f>IF('Supp. Result Entry'!AS43="","",'Supp. Result Entry'!AS43)</f>
        <v/>
      </c>
      <c r="Q40" s="392" t="str">
        <f>IF('Supp. Result Entry'!AT43="","",'Supp. Result Entry'!AT43)</f>
        <v/>
      </c>
      <c r="R40" s="393" t="str">
        <f>IF('Statement of Marks'!HG44="","",'Statement of Marks'!HG44)</f>
        <v/>
      </c>
      <c r="S40" s="394" t="str">
        <f>IF('Statement of Marks'!FH44="","",'Statement of Marks'!FH44)</f>
        <v/>
      </c>
      <c r="BM40" s="395" t="str">
        <f>'Statement of Marks'!E44</f>
        <v/>
      </c>
      <c r="BN40" s="396" t="str">
        <f t="shared" si="0"/>
        <v/>
      </c>
      <c r="BO40" s="396" t="str">
        <f t="shared" si="1"/>
        <v/>
      </c>
      <c r="BP40" s="396" t="str">
        <f t="shared" si="2"/>
        <v/>
      </c>
      <c r="BQ40" s="396" t="str">
        <f t="shared" si="3"/>
        <v/>
      </c>
      <c r="BR40" s="396" t="str">
        <f t="shared" si="4"/>
        <v/>
      </c>
      <c r="BS40" s="396" t="str">
        <f t="shared" si="5"/>
        <v/>
      </c>
      <c r="BT40" s="396" t="str">
        <f t="shared" si="6"/>
        <v/>
      </c>
      <c r="BU40" s="396" t="str">
        <f t="shared" si="7"/>
        <v/>
      </c>
      <c r="BV40" s="396" t="str">
        <f t="shared" si="8"/>
        <v/>
      </c>
      <c r="BW40" s="396" t="str">
        <f t="shared" si="9"/>
        <v/>
      </c>
      <c r="BX40" s="396" t="str">
        <f t="shared" si="10"/>
        <v/>
      </c>
      <c r="BY40" s="396" t="str">
        <f t="shared" si="11"/>
        <v/>
      </c>
      <c r="BZ40" s="397"/>
    </row>
    <row r="41" spans="1:78" ht="15.95" customHeight="1">
      <c r="A41" s="386">
        <f>IF('Statement of Marks'!A45="","",'Statement of Marks'!A45)</f>
        <v>38</v>
      </c>
      <c r="B41" s="840" t="str">
        <f>IF('Statement of Marks'!B45="","",'Statement of Marks'!B45)</f>
        <v/>
      </c>
      <c r="C41" s="841" t="str">
        <f>IF('Statement of Marks'!C45="","",'Statement of Marks'!C45)</f>
        <v/>
      </c>
      <c r="D41" s="833" t="str">
        <f>IF('Statement of Marks'!D45="","",'Statement of Marks'!D45)</f>
        <v/>
      </c>
      <c r="E41" s="387" t="str">
        <f>IF('Statement of Marks'!E45="","",'Statement of Marks'!E45)</f>
        <v/>
      </c>
      <c r="F41" s="387" t="str">
        <f>IF('Statement of Marks'!F45="","",'Statement of Marks'!F45)</f>
        <v/>
      </c>
      <c r="G41" s="387" t="str">
        <f>IF('Statement of Marks'!G45="","",'Statement of Marks'!G45)</f>
        <v/>
      </c>
      <c r="H41" s="388" t="str">
        <f>IF('Statement of Marks'!H45="","",'Statement of Marks'!H45)</f>
        <v/>
      </c>
      <c r="I41" s="388" t="str">
        <f>IF('Statement of Marks'!I45="","",'Statement of Marks'!I45)</f>
        <v/>
      </c>
      <c r="J41" s="598" t="str">
        <f>IF('Statement of Marks'!GY45="","",'Statement of Marks'!GY45)</f>
        <v/>
      </c>
      <c r="K41" s="834" t="str">
        <f>IF(B41="","",IF('Statement of Marks'!GZ45="","",'Statement of Marks'!GZ45))</f>
        <v/>
      </c>
      <c r="L41" s="839" t="str">
        <f>IF('Statement of Marks'!HC45="","",'Statement of Marks'!HC45)</f>
        <v/>
      </c>
      <c r="M41" s="389" t="str">
        <f>IF('Statement of Marks'!HB45="","",'Statement of Marks'!HB45)</f>
        <v/>
      </c>
      <c r="N41" s="610" t="str">
        <f>IF('Statement of Marks'!HD45="","",'Statement of Marks'!HD45)</f>
        <v/>
      </c>
      <c r="O41" s="390" t="str">
        <f>IF(J41="FAIL","",IF('Statement of Marks'!GU45="","",'Statement of Marks'!GU45))</f>
        <v xml:space="preserve">    </v>
      </c>
      <c r="P41" s="391" t="str">
        <f>IF('Supp. Result Entry'!AS44="","",'Supp. Result Entry'!AS44)</f>
        <v/>
      </c>
      <c r="Q41" s="392" t="str">
        <f>IF('Supp. Result Entry'!AT44="","",'Supp. Result Entry'!AT44)</f>
        <v/>
      </c>
      <c r="R41" s="393" t="str">
        <f>IF('Statement of Marks'!HG45="","",'Statement of Marks'!HG45)</f>
        <v/>
      </c>
      <c r="S41" s="394" t="str">
        <f>IF('Statement of Marks'!FH45="","",'Statement of Marks'!FH45)</f>
        <v/>
      </c>
      <c r="BM41" s="395" t="str">
        <f>'Statement of Marks'!E45</f>
        <v/>
      </c>
      <c r="BN41" s="396" t="str">
        <f t="shared" si="0"/>
        <v/>
      </c>
      <c r="BO41" s="396" t="str">
        <f t="shared" si="1"/>
        <v/>
      </c>
      <c r="BP41" s="396" t="str">
        <f t="shared" si="2"/>
        <v/>
      </c>
      <c r="BQ41" s="396" t="str">
        <f t="shared" si="3"/>
        <v/>
      </c>
      <c r="BR41" s="396" t="str">
        <f t="shared" si="4"/>
        <v/>
      </c>
      <c r="BS41" s="396" t="str">
        <f t="shared" si="5"/>
        <v/>
      </c>
      <c r="BT41" s="396" t="str">
        <f t="shared" si="6"/>
        <v/>
      </c>
      <c r="BU41" s="396" t="str">
        <f t="shared" si="7"/>
        <v/>
      </c>
      <c r="BV41" s="396" t="str">
        <f t="shared" si="8"/>
        <v/>
      </c>
      <c r="BW41" s="396" t="str">
        <f t="shared" si="9"/>
        <v/>
      </c>
      <c r="BX41" s="396" t="str">
        <f t="shared" si="10"/>
        <v/>
      </c>
      <c r="BY41" s="396" t="str">
        <f t="shared" si="11"/>
        <v/>
      </c>
      <c r="BZ41" s="397"/>
    </row>
    <row r="42" spans="1:78" ht="15.95" customHeight="1">
      <c r="A42" s="386">
        <f>IF('Statement of Marks'!A46="","",'Statement of Marks'!A46)</f>
        <v>39</v>
      </c>
      <c r="B42" s="840" t="str">
        <f>IF('Statement of Marks'!B46="","",'Statement of Marks'!B46)</f>
        <v/>
      </c>
      <c r="C42" s="841" t="str">
        <f>IF('Statement of Marks'!C46="","",'Statement of Marks'!C46)</f>
        <v/>
      </c>
      <c r="D42" s="833" t="str">
        <f>IF('Statement of Marks'!D46="","",'Statement of Marks'!D46)</f>
        <v/>
      </c>
      <c r="E42" s="387" t="str">
        <f>IF('Statement of Marks'!E46="","",'Statement of Marks'!E46)</f>
        <v/>
      </c>
      <c r="F42" s="387" t="str">
        <f>IF('Statement of Marks'!F46="","",'Statement of Marks'!F46)</f>
        <v/>
      </c>
      <c r="G42" s="387" t="str">
        <f>IF('Statement of Marks'!G46="","",'Statement of Marks'!G46)</f>
        <v/>
      </c>
      <c r="H42" s="388" t="str">
        <f>IF('Statement of Marks'!H46="","",'Statement of Marks'!H46)</f>
        <v/>
      </c>
      <c r="I42" s="388" t="str">
        <f>IF('Statement of Marks'!I46="","",'Statement of Marks'!I46)</f>
        <v/>
      </c>
      <c r="J42" s="598" t="str">
        <f>IF('Statement of Marks'!GY46="","",'Statement of Marks'!GY46)</f>
        <v/>
      </c>
      <c r="K42" s="834" t="str">
        <f>IF(B42="","",IF('Statement of Marks'!GZ46="","",'Statement of Marks'!GZ46))</f>
        <v/>
      </c>
      <c r="L42" s="839" t="str">
        <f>IF('Statement of Marks'!HC46="","",'Statement of Marks'!HC46)</f>
        <v/>
      </c>
      <c r="M42" s="389" t="str">
        <f>IF('Statement of Marks'!HB46="","",'Statement of Marks'!HB46)</f>
        <v/>
      </c>
      <c r="N42" s="610" t="str">
        <f>IF('Statement of Marks'!HD46="","",'Statement of Marks'!HD46)</f>
        <v/>
      </c>
      <c r="O42" s="390" t="str">
        <f>IF(J42="FAIL","",IF('Statement of Marks'!GU46="","",'Statement of Marks'!GU46))</f>
        <v xml:space="preserve">    </v>
      </c>
      <c r="P42" s="391" t="str">
        <f>IF('Supp. Result Entry'!AS45="","",'Supp. Result Entry'!AS45)</f>
        <v/>
      </c>
      <c r="Q42" s="392" t="str">
        <f>IF('Supp. Result Entry'!AT45="","",'Supp. Result Entry'!AT45)</f>
        <v/>
      </c>
      <c r="R42" s="393" t="str">
        <f>IF('Statement of Marks'!HG46="","",'Statement of Marks'!HG46)</f>
        <v/>
      </c>
      <c r="S42" s="394" t="str">
        <f>IF('Statement of Marks'!FH46="","",'Statement of Marks'!FH46)</f>
        <v/>
      </c>
      <c r="BM42" s="395" t="str">
        <f>'Statement of Marks'!E46</f>
        <v/>
      </c>
      <c r="BN42" s="396" t="str">
        <f t="shared" si="0"/>
        <v/>
      </c>
      <c r="BO42" s="396" t="str">
        <f t="shared" si="1"/>
        <v/>
      </c>
      <c r="BP42" s="396" t="str">
        <f t="shared" si="2"/>
        <v/>
      </c>
      <c r="BQ42" s="396" t="str">
        <f t="shared" si="3"/>
        <v/>
      </c>
      <c r="BR42" s="396" t="str">
        <f t="shared" si="4"/>
        <v/>
      </c>
      <c r="BS42" s="396" t="str">
        <f t="shared" si="5"/>
        <v/>
      </c>
      <c r="BT42" s="396" t="str">
        <f t="shared" si="6"/>
        <v/>
      </c>
      <c r="BU42" s="396" t="str">
        <f t="shared" si="7"/>
        <v/>
      </c>
      <c r="BV42" s="396" t="str">
        <f t="shared" si="8"/>
        <v/>
      </c>
      <c r="BW42" s="396" t="str">
        <f t="shared" si="9"/>
        <v/>
      </c>
      <c r="BX42" s="396" t="str">
        <f t="shared" si="10"/>
        <v/>
      </c>
      <c r="BY42" s="396" t="str">
        <f t="shared" si="11"/>
        <v/>
      </c>
      <c r="BZ42" s="397"/>
    </row>
    <row r="43" spans="1:78" ht="15.95" customHeight="1">
      <c r="A43" s="386">
        <f>IF('Statement of Marks'!A47="","",'Statement of Marks'!A47)</f>
        <v>40</v>
      </c>
      <c r="B43" s="840" t="str">
        <f>IF('Statement of Marks'!B47="","",'Statement of Marks'!B47)</f>
        <v/>
      </c>
      <c r="C43" s="841" t="str">
        <f>IF('Statement of Marks'!C47="","",'Statement of Marks'!C47)</f>
        <v/>
      </c>
      <c r="D43" s="833" t="str">
        <f>IF('Statement of Marks'!D47="","",'Statement of Marks'!D47)</f>
        <v/>
      </c>
      <c r="E43" s="387" t="str">
        <f>IF('Statement of Marks'!E47="","",'Statement of Marks'!E47)</f>
        <v/>
      </c>
      <c r="F43" s="387" t="str">
        <f>IF('Statement of Marks'!F47="","",'Statement of Marks'!F47)</f>
        <v/>
      </c>
      <c r="G43" s="387" t="str">
        <f>IF('Statement of Marks'!G47="","",'Statement of Marks'!G47)</f>
        <v/>
      </c>
      <c r="H43" s="388" t="str">
        <f>IF('Statement of Marks'!H47="","",'Statement of Marks'!H47)</f>
        <v/>
      </c>
      <c r="I43" s="388" t="str">
        <f>IF('Statement of Marks'!I47="","",'Statement of Marks'!I47)</f>
        <v/>
      </c>
      <c r="J43" s="598" t="str">
        <f>IF('Statement of Marks'!GY47="","",'Statement of Marks'!GY47)</f>
        <v/>
      </c>
      <c r="K43" s="834" t="str">
        <f>IF(B43="","",IF('Statement of Marks'!GZ47="","",'Statement of Marks'!GZ47))</f>
        <v/>
      </c>
      <c r="L43" s="839" t="str">
        <f>IF('Statement of Marks'!HC47="","",'Statement of Marks'!HC47)</f>
        <v/>
      </c>
      <c r="M43" s="389" t="str">
        <f>IF('Statement of Marks'!HB47="","",'Statement of Marks'!HB47)</f>
        <v/>
      </c>
      <c r="N43" s="610" t="str">
        <f>IF('Statement of Marks'!HD47="","",'Statement of Marks'!HD47)</f>
        <v/>
      </c>
      <c r="O43" s="390" t="str">
        <f>IF(J43="FAIL","",IF('Statement of Marks'!GU47="","",'Statement of Marks'!GU47))</f>
        <v xml:space="preserve">    </v>
      </c>
      <c r="P43" s="391" t="str">
        <f>IF('Supp. Result Entry'!AS46="","",'Supp. Result Entry'!AS46)</f>
        <v/>
      </c>
      <c r="Q43" s="392" t="str">
        <f>IF('Supp. Result Entry'!AT46="","",'Supp. Result Entry'!AT46)</f>
        <v/>
      </c>
      <c r="R43" s="393" t="str">
        <f>IF('Statement of Marks'!HG47="","",'Statement of Marks'!HG47)</f>
        <v/>
      </c>
      <c r="S43" s="394" t="str">
        <f>IF('Statement of Marks'!FH47="","",'Statement of Marks'!FH47)</f>
        <v/>
      </c>
      <c r="BM43" s="395" t="str">
        <f>'Statement of Marks'!E47</f>
        <v/>
      </c>
      <c r="BN43" s="396" t="str">
        <f t="shared" si="0"/>
        <v/>
      </c>
      <c r="BO43" s="396" t="str">
        <f t="shared" si="1"/>
        <v/>
      </c>
      <c r="BP43" s="396" t="str">
        <f t="shared" si="2"/>
        <v/>
      </c>
      <c r="BQ43" s="396" t="str">
        <f t="shared" si="3"/>
        <v/>
      </c>
      <c r="BR43" s="396" t="str">
        <f t="shared" si="4"/>
        <v/>
      </c>
      <c r="BS43" s="396" t="str">
        <f t="shared" si="5"/>
        <v/>
      </c>
      <c r="BT43" s="396" t="str">
        <f t="shared" si="6"/>
        <v/>
      </c>
      <c r="BU43" s="396" t="str">
        <f t="shared" si="7"/>
        <v/>
      </c>
      <c r="BV43" s="396" t="str">
        <f t="shared" si="8"/>
        <v/>
      </c>
      <c r="BW43" s="396" t="str">
        <f t="shared" si="9"/>
        <v/>
      </c>
      <c r="BX43" s="396" t="str">
        <f t="shared" si="10"/>
        <v/>
      </c>
      <c r="BY43" s="396" t="str">
        <f t="shared" si="11"/>
        <v/>
      </c>
      <c r="BZ43" s="397"/>
    </row>
    <row r="44" spans="1:78" ht="15.95" customHeight="1">
      <c r="A44" s="386">
        <f>IF('Statement of Marks'!A48="","",'Statement of Marks'!A48)</f>
        <v>41</v>
      </c>
      <c r="B44" s="840" t="str">
        <f>IF('Statement of Marks'!B48="","",'Statement of Marks'!B48)</f>
        <v/>
      </c>
      <c r="C44" s="841" t="str">
        <f>IF('Statement of Marks'!C48="","",'Statement of Marks'!C48)</f>
        <v/>
      </c>
      <c r="D44" s="833" t="str">
        <f>IF('Statement of Marks'!D48="","",'Statement of Marks'!D48)</f>
        <v/>
      </c>
      <c r="E44" s="387" t="str">
        <f>IF('Statement of Marks'!E48="","",'Statement of Marks'!E48)</f>
        <v/>
      </c>
      <c r="F44" s="387" t="str">
        <f>IF('Statement of Marks'!F48="","",'Statement of Marks'!F48)</f>
        <v/>
      </c>
      <c r="G44" s="387" t="str">
        <f>IF('Statement of Marks'!G48="","",'Statement of Marks'!G48)</f>
        <v/>
      </c>
      <c r="H44" s="388" t="str">
        <f>IF('Statement of Marks'!H48="","",'Statement of Marks'!H48)</f>
        <v/>
      </c>
      <c r="I44" s="388" t="str">
        <f>IF('Statement of Marks'!I48="","",'Statement of Marks'!I48)</f>
        <v/>
      </c>
      <c r="J44" s="598" t="str">
        <f>IF('Statement of Marks'!GY48="","",'Statement of Marks'!GY48)</f>
        <v/>
      </c>
      <c r="K44" s="834" t="str">
        <f>IF(B44="","",IF('Statement of Marks'!GZ48="","",'Statement of Marks'!GZ48))</f>
        <v/>
      </c>
      <c r="L44" s="839" t="str">
        <f>IF('Statement of Marks'!HC48="","",'Statement of Marks'!HC48)</f>
        <v/>
      </c>
      <c r="M44" s="389" t="str">
        <f>IF('Statement of Marks'!HB48="","",'Statement of Marks'!HB48)</f>
        <v/>
      </c>
      <c r="N44" s="610" t="str">
        <f>IF('Statement of Marks'!HD48="","",'Statement of Marks'!HD48)</f>
        <v/>
      </c>
      <c r="O44" s="390" t="str">
        <f>IF(J44="FAIL","",IF('Statement of Marks'!GU48="","",'Statement of Marks'!GU48))</f>
        <v xml:space="preserve">    </v>
      </c>
      <c r="P44" s="391" t="str">
        <f>IF('Supp. Result Entry'!AS47="","",'Supp. Result Entry'!AS47)</f>
        <v/>
      </c>
      <c r="Q44" s="392" t="str">
        <f>IF('Supp. Result Entry'!AT47="","",'Supp. Result Entry'!AT47)</f>
        <v/>
      </c>
      <c r="R44" s="393" t="str">
        <f>IF('Statement of Marks'!HG48="","",'Statement of Marks'!HG48)</f>
        <v/>
      </c>
      <c r="S44" s="394" t="str">
        <f>IF('Statement of Marks'!FH48="","",'Statement of Marks'!FH48)</f>
        <v/>
      </c>
      <c r="BM44" s="395" t="str">
        <f>'Statement of Marks'!E48</f>
        <v/>
      </c>
      <c r="BN44" s="396" t="str">
        <f t="shared" si="0"/>
        <v/>
      </c>
      <c r="BO44" s="396" t="str">
        <f t="shared" si="1"/>
        <v/>
      </c>
      <c r="BP44" s="396" t="str">
        <f t="shared" si="2"/>
        <v/>
      </c>
      <c r="BQ44" s="396" t="str">
        <f t="shared" si="3"/>
        <v/>
      </c>
      <c r="BR44" s="396" t="str">
        <f t="shared" si="4"/>
        <v/>
      </c>
      <c r="BS44" s="396" t="str">
        <f t="shared" si="5"/>
        <v/>
      </c>
      <c r="BT44" s="396" t="str">
        <f t="shared" si="6"/>
        <v/>
      </c>
      <c r="BU44" s="396" t="str">
        <f t="shared" si="7"/>
        <v/>
      </c>
      <c r="BV44" s="396" t="str">
        <f t="shared" si="8"/>
        <v/>
      </c>
      <c r="BW44" s="396" t="str">
        <f t="shared" si="9"/>
        <v/>
      </c>
      <c r="BX44" s="396" t="str">
        <f t="shared" si="10"/>
        <v/>
      </c>
      <c r="BY44" s="396" t="str">
        <f t="shared" si="11"/>
        <v/>
      </c>
      <c r="BZ44" s="397"/>
    </row>
    <row r="45" spans="1:78" ht="15.95" customHeight="1">
      <c r="A45" s="386">
        <f>IF('Statement of Marks'!A49="","",'Statement of Marks'!A49)</f>
        <v>42</v>
      </c>
      <c r="B45" s="840" t="str">
        <f>IF('Statement of Marks'!B49="","",'Statement of Marks'!B49)</f>
        <v/>
      </c>
      <c r="C45" s="841" t="str">
        <f>IF('Statement of Marks'!C49="","",'Statement of Marks'!C49)</f>
        <v/>
      </c>
      <c r="D45" s="833" t="str">
        <f>IF('Statement of Marks'!D49="","",'Statement of Marks'!D49)</f>
        <v/>
      </c>
      <c r="E45" s="387" t="str">
        <f>IF('Statement of Marks'!E49="","",'Statement of Marks'!E49)</f>
        <v/>
      </c>
      <c r="F45" s="387" t="str">
        <f>IF('Statement of Marks'!F49="","",'Statement of Marks'!F49)</f>
        <v/>
      </c>
      <c r="G45" s="387" t="str">
        <f>IF('Statement of Marks'!G49="","",'Statement of Marks'!G49)</f>
        <v/>
      </c>
      <c r="H45" s="388" t="str">
        <f>IF('Statement of Marks'!H49="","",'Statement of Marks'!H49)</f>
        <v/>
      </c>
      <c r="I45" s="388" t="str">
        <f>IF('Statement of Marks'!I49="","",'Statement of Marks'!I49)</f>
        <v/>
      </c>
      <c r="J45" s="598" t="str">
        <f>IF('Statement of Marks'!GY49="","",'Statement of Marks'!GY49)</f>
        <v/>
      </c>
      <c r="K45" s="834" t="str">
        <f>IF(B45="","",IF('Statement of Marks'!GZ49="","",'Statement of Marks'!GZ49))</f>
        <v/>
      </c>
      <c r="L45" s="839" t="str">
        <f>IF('Statement of Marks'!HC49="","",'Statement of Marks'!HC49)</f>
        <v/>
      </c>
      <c r="M45" s="389" t="str">
        <f>IF('Statement of Marks'!HB49="","",'Statement of Marks'!HB49)</f>
        <v/>
      </c>
      <c r="N45" s="610" t="str">
        <f>IF('Statement of Marks'!HD49="","",'Statement of Marks'!HD49)</f>
        <v/>
      </c>
      <c r="O45" s="390" t="str">
        <f>IF(J45="FAIL","",IF('Statement of Marks'!GU49="","",'Statement of Marks'!GU49))</f>
        <v xml:space="preserve">    </v>
      </c>
      <c r="P45" s="391" t="str">
        <f>IF('Supp. Result Entry'!AS48="","",'Supp. Result Entry'!AS48)</f>
        <v/>
      </c>
      <c r="Q45" s="392" t="str">
        <f>IF('Supp. Result Entry'!AT48="","",'Supp. Result Entry'!AT48)</f>
        <v/>
      </c>
      <c r="R45" s="393" t="str">
        <f>IF('Statement of Marks'!HG49="","",'Statement of Marks'!HG49)</f>
        <v/>
      </c>
      <c r="S45" s="394" t="str">
        <f>IF('Statement of Marks'!FH49="","",'Statement of Marks'!FH49)</f>
        <v/>
      </c>
      <c r="BM45" s="395" t="str">
        <f>'Statement of Marks'!E49</f>
        <v/>
      </c>
      <c r="BN45" s="396" t="str">
        <f t="shared" si="0"/>
        <v/>
      </c>
      <c r="BO45" s="396" t="str">
        <f t="shared" si="1"/>
        <v/>
      </c>
      <c r="BP45" s="396" t="str">
        <f t="shared" si="2"/>
        <v/>
      </c>
      <c r="BQ45" s="396" t="str">
        <f t="shared" si="3"/>
        <v/>
      </c>
      <c r="BR45" s="396" t="str">
        <f t="shared" si="4"/>
        <v/>
      </c>
      <c r="BS45" s="396" t="str">
        <f t="shared" si="5"/>
        <v/>
      </c>
      <c r="BT45" s="396" t="str">
        <f t="shared" si="6"/>
        <v/>
      </c>
      <c r="BU45" s="396" t="str">
        <f t="shared" si="7"/>
        <v/>
      </c>
      <c r="BV45" s="396" t="str">
        <f t="shared" si="8"/>
        <v/>
      </c>
      <c r="BW45" s="396" t="str">
        <f t="shared" si="9"/>
        <v/>
      </c>
      <c r="BX45" s="396" t="str">
        <f t="shared" si="10"/>
        <v/>
      </c>
      <c r="BY45" s="396" t="str">
        <f t="shared" si="11"/>
        <v/>
      </c>
      <c r="BZ45" s="397"/>
    </row>
    <row r="46" spans="1:78" ht="15.95" customHeight="1">
      <c r="A46" s="386">
        <f>IF('Statement of Marks'!A50="","",'Statement of Marks'!A50)</f>
        <v>43</v>
      </c>
      <c r="B46" s="840" t="str">
        <f>IF('Statement of Marks'!B50="","",'Statement of Marks'!B50)</f>
        <v/>
      </c>
      <c r="C46" s="841" t="str">
        <f>IF('Statement of Marks'!C50="","",'Statement of Marks'!C50)</f>
        <v/>
      </c>
      <c r="D46" s="833" t="str">
        <f>IF('Statement of Marks'!D50="","",'Statement of Marks'!D50)</f>
        <v/>
      </c>
      <c r="E46" s="387" t="str">
        <f>IF('Statement of Marks'!E50="","",'Statement of Marks'!E50)</f>
        <v/>
      </c>
      <c r="F46" s="387" t="str">
        <f>IF('Statement of Marks'!F50="","",'Statement of Marks'!F50)</f>
        <v/>
      </c>
      <c r="G46" s="387" t="str">
        <f>IF('Statement of Marks'!G50="","",'Statement of Marks'!G50)</f>
        <v/>
      </c>
      <c r="H46" s="388" t="str">
        <f>IF('Statement of Marks'!H50="","",'Statement of Marks'!H50)</f>
        <v/>
      </c>
      <c r="I46" s="388" t="str">
        <f>IF('Statement of Marks'!I50="","",'Statement of Marks'!I50)</f>
        <v/>
      </c>
      <c r="J46" s="598" t="str">
        <f>IF('Statement of Marks'!GY50="","",'Statement of Marks'!GY50)</f>
        <v/>
      </c>
      <c r="K46" s="834" t="str">
        <f>IF(B46="","",IF('Statement of Marks'!GZ50="","",'Statement of Marks'!GZ50))</f>
        <v/>
      </c>
      <c r="L46" s="839" t="str">
        <f>IF('Statement of Marks'!HC50="","",'Statement of Marks'!HC50)</f>
        <v/>
      </c>
      <c r="M46" s="389" t="str">
        <f>IF('Statement of Marks'!HB50="","",'Statement of Marks'!HB50)</f>
        <v/>
      </c>
      <c r="N46" s="610" t="str">
        <f>IF('Statement of Marks'!HD50="","",'Statement of Marks'!HD50)</f>
        <v/>
      </c>
      <c r="O46" s="390" t="str">
        <f>IF(J46="FAIL","",IF('Statement of Marks'!GU50="","",'Statement of Marks'!GU50))</f>
        <v xml:space="preserve">    </v>
      </c>
      <c r="P46" s="391" t="str">
        <f>IF('Supp. Result Entry'!AS49="","",'Supp. Result Entry'!AS49)</f>
        <v/>
      </c>
      <c r="Q46" s="392" t="str">
        <f>IF('Supp. Result Entry'!AT49="","",'Supp. Result Entry'!AT49)</f>
        <v/>
      </c>
      <c r="R46" s="393" t="str">
        <f>IF('Statement of Marks'!HG50="","",'Statement of Marks'!HG50)</f>
        <v/>
      </c>
      <c r="S46" s="394" t="str">
        <f>IF('Statement of Marks'!FH50="","",'Statement of Marks'!FH50)</f>
        <v/>
      </c>
      <c r="BM46" s="395" t="str">
        <f>'Statement of Marks'!E50</f>
        <v/>
      </c>
      <c r="BN46" s="396" t="str">
        <f t="shared" si="0"/>
        <v/>
      </c>
      <c r="BO46" s="396" t="str">
        <f t="shared" si="1"/>
        <v/>
      </c>
      <c r="BP46" s="396" t="str">
        <f t="shared" si="2"/>
        <v/>
      </c>
      <c r="BQ46" s="396" t="str">
        <f t="shared" si="3"/>
        <v/>
      </c>
      <c r="BR46" s="396" t="str">
        <f t="shared" si="4"/>
        <v/>
      </c>
      <c r="BS46" s="396" t="str">
        <f t="shared" si="5"/>
        <v/>
      </c>
      <c r="BT46" s="396" t="str">
        <f t="shared" si="6"/>
        <v/>
      </c>
      <c r="BU46" s="396" t="str">
        <f t="shared" si="7"/>
        <v/>
      </c>
      <c r="BV46" s="396" t="str">
        <f t="shared" si="8"/>
        <v/>
      </c>
      <c r="BW46" s="396" t="str">
        <f t="shared" si="9"/>
        <v/>
      </c>
      <c r="BX46" s="396" t="str">
        <f t="shared" si="10"/>
        <v/>
      </c>
      <c r="BY46" s="396" t="str">
        <f t="shared" si="11"/>
        <v/>
      </c>
      <c r="BZ46" s="397"/>
    </row>
    <row r="47" spans="1:78" ht="15.95" customHeight="1">
      <c r="A47" s="386">
        <f>IF('Statement of Marks'!A51="","",'Statement of Marks'!A51)</f>
        <v>44</v>
      </c>
      <c r="B47" s="840" t="str">
        <f>IF('Statement of Marks'!B51="","",'Statement of Marks'!B51)</f>
        <v/>
      </c>
      <c r="C47" s="841" t="str">
        <f>IF('Statement of Marks'!C51="","",'Statement of Marks'!C51)</f>
        <v/>
      </c>
      <c r="D47" s="833" t="str">
        <f>IF('Statement of Marks'!D51="","",'Statement of Marks'!D51)</f>
        <v/>
      </c>
      <c r="E47" s="387" t="str">
        <f>IF('Statement of Marks'!E51="","",'Statement of Marks'!E51)</f>
        <v/>
      </c>
      <c r="F47" s="387" t="str">
        <f>IF('Statement of Marks'!F51="","",'Statement of Marks'!F51)</f>
        <v/>
      </c>
      <c r="G47" s="387" t="str">
        <f>IF('Statement of Marks'!G51="","",'Statement of Marks'!G51)</f>
        <v/>
      </c>
      <c r="H47" s="388" t="str">
        <f>IF('Statement of Marks'!H51="","",'Statement of Marks'!H51)</f>
        <v/>
      </c>
      <c r="I47" s="388" t="str">
        <f>IF('Statement of Marks'!I51="","",'Statement of Marks'!I51)</f>
        <v/>
      </c>
      <c r="J47" s="598" t="str">
        <f>IF('Statement of Marks'!GY51="","",'Statement of Marks'!GY51)</f>
        <v/>
      </c>
      <c r="K47" s="834" t="str">
        <f>IF(B47="","",IF('Statement of Marks'!GZ51="","",'Statement of Marks'!GZ51))</f>
        <v/>
      </c>
      <c r="L47" s="839" t="str">
        <f>IF('Statement of Marks'!HC51="","",'Statement of Marks'!HC51)</f>
        <v/>
      </c>
      <c r="M47" s="389" t="str">
        <f>IF('Statement of Marks'!HB51="","",'Statement of Marks'!HB51)</f>
        <v/>
      </c>
      <c r="N47" s="610" t="str">
        <f>IF('Statement of Marks'!HD51="","",'Statement of Marks'!HD51)</f>
        <v/>
      </c>
      <c r="O47" s="390" t="str">
        <f>IF(J47="FAIL","",IF('Statement of Marks'!GU51="","",'Statement of Marks'!GU51))</f>
        <v xml:space="preserve">    </v>
      </c>
      <c r="P47" s="391" t="str">
        <f>IF('Supp. Result Entry'!AS50="","",'Supp. Result Entry'!AS50)</f>
        <v/>
      </c>
      <c r="Q47" s="392" t="str">
        <f>IF('Supp. Result Entry'!AT50="","",'Supp. Result Entry'!AT50)</f>
        <v/>
      </c>
      <c r="R47" s="393" t="str">
        <f>IF('Statement of Marks'!HG51="","",'Statement of Marks'!HG51)</f>
        <v/>
      </c>
      <c r="S47" s="394" t="str">
        <f>IF('Statement of Marks'!FH51="","",'Statement of Marks'!FH51)</f>
        <v/>
      </c>
      <c r="BM47" s="395" t="str">
        <f>'Statement of Marks'!E51</f>
        <v/>
      </c>
      <c r="BN47" s="396" t="str">
        <f t="shared" si="0"/>
        <v/>
      </c>
      <c r="BO47" s="396" t="str">
        <f t="shared" si="1"/>
        <v/>
      </c>
      <c r="BP47" s="396" t="str">
        <f t="shared" si="2"/>
        <v/>
      </c>
      <c r="BQ47" s="396" t="str">
        <f t="shared" si="3"/>
        <v/>
      </c>
      <c r="BR47" s="396" t="str">
        <f t="shared" si="4"/>
        <v/>
      </c>
      <c r="BS47" s="396" t="str">
        <f t="shared" si="5"/>
        <v/>
      </c>
      <c r="BT47" s="396" t="str">
        <f t="shared" si="6"/>
        <v/>
      </c>
      <c r="BU47" s="396" t="str">
        <f t="shared" si="7"/>
        <v/>
      </c>
      <c r="BV47" s="396" t="str">
        <f t="shared" si="8"/>
        <v/>
      </c>
      <c r="BW47" s="396" t="str">
        <f t="shared" si="9"/>
        <v/>
      </c>
      <c r="BX47" s="396" t="str">
        <f t="shared" si="10"/>
        <v/>
      </c>
      <c r="BY47" s="396" t="str">
        <f t="shared" si="11"/>
        <v/>
      </c>
      <c r="BZ47" s="397"/>
    </row>
    <row r="48" spans="1:78" ht="15.95" customHeight="1">
      <c r="A48" s="386">
        <f>IF('Statement of Marks'!A52="","",'Statement of Marks'!A52)</f>
        <v>45</v>
      </c>
      <c r="B48" s="840" t="str">
        <f>IF('Statement of Marks'!B52="","",'Statement of Marks'!B52)</f>
        <v/>
      </c>
      <c r="C48" s="841" t="str">
        <f>IF('Statement of Marks'!C52="","",'Statement of Marks'!C52)</f>
        <v/>
      </c>
      <c r="D48" s="833" t="str">
        <f>IF('Statement of Marks'!D52="","",'Statement of Marks'!D52)</f>
        <v/>
      </c>
      <c r="E48" s="387" t="str">
        <f>IF('Statement of Marks'!E52="","",'Statement of Marks'!E52)</f>
        <v/>
      </c>
      <c r="F48" s="387" t="str">
        <f>IF('Statement of Marks'!F52="","",'Statement of Marks'!F52)</f>
        <v/>
      </c>
      <c r="G48" s="387" t="str">
        <f>IF('Statement of Marks'!G52="","",'Statement of Marks'!G52)</f>
        <v/>
      </c>
      <c r="H48" s="388" t="str">
        <f>IF('Statement of Marks'!H52="","",'Statement of Marks'!H52)</f>
        <v/>
      </c>
      <c r="I48" s="388" t="str">
        <f>IF('Statement of Marks'!I52="","",'Statement of Marks'!I52)</f>
        <v/>
      </c>
      <c r="J48" s="598" t="str">
        <f>IF('Statement of Marks'!GY52="","",'Statement of Marks'!GY52)</f>
        <v/>
      </c>
      <c r="K48" s="834" t="str">
        <f>IF(B48="","",IF('Statement of Marks'!GZ52="","",'Statement of Marks'!GZ52))</f>
        <v/>
      </c>
      <c r="L48" s="839" t="str">
        <f>IF('Statement of Marks'!HC52="","",'Statement of Marks'!HC52)</f>
        <v/>
      </c>
      <c r="M48" s="389" t="str">
        <f>IF('Statement of Marks'!HB52="","",'Statement of Marks'!HB52)</f>
        <v/>
      </c>
      <c r="N48" s="610" t="str">
        <f>IF('Statement of Marks'!HD52="","",'Statement of Marks'!HD52)</f>
        <v/>
      </c>
      <c r="O48" s="390" t="str">
        <f>IF(J48="FAIL","",IF('Statement of Marks'!GU52="","",'Statement of Marks'!GU52))</f>
        <v xml:space="preserve">    </v>
      </c>
      <c r="P48" s="391" t="str">
        <f>IF('Supp. Result Entry'!AS51="","",'Supp. Result Entry'!AS51)</f>
        <v/>
      </c>
      <c r="Q48" s="392" t="str">
        <f>IF('Supp. Result Entry'!AT51="","",'Supp. Result Entry'!AT51)</f>
        <v/>
      </c>
      <c r="R48" s="393" t="str">
        <f>IF('Statement of Marks'!HG52="","",'Statement of Marks'!HG52)</f>
        <v/>
      </c>
      <c r="S48" s="394" t="str">
        <f>IF('Statement of Marks'!FH52="","",'Statement of Marks'!FH52)</f>
        <v/>
      </c>
      <c r="BM48" s="395" t="str">
        <f>'Statement of Marks'!E52</f>
        <v/>
      </c>
      <c r="BN48" s="396" t="str">
        <f t="shared" si="0"/>
        <v/>
      </c>
      <c r="BO48" s="396" t="str">
        <f t="shared" si="1"/>
        <v/>
      </c>
      <c r="BP48" s="396" t="str">
        <f t="shared" si="2"/>
        <v/>
      </c>
      <c r="BQ48" s="396" t="str">
        <f t="shared" si="3"/>
        <v/>
      </c>
      <c r="BR48" s="396" t="str">
        <f t="shared" si="4"/>
        <v/>
      </c>
      <c r="BS48" s="396" t="str">
        <f t="shared" si="5"/>
        <v/>
      </c>
      <c r="BT48" s="396" t="str">
        <f t="shared" si="6"/>
        <v/>
      </c>
      <c r="BU48" s="396" t="str">
        <f t="shared" si="7"/>
        <v/>
      </c>
      <c r="BV48" s="396" t="str">
        <f t="shared" si="8"/>
        <v/>
      </c>
      <c r="BW48" s="396" t="str">
        <f t="shared" si="9"/>
        <v/>
      </c>
      <c r="BX48" s="396" t="str">
        <f t="shared" si="10"/>
        <v/>
      </c>
      <c r="BY48" s="396" t="str">
        <f t="shared" si="11"/>
        <v/>
      </c>
      <c r="BZ48" s="397"/>
    </row>
    <row r="49" spans="1:78" ht="15.95" customHeight="1">
      <c r="A49" s="386">
        <f>IF('Statement of Marks'!A53="","",'Statement of Marks'!A53)</f>
        <v>46</v>
      </c>
      <c r="B49" s="840" t="str">
        <f>IF('Statement of Marks'!B53="","",'Statement of Marks'!B53)</f>
        <v/>
      </c>
      <c r="C49" s="841" t="str">
        <f>IF('Statement of Marks'!C53="","",'Statement of Marks'!C53)</f>
        <v/>
      </c>
      <c r="D49" s="833" t="str">
        <f>IF('Statement of Marks'!D53="","",'Statement of Marks'!D53)</f>
        <v/>
      </c>
      <c r="E49" s="387" t="str">
        <f>IF('Statement of Marks'!E53="","",'Statement of Marks'!E53)</f>
        <v/>
      </c>
      <c r="F49" s="387" t="str">
        <f>IF('Statement of Marks'!F53="","",'Statement of Marks'!F53)</f>
        <v/>
      </c>
      <c r="G49" s="387" t="str">
        <f>IF('Statement of Marks'!G53="","",'Statement of Marks'!G53)</f>
        <v/>
      </c>
      <c r="H49" s="388" t="str">
        <f>IF('Statement of Marks'!H53="","",'Statement of Marks'!H53)</f>
        <v/>
      </c>
      <c r="I49" s="388" t="str">
        <f>IF('Statement of Marks'!I53="","",'Statement of Marks'!I53)</f>
        <v/>
      </c>
      <c r="J49" s="598" t="str">
        <f>IF('Statement of Marks'!GY53="","",'Statement of Marks'!GY53)</f>
        <v/>
      </c>
      <c r="K49" s="834" t="str">
        <f>IF(B49="","",IF('Statement of Marks'!GZ53="","",'Statement of Marks'!GZ53))</f>
        <v/>
      </c>
      <c r="L49" s="839" t="str">
        <f>IF('Statement of Marks'!HC53="","",'Statement of Marks'!HC53)</f>
        <v/>
      </c>
      <c r="M49" s="389" t="str">
        <f>IF('Statement of Marks'!HB53="","",'Statement of Marks'!HB53)</f>
        <v/>
      </c>
      <c r="N49" s="610" t="str">
        <f>IF('Statement of Marks'!HD53="","",'Statement of Marks'!HD53)</f>
        <v/>
      </c>
      <c r="O49" s="390" t="str">
        <f>IF(J49="FAIL","",IF('Statement of Marks'!GU53="","",'Statement of Marks'!GU53))</f>
        <v xml:space="preserve">    </v>
      </c>
      <c r="P49" s="391" t="str">
        <f>IF('Supp. Result Entry'!AS52="","",'Supp. Result Entry'!AS52)</f>
        <v/>
      </c>
      <c r="Q49" s="392" t="str">
        <f>IF('Supp. Result Entry'!AT52="","",'Supp. Result Entry'!AT52)</f>
        <v/>
      </c>
      <c r="R49" s="393" t="str">
        <f>IF('Statement of Marks'!HG53="","",'Statement of Marks'!HG53)</f>
        <v/>
      </c>
      <c r="S49" s="394" t="str">
        <f>IF('Statement of Marks'!FH53="","",'Statement of Marks'!FH53)</f>
        <v/>
      </c>
      <c r="BM49" s="395" t="str">
        <f>'Statement of Marks'!E53</f>
        <v/>
      </c>
      <c r="BN49" s="396" t="str">
        <f t="shared" si="0"/>
        <v/>
      </c>
      <c r="BO49" s="396" t="str">
        <f t="shared" si="1"/>
        <v/>
      </c>
      <c r="BP49" s="396" t="str">
        <f t="shared" si="2"/>
        <v/>
      </c>
      <c r="BQ49" s="396" t="str">
        <f t="shared" si="3"/>
        <v/>
      </c>
      <c r="BR49" s="396" t="str">
        <f t="shared" si="4"/>
        <v/>
      </c>
      <c r="BS49" s="396" t="str">
        <f t="shared" si="5"/>
        <v/>
      </c>
      <c r="BT49" s="396" t="str">
        <f t="shared" si="6"/>
        <v/>
      </c>
      <c r="BU49" s="396" t="str">
        <f t="shared" si="7"/>
        <v/>
      </c>
      <c r="BV49" s="396" t="str">
        <f t="shared" si="8"/>
        <v/>
      </c>
      <c r="BW49" s="396" t="str">
        <f t="shared" si="9"/>
        <v/>
      </c>
      <c r="BX49" s="396" t="str">
        <f t="shared" si="10"/>
        <v/>
      </c>
      <c r="BY49" s="396" t="str">
        <f t="shared" si="11"/>
        <v/>
      </c>
      <c r="BZ49" s="397"/>
    </row>
    <row r="50" spans="1:78" ht="15.95" customHeight="1">
      <c r="A50" s="386">
        <f>IF('Statement of Marks'!A54="","",'Statement of Marks'!A54)</f>
        <v>47</v>
      </c>
      <c r="B50" s="840" t="str">
        <f>IF('Statement of Marks'!B54="","",'Statement of Marks'!B54)</f>
        <v/>
      </c>
      <c r="C50" s="841" t="str">
        <f>IF('Statement of Marks'!C54="","",'Statement of Marks'!C54)</f>
        <v/>
      </c>
      <c r="D50" s="833" t="str">
        <f>IF('Statement of Marks'!D54="","",'Statement of Marks'!D54)</f>
        <v/>
      </c>
      <c r="E50" s="387" t="str">
        <f>IF('Statement of Marks'!E54="","",'Statement of Marks'!E54)</f>
        <v/>
      </c>
      <c r="F50" s="387" t="str">
        <f>IF('Statement of Marks'!F54="","",'Statement of Marks'!F54)</f>
        <v/>
      </c>
      <c r="G50" s="387" t="str">
        <f>IF('Statement of Marks'!G54="","",'Statement of Marks'!G54)</f>
        <v/>
      </c>
      <c r="H50" s="388" t="str">
        <f>IF('Statement of Marks'!H54="","",'Statement of Marks'!H54)</f>
        <v/>
      </c>
      <c r="I50" s="388" t="str">
        <f>IF('Statement of Marks'!I54="","",'Statement of Marks'!I54)</f>
        <v/>
      </c>
      <c r="J50" s="598" t="str">
        <f>IF('Statement of Marks'!GY54="","",'Statement of Marks'!GY54)</f>
        <v/>
      </c>
      <c r="K50" s="834" t="str">
        <f>IF(B50="","",IF('Statement of Marks'!GZ54="","",'Statement of Marks'!GZ54))</f>
        <v/>
      </c>
      <c r="L50" s="839" t="str">
        <f>IF('Statement of Marks'!HC54="","",'Statement of Marks'!HC54)</f>
        <v/>
      </c>
      <c r="M50" s="389" t="str">
        <f>IF('Statement of Marks'!HB54="","",'Statement of Marks'!HB54)</f>
        <v/>
      </c>
      <c r="N50" s="610" t="str">
        <f>IF('Statement of Marks'!HD54="","",'Statement of Marks'!HD54)</f>
        <v/>
      </c>
      <c r="O50" s="390" t="str">
        <f>IF(J50="FAIL","",IF('Statement of Marks'!GU54="","",'Statement of Marks'!GU54))</f>
        <v xml:space="preserve">    </v>
      </c>
      <c r="P50" s="391" t="str">
        <f>IF('Supp. Result Entry'!AS53="","",'Supp. Result Entry'!AS53)</f>
        <v/>
      </c>
      <c r="Q50" s="392" t="str">
        <f>IF('Supp. Result Entry'!AT53="","",'Supp. Result Entry'!AT53)</f>
        <v/>
      </c>
      <c r="R50" s="393" t="str">
        <f>IF('Statement of Marks'!HG54="","",'Statement of Marks'!HG54)</f>
        <v/>
      </c>
      <c r="S50" s="394" t="str">
        <f>IF('Statement of Marks'!FH54="","",'Statement of Marks'!FH54)</f>
        <v/>
      </c>
      <c r="BM50" s="395" t="str">
        <f>'Statement of Marks'!E54</f>
        <v/>
      </c>
      <c r="BN50" s="396" t="str">
        <f t="shared" si="0"/>
        <v/>
      </c>
      <c r="BO50" s="396" t="str">
        <f t="shared" si="1"/>
        <v/>
      </c>
      <c r="BP50" s="396" t="str">
        <f t="shared" si="2"/>
        <v/>
      </c>
      <c r="BQ50" s="396" t="str">
        <f t="shared" si="3"/>
        <v/>
      </c>
      <c r="BR50" s="396" t="str">
        <f t="shared" si="4"/>
        <v/>
      </c>
      <c r="BS50" s="396" t="str">
        <f t="shared" si="5"/>
        <v/>
      </c>
      <c r="BT50" s="396" t="str">
        <f t="shared" si="6"/>
        <v/>
      </c>
      <c r="BU50" s="396" t="str">
        <f t="shared" si="7"/>
        <v/>
      </c>
      <c r="BV50" s="396" t="str">
        <f t="shared" si="8"/>
        <v/>
      </c>
      <c r="BW50" s="396" t="str">
        <f t="shared" si="9"/>
        <v/>
      </c>
      <c r="BX50" s="396" t="str">
        <f t="shared" si="10"/>
        <v/>
      </c>
      <c r="BY50" s="396" t="str">
        <f t="shared" si="11"/>
        <v/>
      </c>
      <c r="BZ50" s="397"/>
    </row>
    <row r="51" spans="1:78" ht="15.95" customHeight="1">
      <c r="A51" s="386">
        <f>IF('Statement of Marks'!A55="","",'Statement of Marks'!A55)</f>
        <v>48</v>
      </c>
      <c r="B51" s="840" t="str">
        <f>IF('Statement of Marks'!B55="","",'Statement of Marks'!B55)</f>
        <v/>
      </c>
      <c r="C51" s="841" t="str">
        <f>IF('Statement of Marks'!C55="","",'Statement of Marks'!C55)</f>
        <v/>
      </c>
      <c r="D51" s="833" t="str">
        <f>IF('Statement of Marks'!D55="","",'Statement of Marks'!D55)</f>
        <v/>
      </c>
      <c r="E51" s="387" t="str">
        <f>IF('Statement of Marks'!E55="","",'Statement of Marks'!E55)</f>
        <v/>
      </c>
      <c r="F51" s="387" t="str">
        <f>IF('Statement of Marks'!F55="","",'Statement of Marks'!F55)</f>
        <v/>
      </c>
      <c r="G51" s="387" t="str">
        <f>IF('Statement of Marks'!G55="","",'Statement of Marks'!G55)</f>
        <v/>
      </c>
      <c r="H51" s="388" t="str">
        <f>IF('Statement of Marks'!H55="","",'Statement of Marks'!H55)</f>
        <v/>
      </c>
      <c r="I51" s="388" t="str">
        <f>IF('Statement of Marks'!I55="","",'Statement of Marks'!I55)</f>
        <v/>
      </c>
      <c r="J51" s="598" t="str">
        <f>IF('Statement of Marks'!GY55="","",'Statement of Marks'!GY55)</f>
        <v/>
      </c>
      <c r="K51" s="834" t="str">
        <f>IF(B51="","",IF('Statement of Marks'!GZ55="","",'Statement of Marks'!GZ55))</f>
        <v/>
      </c>
      <c r="L51" s="839" t="str">
        <f>IF('Statement of Marks'!HC55="","",'Statement of Marks'!HC55)</f>
        <v/>
      </c>
      <c r="M51" s="389" t="str">
        <f>IF('Statement of Marks'!HB55="","",'Statement of Marks'!HB55)</f>
        <v/>
      </c>
      <c r="N51" s="610" t="str">
        <f>IF('Statement of Marks'!HD55="","",'Statement of Marks'!HD55)</f>
        <v/>
      </c>
      <c r="O51" s="390" t="str">
        <f>IF(J51="FAIL","",IF('Statement of Marks'!GU55="","",'Statement of Marks'!GU55))</f>
        <v xml:space="preserve">    </v>
      </c>
      <c r="P51" s="391" t="str">
        <f>IF('Supp. Result Entry'!AS54="","",'Supp. Result Entry'!AS54)</f>
        <v/>
      </c>
      <c r="Q51" s="392" t="str">
        <f>IF('Supp. Result Entry'!AT54="","",'Supp. Result Entry'!AT54)</f>
        <v/>
      </c>
      <c r="R51" s="393" t="str">
        <f>IF('Statement of Marks'!HG55="","",'Statement of Marks'!HG55)</f>
        <v/>
      </c>
      <c r="S51" s="394" t="str">
        <f>IF('Statement of Marks'!FH55="","",'Statement of Marks'!FH55)</f>
        <v/>
      </c>
      <c r="BM51" s="395" t="str">
        <f>'Statement of Marks'!E55</f>
        <v/>
      </c>
      <c r="BN51" s="396" t="str">
        <f t="shared" si="0"/>
        <v/>
      </c>
      <c r="BO51" s="396" t="str">
        <f t="shared" si="1"/>
        <v/>
      </c>
      <c r="BP51" s="396" t="str">
        <f t="shared" si="2"/>
        <v/>
      </c>
      <c r="BQ51" s="396" t="str">
        <f t="shared" si="3"/>
        <v/>
      </c>
      <c r="BR51" s="396" t="str">
        <f t="shared" si="4"/>
        <v/>
      </c>
      <c r="BS51" s="396" t="str">
        <f t="shared" si="5"/>
        <v/>
      </c>
      <c r="BT51" s="396" t="str">
        <f t="shared" si="6"/>
        <v/>
      </c>
      <c r="BU51" s="396" t="str">
        <f t="shared" si="7"/>
        <v/>
      </c>
      <c r="BV51" s="396" t="str">
        <f t="shared" si="8"/>
        <v/>
      </c>
      <c r="BW51" s="396" t="str">
        <f t="shared" si="9"/>
        <v/>
      </c>
      <c r="BX51" s="396" t="str">
        <f t="shared" si="10"/>
        <v/>
      </c>
      <c r="BY51" s="396" t="str">
        <f t="shared" si="11"/>
        <v/>
      </c>
      <c r="BZ51" s="397"/>
    </row>
    <row r="52" spans="1:78" ht="15.95" customHeight="1">
      <c r="A52" s="386">
        <f>IF('Statement of Marks'!A56="","",'Statement of Marks'!A56)</f>
        <v>49</v>
      </c>
      <c r="B52" s="840" t="str">
        <f>IF('Statement of Marks'!B56="","",'Statement of Marks'!B56)</f>
        <v/>
      </c>
      <c r="C52" s="841" t="str">
        <f>IF('Statement of Marks'!C56="","",'Statement of Marks'!C56)</f>
        <v/>
      </c>
      <c r="D52" s="833" t="str">
        <f>IF('Statement of Marks'!D56="","",'Statement of Marks'!D56)</f>
        <v/>
      </c>
      <c r="E52" s="387" t="str">
        <f>IF('Statement of Marks'!E56="","",'Statement of Marks'!E56)</f>
        <v/>
      </c>
      <c r="F52" s="387" t="str">
        <f>IF('Statement of Marks'!F56="","",'Statement of Marks'!F56)</f>
        <v/>
      </c>
      <c r="G52" s="387" t="str">
        <f>IF('Statement of Marks'!G56="","",'Statement of Marks'!G56)</f>
        <v/>
      </c>
      <c r="H52" s="388" t="str">
        <f>IF('Statement of Marks'!H56="","",'Statement of Marks'!H56)</f>
        <v/>
      </c>
      <c r="I52" s="388" t="str">
        <f>IF('Statement of Marks'!I56="","",'Statement of Marks'!I56)</f>
        <v/>
      </c>
      <c r="J52" s="598" t="str">
        <f>IF('Statement of Marks'!GY56="","",'Statement of Marks'!GY56)</f>
        <v/>
      </c>
      <c r="K52" s="834" t="str">
        <f>IF(B52="","",IF('Statement of Marks'!GZ56="","",'Statement of Marks'!GZ56))</f>
        <v/>
      </c>
      <c r="L52" s="839" t="str">
        <f>IF('Statement of Marks'!HC56="","",'Statement of Marks'!HC56)</f>
        <v/>
      </c>
      <c r="M52" s="389" t="str">
        <f>IF('Statement of Marks'!HB56="","",'Statement of Marks'!HB56)</f>
        <v/>
      </c>
      <c r="N52" s="610" t="str">
        <f>IF('Statement of Marks'!HD56="","",'Statement of Marks'!HD56)</f>
        <v/>
      </c>
      <c r="O52" s="390" t="str">
        <f>IF(J52="FAIL","",IF('Statement of Marks'!GU56="","",'Statement of Marks'!GU56))</f>
        <v xml:space="preserve">    </v>
      </c>
      <c r="P52" s="391" t="str">
        <f>IF('Supp. Result Entry'!AS55="","",'Supp. Result Entry'!AS55)</f>
        <v/>
      </c>
      <c r="Q52" s="392" t="str">
        <f>IF('Supp. Result Entry'!AT55="","",'Supp. Result Entry'!AT55)</f>
        <v/>
      </c>
      <c r="R52" s="393" t="str">
        <f>IF('Statement of Marks'!HG56="","",'Statement of Marks'!HG56)</f>
        <v/>
      </c>
      <c r="S52" s="394" t="str">
        <f>IF('Statement of Marks'!FH56="","",'Statement of Marks'!FH56)</f>
        <v/>
      </c>
      <c r="BM52" s="395" t="str">
        <f>'Statement of Marks'!E56</f>
        <v/>
      </c>
      <c r="BN52" s="396" t="str">
        <f t="shared" si="0"/>
        <v/>
      </c>
      <c r="BO52" s="396" t="str">
        <f t="shared" si="1"/>
        <v/>
      </c>
      <c r="BP52" s="396" t="str">
        <f t="shared" si="2"/>
        <v/>
      </c>
      <c r="BQ52" s="396" t="str">
        <f t="shared" si="3"/>
        <v/>
      </c>
      <c r="BR52" s="396" t="str">
        <f t="shared" si="4"/>
        <v/>
      </c>
      <c r="BS52" s="396" t="str">
        <f t="shared" si="5"/>
        <v/>
      </c>
      <c r="BT52" s="396" t="str">
        <f t="shared" si="6"/>
        <v/>
      </c>
      <c r="BU52" s="396" t="str">
        <f t="shared" si="7"/>
        <v/>
      </c>
      <c r="BV52" s="396" t="str">
        <f t="shared" si="8"/>
        <v/>
      </c>
      <c r="BW52" s="396" t="str">
        <f t="shared" si="9"/>
        <v/>
      </c>
      <c r="BX52" s="396" t="str">
        <f t="shared" si="10"/>
        <v/>
      </c>
      <c r="BY52" s="396" t="str">
        <f t="shared" si="11"/>
        <v/>
      </c>
      <c r="BZ52" s="397"/>
    </row>
    <row r="53" spans="1:78" ht="15.95" customHeight="1">
      <c r="A53" s="386">
        <f>IF('Statement of Marks'!A57="","",'Statement of Marks'!A57)</f>
        <v>50</v>
      </c>
      <c r="B53" s="840" t="str">
        <f>IF('Statement of Marks'!B57="","",'Statement of Marks'!B57)</f>
        <v/>
      </c>
      <c r="C53" s="841" t="str">
        <f>IF('Statement of Marks'!C57="","",'Statement of Marks'!C57)</f>
        <v/>
      </c>
      <c r="D53" s="833" t="str">
        <f>IF('Statement of Marks'!D57="","",'Statement of Marks'!D57)</f>
        <v/>
      </c>
      <c r="E53" s="387" t="str">
        <f>IF('Statement of Marks'!E57="","",'Statement of Marks'!E57)</f>
        <v/>
      </c>
      <c r="F53" s="387" t="str">
        <f>IF('Statement of Marks'!F57="","",'Statement of Marks'!F57)</f>
        <v/>
      </c>
      <c r="G53" s="387" t="str">
        <f>IF('Statement of Marks'!G57="","",'Statement of Marks'!G57)</f>
        <v/>
      </c>
      <c r="H53" s="388" t="str">
        <f>IF('Statement of Marks'!H57="","",'Statement of Marks'!H57)</f>
        <v/>
      </c>
      <c r="I53" s="388" t="str">
        <f>IF('Statement of Marks'!I57="","",'Statement of Marks'!I57)</f>
        <v/>
      </c>
      <c r="J53" s="598" t="str">
        <f>IF('Statement of Marks'!GY57="","",'Statement of Marks'!GY57)</f>
        <v/>
      </c>
      <c r="K53" s="834" t="str">
        <f>IF(B53="","",IF('Statement of Marks'!GZ57="","",'Statement of Marks'!GZ57))</f>
        <v/>
      </c>
      <c r="L53" s="839" t="str">
        <f>IF('Statement of Marks'!HC57="","",'Statement of Marks'!HC57)</f>
        <v/>
      </c>
      <c r="M53" s="389" t="str">
        <f>IF('Statement of Marks'!HB57="","",'Statement of Marks'!HB57)</f>
        <v/>
      </c>
      <c r="N53" s="610" t="str">
        <f>IF('Statement of Marks'!HD57="","",'Statement of Marks'!HD57)</f>
        <v/>
      </c>
      <c r="O53" s="390" t="str">
        <f>IF(J53="FAIL","",IF('Statement of Marks'!GU57="","",'Statement of Marks'!GU57))</f>
        <v xml:space="preserve">    </v>
      </c>
      <c r="P53" s="391" t="str">
        <f>IF('Supp. Result Entry'!AS56="","",'Supp. Result Entry'!AS56)</f>
        <v/>
      </c>
      <c r="Q53" s="392" t="str">
        <f>IF('Supp. Result Entry'!AT56="","",'Supp. Result Entry'!AT56)</f>
        <v/>
      </c>
      <c r="R53" s="393" t="str">
        <f>IF('Statement of Marks'!HG57="","",'Statement of Marks'!HG57)</f>
        <v/>
      </c>
      <c r="S53" s="394" t="str">
        <f>IF('Statement of Marks'!FH57="","",'Statement of Marks'!FH57)</f>
        <v/>
      </c>
      <c r="BM53" s="395" t="str">
        <f>'Statement of Marks'!E57</f>
        <v/>
      </c>
      <c r="BN53" s="396" t="str">
        <f t="shared" si="0"/>
        <v/>
      </c>
      <c r="BO53" s="396" t="str">
        <f t="shared" si="1"/>
        <v/>
      </c>
      <c r="BP53" s="396" t="str">
        <f t="shared" si="2"/>
        <v/>
      </c>
      <c r="BQ53" s="396" t="str">
        <f t="shared" si="3"/>
        <v/>
      </c>
      <c r="BR53" s="396" t="str">
        <f t="shared" si="4"/>
        <v/>
      </c>
      <c r="BS53" s="396" t="str">
        <f t="shared" si="5"/>
        <v/>
      </c>
      <c r="BT53" s="396" t="str">
        <f t="shared" si="6"/>
        <v/>
      </c>
      <c r="BU53" s="396" t="str">
        <f t="shared" si="7"/>
        <v/>
      </c>
      <c r="BV53" s="396" t="str">
        <f t="shared" si="8"/>
        <v/>
      </c>
      <c r="BW53" s="396" t="str">
        <f t="shared" si="9"/>
        <v/>
      </c>
      <c r="BX53" s="396" t="str">
        <f t="shared" si="10"/>
        <v/>
      </c>
      <c r="BY53" s="396" t="str">
        <f t="shared" si="11"/>
        <v/>
      </c>
      <c r="BZ53" s="397"/>
    </row>
    <row r="54" spans="1:78" ht="15.95" customHeight="1">
      <c r="A54" s="386">
        <f>IF('Statement of Marks'!A58="","",'Statement of Marks'!A58)</f>
        <v>51</v>
      </c>
      <c r="B54" s="840" t="str">
        <f>IF('Statement of Marks'!B58="","",'Statement of Marks'!B58)</f>
        <v/>
      </c>
      <c r="C54" s="841" t="str">
        <f>IF('Statement of Marks'!C58="","",'Statement of Marks'!C58)</f>
        <v/>
      </c>
      <c r="D54" s="833" t="str">
        <f>IF('Statement of Marks'!D58="","",'Statement of Marks'!D58)</f>
        <v/>
      </c>
      <c r="E54" s="387" t="str">
        <f>IF('Statement of Marks'!E58="","",'Statement of Marks'!E58)</f>
        <v/>
      </c>
      <c r="F54" s="387" t="str">
        <f>IF('Statement of Marks'!F58="","",'Statement of Marks'!F58)</f>
        <v/>
      </c>
      <c r="G54" s="387" t="str">
        <f>IF('Statement of Marks'!G58="","",'Statement of Marks'!G58)</f>
        <v/>
      </c>
      <c r="H54" s="388" t="str">
        <f>IF('Statement of Marks'!H58="","",'Statement of Marks'!H58)</f>
        <v/>
      </c>
      <c r="I54" s="388" t="str">
        <f>IF('Statement of Marks'!I58="","",'Statement of Marks'!I58)</f>
        <v/>
      </c>
      <c r="J54" s="598" t="str">
        <f>IF('Statement of Marks'!GY58="","",'Statement of Marks'!GY58)</f>
        <v/>
      </c>
      <c r="K54" s="834" t="str">
        <f>IF(B54="","",IF('Statement of Marks'!GZ58="","",'Statement of Marks'!GZ58))</f>
        <v/>
      </c>
      <c r="L54" s="839" t="str">
        <f>IF('Statement of Marks'!HC58="","",'Statement of Marks'!HC58)</f>
        <v/>
      </c>
      <c r="M54" s="389" t="str">
        <f>IF('Statement of Marks'!HB58="","",'Statement of Marks'!HB58)</f>
        <v/>
      </c>
      <c r="N54" s="610" t="str">
        <f>IF('Statement of Marks'!HD58="","",'Statement of Marks'!HD58)</f>
        <v/>
      </c>
      <c r="O54" s="390" t="str">
        <f>IF(J54="FAIL","",IF('Statement of Marks'!GU58="","",'Statement of Marks'!GU58))</f>
        <v xml:space="preserve">    </v>
      </c>
      <c r="P54" s="391" t="str">
        <f>IF('Supp. Result Entry'!AS57="","",'Supp. Result Entry'!AS57)</f>
        <v/>
      </c>
      <c r="Q54" s="392" t="str">
        <f>IF('Supp. Result Entry'!AT57="","",'Supp. Result Entry'!AT57)</f>
        <v/>
      </c>
      <c r="R54" s="393" t="str">
        <f>IF('Statement of Marks'!HG58="","",'Statement of Marks'!HG58)</f>
        <v/>
      </c>
      <c r="S54" s="394" t="str">
        <f>IF('Statement of Marks'!FH58="","",'Statement of Marks'!FH58)</f>
        <v/>
      </c>
      <c r="BM54" s="395" t="str">
        <f>'Statement of Marks'!E58</f>
        <v/>
      </c>
      <c r="BN54" s="396" t="str">
        <f t="shared" si="0"/>
        <v/>
      </c>
      <c r="BO54" s="396" t="str">
        <f t="shared" si="1"/>
        <v/>
      </c>
      <c r="BP54" s="396" t="str">
        <f t="shared" si="2"/>
        <v/>
      </c>
      <c r="BQ54" s="396" t="str">
        <f t="shared" si="3"/>
        <v/>
      </c>
      <c r="BR54" s="396" t="str">
        <f t="shared" si="4"/>
        <v/>
      </c>
      <c r="BS54" s="396" t="str">
        <f t="shared" si="5"/>
        <v/>
      </c>
      <c r="BT54" s="396" t="str">
        <f t="shared" si="6"/>
        <v/>
      </c>
      <c r="BU54" s="396" t="str">
        <f t="shared" si="7"/>
        <v/>
      </c>
      <c r="BV54" s="396" t="str">
        <f t="shared" si="8"/>
        <v/>
      </c>
      <c r="BW54" s="396" t="str">
        <f t="shared" si="9"/>
        <v/>
      </c>
      <c r="BX54" s="396" t="str">
        <f t="shared" si="10"/>
        <v/>
      </c>
      <c r="BY54" s="396" t="str">
        <f t="shared" si="11"/>
        <v/>
      </c>
      <c r="BZ54" s="397"/>
    </row>
    <row r="55" spans="1:78" ht="15.95" customHeight="1">
      <c r="A55" s="386">
        <f>IF('Statement of Marks'!A59="","",'Statement of Marks'!A59)</f>
        <v>52</v>
      </c>
      <c r="B55" s="840" t="str">
        <f>IF('Statement of Marks'!B59="","",'Statement of Marks'!B59)</f>
        <v/>
      </c>
      <c r="C55" s="841" t="str">
        <f>IF('Statement of Marks'!C59="","",'Statement of Marks'!C59)</f>
        <v/>
      </c>
      <c r="D55" s="833" t="str">
        <f>IF('Statement of Marks'!D59="","",'Statement of Marks'!D59)</f>
        <v/>
      </c>
      <c r="E55" s="387" t="str">
        <f>IF('Statement of Marks'!E59="","",'Statement of Marks'!E59)</f>
        <v/>
      </c>
      <c r="F55" s="387" t="str">
        <f>IF('Statement of Marks'!F59="","",'Statement of Marks'!F59)</f>
        <v/>
      </c>
      <c r="G55" s="387" t="str">
        <f>IF('Statement of Marks'!G59="","",'Statement of Marks'!G59)</f>
        <v/>
      </c>
      <c r="H55" s="388" t="str">
        <f>IF('Statement of Marks'!H59="","",'Statement of Marks'!H59)</f>
        <v/>
      </c>
      <c r="I55" s="388" t="str">
        <f>IF('Statement of Marks'!I59="","",'Statement of Marks'!I59)</f>
        <v/>
      </c>
      <c r="J55" s="598" t="str">
        <f>IF('Statement of Marks'!GY59="","",'Statement of Marks'!GY59)</f>
        <v/>
      </c>
      <c r="K55" s="834" t="str">
        <f>IF(B55="","",IF('Statement of Marks'!GZ59="","",'Statement of Marks'!GZ59))</f>
        <v/>
      </c>
      <c r="L55" s="839" t="str">
        <f>IF('Statement of Marks'!HC59="","",'Statement of Marks'!HC59)</f>
        <v/>
      </c>
      <c r="M55" s="389" t="str">
        <f>IF('Statement of Marks'!HB59="","",'Statement of Marks'!HB59)</f>
        <v/>
      </c>
      <c r="N55" s="610" t="str">
        <f>IF('Statement of Marks'!HD59="","",'Statement of Marks'!HD59)</f>
        <v/>
      </c>
      <c r="O55" s="390" t="str">
        <f>IF(J55="FAIL","",IF('Statement of Marks'!GU59="","",'Statement of Marks'!GU59))</f>
        <v xml:space="preserve">    </v>
      </c>
      <c r="P55" s="391" t="str">
        <f>IF('Supp. Result Entry'!AS58="","",'Supp. Result Entry'!AS58)</f>
        <v/>
      </c>
      <c r="Q55" s="392" t="str">
        <f>IF('Supp. Result Entry'!AT58="","",'Supp. Result Entry'!AT58)</f>
        <v/>
      </c>
      <c r="R55" s="393" t="str">
        <f>IF('Statement of Marks'!HG59="","",'Statement of Marks'!HG59)</f>
        <v/>
      </c>
      <c r="S55" s="394" t="str">
        <f>IF('Statement of Marks'!FH59="","",'Statement of Marks'!FH59)</f>
        <v/>
      </c>
      <c r="BM55" s="395" t="str">
        <f>'Statement of Marks'!E59</f>
        <v/>
      </c>
      <c r="BN55" s="396" t="str">
        <f t="shared" si="0"/>
        <v/>
      </c>
      <c r="BO55" s="396" t="str">
        <f t="shared" si="1"/>
        <v/>
      </c>
      <c r="BP55" s="396" t="str">
        <f t="shared" si="2"/>
        <v/>
      </c>
      <c r="BQ55" s="396" t="str">
        <f t="shared" si="3"/>
        <v/>
      </c>
      <c r="BR55" s="396" t="str">
        <f t="shared" si="4"/>
        <v/>
      </c>
      <c r="BS55" s="396" t="str">
        <f t="shared" si="5"/>
        <v/>
      </c>
      <c r="BT55" s="396" t="str">
        <f t="shared" si="6"/>
        <v/>
      </c>
      <c r="BU55" s="396" t="str">
        <f t="shared" si="7"/>
        <v/>
      </c>
      <c r="BV55" s="396" t="str">
        <f t="shared" si="8"/>
        <v/>
      </c>
      <c r="BW55" s="396" t="str">
        <f t="shared" si="9"/>
        <v/>
      </c>
      <c r="BX55" s="396" t="str">
        <f t="shared" si="10"/>
        <v/>
      </c>
      <c r="BY55" s="396" t="str">
        <f t="shared" si="11"/>
        <v/>
      </c>
      <c r="BZ55" s="397"/>
    </row>
    <row r="56" spans="1:78" ht="15.95" customHeight="1">
      <c r="A56" s="386">
        <f>IF('Statement of Marks'!A60="","",'Statement of Marks'!A60)</f>
        <v>53</v>
      </c>
      <c r="B56" s="840" t="str">
        <f>IF('Statement of Marks'!B60="","",'Statement of Marks'!B60)</f>
        <v/>
      </c>
      <c r="C56" s="841" t="str">
        <f>IF('Statement of Marks'!C60="","",'Statement of Marks'!C60)</f>
        <v/>
      </c>
      <c r="D56" s="833" t="str">
        <f>IF('Statement of Marks'!D60="","",'Statement of Marks'!D60)</f>
        <v/>
      </c>
      <c r="E56" s="387" t="str">
        <f>IF('Statement of Marks'!E60="","",'Statement of Marks'!E60)</f>
        <v/>
      </c>
      <c r="F56" s="387" t="str">
        <f>IF('Statement of Marks'!F60="","",'Statement of Marks'!F60)</f>
        <v/>
      </c>
      <c r="G56" s="387" t="str">
        <f>IF('Statement of Marks'!G60="","",'Statement of Marks'!G60)</f>
        <v/>
      </c>
      <c r="H56" s="388" t="str">
        <f>IF('Statement of Marks'!H60="","",'Statement of Marks'!H60)</f>
        <v/>
      </c>
      <c r="I56" s="388" t="str">
        <f>IF('Statement of Marks'!I60="","",'Statement of Marks'!I60)</f>
        <v/>
      </c>
      <c r="J56" s="598" t="str">
        <f>IF('Statement of Marks'!GY60="","",'Statement of Marks'!GY60)</f>
        <v/>
      </c>
      <c r="K56" s="834" t="str">
        <f>IF(B56="","",IF('Statement of Marks'!GZ60="","",'Statement of Marks'!GZ60))</f>
        <v/>
      </c>
      <c r="L56" s="839" t="str">
        <f>IF('Statement of Marks'!HC60="","",'Statement of Marks'!HC60)</f>
        <v/>
      </c>
      <c r="M56" s="389" t="str">
        <f>IF('Statement of Marks'!HB60="","",'Statement of Marks'!HB60)</f>
        <v/>
      </c>
      <c r="N56" s="610" t="str">
        <f>IF('Statement of Marks'!HD60="","",'Statement of Marks'!HD60)</f>
        <v/>
      </c>
      <c r="O56" s="390" t="str">
        <f>IF(J56="FAIL","",IF('Statement of Marks'!GU60="","",'Statement of Marks'!GU60))</f>
        <v xml:space="preserve">    </v>
      </c>
      <c r="P56" s="391" t="str">
        <f>IF('Supp. Result Entry'!AS59="","",'Supp. Result Entry'!AS59)</f>
        <v/>
      </c>
      <c r="Q56" s="392" t="str">
        <f>IF('Supp. Result Entry'!AT59="","",'Supp. Result Entry'!AT59)</f>
        <v/>
      </c>
      <c r="R56" s="393" t="str">
        <f>IF('Statement of Marks'!HG60="","",'Statement of Marks'!HG60)</f>
        <v/>
      </c>
      <c r="S56" s="394" t="str">
        <f>IF('Statement of Marks'!FH60="","",'Statement of Marks'!FH60)</f>
        <v/>
      </c>
      <c r="BM56" s="395" t="str">
        <f>'Statement of Marks'!E60</f>
        <v/>
      </c>
      <c r="BN56" s="396" t="str">
        <f t="shared" si="0"/>
        <v/>
      </c>
      <c r="BO56" s="396" t="str">
        <f t="shared" si="1"/>
        <v/>
      </c>
      <c r="BP56" s="396" t="str">
        <f t="shared" si="2"/>
        <v/>
      </c>
      <c r="BQ56" s="396" t="str">
        <f t="shared" si="3"/>
        <v/>
      </c>
      <c r="BR56" s="396" t="str">
        <f t="shared" si="4"/>
        <v/>
      </c>
      <c r="BS56" s="396" t="str">
        <f t="shared" si="5"/>
        <v/>
      </c>
      <c r="BT56" s="396" t="str">
        <f t="shared" si="6"/>
        <v/>
      </c>
      <c r="BU56" s="396" t="str">
        <f t="shared" si="7"/>
        <v/>
      </c>
      <c r="BV56" s="396" t="str">
        <f t="shared" si="8"/>
        <v/>
      </c>
      <c r="BW56" s="396" t="str">
        <f t="shared" si="9"/>
        <v/>
      </c>
      <c r="BX56" s="396" t="str">
        <f t="shared" si="10"/>
        <v/>
      </c>
      <c r="BY56" s="396" t="str">
        <f t="shared" si="11"/>
        <v/>
      </c>
      <c r="BZ56" s="397"/>
    </row>
    <row r="57" spans="1:78" ht="15.95" customHeight="1">
      <c r="A57" s="386">
        <f>IF('Statement of Marks'!A61="","",'Statement of Marks'!A61)</f>
        <v>54</v>
      </c>
      <c r="B57" s="840" t="str">
        <f>IF('Statement of Marks'!B61="","",'Statement of Marks'!B61)</f>
        <v/>
      </c>
      <c r="C57" s="841" t="str">
        <f>IF('Statement of Marks'!C61="","",'Statement of Marks'!C61)</f>
        <v/>
      </c>
      <c r="D57" s="833" t="str">
        <f>IF('Statement of Marks'!D61="","",'Statement of Marks'!D61)</f>
        <v/>
      </c>
      <c r="E57" s="387" t="str">
        <f>IF('Statement of Marks'!E61="","",'Statement of Marks'!E61)</f>
        <v/>
      </c>
      <c r="F57" s="387" t="str">
        <f>IF('Statement of Marks'!F61="","",'Statement of Marks'!F61)</f>
        <v/>
      </c>
      <c r="G57" s="387" t="str">
        <f>IF('Statement of Marks'!G61="","",'Statement of Marks'!G61)</f>
        <v/>
      </c>
      <c r="H57" s="388" t="str">
        <f>IF('Statement of Marks'!H61="","",'Statement of Marks'!H61)</f>
        <v/>
      </c>
      <c r="I57" s="388" t="str">
        <f>IF('Statement of Marks'!I61="","",'Statement of Marks'!I61)</f>
        <v/>
      </c>
      <c r="J57" s="598" t="str">
        <f>IF('Statement of Marks'!GY61="","",'Statement of Marks'!GY61)</f>
        <v/>
      </c>
      <c r="K57" s="834" t="str">
        <f>IF(B57="","",IF('Statement of Marks'!GZ61="","",'Statement of Marks'!GZ61))</f>
        <v/>
      </c>
      <c r="L57" s="839" t="str">
        <f>IF('Statement of Marks'!HC61="","",'Statement of Marks'!HC61)</f>
        <v/>
      </c>
      <c r="M57" s="389" t="str">
        <f>IF('Statement of Marks'!HB61="","",'Statement of Marks'!HB61)</f>
        <v/>
      </c>
      <c r="N57" s="610" t="str">
        <f>IF('Statement of Marks'!HD61="","",'Statement of Marks'!HD61)</f>
        <v/>
      </c>
      <c r="O57" s="390" t="str">
        <f>IF(J57="FAIL","",IF('Statement of Marks'!GU61="","",'Statement of Marks'!GU61))</f>
        <v xml:space="preserve">    </v>
      </c>
      <c r="P57" s="391" t="str">
        <f>IF('Supp. Result Entry'!AS60="","",'Supp. Result Entry'!AS60)</f>
        <v/>
      </c>
      <c r="Q57" s="392" t="str">
        <f>IF('Supp. Result Entry'!AT60="","",'Supp. Result Entry'!AT60)</f>
        <v/>
      </c>
      <c r="R57" s="393" t="str">
        <f>IF('Statement of Marks'!HG61="","",'Statement of Marks'!HG61)</f>
        <v/>
      </c>
      <c r="S57" s="394" t="str">
        <f>IF('Statement of Marks'!FH61="","",'Statement of Marks'!FH61)</f>
        <v/>
      </c>
      <c r="BM57" s="395" t="str">
        <f>'Statement of Marks'!E61</f>
        <v/>
      </c>
      <c r="BN57" s="396" t="str">
        <f t="shared" si="0"/>
        <v/>
      </c>
      <c r="BO57" s="396" t="str">
        <f t="shared" si="1"/>
        <v/>
      </c>
      <c r="BP57" s="396" t="str">
        <f t="shared" si="2"/>
        <v/>
      </c>
      <c r="BQ57" s="396" t="str">
        <f t="shared" si="3"/>
        <v/>
      </c>
      <c r="BR57" s="396" t="str">
        <f t="shared" si="4"/>
        <v/>
      </c>
      <c r="BS57" s="396" t="str">
        <f t="shared" si="5"/>
        <v/>
      </c>
      <c r="BT57" s="396" t="str">
        <f t="shared" si="6"/>
        <v/>
      </c>
      <c r="BU57" s="396" t="str">
        <f t="shared" si="7"/>
        <v/>
      </c>
      <c r="BV57" s="396" t="str">
        <f t="shared" si="8"/>
        <v/>
      </c>
      <c r="BW57" s="396" t="str">
        <f t="shared" si="9"/>
        <v/>
      </c>
      <c r="BX57" s="396" t="str">
        <f t="shared" si="10"/>
        <v/>
      </c>
      <c r="BY57" s="396" t="str">
        <f t="shared" si="11"/>
        <v/>
      </c>
      <c r="BZ57" s="397"/>
    </row>
    <row r="58" spans="1:78" ht="15.95" customHeight="1">
      <c r="A58" s="386">
        <f>IF('Statement of Marks'!A62="","",'Statement of Marks'!A62)</f>
        <v>55</v>
      </c>
      <c r="B58" s="840" t="str">
        <f>IF('Statement of Marks'!B62="","",'Statement of Marks'!B62)</f>
        <v/>
      </c>
      <c r="C58" s="841" t="str">
        <f>IF('Statement of Marks'!C62="","",'Statement of Marks'!C62)</f>
        <v/>
      </c>
      <c r="D58" s="833" t="str">
        <f>IF('Statement of Marks'!D62="","",'Statement of Marks'!D62)</f>
        <v/>
      </c>
      <c r="E58" s="387" t="str">
        <f>IF('Statement of Marks'!E62="","",'Statement of Marks'!E62)</f>
        <v/>
      </c>
      <c r="F58" s="387" t="str">
        <f>IF('Statement of Marks'!F62="","",'Statement of Marks'!F62)</f>
        <v/>
      </c>
      <c r="G58" s="387" t="str">
        <f>IF('Statement of Marks'!G62="","",'Statement of Marks'!G62)</f>
        <v/>
      </c>
      <c r="H58" s="388" t="str">
        <f>IF('Statement of Marks'!H62="","",'Statement of Marks'!H62)</f>
        <v/>
      </c>
      <c r="I58" s="388" t="str">
        <f>IF('Statement of Marks'!I62="","",'Statement of Marks'!I62)</f>
        <v/>
      </c>
      <c r="J58" s="598" t="str">
        <f>IF('Statement of Marks'!GY62="","",'Statement of Marks'!GY62)</f>
        <v/>
      </c>
      <c r="K58" s="834" t="str">
        <f>IF(B58="","",IF('Statement of Marks'!GZ62="","",'Statement of Marks'!GZ62))</f>
        <v/>
      </c>
      <c r="L58" s="839" t="str">
        <f>IF('Statement of Marks'!HC62="","",'Statement of Marks'!HC62)</f>
        <v/>
      </c>
      <c r="M58" s="389" t="str">
        <f>IF('Statement of Marks'!HB62="","",'Statement of Marks'!HB62)</f>
        <v/>
      </c>
      <c r="N58" s="610" t="str">
        <f>IF('Statement of Marks'!HD62="","",'Statement of Marks'!HD62)</f>
        <v/>
      </c>
      <c r="O58" s="390" t="str">
        <f>IF(J58="FAIL","",IF('Statement of Marks'!GU62="","",'Statement of Marks'!GU62))</f>
        <v xml:space="preserve">    </v>
      </c>
      <c r="P58" s="391" t="str">
        <f>IF('Supp. Result Entry'!AS61="","",'Supp. Result Entry'!AS61)</f>
        <v/>
      </c>
      <c r="Q58" s="392" t="str">
        <f>IF('Supp. Result Entry'!AT61="","",'Supp. Result Entry'!AT61)</f>
        <v/>
      </c>
      <c r="R58" s="393" t="str">
        <f>IF('Statement of Marks'!HG62="","",'Statement of Marks'!HG62)</f>
        <v/>
      </c>
      <c r="S58" s="394" t="str">
        <f>IF('Statement of Marks'!FH62="","",'Statement of Marks'!FH62)</f>
        <v/>
      </c>
      <c r="BM58" s="395" t="str">
        <f>'Statement of Marks'!E62</f>
        <v/>
      </c>
      <c r="BN58" s="396" t="str">
        <f t="shared" si="0"/>
        <v/>
      </c>
      <c r="BO58" s="396" t="str">
        <f t="shared" si="1"/>
        <v/>
      </c>
      <c r="BP58" s="396" t="str">
        <f t="shared" si="2"/>
        <v/>
      </c>
      <c r="BQ58" s="396" t="str">
        <f t="shared" si="3"/>
        <v/>
      </c>
      <c r="BR58" s="396" t="str">
        <f t="shared" si="4"/>
        <v/>
      </c>
      <c r="BS58" s="396" t="str">
        <f t="shared" si="5"/>
        <v/>
      </c>
      <c r="BT58" s="396" t="str">
        <f t="shared" si="6"/>
        <v/>
      </c>
      <c r="BU58" s="396" t="str">
        <f t="shared" si="7"/>
        <v/>
      </c>
      <c r="BV58" s="396" t="str">
        <f t="shared" si="8"/>
        <v/>
      </c>
      <c r="BW58" s="396" t="str">
        <f t="shared" si="9"/>
        <v/>
      </c>
      <c r="BX58" s="396" t="str">
        <f t="shared" si="10"/>
        <v/>
      </c>
      <c r="BY58" s="396" t="str">
        <f t="shared" si="11"/>
        <v/>
      </c>
      <c r="BZ58" s="397"/>
    </row>
    <row r="59" spans="1:78" ht="15.95" customHeight="1">
      <c r="A59" s="386">
        <f>IF('Statement of Marks'!A63="","",'Statement of Marks'!A63)</f>
        <v>56</v>
      </c>
      <c r="B59" s="840" t="str">
        <f>IF('Statement of Marks'!B63="","",'Statement of Marks'!B63)</f>
        <v/>
      </c>
      <c r="C59" s="841" t="str">
        <f>IF('Statement of Marks'!C63="","",'Statement of Marks'!C63)</f>
        <v/>
      </c>
      <c r="D59" s="833" t="str">
        <f>IF('Statement of Marks'!D63="","",'Statement of Marks'!D63)</f>
        <v/>
      </c>
      <c r="E59" s="387" t="str">
        <f>IF('Statement of Marks'!E63="","",'Statement of Marks'!E63)</f>
        <v/>
      </c>
      <c r="F59" s="387" t="str">
        <f>IF('Statement of Marks'!F63="","",'Statement of Marks'!F63)</f>
        <v/>
      </c>
      <c r="G59" s="387" t="str">
        <f>IF('Statement of Marks'!G63="","",'Statement of Marks'!G63)</f>
        <v/>
      </c>
      <c r="H59" s="388" t="str">
        <f>IF('Statement of Marks'!H63="","",'Statement of Marks'!H63)</f>
        <v/>
      </c>
      <c r="I59" s="388" t="str">
        <f>IF('Statement of Marks'!I63="","",'Statement of Marks'!I63)</f>
        <v/>
      </c>
      <c r="J59" s="598" t="str">
        <f>IF('Statement of Marks'!GY63="","",'Statement of Marks'!GY63)</f>
        <v/>
      </c>
      <c r="K59" s="834" t="str">
        <f>IF(B59="","",IF('Statement of Marks'!GZ63="","",'Statement of Marks'!GZ63))</f>
        <v/>
      </c>
      <c r="L59" s="839" t="str">
        <f>IF('Statement of Marks'!HC63="","",'Statement of Marks'!HC63)</f>
        <v/>
      </c>
      <c r="M59" s="389" t="str">
        <f>IF('Statement of Marks'!HB63="","",'Statement of Marks'!HB63)</f>
        <v/>
      </c>
      <c r="N59" s="610" t="str">
        <f>IF('Statement of Marks'!HD63="","",'Statement of Marks'!HD63)</f>
        <v/>
      </c>
      <c r="O59" s="390" t="str">
        <f>IF(J59="FAIL","",IF('Statement of Marks'!GU63="","",'Statement of Marks'!GU63))</f>
        <v xml:space="preserve">    </v>
      </c>
      <c r="P59" s="391" t="str">
        <f>IF('Supp. Result Entry'!AS62="","",'Supp. Result Entry'!AS62)</f>
        <v/>
      </c>
      <c r="Q59" s="392" t="str">
        <f>IF('Supp. Result Entry'!AT62="","",'Supp. Result Entry'!AT62)</f>
        <v/>
      </c>
      <c r="R59" s="393" t="str">
        <f>IF('Statement of Marks'!HG63="","",'Statement of Marks'!HG63)</f>
        <v/>
      </c>
      <c r="S59" s="394" t="str">
        <f>IF('Statement of Marks'!FH63="","",'Statement of Marks'!FH63)</f>
        <v/>
      </c>
      <c r="BM59" s="395" t="str">
        <f>'Statement of Marks'!E63</f>
        <v/>
      </c>
      <c r="BN59" s="396" t="str">
        <f t="shared" si="0"/>
        <v/>
      </c>
      <c r="BO59" s="396" t="str">
        <f t="shared" si="1"/>
        <v/>
      </c>
      <c r="BP59" s="396" t="str">
        <f t="shared" si="2"/>
        <v/>
      </c>
      <c r="BQ59" s="396" t="str">
        <f t="shared" si="3"/>
        <v/>
      </c>
      <c r="BR59" s="396" t="str">
        <f t="shared" si="4"/>
        <v/>
      </c>
      <c r="BS59" s="396" t="str">
        <f t="shared" si="5"/>
        <v/>
      </c>
      <c r="BT59" s="396" t="str">
        <f t="shared" si="6"/>
        <v/>
      </c>
      <c r="BU59" s="396" t="str">
        <f t="shared" si="7"/>
        <v/>
      </c>
      <c r="BV59" s="396" t="str">
        <f t="shared" si="8"/>
        <v/>
      </c>
      <c r="BW59" s="396" t="str">
        <f t="shared" si="9"/>
        <v/>
      </c>
      <c r="BX59" s="396" t="str">
        <f t="shared" si="10"/>
        <v/>
      </c>
      <c r="BY59" s="396" t="str">
        <f t="shared" si="11"/>
        <v/>
      </c>
      <c r="BZ59" s="397"/>
    </row>
    <row r="60" spans="1:78" ht="15.95" customHeight="1">
      <c r="A60" s="386">
        <f>IF('Statement of Marks'!A64="","",'Statement of Marks'!A64)</f>
        <v>57</v>
      </c>
      <c r="B60" s="840" t="str">
        <f>IF('Statement of Marks'!B64="","",'Statement of Marks'!B64)</f>
        <v/>
      </c>
      <c r="C60" s="841" t="str">
        <f>IF('Statement of Marks'!C64="","",'Statement of Marks'!C64)</f>
        <v/>
      </c>
      <c r="D60" s="833" t="str">
        <f>IF('Statement of Marks'!D64="","",'Statement of Marks'!D64)</f>
        <v/>
      </c>
      <c r="E60" s="387" t="str">
        <f>IF('Statement of Marks'!E64="","",'Statement of Marks'!E64)</f>
        <v/>
      </c>
      <c r="F60" s="387" t="str">
        <f>IF('Statement of Marks'!F64="","",'Statement of Marks'!F64)</f>
        <v/>
      </c>
      <c r="G60" s="387" t="str">
        <f>IF('Statement of Marks'!G64="","",'Statement of Marks'!G64)</f>
        <v/>
      </c>
      <c r="H60" s="388" t="str">
        <f>IF('Statement of Marks'!H64="","",'Statement of Marks'!H64)</f>
        <v/>
      </c>
      <c r="I60" s="388" t="str">
        <f>IF('Statement of Marks'!I64="","",'Statement of Marks'!I64)</f>
        <v/>
      </c>
      <c r="J60" s="598" t="str">
        <f>IF('Statement of Marks'!GY64="","",'Statement of Marks'!GY64)</f>
        <v/>
      </c>
      <c r="K60" s="834" t="str">
        <f>IF(B60="","",IF('Statement of Marks'!GZ64="","",'Statement of Marks'!GZ64))</f>
        <v/>
      </c>
      <c r="L60" s="839" t="str">
        <f>IF('Statement of Marks'!HC64="","",'Statement of Marks'!HC64)</f>
        <v/>
      </c>
      <c r="M60" s="389" t="str">
        <f>IF('Statement of Marks'!HB64="","",'Statement of Marks'!HB64)</f>
        <v/>
      </c>
      <c r="N60" s="610" t="str">
        <f>IF('Statement of Marks'!HD64="","",'Statement of Marks'!HD64)</f>
        <v/>
      </c>
      <c r="O60" s="390" t="str">
        <f>IF(J60="FAIL","",IF('Statement of Marks'!GU64="","",'Statement of Marks'!GU64))</f>
        <v xml:space="preserve">    </v>
      </c>
      <c r="P60" s="391" t="str">
        <f>IF('Supp. Result Entry'!AS63="","",'Supp. Result Entry'!AS63)</f>
        <v/>
      </c>
      <c r="Q60" s="392" t="str">
        <f>IF('Supp. Result Entry'!AT63="","",'Supp. Result Entry'!AT63)</f>
        <v/>
      </c>
      <c r="R60" s="393" t="str">
        <f>IF('Statement of Marks'!HG64="","",'Statement of Marks'!HG64)</f>
        <v/>
      </c>
      <c r="S60" s="394" t="str">
        <f>IF('Statement of Marks'!FH64="","",'Statement of Marks'!FH64)</f>
        <v/>
      </c>
      <c r="BM60" s="395" t="str">
        <f>'Statement of Marks'!E64</f>
        <v/>
      </c>
      <c r="BN60" s="396" t="str">
        <f t="shared" si="0"/>
        <v/>
      </c>
      <c r="BO60" s="396" t="str">
        <f t="shared" si="1"/>
        <v/>
      </c>
      <c r="BP60" s="396" t="str">
        <f t="shared" si="2"/>
        <v/>
      </c>
      <c r="BQ60" s="396" t="str">
        <f t="shared" si="3"/>
        <v/>
      </c>
      <c r="BR60" s="396" t="str">
        <f t="shared" si="4"/>
        <v/>
      </c>
      <c r="BS60" s="396" t="str">
        <f t="shared" si="5"/>
        <v/>
      </c>
      <c r="BT60" s="396" t="str">
        <f t="shared" si="6"/>
        <v/>
      </c>
      <c r="BU60" s="396" t="str">
        <f t="shared" si="7"/>
        <v/>
      </c>
      <c r="BV60" s="396" t="str">
        <f t="shared" si="8"/>
        <v/>
      </c>
      <c r="BW60" s="396" t="str">
        <f t="shared" si="9"/>
        <v/>
      </c>
      <c r="BX60" s="396" t="str">
        <f t="shared" si="10"/>
        <v/>
      </c>
      <c r="BY60" s="396" t="str">
        <f t="shared" si="11"/>
        <v/>
      </c>
      <c r="BZ60" s="397"/>
    </row>
    <row r="61" spans="1:78" ht="15.95" customHeight="1">
      <c r="A61" s="386">
        <f>IF('Statement of Marks'!A65="","",'Statement of Marks'!A65)</f>
        <v>58</v>
      </c>
      <c r="B61" s="840" t="str">
        <f>IF('Statement of Marks'!B65="","",'Statement of Marks'!B65)</f>
        <v/>
      </c>
      <c r="C61" s="841" t="str">
        <f>IF('Statement of Marks'!C65="","",'Statement of Marks'!C65)</f>
        <v/>
      </c>
      <c r="D61" s="833" t="str">
        <f>IF('Statement of Marks'!D65="","",'Statement of Marks'!D65)</f>
        <v/>
      </c>
      <c r="E61" s="387" t="str">
        <f>IF('Statement of Marks'!E65="","",'Statement of Marks'!E65)</f>
        <v/>
      </c>
      <c r="F61" s="387" t="str">
        <f>IF('Statement of Marks'!F65="","",'Statement of Marks'!F65)</f>
        <v/>
      </c>
      <c r="G61" s="387" t="str">
        <f>IF('Statement of Marks'!G65="","",'Statement of Marks'!G65)</f>
        <v/>
      </c>
      <c r="H61" s="388" t="str">
        <f>IF('Statement of Marks'!H65="","",'Statement of Marks'!H65)</f>
        <v/>
      </c>
      <c r="I61" s="388" t="str">
        <f>IF('Statement of Marks'!I65="","",'Statement of Marks'!I65)</f>
        <v/>
      </c>
      <c r="J61" s="598" t="str">
        <f>IF('Statement of Marks'!GY65="","",'Statement of Marks'!GY65)</f>
        <v/>
      </c>
      <c r="K61" s="834" t="str">
        <f>IF(B61="","",IF('Statement of Marks'!GZ65="","",'Statement of Marks'!GZ65))</f>
        <v/>
      </c>
      <c r="L61" s="839" t="str">
        <f>IF('Statement of Marks'!HC65="","",'Statement of Marks'!HC65)</f>
        <v/>
      </c>
      <c r="M61" s="389" t="str">
        <f>IF('Statement of Marks'!HB65="","",'Statement of Marks'!HB65)</f>
        <v/>
      </c>
      <c r="N61" s="610" t="str">
        <f>IF('Statement of Marks'!HD65="","",'Statement of Marks'!HD65)</f>
        <v/>
      </c>
      <c r="O61" s="390" t="str">
        <f>IF(J61="FAIL","",IF('Statement of Marks'!GU65="","",'Statement of Marks'!GU65))</f>
        <v xml:space="preserve">    </v>
      </c>
      <c r="P61" s="391" t="str">
        <f>IF('Supp. Result Entry'!AS64="","",'Supp. Result Entry'!AS64)</f>
        <v/>
      </c>
      <c r="Q61" s="392" t="str">
        <f>IF('Supp. Result Entry'!AT64="","",'Supp. Result Entry'!AT64)</f>
        <v/>
      </c>
      <c r="R61" s="393" t="str">
        <f>IF('Statement of Marks'!HG65="","",'Statement of Marks'!HG65)</f>
        <v/>
      </c>
      <c r="S61" s="394" t="str">
        <f>IF('Statement of Marks'!FH65="","",'Statement of Marks'!FH65)</f>
        <v/>
      </c>
      <c r="BM61" s="395" t="str">
        <f>'Statement of Marks'!E65</f>
        <v/>
      </c>
      <c r="BN61" s="396" t="str">
        <f t="shared" si="0"/>
        <v/>
      </c>
      <c r="BO61" s="396" t="str">
        <f t="shared" si="1"/>
        <v/>
      </c>
      <c r="BP61" s="396" t="str">
        <f t="shared" si="2"/>
        <v/>
      </c>
      <c r="BQ61" s="396" t="str">
        <f t="shared" si="3"/>
        <v/>
      </c>
      <c r="BR61" s="396" t="str">
        <f t="shared" si="4"/>
        <v/>
      </c>
      <c r="BS61" s="396" t="str">
        <f t="shared" si="5"/>
        <v/>
      </c>
      <c r="BT61" s="396" t="str">
        <f t="shared" si="6"/>
        <v/>
      </c>
      <c r="BU61" s="396" t="str">
        <f t="shared" si="7"/>
        <v/>
      </c>
      <c r="BV61" s="396" t="str">
        <f t="shared" si="8"/>
        <v/>
      </c>
      <c r="BW61" s="396" t="str">
        <f t="shared" si="9"/>
        <v/>
      </c>
      <c r="BX61" s="396" t="str">
        <f t="shared" si="10"/>
        <v/>
      </c>
      <c r="BY61" s="396" t="str">
        <f t="shared" si="11"/>
        <v/>
      </c>
      <c r="BZ61" s="397"/>
    </row>
    <row r="62" spans="1:78" ht="15.95" customHeight="1">
      <c r="A62" s="386">
        <f>IF('Statement of Marks'!A66="","",'Statement of Marks'!A66)</f>
        <v>59</v>
      </c>
      <c r="B62" s="840" t="str">
        <f>IF('Statement of Marks'!B66="","",'Statement of Marks'!B66)</f>
        <v/>
      </c>
      <c r="C62" s="841" t="str">
        <f>IF('Statement of Marks'!C66="","",'Statement of Marks'!C66)</f>
        <v/>
      </c>
      <c r="D62" s="833" t="str">
        <f>IF('Statement of Marks'!D66="","",'Statement of Marks'!D66)</f>
        <v/>
      </c>
      <c r="E62" s="387" t="str">
        <f>IF('Statement of Marks'!E66="","",'Statement of Marks'!E66)</f>
        <v/>
      </c>
      <c r="F62" s="387" t="str">
        <f>IF('Statement of Marks'!F66="","",'Statement of Marks'!F66)</f>
        <v/>
      </c>
      <c r="G62" s="387" t="str">
        <f>IF('Statement of Marks'!G66="","",'Statement of Marks'!G66)</f>
        <v/>
      </c>
      <c r="H62" s="388" t="str">
        <f>IF('Statement of Marks'!H66="","",'Statement of Marks'!H66)</f>
        <v/>
      </c>
      <c r="I62" s="388" t="str">
        <f>IF('Statement of Marks'!I66="","",'Statement of Marks'!I66)</f>
        <v/>
      </c>
      <c r="J62" s="598" t="str">
        <f>IF('Statement of Marks'!GY66="","",'Statement of Marks'!GY66)</f>
        <v/>
      </c>
      <c r="K62" s="834" t="str">
        <f>IF(B62="","",IF('Statement of Marks'!GZ66="","",'Statement of Marks'!GZ66))</f>
        <v/>
      </c>
      <c r="L62" s="839" t="str">
        <f>IF('Statement of Marks'!HC66="","",'Statement of Marks'!HC66)</f>
        <v/>
      </c>
      <c r="M62" s="389" t="str">
        <f>IF('Statement of Marks'!HB66="","",'Statement of Marks'!HB66)</f>
        <v/>
      </c>
      <c r="N62" s="610" t="str">
        <f>IF('Statement of Marks'!HD66="","",'Statement of Marks'!HD66)</f>
        <v/>
      </c>
      <c r="O62" s="390" t="str">
        <f>IF(J62="FAIL","",IF('Statement of Marks'!GU66="","",'Statement of Marks'!GU66))</f>
        <v xml:space="preserve">    </v>
      </c>
      <c r="P62" s="391" t="str">
        <f>IF('Supp. Result Entry'!AS65="","",'Supp. Result Entry'!AS65)</f>
        <v/>
      </c>
      <c r="Q62" s="392" t="str">
        <f>IF('Supp. Result Entry'!AT65="","",'Supp. Result Entry'!AT65)</f>
        <v/>
      </c>
      <c r="R62" s="393" t="str">
        <f>IF('Statement of Marks'!HG66="","",'Statement of Marks'!HG66)</f>
        <v/>
      </c>
      <c r="S62" s="394" t="str">
        <f>IF('Statement of Marks'!FH66="","",'Statement of Marks'!FH66)</f>
        <v/>
      </c>
      <c r="BM62" s="395" t="str">
        <f>'Statement of Marks'!E66</f>
        <v/>
      </c>
      <c r="BN62" s="396" t="str">
        <f t="shared" si="0"/>
        <v/>
      </c>
      <c r="BO62" s="396" t="str">
        <f t="shared" si="1"/>
        <v/>
      </c>
      <c r="BP62" s="396" t="str">
        <f t="shared" si="2"/>
        <v/>
      </c>
      <c r="BQ62" s="396" t="str">
        <f t="shared" si="3"/>
        <v/>
      </c>
      <c r="BR62" s="396" t="str">
        <f t="shared" si="4"/>
        <v/>
      </c>
      <c r="BS62" s="396" t="str">
        <f t="shared" si="5"/>
        <v/>
      </c>
      <c r="BT62" s="396" t="str">
        <f t="shared" si="6"/>
        <v/>
      </c>
      <c r="BU62" s="396" t="str">
        <f t="shared" si="7"/>
        <v/>
      </c>
      <c r="BV62" s="396" t="str">
        <f t="shared" si="8"/>
        <v/>
      </c>
      <c r="BW62" s="396" t="str">
        <f t="shared" si="9"/>
        <v/>
      </c>
      <c r="BX62" s="396" t="str">
        <f t="shared" si="10"/>
        <v/>
      </c>
      <c r="BY62" s="396" t="str">
        <f t="shared" si="11"/>
        <v/>
      </c>
      <c r="BZ62" s="397"/>
    </row>
    <row r="63" spans="1:78" ht="15.95" customHeight="1">
      <c r="A63" s="386">
        <f>IF('Statement of Marks'!A67="","",'Statement of Marks'!A67)</f>
        <v>60</v>
      </c>
      <c r="B63" s="840" t="str">
        <f>IF('Statement of Marks'!B67="","",'Statement of Marks'!B67)</f>
        <v/>
      </c>
      <c r="C63" s="841" t="str">
        <f>IF('Statement of Marks'!C67="","",'Statement of Marks'!C67)</f>
        <v/>
      </c>
      <c r="D63" s="833" t="str">
        <f>IF('Statement of Marks'!D67="","",'Statement of Marks'!D67)</f>
        <v/>
      </c>
      <c r="E63" s="387" t="str">
        <f>IF('Statement of Marks'!E67="","",'Statement of Marks'!E67)</f>
        <v/>
      </c>
      <c r="F63" s="387" t="str">
        <f>IF('Statement of Marks'!F67="","",'Statement of Marks'!F67)</f>
        <v/>
      </c>
      <c r="G63" s="387" t="str">
        <f>IF('Statement of Marks'!G67="","",'Statement of Marks'!G67)</f>
        <v/>
      </c>
      <c r="H63" s="388" t="str">
        <f>IF('Statement of Marks'!H67="","",'Statement of Marks'!H67)</f>
        <v/>
      </c>
      <c r="I63" s="388" t="str">
        <f>IF('Statement of Marks'!I67="","",'Statement of Marks'!I67)</f>
        <v/>
      </c>
      <c r="J63" s="598" t="str">
        <f>IF('Statement of Marks'!GY67="","",'Statement of Marks'!GY67)</f>
        <v/>
      </c>
      <c r="K63" s="834" t="str">
        <f>IF(B63="","",IF('Statement of Marks'!GZ67="","",'Statement of Marks'!GZ67))</f>
        <v/>
      </c>
      <c r="L63" s="839" t="str">
        <f>IF('Statement of Marks'!HC67="","",'Statement of Marks'!HC67)</f>
        <v/>
      </c>
      <c r="M63" s="389" t="str">
        <f>IF('Statement of Marks'!HB67="","",'Statement of Marks'!HB67)</f>
        <v/>
      </c>
      <c r="N63" s="610" t="str">
        <f>IF('Statement of Marks'!HD67="","",'Statement of Marks'!HD67)</f>
        <v/>
      </c>
      <c r="O63" s="390" t="str">
        <f>IF(J63="FAIL","",IF('Statement of Marks'!GU67="","",'Statement of Marks'!GU67))</f>
        <v xml:space="preserve">    </v>
      </c>
      <c r="P63" s="391" t="str">
        <f>IF('Supp. Result Entry'!AS66="","",'Supp. Result Entry'!AS66)</f>
        <v/>
      </c>
      <c r="Q63" s="392" t="str">
        <f>IF('Supp. Result Entry'!AT66="","",'Supp. Result Entry'!AT66)</f>
        <v/>
      </c>
      <c r="R63" s="393" t="str">
        <f>IF('Statement of Marks'!HG67="","",'Statement of Marks'!HG67)</f>
        <v/>
      </c>
      <c r="S63" s="394" t="str">
        <f>IF('Statement of Marks'!FH67="","",'Statement of Marks'!FH67)</f>
        <v/>
      </c>
      <c r="BM63" s="395" t="str">
        <f>'Statement of Marks'!E67</f>
        <v/>
      </c>
      <c r="BN63" s="396" t="str">
        <f t="shared" si="0"/>
        <v/>
      </c>
      <c r="BO63" s="396" t="str">
        <f t="shared" si="1"/>
        <v/>
      </c>
      <c r="BP63" s="396" t="str">
        <f t="shared" si="2"/>
        <v/>
      </c>
      <c r="BQ63" s="396" t="str">
        <f t="shared" si="3"/>
        <v/>
      </c>
      <c r="BR63" s="396" t="str">
        <f t="shared" si="4"/>
        <v/>
      </c>
      <c r="BS63" s="396" t="str">
        <f t="shared" si="5"/>
        <v/>
      </c>
      <c r="BT63" s="396" t="str">
        <f t="shared" si="6"/>
        <v/>
      </c>
      <c r="BU63" s="396" t="str">
        <f t="shared" si="7"/>
        <v/>
      </c>
      <c r="BV63" s="396" t="str">
        <f t="shared" si="8"/>
        <v/>
      </c>
      <c r="BW63" s="396" t="str">
        <f t="shared" si="9"/>
        <v/>
      </c>
      <c r="BX63" s="396" t="str">
        <f t="shared" si="10"/>
        <v/>
      </c>
      <c r="BY63" s="396" t="str">
        <f t="shared" si="11"/>
        <v/>
      </c>
      <c r="BZ63" s="397"/>
    </row>
    <row r="64" spans="1:78" ht="15.95" customHeight="1">
      <c r="A64" s="386">
        <f>IF('Statement of Marks'!A68="","",'Statement of Marks'!A68)</f>
        <v>61</v>
      </c>
      <c r="B64" s="840" t="str">
        <f>IF('Statement of Marks'!B68="","",'Statement of Marks'!B68)</f>
        <v/>
      </c>
      <c r="C64" s="841" t="str">
        <f>IF('Statement of Marks'!C68="","",'Statement of Marks'!C68)</f>
        <v/>
      </c>
      <c r="D64" s="833" t="str">
        <f>IF('Statement of Marks'!D68="","",'Statement of Marks'!D68)</f>
        <v/>
      </c>
      <c r="E64" s="387" t="str">
        <f>IF('Statement of Marks'!E68="","",'Statement of Marks'!E68)</f>
        <v/>
      </c>
      <c r="F64" s="387" t="str">
        <f>IF('Statement of Marks'!F68="","",'Statement of Marks'!F68)</f>
        <v/>
      </c>
      <c r="G64" s="387" t="str">
        <f>IF('Statement of Marks'!G68="","",'Statement of Marks'!G68)</f>
        <v/>
      </c>
      <c r="H64" s="388" t="str">
        <f>IF('Statement of Marks'!H68="","",'Statement of Marks'!H68)</f>
        <v/>
      </c>
      <c r="I64" s="388" t="str">
        <f>IF('Statement of Marks'!I68="","",'Statement of Marks'!I68)</f>
        <v/>
      </c>
      <c r="J64" s="598" t="str">
        <f>IF('Statement of Marks'!GY68="","",'Statement of Marks'!GY68)</f>
        <v/>
      </c>
      <c r="K64" s="834" t="str">
        <f>IF(B64="","",IF('Statement of Marks'!GZ68="","",'Statement of Marks'!GZ68))</f>
        <v/>
      </c>
      <c r="L64" s="839" t="str">
        <f>IF('Statement of Marks'!HC68="","",'Statement of Marks'!HC68)</f>
        <v/>
      </c>
      <c r="M64" s="389" t="str">
        <f>IF('Statement of Marks'!HB68="","",'Statement of Marks'!HB68)</f>
        <v/>
      </c>
      <c r="N64" s="610" t="str">
        <f>IF('Statement of Marks'!HD68="","",'Statement of Marks'!HD68)</f>
        <v/>
      </c>
      <c r="O64" s="390" t="str">
        <f>IF(J64="FAIL","",IF('Statement of Marks'!GU68="","",'Statement of Marks'!GU68))</f>
        <v xml:space="preserve">    </v>
      </c>
      <c r="P64" s="391" t="str">
        <f>IF('Supp. Result Entry'!AS67="","",'Supp. Result Entry'!AS67)</f>
        <v/>
      </c>
      <c r="Q64" s="392" t="str">
        <f>IF('Supp. Result Entry'!AT67="","",'Supp. Result Entry'!AT67)</f>
        <v/>
      </c>
      <c r="R64" s="393" t="str">
        <f>IF('Statement of Marks'!HG68="","",'Statement of Marks'!HG68)</f>
        <v/>
      </c>
      <c r="S64" s="394" t="str">
        <f>IF('Statement of Marks'!FH68="","",'Statement of Marks'!FH68)</f>
        <v/>
      </c>
      <c r="BM64" s="395" t="str">
        <f>'Statement of Marks'!E68</f>
        <v/>
      </c>
      <c r="BN64" s="396" t="str">
        <f t="shared" si="0"/>
        <v/>
      </c>
      <c r="BO64" s="396" t="str">
        <f t="shared" si="1"/>
        <v/>
      </c>
      <c r="BP64" s="396" t="str">
        <f t="shared" si="2"/>
        <v/>
      </c>
      <c r="BQ64" s="396" t="str">
        <f t="shared" si="3"/>
        <v/>
      </c>
      <c r="BR64" s="396" t="str">
        <f t="shared" si="4"/>
        <v/>
      </c>
      <c r="BS64" s="396" t="str">
        <f t="shared" si="5"/>
        <v/>
      </c>
      <c r="BT64" s="396" t="str">
        <f t="shared" si="6"/>
        <v/>
      </c>
      <c r="BU64" s="396" t="str">
        <f t="shared" si="7"/>
        <v/>
      </c>
      <c r="BV64" s="396" t="str">
        <f t="shared" si="8"/>
        <v/>
      </c>
      <c r="BW64" s="396" t="str">
        <f t="shared" si="9"/>
        <v/>
      </c>
      <c r="BX64" s="396" t="str">
        <f t="shared" si="10"/>
        <v/>
      </c>
      <c r="BY64" s="396" t="str">
        <f t="shared" si="11"/>
        <v/>
      </c>
      <c r="BZ64" s="397"/>
    </row>
    <row r="65" spans="1:78" ht="15.95" customHeight="1">
      <c r="A65" s="386">
        <f>IF('Statement of Marks'!A69="","",'Statement of Marks'!A69)</f>
        <v>62</v>
      </c>
      <c r="B65" s="840" t="str">
        <f>IF('Statement of Marks'!B69="","",'Statement of Marks'!B69)</f>
        <v/>
      </c>
      <c r="C65" s="841" t="str">
        <f>IF('Statement of Marks'!C69="","",'Statement of Marks'!C69)</f>
        <v/>
      </c>
      <c r="D65" s="833" t="str">
        <f>IF('Statement of Marks'!D69="","",'Statement of Marks'!D69)</f>
        <v/>
      </c>
      <c r="E65" s="387" t="str">
        <f>IF('Statement of Marks'!E69="","",'Statement of Marks'!E69)</f>
        <v/>
      </c>
      <c r="F65" s="387" t="str">
        <f>IF('Statement of Marks'!F69="","",'Statement of Marks'!F69)</f>
        <v/>
      </c>
      <c r="G65" s="387" t="str">
        <f>IF('Statement of Marks'!G69="","",'Statement of Marks'!G69)</f>
        <v/>
      </c>
      <c r="H65" s="388" t="str">
        <f>IF('Statement of Marks'!H69="","",'Statement of Marks'!H69)</f>
        <v/>
      </c>
      <c r="I65" s="388" t="str">
        <f>IF('Statement of Marks'!I69="","",'Statement of Marks'!I69)</f>
        <v/>
      </c>
      <c r="J65" s="598" t="str">
        <f>IF('Statement of Marks'!GY69="","",'Statement of Marks'!GY69)</f>
        <v/>
      </c>
      <c r="K65" s="834" t="str">
        <f>IF(B65="","",IF('Statement of Marks'!GZ69="","",'Statement of Marks'!GZ69))</f>
        <v/>
      </c>
      <c r="L65" s="839" t="str">
        <f>IF('Statement of Marks'!HC69="","",'Statement of Marks'!HC69)</f>
        <v/>
      </c>
      <c r="M65" s="389" t="str">
        <f>IF('Statement of Marks'!HB69="","",'Statement of Marks'!HB69)</f>
        <v/>
      </c>
      <c r="N65" s="610" t="str">
        <f>IF('Statement of Marks'!HD69="","",'Statement of Marks'!HD69)</f>
        <v/>
      </c>
      <c r="O65" s="390" t="str">
        <f>IF(J65="FAIL","",IF('Statement of Marks'!GU69="","",'Statement of Marks'!GU69))</f>
        <v xml:space="preserve">    </v>
      </c>
      <c r="P65" s="391" t="str">
        <f>IF('Supp. Result Entry'!AS68="","",'Supp. Result Entry'!AS68)</f>
        <v/>
      </c>
      <c r="Q65" s="392" t="str">
        <f>IF('Supp. Result Entry'!AT68="","",'Supp. Result Entry'!AT68)</f>
        <v/>
      </c>
      <c r="R65" s="393" t="str">
        <f>IF('Statement of Marks'!HG69="","",'Statement of Marks'!HG69)</f>
        <v/>
      </c>
      <c r="S65" s="394" t="str">
        <f>IF('Statement of Marks'!FH69="","",'Statement of Marks'!FH69)</f>
        <v/>
      </c>
      <c r="BM65" s="395" t="str">
        <f>'Statement of Marks'!E69</f>
        <v/>
      </c>
      <c r="BN65" s="396" t="str">
        <f t="shared" si="0"/>
        <v/>
      </c>
      <c r="BO65" s="396" t="str">
        <f t="shared" si="1"/>
        <v/>
      </c>
      <c r="BP65" s="396" t="str">
        <f t="shared" si="2"/>
        <v/>
      </c>
      <c r="BQ65" s="396" t="str">
        <f t="shared" si="3"/>
        <v/>
      </c>
      <c r="BR65" s="396" t="str">
        <f t="shared" si="4"/>
        <v/>
      </c>
      <c r="BS65" s="396" t="str">
        <f t="shared" si="5"/>
        <v/>
      </c>
      <c r="BT65" s="396" t="str">
        <f t="shared" si="6"/>
        <v/>
      </c>
      <c r="BU65" s="396" t="str">
        <f t="shared" si="7"/>
        <v/>
      </c>
      <c r="BV65" s="396" t="str">
        <f t="shared" si="8"/>
        <v/>
      </c>
      <c r="BW65" s="396" t="str">
        <f t="shared" si="9"/>
        <v/>
      </c>
      <c r="BX65" s="396" t="str">
        <f t="shared" si="10"/>
        <v/>
      </c>
      <c r="BY65" s="396" t="str">
        <f t="shared" si="11"/>
        <v/>
      </c>
      <c r="BZ65" s="397"/>
    </row>
    <row r="66" spans="1:78" ht="15.95" customHeight="1">
      <c r="A66" s="386">
        <f>IF('Statement of Marks'!A70="","",'Statement of Marks'!A70)</f>
        <v>63</v>
      </c>
      <c r="B66" s="840" t="str">
        <f>IF('Statement of Marks'!B70="","",'Statement of Marks'!B70)</f>
        <v/>
      </c>
      <c r="C66" s="841" t="str">
        <f>IF('Statement of Marks'!C70="","",'Statement of Marks'!C70)</f>
        <v/>
      </c>
      <c r="D66" s="833" t="str">
        <f>IF('Statement of Marks'!D70="","",'Statement of Marks'!D70)</f>
        <v/>
      </c>
      <c r="E66" s="387" t="str">
        <f>IF('Statement of Marks'!E70="","",'Statement of Marks'!E70)</f>
        <v/>
      </c>
      <c r="F66" s="387" t="str">
        <f>IF('Statement of Marks'!F70="","",'Statement of Marks'!F70)</f>
        <v/>
      </c>
      <c r="G66" s="387" t="str">
        <f>IF('Statement of Marks'!G70="","",'Statement of Marks'!G70)</f>
        <v/>
      </c>
      <c r="H66" s="388" t="str">
        <f>IF('Statement of Marks'!H70="","",'Statement of Marks'!H70)</f>
        <v/>
      </c>
      <c r="I66" s="388" t="str">
        <f>IF('Statement of Marks'!I70="","",'Statement of Marks'!I70)</f>
        <v/>
      </c>
      <c r="J66" s="598" t="str">
        <f>IF('Statement of Marks'!GY70="","",'Statement of Marks'!GY70)</f>
        <v/>
      </c>
      <c r="K66" s="834" t="str">
        <f>IF(B66="","",IF('Statement of Marks'!GZ70="","",'Statement of Marks'!GZ70))</f>
        <v/>
      </c>
      <c r="L66" s="839" t="str">
        <f>IF('Statement of Marks'!HC70="","",'Statement of Marks'!HC70)</f>
        <v/>
      </c>
      <c r="M66" s="389" t="str">
        <f>IF('Statement of Marks'!HB70="","",'Statement of Marks'!HB70)</f>
        <v/>
      </c>
      <c r="N66" s="610" t="str">
        <f>IF('Statement of Marks'!HD70="","",'Statement of Marks'!HD70)</f>
        <v/>
      </c>
      <c r="O66" s="390" t="str">
        <f>IF(J66="FAIL","",IF('Statement of Marks'!GU70="","",'Statement of Marks'!GU70))</f>
        <v xml:space="preserve">    </v>
      </c>
      <c r="P66" s="391" t="str">
        <f>IF('Supp. Result Entry'!AS69="","",'Supp. Result Entry'!AS69)</f>
        <v/>
      </c>
      <c r="Q66" s="392" t="str">
        <f>IF('Supp. Result Entry'!AT69="","",'Supp. Result Entry'!AT69)</f>
        <v/>
      </c>
      <c r="R66" s="393" t="str">
        <f>IF('Statement of Marks'!HG70="","",'Statement of Marks'!HG70)</f>
        <v/>
      </c>
      <c r="S66" s="394" t="str">
        <f>IF('Statement of Marks'!FH70="","",'Statement of Marks'!FH70)</f>
        <v/>
      </c>
      <c r="BM66" s="395" t="str">
        <f>'Statement of Marks'!E70</f>
        <v/>
      </c>
      <c r="BN66" s="396" t="str">
        <f t="shared" si="0"/>
        <v/>
      </c>
      <c r="BO66" s="396" t="str">
        <f t="shared" si="1"/>
        <v/>
      </c>
      <c r="BP66" s="396" t="str">
        <f t="shared" si="2"/>
        <v/>
      </c>
      <c r="BQ66" s="396" t="str">
        <f t="shared" si="3"/>
        <v/>
      </c>
      <c r="BR66" s="396" t="str">
        <f t="shared" si="4"/>
        <v/>
      </c>
      <c r="BS66" s="396" t="str">
        <f t="shared" si="5"/>
        <v/>
      </c>
      <c r="BT66" s="396" t="str">
        <f t="shared" si="6"/>
        <v/>
      </c>
      <c r="BU66" s="396" t="str">
        <f t="shared" si="7"/>
        <v/>
      </c>
      <c r="BV66" s="396" t="str">
        <f t="shared" si="8"/>
        <v/>
      </c>
      <c r="BW66" s="396" t="str">
        <f t="shared" si="9"/>
        <v/>
      </c>
      <c r="BX66" s="396" t="str">
        <f t="shared" si="10"/>
        <v/>
      </c>
      <c r="BY66" s="396" t="str">
        <f t="shared" si="11"/>
        <v/>
      </c>
      <c r="BZ66" s="397"/>
    </row>
    <row r="67" spans="1:78" ht="15.95" customHeight="1">
      <c r="A67" s="386">
        <f>IF('Statement of Marks'!A71="","",'Statement of Marks'!A71)</f>
        <v>64</v>
      </c>
      <c r="B67" s="840" t="str">
        <f>IF('Statement of Marks'!B71="","",'Statement of Marks'!B71)</f>
        <v/>
      </c>
      <c r="C67" s="841" t="str">
        <f>IF('Statement of Marks'!C71="","",'Statement of Marks'!C71)</f>
        <v/>
      </c>
      <c r="D67" s="833" t="str">
        <f>IF('Statement of Marks'!D71="","",'Statement of Marks'!D71)</f>
        <v/>
      </c>
      <c r="E67" s="387" t="str">
        <f>IF('Statement of Marks'!E71="","",'Statement of Marks'!E71)</f>
        <v/>
      </c>
      <c r="F67" s="387" t="str">
        <f>IF('Statement of Marks'!F71="","",'Statement of Marks'!F71)</f>
        <v/>
      </c>
      <c r="G67" s="387" t="str">
        <f>IF('Statement of Marks'!G71="","",'Statement of Marks'!G71)</f>
        <v/>
      </c>
      <c r="H67" s="388" t="str">
        <f>IF('Statement of Marks'!H71="","",'Statement of Marks'!H71)</f>
        <v/>
      </c>
      <c r="I67" s="388" t="str">
        <f>IF('Statement of Marks'!I71="","",'Statement of Marks'!I71)</f>
        <v/>
      </c>
      <c r="J67" s="598" t="str">
        <f>IF('Statement of Marks'!GY71="","",'Statement of Marks'!GY71)</f>
        <v/>
      </c>
      <c r="K67" s="834" t="str">
        <f>IF(B67="","",IF('Statement of Marks'!GZ71="","",'Statement of Marks'!GZ71))</f>
        <v/>
      </c>
      <c r="L67" s="839" t="str">
        <f>IF('Statement of Marks'!HC71="","",'Statement of Marks'!HC71)</f>
        <v/>
      </c>
      <c r="M67" s="389" t="str">
        <f>IF('Statement of Marks'!HB71="","",'Statement of Marks'!HB71)</f>
        <v/>
      </c>
      <c r="N67" s="610" t="str">
        <f>IF('Statement of Marks'!HD71="","",'Statement of Marks'!HD71)</f>
        <v/>
      </c>
      <c r="O67" s="390" t="str">
        <f>IF(J67="FAIL","",IF('Statement of Marks'!GU71="","",'Statement of Marks'!GU71))</f>
        <v xml:space="preserve">    </v>
      </c>
      <c r="P67" s="391" t="str">
        <f>IF('Supp. Result Entry'!AS70="","",'Supp. Result Entry'!AS70)</f>
        <v/>
      </c>
      <c r="Q67" s="392" t="str">
        <f>IF('Supp. Result Entry'!AT70="","",'Supp. Result Entry'!AT70)</f>
        <v/>
      </c>
      <c r="R67" s="393" t="str">
        <f>IF('Statement of Marks'!HG71="","",'Statement of Marks'!HG71)</f>
        <v/>
      </c>
      <c r="S67" s="394" t="str">
        <f>IF('Statement of Marks'!FH71="","",'Statement of Marks'!FH71)</f>
        <v/>
      </c>
      <c r="BM67" s="395" t="str">
        <f>'Statement of Marks'!E71</f>
        <v/>
      </c>
      <c r="BN67" s="396" t="str">
        <f t="shared" si="0"/>
        <v/>
      </c>
      <c r="BO67" s="396" t="str">
        <f t="shared" si="1"/>
        <v/>
      </c>
      <c r="BP67" s="396" t="str">
        <f t="shared" si="2"/>
        <v/>
      </c>
      <c r="BQ67" s="396" t="str">
        <f t="shared" si="3"/>
        <v/>
      </c>
      <c r="BR67" s="396" t="str">
        <f t="shared" si="4"/>
        <v/>
      </c>
      <c r="BS67" s="396" t="str">
        <f t="shared" si="5"/>
        <v/>
      </c>
      <c r="BT67" s="396" t="str">
        <f t="shared" si="6"/>
        <v/>
      </c>
      <c r="BU67" s="396" t="str">
        <f t="shared" si="7"/>
        <v/>
      </c>
      <c r="BV67" s="396" t="str">
        <f t="shared" si="8"/>
        <v/>
      </c>
      <c r="BW67" s="396" t="str">
        <f t="shared" si="9"/>
        <v/>
      </c>
      <c r="BX67" s="396" t="str">
        <f t="shared" si="10"/>
        <v/>
      </c>
      <c r="BY67" s="396" t="str">
        <f t="shared" si="11"/>
        <v/>
      </c>
      <c r="BZ67" s="397"/>
    </row>
    <row r="68" spans="1:78" ht="15.95" customHeight="1">
      <c r="A68" s="386">
        <f>IF('Statement of Marks'!A72="","",'Statement of Marks'!A72)</f>
        <v>65</v>
      </c>
      <c r="B68" s="840" t="str">
        <f>IF('Statement of Marks'!B72="","",'Statement of Marks'!B72)</f>
        <v/>
      </c>
      <c r="C68" s="841" t="str">
        <f>IF('Statement of Marks'!C72="","",'Statement of Marks'!C72)</f>
        <v/>
      </c>
      <c r="D68" s="833" t="str">
        <f>IF('Statement of Marks'!D72="","",'Statement of Marks'!D72)</f>
        <v/>
      </c>
      <c r="E68" s="387" t="str">
        <f>IF('Statement of Marks'!E72="","",'Statement of Marks'!E72)</f>
        <v/>
      </c>
      <c r="F68" s="387" t="str">
        <f>IF('Statement of Marks'!F72="","",'Statement of Marks'!F72)</f>
        <v/>
      </c>
      <c r="G68" s="387" t="str">
        <f>IF('Statement of Marks'!G72="","",'Statement of Marks'!G72)</f>
        <v/>
      </c>
      <c r="H68" s="388" t="str">
        <f>IF('Statement of Marks'!H72="","",'Statement of Marks'!H72)</f>
        <v/>
      </c>
      <c r="I68" s="388" t="str">
        <f>IF('Statement of Marks'!I72="","",'Statement of Marks'!I72)</f>
        <v/>
      </c>
      <c r="J68" s="598" t="str">
        <f>IF('Statement of Marks'!GY72="","",'Statement of Marks'!GY72)</f>
        <v/>
      </c>
      <c r="K68" s="834" t="str">
        <f>IF(B68="","",IF('Statement of Marks'!GZ72="","",'Statement of Marks'!GZ72))</f>
        <v/>
      </c>
      <c r="L68" s="839" t="str">
        <f>IF('Statement of Marks'!HC72="","",'Statement of Marks'!HC72)</f>
        <v/>
      </c>
      <c r="M68" s="389" t="str">
        <f>IF('Statement of Marks'!HB72="","",'Statement of Marks'!HB72)</f>
        <v/>
      </c>
      <c r="N68" s="610" t="str">
        <f>IF('Statement of Marks'!HD72="","",'Statement of Marks'!HD72)</f>
        <v/>
      </c>
      <c r="O68" s="390" t="str">
        <f>IF(J68="FAIL","",IF('Statement of Marks'!GU72="","",'Statement of Marks'!GU72))</f>
        <v xml:space="preserve">    </v>
      </c>
      <c r="P68" s="391" t="str">
        <f>IF('Supp. Result Entry'!AS71="","",'Supp. Result Entry'!AS71)</f>
        <v/>
      </c>
      <c r="Q68" s="392" t="str">
        <f>IF('Supp. Result Entry'!AT71="","",'Supp. Result Entry'!AT71)</f>
        <v/>
      </c>
      <c r="R68" s="393" t="str">
        <f>IF('Statement of Marks'!HG72="","",'Statement of Marks'!HG72)</f>
        <v/>
      </c>
      <c r="S68" s="394" t="str">
        <f>IF('Statement of Marks'!FH72="","",'Statement of Marks'!FH72)</f>
        <v/>
      </c>
      <c r="BM68" s="395" t="str">
        <f>'Statement of Marks'!E72</f>
        <v/>
      </c>
      <c r="BN68" s="396" t="str">
        <f t="shared" si="0"/>
        <v/>
      </c>
      <c r="BO68" s="396" t="str">
        <f t="shared" si="1"/>
        <v/>
      </c>
      <c r="BP68" s="396" t="str">
        <f t="shared" si="2"/>
        <v/>
      </c>
      <c r="BQ68" s="396" t="str">
        <f t="shared" si="3"/>
        <v/>
      </c>
      <c r="BR68" s="396" t="str">
        <f t="shared" si="4"/>
        <v/>
      </c>
      <c r="BS68" s="396" t="str">
        <f t="shared" si="5"/>
        <v/>
      </c>
      <c r="BT68" s="396" t="str">
        <f t="shared" si="6"/>
        <v/>
      </c>
      <c r="BU68" s="396" t="str">
        <f t="shared" si="7"/>
        <v/>
      </c>
      <c r="BV68" s="396" t="str">
        <f t="shared" si="8"/>
        <v/>
      </c>
      <c r="BW68" s="396" t="str">
        <f t="shared" si="9"/>
        <v/>
      </c>
      <c r="BX68" s="396" t="str">
        <f t="shared" si="10"/>
        <v/>
      </c>
      <c r="BY68" s="396" t="str">
        <f t="shared" si="11"/>
        <v/>
      </c>
      <c r="BZ68" s="397"/>
    </row>
    <row r="69" spans="1:78" ht="15.95" customHeight="1">
      <c r="A69" s="386">
        <f>IF('Statement of Marks'!A73="","",'Statement of Marks'!A73)</f>
        <v>66</v>
      </c>
      <c r="B69" s="840" t="str">
        <f>IF('Statement of Marks'!B73="","",'Statement of Marks'!B73)</f>
        <v/>
      </c>
      <c r="C69" s="841" t="str">
        <f>IF('Statement of Marks'!C73="","",'Statement of Marks'!C73)</f>
        <v/>
      </c>
      <c r="D69" s="833" t="str">
        <f>IF('Statement of Marks'!D73="","",'Statement of Marks'!D73)</f>
        <v/>
      </c>
      <c r="E69" s="387" t="str">
        <f>IF('Statement of Marks'!E73="","",'Statement of Marks'!E73)</f>
        <v/>
      </c>
      <c r="F69" s="387" t="str">
        <f>IF('Statement of Marks'!F73="","",'Statement of Marks'!F73)</f>
        <v/>
      </c>
      <c r="G69" s="387" t="str">
        <f>IF('Statement of Marks'!G73="","",'Statement of Marks'!G73)</f>
        <v/>
      </c>
      <c r="H69" s="388" t="str">
        <f>IF('Statement of Marks'!H73="","",'Statement of Marks'!H73)</f>
        <v/>
      </c>
      <c r="I69" s="388" t="str">
        <f>IF('Statement of Marks'!I73="","",'Statement of Marks'!I73)</f>
        <v/>
      </c>
      <c r="J69" s="598" t="str">
        <f>IF('Statement of Marks'!GY73="","",'Statement of Marks'!GY73)</f>
        <v/>
      </c>
      <c r="K69" s="834" t="str">
        <f>IF(B69="","",IF('Statement of Marks'!GZ73="","",'Statement of Marks'!GZ73))</f>
        <v/>
      </c>
      <c r="L69" s="839" t="str">
        <f>IF('Statement of Marks'!HC73="","",'Statement of Marks'!HC73)</f>
        <v/>
      </c>
      <c r="M69" s="389" t="str">
        <f>IF('Statement of Marks'!HB73="","",'Statement of Marks'!HB73)</f>
        <v/>
      </c>
      <c r="N69" s="610" t="str">
        <f>IF('Statement of Marks'!HD73="","",'Statement of Marks'!HD73)</f>
        <v/>
      </c>
      <c r="O69" s="390" t="str">
        <f>IF(J69="FAIL","",IF('Statement of Marks'!GU73="","",'Statement of Marks'!GU73))</f>
        <v xml:space="preserve">    </v>
      </c>
      <c r="P69" s="391" t="str">
        <f>IF('Supp. Result Entry'!AS72="","",'Supp. Result Entry'!AS72)</f>
        <v/>
      </c>
      <c r="Q69" s="392" t="str">
        <f>IF('Supp. Result Entry'!AT72="","",'Supp. Result Entry'!AT72)</f>
        <v/>
      </c>
      <c r="R69" s="393" t="str">
        <f>IF('Statement of Marks'!HG73="","",'Statement of Marks'!HG73)</f>
        <v/>
      </c>
      <c r="S69" s="394" t="str">
        <f>IF('Statement of Marks'!FH73="","",'Statement of Marks'!FH73)</f>
        <v/>
      </c>
      <c r="BM69" s="395" t="str">
        <f>'Statement of Marks'!E73</f>
        <v/>
      </c>
      <c r="BN69" s="396" t="str">
        <f t="shared" ref="BN69:BN132" si="12">IFERROR(IF(AND(M69="",R69="",H69="SC",I69="M"),J69,IF(AND(M69="",H69="SC",I69="M"),R69,IF(AND(R69="",H69="SC",I69="M"),M69,""))),"")</f>
        <v/>
      </c>
      <c r="BO69" s="396" t="str">
        <f t="shared" ref="BO69:BO132" si="13">IFERROR(IF(AND(M69="",R69="",H69="SC",I69="F"),J69,IF(AND(M69="",H69="SC",I69="F"),R69,IF(AND(R69="",H69="SC",I69="F"),M69,""))),"")</f>
        <v/>
      </c>
      <c r="BP69" s="396" t="str">
        <f t="shared" ref="BP69:BP132" si="14">IFERROR(IF(AND(M69="",R69="",H69="ST",I69="M"),J69,IF(AND(M69="",H69="ST",I69="M"),R69,IF(AND(R69="",H69="ST",I69="M"),M69,""))),"")</f>
        <v/>
      </c>
      <c r="BQ69" s="396" t="str">
        <f t="shared" ref="BQ69:BQ132" si="15">IFERROR(IF(AND(M69="",R69="",H69="ST",I69="F"),J69,IF(AND(M69="",H69="ST",I69="F"),R69,IF(AND(R69="",H69="ST",I69="F"),M69,""))),"")</f>
        <v/>
      </c>
      <c r="BR69" s="396" t="str">
        <f t="shared" ref="BR69:BR132" si="16">IFERROR(IF(AND(M69="",R69="",H69="OBC",I69="M"),J69,IF(AND(M69="",H69="OBC",I69="M"),R69,IF(AND(R69="",H69="OBC",I69="M"),M69,""))),"")</f>
        <v/>
      </c>
      <c r="BS69" s="396" t="str">
        <f t="shared" ref="BS69:BS132" si="17">IFERROR(IF(AND(M69="",R69="",H69="OBC",I69="F"),J69,IF(AND(M69="",H69="OBC",I69="F"),R69,IF(AND(R69="",H69="OBC",I69="F"),M69,""))),"")</f>
        <v/>
      </c>
      <c r="BT69" s="396" t="str">
        <f t="shared" ref="BT69:BT132" si="18">IFERROR(IF(AND(M69="",R69="",H69="GEN",I69="M"),J69,IF(AND(M69="",H69="GEN",I69="M"),R69,IF(AND(R69="",H69="GEN",I69="M"),M69,""))),"")</f>
        <v/>
      </c>
      <c r="BU69" s="396" t="str">
        <f t="shared" ref="BU69:BU132" si="19">IFERROR(IF(AND(M69="",R69="",H69="GEN",I69="F"),J69,IF(AND(M69="",H69="GEN",I69="F"),R69,IF(AND(R69="",H69="GEN",I69="F"),M69,""))),"")</f>
        <v/>
      </c>
      <c r="BV69" s="396" t="str">
        <f t="shared" ref="BV69:BV132" si="20">IFERROR(IF(AND(M69="",R69="",H69="MIN",I69="M"),J69,IF(AND(M69="",H69="MIN",I69="M"),R69,IF(AND(R69="",H69="MIN",I69="M"),M69,""))),"")</f>
        <v/>
      </c>
      <c r="BW69" s="396" t="str">
        <f t="shared" ref="BW69:BW132" si="21">IFERROR(IF(AND(M69="",R69="",H69="MIN",I69="F"),J69,IF(AND(M69="",H69="MIN",I69="F"),R69,IF(AND(R69="",H69="MIN",I69="F"),M69,""))),"")</f>
        <v/>
      </c>
      <c r="BX69" s="396" t="str">
        <f t="shared" ref="BX69:BX132" si="22">IFERROR(IF(AND(M69="",R69="",H69="SBC",I69="M"),J69,IF(AND(M69="",H69="SBC",I69="M"),R69,IF(AND(R69="",H69="SBC",I69="M"),M69,""))),"")</f>
        <v/>
      </c>
      <c r="BY69" s="396" t="str">
        <f t="shared" ref="BY69:BY132" si="23">IFERROR(IF(AND(M69="",R69="",H69="SBC",I69="F"),J69,IF(AND(M69="",H69="SBC",I69="F"),R69,IF(AND(R69="",H69="SBC",I69="F"),M69,""))),"")</f>
        <v/>
      </c>
      <c r="BZ69" s="397"/>
    </row>
    <row r="70" spans="1:78" ht="15.95" customHeight="1">
      <c r="A70" s="386">
        <f>IF('Statement of Marks'!A74="","",'Statement of Marks'!A74)</f>
        <v>67</v>
      </c>
      <c r="B70" s="840" t="str">
        <f>IF('Statement of Marks'!B74="","",'Statement of Marks'!B74)</f>
        <v/>
      </c>
      <c r="C70" s="841" t="str">
        <f>IF('Statement of Marks'!C74="","",'Statement of Marks'!C74)</f>
        <v/>
      </c>
      <c r="D70" s="833" t="str">
        <f>IF('Statement of Marks'!D74="","",'Statement of Marks'!D74)</f>
        <v/>
      </c>
      <c r="E70" s="387" t="str">
        <f>IF('Statement of Marks'!E74="","",'Statement of Marks'!E74)</f>
        <v/>
      </c>
      <c r="F70" s="387" t="str">
        <f>IF('Statement of Marks'!F74="","",'Statement of Marks'!F74)</f>
        <v/>
      </c>
      <c r="G70" s="387" t="str">
        <f>IF('Statement of Marks'!G74="","",'Statement of Marks'!G74)</f>
        <v/>
      </c>
      <c r="H70" s="388" t="str">
        <f>IF('Statement of Marks'!H74="","",'Statement of Marks'!H74)</f>
        <v/>
      </c>
      <c r="I70" s="388" t="str">
        <f>IF('Statement of Marks'!I74="","",'Statement of Marks'!I74)</f>
        <v/>
      </c>
      <c r="J70" s="598" t="str">
        <f>IF('Statement of Marks'!GY74="","",'Statement of Marks'!GY74)</f>
        <v/>
      </c>
      <c r="K70" s="834" t="str">
        <f>IF(B70="","",IF('Statement of Marks'!GZ74="","",'Statement of Marks'!GZ74))</f>
        <v/>
      </c>
      <c r="L70" s="839" t="str">
        <f>IF('Statement of Marks'!HC74="","",'Statement of Marks'!HC74)</f>
        <v/>
      </c>
      <c r="M70" s="389" t="str">
        <f>IF('Statement of Marks'!HB74="","",'Statement of Marks'!HB74)</f>
        <v/>
      </c>
      <c r="N70" s="610" t="str">
        <f>IF('Statement of Marks'!HD74="","",'Statement of Marks'!HD74)</f>
        <v/>
      </c>
      <c r="O70" s="390" t="str">
        <f>IF(J70="FAIL","",IF('Statement of Marks'!GU74="","",'Statement of Marks'!GU74))</f>
        <v xml:space="preserve">    </v>
      </c>
      <c r="P70" s="391" t="str">
        <f>IF('Supp. Result Entry'!AS73="","",'Supp. Result Entry'!AS73)</f>
        <v/>
      </c>
      <c r="Q70" s="392" t="str">
        <f>IF('Supp. Result Entry'!AT73="","",'Supp. Result Entry'!AT73)</f>
        <v/>
      </c>
      <c r="R70" s="393" t="str">
        <f>IF('Statement of Marks'!HG74="","",'Statement of Marks'!HG74)</f>
        <v/>
      </c>
      <c r="S70" s="394" t="str">
        <f>IF('Statement of Marks'!FH74="","",'Statement of Marks'!FH74)</f>
        <v/>
      </c>
      <c r="BM70" s="395" t="str">
        <f>'Statement of Marks'!E74</f>
        <v/>
      </c>
      <c r="BN70" s="396" t="str">
        <f t="shared" si="12"/>
        <v/>
      </c>
      <c r="BO70" s="396" t="str">
        <f t="shared" si="13"/>
        <v/>
      </c>
      <c r="BP70" s="396" t="str">
        <f t="shared" si="14"/>
        <v/>
      </c>
      <c r="BQ70" s="396" t="str">
        <f t="shared" si="15"/>
        <v/>
      </c>
      <c r="BR70" s="396" t="str">
        <f t="shared" si="16"/>
        <v/>
      </c>
      <c r="BS70" s="396" t="str">
        <f t="shared" si="17"/>
        <v/>
      </c>
      <c r="BT70" s="396" t="str">
        <f t="shared" si="18"/>
        <v/>
      </c>
      <c r="BU70" s="396" t="str">
        <f t="shared" si="19"/>
        <v/>
      </c>
      <c r="BV70" s="396" t="str">
        <f t="shared" si="20"/>
        <v/>
      </c>
      <c r="BW70" s="396" t="str">
        <f t="shared" si="21"/>
        <v/>
      </c>
      <c r="BX70" s="396" t="str">
        <f t="shared" si="22"/>
        <v/>
      </c>
      <c r="BY70" s="396" t="str">
        <f t="shared" si="23"/>
        <v/>
      </c>
      <c r="BZ70" s="397"/>
    </row>
    <row r="71" spans="1:78" ht="15.95" customHeight="1">
      <c r="A71" s="386">
        <f>IF('Statement of Marks'!A75="","",'Statement of Marks'!A75)</f>
        <v>68</v>
      </c>
      <c r="B71" s="840" t="str">
        <f>IF('Statement of Marks'!B75="","",'Statement of Marks'!B75)</f>
        <v/>
      </c>
      <c r="C71" s="841" t="str">
        <f>IF('Statement of Marks'!C75="","",'Statement of Marks'!C75)</f>
        <v/>
      </c>
      <c r="D71" s="833" t="str">
        <f>IF('Statement of Marks'!D75="","",'Statement of Marks'!D75)</f>
        <v/>
      </c>
      <c r="E71" s="387" t="str">
        <f>IF('Statement of Marks'!E75="","",'Statement of Marks'!E75)</f>
        <v/>
      </c>
      <c r="F71" s="387" t="str">
        <f>IF('Statement of Marks'!F75="","",'Statement of Marks'!F75)</f>
        <v/>
      </c>
      <c r="G71" s="387" t="str">
        <f>IF('Statement of Marks'!G75="","",'Statement of Marks'!G75)</f>
        <v/>
      </c>
      <c r="H71" s="388" t="str">
        <f>IF('Statement of Marks'!H75="","",'Statement of Marks'!H75)</f>
        <v/>
      </c>
      <c r="I71" s="388" t="str">
        <f>IF('Statement of Marks'!I75="","",'Statement of Marks'!I75)</f>
        <v/>
      </c>
      <c r="J71" s="598" t="str">
        <f>IF('Statement of Marks'!GY75="","",'Statement of Marks'!GY75)</f>
        <v/>
      </c>
      <c r="K71" s="834" t="str">
        <f>IF(B71="","",IF('Statement of Marks'!GZ75="","",'Statement of Marks'!GZ75))</f>
        <v/>
      </c>
      <c r="L71" s="839" t="str">
        <f>IF('Statement of Marks'!HC75="","",'Statement of Marks'!HC75)</f>
        <v/>
      </c>
      <c r="M71" s="389" t="str">
        <f>IF('Statement of Marks'!HB75="","",'Statement of Marks'!HB75)</f>
        <v/>
      </c>
      <c r="N71" s="610" t="str">
        <f>IF('Statement of Marks'!HD75="","",'Statement of Marks'!HD75)</f>
        <v/>
      </c>
      <c r="O71" s="390" t="str">
        <f>IF(J71="FAIL","",IF('Statement of Marks'!GU75="","",'Statement of Marks'!GU75))</f>
        <v xml:space="preserve">    </v>
      </c>
      <c r="P71" s="391" t="str">
        <f>IF('Supp. Result Entry'!AS74="","",'Supp. Result Entry'!AS74)</f>
        <v/>
      </c>
      <c r="Q71" s="392" t="str">
        <f>IF('Supp. Result Entry'!AT74="","",'Supp. Result Entry'!AT74)</f>
        <v/>
      </c>
      <c r="R71" s="393" t="str">
        <f>IF('Statement of Marks'!HG75="","",'Statement of Marks'!HG75)</f>
        <v/>
      </c>
      <c r="S71" s="394" t="str">
        <f>IF('Statement of Marks'!FH75="","",'Statement of Marks'!FH75)</f>
        <v/>
      </c>
      <c r="BM71" s="395" t="str">
        <f>'Statement of Marks'!E75</f>
        <v/>
      </c>
      <c r="BN71" s="396" t="str">
        <f t="shared" si="12"/>
        <v/>
      </c>
      <c r="BO71" s="396" t="str">
        <f t="shared" si="13"/>
        <v/>
      </c>
      <c r="BP71" s="396" t="str">
        <f t="shared" si="14"/>
        <v/>
      </c>
      <c r="BQ71" s="396" t="str">
        <f t="shared" si="15"/>
        <v/>
      </c>
      <c r="BR71" s="396" t="str">
        <f t="shared" si="16"/>
        <v/>
      </c>
      <c r="BS71" s="396" t="str">
        <f t="shared" si="17"/>
        <v/>
      </c>
      <c r="BT71" s="396" t="str">
        <f t="shared" si="18"/>
        <v/>
      </c>
      <c r="BU71" s="396" t="str">
        <f t="shared" si="19"/>
        <v/>
      </c>
      <c r="BV71" s="396" t="str">
        <f t="shared" si="20"/>
        <v/>
      </c>
      <c r="BW71" s="396" t="str">
        <f t="shared" si="21"/>
        <v/>
      </c>
      <c r="BX71" s="396" t="str">
        <f t="shared" si="22"/>
        <v/>
      </c>
      <c r="BY71" s="396" t="str">
        <f t="shared" si="23"/>
        <v/>
      </c>
      <c r="BZ71" s="397"/>
    </row>
    <row r="72" spans="1:78" ht="15.95" customHeight="1">
      <c r="A72" s="386">
        <f>IF('Statement of Marks'!A76="","",'Statement of Marks'!A76)</f>
        <v>69</v>
      </c>
      <c r="B72" s="840" t="str">
        <f>IF('Statement of Marks'!B76="","",'Statement of Marks'!B76)</f>
        <v/>
      </c>
      <c r="C72" s="841" t="str">
        <f>IF('Statement of Marks'!C76="","",'Statement of Marks'!C76)</f>
        <v/>
      </c>
      <c r="D72" s="833" t="str">
        <f>IF('Statement of Marks'!D76="","",'Statement of Marks'!D76)</f>
        <v/>
      </c>
      <c r="E72" s="387" t="str">
        <f>IF('Statement of Marks'!E76="","",'Statement of Marks'!E76)</f>
        <v/>
      </c>
      <c r="F72" s="387" t="str">
        <f>IF('Statement of Marks'!F76="","",'Statement of Marks'!F76)</f>
        <v/>
      </c>
      <c r="G72" s="387" t="str">
        <f>IF('Statement of Marks'!G76="","",'Statement of Marks'!G76)</f>
        <v/>
      </c>
      <c r="H72" s="388" t="str">
        <f>IF('Statement of Marks'!H76="","",'Statement of Marks'!H76)</f>
        <v/>
      </c>
      <c r="I72" s="388" t="str">
        <f>IF('Statement of Marks'!I76="","",'Statement of Marks'!I76)</f>
        <v/>
      </c>
      <c r="J72" s="598" t="str">
        <f>IF('Statement of Marks'!GY76="","",'Statement of Marks'!GY76)</f>
        <v/>
      </c>
      <c r="K72" s="834" t="str">
        <f>IF(B72="","",IF('Statement of Marks'!GZ76="","",'Statement of Marks'!GZ76))</f>
        <v/>
      </c>
      <c r="L72" s="839" t="str">
        <f>IF('Statement of Marks'!HC76="","",'Statement of Marks'!HC76)</f>
        <v/>
      </c>
      <c r="M72" s="389" t="str">
        <f>IF('Statement of Marks'!HB76="","",'Statement of Marks'!HB76)</f>
        <v/>
      </c>
      <c r="N72" s="610" t="str">
        <f>IF('Statement of Marks'!HD76="","",'Statement of Marks'!HD76)</f>
        <v/>
      </c>
      <c r="O72" s="390" t="str">
        <f>IF(J72="FAIL","",IF('Statement of Marks'!GU76="","",'Statement of Marks'!GU76))</f>
        <v xml:space="preserve">    </v>
      </c>
      <c r="P72" s="391" t="str">
        <f>IF('Supp. Result Entry'!AS75="","",'Supp. Result Entry'!AS75)</f>
        <v/>
      </c>
      <c r="Q72" s="392" t="str">
        <f>IF('Supp. Result Entry'!AT75="","",'Supp. Result Entry'!AT75)</f>
        <v/>
      </c>
      <c r="R72" s="393" t="str">
        <f>IF('Statement of Marks'!HG76="","",'Statement of Marks'!HG76)</f>
        <v/>
      </c>
      <c r="S72" s="394" t="str">
        <f>IF('Statement of Marks'!FH76="","",'Statement of Marks'!FH76)</f>
        <v/>
      </c>
      <c r="BM72" s="395" t="str">
        <f>'Statement of Marks'!E76</f>
        <v/>
      </c>
      <c r="BN72" s="396" t="str">
        <f t="shared" si="12"/>
        <v/>
      </c>
      <c r="BO72" s="396" t="str">
        <f t="shared" si="13"/>
        <v/>
      </c>
      <c r="BP72" s="396" t="str">
        <f t="shared" si="14"/>
        <v/>
      </c>
      <c r="BQ72" s="396" t="str">
        <f t="shared" si="15"/>
        <v/>
      </c>
      <c r="BR72" s="396" t="str">
        <f t="shared" si="16"/>
        <v/>
      </c>
      <c r="BS72" s="396" t="str">
        <f t="shared" si="17"/>
        <v/>
      </c>
      <c r="BT72" s="396" t="str">
        <f t="shared" si="18"/>
        <v/>
      </c>
      <c r="BU72" s="396" t="str">
        <f t="shared" si="19"/>
        <v/>
      </c>
      <c r="BV72" s="396" t="str">
        <f t="shared" si="20"/>
        <v/>
      </c>
      <c r="BW72" s="396" t="str">
        <f t="shared" si="21"/>
        <v/>
      </c>
      <c r="BX72" s="396" t="str">
        <f t="shared" si="22"/>
        <v/>
      </c>
      <c r="BY72" s="396" t="str">
        <f t="shared" si="23"/>
        <v/>
      </c>
      <c r="BZ72" s="397"/>
    </row>
    <row r="73" spans="1:78" ht="15" customHeight="1">
      <c r="A73" s="386">
        <f>IF('Statement of Marks'!A77="","",'Statement of Marks'!A77)</f>
        <v>70</v>
      </c>
      <c r="B73" s="840" t="str">
        <f>IF('Statement of Marks'!B77="","",'Statement of Marks'!B77)</f>
        <v/>
      </c>
      <c r="C73" s="841" t="str">
        <f>IF('Statement of Marks'!C77="","",'Statement of Marks'!C77)</f>
        <v/>
      </c>
      <c r="D73" s="833" t="str">
        <f>IF('Statement of Marks'!D77="","",'Statement of Marks'!D77)</f>
        <v/>
      </c>
      <c r="E73" s="387" t="str">
        <f>IF('Statement of Marks'!E77="","",'Statement of Marks'!E77)</f>
        <v/>
      </c>
      <c r="F73" s="387" t="str">
        <f>IF('Statement of Marks'!F77="","",'Statement of Marks'!F77)</f>
        <v/>
      </c>
      <c r="G73" s="387" t="str">
        <f>IF('Statement of Marks'!G77="","",'Statement of Marks'!G77)</f>
        <v/>
      </c>
      <c r="H73" s="388" t="str">
        <f>IF('Statement of Marks'!H77="","",'Statement of Marks'!H77)</f>
        <v/>
      </c>
      <c r="I73" s="388" t="str">
        <f>IF('Statement of Marks'!I77="","",'Statement of Marks'!I77)</f>
        <v/>
      </c>
      <c r="J73" s="598" t="str">
        <f>IF('Statement of Marks'!GY77="","",'Statement of Marks'!GY77)</f>
        <v/>
      </c>
      <c r="K73" s="834" t="str">
        <f>IF(B73="","",IF('Statement of Marks'!GZ77="","",'Statement of Marks'!GZ77))</f>
        <v/>
      </c>
      <c r="L73" s="839" t="str">
        <f>IF('Statement of Marks'!HC77="","",'Statement of Marks'!HC77)</f>
        <v/>
      </c>
      <c r="M73" s="389" t="str">
        <f>IF('Statement of Marks'!HB77="","",'Statement of Marks'!HB77)</f>
        <v/>
      </c>
      <c r="N73" s="610" t="str">
        <f>IF('Statement of Marks'!HD77="","",'Statement of Marks'!HD77)</f>
        <v/>
      </c>
      <c r="O73" s="390" t="str">
        <f>IF(J73="FAIL","",IF('Statement of Marks'!GU77="","",'Statement of Marks'!GU77))</f>
        <v xml:space="preserve">    </v>
      </c>
      <c r="P73" s="391" t="str">
        <f>IF('Supp. Result Entry'!AS76="","",'Supp. Result Entry'!AS76)</f>
        <v/>
      </c>
      <c r="Q73" s="392" t="str">
        <f>IF('Supp. Result Entry'!AT76="","",'Supp. Result Entry'!AT76)</f>
        <v/>
      </c>
      <c r="R73" s="393" t="str">
        <f>IF('Statement of Marks'!HG77="","",'Statement of Marks'!HG77)</f>
        <v/>
      </c>
      <c r="S73" s="394" t="str">
        <f>IF('Statement of Marks'!FH77="","",'Statement of Marks'!FH77)</f>
        <v/>
      </c>
      <c r="BM73" s="395" t="str">
        <f>'Statement of Marks'!E77</f>
        <v/>
      </c>
      <c r="BN73" s="396" t="str">
        <f t="shared" si="12"/>
        <v/>
      </c>
      <c r="BO73" s="396" t="str">
        <f t="shared" si="13"/>
        <v/>
      </c>
      <c r="BP73" s="396" t="str">
        <f t="shared" si="14"/>
        <v/>
      </c>
      <c r="BQ73" s="396" t="str">
        <f t="shared" si="15"/>
        <v/>
      </c>
      <c r="BR73" s="396" t="str">
        <f t="shared" si="16"/>
        <v/>
      </c>
      <c r="BS73" s="396" t="str">
        <f t="shared" si="17"/>
        <v/>
      </c>
      <c r="BT73" s="396" t="str">
        <f t="shared" si="18"/>
        <v/>
      </c>
      <c r="BU73" s="396" t="str">
        <f t="shared" si="19"/>
        <v/>
      </c>
      <c r="BV73" s="396" t="str">
        <f t="shared" si="20"/>
        <v/>
      </c>
      <c r="BW73" s="396" t="str">
        <f t="shared" si="21"/>
        <v/>
      </c>
      <c r="BX73" s="396" t="str">
        <f t="shared" si="22"/>
        <v/>
      </c>
      <c r="BY73" s="396" t="str">
        <f t="shared" si="23"/>
        <v/>
      </c>
      <c r="BZ73" s="397"/>
    </row>
    <row r="74" spans="1:78" ht="15" customHeight="1">
      <c r="A74" s="386">
        <f>IF('Statement of Marks'!A78="","",'Statement of Marks'!A78)</f>
        <v>71</v>
      </c>
      <c r="B74" s="840" t="str">
        <f>IF('Statement of Marks'!B78="","",'Statement of Marks'!B78)</f>
        <v/>
      </c>
      <c r="C74" s="841" t="str">
        <f>IF('Statement of Marks'!C78="","",'Statement of Marks'!C78)</f>
        <v/>
      </c>
      <c r="D74" s="833" t="str">
        <f>IF('Statement of Marks'!D78="","",'Statement of Marks'!D78)</f>
        <v/>
      </c>
      <c r="E74" s="387" t="str">
        <f>IF('Statement of Marks'!E78="","",'Statement of Marks'!E78)</f>
        <v/>
      </c>
      <c r="F74" s="387" t="str">
        <f>IF('Statement of Marks'!F78="","",'Statement of Marks'!F78)</f>
        <v/>
      </c>
      <c r="G74" s="387" t="str">
        <f>IF('Statement of Marks'!G78="","",'Statement of Marks'!G78)</f>
        <v/>
      </c>
      <c r="H74" s="388" t="str">
        <f>IF('Statement of Marks'!H78="","",'Statement of Marks'!H78)</f>
        <v/>
      </c>
      <c r="I74" s="388" t="str">
        <f>IF('Statement of Marks'!I78="","",'Statement of Marks'!I78)</f>
        <v/>
      </c>
      <c r="J74" s="598" t="str">
        <f>IF('Statement of Marks'!GY78="","",'Statement of Marks'!GY78)</f>
        <v/>
      </c>
      <c r="K74" s="834" t="str">
        <f>IF(B74="","",IF('Statement of Marks'!GZ78="","",'Statement of Marks'!GZ78))</f>
        <v/>
      </c>
      <c r="L74" s="839" t="str">
        <f>IF('Statement of Marks'!HC78="","",'Statement of Marks'!HC78)</f>
        <v/>
      </c>
      <c r="M74" s="389" t="str">
        <f>IF('Statement of Marks'!HB78="","",'Statement of Marks'!HB78)</f>
        <v/>
      </c>
      <c r="N74" s="610" t="str">
        <f>IF('Statement of Marks'!HD78="","",'Statement of Marks'!HD78)</f>
        <v/>
      </c>
      <c r="O74" s="390" t="str">
        <f>IF(J74="FAIL","",IF('Statement of Marks'!GU78="","",'Statement of Marks'!GU78))</f>
        <v xml:space="preserve">    </v>
      </c>
      <c r="P74" s="391" t="str">
        <f>IF('Supp. Result Entry'!AS77="","",'Supp. Result Entry'!AS77)</f>
        <v/>
      </c>
      <c r="Q74" s="392" t="str">
        <f>IF('Supp. Result Entry'!AT77="","",'Supp. Result Entry'!AT77)</f>
        <v/>
      </c>
      <c r="R74" s="393" t="str">
        <f>IF('Statement of Marks'!HG78="","",'Statement of Marks'!HG78)</f>
        <v/>
      </c>
      <c r="S74" s="394" t="str">
        <f>IF('Statement of Marks'!FH78="","",'Statement of Marks'!FH78)</f>
        <v/>
      </c>
      <c r="BM74" s="395" t="str">
        <f>'Statement of Marks'!E78</f>
        <v/>
      </c>
      <c r="BN74" s="396" t="str">
        <f t="shared" si="12"/>
        <v/>
      </c>
      <c r="BO74" s="396" t="str">
        <f t="shared" si="13"/>
        <v/>
      </c>
      <c r="BP74" s="396" t="str">
        <f t="shared" si="14"/>
        <v/>
      </c>
      <c r="BQ74" s="396" t="str">
        <f t="shared" si="15"/>
        <v/>
      </c>
      <c r="BR74" s="396" t="str">
        <f t="shared" si="16"/>
        <v/>
      </c>
      <c r="BS74" s="396" t="str">
        <f t="shared" si="17"/>
        <v/>
      </c>
      <c r="BT74" s="396" t="str">
        <f t="shared" si="18"/>
        <v/>
      </c>
      <c r="BU74" s="396" t="str">
        <f t="shared" si="19"/>
        <v/>
      </c>
      <c r="BV74" s="396" t="str">
        <f t="shared" si="20"/>
        <v/>
      </c>
      <c r="BW74" s="396" t="str">
        <f t="shared" si="21"/>
        <v/>
      </c>
      <c r="BX74" s="396" t="str">
        <f t="shared" si="22"/>
        <v/>
      </c>
      <c r="BY74" s="396" t="str">
        <f t="shared" si="23"/>
        <v/>
      </c>
      <c r="BZ74" s="397"/>
    </row>
    <row r="75" spans="1:78" ht="15" customHeight="1">
      <c r="A75" s="386">
        <f>IF('Statement of Marks'!A79="","",'Statement of Marks'!A79)</f>
        <v>72</v>
      </c>
      <c r="B75" s="840" t="str">
        <f>IF('Statement of Marks'!B79="","",'Statement of Marks'!B79)</f>
        <v/>
      </c>
      <c r="C75" s="841" t="str">
        <f>IF('Statement of Marks'!C79="","",'Statement of Marks'!C79)</f>
        <v/>
      </c>
      <c r="D75" s="833" t="str">
        <f>IF('Statement of Marks'!D79="","",'Statement of Marks'!D79)</f>
        <v/>
      </c>
      <c r="E75" s="387" t="str">
        <f>IF('Statement of Marks'!E79="","",'Statement of Marks'!E79)</f>
        <v/>
      </c>
      <c r="F75" s="387" t="str">
        <f>IF('Statement of Marks'!F79="","",'Statement of Marks'!F79)</f>
        <v/>
      </c>
      <c r="G75" s="387" t="str">
        <f>IF('Statement of Marks'!G79="","",'Statement of Marks'!G79)</f>
        <v/>
      </c>
      <c r="H75" s="388" t="str">
        <f>IF('Statement of Marks'!H79="","",'Statement of Marks'!H79)</f>
        <v/>
      </c>
      <c r="I75" s="388" t="str">
        <f>IF('Statement of Marks'!I79="","",'Statement of Marks'!I79)</f>
        <v/>
      </c>
      <c r="J75" s="598" t="str">
        <f>IF('Statement of Marks'!GY79="","",'Statement of Marks'!GY79)</f>
        <v/>
      </c>
      <c r="K75" s="834" t="str">
        <f>IF(B75="","",IF('Statement of Marks'!GZ79="","",'Statement of Marks'!GZ79))</f>
        <v/>
      </c>
      <c r="L75" s="839" t="str">
        <f>IF('Statement of Marks'!HC79="","",'Statement of Marks'!HC79)</f>
        <v/>
      </c>
      <c r="M75" s="389" t="str">
        <f>IF('Statement of Marks'!HB79="","",'Statement of Marks'!HB79)</f>
        <v/>
      </c>
      <c r="N75" s="610" t="str">
        <f>IF('Statement of Marks'!HD79="","",'Statement of Marks'!HD79)</f>
        <v/>
      </c>
      <c r="O75" s="390" t="str">
        <f>IF(J75="FAIL","",IF('Statement of Marks'!GU79="","",'Statement of Marks'!GU79))</f>
        <v xml:space="preserve">    </v>
      </c>
      <c r="P75" s="391" t="str">
        <f>IF('Supp. Result Entry'!AS78="","",'Supp. Result Entry'!AS78)</f>
        <v/>
      </c>
      <c r="Q75" s="392" t="str">
        <f>IF('Supp. Result Entry'!AT78="","",'Supp. Result Entry'!AT78)</f>
        <v/>
      </c>
      <c r="R75" s="393" t="str">
        <f>IF('Statement of Marks'!HG79="","",'Statement of Marks'!HG79)</f>
        <v/>
      </c>
      <c r="S75" s="394" t="str">
        <f>IF('Statement of Marks'!FH79="","",'Statement of Marks'!FH79)</f>
        <v/>
      </c>
      <c r="BM75" s="395" t="str">
        <f>'Statement of Marks'!E79</f>
        <v/>
      </c>
      <c r="BN75" s="396" t="str">
        <f t="shared" si="12"/>
        <v/>
      </c>
      <c r="BO75" s="396" t="str">
        <f t="shared" si="13"/>
        <v/>
      </c>
      <c r="BP75" s="396" t="str">
        <f t="shared" si="14"/>
        <v/>
      </c>
      <c r="BQ75" s="396" t="str">
        <f t="shared" si="15"/>
        <v/>
      </c>
      <c r="BR75" s="396" t="str">
        <f t="shared" si="16"/>
        <v/>
      </c>
      <c r="BS75" s="396" t="str">
        <f t="shared" si="17"/>
        <v/>
      </c>
      <c r="BT75" s="396" t="str">
        <f t="shared" si="18"/>
        <v/>
      </c>
      <c r="BU75" s="396" t="str">
        <f t="shared" si="19"/>
        <v/>
      </c>
      <c r="BV75" s="396" t="str">
        <f t="shared" si="20"/>
        <v/>
      </c>
      <c r="BW75" s="396" t="str">
        <f t="shared" si="21"/>
        <v/>
      </c>
      <c r="BX75" s="396" t="str">
        <f t="shared" si="22"/>
        <v/>
      </c>
      <c r="BY75" s="396" t="str">
        <f t="shared" si="23"/>
        <v/>
      </c>
      <c r="BZ75" s="397"/>
    </row>
    <row r="76" spans="1:78" ht="15" customHeight="1">
      <c r="A76" s="386">
        <f>IF('Statement of Marks'!A80="","",'Statement of Marks'!A80)</f>
        <v>73</v>
      </c>
      <c r="B76" s="840" t="str">
        <f>IF('Statement of Marks'!B80="","",'Statement of Marks'!B80)</f>
        <v/>
      </c>
      <c r="C76" s="841" t="str">
        <f>IF('Statement of Marks'!C80="","",'Statement of Marks'!C80)</f>
        <v/>
      </c>
      <c r="D76" s="833" t="str">
        <f>IF('Statement of Marks'!D80="","",'Statement of Marks'!D80)</f>
        <v/>
      </c>
      <c r="E76" s="387" t="str">
        <f>IF('Statement of Marks'!E80="","",'Statement of Marks'!E80)</f>
        <v/>
      </c>
      <c r="F76" s="387" t="str">
        <f>IF('Statement of Marks'!F80="","",'Statement of Marks'!F80)</f>
        <v/>
      </c>
      <c r="G76" s="387" t="str">
        <f>IF('Statement of Marks'!G80="","",'Statement of Marks'!G80)</f>
        <v/>
      </c>
      <c r="H76" s="388" t="str">
        <f>IF('Statement of Marks'!H80="","",'Statement of Marks'!H80)</f>
        <v/>
      </c>
      <c r="I76" s="388" t="str">
        <f>IF('Statement of Marks'!I80="","",'Statement of Marks'!I80)</f>
        <v/>
      </c>
      <c r="J76" s="598" t="str">
        <f>IF('Statement of Marks'!GY80="","",'Statement of Marks'!GY80)</f>
        <v/>
      </c>
      <c r="K76" s="834" t="str">
        <f>IF(B76="","",IF('Statement of Marks'!GZ80="","",'Statement of Marks'!GZ80))</f>
        <v/>
      </c>
      <c r="L76" s="839" t="str">
        <f>IF('Statement of Marks'!HC80="","",'Statement of Marks'!HC80)</f>
        <v/>
      </c>
      <c r="M76" s="389" t="str">
        <f>IF('Statement of Marks'!HB80="","",'Statement of Marks'!HB80)</f>
        <v/>
      </c>
      <c r="N76" s="610" t="str">
        <f>IF('Statement of Marks'!HD80="","",'Statement of Marks'!HD80)</f>
        <v/>
      </c>
      <c r="O76" s="390" t="str">
        <f>IF(J76="FAIL","",IF('Statement of Marks'!GU80="","",'Statement of Marks'!GU80))</f>
        <v xml:space="preserve">    </v>
      </c>
      <c r="P76" s="391" t="str">
        <f>IF('Supp. Result Entry'!AS79="","",'Supp. Result Entry'!AS79)</f>
        <v/>
      </c>
      <c r="Q76" s="392" t="str">
        <f>IF('Supp. Result Entry'!AT79="","",'Supp. Result Entry'!AT79)</f>
        <v/>
      </c>
      <c r="R76" s="393" t="str">
        <f>IF('Statement of Marks'!HG80="","",'Statement of Marks'!HG80)</f>
        <v/>
      </c>
      <c r="S76" s="394" t="str">
        <f>IF('Statement of Marks'!FH80="","",'Statement of Marks'!FH80)</f>
        <v/>
      </c>
      <c r="BM76" s="395" t="str">
        <f>'Statement of Marks'!E80</f>
        <v/>
      </c>
      <c r="BN76" s="396" t="str">
        <f t="shared" si="12"/>
        <v/>
      </c>
      <c r="BO76" s="396" t="str">
        <f t="shared" si="13"/>
        <v/>
      </c>
      <c r="BP76" s="396" t="str">
        <f t="shared" si="14"/>
        <v/>
      </c>
      <c r="BQ76" s="396" t="str">
        <f t="shared" si="15"/>
        <v/>
      </c>
      <c r="BR76" s="396" t="str">
        <f t="shared" si="16"/>
        <v/>
      </c>
      <c r="BS76" s="396" t="str">
        <f t="shared" si="17"/>
        <v/>
      </c>
      <c r="BT76" s="396" t="str">
        <f t="shared" si="18"/>
        <v/>
      </c>
      <c r="BU76" s="396" t="str">
        <f t="shared" si="19"/>
        <v/>
      </c>
      <c r="BV76" s="396" t="str">
        <f t="shared" si="20"/>
        <v/>
      </c>
      <c r="BW76" s="396" t="str">
        <f t="shared" si="21"/>
        <v/>
      </c>
      <c r="BX76" s="396" t="str">
        <f t="shared" si="22"/>
        <v/>
      </c>
      <c r="BY76" s="396" t="str">
        <f t="shared" si="23"/>
        <v/>
      </c>
      <c r="BZ76" s="397"/>
    </row>
    <row r="77" spans="1:78" ht="15" customHeight="1">
      <c r="A77" s="386">
        <f>IF('Statement of Marks'!A81="","",'Statement of Marks'!A81)</f>
        <v>74</v>
      </c>
      <c r="B77" s="840" t="str">
        <f>IF('Statement of Marks'!B81="","",'Statement of Marks'!B81)</f>
        <v/>
      </c>
      <c r="C77" s="841" t="str">
        <f>IF('Statement of Marks'!C81="","",'Statement of Marks'!C81)</f>
        <v/>
      </c>
      <c r="D77" s="833" t="str">
        <f>IF('Statement of Marks'!D81="","",'Statement of Marks'!D81)</f>
        <v/>
      </c>
      <c r="E77" s="387" t="str">
        <f>IF('Statement of Marks'!E81="","",'Statement of Marks'!E81)</f>
        <v/>
      </c>
      <c r="F77" s="387" t="str">
        <f>IF('Statement of Marks'!F81="","",'Statement of Marks'!F81)</f>
        <v/>
      </c>
      <c r="G77" s="387" t="str">
        <f>IF('Statement of Marks'!G81="","",'Statement of Marks'!G81)</f>
        <v/>
      </c>
      <c r="H77" s="388" t="str">
        <f>IF('Statement of Marks'!H81="","",'Statement of Marks'!H81)</f>
        <v/>
      </c>
      <c r="I77" s="388" t="str">
        <f>IF('Statement of Marks'!I81="","",'Statement of Marks'!I81)</f>
        <v/>
      </c>
      <c r="J77" s="598" t="str">
        <f>IF('Statement of Marks'!GY81="","",'Statement of Marks'!GY81)</f>
        <v/>
      </c>
      <c r="K77" s="834" t="str">
        <f>IF(B77="","",IF('Statement of Marks'!GZ81="","",'Statement of Marks'!GZ81))</f>
        <v/>
      </c>
      <c r="L77" s="839" t="str">
        <f>IF('Statement of Marks'!HC81="","",'Statement of Marks'!HC81)</f>
        <v/>
      </c>
      <c r="M77" s="389" t="str">
        <f>IF('Statement of Marks'!HB81="","",'Statement of Marks'!HB81)</f>
        <v/>
      </c>
      <c r="N77" s="610" t="str">
        <f>IF('Statement of Marks'!HD81="","",'Statement of Marks'!HD81)</f>
        <v/>
      </c>
      <c r="O77" s="390" t="str">
        <f>IF(J77="FAIL","",IF('Statement of Marks'!GU81="","",'Statement of Marks'!GU81))</f>
        <v xml:space="preserve">    </v>
      </c>
      <c r="P77" s="391" t="str">
        <f>IF('Supp. Result Entry'!AS80="","",'Supp. Result Entry'!AS80)</f>
        <v/>
      </c>
      <c r="Q77" s="392" t="str">
        <f>IF('Supp. Result Entry'!AT80="","",'Supp. Result Entry'!AT80)</f>
        <v/>
      </c>
      <c r="R77" s="393" t="str">
        <f>IF('Statement of Marks'!HG81="","",'Statement of Marks'!HG81)</f>
        <v/>
      </c>
      <c r="S77" s="394" t="str">
        <f>IF('Statement of Marks'!FH81="","",'Statement of Marks'!FH81)</f>
        <v/>
      </c>
      <c r="BM77" s="395" t="str">
        <f>'Statement of Marks'!E81</f>
        <v/>
      </c>
      <c r="BN77" s="396" t="str">
        <f t="shared" si="12"/>
        <v/>
      </c>
      <c r="BO77" s="396" t="str">
        <f t="shared" si="13"/>
        <v/>
      </c>
      <c r="BP77" s="396" t="str">
        <f t="shared" si="14"/>
        <v/>
      </c>
      <c r="BQ77" s="396" t="str">
        <f t="shared" si="15"/>
        <v/>
      </c>
      <c r="BR77" s="396" t="str">
        <f t="shared" si="16"/>
        <v/>
      </c>
      <c r="BS77" s="396" t="str">
        <f t="shared" si="17"/>
        <v/>
      </c>
      <c r="BT77" s="396" t="str">
        <f t="shared" si="18"/>
        <v/>
      </c>
      <c r="BU77" s="396" t="str">
        <f t="shared" si="19"/>
        <v/>
      </c>
      <c r="BV77" s="396" t="str">
        <f t="shared" si="20"/>
        <v/>
      </c>
      <c r="BW77" s="396" t="str">
        <f t="shared" si="21"/>
        <v/>
      </c>
      <c r="BX77" s="396" t="str">
        <f t="shared" si="22"/>
        <v/>
      </c>
      <c r="BY77" s="396" t="str">
        <f t="shared" si="23"/>
        <v/>
      </c>
      <c r="BZ77" s="397"/>
    </row>
    <row r="78" spans="1:78" ht="15" customHeight="1">
      <c r="A78" s="386">
        <f>IF('Statement of Marks'!A82="","",'Statement of Marks'!A82)</f>
        <v>75</v>
      </c>
      <c r="B78" s="840" t="str">
        <f>IF('Statement of Marks'!B82="","",'Statement of Marks'!B82)</f>
        <v/>
      </c>
      <c r="C78" s="841" t="str">
        <f>IF('Statement of Marks'!C82="","",'Statement of Marks'!C82)</f>
        <v/>
      </c>
      <c r="D78" s="833" t="str">
        <f>IF('Statement of Marks'!D82="","",'Statement of Marks'!D82)</f>
        <v/>
      </c>
      <c r="E78" s="387" t="str">
        <f>IF('Statement of Marks'!E82="","",'Statement of Marks'!E82)</f>
        <v/>
      </c>
      <c r="F78" s="387" t="str">
        <f>IF('Statement of Marks'!F82="","",'Statement of Marks'!F82)</f>
        <v/>
      </c>
      <c r="G78" s="387" t="str">
        <f>IF('Statement of Marks'!G82="","",'Statement of Marks'!G82)</f>
        <v/>
      </c>
      <c r="H78" s="388" t="str">
        <f>IF('Statement of Marks'!H82="","",'Statement of Marks'!H82)</f>
        <v/>
      </c>
      <c r="I78" s="388" t="str">
        <f>IF('Statement of Marks'!I82="","",'Statement of Marks'!I82)</f>
        <v/>
      </c>
      <c r="J78" s="598" t="str">
        <f>IF('Statement of Marks'!GY82="","",'Statement of Marks'!GY82)</f>
        <v/>
      </c>
      <c r="K78" s="834" t="str">
        <f>IF(B78="","",IF('Statement of Marks'!GZ82="","",'Statement of Marks'!GZ82))</f>
        <v/>
      </c>
      <c r="L78" s="839" t="str">
        <f>IF('Statement of Marks'!HC82="","",'Statement of Marks'!HC82)</f>
        <v/>
      </c>
      <c r="M78" s="389" t="str">
        <f>IF('Statement of Marks'!HB82="","",'Statement of Marks'!HB82)</f>
        <v/>
      </c>
      <c r="N78" s="610" t="str">
        <f>IF('Statement of Marks'!HD82="","",'Statement of Marks'!HD82)</f>
        <v/>
      </c>
      <c r="O78" s="390" t="str">
        <f>IF(J78="FAIL","",IF('Statement of Marks'!GU82="","",'Statement of Marks'!GU82))</f>
        <v xml:space="preserve">    </v>
      </c>
      <c r="P78" s="391" t="str">
        <f>IF('Supp. Result Entry'!AS81="","",'Supp. Result Entry'!AS81)</f>
        <v/>
      </c>
      <c r="Q78" s="392" t="str">
        <f>IF('Supp. Result Entry'!AT81="","",'Supp. Result Entry'!AT81)</f>
        <v/>
      </c>
      <c r="R78" s="393" t="str">
        <f>IF('Statement of Marks'!HG82="","",'Statement of Marks'!HG82)</f>
        <v/>
      </c>
      <c r="S78" s="394" t="str">
        <f>IF('Statement of Marks'!FH82="","",'Statement of Marks'!FH82)</f>
        <v/>
      </c>
      <c r="BM78" s="395" t="str">
        <f>'Statement of Marks'!E82</f>
        <v/>
      </c>
      <c r="BN78" s="396" t="str">
        <f t="shared" si="12"/>
        <v/>
      </c>
      <c r="BO78" s="396" t="str">
        <f t="shared" si="13"/>
        <v/>
      </c>
      <c r="BP78" s="396" t="str">
        <f t="shared" si="14"/>
        <v/>
      </c>
      <c r="BQ78" s="396" t="str">
        <f t="shared" si="15"/>
        <v/>
      </c>
      <c r="BR78" s="396" t="str">
        <f t="shared" si="16"/>
        <v/>
      </c>
      <c r="BS78" s="396" t="str">
        <f t="shared" si="17"/>
        <v/>
      </c>
      <c r="BT78" s="396" t="str">
        <f t="shared" si="18"/>
        <v/>
      </c>
      <c r="BU78" s="396" t="str">
        <f t="shared" si="19"/>
        <v/>
      </c>
      <c r="BV78" s="396" t="str">
        <f t="shared" si="20"/>
        <v/>
      </c>
      <c r="BW78" s="396" t="str">
        <f t="shared" si="21"/>
        <v/>
      </c>
      <c r="BX78" s="396" t="str">
        <f t="shared" si="22"/>
        <v/>
      </c>
      <c r="BY78" s="396" t="str">
        <f t="shared" si="23"/>
        <v/>
      </c>
      <c r="BZ78" s="397"/>
    </row>
    <row r="79" spans="1:78" ht="15" customHeight="1">
      <c r="A79" s="386">
        <f>IF('Statement of Marks'!A83="","",'Statement of Marks'!A83)</f>
        <v>76</v>
      </c>
      <c r="B79" s="840" t="str">
        <f>IF('Statement of Marks'!B83="","",'Statement of Marks'!B83)</f>
        <v/>
      </c>
      <c r="C79" s="841" t="str">
        <f>IF('Statement of Marks'!C83="","",'Statement of Marks'!C83)</f>
        <v/>
      </c>
      <c r="D79" s="833" t="str">
        <f>IF('Statement of Marks'!D83="","",'Statement of Marks'!D83)</f>
        <v/>
      </c>
      <c r="E79" s="387" t="str">
        <f>IF('Statement of Marks'!E83="","",'Statement of Marks'!E83)</f>
        <v/>
      </c>
      <c r="F79" s="387" t="str">
        <f>IF('Statement of Marks'!F83="","",'Statement of Marks'!F83)</f>
        <v/>
      </c>
      <c r="G79" s="387" t="str">
        <f>IF('Statement of Marks'!G83="","",'Statement of Marks'!G83)</f>
        <v/>
      </c>
      <c r="H79" s="388" t="str">
        <f>IF('Statement of Marks'!H83="","",'Statement of Marks'!H83)</f>
        <v/>
      </c>
      <c r="I79" s="388" t="str">
        <f>IF('Statement of Marks'!I83="","",'Statement of Marks'!I83)</f>
        <v/>
      </c>
      <c r="J79" s="598" t="str">
        <f>IF('Statement of Marks'!GY83="","",'Statement of Marks'!GY83)</f>
        <v/>
      </c>
      <c r="K79" s="834" t="str">
        <f>IF(B79="","",IF('Statement of Marks'!GZ83="","",'Statement of Marks'!GZ83))</f>
        <v/>
      </c>
      <c r="L79" s="839" t="str">
        <f>IF('Statement of Marks'!HC83="","",'Statement of Marks'!HC83)</f>
        <v/>
      </c>
      <c r="M79" s="389" t="str">
        <f>IF('Statement of Marks'!HB83="","",'Statement of Marks'!HB83)</f>
        <v/>
      </c>
      <c r="N79" s="610" t="str">
        <f>IF('Statement of Marks'!HD83="","",'Statement of Marks'!HD83)</f>
        <v/>
      </c>
      <c r="O79" s="390" t="str">
        <f>IF(J79="FAIL","",IF('Statement of Marks'!GU83="","",'Statement of Marks'!GU83))</f>
        <v xml:space="preserve">    </v>
      </c>
      <c r="P79" s="391" t="str">
        <f>IF('Supp. Result Entry'!AS82="","",'Supp. Result Entry'!AS82)</f>
        <v/>
      </c>
      <c r="Q79" s="392" t="str">
        <f>IF('Supp. Result Entry'!AT82="","",'Supp. Result Entry'!AT82)</f>
        <v/>
      </c>
      <c r="R79" s="393" t="str">
        <f>IF('Statement of Marks'!HG83="","",'Statement of Marks'!HG83)</f>
        <v/>
      </c>
      <c r="S79" s="394" t="str">
        <f>IF('Statement of Marks'!FH83="","",'Statement of Marks'!FH83)</f>
        <v/>
      </c>
      <c r="BM79" s="395" t="str">
        <f>'Statement of Marks'!E83</f>
        <v/>
      </c>
      <c r="BN79" s="396" t="str">
        <f t="shared" si="12"/>
        <v/>
      </c>
      <c r="BO79" s="396" t="str">
        <f t="shared" si="13"/>
        <v/>
      </c>
      <c r="BP79" s="396" t="str">
        <f t="shared" si="14"/>
        <v/>
      </c>
      <c r="BQ79" s="396" t="str">
        <f t="shared" si="15"/>
        <v/>
      </c>
      <c r="BR79" s="396" t="str">
        <f t="shared" si="16"/>
        <v/>
      </c>
      <c r="BS79" s="396" t="str">
        <f t="shared" si="17"/>
        <v/>
      </c>
      <c r="BT79" s="396" t="str">
        <f t="shared" si="18"/>
        <v/>
      </c>
      <c r="BU79" s="396" t="str">
        <f t="shared" si="19"/>
        <v/>
      </c>
      <c r="BV79" s="396" t="str">
        <f t="shared" si="20"/>
        <v/>
      </c>
      <c r="BW79" s="396" t="str">
        <f t="shared" si="21"/>
        <v/>
      </c>
      <c r="BX79" s="396" t="str">
        <f t="shared" si="22"/>
        <v/>
      </c>
      <c r="BY79" s="396" t="str">
        <f t="shared" si="23"/>
        <v/>
      </c>
      <c r="BZ79" s="397"/>
    </row>
    <row r="80" spans="1:78" ht="15" customHeight="1">
      <c r="A80" s="386">
        <f>IF('Statement of Marks'!A84="","",'Statement of Marks'!A84)</f>
        <v>77</v>
      </c>
      <c r="B80" s="840" t="str">
        <f>IF('Statement of Marks'!B84="","",'Statement of Marks'!B84)</f>
        <v/>
      </c>
      <c r="C80" s="841" t="str">
        <f>IF('Statement of Marks'!C84="","",'Statement of Marks'!C84)</f>
        <v/>
      </c>
      <c r="D80" s="833" t="str">
        <f>IF('Statement of Marks'!D84="","",'Statement of Marks'!D84)</f>
        <v/>
      </c>
      <c r="E80" s="387" t="str">
        <f>IF('Statement of Marks'!E84="","",'Statement of Marks'!E84)</f>
        <v/>
      </c>
      <c r="F80" s="387" t="str">
        <f>IF('Statement of Marks'!F84="","",'Statement of Marks'!F84)</f>
        <v/>
      </c>
      <c r="G80" s="387" t="str">
        <f>IF('Statement of Marks'!G84="","",'Statement of Marks'!G84)</f>
        <v/>
      </c>
      <c r="H80" s="388" t="str">
        <f>IF('Statement of Marks'!H84="","",'Statement of Marks'!H84)</f>
        <v/>
      </c>
      <c r="I80" s="388" t="str">
        <f>IF('Statement of Marks'!I84="","",'Statement of Marks'!I84)</f>
        <v/>
      </c>
      <c r="J80" s="598" t="str">
        <f>IF('Statement of Marks'!GY84="","",'Statement of Marks'!GY84)</f>
        <v/>
      </c>
      <c r="K80" s="834" t="str">
        <f>IF(B80="","",IF('Statement of Marks'!GZ84="","",'Statement of Marks'!GZ84))</f>
        <v/>
      </c>
      <c r="L80" s="839" t="str">
        <f>IF('Statement of Marks'!HC84="","",'Statement of Marks'!HC84)</f>
        <v/>
      </c>
      <c r="M80" s="389" t="str">
        <f>IF('Statement of Marks'!HB84="","",'Statement of Marks'!HB84)</f>
        <v/>
      </c>
      <c r="N80" s="610" t="str">
        <f>IF('Statement of Marks'!HD84="","",'Statement of Marks'!HD84)</f>
        <v/>
      </c>
      <c r="O80" s="390" t="str">
        <f>IF(J80="FAIL","",IF('Statement of Marks'!GU84="","",'Statement of Marks'!GU84))</f>
        <v xml:space="preserve">    </v>
      </c>
      <c r="P80" s="391" t="str">
        <f>IF('Supp. Result Entry'!AS83="","",'Supp. Result Entry'!AS83)</f>
        <v/>
      </c>
      <c r="Q80" s="392" t="str">
        <f>IF('Supp. Result Entry'!AT83="","",'Supp. Result Entry'!AT83)</f>
        <v/>
      </c>
      <c r="R80" s="393" t="str">
        <f>IF('Statement of Marks'!HG84="","",'Statement of Marks'!HG84)</f>
        <v/>
      </c>
      <c r="S80" s="394" t="str">
        <f>IF('Statement of Marks'!FH84="","",'Statement of Marks'!FH84)</f>
        <v/>
      </c>
      <c r="BM80" s="395" t="str">
        <f>'Statement of Marks'!E84</f>
        <v/>
      </c>
      <c r="BN80" s="396" t="str">
        <f t="shared" si="12"/>
        <v/>
      </c>
      <c r="BO80" s="396" t="str">
        <f t="shared" si="13"/>
        <v/>
      </c>
      <c r="BP80" s="396" t="str">
        <f t="shared" si="14"/>
        <v/>
      </c>
      <c r="BQ80" s="396" t="str">
        <f t="shared" si="15"/>
        <v/>
      </c>
      <c r="BR80" s="396" t="str">
        <f t="shared" si="16"/>
        <v/>
      </c>
      <c r="BS80" s="396" t="str">
        <f t="shared" si="17"/>
        <v/>
      </c>
      <c r="BT80" s="396" t="str">
        <f t="shared" si="18"/>
        <v/>
      </c>
      <c r="BU80" s="396" t="str">
        <f t="shared" si="19"/>
        <v/>
      </c>
      <c r="BV80" s="396" t="str">
        <f t="shared" si="20"/>
        <v/>
      </c>
      <c r="BW80" s="396" t="str">
        <f t="shared" si="21"/>
        <v/>
      </c>
      <c r="BX80" s="396" t="str">
        <f t="shared" si="22"/>
        <v/>
      </c>
      <c r="BY80" s="396" t="str">
        <f t="shared" si="23"/>
        <v/>
      </c>
      <c r="BZ80" s="397"/>
    </row>
    <row r="81" spans="1:78" ht="15" customHeight="1">
      <c r="A81" s="386">
        <f>IF('Statement of Marks'!A85="","",'Statement of Marks'!A85)</f>
        <v>78</v>
      </c>
      <c r="B81" s="840" t="str">
        <f>IF('Statement of Marks'!B85="","",'Statement of Marks'!B85)</f>
        <v/>
      </c>
      <c r="C81" s="841" t="str">
        <f>IF('Statement of Marks'!C85="","",'Statement of Marks'!C85)</f>
        <v/>
      </c>
      <c r="D81" s="833" t="str">
        <f>IF('Statement of Marks'!D85="","",'Statement of Marks'!D85)</f>
        <v/>
      </c>
      <c r="E81" s="387" t="str">
        <f>IF('Statement of Marks'!E85="","",'Statement of Marks'!E85)</f>
        <v/>
      </c>
      <c r="F81" s="387" t="str">
        <f>IF('Statement of Marks'!F85="","",'Statement of Marks'!F85)</f>
        <v/>
      </c>
      <c r="G81" s="387" t="str">
        <f>IF('Statement of Marks'!G85="","",'Statement of Marks'!G85)</f>
        <v/>
      </c>
      <c r="H81" s="388" t="str">
        <f>IF('Statement of Marks'!H85="","",'Statement of Marks'!H85)</f>
        <v/>
      </c>
      <c r="I81" s="388" t="str">
        <f>IF('Statement of Marks'!I85="","",'Statement of Marks'!I85)</f>
        <v/>
      </c>
      <c r="J81" s="598" t="str">
        <f>IF('Statement of Marks'!GY85="","",'Statement of Marks'!GY85)</f>
        <v/>
      </c>
      <c r="K81" s="834" t="str">
        <f>IF(B81="","",IF('Statement of Marks'!GZ85="","",'Statement of Marks'!GZ85))</f>
        <v/>
      </c>
      <c r="L81" s="839" t="str">
        <f>IF('Statement of Marks'!HC85="","",'Statement of Marks'!HC85)</f>
        <v/>
      </c>
      <c r="M81" s="389" t="str">
        <f>IF('Statement of Marks'!HB85="","",'Statement of Marks'!HB85)</f>
        <v/>
      </c>
      <c r="N81" s="610" t="str">
        <f>IF('Statement of Marks'!HD85="","",'Statement of Marks'!HD85)</f>
        <v/>
      </c>
      <c r="O81" s="390" t="str">
        <f>IF(J81="FAIL","",IF('Statement of Marks'!GU85="","",'Statement of Marks'!GU85))</f>
        <v xml:space="preserve">    </v>
      </c>
      <c r="P81" s="391" t="str">
        <f>IF('Supp. Result Entry'!AS84="","",'Supp. Result Entry'!AS84)</f>
        <v/>
      </c>
      <c r="Q81" s="392" t="str">
        <f>IF('Supp. Result Entry'!AT84="","",'Supp. Result Entry'!AT84)</f>
        <v/>
      </c>
      <c r="R81" s="393" t="str">
        <f>IF('Statement of Marks'!HG85="","",'Statement of Marks'!HG85)</f>
        <v/>
      </c>
      <c r="S81" s="394" t="str">
        <f>IF('Statement of Marks'!FH85="","",'Statement of Marks'!FH85)</f>
        <v/>
      </c>
      <c r="BM81" s="395" t="str">
        <f>'Statement of Marks'!E85</f>
        <v/>
      </c>
      <c r="BN81" s="396" t="str">
        <f t="shared" si="12"/>
        <v/>
      </c>
      <c r="BO81" s="396" t="str">
        <f t="shared" si="13"/>
        <v/>
      </c>
      <c r="BP81" s="396" t="str">
        <f t="shared" si="14"/>
        <v/>
      </c>
      <c r="BQ81" s="396" t="str">
        <f t="shared" si="15"/>
        <v/>
      </c>
      <c r="BR81" s="396" t="str">
        <f t="shared" si="16"/>
        <v/>
      </c>
      <c r="BS81" s="396" t="str">
        <f t="shared" si="17"/>
        <v/>
      </c>
      <c r="BT81" s="396" t="str">
        <f t="shared" si="18"/>
        <v/>
      </c>
      <c r="BU81" s="396" t="str">
        <f t="shared" si="19"/>
        <v/>
      </c>
      <c r="BV81" s="396" t="str">
        <f t="shared" si="20"/>
        <v/>
      </c>
      <c r="BW81" s="396" t="str">
        <f t="shared" si="21"/>
        <v/>
      </c>
      <c r="BX81" s="396" t="str">
        <f t="shared" si="22"/>
        <v/>
      </c>
      <c r="BY81" s="396" t="str">
        <f t="shared" si="23"/>
        <v/>
      </c>
      <c r="BZ81" s="397"/>
    </row>
    <row r="82" spans="1:78" ht="15" customHeight="1">
      <c r="A82" s="386">
        <f>IF('Statement of Marks'!A86="","",'Statement of Marks'!A86)</f>
        <v>79</v>
      </c>
      <c r="B82" s="840" t="str">
        <f>IF('Statement of Marks'!B86="","",'Statement of Marks'!B86)</f>
        <v/>
      </c>
      <c r="C82" s="841" t="str">
        <f>IF('Statement of Marks'!C86="","",'Statement of Marks'!C86)</f>
        <v/>
      </c>
      <c r="D82" s="833" t="str">
        <f>IF('Statement of Marks'!D86="","",'Statement of Marks'!D86)</f>
        <v/>
      </c>
      <c r="E82" s="387" t="str">
        <f>IF('Statement of Marks'!E86="","",'Statement of Marks'!E86)</f>
        <v/>
      </c>
      <c r="F82" s="387" t="str">
        <f>IF('Statement of Marks'!F86="","",'Statement of Marks'!F86)</f>
        <v/>
      </c>
      <c r="G82" s="387" t="str">
        <f>IF('Statement of Marks'!G86="","",'Statement of Marks'!G86)</f>
        <v/>
      </c>
      <c r="H82" s="388" t="str">
        <f>IF('Statement of Marks'!H86="","",'Statement of Marks'!H86)</f>
        <v/>
      </c>
      <c r="I82" s="388" t="str">
        <f>IF('Statement of Marks'!I86="","",'Statement of Marks'!I86)</f>
        <v/>
      </c>
      <c r="J82" s="598" t="str">
        <f>IF('Statement of Marks'!GY86="","",'Statement of Marks'!GY86)</f>
        <v/>
      </c>
      <c r="K82" s="834" t="str">
        <f>IF(B82="","",IF('Statement of Marks'!GZ86="","",'Statement of Marks'!GZ86))</f>
        <v/>
      </c>
      <c r="L82" s="839" t="str">
        <f>IF('Statement of Marks'!HC86="","",'Statement of Marks'!HC86)</f>
        <v/>
      </c>
      <c r="M82" s="389" t="str">
        <f>IF('Statement of Marks'!HB86="","",'Statement of Marks'!HB86)</f>
        <v/>
      </c>
      <c r="N82" s="610" t="str">
        <f>IF('Statement of Marks'!HD86="","",'Statement of Marks'!HD86)</f>
        <v/>
      </c>
      <c r="O82" s="390" t="str">
        <f>IF(J82="FAIL","",IF('Statement of Marks'!GU86="","",'Statement of Marks'!GU86))</f>
        <v xml:space="preserve">    </v>
      </c>
      <c r="P82" s="391" t="str">
        <f>IF('Supp. Result Entry'!AS85="","",'Supp. Result Entry'!AS85)</f>
        <v/>
      </c>
      <c r="Q82" s="392" t="str">
        <f>IF('Supp. Result Entry'!AT85="","",'Supp. Result Entry'!AT85)</f>
        <v/>
      </c>
      <c r="R82" s="393" t="str">
        <f>IF('Statement of Marks'!HG86="","",'Statement of Marks'!HG86)</f>
        <v/>
      </c>
      <c r="S82" s="394" t="str">
        <f>IF('Statement of Marks'!FH86="","",'Statement of Marks'!FH86)</f>
        <v/>
      </c>
      <c r="BM82" s="395" t="str">
        <f>'Statement of Marks'!E86</f>
        <v/>
      </c>
      <c r="BN82" s="396" t="str">
        <f t="shared" si="12"/>
        <v/>
      </c>
      <c r="BO82" s="396" t="str">
        <f t="shared" si="13"/>
        <v/>
      </c>
      <c r="BP82" s="396" t="str">
        <f t="shared" si="14"/>
        <v/>
      </c>
      <c r="BQ82" s="396" t="str">
        <f t="shared" si="15"/>
        <v/>
      </c>
      <c r="BR82" s="396" t="str">
        <f t="shared" si="16"/>
        <v/>
      </c>
      <c r="BS82" s="396" t="str">
        <f t="shared" si="17"/>
        <v/>
      </c>
      <c r="BT82" s="396" t="str">
        <f t="shared" si="18"/>
        <v/>
      </c>
      <c r="BU82" s="396" t="str">
        <f t="shared" si="19"/>
        <v/>
      </c>
      <c r="BV82" s="396" t="str">
        <f t="shared" si="20"/>
        <v/>
      </c>
      <c r="BW82" s="396" t="str">
        <f t="shared" si="21"/>
        <v/>
      </c>
      <c r="BX82" s="396" t="str">
        <f t="shared" si="22"/>
        <v/>
      </c>
      <c r="BY82" s="396" t="str">
        <f t="shared" si="23"/>
        <v/>
      </c>
      <c r="BZ82" s="397"/>
    </row>
    <row r="83" spans="1:78" ht="15" customHeight="1">
      <c r="A83" s="386">
        <f>IF('Statement of Marks'!A87="","",'Statement of Marks'!A87)</f>
        <v>80</v>
      </c>
      <c r="B83" s="840" t="str">
        <f>IF('Statement of Marks'!B87="","",'Statement of Marks'!B87)</f>
        <v/>
      </c>
      <c r="C83" s="841" t="str">
        <f>IF('Statement of Marks'!C87="","",'Statement of Marks'!C87)</f>
        <v/>
      </c>
      <c r="D83" s="833" t="str">
        <f>IF('Statement of Marks'!D87="","",'Statement of Marks'!D87)</f>
        <v/>
      </c>
      <c r="E83" s="387" t="str">
        <f>IF('Statement of Marks'!E87="","",'Statement of Marks'!E87)</f>
        <v/>
      </c>
      <c r="F83" s="387" t="str">
        <f>IF('Statement of Marks'!F87="","",'Statement of Marks'!F87)</f>
        <v/>
      </c>
      <c r="G83" s="387" t="str">
        <f>IF('Statement of Marks'!G87="","",'Statement of Marks'!G87)</f>
        <v/>
      </c>
      <c r="H83" s="388" t="str">
        <f>IF('Statement of Marks'!H87="","",'Statement of Marks'!H87)</f>
        <v/>
      </c>
      <c r="I83" s="388" t="str">
        <f>IF('Statement of Marks'!I87="","",'Statement of Marks'!I87)</f>
        <v/>
      </c>
      <c r="J83" s="598" t="str">
        <f>IF('Statement of Marks'!GY87="","",'Statement of Marks'!GY87)</f>
        <v/>
      </c>
      <c r="K83" s="834" t="str">
        <f>IF(B83="","",IF('Statement of Marks'!GZ87="","",'Statement of Marks'!GZ87))</f>
        <v/>
      </c>
      <c r="L83" s="839" t="str">
        <f>IF('Statement of Marks'!HC87="","",'Statement of Marks'!HC87)</f>
        <v/>
      </c>
      <c r="M83" s="389" t="str">
        <f>IF('Statement of Marks'!HB87="","",'Statement of Marks'!HB87)</f>
        <v/>
      </c>
      <c r="N83" s="610" t="str">
        <f>IF('Statement of Marks'!HD87="","",'Statement of Marks'!HD87)</f>
        <v/>
      </c>
      <c r="O83" s="390" t="str">
        <f>IF(J83="FAIL","",IF('Statement of Marks'!GU87="","",'Statement of Marks'!GU87))</f>
        <v xml:space="preserve">    </v>
      </c>
      <c r="P83" s="391" t="str">
        <f>IF('Supp. Result Entry'!AS86="","",'Supp. Result Entry'!AS86)</f>
        <v/>
      </c>
      <c r="Q83" s="392" t="str">
        <f>IF('Supp. Result Entry'!AT86="","",'Supp. Result Entry'!AT86)</f>
        <v/>
      </c>
      <c r="R83" s="393" t="str">
        <f>IF('Statement of Marks'!HG87="","",'Statement of Marks'!HG87)</f>
        <v/>
      </c>
      <c r="S83" s="394" t="str">
        <f>IF('Statement of Marks'!FH87="","",'Statement of Marks'!FH87)</f>
        <v/>
      </c>
      <c r="BM83" s="395" t="str">
        <f>'Statement of Marks'!E87</f>
        <v/>
      </c>
      <c r="BN83" s="396" t="str">
        <f t="shared" si="12"/>
        <v/>
      </c>
      <c r="BO83" s="396" t="str">
        <f t="shared" si="13"/>
        <v/>
      </c>
      <c r="BP83" s="396" t="str">
        <f t="shared" si="14"/>
        <v/>
      </c>
      <c r="BQ83" s="396" t="str">
        <f t="shared" si="15"/>
        <v/>
      </c>
      <c r="BR83" s="396" t="str">
        <f t="shared" si="16"/>
        <v/>
      </c>
      <c r="BS83" s="396" t="str">
        <f t="shared" si="17"/>
        <v/>
      </c>
      <c r="BT83" s="396" t="str">
        <f t="shared" si="18"/>
        <v/>
      </c>
      <c r="BU83" s="396" t="str">
        <f t="shared" si="19"/>
        <v/>
      </c>
      <c r="BV83" s="396" t="str">
        <f t="shared" si="20"/>
        <v/>
      </c>
      <c r="BW83" s="396" t="str">
        <f t="shared" si="21"/>
        <v/>
      </c>
      <c r="BX83" s="396" t="str">
        <f t="shared" si="22"/>
        <v/>
      </c>
      <c r="BY83" s="396" t="str">
        <f t="shared" si="23"/>
        <v/>
      </c>
      <c r="BZ83" s="397"/>
    </row>
    <row r="84" spans="1:78" ht="15" customHeight="1">
      <c r="A84" s="386">
        <f>IF('Statement of Marks'!A88="","",'Statement of Marks'!A88)</f>
        <v>81</v>
      </c>
      <c r="B84" s="840" t="str">
        <f>IF('Statement of Marks'!B88="","",'Statement of Marks'!B88)</f>
        <v/>
      </c>
      <c r="C84" s="841" t="str">
        <f>IF('Statement of Marks'!C88="","",'Statement of Marks'!C88)</f>
        <v/>
      </c>
      <c r="D84" s="833" t="str">
        <f>IF('Statement of Marks'!D88="","",'Statement of Marks'!D88)</f>
        <v/>
      </c>
      <c r="E84" s="387" t="str">
        <f>IF('Statement of Marks'!E88="","",'Statement of Marks'!E88)</f>
        <v/>
      </c>
      <c r="F84" s="387" t="str">
        <f>IF('Statement of Marks'!F88="","",'Statement of Marks'!F88)</f>
        <v/>
      </c>
      <c r="G84" s="387" t="str">
        <f>IF('Statement of Marks'!G88="","",'Statement of Marks'!G88)</f>
        <v/>
      </c>
      <c r="H84" s="388" t="str">
        <f>IF('Statement of Marks'!H88="","",'Statement of Marks'!H88)</f>
        <v/>
      </c>
      <c r="I84" s="388" t="str">
        <f>IF('Statement of Marks'!I88="","",'Statement of Marks'!I88)</f>
        <v/>
      </c>
      <c r="J84" s="598" t="str">
        <f>IF('Statement of Marks'!GY88="","",'Statement of Marks'!GY88)</f>
        <v/>
      </c>
      <c r="K84" s="834" t="str">
        <f>IF(B84="","",IF('Statement of Marks'!GZ88="","",'Statement of Marks'!GZ88))</f>
        <v/>
      </c>
      <c r="L84" s="839" t="str">
        <f>IF('Statement of Marks'!HC88="","",'Statement of Marks'!HC88)</f>
        <v/>
      </c>
      <c r="M84" s="389" t="str">
        <f>IF('Statement of Marks'!HB88="","",'Statement of Marks'!HB88)</f>
        <v/>
      </c>
      <c r="N84" s="610" t="str">
        <f>IF('Statement of Marks'!HD88="","",'Statement of Marks'!HD88)</f>
        <v/>
      </c>
      <c r="O84" s="390" t="str">
        <f>IF(J84="FAIL","",IF('Statement of Marks'!GU88="","",'Statement of Marks'!GU88))</f>
        <v xml:space="preserve">    </v>
      </c>
      <c r="P84" s="391" t="str">
        <f>IF('Supp. Result Entry'!AS87="","",'Supp. Result Entry'!AS87)</f>
        <v/>
      </c>
      <c r="Q84" s="392" t="str">
        <f>IF('Supp. Result Entry'!AT87="","",'Supp. Result Entry'!AT87)</f>
        <v/>
      </c>
      <c r="R84" s="393" t="str">
        <f>IF('Statement of Marks'!HG88="","",'Statement of Marks'!HG88)</f>
        <v/>
      </c>
      <c r="S84" s="394" t="str">
        <f>IF('Statement of Marks'!FH88="","",'Statement of Marks'!FH88)</f>
        <v/>
      </c>
      <c r="BM84" s="395" t="str">
        <f>'Statement of Marks'!E88</f>
        <v/>
      </c>
      <c r="BN84" s="396" t="str">
        <f t="shared" si="12"/>
        <v/>
      </c>
      <c r="BO84" s="396" t="str">
        <f t="shared" si="13"/>
        <v/>
      </c>
      <c r="BP84" s="396" t="str">
        <f t="shared" si="14"/>
        <v/>
      </c>
      <c r="BQ84" s="396" t="str">
        <f t="shared" si="15"/>
        <v/>
      </c>
      <c r="BR84" s="396" t="str">
        <f t="shared" si="16"/>
        <v/>
      </c>
      <c r="BS84" s="396" t="str">
        <f t="shared" si="17"/>
        <v/>
      </c>
      <c r="BT84" s="396" t="str">
        <f t="shared" si="18"/>
        <v/>
      </c>
      <c r="BU84" s="396" t="str">
        <f t="shared" si="19"/>
        <v/>
      </c>
      <c r="BV84" s="396" t="str">
        <f t="shared" si="20"/>
        <v/>
      </c>
      <c r="BW84" s="396" t="str">
        <f t="shared" si="21"/>
        <v/>
      </c>
      <c r="BX84" s="396" t="str">
        <f t="shared" si="22"/>
        <v/>
      </c>
      <c r="BY84" s="396" t="str">
        <f t="shared" si="23"/>
        <v/>
      </c>
      <c r="BZ84" s="397"/>
    </row>
    <row r="85" spans="1:78" ht="15" customHeight="1">
      <c r="A85" s="386">
        <f>IF('Statement of Marks'!A89="","",'Statement of Marks'!A89)</f>
        <v>82</v>
      </c>
      <c r="B85" s="840" t="str">
        <f>IF('Statement of Marks'!B89="","",'Statement of Marks'!B89)</f>
        <v/>
      </c>
      <c r="C85" s="841" t="str">
        <f>IF('Statement of Marks'!C89="","",'Statement of Marks'!C89)</f>
        <v/>
      </c>
      <c r="D85" s="833" t="str">
        <f>IF('Statement of Marks'!D89="","",'Statement of Marks'!D89)</f>
        <v/>
      </c>
      <c r="E85" s="387" t="str">
        <f>IF('Statement of Marks'!E89="","",'Statement of Marks'!E89)</f>
        <v/>
      </c>
      <c r="F85" s="387" t="str">
        <f>IF('Statement of Marks'!F89="","",'Statement of Marks'!F89)</f>
        <v/>
      </c>
      <c r="G85" s="387" t="str">
        <f>IF('Statement of Marks'!G89="","",'Statement of Marks'!G89)</f>
        <v/>
      </c>
      <c r="H85" s="388" t="str">
        <f>IF('Statement of Marks'!H89="","",'Statement of Marks'!H89)</f>
        <v/>
      </c>
      <c r="I85" s="388" t="str">
        <f>IF('Statement of Marks'!I89="","",'Statement of Marks'!I89)</f>
        <v/>
      </c>
      <c r="J85" s="598" t="str">
        <f>IF('Statement of Marks'!GY89="","",'Statement of Marks'!GY89)</f>
        <v/>
      </c>
      <c r="K85" s="834" t="str">
        <f>IF(B85="","",IF('Statement of Marks'!GZ89="","",'Statement of Marks'!GZ89))</f>
        <v/>
      </c>
      <c r="L85" s="839" t="str">
        <f>IF('Statement of Marks'!HC89="","",'Statement of Marks'!HC89)</f>
        <v/>
      </c>
      <c r="M85" s="389" t="str">
        <f>IF('Statement of Marks'!HB89="","",'Statement of Marks'!HB89)</f>
        <v/>
      </c>
      <c r="N85" s="610" t="str">
        <f>IF('Statement of Marks'!HD89="","",'Statement of Marks'!HD89)</f>
        <v/>
      </c>
      <c r="O85" s="390" t="str">
        <f>IF(J85="FAIL","",IF('Statement of Marks'!GU89="","",'Statement of Marks'!GU89))</f>
        <v xml:space="preserve">    </v>
      </c>
      <c r="P85" s="391" t="str">
        <f>IF('Supp. Result Entry'!AS88="","",'Supp. Result Entry'!AS88)</f>
        <v/>
      </c>
      <c r="Q85" s="392" t="str">
        <f>IF('Supp. Result Entry'!AT88="","",'Supp. Result Entry'!AT88)</f>
        <v/>
      </c>
      <c r="R85" s="393" t="str">
        <f>IF('Statement of Marks'!HG89="","",'Statement of Marks'!HG89)</f>
        <v/>
      </c>
      <c r="S85" s="394" t="str">
        <f>IF('Statement of Marks'!FH89="","",'Statement of Marks'!FH89)</f>
        <v/>
      </c>
      <c r="BM85" s="395" t="str">
        <f>'Statement of Marks'!E89</f>
        <v/>
      </c>
      <c r="BN85" s="396" t="str">
        <f t="shared" si="12"/>
        <v/>
      </c>
      <c r="BO85" s="396" t="str">
        <f t="shared" si="13"/>
        <v/>
      </c>
      <c r="BP85" s="396" t="str">
        <f t="shared" si="14"/>
        <v/>
      </c>
      <c r="BQ85" s="396" t="str">
        <f t="shared" si="15"/>
        <v/>
      </c>
      <c r="BR85" s="396" t="str">
        <f t="shared" si="16"/>
        <v/>
      </c>
      <c r="BS85" s="396" t="str">
        <f t="shared" si="17"/>
        <v/>
      </c>
      <c r="BT85" s="396" t="str">
        <f t="shared" si="18"/>
        <v/>
      </c>
      <c r="BU85" s="396" t="str">
        <f t="shared" si="19"/>
        <v/>
      </c>
      <c r="BV85" s="396" t="str">
        <f t="shared" si="20"/>
        <v/>
      </c>
      <c r="BW85" s="396" t="str">
        <f t="shared" si="21"/>
        <v/>
      </c>
      <c r="BX85" s="396" t="str">
        <f t="shared" si="22"/>
        <v/>
      </c>
      <c r="BY85" s="396" t="str">
        <f t="shared" si="23"/>
        <v/>
      </c>
      <c r="BZ85" s="397"/>
    </row>
    <row r="86" spans="1:78" ht="15" customHeight="1">
      <c r="A86" s="386">
        <f>IF('Statement of Marks'!A90="","",'Statement of Marks'!A90)</f>
        <v>83</v>
      </c>
      <c r="B86" s="840" t="str">
        <f>IF('Statement of Marks'!B90="","",'Statement of Marks'!B90)</f>
        <v/>
      </c>
      <c r="C86" s="841" t="str">
        <f>IF('Statement of Marks'!C90="","",'Statement of Marks'!C90)</f>
        <v/>
      </c>
      <c r="D86" s="833" t="str">
        <f>IF('Statement of Marks'!D90="","",'Statement of Marks'!D90)</f>
        <v/>
      </c>
      <c r="E86" s="387" t="str">
        <f>IF('Statement of Marks'!E90="","",'Statement of Marks'!E90)</f>
        <v/>
      </c>
      <c r="F86" s="387" t="str">
        <f>IF('Statement of Marks'!F90="","",'Statement of Marks'!F90)</f>
        <v/>
      </c>
      <c r="G86" s="387" t="str">
        <f>IF('Statement of Marks'!G90="","",'Statement of Marks'!G90)</f>
        <v/>
      </c>
      <c r="H86" s="388" t="str">
        <f>IF('Statement of Marks'!H90="","",'Statement of Marks'!H90)</f>
        <v/>
      </c>
      <c r="I86" s="388" t="str">
        <f>IF('Statement of Marks'!I90="","",'Statement of Marks'!I90)</f>
        <v/>
      </c>
      <c r="J86" s="598" t="str">
        <f>IF('Statement of Marks'!GY90="","",'Statement of Marks'!GY90)</f>
        <v/>
      </c>
      <c r="K86" s="834" t="str">
        <f>IF(B86="","",IF('Statement of Marks'!GZ90="","",'Statement of Marks'!GZ90))</f>
        <v/>
      </c>
      <c r="L86" s="839" t="str">
        <f>IF('Statement of Marks'!HC90="","",'Statement of Marks'!HC90)</f>
        <v/>
      </c>
      <c r="M86" s="389" t="str">
        <f>IF('Statement of Marks'!HB90="","",'Statement of Marks'!HB90)</f>
        <v/>
      </c>
      <c r="N86" s="610" t="str">
        <f>IF('Statement of Marks'!HD90="","",'Statement of Marks'!HD90)</f>
        <v/>
      </c>
      <c r="O86" s="390" t="str">
        <f>IF(J86="FAIL","",IF('Statement of Marks'!GU90="","",'Statement of Marks'!GU90))</f>
        <v xml:space="preserve">    </v>
      </c>
      <c r="P86" s="391" t="str">
        <f>IF('Supp. Result Entry'!AS89="","",'Supp. Result Entry'!AS89)</f>
        <v/>
      </c>
      <c r="Q86" s="392" t="str">
        <f>IF('Supp. Result Entry'!AT89="","",'Supp. Result Entry'!AT89)</f>
        <v/>
      </c>
      <c r="R86" s="393" t="str">
        <f>IF('Statement of Marks'!HG90="","",'Statement of Marks'!HG90)</f>
        <v/>
      </c>
      <c r="S86" s="394" t="str">
        <f>IF('Statement of Marks'!FH90="","",'Statement of Marks'!FH90)</f>
        <v/>
      </c>
      <c r="BM86" s="395" t="str">
        <f>'Statement of Marks'!E90</f>
        <v/>
      </c>
      <c r="BN86" s="396" t="str">
        <f t="shared" si="12"/>
        <v/>
      </c>
      <c r="BO86" s="396" t="str">
        <f t="shared" si="13"/>
        <v/>
      </c>
      <c r="BP86" s="396" t="str">
        <f t="shared" si="14"/>
        <v/>
      </c>
      <c r="BQ86" s="396" t="str">
        <f t="shared" si="15"/>
        <v/>
      </c>
      <c r="BR86" s="396" t="str">
        <f t="shared" si="16"/>
        <v/>
      </c>
      <c r="BS86" s="396" t="str">
        <f t="shared" si="17"/>
        <v/>
      </c>
      <c r="BT86" s="396" t="str">
        <f t="shared" si="18"/>
        <v/>
      </c>
      <c r="BU86" s="396" t="str">
        <f t="shared" si="19"/>
        <v/>
      </c>
      <c r="BV86" s="396" t="str">
        <f t="shared" si="20"/>
        <v/>
      </c>
      <c r="BW86" s="396" t="str">
        <f t="shared" si="21"/>
        <v/>
      </c>
      <c r="BX86" s="396" t="str">
        <f t="shared" si="22"/>
        <v/>
      </c>
      <c r="BY86" s="396" t="str">
        <f t="shared" si="23"/>
        <v/>
      </c>
      <c r="BZ86" s="397"/>
    </row>
    <row r="87" spans="1:78" ht="15" customHeight="1">
      <c r="A87" s="386">
        <f>IF('Statement of Marks'!A91="","",'Statement of Marks'!A91)</f>
        <v>84</v>
      </c>
      <c r="B87" s="840" t="str">
        <f>IF('Statement of Marks'!B91="","",'Statement of Marks'!B91)</f>
        <v/>
      </c>
      <c r="C87" s="841" t="str">
        <f>IF('Statement of Marks'!C91="","",'Statement of Marks'!C91)</f>
        <v/>
      </c>
      <c r="D87" s="833" t="str">
        <f>IF('Statement of Marks'!D91="","",'Statement of Marks'!D91)</f>
        <v/>
      </c>
      <c r="E87" s="387" t="str">
        <f>IF('Statement of Marks'!E91="","",'Statement of Marks'!E91)</f>
        <v/>
      </c>
      <c r="F87" s="387" t="str">
        <f>IF('Statement of Marks'!F91="","",'Statement of Marks'!F91)</f>
        <v/>
      </c>
      <c r="G87" s="387" t="str">
        <f>IF('Statement of Marks'!G91="","",'Statement of Marks'!G91)</f>
        <v/>
      </c>
      <c r="H87" s="388" t="str">
        <f>IF('Statement of Marks'!H91="","",'Statement of Marks'!H91)</f>
        <v/>
      </c>
      <c r="I87" s="388" t="str">
        <f>IF('Statement of Marks'!I91="","",'Statement of Marks'!I91)</f>
        <v/>
      </c>
      <c r="J87" s="598" t="str">
        <f>IF('Statement of Marks'!GY91="","",'Statement of Marks'!GY91)</f>
        <v/>
      </c>
      <c r="K87" s="834" t="str">
        <f>IF(B87="","",IF('Statement of Marks'!GZ91="","",'Statement of Marks'!GZ91))</f>
        <v/>
      </c>
      <c r="L87" s="839" t="str">
        <f>IF('Statement of Marks'!HC91="","",'Statement of Marks'!HC91)</f>
        <v/>
      </c>
      <c r="M87" s="389" t="str">
        <f>IF('Statement of Marks'!HB91="","",'Statement of Marks'!HB91)</f>
        <v/>
      </c>
      <c r="N87" s="610" t="str">
        <f>IF('Statement of Marks'!HD91="","",'Statement of Marks'!HD91)</f>
        <v/>
      </c>
      <c r="O87" s="390" t="str">
        <f>IF(J87="FAIL","",IF('Statement of Marks'!GU91="","",'Statement of Marks'!GU91))</f>
        <v xml:space="preserve">    </v>
      </c>
      <c r="P87" s="391" t="str">
        <f>IF('Supp. Result Entry'!AS90="","",'Supp. Result Entry'!AS90)</f>
        <v/>
      </c>
      <c r="Q87" s="392" t="str">
        <f>IF('Supp. Result Entry'!AT90="","",'Supp. Result Entry'!AT90)</f>
        <v/>
      </c>
      <c r="R87" s="393" t="str">
        <f>IF('Statement of Marks'!HG91="","",'Statement of Marks'!HG91)</f>
        <v/>
      </c>
      <c r="S87" s="394" t="str">
        <f>IF('Statement of Marks'!FH91="","",'Statement of Marks'!FH91)</f>
        <v/>
      </c>
      <c r="BM87" s="395" t="str">
        <f>'Statement of Marks'!E91</f>
        <v/>
      </c>
      <c r="BN87" s="396" t="str">
        <f t="shared" si="12"/>
        <v/>
      </c>
      <c r="BO87" s="396" t="str">
        <f t="shared" si="13"/>
        <v/>
      </c>
      <c r="BP87" s="396" t="str">
        <f t="shared" si="14"/>
        <v/>
      </c>
      <c r="BQ87" s="396" t="str">
        <f t="shared" si="15"/>
        <v/>
      </c>
      <c r="BR87" s="396" t="str">
        <f t="shared" si="16"/>
        <v/>
      </c>
      <c r="BS87" s="396" t="str">
        <f t="shared" si="17"/>
        <v/>
      </c>
      <c r="BT87" s="396" t="str">
        <f t="shared" si="18"/>
        <v/>
      </c>
      <c r="BU87" s="396" t="str">
        <f t="shared" si="19"/>
        <v/>
      </c>
      <c r="BV87" s="396" t="str">
        <f t="shared" si="20"/>
        <v/>
      </c>
      <c r="BW87" s="396" t="str">
        <f t="shared" si="21"/>
        <v/>
      </c>
      <c r="BX87" s="396" t="str">
        <f t="shared" si="22"/>
        <v/>
      </c>
      <c r="BY87" s="396" t="str">
        <f t="shared" si="23"/>
        <v/>
      </c>
      <c r="BZ87" s="397"/>
    </row>
    <row r="88" spans="1:78" ht="15" customHeight="1">
      <c r="A88" s="386">
        <f>IF('Statement of Marks'!A92="","",'Statement of Marks'!A92)</f>
        <v>85</v>
      </c>
      <c r="B88" s="840" t="str">
        <f>IF('Statement of Marks'!B92="","",'Statement of Marks'!B92)</f>
        <v/>
      </c>
      <c r="C88" s="841" t="str">
        <f>IF('Statement of Marks'!C92="","",'Statement of Marks'!C92)</f>
        <v/>
      </c>
      <c r="D88" s="833" t="str">
        <f>IF('Statement of Marks'!D92="","",'Statement of Marks'!D92)</f>
        <v/>
      </c>
      <c r="E88" s="387" t="str">
        <f>IF('Statement of Marks'!E92="","",'Statement of Marks'!E92)</f>
        <v/>
      </c>
      <c r="F88" s="387" t="str">
        <f>IF('Statement of Marks'!F92="","",'Statement of Marks'!F92)</f>
        <v/>
      </c>
      <c r="G88" s="387" t="str">
        <f>IF('Statement of Marks'!G92="","",'Statement of Marks'!G92)</f>
        <v/>
      </c>
      <c r="H88" s="388" t="str">
        <f>IF('Statement of Marks'!H92="","",'Statement of Marks'!H92)</f>
        <v/>
      </c>
      <c r="I88" s="388" t="str">
        <f>IF('Statement of Marks'!I92="","",'Statement of Marks'!I92)</f>
        <v/>
      </c>
      <c r="J88" s="598" t="str">
        <f>IF('Statement of Marks'!GY92="","",'Statement of Marks'!GY92)</f>
        <v/>
      </c>
      <c r="K88" s="834" t="str">
        <f>IF(B88="","",IF('Statement of Marks'!GZ92="","",'Statement of Marks'!GZ92))</f>
        <v/>
      </c>
      <c r="L88" s="839" t="str">
        <f>IF('Statement of Marks'!HC92="","",'Statement of Marks'!HC92)</f>
        <v/>
      </c>
      <c r="M88" s="389" t="str">
        <f>IF('Statement of Marks'!HB92="","",'Statement of Marks'!HB92)</f>
        <v/>
      </c>
      <c r="N88" s="610" t="str">
        <f>IF('Statement of Marks'!HD92="","",'Statement of Marks'!HD92)</f>
        <v/>
      </c>
      <c r="O88" s="390" t="str">
        <f>IF(J88="FAIL","",IF('Statement of Marks'!GU92="","",'Statement of Marks'!GU92))</f>
        <v xml:space="preserve">    </v>
      </c>
      <c r="P88" s="391" t="str">
        <f>IF('Supp. Result Entry'!AS91="","",'Supp. Result Entry'!AS91)</f>
        <v/>
      </c>
      <c r="Q88" s="392" t="str">
        <f>IF('Supp. Result Entry'!AT91="","",'Supp. Result Entry'!AT91)</f>
        <v/>
      </c>
      <c r="R88" s="393" t="str">
        <f>IF('Statement of Marks'!HG92="","",'Statement of Marks'!HG92)</f>
        <v/>
      </c>
      <c r="S88" s="394" t="str">
        <f>IF('Statement of Marks'!FH92="","",'Statement of Marks'!FH92)</f>
        <v/>
      </c>
      <c r="BM88" s="395" t="str">
        <f>'Statement of Marks'!E92</f>
        <v/>
      </c>
      <c r="BN88" s="396" t="str">
        <f t="shared" si="12"/>
        <v/>
      </c>
      <c r="BO88" s="396" t="str">
        <f t="shared" si="13"/>
        <v/>
      </c>
      <c r="BP88" s="396" t="str">
        <f t="shared" si="14"/>
        <v/>
      </c>
      <c r="BQ88" s="396" t="str">
        <f t="shared" si="15"/>
        <v/>
      </c>
      <c r="BR88" s="396" t="str">
        <f t="shared" si="16"/>
        <v/>
      </c>
      <c r="BS88" s="396" t="str">
        <f t="shared" si="17"/>
        <v/>
      </c>
      <c r="BT88" s="396" t="str">
        <f t="shared" si="18"/>
        <v/>
      </c>
      <c r="BU88" s="396" t="str">
        <f t="shared" si="19"/>
        <v/>
      </c>
      <c r="BV88" s="396" t="str">
        <f t="shared" si="20"/>
        <v/>
      </c>
      <c r="BW88" s="396" t="str">
        <f t="shared" si="21"/>
        <v/>
      </c>
      <c r="BX88" s="396" t="str">
        <f t="shared" si="22"/>
        <v/>
      </c>
      <c r="BY88" s="396" t="str">
        <f t="shared" si="23"/>
        <v/>
      </c>
      <c r="BZ88" s="397"/>
    </row>
    <row r="89" spans="1:78" ht="15" customHeight="1">
      <c r="A89" s="386">
        <f>IF('Statement of Marks'!A93="","",'Statement of Marks'!A93)</f>
        <v>86</v>
      </c>
      <c r="B89" s="840" t="str">
        <f>IF('Statement of Marks'!B93="","",'Statement of Marks'!B93)</f>
        <v/>
      </c>
      <c r="C89" s="841" t="str">
        <f>IF('Statement of Marks'!C93="","",'Statement of Marks'!C93)</f>
        <v/>
      </c>
      <c r="D89" s="833" t="str">
        <f>IF('Statement of Marks'!D93="","",'Statement of Marks'!D93)</f>
        <v/>
      </c>
      <c r="E89" s="387" t="str">
        <f>IF('Statement of Marks'!E93="","",'Statement of Marks'!E93)</f>
        <v/>
      </c>
      <c r="F89" s="387" t="str">
        <f>IF('Statement of Marks'!F93="","",'Statement of Marks'!F93)</f>
        <v/>
      </c>
      <c r="G89" s="387" t="str">
        <f>IF('Statement of Marks'!G93="","",'Statement of Marks'!G93)</f>
        <v/>
      </c>
      <c r="H89" s="388" t="str">
        <f>IF('Statement of Marks'!H93="","",'Statement of Marks'!H93)</f>
        <v/>
      </c>
      <c r="I89" s="388" t="str">
        <f>IF('Statement of Marks'!I93="","",'Statement of Marks'!I93)</f>
        <v/>
      </c>
      <c r="J89" s="598" t="str">
        <f>IF('Statement of Marks'!GY93="","",'Statement of Marks'!GY93)</f>
        <v/>
      </c>
      <c r="K89" s="834" t="str">
        <f>IF(B89="","",IF('Statement of Marks'!GZ93="","",'Statement of Marks'!GZ93))</f>
        <v/>
      </c>
      <c r="L89" s="839" t="str">
        <f>IF('Statement of Marks'!HC93="","",'Statement of Marks'!HC93)</f>
        <v/>
      </c>
      <c r="M89" s="389" t="str">
        <f>IF('Statement of Marks'!HB93="","",'Statement of Marks'!HB93)</f>
        <v/>
      </c>
      <c r="N89" s="610" t="str">
        <f>IF('Statement of Marks'!HD93="","",'Statement of Marks'!HD93)</f>
        <v/>
      </c>
      <c r="O89" s="390" t="str">
        <f>IF(J89="FAIL","",IF('Statement of Marks'!GU93="","",'Statement of Marks'!GU93))</f>
        <v xml:space="preserve">    </v>
      </c>
      <c r="P89" s="391" t="str">
        <f>IF('Supp. Result Entry'!AS92="","",'Supp. Result Entry'!AS92)</f>
        <v/>
      </c>
      <c r="Q89" s="392" t="str">
        <f>IF('Supp. Result Entry'!AT92="","",'Supp. Result Entry'!AT92)</f>
        <v/>
      </c>
      <c r="R89" s="393" t="str">
        <f>IF('Statement of Marks'!HG93="","",'Statement of Marks'!HG93)</f>
        <v/>
      </c>
      <c r="S89" s="394" t="str">
        <f>IF('Statement of Marks'!FH93="","",'Statement of Marks'!FH93)</f>
        <v/>
      </c>
      <c r="BM89" s="395" t="str">
        <f>'Statement of Marks'!E93</f>
        <v/>
      </c>
      <c r="BN89" s="396" t="str">
        <f t="shared" si="12"/>
        <v/>
      </c>
      <c r="BO89" s="396" t="str">
        <f t="shared" si="13"/>
        <v/>
      </c>
      <c r="BP89" s="396" t="str">
        <f t="shared" si="14"/>
        <v/>
      </c>
      <c r="BQ89" s="396" t="str">
        <f t="shared" si="15"/>
        <v/>
      </c>
      <c r="BR89" s="396" t="str">
        <f t="shared" si="16"/>
        <v/>
      </c>
      <c r="BS89" s="396" t="str">
        <f t="shared" si="17"/>
        <v/>
      </c>
      <c r="BT89" s="396" t="str">
        <f t="shared" si="18"/>
        <v/>
      </c>
      <c r="BU89" s="396" t="str">
        <f t="shared" si="19"/>
        <v/>
      </c>
      <c r="BV89" s="396" t="str">
        <f t="shared" si="20"/>
        <v/>
      </c>
      <c r="BW89" s="396" t="str">
        <f t="shared" si="21"/>
        <v/>
      </c>
      <c r="BX89" s="396" t="str">
        <f t="shared" si="22"/>
        <v/>
      </c>
      <c r="BY89" s="396" t="str">
        <f t="shared" si="23"/>
        <v/>
      </c>
      <c r="BZ89" s="397"/>
    </row>
    <row r="90" spans="1:78" ht="15" customHeight="1">
      <c r="A90" s="386">
        <f>IF('Statement of Marks'!A94="","",'Statement of Marks'!A94)</f>
        <v>87</v>
      </c>
      <c r="B90" s="840" t="str">
        <f>IF('Statement of Marks'!B94="","",'Statement of Marks'!B94)</f>
        <v/>
      </c>
      <c r="C90" s="841" t="str">
        <f>IF('Statement of Marks'!C94="","",'Statement of Marks'!C94)</f>
        <v/>
      </c>
      <c r="D90" s="833" t="str">
        <f>IF('Statement of Marks'!D94="","",'Statement of Marks'!D94)</f>
        <v/>
      </c>
      <c r="E90" s="387" t="str">
        <f>IF('Statement of Marks'!E94="","",'Statement of Marks'!E94)</f>
        <v/>
      </c>
      <c r="F90" s="387" t="str">
        <f>IF('Statement of Marks'!F94="","",'Statement of Marks'!F94)</f>
        <v/>
      </c>
      <c r="G90" s="387" t="str">
        <f>IF('Statement of Marks'!G94="","",'Statement of Marks'!G94)</f>
        <v/>
      </c>
      <c r="H90" s="388" t="str">
        <f>IF('Statement of Marks'!H94="","",'Statement of Marks'!H94)</f>
        <v/>
      </c>
      <c r="I90" s="388" t="str">
        <f>IF('Statement of Marks'!I94="","",'Statement of Marks'!I94)</f>
        <v/>
      </c>
      <c r="J90" s="598" t="str">
        <f>IF('Statement of Marks'!GY94="","",'Statement of Marks'!GY94)</f>
        <v/>
      </c>
      <c r="K90" s="834" t="str">
        <f>IF(B90="","",IF('Statement of Marks'!GZ94="","",'Statement of Marks'!GZ94))</f>
        <v/>
      </c>
      <c r="L90" s="839" t="str">
        <f>IF('Statement of Marks'!HC94="","",'Statement of Marks'!HC94)</f>
        <v/>
      </c>
      <c r="M90" s="389" t="str">
        <f>IF('Statement of Marks'!HB94="","",'Statement of Marks'!HB94)</f>
        <v/>
      </c>
      <c r="N90" s="610" t="str">
        <f>IF('Statement of Marks'!HD94="","",'Statement of Marks'!HD94)</f>
        <v/>
      </c>
      <c r="O90" s="390" t="str">
        <f>IF(J90="FAIL","",IF('Statement of Marks'!GU94="","",'Statement of Marks'!GU94))</f>
        <v xml:space="preserve">    </v>
      </c>
      <c r="P90" s="391" t="str">
        <f>IF('Supp. Result Entry'!AS93="","",'Supp. Result Entry'!AS93)</f>
        <v/>
      </c>
      <c r="Q90" s="392" t="str">
        <f>IF('Supp. Result Entry'!AT93="","",'Supp. Result Entry'!AT93)</f>
        <v/>
      </c>
      <c r="R90" s="393" t="str">
        <f>IF('Statement of Marks'!HG94="","",'Statement of Marks'!HG94)</f>
        <v/>
      </c>
      <c r="S90" s="394" t="str">
        <f>IF('Statement of Marks'!FH94="","",'Statement of Marks'!FH94)</f>
        <v/>
      </c>
      <c r="BM90" s="395" t="str">
        <f>'Statement of Marks'!E94</f>
        <v/>
      </c>
      <c r="BN90" s="396" t="str">
        <f t="shared" si="12"/>
        <v/>
      </c>
      <c r="BO90" s="396" t="str">
        <f t="shared" si="13"/>
        <v/>
      </c>
      <c r="BP90" s="396" t="str">
        <f t="shared" si="14"/>
        <v/>
      </c>
      <c r="BQ90" s="396" t="str">
        <f t="shared" si="15"/>
        <v/>
      </c>
      <c r="BR90" s="396" t="str">
        <f t="shared" si="16"/>
        <v/>
      </c>
      <c r="BS90" s="396" t="str">
        <f t="shared" si="17"/>
        <v/>
      </c>
      <c r="BT90" s="396" t="str">
        <f t="shared" si="18"/>
        <v/>
      </c>
      <c r="BU90" s="396" t="str">
        <f t="shared" si="19"/>
        <v/>
      </c>
      <c r="BV90" s="396" t="str">
        <f t="shared" si="20"/>
        <v/>
      </c>
      <c r="BW90" s="396" t="str">
        <f t="shared" si="21"/>
        <v/>
      </c>
      <c r="BX90" s="396" t="str">
        <f t="shared" si="22"/>
        <v/>
      </c>
      <c r="BY90" s="396" t="str">
        <f t="shared" si="23"/>
        <v/>
      </c>
      <c r="BZ90" s="397"/>
    </row>
    <row r="91" spans="1:78" ht="15" customHeight="1">
      <c r="A91" s="386">
        <f>IF('Statement of Marks'!A95="","",'Statement of Marks'!A95)</f>
        <v>88</v>
      </c>
      <c r="B91" s="840" t="str">
        <f>IF('Statement of Marks'!B95="","",'Statement of Marks'!B95)</f>
        <v/>
      </c>
      <c r="C91" s="841" t="str">
        <f>IF('Statement of Marks'!C95="","",'Statement of Marks'!C95)</f>
        <v/>
      </c>
      <c r="D91" s="833" t="str">
        <f>IF('Statement of Marks'!D95="","",'Statement of Marks'!D95)</f>
        <v/>
      </c>
      <c r="E91" s="387" t="str">
        <f>IF('Statement of Marks'!E95="","",'Statement of Marks'!E95)</f>
        <v/>
      </c>
      <c r="F91" s="387" t="str">
        <f>IF('Statement of Marks'!F95="","",'Statement of Marks'!F95)</f>
        <v/>
      </c>
      <c r="G91" s="387" t="str">
        <f>IF('Statement of Marks'!G95="","",'Statement of Marks'!G95)</f>
        <v/>
      </c>
      <c r="H91" s="388" t="str">
        <f>IF('Statement of Marks'!H95="","",'Statement of Marks'!H95)</f>
        <v/>
      </c>
      <c r="I91" s="388" t="str">
        <f>IF('Statement of Marks'!I95="","",'Statement of Marks'!I95)</f>
        <v/>
      </c>
      <c r="J91" s="598" t="str">
        <f>IF('Statement of Marks'!GY95="","",'Statement of Marks'!GY95)</f>
        <v/>
      </c>
      <c r="K91" s="834" t="str">
        <f>IF(B91="","",IF('Statement of Marks'!GZ95="","",'Statement of Marks'!GZ95))</f>
        <v/>
      </c>
      <c r="L91" s="839" t="str">
        <f>IF('Statement of Marks'!HC95="","",'Statement of Marks'!HC95)</f>
        <v/>
      </c>
      <c r="M91" s="389" t="str">
        <f>IF('Statement of Marks'!HB95="","",'Statement of Marks'!HB95)</f>
        <v/>
      </c>
      <c r="N91" s="610" t="str">
        <f>IF('Statement of Marks'!HD95="","",'Statement of Marks'!HD95)</f>
        <v/>
      </c>
      <c r="O91" s="390" t="str">
        <f>IF(J91="FAIL","",IF('Statement of Marks'!GU95="","",'Statement of Marks'!GU95))</f>
        <v xml:space="preserve">    </v>
      </c>
      <c r="P91" s="391" t="str">
        <f>IF('Supp. Result Entry'!AS94="","",'Supp. Result Entry'!AS94)</f>
        <v/>
      </c>
      <c r="Q91" s="392" t="str">
        <f>IF('Supp. Result Entry'!AT94="","",'Supp. Result Entry'!AT94)</f>
        <v/>
      </c>
      <c r="R91" s="393" t="str">
        <f>IF('Statement of Marks'!HG95="","",'Statement of Marks'!HG95)</f>
        <v/>
      </c>
      <c r="S91" s="394" t="str">
        <f>IF('Statement of Marks'!FH95="","",'Statement of Marks'!FH95)</f>
        <v/>
      </c>
      <c r="BM91" s="395" t="str">
        <f>'Statement of Marks'!E95</f>
        <v/>
      </c>
      <c r="BN91" s="396" t="str">
        <f t="shared" si="12"/>
        <v/>
      </c>
      <c r="BO91" s="396" t="str">
        <f t="shared" si="13"/>
        <v/>
      </c>
      <c r="BP91" s="396" t="str">
        <f t="shared" si="14"/>
        <v/>
      </c>
      <c r="BQ91" s="396" t="str">
        <f t="shared" si="15"/>
        <v/>
      </c>
      <c r="BR91" s="396" t="str">
        <f t="shared" si="16"/>
        <v/>
      </c>
      <c r="BS91" s="396" t="str">
        <f t="shared" si="17"/>
        <v/>
      </c>
      <c r="BT91" s="396" t="str">
        <f t="shared" si="18"/>
        <v/>
      </c>
      <c r="BU91" s="396" t="str">
        <f t="shared" si="19"/>
        <v/>
      </c>
      <c r="BV91" s="396" t="str">
        <f t="shared" si="20"/>
        <v/>
      </c>
      <c r="BW91" s="396" t="str">
        <f t="shared" si="21"/>
        <v/>
      </c>
      <c r="BX91" s="396" t="str">
        <f t="shared" si="22"/>
        <v/>
      </c>
      <c r="BY91" s="396" t="str">
        <f t="shared" si="23"/>
        <v/>
      </c>
      <c r="BZ91" s="397"/>
    </row>
    <row r="92" spans="1:78" ht="15" customHeight="1">
      <c r="A92" s="386">
        <f>IF('Statement of Marks'!A96="","",'Statement of Marks'!A96)</f>
        <v>89</v>
      </c>
      <c r="B92" s="840" t="str">
        <f>IF('Statement of Marks'!B96="","",'Statement of Marks'!B96)</f>
        <v/>
      </c>
      <c r="C92" s="841" t="str">
        <f>IF('Statement of Marks'!C96="","",'Statement of Marks'!C96)</f>
        <v/>
      </c>
      <c r="D92" s="833" t="str">
        <f>IF('Statement of Marks'!D96="","",'Statement of Marks'!D96)</f>
        <v/>
      </c>
      <c r="E92" s="387" t="str">
        <f>IF('Statement of Marks'!E96="","",'Statement of Marks'!E96)</f>
        <v/>
      </c>
      <c r="F92" s="387" t="str">
        <f>IF('Statement of Marks'!F96="","",'Statement of Marks'!F96)</f>
        <v/>
      </c>
      <c r="G92" s="387" t="str">
        <f>IF('Statement of Marks'!G96="","",'Statement of Marks'!G96)</f>
        <v/>
      </c>
      <c r="H92" s="388" t="str">
        <f>IF('Statement of Marks'!H96="","",'Statement of Marks'!H96)</f>
        <v/>
      </c>
      <c r="I92" s="388" t="str">
        <f>IF('Statement of Marks'!I96="","",'Statement of Marks'!I96)</f>
        <v/>
      </c>
      <c r="J92" s="598" t="str">
        <f>IF('Statement of Marks'!GY96="","",'Statement of Marks'!GY96)</f>
        <v/>
      </c>
      <c r="K92" s="834" t="str">
        <f>IF(B92="","",IF('Statement of Marks'!GZ96="","",'Statement of Marks'!GZ96))</f>
        <v/>
      </c>
      <c r="L92" s="839" t="str">
        <f>IF('Statement of Marks'!HC96="","",'Statement of Marks'!HC96)</f>
        <v/>
      </c>
      <c r="M92" s="389" t="str">
        <f>IF('Statement of Marks'!HB96="","",'Statement of Marks'!HB96)</f>
        <v/>
      </c>
      <c r="N92" s="610" t="str">
        <f>IF('Statement of Marks'!HD96="","",'Statement of Marks'!HD96)</f>
        <v/>
      </c>
      <c r="O92" s="390" t="str">
        <f>IF(J92="FAIL","",IF('Statement of Marks'!GU96="","",'Statement of Marks'!GU96))</f>
        <v xml:space="preserve">    </v>
      </c>
      <c r="P92" s="391" t="str">
        <f>IF('Supp. Result Entry'!AS95="","",'Supp. Result Entry'!AS95)</f>
        <v/>
      </c>
      <c r="Q92" s="392" t="str">
        <f>IF('Supp. Result Entry'!AT95="","",'Supp. Result Entry'!AT95)</f>
        <v/>
      </c>
      <c r="R92" s="393" t="str">
        <f>IF('Statement of Marks'!HG96="","",'Statement of Marks'!HG96)</f>
        <v/>
      </c>
      <c r="S92" s="394" t="str">
        <f>IF('Statement of Marks'!FH96="","",'Statement of Marks'!FH96)</f>
        <v/>
      </c>
      <c r="BM92" s="395" t="str">
        <f>'Statement of Marks'!E96</f>
        <v/>
      </c>
      <c r="BN92" s="396" t="str">
        <f t="shared" si="12"/>
        <v/>
      </c>
      <c r="BO92" s="396" t="str">
        <f t="shared" si="13"/>
        <v/>
      </c>
      <c r="BP92" s="396" t="str">
        <f t="shared" si="14"/>
        <v/>
      </c>
      <c r="BQ92" s="396" t="str">
        <f t="shared" si="15"/>
        <v/>
      </c>
      <c r="BR92" s="396" t="str">
        <f t="shared" si="16"/>
        <v/>
      </c>
      <c r="BS92" s="396" t="str">
        <f t="shared" si="17"/>
        <v/>
      </c>
      <c r="BT92" s="396" t="str">
        <f t="shared" si="18"/>
        <v/>
      </c>
      <c r="BU92" s="396" t="str">
        <f t="shared" si="19"/>
        <v/>
      </c>
      <c r="BV92" s="396" t="str">
        <f t="shared" si="20"/>
        <v/>
      </c>
      <c r="BW92" s="396" t="str">
        <f t="shared" si="21"/>
        <v/>
      </c>
      <c r="BX92" s="396" t="str">
        <f t="shared" si="22"/>
        <v/>
      </c>
      <c r="BY92" s="396" t="str">
        <f t="shared" si="23"/>
        <v/>
      </c>
      <c r="BZ92" s="397"/>
    </row>
    <row r="93" spans="1:78" ht="15" customHeight="1">
      <c r="A93" s="386">
        <f>IF('Statement of Marks'!A97="","",'Statement of Marks'!A97)</f>
        <v>90</v>
      </c>
      <c r="B93" s="840" t="str">
        <f>IF('Statement of Marks'!B97="","",'Statement of Marks'!B97)</f>
        <v/>
      </c>
      <c r="C93" s="841" t="str">
        <f>IF('Statement of Marks'!C97="","",'Statement of Marks'!C97)</f>
        <v/>
      </c>
      <c r="D93" s="833" t="str">
        <f>IF('Statement of Marks'!D97="","",'Statement of Marks'!D97)</f>
        <v/>
      </c>
      <c r="E93" s="387" t="str">
        <f>IF('Statement of Marks'!E97="","",'Statement of Marks'!E97)</f>
        <v/>
      </c>
      <c r="F93" s="387" t="str">
        <f>IF('Statement of Marks'!F97="","",'Statement of Marks'!F97)</f>
        <v/>
      </c>
      <c r="G93" s="387" t="str">
        <f>IF('Statement of Marks'!G97="","",'Statement of Marks'!G97)</f>
        <v/>
      </c>
      <c r="H93" s="388" t="str">
        <f>IF('Statement of Marks'!H97="","",'Statement of Marks'!H97)</f>
        <v/>
      </c>
      <c r="I93" s="388" t="str">
        <f>IF('Statement of Marks'!I97="","",'Statement of Marks'!I97)</f>
        <v/>
      </c>
      <c r="J93" s="598" t="str">
        <f>IF('Statement of Marks'!GY97="","",'Statement of Marks'!GY97)</f>
        <v/>
      </c>
      <c r="K93" s="834" t="str">
        <f>IF(B93="","",IF('Statement of Marks'!GZ97="","",'Statement of Marks'!GZ97))</f>
        <v/>
      </c>
      <c r="L93" s="839" t="str">
        <f>IF('Statement of Marks'!HC97="","",'Statement of Marks'!HC97)</f>
        <v/>
      </c>
      <c r="M93" s="389" t="str">
        <f>IF('Statement of Marks'!HB97="","",'Statement of Marks'!HB97)</f>
        <v/>
      </c>
      <c r="N93" s="610" t="str">
        <f>IF('Statement of Marks'!HD97="","",'Statement of Marks'!HD97)</f>
        <v/>
      </c>
      <c r="O93" s="390" t="str">
        <f>IF(J93="FAIL","",IF('Statement of Marks'!GU97="","",'Statement of Marks'!GU97))</f>
        <v xml:space="preserve">    </v>
      </c>
      <c r="P93" s="391" t="str">
        <f>IF('Supp. Result Entry'!AS96="","",'Supp. Result Entry'!AS96)</f>
        <v/>
      </c>
      <c r="Q93" s="392" t="str">
        <f>IF('Supp. Result Entry'!AT96="","",'Supp. Result Entry'!AT96)</f>
        <v/>
      </c>
      <c r="R93" s="393" t="str">
        <f>IF('Statement of Marks'!HG97="","",'Statement of Marks'!HG97)</f>
        <v/>
      </c>
      <c r="S93" s="394" t="str">
        <f>IF('Statement of Marks'!FH97="","",'Statement of Marks'!FH97)</f>
        <v/>
      </c>
      <c r="BM93" s="395" t="str">
        <f>'Statement of Marks'!E97</f>
        <v/>
      </c>
      <c r="BN93" s="396" t="str">
        <f t="shared" si="12"/>
        <v/>
      </c>
      <c r="BO93" s="396" t="str">
        <f t="shared" si="13"/>
        <v/>
      </c>
      <c r="BP93" s="396" t="str">
        <f t="shared" si="14"/>
        <v/>
      </c>
      <c r="BQ93" s="396" t="str">
        <f t="shared" si="15"/>
        <v/>
      </c>
      <c r="BR93" s="396" t="str">
        <f t="shared" si="16"/>
        <v/>
      </c>
      <c r="BS93" s="396" t="str">
        <f t="shared" si="17"/>
        <v/>
      </c>
      <c r="BT93" s="396" t="str">
        <f t="shared" si="18"/>
        <v/>
      </c>
      <c r="BU93" s="396" t="str">
        <f t="shared" si="19"/>
        <v/>
      </c>
      <c r="BV93" s="396" t="str">
        <f t="shared" si="20"/>
        <v/>
      </c>
      <c r="BW93" s="396" t="str">
        <f t="shared" si="21"/>
        <v/>
      </c>
      <c r="BX93" s="396" t="str">
        <f t="shared" si="22"/>
        <v/>
      </c>
      <c r="BY93" s="396" t="str">
        <f t="shared" si="23"/>
        <v/>
      </c>
      <c r="BZ93" s="397"/>
    </row>
    <row r="94" spans="1:78" ht="15" customHeight="1">
      <c r="A94" s="386">
        <f>IF('Statement of Marks'!A98="","",'Statement of Marks'!A98)</f>
        <v>91</v>
      </c>
      <c r="B94" s="840" t="str">
        <f>IF('Statement of Marks'!B98="","",'Statement of Marks'!B98)</f>
        <v/>
      </c>
      <c r="C94" s="841" t="str">
        <f>IF('Statement of Marks'!C98="","",'Statement of Marks'!C98)</f>
        <v/>
      </c>
      <c r="D94" s="833" t="str">
        <f>IF('Statement of Marks'!D98="","",'Statement of Marks'!D98)</f>
        <v/>
      </c>
      <c r="E94" s="387" t="str">
        <f>IF('Statement of Marks'!E98="","",'Statement of Marks'!E98)</f>
        <v/>
      </c>
      <c r="F94" s="387" t="str">
        <f>IF('Statement of Marks'!F98="","",'Statement of Marks'!F98)</f>
        <v/>
      </c>
      <c r="G94" s="387" t="str">
        <f>IF('Statement of Marks'!G98="","",'Statement of Marks'!G98)</f>
        <v/>
      </c>
      <c r="H94" s="388" t="str">
        <f>IF('Statement of Marks'!H98="","",'Statement of Marks'!H98)</f>
        <v/>
      </c>
      <c r="I94" s="388" t="str">
        <f>IF('Statement of Marks'!I98="","",'Statement of Marks'!I98)</f>
        <v/>
      </c>
      <c r="J94" s="598" t="str">
        <f>IF('Statement of Marks'!GY98="","",'Statement of Marks'!GY98)</f>
        <v/>
      </c>
      <c r="K94" s="834" t="str">
        <f>IF(B94="","",IF('Statement of Marks'!GZ98="","",'Statement of Marks'!GZ98))</f>
        <v/>
      </c>
      <c r="L94" s="839" t="str">
        <f>IF('Statement of Marks'!HC98="","",'Statement of Marks'!HC98)</f>
        <v/>
      </c>
      <c r="M94" s="389" t="str">
        <f>IF('Statement of Marks'!HB98="","",'Statement of Marks'!HB98)</f>
        <v/>
      </c>
      <c r="N94" s="610" t="str">
        <f>IF('Statement of Marks'!HD98="","",'Statement of Marks'!HD98)</f>
        <v/>
      </c>
      <c r="O94" s="390" t="str">
        <f>IF(J94="FAIL","",IF('Statement of Marks'!GU98="","",'Statement of Marks'!GU98))</f>
        <v xml:space="preserve">    </v>
      </c>
      <c r="P94" s="391" t="str">
        <f>IF('Supp. Result Entry'!AS97="","",'Supp. Result Entry'!AS97)</f>
        <v/>
      </c>
      <c r="Q94" s="392" t="str">
        <f>IF('Supp. Result Entry'!AT97="","",'Supp. Result Entry'!AT97)</f>
        <v/>
      </c>
      <c r="R94" s="393" t="str">
        <f>IF('Statement of Marks'!HG98="","",'Statement of Marks'!HG98)</f>
        <v/>
      </c>
      <c r="S94" s="394" t="str">
        <f>IF('Statement of Marks'!FH98="","",'Statement of Marks'!FH98)</f>
        <v/>
      </c>
      <c r="BM94" s="395" t="str">
        <f>'Statement of Marks'!E98</f>
        <v/>
      </c>
      <c r="BN94" s="396" t="str">
        <f t="shared" si="12"/>
        <v/>
      </c>
      <c r="BO94" s="396" t="str">
        <f t="shared" si="13"/>
        <v/>
      </c>
      <c r="BP94" s="396" t="str">
        <f t="shared" si="14"/>
        <v/>
      </c>
      <c r="BQ94" s="396" t="str">
        <f t="shared" si="15"/>
        <v/>
      </c>
      <c r="BR94" s="396" t="str">
        <f t="shared" si="16"/>
        <v/>
      </c>
      <c r="BS94" s="396" t="str">
        <f t="shared" si="17"/>
        <v/>
      </c>
      <c r="BT94" s="396" t="str">
        <f t="shared" si="18"/>
        <v/>
      </c>
      <c r="BU94" s="396" t="str">
        <f t="shared" si="19"/>
        <v/>
      </c>
      <c r="BV94" s="396" t="str">
        <f t="shared" si="20"/>
        <v/>
      </c>
      <c r="BW94" s="396" t="str">
        <f t="shared" si="21"/>
        <v/>
      </c>
      <c r="BX94" s="396" t="str">
        <f t="shared" si="22"/>
        <v/>
      </c>
      <c r="BY94" s="396" t="str">
        <f t="shared" si="23"/>
        <v/>
      </c>
      <c r="BZ94" s="397"/>
    </row>
    <row r="95" spans="1:78" ht="15" customHeight="1">
      <c r="A95" s="386">
        <f>IF('Statement of Marks'!A99="","",'Statement of Marks'!A99)</f>
        <v>92</v>
      </c>
      <c r="B95" s="840" t="str">
        <f>IF('Statement of Marks'!B99="","",'Statement of Marks'!B99)</f>
        <v/>
      </c>
      <c r="C95" s="841" t="str">
        <f>IF('Statement of Marks'!C99="","",'Statement of Marks'!C99)</f>
        <v/>
      </c>
      <c r="D95" s="833" t="str">
        <f>IF('Statement of Marks'!D99="","",'Statement of Marks'!D99)</f>
        <v/>
      </c>
      <c r="E95" s="387" t="str">
        <f>IF('Statement of Marks'!E99="","",'Statement of Marks'!E99)</f>
        <v/>
      </c>
      <c r="F95" s="387" t="str">
        <f>IF('Statement of Marks'!F99="","",'Statement of Marks'!F99)</f>
        <v/>
      </c>
      <c r="G95" s="387" t="str">
        <f>IF('Statement of Marks'!G99="","",'Statement of Marks'!G99)</f>
        <v/>
      </c>
      <c r="H95" s="388" t="str">
        <f>IF('Statement of Marks'!H99="","",'Statement of Marks'!H99)</f>
        <v/>
      </c>
      <c r="I95" s="388" t="str">
        <f>IF('Statement of Marks'!I99="","",'Statement of Marks'!I99)</f>
        <v/>
      </c>
      <c r="J95" s="598" t="str">
        <f>IF('Statement of Marks'!GY99="","",'Statement of Marks'!GY99)</f>
        <v/>
      </c>
      <c r="K95" s="834" t="str">
        <f>IF(B95="","",IF('Statement of Marks'!GZ99="","",'Statement of Marks'!GZ99))</f>
        <v/>
      </c>
      <c r="L95" s="839" t="str">
        <f>IF('Statement of Marks'!HC99="","",'Statement of Marks'!HC99)</f>
        <v/>
      </c>
      <c r="M95" s="389" t="str">
        <f>IF('Statement of Marks'!HB99="","",'Statement of Marks'!HB99)</f>
        <v/>
      </c>
      <c r="N95" s="610" t="str">
        <f>IF('Statement of Marks'!HD99="","",'Statement of Marks'!HD99)</f>
        <v/>
      </c>
      <c r="O95" s="390" t="str">
        <f>IF(J95="FAIL","",IF('Statement of Marks'!GU99="","",'Statement of Marks'!GU99))</f>
        <v xml:space="preserve">    </v>
      </c>
      <c r="P95" s="391" t="str">
        <f>IF('Supp. Result Entry'!AS98="","",'Supp. Result Entry'!AS98)</f>
        <v/>
      </c>
      <c r="Q95" s="392" t="str">
        <f>IF('Supp. Result Entry'!AT98="","",'Supp. Result Entry'!AT98)</f>
        <v/>
      </c>
      <c r="R95" s="393" t="str">
        <f>IF('Statement of Marks'!HG99="","",'Statement of Marks'!HG99)</f>
        <v/>
      </c>
      <c r="S95" s="394" t="str">
        <f>IF('Statement of Marks'!FH99="","",'Statement of Marks'!FH99)</f>
        <v/>
      </c>
      <c r="BM95" s="395" t="str">
        <f>'Statement of Marks'!E99</f>
        <v/>
      </c>
      <c r="BN95" s="396" t="str">
        <f t="shared" si="12"/>
        <v/>
      </c>
      <c r="BO95" s="396" t="str">
        <f t="shared" si="13"/>
        <v/>
      </c>
      <c r="BP95" s="396" t="str">
        <f t="shared" si="14"/>
        <v/>
      </c>
      <c r="BQ95" s="396" t="str">
        <f t="shared" si="15"/>
        <v/>
      </c>
      <c r="BR95" s="396" t="str">
        <f t="shared" si="16"/>
        <v/>
      </c>
      <c r="BS95" s="396" t="str">
        <f t="shared" si="17"/>
        <v/>
      </c>
      <c r="BT95" s="396" t="str">
        <f t="shared" si="18"/>
        <v/>
      </c>
      <c r="BU95" s="396" t="str">
        <f t="shared" si="19"/>
        <v/>
      </c>
      <c r="BV95" s="396" t="str">
        <f t="shared" si="20"/>
        <v/>
      </c>
      <c r="BW95" s="396" t="str">
        <f t="shared" si="21"/>
        <v/>
      </c>
      <c r="BX95" s="396" t="str">
        <f t="shared" si="22"/>
        <v/>
      </c>
      <c r="BY95" s="396" t="str">
        <f t="shared" si="23"/>
        <v/>
      </c>
      <c r="BZ95" s="397"/>
    </row>
    <row r="96" spans="1:78" ht="15" customHeight="1">
      <c r="A96" s="386">
        <f>IF('Statement of Marks'!A100="","",'Statement of Marks'!A100)</f>
        <v>93</v>
      </c>
      <c r="B96" s="840" t="str">
        <f>IF('Statement of Marks'!B100="","",'Statement of Marks'!B100)</f>
        <v/>
      </c>
      <c r="C96" s="841" t="str">
        <f>IF('Statement of Marks'!C100="","",'Statement of Marks'!C100)</f>
        <v/>
      </c>
      <c r="D96" s="833" t="str">
        <f>IF('Statement of Marks'!D100="","",'Statement of Marks'!D100)</f>
        <v/>
      </c>
      <c r="E96" s="387" t="str">
        <f>IF('Statement of Marks'!E100="","",'Statement of Marks'!E100)</f>
        <v/>
      </c>
      <c r="F96" s="387" t="str">
        <f>IF('Statement of Marks'!F100="","",'Statement of Marks'!F100)</f>
        <v/>
      </c>
      <c r="G96" s="387" t="str">
        <f>IF('Statement of Marks'!G100="","",'Statement of Marks'!G100)</f>
        <v/>
      </c>
      <c r="H96" s="388" t="str">
        <f>IF('Statement of Marks'!H100="","",'Statement of Marks'!H100)</f>
        <v/>
      </c>
      <c r="I96" s="388" t="str">
        <f>IF('Statement of Marks'!I100="","",'Statement of Marks'!I100)</f>
        <v/>
      </c>
      <c r="J96" s="598" t="str">
        <f>IF('Statement of Marks'!GY100="","",'Statement of Marks'!GY100)</f>
        <v/>
      </c>
      <c r="K96" s="834" t="str">
        <f>IF(B96="","",IF('Statement of Marks'!GZ100="","",'Statement of Marks'!GZ100))</f>
        <v/>
      </c>
      <c r="L96" s="839" t="str">
        <f>IF('Statement of Marks'!HC100="","",'Statement of Marks'!HC100)</f>
        <v/>
      </c>
      <c r="M96" s="389" t="str">
        <f>IF('Statement of Marks'!HB100="","",'Statement of Marks'!HB100)</f>
        <v/>
      </c>
      <c r="N96" s="610" t="str">
        <f>IF('Statement of Marks'!HD100="","",'Statement of Marks'!HD100)</f>
        <v/>
      </c>
      <c r="O96" s="390" t="str">
        <f>IF(J96="FAIL","",IF('Statement of Marks'!GU100="","",'Statement of Marks'!GU100))</f>
        <v xml:space="preserve">    </v>
      </c>
      <c r="P96" s="391" t="str">
        <f>IF('Supp. Result Entry'!AS99="","",'Supp. Result Entry'!AS99)</f>
        <v/>
      </c>
      <c r="Q96" s="392" t="str">
        <f>IF('Supp. Result Entry'!AT99="","",'Supp. Result Entry'!AT99)</f>
        <v/>
      </c>
      <c r="R96" s="393" t="str">
        <f>IF('Statement of Marks'!HG100="","",'Statement of Marks'!HG100)</f>
        <v/>
      </c>
      <c r="S96" s="394" t="str">
        <f>IF('Statement of Marks'!FH100="","",'Statement of Marks'!FH100)</f>
        <v/>
      </c>
      <c r="BM96" s="395" t="str">
        <f>'Statement of Marks'!E100</f>
        <v/>
      </c>
      <c r="BN96" s="396" t="str">
        <f t="shared" si="12"/>
        <v/>
      </c>
      <c r="BO96" s="396" t="str">
        <f t="shared" si="13"/>
        <v/>
      </c>
      <c r="BP96" s="396" t="str">
        <f t="shared" si="14"/>
        <v/>
      </c>
      <c r="BQ96" s="396" t="str">
        <f t="shared" si="15"/>
        <v/>
      </c>
      <c r="BR96" s="396" t="str">
        <f t="shared" si="16"/>
        <v/>
      </c>
      <c r="BS96" s="396" t="str">
        <f t="shared" si="17"/>
        <v/>
      </c>
      <c r="BT96" s="396" t="str">
        <f t="shared" si="18"/>
        <v/>
      </c>
      <c r="BU96" s="396" t="str">
        <f t="shared" si="19"/>
        <v/>
      </c>
      <c r="BV96" s="396" t="str">
        <f t="shared" si="20"/>
        <v/>
      </c>
      <c r="BW96" s="396" t="str">
        <f t="shared" si="21"/>
        <v/>
      </c>
      <c r="BX96" s="396" t="str">
        <f t="shared" si="22"/>
        <v/>
      </c>
      <c r="BY96" s="396" t="str">
        <f t="shared" si="23"/>
        <v/>
      </c>
      <c r="BZ96" s="397"/>
    </row>
    <row r="97" spans="1:78" ht="15" customHeight="1">
      <c r="A97" s="386">
        <f>IF('Statement of Marks'!A101="","",'Statement of Marks'!A101)</f>
        <v>94</v>
      </c>
      <c r="B97" s="840" t="str">
        <f>IF('Statement of Marks'!B101="","",'Statement of Marks'!B101)</f>
        <v/>
      </c>
      <c r="C97" s="841" t="str">
        <f>IF('Statement of Marks'!C101="","",'Statement of Marks'!C101)</f>
        <v/>
      </c>
      <c r="D97" s="833" t="str">
        <f>IF('Statement of Marks'!D101="","",'Statement of Marks'!D101)</f>
        <v/>
      </c>
      <c r="E97" s="387" t="str">
        <f>IF('Statement of Marks'!E101="","",'Statement of Marks'!E101)</f>
        <v/>
      </c>
      <c r="F97" s="387" t="str">
        <f>IF('Statement of Marks'!F101="","",'Statement of Marks'!F101)</f>
        <v/>
      </c>
      <c r="G97" s="387" t="str">
        <f>IF('Statement of Marks'!G101="","",'Statement of Marks'!G101)</f>
        <v/>
      </c>
      <c r="H97" s="388" t="str">
        <f>IF('Statement of Marks'!H101="","",'Statement of Marks'!H101)</f>
        <v/>
      </c>
      <c r="I97" s="388" t="str">
        <f>IF('Statement of Marks'!I101="","",'Statement of Marks'!I101)</f>
        <v/>
      </c>
      <c r="J97" s="598" t="str">
        <f>IF('Statement of Marks'!GY101="","",'Statement of Marks'!GY101)</f>
        <v/>
      </c>
      <c r="K97" s="834" t="str">
        <f>IF(B97="","",IF('Statement of Marks'!GZ101="","",'Statement of Marks'!GZ101))</f>
        <v/>
      </c>
      <c r="L97" s="839" t="str">
        <f>IF('Statement of Marks'!HC101="","",'Statement of Marks'!HC101)</f>
        <v/>
      </c>
      <c r="M97" s="389" t="str">
        <f>IF('Statement of Marks'!HB101="","",'Statement of Marks'!HB101)</f>
        <v/>
      </c>
      <c r="N97" s="610" t="str">
        <f>IF('Statement of Marks'!HD101="","",'Statement of Marks'!HD101)</f>
        <v/>
      </c>
      <c r="O97" s="390" t="str">
        <f>IF(J97="FAIL","",IF('Statement of Marks'!GU101="","",'Statement of Marks'!GU101))</f>
        <v xml:space="preserve">    </v>
      </c>
      <c r="P97" s="391" t="str">
        <f>IF('Supp. Result Entry'!AS100="","",'Supp. Result Entry'!AS100)</f>
        <v/>
      </c>
      <c r="Q97" s="392" t="str">
        <f>IF('Supp. Result Entry'!AT100="","",'Supp. Result Entry'!AT100)</f>
        <v/>
      </c>
      <c r="R97" s="393" t="str">
        <f>IF('Statement of Marks'!HG101="","",'Statement of Marks'!HG101)</f>
        <v/>
      </c>
      <c r="S97" s="394" t="str">
        <f>IF('Statement of Marks'!FH101="","",'Statement of Marks'!FH101)</f>
        <v/>
      </c>
      <c r="BM97" s="395" t="str">
        <f>'Statement of Marks'!E101</f>
        <v/>
      </c>
      <c r="BN97" s="396" t="str">
        <f t="shared" si="12"/>
        <v/>
      </c>
      <c r="BO97" s="396" t="str">
        <f t="shared" si="13"/>
        <v/>
      </c>
      <c r="BP97" s="396" t="str">
        <f t="shared" si="14"/>
        <v/>
      </c>
      <c r="BQ97" s="396" t="str">
        <f t="shared" si="15"/>
        <v/>
      </c>
      <c r="BR97" s="396" t="str">
        <f t="shared" si="16"/>
        <v/>
      </c>
      <c r="BS97" s="396" t="str">
        <f t="shared" si="17"/>
        <v/>
      </c>
      <c r="BT97" s="396" t="str">
        <f t="shared" si="18"/>
        <v/>
      </c>
      <c r="BU97" s="396" t="str">
        <f t="shared" si="19"/>
        <v/>
      </c>
      <c r="BV97" s="396" t="str">
        <f t="shared" si="20"/>
        <v/>
      </c>
      <c r="BW97" s="396" t="str">
        <f t="shared" si="21"/>
        <v/>
      </c>
      <c r="BX97" s="396" t="str">
        <f t="shared" si="22"/>
        <v/>
      </c>
      <c r="BY97" s="396" t="str">
        <f t="shared" si="23"/>
        <v/>
      </c>
      <c r="BZ97" s="397"/>
    </row>
    <row r="98" spans="1:78" ht="15" customHeight="1">
      <c r="A98" s="386">
        <f>IF('Statement of Marks'!A102="","",'Statement of Marks'!A102)</f>
        <v>95</v>
      </c>
      <c r="B98" s="840" t="str">
        <f>IF('Statement of Marks'!B102="","",'Statement of Marks'!B102)</f>
        <v/>
      </c>
      <c r="C98" s="841" t="str">
        <f>IF('Statement of Marks'!C102="","",'Statement of Marks'!C102)</f>
        <v/>
      </c>
      <c r="D98" s="833" t="str">
        <f>IF('Statement of Marks'!D102="","",'Statement of Marks'!D102)</f>
        <v/>
      </c>
      <c r="E98" s="387" t="str">
        <f>IF('Statement of Marks'!E102="","",'Statement of Marks'!E102)</f>
        <v/>
      </c>
      <c r="F98" s="387" t="str">
        <f>IF('Statement of Marks'!F102="","",'Statement of Marks'!F102)</f>
        <v/>
      </c>
      <c r="G98" s="387" t="str">
        <f>IF('Statement of Marks'!G102="","",'Statement of Marks'!G102)</f>
        <v/>
      </c>
      <c r="H98" s="388" t="str">
        <f>IF('Statement of Marks'!H102="","",'Statement of Marks'!H102)</f>
        <v/>
      </c>
      <c r="I98" s="388" t="str">
        <f>IF('Statement of Marks'!I102="","",'Statement of Marks'!I102)</f>
        <v/>
      </c>
      <c r="J98" s="598" t="str">
        <f>IF('Statement of Marks'!GY102="","",'Statement of Marks'!GY102)</f>
        <v/>
      </c>
      <c r="K98" s="834" t="str">
        <f>IF(B98="","",IF('Statement of Marks'!GZ102="","",'Statement of Marks'!GZ102))</f>
        <v/>
      </c>
      <c r="L98" s="839" t="str">
        <f>IF('Statement of Marks'!HC102="","",'Statement of Marks'!HC102)</f>
        <v/>
      </c>
      <c r="M98" s="389" t="str">
        <f>IF('Statement of Marks'!HB102="","",'Statement of Marks'!HB102)</f>
        <v/>
      </c>
      <c r="N98" s="610" t="str">
        <f>IF('Statement of Marks'!HD102="","",'Statement of Marks'!HD102)</f>
        <v/>
      </c>
      <c r="O98" s="390" t="str">
        <f>IF(J98="FAIL","",IF('Statement of Marks'!GU102="","",'Statement of Marks'!GU102))</f>
        <v xml:space="preserve">    </v>
      </c>
      <c r="P98" s="391" t="str">
        <f>IF('Supp. Result Entry'!AS101="","",'Supp. Result Entry'!AS101)</f>
        <v/>
      </c>
      <c r="Q98" s="392" t="str">
        <f>IF('Supp. Result Entry'!AT101="","",'Supp. Result Entry'!AT101)</f>
        <v/>
      </c>
      <c r="R98" s="393" t="str">
        <f>IF('Statement of Marks'!HG102="","",'Statement of Marks'!HG102)</f>
        <v/>
      </c>
      <c r="S98" s="394" t="str">
        <f>IF('Statement of Marks'!FH102="","",'Statement of Marks'!FH102)</f>
        <v/>
      </c>
      <c r="BM98" s="395" t="str">
        <f>'Statement of Marks'!E102</f>
        <v/>
      </c>
      <c r="BN98" s="396" t="str">
        <f t="shared" si="12"/>
        <v/>
      </c>
      <c r="BO98" s="396" t="str">
        <f t="shared" si="13"/>
        <v/>
      </c>
      <c r="BP98" s="396" t="str">
        <f t="shared" si="14"/>
        <v/>
      </c>
      <c r="BQ98" s="396" t="str">
        <f t="shared" si="15"/>
        <v/>
      </c>
      <c r="BR98" s="396" t="str">
        <f t="shared" si="16"/>
        <v/>
      </c>
      <c r="BS98" s="396" t="str">
        <f t="shared" si="17"/>
        <v/>
      </c>
      <c r="BT98" s="396" t="str">
        <f t="shared" si="18"/>
        <v/>
      </c>
      <c r="BU98" s="396" t="str">
        <f t="shared" si="19"/>
        <v/>
      </c>
      <c r="BV98" s="396" t="str">
        <f t="shared" si="20"/>
        <v/>
      </c>
      <c r="BW98" s="396" t="str">
        <f t="shared" si="21"/>
        <v/>
      </c>
      <c r="BX98" s="396" t="str">
        <f t="shared" si="22"/>
        <v/>
      </c>
      <c r="BY98" s="396" t="str">
        <f t="shared" si="23"/>
        <v/>
      </c>
      <c r="BZ98" s="397"/>
    </row>
    <row r="99" spans="1:78" ht="15" customHeight="1">
      <c r="A99" s="386">
        <f>IF('Statement of Marks'!A103="","",'Statement of Marks'!A103)</f>
        <v>96</v>
      </c>
      <c r="B99" s="840" t="str">
        <f>IF('Statement of Marks'!B103="","",'Statement of Marks'!B103)</f>
        <v/>
      </c>
      <c r="C99" s="841" t="str">
        <f>IF('Statement of Marks'!C103="","",'Statement of Marks'!C103)</f>
        <v/>
      </c>
      <c r="D99" s="833" t="str">
        <f>IF('Statement of Marks'!D103="","",'Statement of Marks'!D103)</f>
        <v/>
      </c>
      <c r="E99" s="387" t="str">
        <f>IF('Statement of Marks'!E103="","",'Statement of Marks'!E103)</f>
        <v/>
      </c>
      <c r="F99" s="387" t="str">
        <f>IF('Statement of Marks'!F103="","",'Statement of Marks'!F103)</f>
        <v/>
      </c>
      <c r="G99" s="387" t="str">
        <f>IF('Statement of Marks'!G103="","",'Statement of Marks'!G103)</f>
        <v/>
      </c>
      <c r="H99" s="388" t="str">
        <f>IF('Statement of Marks'!H103="","",'Statement of Marks'!H103)</f>
        <v/>
      </c>
      <c r="I99" s="388" t="str">
        <f>IF('Statement of Marks'!I103="","",'Statement of Marks'!I103)</f>
        <v/>
      </c>
      <c r="J99" s="598" t="str">
        <f>IF('Statement of Marks'!GY103="","",'Statement of Marks'!GY103)</f>
        <v/>
      </c>
      <c r="K99" s="834" t="str">
        <f>IF(B99="","",IF('Statement of Marks'!GZ103="","",'Statement of Marks'!GZ103))</f>
        <v/>
      </c>
      <c r="L99" s="839" t="str">
        <f>IF('Statement of Marks'!HC103="","",'Statement of Marks'!HC103)</f>
        <v/>
      </c>
      <c r="M99" s="389" t="str">
        <f>IF('Statement of Marks'!HB103="","",'Statement of Marks'!HB103)</f>
        <v/>
      </c>
      <c r="N99" s="610" t="str">
        <f>IF('Statement of Marks'!HD103="","",'Statement of Marks'!HD103)</f>
        <v/>
      </c>
      <c r="O99" s="390" t="str">
        <f>IF(J99="FAIL","",IF('Statement of Marks'!GU103="","",'Statement of Marks'!GU103))</f>
        <v xml:space="preserve">    </v>
      </c>
      <c r="P99" s="391" t="str">
        <f>IF('Supp. Result Entry'!AS102="","",'Supp. Result Entry'!AS102)</f>
        <v/>
      </c>
      <c r="Q99" s="392" t="str">
        <f>IF('Supp. Result Entry'!AT102="","",'Supp. Result Entry'!AT102)</f>
        <v/>
      </c>
      <c r="R99" s="393" t="str">
        <f>IF('Statement of Marks'!HG103="","",'Statement of Marks'!HG103)</f>
        <v/>
      </c>
      <c r="S99" s="394" t="str">
        <f>IF('Statement of Marks'!FH103="","",'Statement of Marks'!FH103)</f>
        <v/>
      </c>
      <c r="BM99" s="395" t="str">
        <f>'Statement of Marks'!E103</f>
        <v/>
      </c>
      <c r="BN99" s="396" t="str">
        <f t="shared" si="12"/>
        <v/>
      </c>
      <c r="BO99" s="396" t="str">
        <f t="shared" si="13"/>
        <v/>
      </c>
      <c r="BP99" s="396" t="str">
        <f t="shared" si="14"/>
        <v/>
      </c>
      <c r="BQ99" s="396" t="str">
        <f t="shared" si="15"/>
        <v/>
      </c>
      <c r="BR99" s="396" t="str">
        <f t="shared" si="16"/>
        <v/>
      </c>
      <c r="BS99" s="396" t="str">
        <f t="shared" si="17"/>
        <v/>
      </c>
      <c r="BT99" s="396" t="str">
        <f t="shared" si="18"/>
        <v/>
      </c>
      <c r="BU99" s="396" t="str">
        <f t="shared" si="19"/>
        <v/>
      </c>
      <c r="BV99" s="396" t="str">
        <f t="shared" si="20"/>
        <v/>
      </c>
      <c r="BW99" s="396" t="str">
        <f t="shared" si="21"/>
        <v/>
      </c>
      <c r="BX99" s="396" t="str">
        <f t="shared" si="22"/>
        <v/>
      </c>
      <c r="BY99" s="396" t="str">
        <f t="shared" si="23"/>
        <v/>
      </c>
      <c r="BZ99" s="397"/>
    </row>
    <row r="100" spans="1:78" ht="15" customHeight="1">
      <c r="A100" s="386">
        <f>IF('Statement of Marks'!A104="","",'Statement of Marks'!A104)</f>
        <v>97</v>
      </c>
      <c r="B100" s="840" t="str">
        <f>IF('Statement of Marks'!B104="","",'Statement of Marks'!B104)</f>
        <v/>
      </c>
      <c r="C100" s="841" t="str">
        <f>IF('Statement of Marks'!C104="","",'Statement of Marks'!C104)</f>
        <v/>
      </c>
      <c r="D100" s="833" t="str">
        <f>IF('Statement of Marks'!D104="","",'Statement of Marks'!D104)</f>
        <v/>
      </c>
      <c r="E100" s="387" t="str">
        <f>IF('Statement of Marks'!E104="","",'Statement of Marks'!E104)</f>
        <v/>
      </c>
      <c r="F100" s="387" t="str">
        <f>IF('Statement of Marks'!F104="","",'Statement of Marks'!F104)</f>
        <v/>
      </c>
      <c r="G100" s="387" t="str">
        <f>IF('Statement of Marks'!G104="","",'Statement of Marks'!G104)</f>
        <v/>
      </c>
      <c r="H100" s="388" t="str">
        <f>IF('Statement of Marks'!H104="","",'Statement of Marks'!H104)</f>
        <v/>
      </c>
      <c r="I100" s="388" t="str">
        <f>IF('Statement of Marks'!I104="","",'Statement of Marks'!I104)</f>
        <v/>
      </c>
      <c r="J100" s="598" t="str">
        <f>IF('Statement of Marks'!GY104="","",'Statement of Marks'!GY104)</f>
        <v/>
      </c>
      <c r="K100" s="834" t="str">
        <f>IF(B100="","",IF('Statement of Marks'!GZ104="","",'Statement of Marks'!GZ104))</f>
        <v/>
      </c>
      <c r="L100" s="839" t="str">
        <f>IF('Statement of Marks'!HC104="","",'Statement of Marks'!HC104)</f>
        <v/>
      </c>
      <c r="M100" s="389" t="str">
        <f>IF('Statement of Marks'!HB104="","",'Statement of Marks'!HB104)</f>
        <v/>
      </c>
      <c r="N100" s="610" t="str">
        <f>IF('Statement of Marks'!HD104="","",'Statement of Marks'!HD104)</f>
        <v/>
      </c>
      <c r="O100" s="390" t="str">
        <f>IF(J100="FAIL","",IF('Statement of Marks'!GU104="","",'Statement of Marks'!GU104))</f>
        <v xml:space="preserve">    </v>
      </c>
      <c r="P100" s="391" t="str">
        <f>IF('Supp. Result Entry'!AS103="","",'Supp. Result Entry'!AS103)</f>
        <v/>
      </c>
      <c r="Q100" s="392" t="str">
        <f>IF('Supp. Result Entry'!AT103="","",'Supp. Result Entry'!AT103)</f>
        <v/>
      </c>
      <c r="R100" s="393" t="str">
        <f>IF('Statement of Marks'!HG104="","",'Statement of Marks'!HG104)</f>
        <v/>
      </c>
      <c r="S100" s="394" t="str">
        <f>IF('Statement of Marks'!FH104="","",'Statement of Marks'!FH104)</f>
        <v/>
      </c>
      <c r="BM100" s="395" t="str">
        <f>'Statement of Marks'!E104</f>
        <v/>
      </c>
      <c r="BN100" s="396" t="str">
        <f t="shared" si="12"/>
        <v/>
      </c>
      <c r="BO100" s="396" t="str">
        <f t="shared" si="13"/>
        <v/>
      </c>
      <c r="BP100" s="396" t="str">
        <f t="shared" si="14"/>
        <v/>
      </c>
      <c r="BQ100" s="396" t="str">
        <f t="shared" si="15"/>
        <v/>
      </c>
      <c r="BR100" s="396" t="str">
        <f t="shared" si="16"/>
        <v/>
      </c>
      <c r="BS100" s="396" t="str">
        <f t="shared" si="17"/>
        <v/>
      </c>
      <c r="BT100" s="396" t="str">
        <f t="shared" si="18"/>
        <v/>
      </c>
      <c r="BU100" s="396" t="str">
        <f t="shared" si="19"/>
        <v/>
      </c>
      <c r="BV100" s="396" t="str">
        <f t="shared" si="20"/>
        <v/>
      </c>
      <c r="BW100" s="396" t="str">
        <f t="shared" si="21"/>
        <v/>
      </c>
      <c r="BX100" s="396" t="str">
        <f t="shared" si="22"/>
        <v/>
      </c>
      <c r="BY100" s="396" t="str">
        <f t="shared" si="23"/>
        <v/>
      </c>
      <c r="BZ100" s="397"/>
    </row>
    <row r="101" spans="1:78" ht="15" customHeight="1">
      <c r="A101" s="386">
        <f>IF('Statement of Marks'!A105="","",'Statement of Marks'!A105)</f>
        <v>98</v>
      </c>
      <c r="B101" s="840" t="str">
        <f>IF('Statement of Marks'!B105="","",'Statement of Marks'!B105)</f>
        <v/>
      </c>
      <c r="C101" s="841" t="str">
        <f>IF('Statement of Marks'!C105="","",'Statement of Marks'!C105)</f>
        <v/>
      </c>
      <c r="D101" s="833" t="str">
        <f>IF('Statement of Marks'!D105="","",'Statement of Marks'!D105)</f>
        <v/>
      </c>
      <c r="E101" s="387" t="str">
        <f>IF('Statement of Marks'!E105="","",'Statement of Marks'!E105)</f>
        <v/>
      </c>
      <c r="F101" s="387" t="str">
        <f>IF('Statement of Marks'!F105="","",'Statement of Marks'!F105)</f>
        <v/>
      </c>
      <c r="G101" s="387" t="str">
        <f>IF('Statement of Marks'!G105="","",'Statement of Marks'!G105)</f>
        <v/>
      </c>
      <c r="H101" s="388" t="str">
        <f>IF('Statement of Marks'!H105="","",'Statement of Marks'!H105)</f>
        <v/>
      </c>
      <c r="I101" s="388" t="str">
        <f>IF('Statement of Marks'!I105="","",'Statement of Marks'!I105)</f>
        <v/>
      </c>
      <c r="J101" s="598" t="str">
        <f>IF('Statement of Marks'!GY105="","",'Statement of Marks'!GY105)</f>
        <v/>
      </c>
      <c r="K101" s="834" t="str">
        <f>IF(B101="","",IF('Statement of Marks'!GZ105="","",'Statement of Marks'!GZ105))</f>
        <v/>
      </c>
      <c r="L101" s="839" t="str">
        <f>IF('Statement of Marks'!HC105="","",'Statement of Marks'!HC105)</f>
        <v/>
      </c>
      <c r="M101" s="389" t="str">
        <f>IF('Statement of Marks'!HB105="","",'Statement of Marks'!HB105)</f>
        <v/>
      </c>
      <c r="N101" s="610" t="str">
        <f>IF('Statement of Marks'!HD105="","",'Statement of Marks'!HD105)</f>
        <v/>
      </c>
      <c r="O101" s="390" t="str">
        <f>IF(J101="FAIL","",IF('Statement of Marks'!GU105="","",'Statement of Marks'!GU105))</f>
        <v xml:space="preserve">    </v>
      </c>
      <c r="P101" s="391" t="str">
        <f>IF('Supp. Result Entry'!AS104="","",'Supp. Result Entry'!AS104)</f>
        <v/>
      </c>
      <c r="Q101" s="392" t="str">
        <f>IF('Supp. Result Entry'!AT104="","",'Supp. Result Entry'!AT104)</f>
        <v/>
      </c>
      <c r="R101" s="393" t="str">
        <f>IF('Statement of Marks'!HG105="","",'Statement of Marks'!HG105)</f>
        <v/>
      </c>
      <c r="S101" s="394" t="str">
        <f>IF('Statement of Marks'!FH105="","",'Statement of Marks'!FH105)</f>
        <v/>
      </c>
      <c r="BM101" s="395" t="str">
        <f>'Statement of Marks'!E105</f>
        <v/>
      </c>
      <c r="BN101" s="396" t="str">
        <f t="shared" si="12"/>
        <v/>
      </c>
      <c r="BO101" s="396" t="str">
        <f t="shared" si="13"/>
        <v/>
      </c>
      <c r="BP101" s="396" t="str">
        <f t="shared" si="14"/>
        <v/>
      </c>
      <c r="BQ101" s="396" t="str">
        <f t="shared" si="15"/>
        <v/>
      </c>
      <c r="BR101" s="396" t="str">
        <f t="shared" si="16"/>
        <v/>
      </c>
      <c r="BS101" s="396" t="str">
        <f t="shared" si="17"/>
        <v/>
      </c>
      <c r="BT101" s="396" t="str">
        <f t="shared" si="18"/>
        <v/>
      </c>
      <c r="BU101" s="396" t="str">
        <f t="shared" si="19"/>
        <v/>
      </c>
      <c r="BV101" s="396" t="str">
        <f t="shared" si="20"/>
        <v/>
      </c>
      <c r="BW101" s="396" t="str">
        <f t="shared" si="21"/>
        <v/>
      </c>
      <c r="BX101" s="396" t="str">
        <f t="shared" si="22"/>
        <v/>
      </c>
      <c r="BY101" s="396" t="str">
        <f t="shared" si="23"/>
        <v/>
      </c>
      <c r="BZ101" s="397"/>
    </row>
    <row r="102" spans="1:78" ht="15" customHeight="1">
      <c r="A102" s="386">
        <f>IF('Statement of Marks'!A106="","",'Statement of Marks'!A106)</f>
        <v>99</v>
      </c>
      <c r="B102" s="840" t="str">
        <f>IF('Statement of Marks'!B106="","",'Statement of Marks'!B106)</f>
        <v/>
      </c>
      <c r="C102" s="841" t="str">
        <f>IF('Statement of Marks'!C106="","",'Statement of Marks'!C106)</f>
        <v/>
      </c>
      <c r="D102" s="833" t="str">
        <f>IF('Statement of Marks'!D106="","",'Statement of Marks'!D106)</f>
        <v/>
      </c>
      <c r="E102" s="387" t="str">
        <f>IF('Statement of Marks'!E106="","",'Statement of Marks'!E106)</f>
        <v/>
      </c>
      <c r="F102" s="387" t="str">
        <f>IF('Statement of Marks'!F106="","",'Statement of Marks'!F106)</f>
        <v/>
      </c>
      <c r="G102" s="387" t="str">
        <f>IF('Statement of Marks'!G106="","",'Statement of Marks'!G106)</f>
        <v/>
      </c>
      <c r="H102" s="388" t="str">
        <f>IF('Statement of Marks'!H106="","",'Statement of Marks'!H106)</f>
        <v/>
      </c>
      <c r="I102" s="388" t="str">
        <f>IF('Statement of Marks'!I106="","",'Statement of Marks'!I106)</f>
        <v/>
      </c>
      <c r="J102" s="598" t="str">
        <f>IF('Statement of Marks'!GY106="","",'Statement of Marks'!GY106)</f>
        <v/>
      </c>
      <c r="K102" s="834" t="str">
        <f>IF(B102="","",IF('Statement of Marks'!GZ106="","",'Statement of Marks'!GZ106))</f>
        <v/>
      </c>
      <c r="L102" s="839" t="str">
        <f>IF('Statement of Marks'!HC106="","",'Statement of Marks'!HC106)</f>
        <v/>
      </c>
      <c r="M102" s="389" t="str">
        <f>IF('Statement of Marks'!HB106="","",'Statement of Marks'!HB106)</f>
        <v/>
      </c>
      <c r="N102" s="610" t="str">
        <f>IF('Statement of Marks'!HD106="","",'Statement of Marks'!HD106)</f>
        <v/>
      </c>
      <c r="O102" s="390" t="str">
        <f>IF(J102="FAIL","",IF('Statement of Marks'!GU106="","",'Statement of Marks'!GU106))</f>
        <v xml:space="preserve">    </v>
      </c>
      <c r="P102" s="391" t="str">
        <f>IF('Supp. Result Entry'!AS105="","",'Supp. Result Entry'!AS105)</f>
        <v/>
      </c>
      <c r="Q102" s="392" t="str">
        <f>IF('Supp. Result Entry'!AT105="","",'Supp. Result Entry'!AT105)</f>
        <v/>
      </c>
      <c r="R102" s="393" t="str">
        <f>IF('Statement of Marks'!HG106="","",'Statement of Marks'!HG106)</f>
        <v/>
      </c>
      <c r="S102" s="394" t="str">
        <f>IF('Statement of Marks'!FH106="","",'Statement of Marks'!FH106)</f>
        <v/>
      </c>
      <c r="BM102" s="395" t="str">
        <f>'Statement of Marks'!E106</f>
        <v/>
      </c>
      <c r="BN102" s="396" t="str">
        <f t="shared" si="12"/>
        <v/>
      </c>
      <c r="BO102" s="396" t="str">
        <f t="shared" si="13"/>
        <v/>
      </c>
      <c r="BP102" s="396" t="str">
        <f t="shared" si="14"/>
        <v/>
      </c>
      <c r="BQ102" s="396" t="str">
        <f t="shared" si="15"/>
        <v/>
      </c>
      <c r="BR102" s="396" t="str">
        <f t="shared" si="16"/>
        <v/>
      </c>
      <c r="BS102" s="396" t="str">
        <f t="shared" si="17"/>
        <v/>
      </c>
      <c r="BT102" s="396" t="str">
        <f t="shared" si="18"/>
        <v/>
      </c>
      <c r="BU102" s="396" t="str">
        <f t="shared" si="19"/>
        <v/>
      </c>
      <c r="BV102" s="396" t="str">
        <f t="shared" si="20"/>
        <v/>
      </c>
      <c r="BW102" s="396" t="str">
        <f t="shared" si="21"/>
        <v/>
      </c>
      <c r="BX102" s="396" t="str">
        <f t="shared" si="22"/>
        <v/>
      </c>
      <c r="BY102" s="396" t="str">
        <f t="shared" si="23"/>
        <v/>
      </c>
      <c r="BZ102" s="397"/>
    </row>
    <row r="103" spans="1:78" ht="15" customHeight="1">
      <c r="A103" s="386">
        <f>IF('Statement of Marks'!A107="","",'Statement of Marks'!A107)</f>
        <v>100</v>
      </c>
      <c r="B103" s="840" t="str">
        <f>IF('Statement of Marks'!B107="","",'Statement of Marks'!B107)</f>
        <v/>
      </c>
      <c r="C103" s="841" t="str">
        <f>IF('Statement of Marks'!C107="","",'Statement of Marks'!C107)</f>
        <v/>
      </c>
      <c r="D103" s="833" t="str">
        <f>IF('Statement of Marks'!D107="","",'Statement of Marks'!D107)</f>
        <v/>
      </c>
      <c r="E103" s="387" t="str">
        <f>IF('Statement of Marks'!E107="","",'Statement of Marks'!E107)</f>
        <v/>
      </c>
      <c r="F103" s="387" t="str">
        <f>IF('Statement of Marks'!F107="","",'Statement of Marks'!F107)</f>
        <v/>
      </c>
      <c r="G103" s="387" t="str">
        <f>IF('Statement of Marks'!G107="","",'Statement of Marks'!G107)</f>
        <v/>
      </c>
      <c r="H103" s="388" t="str">
        <f>IF('Statement of Marks'!H107="","",'Statement of Marks'!H107)</f>
        <v/>
      </c>
      <c r="I103" s="388" t="str">
        <f>IF('Statement of Marks'!I107="","",'Statement of Marks'!I107)</f>
        <v/>
      </c>
      <c r="J103" s="598" t="str">
        <f>IF('Statement of Marks'!GY107="","",'Statement of Marks'!GY107)</f>
        <v/>
      </c>
      <c r="K103" s="834" t="str">
        <f>IF(B103="","",IF('Statement of Marks'!GZ107="","",'Statement of Marks'!GZ107))</f>
        <v/>
      </c>
      <c r="L103" s="839" t="str">
        <f>IF('Statement of Marks'!HC107="","",'Statement of Marks'!HC107)</f>
        <v/>
      </c>
      <c r="M103" s="389" t="str">
        <f>IF('Statement of Marks'!HB107="","",'Statement of Marks'!HB107)</f>
        <v/>
      </c>
      <c r="N103" s="610" t="str">
        <f>IF('Statement of Marks'!HD107="","",'Statement of Marks'!HD107)</f>
        <v/>
      </c>
      <c r="O103" s="390" t="str">
        <f>IF(J103="FAIL","",IF('Statement of Marks'!GU107="","",'Statement of Marks'!GU107))</f>
        <v xml:space="preserve">    </v>
      </c>
      <c r="P103" s="391" t="str">
        <f>IF('Supp. Result Entry'!AS106="","",'Supp. Result Entry'!AS106)</f>
        <v/>
      </c>
      <c r="Q103" s="392" t="str">
        <f>IF('Supp. Result Entry'!AT106="","",'Supp. Result Entry'!AT106)</f>
        <v/>
      </c>
      <c r="R103" s="393" t="str">
        <f>IF('Statement of Marks'!HG107="","",'Statement of Marks'!HG107)</f>
        <v/>
      </c>
      <c r="S103" s="394" t="str">
        <f>IF('Statement of Marks'!FH107="","",'Statement of Marks'!FH107)</f>
        <v/>
      </c>
      <c r="BM103" s="395" t="str">
        <f>'Statement of Marks'!E107</f>
        <v/>
      </c>
      <c r="BN103" s="396" t="str">
        <f t="shared" si="12"/>
        <v/>
      </c>
      <c r="BO103" s="396" t="str">
        <f t="shared" si="13"/>
        <v/>
      </c>
      <c r="BP103" s="396" t="str">
        <f t="shared" si="14"/>
        <v/>
      </c>
      <c r="BQ103" s="396" t="str">
        <f t="shared" si="15"/>
        <v/>
      </c>
      <c r="BR103" s="396" t="str">
        <f t="shared" si="16"/>
        <v/>
      </c>
      <c r="BS103" s="396" t="str">
        <f t="shared" si="17"/>
        <v/>
      </c>
      <c r="BT103" s="396" t="str">
        <f t="shared" si="18"/>
        <v/>
      </c>
      <c r="BU103" s="396" t="str">
        <f t="shared" si="19"/>
        <v/>
      </c>
      <c r="BV103" s="396" t="str">
        <f t="shared" si="20"/>
        <v/>
      </c>
      <c r="BW103" s="396" t="str">
        <f t="shared" si="21"/>
        <v/>
      </c>
      <c r="BX103" s="396" t="str">
        <f t="shared" si="22"/>
        <v/>
      </c>
      <c r="BY103" s="396" t="str">
        <f t="shared" si="23"/>
        <v/>
      </c>
      <c r="BZ103" s="397"/>
    </row>
    <row r="104" spans="1:78" ht="15" customHeight="1">
      <c r="A104" s="386">
        <f>IF('Statement of Marks'!A108="","",'Statement of Marks'!A108)</f>
        <v>101</v>
      </c>
      <c r="B104" s="840" t="str">
        <f>IF('Statement of Marks'!B108="","",'Statement of Marks'!B108)</f>
        <v/>
      </c>
      <c r="C104" s="841" t="str">
        <f>IF('Statement of Marks'!C108="","",'Statement of Marks'!C108)</f>
        <v/>
      </c>
      <c r="D104" s="833" t="str">
        <f>IF('Statement of Marks'!D108="","",'Statement of Marks'!D108)</f>
        <v/>
      </c>
      <c r="E104" s="387" t="str">
        <f>IF('Statement of Marks'!E108="","",'Statement of Marks'!E108)</f>
        <v/>
      </c>
      <c r="F104" s="387" t="str">
        <f>IF('Statement of Marks'!F108="","",'Statement of Marks'!F108)</f>
        <v/>
      </c>
      <c r="G104" s="387" t="str">
        <f>IF('Statement of Marks'!G108="","",'Statement of Marks'!G108)</f>
        <v/>
      </c>
      <c r="H104" s="388" t="str">
        <f>IF('Statement of Marks'!H108="","",'Statement of Marks'!H108)</f>
        <v/>
      </c>
      <c r="I104" s="388" t="str">
        <f>IF('Statement of Marks'!I108="","",'Statement of Marks'!I108)</f>
        <v/>
      </c>
      <c r="J104" s="598" t="str">
        <f>IF('Statement of Marks'!GY108="","",'Statement of Marks'!GY108)</f>
        <v/>
      </c>
      <c r="K104" s="834" t="str">
        <f>IF(B104="","",IF('Statement of Marks'!GZ108="","",'Statement of Marks'!GZ108))</f>
        <v/>
      </c>
      <c r="L104" s="839" t="str">
        <f>IF('Statement of Marks'!HC108="","",'Statement of Marks'!HC108)</f>
        <v/>
      </c>
      <c r="M104" s="389" t="str">
        <f>IF('Statement of Marks'!HB108="","",'Statement of Marks'!HB108)</f>
        <v/>
      </c>
      <c r="N104" s="610" t="str">
        <f>IF('Statement of Marks'!HD108="","",'Statement of Marks'!HD108)</f>
        <v/>
      </c>
      <c r="O104" s="390" t="str">
        <f>IF(J104="FAIL","",IF('Statement of Marks'!GU108="","",'Statement of Marks'!GU108))</f>
        <v xml:space="preserve">    </v>
      </c>
      <c r="P104" s="391" t="str">
        <f>IF('Supp. Result Entry'!AS107="","",'Supp. Result Entry'!AS107)</f>
        <v/>
      </c>
      <c r="Q104" s="392" t="str">
        <f>IF('Supp. Result Entry'!AT107="","",'Supp. Result Entry'!AT107)</f>
        <v/>
      </c>
      <c r="R104" s="393" t="str">
        <f>IF('Statement of Marks'!HG108="","",'Statement of Marks'!HG108)</f>
        <v/>
      </c>
      <c r="S104" s="394" t="str">
        <f>IF('Statement of Marks'!FH108="","",'Statement of Marks'!FH108)</f>
        <v/>
      </c>
      <c r="BM104" s="395" t="str">
        <f>'Statement of Marks'!E108</f>
        <v/>
      </c>
      <c r="BN104" s="396" t="str">
        <f t="shared" si="12"/>
        <v/>
      </c>
      <c r="BO104" s="396" t="str">
        <f t="shared" si="13"/>
        <v/>
      </c>
      <c r="BP104" s="396" t="str">
        <f t="shared" si="14"/>
        <v/>
      </c>
      <c r="BQ104" s="396" t="str">
        <f t="shared" si="15"/>
        <v/>
      </c>
      <c r="BR104" s="396" t="str">
        <f t="shared" si="16"/>
        <v/>
      </c>
      <c r="BS104" s="396" t="str">
        <f t="shared" si="17"/>
        <v/>
      </c>
      <c r="BT104" s="396" t="str">
        <f t="shared" si="18"/>
        <v/>
      </c>
      <c r="BU104" s="396" t="str">
        <f t="shared" si="19"/>
        <v/>
      </c>
      <c r="BV104" s="396" t="str">
        <f t="shared" si="20"/>
        <v/>
      </c>
      <c r="BW104" s="396" t="str">
        <f t="shared" si="21"/>
        <v/>
      </c>
      <c r="BX104" s="396" t="str">
        <f t="shared" si="22"/>
        <v/>
      </c>
      <c r="BY104" s="396" t="str">
        <f t="shared" si="23"/>
        <v/>
      </c>
      <c r="BZ104" s="397"/>
    </row>
    <row r="105" spans="1:78" ht="15" customHeight="1">
      <c r="A105" s="386">
        <f>IF('Statement of Marks'!A109="","",'Statement of Marks'!A109)</f>
        <v>102</v>
      </c>
      <c r="B105" s="840" t="str">
        <f>IF('Statement of Marks'!B109="","",'Statement of Marks'!B109)</f>
        <v/>
      </c>
      <c r="C105" s="841" t="str">
        <f>IF('Statement of Marks'!C109="","",'Statement of Marks'!C109)</f>
        <v/>
      </c>
      <c r="D105" s="833" t="str">
        <f>IF('Statement of Marks'!D109="","",'Statement of Marks'!D109)</f>
        <v/>
      </c>
      <c r="E105" s="387" t="str">
        <f>IF('Statement of Marks'!E109="","",'Statement of Marks'!E109)</f>
        <v/>
      </c>
      <c r="F105" s="387" t="str">
        <f>IF('Statement of Marks'!F109="","",'Statement of Marks'!F109)</f>
        <v/>
      </c>
      <c r="G105" s="387" t="str">
        <f>IF('Statement of Marks'!G109="","",'Statement of Marks'!G109)</f>
        <v/>
      </c>
      <c r="H105" s="388" t="str">
        <f>IF('Statement of Marks'!H109="","",'Statement of Marks'!H109)</f>
        <v/>
      </c>
      <c r="I105" s="388" t="str">
        <f>IF('Statement of Marks'!I109="","",'Statement of Marks'!I109)</f>
        <v/>
      </c>
      <c r="J105" s="598" t="str">
        <f>IF('Statement of Marks'!GY109="","",'Statement of Marks'!GY109)</f>
        <v/>
      </c>
      <c r="K105" s="834" t="str">
        <f>IF(B105="","",IF('Statement of Marks'!GZ109="","",'Statement of Marks'!GZ109))</f>
        <v/>
      </c>
      <c r="L105" s="839" t="str">
        <f>IF('Statement of Marks'!HC109="","",'Statement of Marks'!HC109)</f>
        <v/>
      </c>
      <c r="M105" s="389" t="str">
        <f>IF('Statement of Marks'!HB109="","",'Statement of Marks'!HB109)</f>
        <v/>
      </c>
      <c r="N105" s="610" t="str">
        <f>IF('Statement of Marks'!HD109="","",'Statement of Marks'!HD109)</f>
        <v/>
      </c>
      <c r="O105" s="390" t="str">
        <f>IF(J105="FAIL","",IF('Statement of Marks'!GU109="","",'Statement of Marks'!GU109))</f>
        <v xml:space="preserve">    </v>
      </c>
      <c r="P105" s="391" t="str">
        <f>IF('Supp. Result Entry'!AS108="","",'Supp. Result Entry'!AS108)</f>
        <v/>
      </c>
      <c r="Q105" s="392" t="str">
        <f>IF('Supp. Result Entry'!AT108="","",'Supp. Result Entry'!AT108)</f>
        <v/>
      </c>
      <c r="R105" s="393" t="str">
        <f>IF('Statement of Marks'!HG109="","",'Statement of Marks'!HG109)</f>
        <v/>
      </c>
      <c r="S105" s="394" t="str">
        <f>IF('Statement of Marks'!FH109="","",'Statement of Marks'!FH109)</f>
        <v/>
      </c>
      <c r="BM105" s="395" t="str">
        <f>'Statement of Marks'!E109</f>
        <v/>
      </c>
      <c r="BN105" s="396" t="str">
        <f t="shared" si="12"/>
        <v/>
      </c>
      <c r="BO105" s="396" t="str">
        <f t="shared" si="13"/>
        <v/>
      </c>
      <c r="BP105" s="396" t="str">
        <f t="shared" si="14"/>
        <v/>
      </c>
      <c r="BQ105" s="396" t="str">
        <f t="shared" si="15"/>
        <v/>
      </c>
      <c r="BR105" s="396" t="str">
        <f t="shared" si="16"/>
        <v/>
      </c>
      <c r="BS105" s="396" t="str">
        <f t="shared" si="17"/>
        <v/>
      </c>
      <c r="BT105" s="396" t="str">
        <f t="shared" si="18"/>
        <v/>
      </c>
      <c r="BU105" s="396" t="str">
        <f t="shared" si="19"/>
        <v/>
      </c>
      <c r="BV105" s="396" t="str">
        <f t="shared" si="20"/>
        <v/>
      </c>
      <c r="BW105" s="396" t="str">
        <f t="shared" si="21"/>
        <v/>
      </c>
      <c r="BX105" s="396" t="str">
        <f t="shared" si="22"/>
        <v/>
      </c>
      <c r="BY105" s="396" t="str">
        <f t="shared" si="23"/>
        <v/>
      </c>
      <c r="BZ105" s="397"/>
    </row>
    <row r="106" spans="1:78" ht="15" customHeight="1">
      <c r="A106" s="386">
        <f>IF('Statement of Marks'!A110="","",'Statement of Marks'!A110)</f>
        <v>103</v>
      </c>
      <c r="B106" s="840" t="str">
        <f>IF('Statement of Marks'!B110="","",'Statement of Marks'!B110)</f>
        <v/>
      </c>
      <c r="C106" s="841" t="str">
        <f>IF('Statement of Marks'!C110="","",'Statement of Marks'!C110)</f>
        <v/>
      </c>
      <c r="D106" s="833" t="str">
        <f>IF('Statement of Marks'!D110="","",'Statement of Marks'!D110)</f>
        <v/>
      </c>
      <c r="E106" s="387" t="str">
        <f>IF('Statement of Marks'!E110="","",'Statement of Marks'!E110)</f>
        <v/>
      </c>
      <c r="F106" s="387" t="str">
        <f>IF('Statement of Marks'!F110="","",'Statement of Marks'!F110)</f>
        <v/>
      </c>
      <c r="G106" s="387" t="str">
        <f>IF('Statement of Marks'!G110="","",'Statement of Marks'!G110)</f>
        <v/>
      </c>
      <c r="H106" s="388" t="str">
        <f>IF('Statement of Marks'!H110="","",'Statement of Marks'!H110)</f>
        <v/>
      </c>
      <c r="I106" s="388" t="str">
        <f>IF('Statement of Marks'!I110="","",'Statement of Marks'!I110)</f>
        <v/>
      </c>
      <c r="J106" s="598" t="str">
        <f>IF('Statement of Marks'!GY110="","",'Statement of Marks'!GY110)</f>
        <v/>
      </c>
      <c r="K106" s="834" t="str">
        <f>IF(B106="","",IF('Statement of Marks'!GZ110="","",'Statement of Marks'!GZ110))</f>
        <v/>
      </c>
      <c r="L106" s="839" t="str">
        <f>IF('Statement of Marks'!HC110="","",'Statement of Marks'!HC110)</f>
        <v/>
      </c>
      <c r="M106" s="389" t="str">
        <f>IF('Statement of Marks'!HB110="","",'Statement of Marks'!HB110)</f>
        <v/>
      </c>
      <c r="N106" s="610" t="str">
        <f>IF('Statement of Marks'!HD110="","",'Statement of Marks'!HD110)</f>
        <v/>
      </c>
      <c r="O106" s="390" t="str">
        <f>IF(J106="FAIL","",IF('Statement of Marks'!GU110="","",'Statement of Marks'!GU110))</f>
        <v xml:space="preserve">    </v>
      </c>
      <c r="P106" s="391" t="str">
        <f>IF('Supp. Result Entry'!AS109="","",'Supp. Result Entry'!AS109)</f>
        <v/>
      </c>
      <c r="Q106" s="392" t="str">
        <f>IF('Supp. Result Entry'!AT109="","",'Supp. Result Entry'!AT109)</f>
        <v/>
      </c>
      <c r="R106" s="393" t="str">
        <f>IF('Statement of Marks'!HG110="","",'Statement of Marks'!HG110)</f>
        <v/>
      </c>
      <c r="S106" s="394" t="str">
        <f>IF('Statement of Marks'!FH110="","",'Statement of Marks'!FH110)</f>
        <v/>
      </c>
      <c r="BM106" s="395" t="str">
        <f>'Statement of Marks'!E110</f>
        <v/>
      </c>
      <c r="BN106" s="396" t="str">
        <f t="shared" si="12"/>
        <v/>
      </c>
      <c r="BO106" s="396" t="str">
        <f t="shared" si="13"/>
        <v/>
      </c>
      <c r="BP106" s="396" t="str">
        <f t="shared" si="14"/>
        <v/>
      </c>
      <c r="BQ106" s="396" t="str">
        <f t="shared" si="15"/>
        <v/>
      </c>
      <c r="BR106" s="396" t="str">
        <f t="shared" si="16"/>
        <v/>
      </c>
      <c r="BS106" s="396" t="str">
        <f t="shared" si="17"/>
        <v/>
      </c>
      <c r="BT106" s="396" t="str">
        <f t="shared" si="18"/>
        <v/>
      </c>
      <c r="BU106" s="396" t="str">
        <f t="shared" si="19"/>
        <v/>
      </c>
      <c r="BV106" s="396" t="str">
        <f t="shared" si="20"/>
        <v/>
      </c>
      <c r="BW106" s="396" t="str">
        <f t="shared" si="21"/>
        <v/>
      </c>
      <c r="BX106" s="396" t="str">
        <f t="shared" si="22"/>
        <v/>
      </c>
      <c r="BY106" s="396" t="str">
        <f t="shared" si="23"/>
        <v/>
      </c>
      <c r="BZ106" s="397"/>
    </row>
    <row r="107" spans="1:78" ht="15" customHeight="1">
      <c r="A107" s="386">
        <f>IF('Statement of Marks'!A111="","",'Statement of Marks'!A111)</f>
        <v>104</v>
      </c>
      <c r="B107" s="840" t="str">
        <f>IF('Statement of Marks'!B111="","",'Statement of Marks'!B111)</f>
        <v/>
      </c>
      <c r="C107" s="841" t="str">
        <f>IF('Statement of Marks'!C111="","",'Statement of Marks'!C111)</f>
        <v/>
      </c>
      <c r="D107" s="833" t="str">
        <f>IF('Statement of Marks'!D111="","",'Statement of Marks'!D111)</f>
        <v/>
      </c>
      <c r="E107" s="387" t="str">
        <f>IF('Statement of Marks'!E111="","",'Statement of Marks'!E111)</f>
        <v/>
      </c>
      <c r="F107" s="387" t="str">
        <f>IF('Statement of Marks'!F111="","",'Statement of Marks'!F111)</f>
        <v/>
      </c>
      <c r="G107" s="387" t="str">
        <f>IF('Statement of Marks'!G111="","",'Statement of Marks'!G111)</f>
        <v/>
      </c>
      <c r="H107" s="388" t="str">
        <f>IF('Statement of Marks'!H111="","",'Statement of Marks'!H111)</f>
        <v/>
      </c>
      <c r="I107" s="388" t="str">
        <f>IF('Statement of Marks'!I111="","",'Statement of Marks'!I111)</f>
        <v/>
      </c>
      <c r="J107" s="598" t="str">
        <f>IF('Statement of Marks'!GY111="","",'Statement of Marks'!GY111)</f>
        <v/>
      </c>
      <c r="K107" s="834" t="str">
        <f>IF(B107="","",IF('Statement of Marks'!GZ111="","",'Statement of Marks'!GZ111))</f>
        <v/>
      </c>
      <c r="L107" s="839" t="str">
        <f>IF('Statement of Marks'!HC111="","",'Statement of Marks'!HC111)</f>
        <v/>
      </c>
      <c r="M107" s="389" t="str">
        <f>IF('Statement of Marks'!HB111="","",'Statement of Marks'!HB111)</f>
        <v/>
      </c>
      <c r="N107" s="610" t="str">
        <f>IF('Statement of Marks'!HD111="","",'Statement of Marks'!HD111)</f>
        <v/>
      </c>
      <c r="O107" s="390" t="str">
        <f>IF(J107="FAIL","",IF('Statement of Marks'!GU111="","",'Statement of Marks'!GU111))</f>
        <v xml:space="preserve">    </v>
      </c>
      <c r="P107" s="391" t="str">
        <f>IF('Supp. Result Entry'!AS110="","",'Supp. Result Entry'!AS110)</f>
        <v/>
      </c>
      <c r="Q107" s="392" t="str">
        <f>IF('Supp. Result Entry'!AT110="","",'Supp. Result Entry'!AT110)</f>
        <v/>
      </c>
      <c r="R107" s="393" t="str">
        <f>IF('Statement of Marks'!HG111="","",'Statement of Marks'!HG111)</f>
        <v/>
      </c>
      <c r="S107" s="394" t="str">
        <f>IF('Statement of Marks'!FH111="","",'Statement of Marks'!FH111)</f>
        <v/>
      </c>
      <c r="BM107" s="395" t="str">
        <f>'Statement of Marks'!E111</f>
        <v/>
      </c>
      <c r="BN107" s="396" t="str">
        <f t="shared" si="12"/>
        <v/>
      </c>
      <c r="BO107" s="396" t="str">
        <f t="shared" si="13"/>
        <v/>
      </c>
      <c r="BP107" s="396" t="str">
        <f t="shared" si="14"/>
        <v/>
      </c>
      <c r="BQ107" s="396" t="str">
        <f t="shared" si="15"/>
        <v/>
      </c>
      <c r="BR107" s="396" t="str">
        <f t="shared" si="16"/>
        <v/>
      </c>
      <c r="BS107" s="396" t="str">
        <f t="shared" si="17"/>
        <v/>
      </c>
      <c r="BT107" s="396" t="str">
        <f t="shared" si="18"/>
        <v/>
      </c>
      <c r="BU107" s="396" t="str">
        <f t="shared" si="19"/>
        <v/>
      </c>
      <c r="BV107" s="396" t="str">
        <f t="shared" si="20"/>
        <v/>
      </c>
      <c r="BW107" s="396" t="str">
        <f t="shared" si="21"/>
        <v/>
      </c>
      <c r="BX107" s="396" t="str">
        <f t="shared" si="22"/>
        <v/>
      </c>
      <c r="BY107" s="396" t="str">
        <f t="shared" si="23"/>
        <v/>
      </c>
      <c r="BZ107" s="397"/>
    </row>
    <row r="108" spans="1:78" ht="15" customHeight="1">
      <c r="A108" s="386">
        <f>IF('Statement of Marks'!A112="","",'Statement of Marks'!A112)</f>
        <v>105</v>
      </c>
      <c r="B108" s="840" t="str">
        <f>IF('Statement of Marks'!B112="","",'Statement of Marks'!B112)</f>
        <v/>
      </c>
      <c r="C108" s="841" t="str">
        <f>IF('Statement of Marks'!C112="","",'Statement of Marks'!C112)</f>
        <v/>
      </c>
      <c r="D108" s="833" t="str">
        <f>IF('Statement of Marks'!D112="","",'Statement of Marks'!D112)</f>
        <v/>
      </c>
      <c r="E108" s="387" t="str">
        <f>IF('Statement of Marks'!E112="","",'Statement of Marks'!E112)</f>
        <v/>
      </c>
      <c r="F108" s="387" t="str">
        <f>IF('Statement of Marks'!F112="","",'Statement of Marks'!F112)</f>
        <v/>
      </c>
      <c r="G108" s="387" t="str">
        <f>IF('Statement of Marks'!G112="","",'Statement of Marks'!G112)</f>
        <v/>
      </c>
      <c r="H108" s="388" t="str">
        <f>IF('Statement of Marks'!H112="","",'Statement of Marks'!H112)</f>
        <v/>
      </c>
      <c r="I108" s="388" t="str">
        <f>IF('Statement of Marks'!I112="","",'Statement of Marks'!I112)</f>
        <v/>
      </c>
      <c r="J108" s="598" t="str">
        <f>IF('Statement of Marks'!GY112="","",'Statement of Marks'!GY112)</f>
        <v/>
      </c>
      <c r="K108" s="834" t="str">
        <f>IF(B108="","",IF('Statement of Marks'!GZ112="","",'Statement of Marks'!GZ112))</f>
        <v/>
      </c>
      <c r="L108" s="839" t="str">
        <f>IF('Statement of Marks'!HC112="","",'Statement of Marks'!HC112)</f>
        <v/>
      </c>
      <c r="M108" s="389" t="str">
        <f>IF('Statement of Marks'!HB112="","",'Statement of Marks'!HB112)</f>
        <v/>
      </c>
      <c r="N108" s="610" t="str">
        <f>IF('Statement of Marks'!HD112="","",'Statement of Marks'!HD112)</f>
        <v/>
      </c>
      <c r="O108" s="390" t="str">
        <f>IF(J108="FAIL","",IF('Statement of Marks'!GU112="","",'Statement of Marks'!GU112))</f>
        <v xml:space="preserve">    </v>
      </c>
      <c r="P108" s="391" t="str">
        <f>IF('Supp. Result Entry'!AS111="","",'Supp. Result Entry'!AS111)</f>
        <v/>
      </c>
      <c r="Q108" s="392" t="str">
        <f>IF('Supp. Result Entry'!AT111="","",'Supp. Result Entry'!AT111)</f>
        <v/>
      </c>
      <c r="R108" s="393" t="str">
        <f>IF('Statement of Marks'!HG112="","",'Statement of Marks'!HG112)</f>
        <v/>
      </c>
      <c r="S108" s="394" t="str">
        <f>IF('Statement of Marks'!FH112="","",'Statement of Marks'!FH112)</f>
        <v/>
      </c>
      <c r="BM108" s="395" t="str">
        <f>'Statement of Marks'!E112</f>
        <v/>
      </c>
      <c r="BN108" s="396" t="str">
        <f t="shared" si="12"/>
        <v/>
      </c>
      <c r="BO108" s="396" t="str">
        <f t="shared" si="13"/>
        <v/>
      </c>
      <c r="BP108" s="396" t="str">
        <f t="shared" si="14"/>
        <v/>
      </c>
      <c r="BQ108" s="396" t="str">
        <f t="shared" si="15"/>
        <v/>
      </c>
      <c r="BR108" s="396" t="str">
        <f t="shared" si="16"/>
        <v/>
      </c>
      <c r="BS108" s="396" t="str">
        <f t="shared" si="17"/>
        <v/>
      </c>
      <c r="BT108" s="396" t="str">
        <f t="shared" si="18"/>
        <v/>
      </c>
      <c r="BU108" s="396" t="str">
        <f t="shared" si="19"/>
        <v/>
      </c>
      <c r="BV108" s="396" t="str">
        <f t="shared" si="20"/>
        <v/>
      </c>
      <c r="BW108" s="396" t="str">
        <f t="shared" si="21"/>
        <v/>
      </c>
      <c r="BX108" s="396" t="str">
        <f t="shared" si="22"/>
        <v/>
      </c>
      <c r="BY108" s="396" t="str">
        <f t="shared" si="23"/>
        <v/>
      </c>
      <c r="BZ108" s="397"/>
    </row>
    <row r="109" spans="1:78" ht="15" customHeight="1">
      <c r="A109" s="386">
        <f>IF('Statement of Marks'!A113="","",'Statement of Marks'!A113)</f>
        <v>106</v>
      </c>
      <c r="B109" s="840" t="str">
        <f>IF('Statement of Marks'!B113="","",'Statement of Marks'!B113)</f>
        <v/>
      </c>
      <c r="C109" s="841" t="str">
        <f>IF('Statement of Marks'!C113="","",'Statement of Marks'!C113)</f>
        <v/>
      </c>
      <c r="D109" s="833" t="str">
        <f>IF('Statement of Marks'!D113="","",'Statement of Marks'!D113)</f>
        <v/>
      </c>
      <c r="E109" s="387" t="str">
        <f>IF('Statement of Marks'!E113="","",'Statement of Marks'!E113)</f>
        <v/>
      </c>
      <c r="F109" s="387" t="str">
        <f>IF('Statement of Marks'!F113="","",'Statement of Marks'!F113)</f>
        <v/>
      </c>
      <c r="G109" s="387" t="str">
        <f>IF('Statement of Marks'!G113="","",'Statement of Marks'!G113)</f>
        <v/>
      </c>
      <c r="H109" s="388" t="str">
        <f>IF('Statement of Marks'!H113="","",'Statement of Marks'!H113)</f>
        <v/>
      </c>
      <c r="I109" s="388" t="str">
        <f>IF('Statement of Marks'!I113="","",'Statement of Marks'!I113)</f>
        <v/>
      </c>
      <c r="J109" s="598" t="str">
        <f>IF('Statement of Marks'!GY113="","",'Statement of Marks'!GY113)</f>
        <v/>
      </c>
      <c r="K109" s="834" t="str">
        <f>IF(B109="","",IF('Statement of Marks'!GZ113="","",'Statement of Marks'!GZ113))</f>
        <v/>
      </c>
      <c r="L109" s="839" t="str">
        <f>IF('Statement of Marks'!HC113="","",'Statement of Marks'!HC113)</f>
        <v/>
      </c>
      <c r="M109" s="389" t="str">
        <f>IF('Statement of Marks'!HB113="","",'Statement of Marks'!HB113)</f>
        <v/>
      </c>
      <c r="N109" s="610" t="str">
        <f>IF('Statement of Marks'!HD113="","",'Statement of Marks'!HD113)</f>
        <v/>
      </c>
      <c r="O109" s="390" t="str">
        <f>IF(J109="FAIL","",IF('Statement of Marks'!GU113="","",'Statement of Marks'!GU113))</f>
        <v xml:space="preserve">    </v>
      </c>
      <c r="P109" s="391" t="str">
        <f>IF('Supp. Result Entry'!AS112="","",'Supp. Result Entry'!AS112)</f>
        <v/>
      </c>
      <c r="Q109" s="392" t="str">
        <f>IF('Supp. Result Entry'!AT112="","",'Supp. Result Entry'!AT112)</f>
        <v/>
      </c>
      <c r="R109" s="393" t="str">
        <f>IF('Statement of Marks'!HG113="","",'Statement of Marks'!HG113)</f>
        <v/>
      </c>
      <c r="S109" s="394" t="str">
        <f>IF('Statement of Marks'!FH113="","",'Statement of Marks'!FH113)</f>
        <v/>
      </c>
      <c r="BM109" s="395" t="str">
        <f>'Statement of Marks'!E113</f>
        <v/>
      </c>
      <c r="BN109" s="396" t="str">
        <f t="shared" si="12"/>
        <v/>
      </c>
      <c r="BO109" s="396" t="str">
        <f t="shared" si="13"/>
        <v/>
      </c>
      <c r="BP109" s="396" t="str">
        <f t="shared" si="14"/>
        <v/>
      </c>
      <c r="BQ109" s="396" t="str">
        <f t="shared" si="15"/>
        <v/>
      </c>
      <c r="BR109" s="396" t="str">
        <f t="shared" si="16"/>
        <v/>
      </c>
      <c r="BS109" s="396" t="str">
        <f t="shared" si="17"/>
        <v/>
      </c>
      <c r="BT109" s="396" t="str">
        <f t="shared" si="18"/>
        <v/>
      </c>
      <c r="BU109" s="396" t="str">
        <f t="shared" si="19"/>
        <v/>
      </c>
      <c r="BV109" s="396" t="str">
        <f t="shared" si="20"/>
        <v/>
      </c>
      <c r="BW109" s="396" t="str">
        <f t="shared" si="21"/>
        <v/>
      </c>
      <c r="BX109" s="396" t="str">
        <f t="shared" si="22"/>
        <v/>
      </c>
      <c r="BY109" s="396" t="str">
        <f t="shared" si="23"/>
        <v/>
      </c>
      <c r="BZ109" s="397"/>
    </row>
    <row r="110" spans="1:78" ht="15" customHeight="1">
      <c r="A110" s="386">
        <f>IF('Statement of Marks'!A114="","",'Statement of Marks'!A114)</f>
        <v>107</v>
      </c>
      <c r="B110" s="840" t="str">
        <f>IF('Statement of Marks'!B114="","",'Statement of Marks'!B114)</f>
        <v/>
      </c>
      <c r="C110" s="841" t="str">
        <f>IF('Statement of Marks'!C114="","",'Statement of Marks'!C114)</f>
        <v/>
      </c>
      <c r="D110" s="833" t="str">
        <f>IF('Statement of Marks'!D114="","",'Statement of Marks'!D114)</f>
        <v/>
      </c>
      <c r="E110" s="387" t="str">
        <f>IF('Statement of Marks'!E114="","",'Statement of Marks'!E114)</f>
        <v/>
      </c>
      <c r="F110" s="387" t="str">
        <f>IF('Statement of Marks'!F114="","",'Statement of Marks'!F114)</f>
        <v/>
      </c>
      <c r="G110" s="387" t="str">
        <f>IF('Statement of Marks'!G114="","",'Statement of Marks'!G114)</f>
        <v/>
      </c>
      <c r="H110" s="388" t="str">
        <f>IF('Statement of Marks'!H114="","",'Statement of Marks'!H114)</f>
        <v/>
      </c>
      <c r="I110" s="388" t="str">
        <f>IF('Statement of Marks'!I114="","",'Statement of Marks'!I114)</f>
        <v/>
      </c>
      <c r="J110" s="598" t="str">
        <f>IF('Statement of Marks'!GY114="","",'Statement of Marks'!GY114)</f>
        <v/>
      </c>
      <c r="K110" s="834" t="str">
        <f>IF(B110="","",IF('Statement of Marks'!GZ114="","",'Statement of Marks'!GZ114))</f>
        <v/>
      </c>
      <c r="L110" s="839" t="str">
        <f>IF('Statement of Marks'!HC114="","",'Statement of Marks'!HC114)</f>
        <v/>
      </c>
      <c r="M110" s="389" t="str">
        <f>IF('Statement of Marks'!HB114="","",'Statement of Marks'!HB114)</f>
        <v/>
      </c>
      <c r="N110" s="610" t="str">
        <f>IF('Statement of Marks'!HD114="","",'Statement of Marks'!HD114)</f>
        <v/>
      </c>
      <c r="O110" s="390" t="str">
        <f>IF(J110="FAIL","",IF('Statement of Marks'!GU114="","",'Statement of Marks'!GU114))</f>
        <v xml:space="preserve">    </v>
      </c>
      <c r="P110" s="391" t="str">
        <f>IF('Supp. Result Entry'!AS113="","",'Supp. Result Entry'!AS113)</f>
        <v/>
      </c>
      <c r="Q110" s="392" t="str">
        <f>IF('Supp. Result Entry'!AT113="","",'Supp. Result Entry'!AT113)</f>
        <v/>
      </c>
      <c r="R110" s="393" t="str">
        <f>IF('Statement of Marks'!HG114="","",'Statement of Marks'!HG114)</f>
        <v/>
      </c>
      <c r="S110" s="394" t="str">
        <f>IF('Statement of Marks'!FH114="","",'Statement of Marks'!FH114)</f>
        <v/>
      </c>
      <c r="BM110" s="395" t="str">
        <f>'Statement of Marks'!E114</f>
        <v/>
      </c>
      <c r="BN110" s="396" t="str">
        <f t="shared" si="12"/>
        <v/>
      </c>
      <c r="BO110" s="396" t="str">
        <f t="shared" si="13"/>
        <v/>
      </c>
      <c r="BP110" s="396" t="str">
        <f t="shared" si="14"/>
        <v/>
      </c>
      <c r="BQ110" s="396" t="str">
        <f t="shared" si="15"/>
        <v/>
      </c>
      <c r="BR110" s="396" t="str">
        <f t="shared" si="16"/>
        <v/>
      </c>
      <c r="BS110" s="396" t="str">
        <f t="shared" si="17"/>
        <v/>
      </c>
      <c r="BT110" s="396" t="str">
        <f t="shared" si="18"/>
        <v/>
      </c>
      <c r="BU110" s="396" t="str">
        <f t="shared" si="19"/>
        <v/>
      </c>
      <c r="BV110" s="396" t="str">
        <f t="shared" si="20"/>
        <v/>
      </c>
      <c r="BW110" s="396" t="str">
        <f t="shared" si="21"/>
        <v/>
      </c>
      <c r="BX110" s="396" t="str">
        <f t="shared" si="22"/>
        <v/>
      </c>
      <c r="BY110" s="396" t="str">
        <f t="shared" si="23"/>
        <v/>
      </c>
      <c r="BZ110" s="397"/>
    </row>
    <row r="111" spans="1:78" ht="15" customHeight="1">
      <c r="A111" s="386">
        <f>IF('Statement of Marks'!A115="","",'Statement of Marks'!A115)</f>
        <v>108</v>
      </c>
      <c r="B111" s="840" t="str">
        <f>IF('Statement of Marks'!B115="","",'Statement of Marks'!B115)</f>
        <v/>
      </c>
      <c r="C111" s="841" t="str">
        <f>IF('Statement of Marks'!C115="","",'Statement of Marks'!C115)</f>
        <v/>
      </c>
      <c r="D111" s="833" t="str">
        <f>IF('Statement of Marks'!D115="","",'Statement of Marks'!D115)</f>
        <v/>
      </c>
      <c r="E111" s="387" t="str">
        <f>IF('Statement of Marks'!E115="","",'Statement of Marks'!E115)</f>
        <v/>
      </c>
      <c r="F111" s="387" t="str">
        <f>IF('Statement of Marks'!F115="","",'Statement of Marks'!F115)</f>
        <v/>
      </c>
      <c r="G111" s="387" t="str">
        <f>IF('Statement of Marks'!G115="","",'Statement of Marks'!G115)</f>
        <v/>
      </c>
      <c r="H111" s="388" t="str">
        <f>IF('Statement of Marks'!H115="","",'Statement of Marks'!H115)</f>
        <v/>
      </c>
      <c r="I111" s="388" t="str">
        <f>IF('Statement of Marks'!I115="","",'Statement of Marks'!I115)</f>
        <v/>
      </c>
      <c r="J111" s="598" t="str">
        <f>IF('Statement of Marks'!GY115="","",'Statement of Marks'!GY115)</f>
        <v/>
      </c>
      <c r="K111" s="834" t="str">
        <f>IF(B111="","",IF('Statement of Marks'!GZ115="","",'Statement of Marks'!GZ115))</f>
        <v/>
      </c>
      <c r="L111" s="839" t="str">
        <f>IF('Statement of Marks'!HC115="","",'Statement of Marks'!HC115)</f>
        <v/>
      </c>
      <c r="M111" s="389" t="str">
        <f>IF('Statement of Marks'!HB115="","",'Statement of Marks'!HB115)</f>
        <v/>
      </c>
      <c r="N111" s="610" t="str">
        <f>IF('Statement of Marks'!HD115="","",'Statement of Marks'!HD115)</f>
        <v/>
      </c>
      <c r="O111" s="390" t="str">
        <f>IF(J111="FAIL","",IF('Statement of Marks'!GU115="","",'Statement of Marks'!GU115))</f>
        <v xml:space="preserve">    </v>
      </c>
      <c r="P111" s="391" t="str">
        <f>IF('Supp. Result Entry'!AS114="","",'Supp. Result Entry'!AS114)</f>
        <v/>
      </c>
      <c r="Q111" s="392" t="str">
        <f>IF('Supp. Result Entry'!AT114="","",'Supp. Result Entry'!AT114)</f>
        <v/>
      </c>
      <c r="R111" s="393" t="str">
        <f>IF('Statement of Marks'!HG115="","",'Statement of Marks'!HG115)</f>
        <v/>
      </c>
      <c r="S111" s="394" t="str">
        <f>IF('Statement of Marks'!FH115="","",'Statement of Marks'!FH115)</f>
        <v/>
      </c>
      <c r="BM111" s="395" t="str">
        <f>'Statement of Marks'!E115</f>
        <v/>
      </c>
      <c r="BN111" s="396" t="str">
        <f t="shared" si="12"/>
        <v/>
      </c>
      <c r="BO111" s="396" t="str">
        <f t="shared" si="13"/>
        <v/>
      </c>
      <c r="BP111" s="396" t="str">
        <f t="shared" si="14"/>
        <v/>
      </c>
      <c r="BQ111" s="396" t="str">
        <f t="shared" si="15"/>
        <v/>
      </c>
      <c r="BR111" s="396" t="str">
        <f t="shared" si="16"/>
        <v/>
      </c>
      <c r="BS111" s="396" t="str">
        <f t="shared" si="17"/>
        <v/>
      </c>
      <c r="BT111" s="396" t="str">
        <f t="shared" si="18"/>
        <v/>
      </c>
      <c r="BU111" s="396" t="str">
        <f t="shared" si="19"/>
        <v/>
      </c>
      <c r="BV111" s="396" t="str">
        <f t="shared" si="20"/>
        <v/>
      </c>
      <c r="BW111" s="396" t="str">
        <f t="shared" si="21"/>
        <v/>
      </c>
      <c r="BX111" s="396" t="str">
        <f t="shared" si="22"/>
        <v/>
      </c>
      <c r="BY111" s="396" t="str">
        <f t="shared" si="23"/>
        <v/>
      </c>
      <c r="BZ111" s="397"/>
    </row>
    <row r="112" spans="1:78" ht="15" customHeight="1">
      <c r="A112" s="386">
        <f>IF('Statement of Marks'!A116="","",'Statement of Marks'!A116)</f>
        <v>109</v>
      </c>
      <c r="B112" s="840" t="str">
        <f>IF('Statement of Marks'!B116="","",'Statement of Marks'!B116)</f>
        <v/>
      </c>
      <c r="C112" s="841" t="str">
        <f>IF('Statement of Marks'!C116="","",'Statement of Marks'!C116)</f>
        <v/>
      </c>
      <c r="D112" s="833" t="str">
        <f>IF('Statement of Marks'!D116="","",'Statement of Marks'!D116)</f>
        <v/>
      </c>
      <c r="E112" s="387" t="str">
        <f>IF('Statement of Marks'!E116="","",'Statement of Marks'!E116)</f>
        <v/>
      </c>
      <c r="F112" s="387" t="str">
        <f>IF('Statement of Marks'!F116="","",'Statement of Marks'!F116)</f>
        <v/>
      </c>
      <c r="G112" s="387" t="str">
        <f>IF('Statement of Marks'!G116="","",'Statement of Marks'!G116)</f>
        <v/>
      </c>
      <c r="H112" s="388" t="str">
        <f>IF('Statement of Marks'!H116="","",'Statement of Marks'!H116)</f>
        <v/>
      </c>
      <c r="I112" s="388" t="str">
        <f>IF('Statement of Marks'!I116="","",'Statement of Marks'!I116)</f>
        <v/>
      </c>
      <c r="J112" s="598" t="str">
        <f>IF('Statement of Marks'!GY116="","",'Statement of Marks'!GY116)</f>
        <v/>
      </c>
      <c r="K112" s="834" t="str">
        <f>IF(B112="","",IF('Statement of Marks'!GZ116="","",'Statement of Marks'!GZ116))</f>
        <v/>
      </c>
      <c r="L112" s="839" t="str">
        <f>IF('Statement of Marks'!HC116="","",'Statement of Marks'!HC116)</f>
        <v/>
      </c>
      <c r="M112" s="389" t="str">
        <f>IF('Statement of Marks'!HB116="","",'Statement of Marks'!HB116)</f>
        <v/>
      </c>
      <c r="N112" s="610" t="str">
        <f>IF('Statement of Marks'!HD116="","",'Statement of Marks'!HD116)</f>
        <v/>
      </c>
      <c r="O112" s="390" t="str">
        <f>IF(J112="FAIL","",IF('Statement of Marks'!GU116="","",'Statement of Marks'!GU116))</f>
        <v xml:space="preserve">    </v>
      </c>
      <c r="P112" s="391" t="str">
        <f>IF('Supp. Result Entry'!AS115="","",'Supp. Result Entry'!AS115)</f>
        <v/>
      </c>
      <c r="Q112" s="392" t="str">
        <f>IF('Supp. Result Entry'!AT115="","",'Supp. Result Entry'!AT115)</f>
        <v/>
      </c>
      <c r="R112" s="393" t="str">
        <f>IF('Statement of Marks'!HG116="","",'Statement of Marks'!HG116)</f>
        <v/>
      </c>
      <c r="S112" s="394" t="str">
        <f>IF('Statement of Marks'!FH116="","",'Statement of Marks'!FH116)</f>
        <v/>
      </c>
      <c r="BM112" s="395" t="str">
        <f>'Statement of Marks'!E116</f>
        <v/>
      </c>
      <c r="BN112" s="396" t="str">
        <f t="shared" si="12"/>
        <v/>
      </c>
      <c r="BO112" s="396" t="str">
        <f t="shared" si="13"/>
        <v/>
      </c>
      <c r="BP112" s="396" t="str">
        <f t="shared" si="14"/>
        <v/>
      </c>
      <c r="BQ112" s="396" t="str">
        <f t="shared" si="15"/>
        <v/>
      </c>
      <c r="BR112" s="396" t="str">
        <f t="shared" si="16"/>
        <v/>
      </c>
      <c r="BS112" s="396" t="str">
        <f t="shared" si="17"/>
        <v/>
      </c>
      <c r="BT112" s="396" t="str">
        <f t="shared" si="18"/>
        <v/>
      </c>
      <c r="BU112" s="396" t="str">
        <f t="shared" si="19"/>
        <v/>
      </c>
      <c r="BV112" s="396" t="str">
        <f t="shared" si="20"/>
        <v/>
      </c>
      <c r="BW112" s="396" t="str">
        <f t="shared" si="21"/>
        <v/>
      </c>
      <c r="BX112" s="396" t="str">
        <f t="shared" si="22"/>
        <v/>
      </c>
      <c r="BY112" s="396" t="str">
        <f t="shared" si="23"/>
        <v/>
      </c>
      <c r="BZ112" s="397"/>
    </row>
    <row r="113" spans="1:78" ht="15" customHeight="1">
      <c r="A113" s="386">
        <f>IF('Statement of Marks'!A117="","",'Statement of Marks'!A117)</f>
        <v>110</v>
      </c>
      <c r="B113" s="840" t="str">
        <f>IF('Statement of Marks'!B117="","",'Statement of Marks'!B117)</f>
        <v/>
      </c>
      <c r="C113" s="841" t="str">
        <f>IF('Statement of Marks'!C117="","",'Statement of Marks'!C117)</f>
        <v/>
      </c>
      <c r="D113" s="833" t="str">
        <f>IF('Statement of Marks'!D117="","",'Statement of Marks'!D117)</f>
        <v/>
      </c>
      <c r="E113" s="387" t="str">
        <f>IF('Statement of Marks'!E117="","",'Statement of Marks'!E117)</f>
        <v/>
      </c>
      <c r="F113" s="387" t="str">
        <f>IF('Statement of Marks'!F117="","",'Statement of Marks'!F117)</f>
        <v/>
      </c>
      <c r="G113" s="387" t="str">
        <f>IF('Statement of Marks'!G117="","",'Statement of Marks'!G117)</f>
        <v/>
      </c>
      <c r="H113" s="388" t="str">
        <f>IF('Statement of Marks'!H117="","",'Statement of Marks'!H117)</f>
        <v/>
      </c>
      <c r="I113" s="388" t="str">
        <f>IF('Statement of Marks'!I117="","",'Statement of Marks'!I117)</f>
        <v/>
      </c>
      <c r="J113" s="598" t="str">
        <f>IF('Statement of Marks'!GY117="","",'Statement of Marks'!GY117)</f>
        <v/>
      </c>
      <c r="K113" s="834" t="str">
        <f>IF(B113="","",IF('Statement of Marks'!GZ117="","",'Statement of Marks'!GZ117))</f>
        <v/>
      </c>
      <c r="L113" s="839" t="str">
        <f>IF('Statement of Marks'!HC117="","",'Statement of Marks'!HC117)</f>
        <v/>
      </c>
      <c r="M113" s="389" t="str">
        <f>IF('Statement of Marks'!HB117="","",'Statement of Marks'!HB117)</f>
        <v/>
      </c>
      <c r="N113" s="610" t="str">
        <f>IF('Statement of Marks'!HD117="","",'Statement of Marks'!HD117)</f>
        <v/>
      </c>
      <c r="O113" s="390" t="str">
        <f>IF(J113="FAIL","",IF('Statement of Marks'!GU117="","",'Statement of Marks'!GU117))</f>
        <v xml:space="preserve">    </v>
      </c>
      <c r="P113" s="391" t="str">
        <f>IF('Supp. Result Entry'!AS116="","",'Supp. Result Entry'!AS116)</f>
        <v/>
      </c>
      <c r="Q113" s="392" t="str">
        <f>IF('Supp. Result Entry'!AT116="","",'Supp. Result Entry'!AT116)</f>
        <v/>
      </c>
      <c r="R113" s="393" t="str">
        <f>IF('Statement of Marks'!HG117="","",'Statement of Marks'!HG117)</f>
        <v/>
      </c>
      <c r="S113" s="394" t="str">
        <f>IF('Statement of Marks'!FH117="","",'Statement of Marks'!FH117)</f>
        <v/>
      </c>
      <c r="BM113" s="395" t="str">
        <f>'Statement of Marks'!E117</f>
        <v/>
      </c>
      <c r="BN113" s="396" t="str">
        <f t="shared" si="12"/>
        <v/>
      </c>
      <c r="BO113" s="396" t="str">
        <f t="shared" si="13"/>
        <v/>
      </c>
      <c r="BP113" s="396" t="str">
        <f t="shared" si="14"/>
        <v/>
      </c>
      <c r="BQ113" s="396" t="str">
        <f t="shared" si="15"/>
        <v/>
      </c>
      <c r="BR113" s="396" t="str">
        <f t="shared" si="16"/>
        <v/>
      </c>
      <c r="BS113" s="396" t="str">
        <f t="shared" si="17"/>
        <v/>
      </c>
      <c r="BT113" s="396" t="str">
        <f t="shared" si="18"/>
        <v/>
      </c>
      <c r="BU113" s="396" t="str">
        <f t="shared" si="19"/>
        <v/>
      </c>
      <c r="BV113" s="396" t="str">
        <f t="shared" si="20"/>
        <v/>
      </c>
      <c r="BW113" s="396" t="str">
        <f t="shared" si="21"/>
        <v/>
      </c>
      <c r="BX113" s="396" t="str">
        <f t="shared" si="22"/>
        <v/>
      </c>
      <c r="BY113" s="396" t="str">
        <f t="shared" si="23"/>
        <v/>
      </c>
      <c r="BZ113" s="397"/>
    </row>
    <row r="114" spans="1:78" ht="15" customHeight="1">
      <c r="A114" s="386">
        <f>IF('Statement of Marks'!A118="","",'Statement of Marks'!A118)</f>
        <v>111</v>
      </c>
      <c r="B114" s="840" t="str">
        <f>IF('Statement of Marks'!B118="","",'Statement of Marks'!B118)</f>
        <v/>
      </c>
      <c r="C114" s="841" t="str">
        <f>IF('Statement of Marks'!C118="","",'Statement of Marks'!C118)</f>
        <v/>
      </c>
      <c r="D114" s="833" t="str">
        <f>IF('Statement of Marks'!D118="","",'Statement of Marks'!D118)</f>
        <v/>
      </c>
      <c r="E114" s="387" t="str">
        <f>IF('Statement of Marks'!E118="","",'Statement of Marks'!E118)</f>
        <v/>
      </c>
      <c r="F114" s="387" t="str">
        <f>IF('Statement of Marks'!F118="","",'Statement of Marks'!F118)</f>
        <v/>
      </c>
      <c r="G114" s="387" t="str">
        <f>IF('Statement of Marks'!G118="","",'Statement of Marks'!G118)</f>
        <v/>
      </c>
      <c r="H114" s="388" t="str">
        <f>IF('Statement of Marks'!H118="","",'Statement of Marks'!H118)</f>
        <v/>
      </c>
      <c r="I114" s="388" t="str">
        <f>IF('Statement of Marks'!I118="","",'Statement of Marks'!I118)</f>
        <v/>
      </c>
      <c r="J114" s="598" t="str">
        <f>IF('Statement of Marks'!GY118="","",'Statement of Marks'!GY118)</f>
        <v/>
      </c>
      <c r="K114" s="834" t="str">
        <f>IF(B114="","",IF('Statement of Marks'!GZ118="","",'Statement of Marks'!GZ118))</f>
        <v/>
      </c>
      <c r="L114" s="839" t="str">
        <f>IF('Statement of Marks'!HC118="","",'Statement of Marks'!HC118)</f>
        <v/>
      </c>
      <c r="M114" s="389" t="str">
        <f>IF('Statement of Marks'!HB118="","",'Statement of Marks'!HB118)</f>
        <v/>
      </c>
      <c r="N114" s="610" t="str">
        <f>IF('Statement of Marks'!HD118="","",'Statement of Marks'!HD118)</f>
        <v/>
      </c>
      <c r="O114" s="390" t="str">
        <f>IF(J114="FAIL","",IF('Statement of Marks'!GU118="","",'Statement of Marks'!GU118))</f>
        <v xml:space="preserve">    </v>
      </c>
      <c r="P114" s="391" t="str">
        <f>IF('Supp. Result Entry'!AS117="","",'Supp. Result Entry'!AS117)</f>
        <v/>
      </c>
      <c r="Q114" s="392" t="str">
        <f>IF('Supp. Result Entry'!AT117="","",'Supp. Result Entry'!AT117)</f>
        <v/>
      </c>
      <c r="R114" s="393" t="str">
        <f>IF('Statement of Marks'!HG118="","",'Statement of Marks'!HG118)</f>
        <v/>
      </c>
      <c r="S114" s="394" t="str">
        <f>IF('Statement of Marks'!FH118="","",'Statement of Marks'!FH118)</f>
        <v/>
      </c>
      <c r="BM114" s="395" t="str">
        <f>'Statement of Marks'!E118</f>
        <v/>
      </c>
      <c r="BN114" s="396" t="str">
        <f t="shared" si="12"/>
        <v/>
      </c>
      <c r="BO114" s="396" t="str">
        <f t="shared" si="13"/>
        <v/>
      </c>
      <c r="BP114" s="396" t="str">
        <f t="shared" si="14"/>
        <v/>
      </c>
      <c r="BQ114" s="396" t="str">
        <f t="shared" si="15"/>
        <v/>
      </c>
      <c r="BR114" s="396" t="str">
        <f t="shared" si="16"/>
        <v/>
      </c>
      <c r="BS114" s="396" t="str">
        <f t="shared" si="17"/>
        <v/>
      </c>
      <c r="BT114" s="396" t="str">
        <f t="shared" si="18"/>
        <v/>
      </c>
      <c r="BU114" s="396" t="str">
        <f t="shared" si="19"/>
        <v/>
      </c>
      <c r="BV114" s="396" t="str">
        <f t="shared" si="20"/>
        <v/>
      </c>
      <c r="BW114" s="396" t="str">
        <f t="shared" si="21"/>
        <v/>
      </c>
      <c r="BX114" s="396" t="str">
        <f t="shared" si="22"/>
        <v/>
      </c>
      <c r="BY114" s="396" t="str">
        <f t="shared" si="23"/>
        <v/>
      </c>
      <c r="BZ114" s="397"/>
    </row>
    <row r="115" spans="1:78" ht="15" customHeight="1">
      <c r="A115" s="386">
        <f>IF('Statement of Marks'!A119="","",'Statement of Marks'!A119)</f>
        <v>112</v>
      </c>
      <c r="B115" s="840" t="str">
        <f>IF('Statement of Marks'!B119="","",'Statement of Marks'!B119)</f>
        <v/>
      </c>
      <c r="C115" s="841" t="str">
        <f>IF('Statement of Marks'!C119="","",'Statement of Marks'!C119)</f>
        <v/>
      </c>
      <c r="D115" s="833" t="str">
        <f>IF('Statement of Marks'!D119="","",'Statement of Marks'!D119)</f>
        <v/>
      </c>
      <c r="E115" s="387" t="str">
        <f>IF('Statement of Marks'!E119="","",'Statement of Marks'!E119)</f>
        <v/>
      </c>
      <c r="F115" s="387" t="str">
        <f>IF('Statement of Marks'!F119="","",'Statement of Marks'!F119)</f>
        <v/>
      </c>
      <c r="G115" s="387" t="str">
        <f>IF('Statement of Marks'!G119="","",'Statement of Marks'!G119)</f>
        <v/>
      </c>
      <c r="H115" s="388" t="str">
        <f>IF('Statement of Marks'!H119="","",'Statement of Marks'!H119)</f>
        <v/>
      </c>
      <c r="I115" s="388" t="str">
        <f>IF('Statement of Marks'!I119="","",'Statement of Marks'!I119)</f>
        <v/>
      </c>
      <c r="J115" s="598" t="str">
        <f>IF('Statement of Marks'!GY119="","",'Statement of Marks'!GY119)</f>
        <v/>
      </c>
      <c r="K115" s="834" t="str">
        <f>IF(B115="","",IF('Statement of Marks'!GZ119="","",'Statement of Marks'!GZ119))</f>
        <v/>
      </c>
      <c r="L115" s="839" t="str">
        <f>IF('Statement of Marks'!HC119="","",'Statement of Marks'!HC119)</f>
        <v/>
      </c>
      <c r="M115" s="389" t="str">
        <f>IF('Statement of Marks'!HB119="","",'Statement of Marks'!HB119)</f>
        <v/>
      </c>
      <c r="N115" s="610" t="str">
        <f>IF('Statement of Marks'!HD119="","",'Statement of Marks'!HD119)</f>
        <v/>
      </c>
      <c r="O115" s="390" t="str">
        <f>IF(J115="FAIL","",IF('Statement of Marks'!GU119="","",'Statement of Marks'!GU119))</f>
        <v xml:space="preserve">    </v>
      </c>
      <c r="P115" s="391" t="str">
        <f>IF('Supp. Result Entry'!AS118="","",'Supp. Result Entry'!AS118)</f>
        <v/>
      </c>
      <c r="Q115" s="392" t="str">
        <f>IF('Supp. Result Entry'!AT118="","",'Supp. Result Entry'!AT118)</f>
        <v/>
      </c>
      <c r="R115" s="393" t="str">
        <f>IF('Statement of Marks'!HG119="","",'Statement of Marks'!HG119)</f>
        <v/>
      </c>
      <c r="S115" s="394" t="str">
        <f>IF('Statement of Marks'!FH119="","",'Statement of Marks'!FH119)</f>
        <v/>
      </c>
      <c r="BM115" s="395" t="str">
        <f>'Statement of Marks'!E119</f>
        <v/>
      </c>
      <c r="BN115" s="396" t="str">
        <f t="shared" si="12"/>
        <v/>
      </c>
      <c r="BO115" s="396" t="str">
        <f t="shared" si="13"/>
        <v/>
      </c>
      <c r="BP115" s="396" t="str">
        <f t="shared" si="14"/>
        <v/>
      </c>
      <c r="BQ115" s="396" t="str">
        <f t="shared" si="15"/>
        <v/>
      </c>
      <c r="BR115" s="396" t="str">
        <f t="shared" si="16"/>
        <v/>
      </c>
      <c r="BS115" s="396" t="str">
        <f t="shared" si="17"/>
        <v/>
      </c>
      <c r="BT115" s="396" t="str">
        <f t="shared" si="18"/>
        <v/>
      </c>
      <c r="BU115" s="396" t="str">
        <f t="shared" si="19"/>
        <v/>
      </c>
      <c r="BV115" s="396" t="str">
        <f t="shared" si="20"/>
        <v/>
      </c>
      <c r="BW115" s="396" t="str">
        <f t="shared" si="21"/>
        <v/>
      </c>
      <c r="BX115" s="396" t="str">
        <f t="shared" si="22"/>
        <v/>
      </c>
      <c r="BY115" s="396" t="str">
        <f t="shared" si="23"/>
        <v/>
      </c>
      <c r="BZ115" s="397"/>
    </row>
    <row r="116" spans="1:78" ht="15" customHeight="1">
      <c r="A116" s="386">
        <f>IF('Statement of Marks'!A120="","",'Statement of Marks'!A120)</f>
        <v>113</v>
      </c>
      <c r="B116" s="840" t="str">
        <f>IF('Statement of Marks'!B120="","",'Statement of Marks'!B120)</f>
        <v/>
      </c>
      <c r="C116" s="841" t="str">
        <f>IF('Statement of Marks'!C120="","",'Statement of Marks'!C120)</f>
        <v/>
      </c>
      <c r="D116" s="833" t="str">
        <f>IF('Statement of Marks'!D120="","",'Statement of Marks'!D120)</f>
        <v/>
      </c>
      <c r="E116" s="387" t="str">
        <f>IF('Statement of Marks'!E120="","",'Statement of Marks'!E120)</f>
        <v/>
      </c>
      <c r="F116" s="387" t="str">
        <f>IF('Statement of Marks'!F120="","",'Statement of Marks'!F120)</f>
        <v/>
      </c>
      <c r="G116" s="387" t="str">
        <f>IF('Statement of Marks'!G120="","",'Statement of Marks'!G120)</f>
        <v/>
      </c>
      <c r="H116" s="388" t="str">
        <f>IF('Statement of Marks'!H120="","",'Statement of Marks'!H120)</f>
        <v/>
      </c>
      <c r="I116" s="388" t="str">
        <f>IF('Statement of Marks'!I120="","",'Statement of Marks'!I120)</f>
        <v/>
      </c>
      <c r="J116" s="598" t="str">
        <f>IF('Statement of Marks'!GY120="","",'Statement of Marks'!GY120)</f>
        <v/>
      </c>
      <c r="K116" s="834" t="str">
        <f>IF(B116="","",IF('Statement of Marks'!GZ120="","",'Statement of Marks'!GZ120))</f>
        <v/>
      </c>
      <c r="L116" s="839" t="str">
        <f>IF('Statement of Marks'!HC120="","",'Statement of Marks'!HC120)</f>
        <v/>
      </c>
      <c r="M116" s="389" t="str">
        <f>IF('Statement of Marks'!HB120="","",'Statement of Marks'!HB120)</f>
        <v/>
      </c>
      <c r="N116" s="610" t="str">
        <f>IF('Statement of Marks'!HD120="","",'Statement of Marks'!HD120)</f>
        <v/>
      </c>
      <c r="O116" s="390" t="str">
        <f>IF(J116="FAIL","",IF('Statement of Marks'!GU120="","",'Statement of Marks'!GU120))</f>
        <v xml:space="preserve">    </v>
      </c>
      <c r="P116" s="391" t="str">
        <f>IF('Supp. Result Entry'!AS119="","",'Supp. Result Entry'!AS119)</f>
        <v/>
      </c>
      <c r="Q116" s="392" t="str">
        <f>IF('Supp. Result Entry'!AT119="","",'Supp. Result Entry'!AT119)</f>
        <v/>
      </c>
      <c r="R116" s="393" t="str">
        <f>IF('Statement of Marks'!HG120="","",'Statement of Marks'!HG120)</f>
        <v/>
      </c>
      <c r="S116" s="394" t="str">
        <f>IF('Statement of Marks'!FH120="","",'Statement of Marks'!FH120)</f>
        <v/>
      </c>
      <c r="BM116" s="395" t="str">
        <f>'Statement of Marks'!E120</f>
        <v/>
      </c>
      <c r="BN116" s="396" t="str">
        <f t="shared" si="12"/>
        <v/>
      </c>
      <c r="BO116" s="396" t="str">
        <f t="shared" si="13"/>
        <v/>
      </c>
      <c r="BP116" s="396" t="str">
        <f t="shared" si="14"/>
        <v/>
      </c>
      <c r="BQ116" s="396" t="str">
        <f t="shared" si="15"/>
        <v/>
      </c>
      <c r="BR116" s="396" t="str">
        <f t="shared" si="16"/>
        <v/>
      </c>
      <c r="BS116" s="396" t="str">
        <f t="shared" si="17"/>
        <v/>
      </c>
      <c r="BT116" s="396" t="str">
        <f t="shared" si="18"/>
        <v/>
      </c>
      <c r="BU116" s="396" t="str">
        <f t="shared" si="19"/>
        <v/>
      </c>
      <c r="BV116" s="396" t="str">
        <f t="shared" si="20"/>
        <v/>
      </c>
      <c r="BW116" s="396" t="str">
        <f t="shared" si="21"/>
        <v/>
      </c>
      <c r="BX116" s="396" t="str">
        <f t="shared" si="22"/>
        <v/>
      </c>
      <c r="BY116" s="396" t="str">
        <f t="shared" si="23"/>
        <v/>
      </c>
      <c r="BZ116" s="397"/>
    </row>
    <row r="117" spans="1:78" ht="15" customHeight="1">
      <c r="A117" s="386">
        <f>IF('Statement of Marks'!A121="","",'Statement of Marks'!A121)</f>
        <v>114</v>
      </c>
      <c r="B117" s="840" t="str">
        <f>IF('Statement of Marks'!B121="","",'Statement of Marks'!B121)</f>
        <v/>
      </c>
      <c r="C117" s="841" t="str">
        <f>IF('Statement of Marks'!C121="","",'Statement of Marks'!C121)</f>
        <v/>
      </c>
      <c r="D117" s="833" t="str">
        <f>IF('Statement of Marks'!D121="","",'Statement of Marks'!D121)</f>
        <v/>
      </c>
      <c r="E117" s="387" t="str">
        <f>IF('Statement of Marks'!E121="","",'Statement of Marks'!E121)</f>
        <v/>
      </c>
      <c r="F117" s="387" t="str">
        <f>IF('Statement of Marks'!F121="","",'Statement of Marks'!F121)</f>
        <v/>
      </c>
      <c r="G117" s="387" t="str">
        <f>IF('Statement of Marks'!G121="","",'Statement of Marks'!G121)</f>
        <v/>
      </c>
      <c r="H117" s="388" t="str">
        <f>IF('Statement of Marks'!H121="","",'Statement of Marks'!H121)</f>
        <v/>
      </c>
      <c r="I117" s="388" t="str">
        <f>IF('Statement of Marks'!I121="","",'Statement of Marks'!I121)</f>
        <v/>
      </c>
      <c r="J117" s="598" t="str">
        <f>IF('Statement of Marks'!GY121="","",'Statement of Marks'!GY121)</f>
        <v/>
      </c>
      <c r="K117" s="834" t="str">
        <f>IF(B117="","",IF('Statement of Marks'!GZ121="","",'Statement of Marks'!GZ121))</f>
        <v/>
      </c>
      <c r="L117" s="839" t="str">
        <f>IF('Statement of Marks'!HC121="","",'Statement of Marks'!HC121)</f>
        <v/>
      </c>
      <c r="M117" s="389" t="str">
        <f>IF('Statement of Marks'!HB121="","",'Statement of Marks'!HB121)</f>
        <v/>
      </c>
      <c r="N117" s="610" t="str">
        <f>IF('Statement of Marks'!HD121="","",'Statement of Marks'!HD121)</f>
        <v/>
      </c>
      <c r="O117" s="390" t="str">
        <f>IF(J117="FAIL","",IF('Statement of Marks'!GU121="","",'Statement of Marks'!GU121))</f>
        <v xml:space="preserve">    </v>
      </c>
      <c r="P117" s="391" t="str">
        <f>IF('Supp. Result Entry'!AS120="","",'Supp. Result Entry'!AS120)</f>
        <v/>
      </c>
      <c r="Q117" s="392" t="str">
        <f>IF('Supp. Result Entry'!AT120="","",'Supp. Result Entry'!AT120)</f>
        <v/>
      </c>
      <c r="R117" s="393" t="str">
        <f>IF('Statement of Marks'!HG121="","",'Statement of Marks'!HG121)</f>
        <v/>
      </c>
      <c r="S117" s="394" t="str">
        <f>IF('Statement of Marks'!FH121="","",'Statement of Marks'!FH121)</f>
        <v/>
      </c>
      <c r="BM117" s="395" t="str">
        <f>'Statement of Marks'!E121</f>
        <v/>
      </c>
      <c r="BN117" s="396" t="str">
        <f t="shared" si="12"/>
        <v/>
      </c>
      <c r="BO117" s="396" t="str">
        <f t="shared" si="13"/>
        <v/>
      </c>
      <c r="BP117" s="396" t="str">
        <f t="shared" si="14"/>
        <v/>
      </c>
      <c r="BQ117" s="396" t="str">
        <f t="shared" si="15"/>
        <v/>
      </c>
      <c r="BR117" s="396" t="str">
        <f t="shared" si="16"/>
        <v/>
      </c>
      <c r="BS117" s="396" t="str">
        <f t="shared" si="17"/>
        <v/>
      </c>
      <c r="BT117" s="396" t="str">
        <f t="shared" si="18"/>
        <v/>
      </c>
      <c r="BU117" s="396" t="str">
        <f t="shared" si="19"/>
        <v/>
      </c>
      <c r="BV117" s="396" t="str">
        <f t="shared" si="20"/>
        <v/>
      </c>
      <c r="BW117" s="396" t="str">
        <f t="shared" si="21"/>
        <v/>
      </c>
      <c r="BX117" s="396" t="str">
        <f t="shared" si="22"/>
        <v/>
      </c>
      <c r="BY117" s="396" t="str">
        <f t="shared" si="23"/>
        <v/>
      </c>
      <c r="BZ117" s="397"/>
    </row>
    <row r="118" spans="1:78" ht="15" customHeight="1">
      <c r="A118" s="386">
        <f>IF('Statement of Marks'!A122="","",'Statement of Marks'!A122)</f>
        <v>115</v>
      </c>
      <c r="B118" s="840" t="str">
        <f>IF('Statement of Marks'!B122="","",'Statement of Marks'!B122)</f>
        <v/>
      </c>
      <c r="C118" s="841" t="str">
        <f>IF('Statement of Marks'!C122="","",'Statement of Marks'!C122)</f>
        <v/>
      </c>
      <c r="D118" s="833" t="str">
        <f>IF('Statement of Marks'!D122="","",'Statement of Marks'!D122)</f>
        <v/>
      </c>
      <c r="E118" s="387" t="str">
        <f>IF('Statement of Marks'!E122="","",'Statement of Marks'!E122)</f>
        <v/>
      </c>
      <c r="F118" s="387" t="str">
        <f>IF('Statement of Marks'!F122="","",'Statement of Marks'!F122)</f>
        <v/>
      </c>
      <c r="G118" s="387" t="str">
        <f>IF('Statement of Marks'!G122="","",'Statement of Marks'!G122)</f>
        <v/>
      </c>
      <c r="H118" s="388" t="str">
        <f>IF('Statement of Marks'!H122="","",'Statement of Marks'!H122)</f>
        <v/>
      </c>
      <c r="I118" s="388" t="str">
        <f>IF('Statement of Marks'!I122="","",'Statement of Marks'!I122)</f>
        <v/>
      </c>
      <c r="J118" s="598" t="str">
        <f>IF('Statement of Marks'!GY122="","",'Statement of Marks'!GY122)</f>
        <v/>
      </c>
      <c r="K118" s="834" t="str">
        <f>IF(B118="","",IF('Statement of Marks'!GZ122="","",'Statement of Marks'!GZ122))</f>
        <v/>
      </c>
      <c r="L118" s="839" t="str">
        <f>IF('Statement of Marks'!HC122="","",'Statement of Marks'!HC122)</f>
        <v/>
      </c>
      <c r="M118" s="389" t="str">
        <f>IF('Statement of Marks'!HB122="","",'Statement of Marks'!HB122)</f>
        <v/>
      </c>
      <c r="N118" s="610" t="str">
        <f>IF('Statement of Marks'!HD122="","",'Statement of Marks'!HD122)</f>
        <v/>
      </c>
      <c r="O118" s="390" t="str">
        <f>IF(J118="FAIL","",IF('Statement of Marks'!GU122="","",'Statement of Marks'!GU122))</f>
        <v xml:space="preserve">    </v>
      </c>
      <c r="P118" s="391" t="str">
        <f>IF('Supp. Result Entry'!AS121="","",'Supp. Result Entry'!AS121)</f>
        <v/>
      </c>
      <c r="Q118" s="392" t="str">
        <f>IF('Supp. Result Entry'!AT121="","",'Supp. Result Entry'!AT121)</f>
        <v/>
      </c>
      <c r="R118" s="393" t="str">
        <f>IF('Statement of Marks'!HG122="","",'Statement of Marks'!HG122)</f>
        <v/>
      </c>
      <c r="S118" s="394" t="str">
        <f>IF('Statement of Marks'!FH122="","",'Statement of Marks'!FH122)</f>
        <v/>
      </c>
      <c r="BM118" s="395" t="str">
        <f>'Statement of Marks'!E122</f>
        <v/>
      </c>
      <c r="BN118" s="396" t="str">
        <f t="shared" si="12"/>
        <v/>
      </c>
      <c r="BO118" s="396" t="str">
        <f t="shared" si="13"/>
        <v/>
      </c>
      <c r="BP118" s="396" t="str">
        <f t="shared" si="14"/>
        <v/>
      </c>
      <c r="BQ118" s="396" t="str">
        <f t="shared" si="15"/>
        <v/>
      </c>
      <c r="BR118" s="396" t="str">
        <f t="shared" si="16"/>
        <v/>
      </c>
      <c r="BS118" s="396" t="str">
        <f t="shared" si="17"/>
        <v/>
      </c>
      <c r="BT118" s="396" t="str">
        <f t="shared" si="18"/>
        <v/>
      </c>
      <c r="BU118" s="396" t="str">
        <f t="shared" si="19"/>
        <v/>
      </c>
      <c r="BV118" s="396" t="str">
        <f t="shared" si="20"/>
        <v/>
      </c>
      <c r="BW118" s="396" t="str">
        <f t="shared" si="21"/>
        <v/>
      </c>
      <c r="BX118" s="396" t="str">
        <f t="shared" si="22"/>
        <v/>
      </c>
      <c r="BY118" s="396" t="str">
        <f t="shared" si="23"/>
        <v/>
      </c>
      <c r="BZ118" s="397"/>
    </row>
    <row r="119" spans="1:78" ht="15" customHeight="1">
      <c r="A119" s="386">
        <f>IF('Statement of Marks'!A123="","",'Statement of Marks'!A123)</f>
        <v>116</v>
      </c>
      <c r="B119" s="840" t="str">
        <f>IF('Statement of Marks'!B123="","",'Statement of Marks'!B123)</f>
        <v/>
      </c>
      <c r="C119" s="841" t="str">
        <f>IF('Statement of Marks'!C123="","",'Statement of Marks'!C123)</f>
        <v/>
      </c>
      <c r="D119" s="833" t="str">
        <f>IF('Statement of Marks'!D123="","",'Statement of Marks'!D123)</f>
        <v/>
      </c>
      <c r="E119" s="387" t="str">
        <f>IF('Statement of Marks'!E123="","",'Statement of Marks'!E123)</f>
        <v/>
      </c>
      <c r="F119" s="387" t="str">
        <f>IF('Statement of Marks'!F123="","",'Statement of Marks'!F123)</f>
        <v/>
      </c>
      <c r="G119" s="387" t="str">
        <f>IF('Statement of Marks'!G123="","",'Statement of Marks'!G123)</f>
        <v/>
      </c>
      <c r="H119" s="388" t="str">
        <f>IF('Statement of Marks'!H123="","",'Statement of Marks'!H123)</f>
        <v/>
      </c>
      <c r="I119" s="388" t="str">
        <f>IF('Statement of Marks'!I123="","",'Statement of Marks'!I123)</f>
        <v/>
      </c>
      <c r="J119" s="598" t="str">
        <f>IF('Statement of Marks'!GY123="","",'Statement of Marks'!GY123)</f>
        <v/>
      </c>
      <c r="K119" s="834" t="str">
        <f>IF(B119="","",IF('Statement of Marks'!GZ123="","",'Statement of Marks'!GZ123))</f>
        <v/>
      </c>
      <c r="L119" s="839" t="str">
        <f>IF('Statement of Marks'!HC123="","",'Statement of Marks'!HC123)</f>
        <v/>
      </c>
      <c r="M119" s="389" t="str">
        <f>IF('Statement of Marks'!HB123="","",'Statement of Marks'!HB123)</f>
        <v/>
      </c>
      <c r="N119" s="610" t="str">
        <f>IF('Statement of Marks'!HD123="","",'Statement of Marks'!HD123)</f>
        <v/>
      </c>
      <c r="O119" s="390" t="str">
        <f>IF(J119="FAIL","",IF('Statement of Marks'!GU123="","",'Statement of Marks'!GU123))</f>
        <v xml:space="preserve">    </v>
      </c>
      <c r="P119" s="391" t="str">
        <f>IF('Supp. Result Entry'!AS122="","",'Supp. Result Entry'!AS122)</f>
        <v/>
      </c>
      <c r="Q119" s="392" t="str">
        <f>IF('Supp. Result Entry'!AT122="","",'Supp. Result Entry'!AT122)</f>
        <v/>
      </c>
      <c r="R119" s="393" t="str">
        <f>IF('Statement of Marks'!HG123="","",'Statement of Marks'!HG123)</f>
        <v/>
      </c>
      <c r="S119" s="394" t="str">
        <f>IF('Statement of Marks'!FH123="","",'Statement of Marks'!FH123)</f>
        <v/>
      </c>
      <c r="BM119" s="395" t="str">
        <f>'Statement of Marks'!E123</f>
        <v/>
      </c>
      <c r="BN119" s="396" t="str">
        <f t="shared" si="12"/>
        <v/>
      </c>
      <c r="BO119" s="396" t="str">
        <f t="shared" si="13"/>
        <v/>
      </c>
      <c r="BP119" s="396" t="str">
        <f t="shared" si="14"/>
        <v/>
      </c>
      <c r="BQ119" s="396" t="str">
        <f t="shared" si="15"/>
        <v/>
      </c>
      <c r="BR119" s="396" t="str">
        <f t="shared" si="16"/>
        <v/>
      </c>
      <c r="BS119" s="396" t="str">
        <f t="shared" si="17"/>
        <v/>
      </c>
      <c r="BT119" s="396" t="str">
        <f t="shared" si="18"/>
        <v/>
      </c>
      <c r="BU119" s="396" t="str">
        <f t="shared" si="19"/>
        <v/>
      </c>
      <c r="BV119" s="396" t="str">
        <f t="shared" si="20"/>
        <v/>
      </c>
      <c r="BW119" s="396" t="str">
        <f t="shared" si="21"/>
        <v/>
      </c>
      <c r="BX119" s="396" t="str">
        <f t="shared" si="22"/>
        <v/>
      </c>
      <c r="BY119" s="396" t="str">
        <f t="shared" si="23"/>
        <v/>
      </c>
      <c r="BZ119" s="397"/>
    </row>
    <row r="120" spans="1:78" ht="15" customHeight="1">
      <c r="A120" s="386">
        <f>IF('Statement of Marks'!A124="","",'Statement of Marks'!A124)</f>
        <v>117</v>
      </c>
      <c r="B120" s="840" t="str">
        <f>IF('Statement of Marks'!B124="","",'Statement of Marks'!B124)</f>
        <v/>
      </c>
      <c r="C120" s="841" t="str">
        <f>IF('Statement of Marks'!C124="","",'Statement of Marks'!C124)</f>
        <v/>
      </c>
      <c r="D120" s="833" t="str">
        <f>IF('Statement of Marks'!D124="","",'Statement of Marks'!D124)</f>
        <v/>
      </c>
      <c r="E120" s="387" t="str">
        <f>IF('Statement of Marks'!E124="","",'Statement of Marks'!E124)</f>
        <v/>
      </c>
      <c r="F120" s="387" t="str">
        <f>IF('Statement of Marks'!F124="","",'Statement of Marks'!F124)</f>
        <v/>
      </c>
      <c r="G120" s="387" t="str">
        <f>IF('Statement of Marks'!G124="","",'Statement of Marks'!G124)</f>
        <v/>
      </c>
      <c r="H120" s="388" t="str">
        <f>IF('Statement of Marks'!H124="","",'Statement of Marks'!H124)</f>
        <v/>
      </c>
      <c r="I120" s="388" t="str">
        <f>IF('Statement of Marks'!I124="","",'Statement of Marks'!I124)</f>
        <v/>
      </c>
      <c r="J120" s="598" t="str">
        <f>IF('Statement of Marks'!GY124="","",'Statement of Marks'!GY124)</f>
        <v/>
      </c>
      <c r="K120" s="834" t="str">
        <f>IF(B120="","",IF('Statement of Marks'!GZ124="","",'Statement of Marks'!GZ124))</f>
        <v/>
      </c>
      <c r="L120" s="839" t="str">
        <f>IF('Statement of Marks'!HC124="","",'Statement of Marks'!HC124)</f>
        <v/>
      </c>
      <c r="M120" s="389" t="str">
        <f>IF('Statement of Marks'!HB124="","",'Statement of Marks'!HB124)</f>
        <v/>
      </c>
      <c r="N120" s="610" t="str">
        <f>IF('Statement of Marks'!HD124="","",'Statement of Marks'!HD124)</f>
        <v/>
      </c>
      <c r="O120" s="390" t="str">
        <f>IF(J120="FAIL","",IF('Statement of Marks'!GU124="","",'Statement of Marks'!GU124))</f>
        <v xml:space="preserve">    </v>
      </c>
      <c r="P120" s="391" t="str">
        <f>IF('Supp. Result Entry'!AS123="","",'Supp. Result Entry'!AS123)</f>
        <v/>
      </c>
      <c r="Q120" s="392" t="str">
        <f>IF('Supp. Result Entry'!AT123="","",'Supp. Result Entry'!AT123)</f>
        <v/>
      </c>
      <c r="R120" s="393" t="str">
        <f>IF('Statement of Marks'!HG124="","",'Statement of Marks'!HG124)</f>
        <v/>
      </c>
      <c r="S120" s="394" t="str">
        <f>IF('Statement of Marks'!FH124="","",'Statement of Marks'!FH124)</f>
        <v/>
      </c>
      <c r="BM120" s="395" t="str">
        <f>'Statement of Marks'!E124</f>
        <v/>
      </c>
      <c r="BN120" s="396" t="str">
        <f t="shared" si="12"/>
        <v/>
      </c>
      <c r="BO120" s="396" t="str">
        <f t="shared" si="13"/>
        <v/>
      </c>
      <c r="BP120" s="396" t="str">
        <f t="shared" si="14"/>
        <v/>
      </c>
      <c r="BQ120" s="396" t="str">
        <f t="shared" si="15"/>
        <v/>
      </c>
      <c r="BR120" s="396" t="str">
        <f t="shared" si="16"/>
        <v/>
      </c>
      <c r="BS120" s="396" t="str">
        <f t="shared" si="17"/>
        <v/>
      </c>
      <c r="BT120" s="396" t="str">
        <f t="shared" si="18"/>
        <v/>
      </c>
      <c r="BU120" s="396" t="str">
        <f t="shared" si="19"/>
        <v/>
      </c>
      <c r="BV120" s="396" t="str">
        <f t="shared" si="20"/>
        <v/>
      </c>
      <c r="BW120" s="396" t="str">
        <f t="shared" si="21"/>
        <v/>
      </c>
      <c r="BX120" s="396" t="str">
        <f t="shared" si="22"/>
        <v/>
      </c>
      <c r="BY120" s="396" t="str">
        <f t="shared" si="23"/>
        <v/>
      </c>
      <c r="BZ120" s="397"/>
    </row>
    <row r="121" spans="1:78" ht="15" customHeight="1">
      <c r="A121" s="386">
        <f>IF('Statement of Marks'!A125="","",'Statement of Marks'!A125)</f>
        <v>118</v>
      </c>
      <c r="B121" s="840" t="str">
        <f>IF('Statement of Marks'!B125="","",'Statement of Marks'!B125)</f>
        <v/>
      </c>
      <c r="C121" s="841" t="str">
        <f>IF('Statement of Marks'!C125="","",'Statement of Marks'!C125)</f>
        <v/>
      </c>
      <c r="D121" s="833" t="str">
        <f>IF('Statement of Marks'!D125="","",'Statement of Marks'!D125)</f>
        <v/>
      </c>
      <c r="E121" s="387" t="str">
        <f>IF('Statement of Marks'!E125="","",'Statement of Marks'!E125)</f>
        <v/>
      </c>
      <c r="F121" s="387" t="str">
        <f>IF('Statement of Marks'!F125="","",'Statement of Marks'!F125)</f>
        <v/>
      </c>
      <c r="G121" s="387" t="str">
        <f>IF('Statement of Marks'!G125="","",'Statement of Marks'!G125)</f>
        <v/>
      </c>
      <c r="H121" s="388" t="str">
        <f>IF('Statement of Marks'!H125="","",'Statement of Marks'!H125)</f>
        <v/>
      </c>
      <c r="I121" s="388" t="str">
        <f>IF('Statement of Marks'!I125="","",'Statement of Marks'!I125)</f>
        <v/>
      </c>
      <c r="J121" s="598" t="str">
        <f>IF('Statement of Marks'!GY125="","",'Statement of Marks'!GY125)</f>
        <v/>
      </c>
      <c r="K121" s="834" t="str">
        <f>IF(B121="","",IF('Statement of Marks'!GZ125="","",'Statement of Marks'!GZ125))</f>
        <v/>
      </c>
      <c r="L121" s="839" t="str">
        <f>IF('Statement of Marks'!HC125="","",'Statement of Marks'!HC125)</f>
        <v/>
      </c>
      <c r="M121" s="389" t="str">
        <f>IF('Statement of Marks'!HB125="","",'Statement of Marks'!HB125)</f>
        <v/>
      </c>
      <c r="N121" s="610" t="str">
        <f>IF('Statement of Marks'!HD125="","",'Statement of Marks'!HD125)</f>
        <v/>
      </c>
      <c r="O121" s="390" t="str">
        <f>IF(J121="FAIL","",IF('Statement of Marks'!GU125="","",'Statement of Marks'!GU125))</f>
        <v xml:space="preserve">    </v>
      </c>
      <c r="P121" s="391" t="str">
        <f>IF('Supp. Result Entry'!AS124="","",'Supp. Result Entry'!AS124)</f>
        <v/>
      </c>
      <c r="Q121" s="392" t="str">
        <f>IF('Supp. Result Entry'!AT124="","",'Supp. Result Entry'!AT124)</f>
        <v/>
      </c>
      <c r="R121" s="393" t="str">
        <f>IF('Statement of Marks'!HG125="","",'Statement of Marks'!HG125)</f>
        <v/>
      </c>
      <c r="S121" s="394" t="str">
        <f>IF('Statement of Marks'!FH125="","",'Statement of Marks'!FH125)</f>
        <v/>
      </c>
      <c r="BM121" s="395" t="str">
        <f>'Statement of Marks'!E125</f>
        <v/>
      </c>
      <c r="BN121" s="396" t="str">
        <f t="shared" si="12"/>
        <v/>
      </c>
      <c r="BO121" s="396" t="str">
        <f t="shared" si="13"/>
        <v/>
      </c>
      <c r="BP121" s="396" t="str">
        <f t="shared" si="14"/>
        <v/>
      </c>
      <c r="BQ121" s="396" t="str">
        <f t="shared" si="15"/>
        <v/>
      </c>
      <c r="BR121" s="396" t="str">
        <f t="shared" si="16"/>
        <v/>
      </c>
      <c r="BS121" s="396" t="str">
        <f t="shared" si="17"/>
        <v/>
      </c>
      <c r="BT121" s="396" t="str">
        <f t="shared" si="18"/>
        <v/>
      </c>
      <c r="BU121" s="396" t="str">
        <f t="shared" si="19"/>
        <v/>
      </c>
      <c r="BV121" s="396" t="str">
        <f t="shared" si="20"/>
        <v/>
      </c>
      <c r="BW121" s="396" t="str">
        <f t="shared" si="21"/>
        <v/>
      </c>
      <c r="BX121" s="396" t="str">
        <f t="shared" si="22"/>
        <v/>
      </c>
      <c r="BY121" s="396" t="str">
        <f t="shared" si="23"/>
        <v/>
      </c>
      <c r="BZ121" s="397"/>
    </row>
    <row r="122" spans="1:78" ht="15" customHeight="1">
      <c r="A122" s="386">
        <f>IF('Statement of Marks'!A126="","",'Statement of Marks'!A126)</f>
        <v>119</v>
      </c>
      <c r="B122" s="840" t="str">
        <f>IF('Statement of Marks'!B126="","",'Statement of Marks'!B126)</f>
        <v/>
      </c>
      <c r="C122" s="841" t="str">
        <f>IF('Statement of Marks'!C126="","",'Statement of Marks'!C126)</f>
        <v/>
      </c>
      <c r="D122" s="833" t="str">
        <f>IF('Statement of Marks'!D126="","",'Statement of Marks'!D126)</f>
        <v/>
      </c>
      <c r="E122" s="387" t="str">
        <f>IF('Statement of Marks'!E126="","",'Statement of Marks'!E126)</f>
        <v/>
      </c>
      <c r="F122" s="387" t="str">
        <f>IF('Statement of Marks'!F126="","",'Statement of Marks'!F126)</f>
        <v/>
      </c>
      <c r="G122" s="387" t="str">
        <f>IF('Statement of Marks'!G126="","",'Statement of Marks'!G126)</f>
        <v/>
      </c>
      <c r="H122" s="388" t="str">
        <f>IF('Statement of Marks'!H126="","",'Statement of Marks'!H126)</f>
        <v/>
      </c>
      <c r="I122" s="388" t="str">
        <f>IF('Statement of Marks'!I126="","",'Statement of Marks'!I126)</f>
        <v/>
      </c>
      <c r="J122" s="598" t="str">
        <f>IF('Statement of Marks'!GY126="","",'Statement of Marks'!GY126)</f>
        <v/>
      </c>
      <c r="K122" s="834" t="str">
        <f>IF(B122="","",IF('Statement of Marks'!GZ126="","",'Statement of Marks'!GZ126))</f>
        <v/>
      </c>
      <c r="L122" s="839" t="str">
        <f>IF('Statement of Marks'!HC126="","",'Statement of Marks'!HC126)</f>
        <v/>
      </c>
      <c r="M122" s="389" t="str">
        <f>IF('Statement of Marks'!HB126="","",'Statement of Marks'!HB126)</f>
        <v/>
      </c>
      <c r="N122" s="610" t="str">
        <f>IF('Statement of Marks'!HD126="","",'Statement of Marks'!HD126)</f>
        <v/>
      </c>
      <c r="O122" s="390" t="str">
        <f>IF(J122="FAIL","",IF('Statement of Marks'!GU126="","",'Statement of Marks'!GU126))</f>
        <v xml:space="preserve">    </v>
      </c>
      <c r="P122" s="391" t="str">
        <f>IF('Supp. Result Entry'!AS125="","",'Supp. Result Entry'!AS125)</f>
        <v/>
      </c>
      <c r="Q122" s="392" t="str">
        <f>IF('Supp. Result Entry'!AT125="","",'Supp. Result Entry'!AT125)</f>
        <v/>
      </c>
      <c r="R122" s="393" t="str">
        <f>IF('Statement of Marks'!HG126="","",'Statement of Marks'!HG126)</f>
        <v/>
      </c>
      <c r="S122" s="394" t="str">
        <f>IF('Statement of Marks'!FH126="","",'Statement of Marks'!FH126)</f>
        <v/>
      </c>
      <c r="BM122" s="395" t="str">
        <f>'Statement of Marks'!E126</f>
        <v/>
      </c>
      <c r="BN122" s="396" t="str">
        <f t="shared" si="12"/>
        <v/>
      </c>
      <c r="BO122" s="396" t="str">
        <f t="shared" si="13"/>
        <v/>
      </c>
      <c r="BP122" s="396" t="str">
        <f t="shared" si="14"/>
        <v/>
      </c>
      <c r="BQ122" s="396" t="str">
        <f t="shared" si="15"/>
        <v/>
      </c>
      <c r="BR122" s="396" t="str">
        <f t="shared" si="16"/>
        <v/>
      </c>
      <c r="BS122" s="396" t="str">
        <f t="shared" si="17"/>
        <v/>
      </c>
      <c r="BT122" s="396" t="str">
        <f t="shared" si="18"/>
        <v/>
      </c>
      <c r="BU122" s="396" t="str">
        <f t="shared" si="19"/>
        <v/>
      </c>
      <c r="BV122" s="396" t="str">
        <f t="shared" si="20"/>
        <v/>
      </c>
      <c r="BW122" s="396" t="str">
        <f t="shared" si="21"/>
        <v/>
      </c>
      <c r="BX122" s="396" t="str">
        <f t="shared" si="22"/>
        <v/>
      </c>
      <c r="BY122" s="396" t="str">
        <f t="shared" si="23"/>
        <v/>
      </c>
      <c r="BZ122" s="397"/>
    </row>
    <row r="123" spans="1:78" ht="15" customHeight="1">
      <c r="A123" s="386">
        <f>IF('Statement of Marks'!A127="","",'Statement of Marks'!A127)</f>
        <v>120</v>
      </c>
      <c r="B123" s="840" t="str">
        <f>IF('Statement of Marks'!B127="","",'Statement of Marks'!B127)</f>
        <v/>
      </c>
      <c r="C123" s="841" t="str">
        <f>IF('Statement of Marks'!C127="","",'Statement of Marks'!C127)</f>
        <v/>
      </c>
      <c r="D123" s="833" t="str">
        <f>IF('Statement of Marks'!D127="","",'Statement of Marks'!D127)</f>
        <v/>
      </c>
      <c r="E123" s="387" t="str">
        <f>IF('Statement of Marks'!E127="","",'Statement of Marks'!E127)</f>
        <v/>
      </c>
      <c r="F123" s="387" t="str">
        <f>IF('Statement of Marks'!F127="","",'Statement of Marks'!F127)</f>
        <v/>
      </c>
      <c r="G123" s="387" t="str">
        <f>IF('Statement of Marks'!G127="","",'Statement of Marks'!G127)</f>
        <v/>
      </c>
      <c r="H123" s="388" t="str">
        <f>IF('Statement of Marks'!H127="","",'Statement of Marks'!H127)</f>
        <v/>
      </c>
      <c r="I123" s="388" t="str">
        <f>IF('Statement of Marks'!I127="","",'Statement of Marks'!I127)</f>
        <v/>
      </c>
      <c r="J123" s="598" t="str">
        <f>IF('Statement of Marks'!GY127="","",'Statement of Marks'!GY127)</f>
        <v/>
      </c>
      <c r="K123" s="834" t="str">
        <f>IF(B123="","",IF('Statement of Marks'!GZ127="","",'Statement of Marks'!GZ127))</f>
        <v/>
      </c>
      <c r="L123" s="839" t="str">
        <f>IF('Statement of Marks'!HC127="","",'Statement of Marks'!HC127)</f>
        <v/>
      </c>
      <c r="M123" s="389" t="str">
        <f>IF('Statement of Marks'!HB127="","",'Statement of Marks'!HB127)</f>
        <v/>
      </c>
      <c r="N123" s="610" t="str">
        <f>IF('Statement of Marks'!HD127="","",'Statement of Marks'!HD127)</f>
        <v/>
      </c>
      <c r="O123" s="390" t="str">
        <f>IF(J123="FAIL","",IF('Statement of Marks'!GU127="","",'Statement of Marks'!GU127))</f>
        <v xml:space="preserve">    </v>
      </c>
      <c r="P123" s="391" t="str">
        <f>IF('Supp. Result Entry'!AS126="","",'Supp. Result Entry'!AS126)</f>
        <v/>
      </c>
      <c r="Q123" s="392" t="str">
        <f>IF('Supp. Result Entry'!AT126="","",'Supp. Result Entry'!AT126)</f>
        <v/>
      </c>
      <c r="R123" s="393" t="str">
        <f>IF('Statement of Marks'!HG127="","",'Statement of Marks'!HG127)</f>
        <v/>
      </c>
      <c r="S123" s="394" t="str">
        <f>IF('Statement of Marks'!FH127="","",'Statement of Marks'!FH127)</f>
        <v/>
      </c>
      <c r="BM123" s="395" t="str">
        <f>'Statement of Marks'!E127</f>
        <v/>
      </c>
      <c r="BN123" s="396" t="str">
        <f t="shared" si="12"/>
        <v/>
      </c>
      <c r="BO123" s="396" t="str">
        <f t="shared" si="13"/>
        <v/>
      </c>
      <c r="BP123" s="396" t="str">
        <f t="shared" si="14"/>
        <v/>
      </c>
      <c r="BQ123" s="396" t="str">
        <f t="shared" si="15"/>
        <v/>
      </c>
      <c r="BR123" s="396" t="str">
        <f t="shared" si="16"/>
        <v/>
      </c>
      <c r="BS123" s="396" t="str">
        <f t="shared" si="17"/>
        <v/>
      </c>
      <c r="BT123" s="396" t="str">
        <f t="shared" si="18"/>
        <v/>
      </c>
      <c r="BU123" s="396" t="str">
        <f t="shared" si="19"/>
        <v/>
      </c>
      <c r="BV123" s="396" t="str">
        <f t="shared" si="20"/>
        <v/>
      </c>
      <c r="BW123" s="396" t="str">
        <f t="shared" si="21"/>
        <v/>
      </c>
      <c r="BX123" s="396" t="str">
        <f t="shared" si="22"/>
        <v/>
      </c>
      <c r="BY123" s="396" t="str">
        <f t="shared" si="23"/>
        <v/>
      </c>
      <c r="BZ123" s="397"/>
    </row>
    <row r="124" spans="1:78" ht="15" customHeight="1">
      <c r="A124" s="386">
        <f>IF('Statement of Marks'!A128="","",'Statement of Marks'!A128)</f>
        <v>121</v>
      </c>
      <c r="B124" s="840" t="str">
        <f>IF('Statement of Marks'!B128="","",'Statement of Marks'!B128)</f>
        <v/>
      </c>
      <c r="C124" s="841" t="str">
        <f>IF('Statement of Marks'!C128="","",'Statement of Marks'!C128)</f>
        <v/>
      </c>
      <c r="D124" s="833" t="str">
        <f>IF('Statement of Marks'!D128="","",'Statement of Marks'!D128)</f>
        <v/>
      </c>
      <c r="E124" s="387" t="str">
        <f>IF('Statement of Marks'!E128="","",'Statement of Marks'!E128)</f>
        <v/>
      </c>
      <c r="F124" s="387" t="str">
        <f>IF('Statement of Marks'!F128="","",'Statement of Marks'!F128)</f>
        <v/>
      </c>
      <c r="G124" s="387" t="str">
        <f>IF('Statement of Marks'!G128="","",'Statement of Marks'!G128)</f>
        <v/>
      </c>
      <c r="H124" s="388" t="str">
        <f>IF('Statement of Marks'!H128="","",'Statement of Marks'!H128)</f>
        <v/>
      </c>
      <c r="I124" s="388" t="str">
        <f>IF('Statement of Marks'!I128="","",'Statement of Marks'!I128)</f>
        <v/>
      </c>
      <c r="J124" s="598" t="str">
        <f>IF('Statement of Marks'!GY128="","",'Statement of Marks'!GY128)</f>
        <v/>
      </c>
      <c r="K124" s="834" t="str">
        <f>IF(B124="","",IF('Statement of Marks'!GZ128="","",'Statement of Marks'!GZ128))</f>
        <v/>
      </c>
      <c r="L124" s="839" t="str">
        <f>IF('Statement of Marks'!HC128="","",'Statement of Marks'!HC128)</f>
        <v/>
      </c>
      <c r="M124" s="389" t="str">
        <f>IF('Statement of Marks'!HB128="","",'Statement of Marks'!HB128)</f>
        <v/>
      </c>
      <c r="N124" s="610" t="str">
        <f>IF('Statement of Marks'!HD128="","",'Statement of Marks'!HD128)</f>
        <v/>
      </c>
      <c r="O124" s="390" t="str">
        <f>IF(J124="FAIL","",IF('Statement of Marks'!GU128="","",'Statement of Marks'!GU128))</f>
        <v xml:space="preserve">    </v>
      </c>
      <c r="P124" s="391" t="str">
        <f>IF('Supp. Result Entry'!AS127="","",'Supp. Result Entry'!AS127)</f>
        <v/>
      </c>
      <c r="Q124" s="392" t="str">
        <f>IF('Supp. Result Entry'!AT127="","",'Supp. Result Entry'!AT127)</f>
        <v/>
      </c>
      <c r="R124" s="393" t="str">
        <f>IF('Statement of Marks'!HG128="","",'Statement of Marks'!HG128)</f>
        <v/>
      </c>
      <c r="S124" s="394" t="str">
        <f>IF('Statement of Marks'!FH128="","",'Statement of Marks'!FH128)</f>
        <v/>
      </c>
      <c r="BM124" s="395" t="str">
        <f>'Statement of Marks'!E128</f>
        <v/>
      </c>
      <c r="BN124" s="396" t="str">
        <f t="shared" si="12"/>
        <v/>
      </c>
      <c r="BO124" s="396" t="str">
        <f t="shared" si="13"/>
        <v/>
      </c>
      <c r="BP124" s="396" t="str">
        <f t="shared" si="14"/>
        <v/>
      </c>
      <c r="BQ124" s="396" t="str">
        <f t="shared" si="15"/>
        <v/>
      </c>
      <c r="BR124" s="396" t="str">
        <f t="shared" si="16"/>
        <v/>
      </c>
      <c r="BS124" s="396" t="str">
        <f t="shared" si="17"/>
        <v/>
      </c>
      <c r="BT124" s="396" t="str">
        <f t="shared" si="18"/>
        <v/>
      </c>
      <c r="BU124" s="396" t="str">
        <f t="shared" si="19"/>
        <v/>
      </c>
      <c r="BV124" s="396" t="str">
        <f t="shared" si="20"/>
        <v/>
      </c>
      <c r="BW124" s="396" t="str">
        <f t="shared" si="21"/>
        <v/>
      </c>
      <c r="BX124" s="396" t="str">
        <f t="shared" si="22"/>
        <v/>
      </c>
      <c r="BY124" s="396" t="str">
        <f t="shared" si="23"/>
        <v/>
      </c>
      <c r="BZ124" s="397"/>
    </row>
    <row r="125" spans="1:78" ht="15" customHeight="1">
      <c r="A125" s="386">
        <f>IF('Statement of Marks'!A129="","",'Statement of Marks'!A129)</f>
        <v>122</v>
      </c>
      <c r="B125" s="840" t="str">
        <f>IF('Statement of Marks'!B129="","",'Statement of Marks'!B129)</f>
        <v/>
      </c>
      <c r="C125" s="841" t="str">
        <f>IF('Statement of Marks'!C129="","",'Statement of Marks'!C129)</f>
        <v/>
      </c>
      <c r="D125" s="833" t="str">
        <f>IF('Statement of Marks'!D129="","",'Statement of Marks'!D129)</f>
        <v/>
      </c>
      <c r="E125" s="387" t="str">
        <f>IF('Statement of Marks'!E129="","",'Statement of Marks'!E129)</f>
        <v/>
      </c>
      <c r="F125" s="387" t="str">
        <f>IF('Statement of Marks'!F129="","",'Statement of Marks'!F129)</f>
        <v/>
      </c>
      <c r="G125" s="387" t="str">
        <f>IF('Statement of Marks'!G129="","",'Statement of Marks'!G129)</f>
        <v/>
      </c>
      <c r="H125" s="388" t="str">
        <f>IF('Statement of Marks'!H129="","",'Statement of Marks'!H129)</f>
        <v/>
      </c>
      <c r="I125" s="388" t="str">
        <f>IF('Statement of Marks'!I129="","",'Statement of Marks'!I129)</f>
        <v/>
      </c>
      <c r="J125" s="598" t="str">
        <f>IF('Statement of Marks'!GY129="","",'Statement of Marks'!GY129)</f>
        <v/>
      </c>
      <c r="K125" s="834" t="str">
        <f>IF(B125="","",IF('Statement of Marks'!GZ129="","",'Statement of Marks'!GZ129))</f>
        <v/>
      </c>
      <c r="L125" s="839" t="str">
        <f>IF('Statement of Marks'!HC129="","",'Statement of Marks'!HC129)</f>
        <v/>
      </c>
      <c r="M125" s="389" t="str">
        <f>IF('Statement of Marks'!HB129="","",'Statement of Marks'!HB129)</f>
        <v/>
      </c>
      <c r="N125" s="610" t="str">
        <f>IF('Statement of Marks'!HD129="","",'Statement of Marks'!HD129)</f>
        <v/>
      </c>
      <c r="O125" s="390" t="str">
        <f>IF(J125="FAIL","",IF('Statement of Marks'!GU129="","",'Statement of Marks'!GU129))</f>
        <v xml:space="preserve">    </v>
      </c>
      <c r="P125" s="391" t="str">
        <f>IF('Supp. Result Entry'!AS128="","",'Supp. Result Entry'!AS128)</f>
        <v/>
      </c>
      <c r="Q125" s="392" t="str">
        <f>IF('Supp. Result Entry'!AT128="","",'Supp. Result Entry'!AT128)</f>
        <v/>
      </c>
      <c r="R125" s="393" t="str">
        <f>IF('Statement of Marks'!HG129="","",'Statement of Marks'!HG129)</f>
        <v/>
      </c>
      <c r="S125" s="394" t="str">
        <f>IF('Statement of Marks'!FH129="","",'Statement of Marks'!FH129)</f>
        <v/>
      </c>
      <c r="BM125" s="395" t="str">
        <f>'Statement of Marks'!E129</f>
        <v/>
      </c>
      <c r="BN125" s="396" t="str">
        <f t="shared" si="12"/>
        <v/>
      </c>
      <c r="BO125" s="396" t="str">
        <f t="shared" si="13"/>
        <v/>
      </c>
      <c r="BP125" s="396" t="str">
        <f t="shared" si="14"/>
        <v/>
      </c>
      <c r="BQ125" s="396" t="str">
        <f t="shared" si="15"/>
        <v/>
      </c>
      <c r="BR125" s="396" t="str">
        <f t="shared" si="16"/>
        <v/>
      </c>
      <c r="BS125" s="396" t="str">
        <f t="shared" si="17"/>
        <v/>
      </c>
      <c r="BT125" s="396" t="str">
        <f t="shared" si="18"/>
        <v/>
      </c>
      <c r="BU125" s="396" t="str">
        <f t="shared" si="19"/>
        <v/>
      </c>
      <c r="BV125" s="396" t="str">
        <f t="shared" si="20"/>
        <v/>
      </c>
      <c r="BW125" s="396" t="str">
        <f t="shared" si="21"/>
        <v/>
      </c>
      <c r="BX125" s="396" t="str">
        <f t="shared" si="22"/>
        <v/>
      </c>
      <c r="BY125" s="396" t="str">
        <f t="shared" si="23"/>
        <v/>
      </c>
      <c r="BZ125" s="397"/>
    </row>
    <row r="126" spans="1:78" ht="15" customHeight="1">
      <c r="A126" s="386">
        <f>IF('Statement of Marks'!A130="","",'Statement of Marks'!A130)</f>
        <v>123</v>
      </c>
      <c r="B126" s="840" t="str">
        <f>IF('Statement of Marks'!B130="","",'Statement of Marks'!B130)</f>
        <v/>
      </c>
      <c r="C126" s="841" t="str">
        <f>IF('Statement of Marks'!C130="","",'Statement of Marks'!C130)</f>
        <v/>
      </c>
      <c r="D126" s="833" t="str">
        <f>IF('Statement of Marks'!D130="","",'Statement of Marks'!D130)</f>
        <v/>
      </c>
      <c r="E126" s="387" t="str">
        <f>IF('Statement of Marks'!E130="","",'Statement of Marks'!E130)</f>
        <v/>
      </c>
      <c r="F126" s="387" t="str">
        <f>IF('Statement of Marks'!F130="","",'Statement of Marks'!F130)</f>
        <v/>
      </c>
      <c r="G126" s="387" t="str">
        <f>IF('Statement of Marks'!G130="","",'Statement of Marks'!G130)</f>
        <v/>
      </c>
      <c r="H126" s="388" t="str">
        <f>IF('Statement of Marks'!H130="","",'Statement of Marks'!H130)</f>
        <v/>
      </c>
      <c r="I126" s="388" t="str">
        <f>IF('Statement of Marks'!I130="","",'Statement of Marks'!I130)</f>
        <v/>
      </c>
      <c r="J126" s="598" t="str">
        <f>IF('Statement of Marks'!GY130="","",'Statement of Marks'!GY130)</f>
        <v/>
      </c>
      <c r="K126" s="834" t="str">
        <f>IF(B126="","",IF('Statement of Marks'!GZ130="","",'Statement of Marks'!GZ130))</f>
        <v/>
      </c>
      <c r="L126" s="839" t="str">
        <f>IF('Statement of Marks'!HC130="","",'Statement of Marks'!HC130)</f>
        <v/>
      </c>
      <c r="M126" s="389" t="str">
        <f>IF('Statement of Marks'!HB130="","",'Statement of Marks'!HB130)</f>
        <v/>
      </c>
      <c r="N126" s="610" t="str">
        <f>IF('Statement of Marks'!HD130="","",'Statement of Marks'!HD130)</f>
        <v/>
      </c>
      <c r="O126" s="390" t="str">
        <f>IF(J126="FAIL","",IF('Statement of Marks'!GU130="","",'Statement of Marks'!GU130))</f>
        <v xml:space="preserve">    </v>
      </c>
      <c r="P126" s="391" t="str">
        <f>IF('Supp. Result Entry'!AS129="","",'Supp. Result Entry'!AS129)</f>
        <v/>
      </c>
      <c r="Q126" s="392" t="str">
        <f>IF('Supp. Result Entry'!AT129="","",'Supp. Result Entry'!AT129)</f>
        <v/>
      </c>
      <c r="R126" s="393" t="str">
        <f>IF('Statement of Marks'!HG130="","",'Statement of Marks'!HG130)</f>
        <v/>
      </c>
      <c r="S126" s="394" t="str">
        <f>IF('Statement of Marks'!FH130="","",'Statement of Marks'!FH130)</f>
        <v/>
      </c>
      <c r="BM126" s="395" t="str">
        <f>'Statement of Marks'!E130</f>
        <v/>
      </c>
      <c r="BN126" s="396" t="str">
        <f t="shared" si="12"/>
        <v/>
      </c>
      <c r="BO126" s="396" t="str">
        <f t="shared" si="13"/>
        <v/>
      </c>
      <c r="BP126" s="396" t="str">
        <f t="shared" si="14"/>
        <v/>
      </c>
      <c r="BQ126" s="396" t="str">
        <f t="shared" si="15"/>
        <v/>
      </c>
      <c r="BR126" s="396" t="str">
        <f t="shared" si="16"/>
        <v/>
      </c>
      <c r="BS126" s="396" t="str">
        <f t="shared" si="17"/>
        <v/>
      </c>
      <c r="BT126" s="396" t="str">
        <f t="shared" si="18"/>
        <v/>
      </c>
      <c r="BU126" s="396" t="str">
        <f t="shared" si="19"/>
        <v/>
      </c>
      <c r="BV126" s="396" t="str">
        <f t="shared" si="20"/>
        <v/>
      </c>
      <c r="BW126" s="396" t="str">
        <f t="shared" si="21"/>
        <v/>
      </c>
      <c r="BX126" s="396" t="str">
        <f t="shared" si="22"/>
        <v/>
      </c>
      <c r="BY126" s="396" t="str">
        <f t="shared" si="23"/>
        <v/>
      </c>
      <c r="BZ126" s="397"/>
    </row>
    <row r="127" spans="1:78" ht="15" customHeight="1">
      <c r="A127" s="386">
        <f>IF('Statement of Marks'!A131="","",'Statement of Marks'!A131)</f>
        <v>124</v>
      </c>
      <c r="B127" s="840" t="str">
        <f>IF('Statement of Marks'!B131="","",'Statement of Marks'!B131)</f>
        <v/>
      </c>
      <c r="C127" s="841" t="str">
        <f>IF('Statement of Marks'!C131="","",'Statement of Marks'!C131)</f>
        <v/>
      </c>
      <c r="D127" s="833" t="str">
        <f>IF('Statement of Marks'!D131="","",'Statement of Marks'!D131)</f>
        <v/>
      </c>
      <c r="E127" s="387" t="str">
        <f>IF('Statement of Marks'!E131="","",'Statement of Marks'!E131)</f>
        <v/>
      </c>
      <c r="F127" s="387" t="str">
        <f>IF('Statement of Marks'!F131="","",'Statement of Marks'!F131)</f>
        <v/>
      </c>
      <c r="G127" s="387" t="str">
        <f>IF('Statement of Marks'!G131="","",'Statement of Marks'!G131)</f>
        <v/>
      </c>
      <c r="H127" s="388" t="str">
        <f>IF('Statement of Marks'!H131="","",'Statement of Marks'!H131)</f>
        <v/>
      </c>
      <c r="I127" s="388" t="str">
        <f>IF('Statement of Marks'!I131="","",'Statement of Marks'!I131)</f>
        <v/>
      </c>
      <c r="J127" s="598" t="str">
        <f>IF('Statement of Marks'!GY131="","",'Statement of Marks'!GY131)</f>
        <v/>
      </c>
      <c r="K127" s="834" t="str">
        <f>IF(B127="","",IF('Statement of Marks'!GZ131="","",'Statement of Marks'!GZ131))</f>
        <v/>
      </c>
      <c r="L127" s="839" t="str">
        <f>IF('Statement of Marks'!HC131="","",'Statement of Marks'!HC131)</f>
        <v/>
      </c>
      <c r="M127" s="389" t="str">
        <f>IF('Statement of Marks'!HB131="","",'Statement of Marks'!HB131)</f>
        <v/>
      </c>
      <c r="N127" s="610" t="str">
        <f>IF('Statement of Marks'!HD131="","",'Statement of Marks'!HD131)</f>
        <v/>
      </c>
      <c r="O127" s="390" t="str">
        <f>IF(J127="FAIL","",IF('Statement of Marks'!GU131="","",'Statement of Marks'!GU131))</f>
        <v xml:space="preserve">    </v>
      </c>
      <c r="P127" s="391" t="str">
        <f>IF('Supp. Result Entry'!AS130="","",'Supp. Result Entry'!AS130)</f>
        <v/>
      </c>
      <c r="Q127" s="392" t="str">
        <f>IF('Supp. Result Entry'!AT130="","",'Supp. Result Entry'!AT130)</f>
        <v/>
      </c>
      <c r="R127" s="393" t="str">
        <f>IF('Statement of Marks'!HG131="","",'Statement of Marks'!HG131)</f>
        <v/>
      </c>
      <c r="S127" s="394" t="str">
        <f>IF('Statement of Marks'!FH131="","",'Statement of Marks'!FH131)</f>
        <v/>
      </c>
      <c r="BM127" s="395" t="str">
        <f>'Statement of Marks'!E131</f>
        <v/>
      </c>
      <c r="BN127" s="396" t="str">
        <f t="shared" si="12"/>
        <v/>
      </c>
      <c r="BO127" s="396" t="str">
        <f t="shared" si="13"/>
        <v/>
      </c>
      <c r="BP127" s="396" t="str">
        <f t="shared" si="14"/>
        <v/>
      </c>
      <c r="BQ127" s="396" t="str">
        <f t="shared" si="15"/>
        <v/>
      </c>
      <c r="BR127" s="396" t="str">
        <f t="shared" si="16"/>
        <v/>
      </c>
      <c r="BS127" s="396" t="str">
        <f t="shared" si="17"/>
        <v/>
      </c>
      <c r="BT127" s="396" t="str">
        <f t="shared" si="18"/>
        <v/>
      </c>
      <c r="BU127" s="396" t="str">
        <f t="shared" si="19"/>
        <v/>
      </c>
      <c r="BV127" s="396" t="str">
        <f t="shared" si="20"/>
        <v/>
      </c>
      <c r="BW127" s="396" t="str">
        <f t="shared" si="21"/>
        <v/>
      </c>
      <c r="BX127" s="396" t="str">
        <f t="shared" si="22"/>
        <v/>
      </c>
      <c r="BY127" s="396" t="str">
        <f t="shared" si="23"/>
        <v/>
      </c>
      <c r="BZ127" s="397"/>
    </row>
    <row r="128" spans="1:78" ht="15" customHeight="1">
      <c r="A128" s="386">
        <f>IF('Statement of Marks'!A132="","",'Statement of Marks'!A132)</f>
        <v>125</v>
      </c>
      <c r="B128" s="840" t="str">
        <f>IF('Statement of Marks'!B132="","",'Statement of Marks'!B132)</f>
        <v/>
      </c>
      <c r="C128" s="841" t="str">
        <f>IF('Statement of Marks'!C132="","",'Statement of Marks'!C132)</f>
        <v/>
      </c>
      <c r="D128" s="833" t="str">
        <f>IF('Statement of Marks'!D132="","",'Statement of Marks'!D132)</f>
        <v/>
      </c>
      <c r="E128" s="387" t="str">
        <f>IF('Statement of Marks'!E132="","",'Statement of Marks'!E132)</f>
        <v/>
      </c>
      <c r="F128" s="387" t="str">
        <f>IF('Statement of Marks'!F132="","",'Statement of Marks'!F132)</f>
        <v/>
      </c>
      <c r="G128" s="387" t="str">
        <f>IF('Statement of Marks'!G132="","",'Statement of Marks'!G132)</f>
        <v/>
      </c>
      <c r="H128" s="388" t="str">
        <f>IF('Statement of Marks'!H132="","",'Statement of Marks'!H132)</f>
        <v/>
      </c>
      <c r="I128" s="388" t="str">
        <f>IF('Statement of Marks'!I132="","",'Statement of Marks'!I132)</f>
        <v/>
      </c>
      <c r="J128" s="598" t="str">
        <f>IF('Statement of Marks'!GY132="","",'Statement of Marks'!GY132)</f>
        <v/>
      </c>
      <c r="K128" s="834" t="str">
        <f>IF(B128="","",IF('Statement of Marks'!GZ132="","",'Statement of Marks'!GZ132))</f>
        <v/>
      </c>
      <c r="L128" s="839" t="str">
        <f>IF('Statement of Marks'!HC132="","",'Statement of Marks'!HC132)</f>
        <v/>
      </c>
      <c r="M128" s="389" t="str">
        <f>IF('Statement of Marks'!HB132="","",'Statement of Marks'!HB132)</f>
        <v/>
      </c>
      <c r="N128" s="610" t="str">
        <f>IF('Statement of Marks'!HD132="","",'Statement of Marks'!HD132)</f>
        <v/>
      </c>
      <c r="O128" s="390" t="str">
        <f>IF(J128="FAIL","",IF('Statement of Marks'!GU132="","",'Statement of Marks'!GU132))</f>
        <v xml:space="preserve">    </v>
      </c>
      <c r="P128" s="391" t="str">
        <f>IF('Supp. Result Entry'!AS131="","",'Supp. Result Entry'!AS131)</f>
        <v/>
      </c>
      <c r="Q128" s="392" t="str">
        <f>IF('Supp. Result Entry'!AT131="","",'Supp. Result Entry'!AT131)</f>
        <v/>
      </c>
      <c r="R128" s="393" t="str">
        <f>IF('Statement of Marks'!HG132="","",'Statement of Marks'!HG132)</f>
        <v/>
      </c>
      <c r="S128" s="394" t="str">
        <f>IF('Statement of Marks'!FH132="","",'Statement of Marks'!FH132)</f>
        <v/>
      </c>
      <c r="BM128" s="395" t="str">
        <f>'Statement of Marks'!E132</f>
        <v/>
      </c>
      <c r="BN128" s="396" t="str">
        <f t="shared" si="12"/>
        <v/>
      </c>
      <c r="BO128" s="396" t="str">
        <f t="shared" si="13"/>
        <v/>
      </c>
      <c r="BP128" s="396" t="str">
        <f t="shared" si="14"/>
        <v/>
      </c>
      <c r="BQ128" s="396" t="str">
        <f t="shared" si="15"/>
        <v/>
      </c>
      <c r="BR128" s="396" t="str">
        <f t="shared" si="16"/>
        <v/>
      </c>
      <c r="BS128" s="396" t="str">
        <f t="shared" si="17"/>
        <v/>
      </c>
      <c r="BT128" s="396" t="str">
        <f t="shared" si="18"/>
        <v/>
      </c>
      <c r="BU128" s="396" t="str">
        <f t="shared" si="19"/>
        <v/>
      </c>
      <c r="BV128" s="396" t="str">
        <f t="shared" si="20"/>
        <v/>
      </c>
      <c r="BW128" s="396" t="str">
        <f t="shared" si="21"/>
        <v/>
      </c>
      <c r="BX128" s="396" t="str">
        <f t="shared" si="22"/>
        <v/>
      </c>
      <c r="BY128" s="396" t="str">
        <f t="shared" si="23"/>
        <v/>
      </c>
      <c r="BZ128" s="397"/>
    </row>
    <row r="129" spans="1:78" ht="15" customHeight="1">
      <c r="A129" s="386">
        <f>IF('Statement of Marks'!A133="","",'Statement of Marks'!A133)</f>
        <v>126</v>
      </c>
      <c r="B129" s="840" t="str">
        <f>IF('Statement of Marks'!B133="","",'Statement of Marks'!B133)</f>
        <v/>
      </c>
      <c r="C129" s="841" t="str">
        <f>IF('Statement of Marks'!C133="","",'Statement of Marks'!C133)</f>
        <v/>
      </c>
      <c r="D129" s="833" t="str">
        <f>IF('Statement of Marks'!D133="","",'Statement of Marks'!D133)</f>
        <v/>
      </c>
      <c r="E129" s="387" t="str">
        <f>IF('Statement of Marks'!E133="","",'Statement of Marks'!E133)</f>
        <v/>
      </c>
      <c r="F129" s="387" t="str">
        <f>IF('Statement of Marks'!F133="","",'Statement of Marks'!F133)</f>
        <v/>
      </c>
      <c r="G129" s="387" t="str">
        <f>IF('Statement of Marks'!G133="","",'Statement of Marks'!G133)</f>
        <v/>
      </c>
      <c r="H129" s="388" t="str">
        <f>IF('Statement of Marks'!H133="","",'Statement of Marks'!H133)</f>
        <v/>
      </c>
      <c r="I129" s="388" t="str">
        <f>IF('Statement of Marks'!I133="","",'Statement of Marks'!I133)</f>
        <v/>
      </c>
      <c r="J129" s="598" t="str">
        <f>IF('Statement of Marks'!GY133="","",'Statement of Marks'!GY133)</f>
        <v/>
      </c>
      <c r="K129" s="834" t="str">
        <f>IF(B129="","",IF('Statement of Marks'!GZ133="","",'Statement of Marks'!GZ133))</f>
        <v/>
      </c>
      <c r="L129" s="839" t="str">
        <f>IF('Statement of Marks'!HC133="","",'Statement of Marks'!HC133)</f>
        <v/>
      </c>
      <c r="M129" s="389" t="str">
        <f>IF('Statement of Marks'!HB133="","",'Statement of Marks'!HB133)</f>
        <v/>
      </c>
      <c r="N129" s="610" t="str">
        <f>IF('Statement of Marks'!HD133="","",'Statement of Marks'!HD133)</f>
        <v/>
      </c>
      <c r="O129" s="390" t="str">
        <f>IF(J129="FAIL","",IF('Statement of Marks'!GU133="","",'Statement of Marks'!GU133))</f>
        <v xml:space="preserve">    </v>
      </c>
      <c r="P129" s="391" t="str">
        <f>IF('Supp. Result Entry'!AS132="","",'Supp. Result Entry'!AS132)</f>
        <v/>
      </c>
      <c r="Q129" s="392" t="str">
        <f>IF('Supp. Result Entry'!AT132="","",'Supp. Result Entry'!AT132)</f>
        <v/>
      </c>
      <c r="R129" s="393" t="str">
        <f>IF('Statement of Marks'!HG133="","",'Statement of Marks'!HG133)</f>
        <v/>
      </c>
      <c r="S129" s="394" t="str">
        <f>IF('Statement of Marks'!FH133="","",'Statement of Marks'!FH133)</f>
        <v/>
      </c>
      <c r="BM129" s="395" t="str">
        <f>'Statement of Marks'!E133</f>
        <v/>
      </c>
      <c r="BN129" s="396" t="str">
        <f t="shared" si="12"/>
        <v/>
      </c>
      <c r="BO129" s="396" t="str">
        <f t="shared" si="13"/>
        <v/>
      </c>
      <c r="BP129" s="396" t="str">
        <f t="shared" si="14"/>
        <v/>
      </c>
      <c r="BQ129" s="396" t="str">
        <f t="shared" si="15"/>
        <v/>
      </c>
      <c r="BR129" s="396" t="str">
        <f t="shared" si="16"/>
        <v/>
      </c>
      <c r="BS129" s="396" t="str">
        <f t="shared" si="17"/>
        <v/>
      </c>
      <c r="BT129" s="396" t="str">
        <f t="shared" si="18"/>
        <v/>
      </c>
      <c r="BU129" s="396" t="str">
        <f t="shared" si="19"/>
        <v/>
      </c>
      <c r="BV129" s="396" t="str">
        <f t="shared" si="20"/>
        <v/>
      </c>
      <c r="BW129" s="396" t="str">
        <f t="shared" si="21"/>
        <v/>
      </c>
      <c r="BX129" s="396" t="str">
        <f t="shared" si="22"/>
        <v/>
      </c>
      <c r="BY129" s="396" t="str">
        <f t="shared" si="23"/>
        <v/>
      </c>
      <c r="BZ129" s="397"/>
    </row>
    <row r="130" spans="1:78" ht="15" customHeight="1">
      <c r="A130" s="386">
        <f>IF('Statement of Marks'!A134="","",'Statement of Marks'!A134)</f>
        <v>127</v>
      </c>
      <c r="B130" s="840" t="str">
        <f>IF('Statement of Marks'!B134="","",'Statement of Marks'!B134)</f>
        <v/>
      </c>
      <c r="C130" s="841" t="str">
        <f>IF('Statement of Marks'!C134="","",'Statement of Marks'!C134)</f>
        <v/>
      </c>
      <c r="D130" s="833" t="str">
        <f>IF('Statement of Marks'!D134="","",'Statement of Marks'!D134)</f>
        <v/>
      </c>
      <c r="E130" s="387" t="str">
        <f>IF('Statement of Marks'!E134="","",'Statement of Marks'!E134)</f>
        <v/>
      </c>
      <c r="F130" s="387" t="str">
        <f>IF('Statement of Marks'!F134="","",'Statement of Marks'!F134)</f>
        <v/>
      </c>
      <c r="G130" s="387" t="str">
        <f>IF('Statement of Marks'!G134="","",'Statement of Marks'!G134)</f>
        <v/>
      </c>
      <c r="H130" s="388" t="str">
        <f>IF('Statement of Marks'!H134="","",'Statement of Marks'!H134)</f>
        <v/>
      </c>
      <c r="I130" s="388" t="str">
        <f>IF('Statement of Marks'!I134="","",'Statement of Marks'!I134)</f>
        <v/>
      </c>
      <c r="J130" s="598" t="str">
        <f>IF('Statement of Marks'!GY134="","",'Statement of Marks'!GY134)</f>
        <v/>
      </c>
      <c r="K130" s="834" t="str">
        <f>IF(B130="","",IF('Statement of Marks'!GZ134="","",'Statement of Marks'!GZ134))</f>
        <v/>
      </c>
      <c r="L130" s="839" t="str">
        <f>IF('Statement of Marks'!HC134="","",'Statement of Marks'!HC134)</f>
        <v/>
      </c>
      <c r="M130" s="389" t="str">
        <f>IF('Statement of Marks'!HB134="","",'Statement of Marks'!HB134)</f>
        <v/>
      </c>
      <c r="N130" s="610" t="str">
        <f>IF('Statement of Marks'!HD134="","",'Statement of Marks'!HD134)</f>
        <v/>
      </c>
      <c r="O130" s="390" t="str">
        <f>IF(J130="FAIL","",IF('Statement of Marks'!GU134="","",'Statement of Marks'!GU134))</f>
        <v xml:space="preserve">    </v>
      </c>
      <c r="P130" s="391" t="str">
        <f>IF('Supp. Result Entry'!AS133="","",'Supp. Result Entry'!AS133)</f>
        <v/>
      </c>
      <c r="Q130" s="392" t="str">
        <f>IF('Supp. Result Entry'!AT133="","",'Supp. Result Entry'!AT133)</f>
        <v/>
      </c>
      <c r="R130" s="393" t="str">
        <f>IF('Statement of Marks'!HG134="","",'Statement of Marks'!HG134)</f>
        <v/>
      </c>
      <c r="S130" s="394" t="str">
        <f>IF('Statement of Marks'!FH134="","",'Statement of Marks'!FH134)</f>
        <v/>
      </c>
      <c r="BM130" s="395" t="str">
        <f>'Statement of Marks'!E134</f>
        <v/>
      </c>
      <c r="BN130" s="396" t="str">
        <f t="shared" si="12"/>
        <v/>
      </c>
      <c r="BO130" s="396" t="str">
        <f t="shared" si="13"/>
        <v/>
      </c>
      <c r="BP130" s="396" t="str">
        <f t="shared" si="14"/>
        <v/>
      </c>
      <c r="BQ130" s="396" t="str">
        <f t="shared" si="15"/>
        <v/>
      </c>
      <c r="BR130" s="396" t="str">
        <f t="shared" si="16"/>
        <v/>
      </c>
      <c r="BS130" s="396" t="str">
        <f t="shared" si="17"/>
        <v/>
      </c>
      <c r="BT130" s="396" t="str">
        <f t="shared" si="18"/>
        <v/>
      </c>
      <c r="BU130" s="396" t="str">
        <f t="shared" si="19"/>
        <v/>
      </c>
      <c r="BV130" s="396" t="str">
        <f t="shared" si="20"/>
        <v/>
      </c>
      <c r="BW130" s="396" t="str">
        <f t="shared" si="21"/>
        <v/>
      </c>
      <c r="BX130" s="396" t="str">
        <f t="shared" si="22"/>
        <v/>
      </c>
      <c r="BY130" s="396" t="str">
        <f t="shared" si="23"/>
        <v/>
      </c>
      <c r="BZ130" s="397"/>
    </row>
    <row r="131" spans="1:78" ht="15" customHeight="1">
      <c r="A131" s="386">
        <f>IF('Statement of Marks'!A135="","",'Statement of Marks'!A135)</f>
        <v>128</v>
      </c>
      <c r="B131" s="840" t="str">
        <f>IF('Statement of Marks'!B135="","",'Statement of Marks'!B135)</f>
        <v/>
      </c>
      <c r="C131" s="841" t="str">
        <f>IF('Statement of Marks'!C135="","",'Statement of Marks'!C135)</f>
        <v/>
      </c>
      <c r="D131" s="833" t="str">
        <f>IF('Statement of Marks'!D135="","",'Statement of Marks'!D135)</f>
        <v/>
      </c>
      <c r="E131" s="387" t="str">
        <f>IF('Statement of Marks'!E135="","",'Statement of Marks'!E135)</f>
        <v/>
      </c>
      <c r="F131" s="387" t="str">
        <f>IF('Statement of Marks'!F135="","",'Statement of Marks'!F135)</f>
        <v/>
      </c>
      <c r="G131" s="387" t="str">
        <f>IF('Statement of Marks'!G135="","",'Statement of Marks'!G135)</f>
        <v/>
      </c>
      <c r="H131" s="388" t="str">
        <f>IF('Statement of Marks'!H135="","",'Statement of Marks'!H135)</f>
        <v/>
      </c>
      <c r="I131" s="388" t="str">
        <f>IF('Statement of Marks'!I135="","",'Statement of Marks'!I135)</f>
        <v/>
      </c>
      <c r="J131" s="598" t="str">
        <f>IF('Statement of Marks'!GY135="","",'Statement of Marks'!GY135)</f>
        <v/>
      </c>
      <c r="K131" s="834" t="str">
        <f>IF(B131="","",IF('Statement of Marks'!GZ135="","",'Statement of Marks'!GZ135))</f>
        <v/>
      </c>
      <c r="L131" s="839" t="str">
        <f>IF('Statement of Marks'!HC135="","",'Statement of Marks'!HC135)</f>
        <v/>
      </c>
      <c r="M131" s="389" t="str">
        <f>IF('Statement of Marks'!HB135="","",'Statement of Marks'!HB135)</f>
        <v/>
      </c>
      <c r="N131" s="610" t="str">
        <f>IF('Statement of Marks'!HD135="","",'Statement of Marks'!HD135)</f>
        <v/>
      </c>
      <c r="O131" s="390" t="str">
        <f>IF(J131="FAIL","",IF('Statement of Marks'!GU135="","",'Statement of Marks'!GU135))</f>
        <v xml:space="preserve">    </v>
      </c>
      <c r="P131" s="391" t="str">
        <f>IF('Supp. Result Entry'!AS134="","",'Supp. Result Entry'!AS134)</f>
        <v/>
      </c>
      <c r="Q131" s="392" t="str">
        <f>IF('Supp. Result Entry'!AT134="","",'Supp. Result Entry'!AT134)</f>
        <v/>
      </c>
      <c r="R131" s="393" t="str">
        <f>IF('Statement of Marks'!HG135="","",'Statement of Marks'!HG135)</f>
        <v/>
      </c>
      <c r="S131" s="394" t="str">
        <f>IF('Statement of Marks'!FH135="","",'Statement of Marks'!FH135)</f>
        <v/>
      </c>
      <c r="BM131" s="395" t="str">
        <f>'Statement of Marks'!E135</f>
        <v/>
      </c>
      <c r="BN131" s="396" t="str">
        <f t="shared" si="12"/>
        <v/>
      </c>
      <c r="BO131" s="396" t="str">
        <f t="shared" si="13"/>
        <v/>
      </c>
      <c r="BP131" s="396" t="str">
        <f t="shared" si="14"/>
        <v/>
      </c>
      <c r="BQ131" s="396" t="str">
        <f t="shared" si="15"/>
        <v/>
      </c>
      <c r="BR131" s="396" t="str">
        <f t="shared" si="16"/>
        <v/>
      </c>
      <c r="BS131" s="396" t="str">
        <f t="shared" si="17"/>
        <v/>
      </c>
      <c r="BT131" s="396" t="str">
        <f t="shared" si="18"/>
        <v/>
      </c>
      <c r="BU131" s="396" t="str">
        <f t="shared" si="19"/>
        <v/>
      </c>
      <c r="BV131" s="396" t="str">
        <f t="shared" si="20"/>
        <v/>
      </c>
      <c r="BW131" s="396" t="str">
        <f t="shared" si="21"/>
        <v/>
      </c>
      <c r="BX131" s="396" t="str">
        <f t="shared" si="22"/>
        <v/>
      </c>
      <c r="BY131" s="396" t="str">
        <f t="shared" si="23"/>
        <v/>
      </c>
      <c r="BZ131" s="397"/>
    </row>
    <row r="132" spans="1:78" ht="15" customHeight="1">
      <c r="A132" s="386">
        <f>IF('Statement of Marks'!A136="","",'Statement of Marks'!A136)</f>
        <v>129</v>
      </c>
      <c r="B132" s="840" t="str">
        <f>IF('Statement of Marks'!B136="","",'Statement of Marks'!B136)</f>
        <v/>
      </c>
      <c r="C132" s="841" t="str">
        <f>IF('Statement of Marks'!C136="","",'Statement of Marks'!C136)</f>
        <v/>
      </c>
      <c r="D132" s="833" t="str">
        <f>IF('Statement of Marks'!D136="","",'Statement of Marks'!D136)</f>
        <v/>
      </c>
      <c r="E132" s="387" t="str">
        <f>IF('Statement of Marks'!E136="","",'Statement of Marks'!E136)</f>
        <v/>
      </c>
      <c r="F132" s="387" t="str">
        <f>IF('Statement of Marks'!F136="","",'Statement of Marks'!F136)</f>
        <v/>
      </c>
      <c r="G132" s="387" t="str">
        <f>IF('Statement of Marks'!G136="","",'Statement of Marks'!G136)</f>
        <v/>
      </c>
      <c r="H132" s="388" t="str">
        <f>IF('Statement of Marks'!H136="","",'Statement of Marks'!H136)</f>
        <v/>
      </c>
      <c r="I132" s="388" t="str">
        <f>IF('Statement of Marks'!I136="","",'Statement of Marks'!I136)</f>
        <v/>
      </c>
      <c r="J132" s="598" t="str">
        <f>IF('Statement of Marks'!GY136="","",'Statement of Marks'!GY136)</f>
        <v/>
      </c>
      <c r="K132" s="834" t="str">
        <f>IF(B132="","",IF('Statement of Marks'!GZ136="","",'Statement of Marks'!GZ136))</f>
        <v/>
      </c>
      <c r="L132" s="839" t="str">
        <f>IF('Statement of Marks'!HC136="","",'Statement of Marks'!HC136)</f>
        <v/>
      </c>
      <c r="M132" s="389" t="str">
        <f>IF('Statement of Marks'!HB136="","",'Statement of Marks'!HB136)</f>
        <v/>
      </c>
      <c r="N132" s="610" t="str">
        <f>IF('Statement of Marks'!HD136="","",'Statement of Marks'!HD136)</f>
        <v/>
      </c>
      <c r="O132" s="390" t="str">
        <f>IF(J132="FAIL","",IF('Statement of Marks'!GU136="","",'Statement of Marks'!GU136))</f>
        <v xml:space="preserve">    </v>
      </c>
      <c r="P132" s="391" t="str">
        <f>IF('Supp. Result Entry'!AS135="","",'Supp. Result Entry'!AS135)</f>
        <v/>
      </c>
      <c r="Q132" s="392" t="str">
        <f>IF('Supp. Result Entry'!AT135="","",'Supp. Result Entry'!AT135)</f>
        <v/>
      </c>
      <c r="R132" s="393" t="str">
        <f>IF('Statement of Marks'!HG136="","",'Statement of Marks'!HG136)</f>
        <v/>
      </c>
      <c r="S132" s="394" t="str">
        <f>IF('Statement of Marks'!FH136="","",'Statement of Marks'!FH136)</f>
        <v/>
      </c>
      <c r="BM132" s="395" t="str">
        <f>'Statement of Marks'!E136</f>
        <v/>
      </c>
      <c r="BN132" s="396" t="str">
        <f t="shared" si="12"/>
        <v/>
      </c>
      <c r="BO132" s="396" t="str">
        <f t="shared" si="13"/>
        <v/>
      </c>
      <c r="BP132" s="396" t="str">
        <f t="shared" si="14"/>
        <v/>
      </c>
      <c r="BQ132" s="396" t="str">
        <f t="shared" si="15"/>
        <v/>
      </c>
      <c r="BR132" s="396" t="str">
        <f t="shared" si="16"/>
        <v/>
      </c>
      <c r="BS132" s="396" t="str">
        <f t="shared" si="17"/>
        <v/>
      </c>
      <c r="BT132" s="396" t="str">
        <f t="shared" si="18"/>
        <v/>
      </c>
      <c r="BU132" s="396" t="str">
        <f t="shared" si="19"/>
        <v/>
      </c>
      <c r="BV132" s="396" t="str">
        <f t="shared" si="20"/>
        <v/>
      </c>
      <c r="BW132" s="396" t="str">
        <f t="shared" si="21"/>
        <v/>
      </c>
      <c r="BX132" s="396" t="str">
        <f t="shared" si="22"/>
        <v/>
      </c>
      <c r="BY132" s="396" t="str">
        <f t="shared" si="23"/>
        <v/>
      </c>
      <c r="BZ132" s="397"/>
    </row>
    <row r="133" spans="1:78" ht="15" customHeight="1">
      <c r="A133" s="386">
        <f>IF('Statement of Marks'!A137="","",'Statement of Marks'!A137)</f>
        <v>130</v>
      </c>
      <c r="B133" s="840" t="str">
        <f>IF('Statement of Marks'!B137="","",'Statement of Marks'!B137)</f>
        <v/>
      </c>
      <c r="C133" s="841" t="str">
        <f>IF('Statement of Marks'!C137="","",'Statement of Marks'!C137)</f>
        <v/>
      </c>
      <c r="D133" s="833" t="str">
        <f>IF('Statement of Marks'!D137="","",'Statement of Marks'!D137)</f>
        <v/>
      </c>
      <c r="E133" s="387" t="str">
        <f>IF('Statement of Marks'!E137="","",'Statement of Marks'!E137)</f>
        <v/>
      </c>
      <c r="F133" s="387" t="str">
        <f>IF('Statement of Marks'!F137="","",'Statement of Marks'!F137)</f>
        <v/>
      </c>
      <c r="G133" s="387" t="str">
        <f>IF('Statement of Marks'!G137="","",'Statement of Marks'!G137)</f>
        <v/>
      </c>
      <c r="H133" s="388" t="str">
        <f>IF('Statement of Marks'!H137="","",'Statement of Marks'!H137)</f>
        <v/>
      </c>
      <c r="I133" s="388" t="str">
        <f>IF('Statement of Marks'!I137="","",'Statement of Marks'!I137)</f>
        <v/>
      </c>
      <c r="J133" s="598" t="str">
        <f>IF('Statement of Marks'!GY137="","",'Statement of Marks'!GY137)</f>
        <v/>
      </c>
      <c r="K133" s="834" t="str">
        <f>IF(B133="","",IF('Statement of Marks'!GZ137="","",'Statement of Marks'!GZ137))</f>
        <v/>
      </c>
      <c r="L133" s="839" t="str">
        <f>IF('Statement of Marks'!HC137="","",'Statement of Marks'!HC137)</f>
        <v/>
      </c>
      <c r="M133" s="389" t="str">
        <f>IF('Statement of Marks'!HB137="","",'Statement of Marks'!HB137)</f>
        <v/>
      </c>
      <c r="N133" s="610" t="str">
        <f>IF('Statement of Marks'!HD137="","",'Statement of Marks'!HD137)</f>
        <v/>
      </c>
      <c r="O133" s="390" t="str">
        <f>IF(J133="FAIL","",IF('Statement of Marks'!GU137="","",'Statement of Marks'!GU137))</f>
        <v xml:space="preserve">    </v>
      </c>
      <c r="P133" s="391" t="str">
        <f>IF('Supp. Result Entry'!AS136="","",'Supp. Result Entry'!AS136)</f>
        <v/>
      </c>
      <c r="Q133" s="392" t="str">
        <f>IF('Supp. Result Entry'!AT136="","",'Supp. Result Entry'!AT136)</f>
        <v/>
      </c>
      <c r="R133" s="393" t="str">
        <f>IF('Statement of Marks'!HG137="","",'Statement of Marks'!HG137)</f>
        <v/>
      </c>
      <c r="S133" s="394" t="str">
        <f>IF('Statement of Marks'!FH137="","",'Statement of Marks'!FH137)</f>
        <v/>
      </c>
      <c r="BM133" s="395" t="str">
        <f>'Statement of Marks'!E137</f>
        <v/>
      </c>
      <c r="BN133" s="396" t="str">
        <f t="shared" ref="BN133:BN196" si="24">IFERROR(IF(AND(M133="",R133="",H133="SC",I133="M"),J133,IF(AND(M133="",H133="SC",I133="M"),R133,IF(AND(R133="",H133="SC",I133="M"),M133,""))),"")</f>
        <v/>
      </c>
      <c r="BO133" s="396" t="str">
        <f t="shared" ref="BO133:BO196" si="25">IFERROR(IF(AND(M133="",R133="",H133="SC",I133="F"),J133,IF(AND(M133="",H133="SC",I133="F"),R133,IF(AND(R133="",H133="SC",I133="F"),M133,""))),"")</f>
        <v/>
      </c>
      <c r="BP133" s="396" t="str">
        <f t="shared" ref="BP133:BP196" si="26">IFERROR(IF(AND(M133="",R133="",H133="ST",I133="M"),J133,IF(AND(M133="",H133="ST",I133="M"),R133,IF(AND(R133="",H133="ST",I133="M"),M133,""))),"")</f>
        <v/>
      </c>
      <c r="BQ133" s="396" t="str">
        <f t="shared" ref="BQ133:BQ196" si="27">IFERROR(IF(AND(M133="",R133="",H133="ST",I133="F"),J133,IF(AND(M133="",H133="ST",I133="F"),R133,IF(AND(R133="",H133="ST",I133="F"),M133,""))),"")</f>
        <v/>
      </c>
      <c r="BR133" s="396" t="str">
        <f t="shared" ref="BR133:BR196" si="28">IFERROR(IF(AND(M133="",R133="",H133="OBC",I133="M"),J133,IF(AND(M133="",H133="OBC",I133="M"),R133,IF(AND(R133="",H133="OBC",I133="M"),M133,""))),"")</f>
        <v/>
      </c>
      <c r="BS133" s="396" t="str">
        <f t="shared" ref="BS133:BS196" si="29">IFERROR(IF(AND(M133="",R133="",H133="OBC",I133="F"),J133,IF(AND(M133="",H133="OBC",I133="F"),R133,IF(AND(R133="",H133="OBC",I133="F"),M133,""))),"")</f>
        <v/>
      </c>
      <c r="BT133" s="396" t="str">
        <f t="shared" ref="BT133:BT196" si="30">IFERROR(IF(AND(M133="",R133="",H133="GEN",I133="M"),J133,IF(AND(M133="",H133="GEN",I133="M"),R133,IF(AND(R133="",H133="GEN",I133="M"),M133,""))),"")</f>
        <v/>
      </c>
      <c r="BU133" s="396" t="str">
        <f t="shared" ref="BU133:BU196" si="31">IFERROR(IF(AND(M133="",R133="",H133="GEN",I133="F"),J133,IF(AND(M133="",H133="GEN",I133="F"),R133,IF(AND(R133="",H133="GEN",I133="F"),M133,""))),"")</f>
        <v/>
      </c>
      <c r="BV133" s="396" t="str">
        <f t="shared" ref="BV133:BV196" si="32">IFERROR(IF(AND(M133="",R133="",H133="MIN",I133="M"),J133,IF(AND(M133="",H133="MIN",I133="M"),R133,IF(AND(R133="",H133="MIN",I133="M"),M133,""))),"")</f>
        <v/>
      </c>
      <c r="BW133" s="396" t="str">
        <f t="shared" ref="BW133:BW196" si="33">IFERROR(IF(AND(M133="",R133="",H133="MIN",I133="F"),J133,IF(AND(M133="",H133="MIN",I133="F"),R133,IF(AND(R133="",H133="MIN",I133="F"),M133,""))),"")</f>
        <v/>
      </c>
      <c r="BX133" s="396" t="str">
        <f t="shared" ref="BX133:BX196" si="34">IFERROR(IF(AND(M133="",R133="",H133="SBC",I133="M"),J133,IF(AND(M133="",H133="SBC",I133="M"),R133,IF(AND(R133="",H133="SBC",I133="M"),M133,""))),"")</f>
        <v/>
      </c>
      <c r="BY133" s="396" t="str">
        <f t="shared" ref="BY133:BY196" si="35">IFERROR(IF(AND(M133="",R133="",H133="SBC",I133="F"),J133,IF(AND(M133="",H133="SBC",I133="F"),R133,IF(AND(R133="",H133="SBC",I133="F"),M133,""))),"")</f>
        <v/>
      </c>
      <c r="BZ133" s="397"/>
    </row>
    <row r="134" spans="1:78" ht="15" customHeight="1">
      <c r="A134" s="386">
        <f>IF('Statement of Marks'!A138="","",'Statement of Marks'!A138)</f>
        <v>131</v>
      </c>
      <c r="B134" s="840" t="str">
        <f>IF('Statement of Marks'!B138="","",'Statement of Marks'!B138)</f>
        <v/>
      </c>
      <c r="C134" s="841" t="str">
        <f>IF('Statement of Marks'!C138="","",'Statement of Marks'!C138)</f>
        <v/>
      </c>
      <c r="D134" s="833" t="str">
        <f>IF('Statement of Marks'!D138="","",'Statement of Marks'!D138)</f>
        <v/>
      </c>
      <c r="E134" s="387" t="str">
        <f>IF('Statement of Marks'!E138="","",'Statement of Marks'!E138)</f>
        <v/>
      </c>
      <c r="F134" s="387" t="str">
        <f>IF('Statement of Marks'!F138="","",'Statement of Marks'!F138)</f>
        <v/>
      </c>
      <c r="G134" s="387" t="str">
        <f>IF('Statement of Marks'!G138="","",'Statement of Marks'!G138)</f>
        <v/>
      </c>
      <c r="H134" s="388" t="str">
        <f>IF('Statement of Marks'!H138="","",'Statement of Marks'!H138)</f>
        <v/>
      </c>
      <c r="I134" s="388" t="str">
        <f>IF('Statement of Marks'!I138="","",'Statement of Marks'!I138)</f>
        <v/>
      </c>
      <c r="J134" s="598" t="str">
        <f>IF('Statement of Marks'!GY138="","",'Statement of Marks'!GY138)</f>
        <v/>
      </c>
      <c r="K134" s="834" t="str">
        <f>IF(B134="","",IF('Statement of Marks'!GZ138="","",'Statement of Marks'!GZ138))</f>
        <v/>
      </c>
      <c r="L134" s="839" t="str">
        <f>IF('Statement of Marks'!HC138="","",'Statement of Marks'!HC138)</f>
        <v/>
      </c>
      <c r="M134" s="389" t="str">
        <f>IF('Statement of Marks'!HB138="","",'Statement of Marks'!HB138)</f>
        <v/>
      </c>
      <c r="N134" s="610" t="str">
        <f>IF('Statement of Marks'!HD138="","",'Statement of Marks'!HD138)</f>
        <v/>
      </c>
      <c r="O134" s="390" t="str">
        <f>IF(J134="FAIL","",IF('Statement of Marks'!GU138="","",'Statement of Marks'!GU138))</f>
        <v xml:space="preserve">    </v>
      </c>
      <c r="P134" s="391" t="str">
        <f>IF('Supp. Result Entry'!AS137="","",'Supp. Result Entry'!AS137)</f>
        <v/>
      </c>
      <c r="Q134" s="392" t="str">
        <f>IF('Supp. Result Entry'!AT137="","",'Supp. Result Entry'!AT137)</f>
        <v/>
      </c>
      <c r="R134" s="393" t="str">
        <f>IF('Statement of Marks'!HG138="","",'Statement of Marks'!HG138)</f>
        <v/>
      </c>
      <c r="S134" s="394" t="str">
        <f>IF('Statement of Marks'!FH138="","",'Statement of Marks'!FH138)</f>
        <v/>
      </c>
      <c r="BM134" s="395" t="str">
        <f>'Statement of Marks'!E138</f>
        <v/>
      </c>
      <c r="BN134" s="396" t="str">
        <f t="shared" si="24"/>
        <v/>
      </c>
      <c r="BO134" s="396" t="str">
        <f t="shared" si="25"/>
        <v/>
      </c>
      <c r="BP134" s="396" t="str">
        <f t="shared" si="26"/>
        <v/>
      </c>
      <c r="BQ134" s="396" t="str">
        <f t="shared" si="27"/>
        <v/>
      </c>
      <c r="BR134" s="396" t="str">
        <f t="shared" si="28"/>
        <v/>
      </c>
      <c r="BS134" s="396" t="str">
        <f t="shared" si="29"/>
        <v/>
      </c>
      <c r="BT134" s="396" t="str">
        <f t="shared" si="30"/>
        <v/>
      </c>
      <c r="BU134" s="396" t="str">
        <f t="shared" si="31"/>
        <v/>
      </c>
      <c r="BV134" s="396" t="str">
        <f t="shared" si="32"/>
        <v/>
      </c>
      <c r="BW134" s="396" t="str">
        <f t="shared" si="33"/>
        <v/>
      </c>
      <c r="BX134" s="396" t="str">
        <f t="shared" si="34"/>
        <v/>
      </c>
      <c r="BY134" s="396" t="str">
        <f t="shared" si="35"/>
        <v/>
      </c>
      <c r="BZ134" s="397"/>
    </row>
    <row r="135" spans="1:78" ht="15" customHeight="1">
      <c r="A135" s="386">
        <f>IF('Statement of Marks'!A139="","",'Statement of Marks'!A139)</f>
        <v>132</v>
      </c>
      <c r="B135" s="840" t="str">
        <f>IF('Statement of Marks'!B139="","",'Statement of Marks'!B139)</f>
        <v/>
      </c>
      <c r="C135" s="841" t="str">
        <f>IF('Statement of Marks'!C139="","",'Statement of Marks'!C139)</f>
        <v/>
      </c>
      <c r="D135" s="833" t="str">
        <f>IF('Statement of Marks'!D139="","",'Statement of Marks'!D139)</f>
        <v/>
      </c>
      <c r="E135" s="387" t="str">
        <f>IF('Statement of Marks'!E139="","",'Statement of Marks'!E139)</f>
        <v/>
      </c>
      <c r="F135" s="387" t="str">
        <f>IF('Statement of Marks'!F139="","",'Statement of Marks'!F139)</f>
        <v/>
      </c>
      <c r="G135" s="387" t="str">
        <f>IF('Statement of Marks'!G139="","",'Statement of Marks'!G139)</f>
        <v/>
      </c>
      <c r="H135" s="388" t="str">
        <f>IF('Statement of Marks'!H139="","",'Statement of Marks'!H139)</f>
        <v/>
      </c>
      <c r="I135" s="388" t="str">
        <f>IF('Statement of Marks'!I139="","",'Statement of Marks'!I139)</f>
        <v/>
      </c>
      <c r="J135" s="598" t="str">
        <f>IF('Statement of Marks'!GY139="","",'Statement of Marks'!GY139)</f>
        <v/>
      </c>
      <c r="K135" s="834" t="str">
        <f>IF(B135="","",IF('Statement of Marks'!GZ139="","",'Statement of Marks'!GZ139))</f>
        <v/>
      </c>
      <c r="L135" s="839" t="str">
        <f>IF('Statement of Marks'!HC139="","",'Statement of Marks'!HC139)</f>
        <v/>
      </c>
      <c r="M135" s="389" t="str">
        <f>IF('Statement of Marks'!HB139="","",'Statement of Marks'!HB139)</f>
        <v/>
      </c>
      <c r="N135" s="610" t="str">
        <f>IF('Statement of Marks'!HD139="","",'Statement of Marks'!HD139)</f>
        <v/>
      </c>
      <c r="O135" s="390" t="str">
        <f>IF(J135="FAIL","",IF('Statement of Marks'!GU139="","",'Statement of Marks'!GU139))</f>
        <v xml:space="preserve">    </v>
      </c>
      <c r="P135" s="391" t="str">
        <f>IF('Supp. Result Entry'!AS138="","",'Supp. Result Entry'!AS138)</f>
        <v/>
      </c>
      <c r="Q135" s="392" t="str">
        <f>IF('Supp. Result Entry'!AT138="","",'Supp. Result Entry'!AT138)</f>
        <v/>
      </c>
      <c r="R135" s="393" t="str">
        <f>IF('Statement of Marks'!HG139="","",'Statement of Marks'!HG139)</f>
        <v/>
      </c>
      <c r="S135" s="394" t="str">
        <f>IF('Statement of Marks'!FH139="","",'Statement of Marks'!FH139)</f>
        <v/>
      </c>
      <c r="BM135" s="395" t="str">
        <f>'Statement of Marks'!E139</f>
        <v/>
      </c>
      <c r="BN135" s="396" t="str">
        <f t="shared" si="24"/>
        <v/>
      </c>
      <c r="BO135" s="396" t="str">
        <f t="shared" si="25"/>
        <v/>
      </c>
      <c r="BP135" s="396" t="str">
        <f t="shared" si="26"/>
        <v/>
      </c>
      <c r="BQ135" s="396" t="str">
        <f t="shared" si="27"/>
        <v/>
      </c>
      <c r="BR135" s="396" t="str">
        <f t="shared" si="28"/>
        <v/>
      </c>
      <c r="BS135" s="396" t="str">
        <f t="shared" si="29"/>
        <v/>
      </c>
      <c r="BT135" s="396" t="str">
        <f t="shared" si="30"/>
        <v/>
      </c>
      <c r="BU135" s="396" t="str">
        <f t="shared" si="31"/>
        <v/>
      </c>
      <c r="BV135" s="396" t="str">
        <f t="shared" si="32"/>
        <v/>
      </c>
      <c r="BW135" s="396" t="str">
        <f t="shared" si="33"/>
        <v/>
      </c>
      <c r="BX135" s="396" t="str">
        <f t="shared" si="34"/>
        <v/>
      </c>
      <c r="BY135" s="396" t="str">
        <f t="shared" si="35"/>
        <v/>
      </c>
      <c r="BZ135" s="397"/>
    </row>
    <row r="136" spans="1:78" ht="15" customHeight="1">
      <c r="A136" s="386">
        <f>IF('Statement of Marks'!A140="","",'Statement of Marks'!A140)</f>
        <v>133</v>
      </c>
      <c r="B136" s="840" t="str">
        <f>IF('Statement of Marks'!B140="","",'Statement of Marks'!B140)</f>
        <v/>
      </c>
      <c r="C136" s="841" t="str">
        <f>IF('Statement of Marks'!C140="","",'Statement of Marks'!C140)</f>
        <v/>
      </c>
      <c r="D136" s="833" t="str">
        <f>IF('Statement of Marks'!D140="","",'Statement of Marks'!D140)</f>
        <v/>
      </c>
      <c r="E136" s="387" t="str">
        <f>IF('Statement of Marks'!E140="","",'Statement of Marks'!E140)</f>
        <v/>
      </c>
      <c r="F136" s="387" t="str">
        <f>IF('Statement of Marks'!F140="","",'Statement of Marks'!F140)</f>
        <v/>
      </c>
      <c r="G136" s="387" t="str">
        <f>IF('Statement of Marks'!G140="","",'Statement of Marks'!G140)</f>
        <v/>
      </c>
      <c r="H136" s="388" t="str">
        <f>IF('Statement of Marks'!H140="","",'Statement of Marks'!H140)</f>
        <v/>
      </c>
      <c r="I136" s="388" t="str">
        <f>IF('Statement of Marks'!I140="","",'Statement of Marks'!I140)</f>
        <v/>
      </c>
      <c r="J136" s="598" t="str">
        <f>IF('Statement of Marks'!GY140="","",'Statement of Marks'!GY140)</f>
        <v/>
      </c>
      <c r="K136" s="834" t="str">
        <f>IF(B136="","",IF('Statement of Marks'!GZ140="","",'Statement of Marks'!GZ140))</f>
        <v/>
      </c>
      <c r="L136" s="839" t="str">
        <f>IF('Statement of Marks'!HC140="","",'Statement of Marks'!HC140)</f>
        <v/>
      </c>
      <c r="M136" s="389" t="str">
        <f>IF('Statement of Marks'!HB140="","",'Statement of Marks'!HB140)</f>
        <v/>
      </c>
      <c r="N136" s="610" t="str">
        <f>IF('Statement of Marks'!HD140="","",'Statement of Marks'!HD140)</f>
        <v/>
      </c>
      <c r="O136" s="390" t="str">
        <f>IF(J136="FAIL","",IF('Statement of Marks'!GU140="","",'Statement of Marks'!GU140))</f>
        <v xml:space="preserve">    </v>
      </c>
      <c r="P136" s="391" t="str">
        <f>IF('Supp. Result Entry'!AS139="","",'Supp. Result Entry'!AS139)</f>
        <v/>
      </c>
      <c r="Q136" s="392" t="str">
        <f>IF('Supp. Result Entry'!AT139="","",'Supp. Result Entry'!AT139)</f>
        <v/>
      </c>
      <c r="R136" s="393" t="str">
        <f>IF('Statement of Marks'!HG140="","",'Statement of Marks'!HG140)</f>
        <v/>
      </c>
      <c r="S136" s="394" t="str">
        <f>IF('Statement of Marks'!FH140="","",'Statement of Marks'!FH140)</f>
        <v/>
      </c>
      <c r="BM136" s="395" t="str">
        <f>'Statement of Marks'!E140</f>
        <v/>
      </c>
      <c r="BN136" s="396" t="str">
        <f t="shared" si="24"/>
        <v/>
      </c>
      <c r="BO136" s="396" t="str">
        <f t="shared" si="25"/>
        <v/>
      </c>
      <c r="BP136" s="396" t="str">
        <f t="shared" si="26"/>
        <v/>
      </c>
      <c r="BQ136" s="396" t="str">
        <f t="shared" si="27"/>
        <v/>
      </c>
      <c r="BR136" s="396" t="str">
        <f t="shared" si="28"/>
        <v/>
      </c>
      <c r="BS136" s="396" t="str">
        <f t="shared" si="29"/>
        <v/>
      </c>
      <c r="BT136" s="396" t="str">
        <f t="shared" si="30"/>
        <v/>
      </c>
      <c r="BU136" s="396" t="str">
        <f t="shared" si="31"/>
        <v/>
      </c>
      <c r="BV136" s="396" t="str">
        <f t="shared" si="32"/>
        <v/>
      </c>
      <c r="BW136" s="396" t="str">
        <f t="shared" si="33"/>
        <v/>
      </c>
      <c r="BX136" s="396" t="str">
        <f t="shared" si="34"/>
        <v/>
      </c>
      <c r="BY136" s="396" t="str">
        <f t="shared" si="35"/>
        <v/>
      </c>
      <c r="BZ136" s="397"/>
    </row>
    <row r="137" spans="1:78" ht="15" customHeight="1">
      <c r="A137" s="386">
        <f>IF('Statement of Marks'!A141="","",'Statement of Marks'!A141)</f>
        <v>134</v>
      </c>
      <c r="B137" s="840" t="str">
        <f>IF('Statement of Marks'!B141="","",'Statement of Marks'!B141)</f>
        <v/>
      </c>
      <c r="C137" s="841" t="str">
        <f>IF('Statement of Marks'!C141="","",'Statement of Marks'!C141)</f>
        <v/>
      </c>
      <c r="D137" s="833" t="str">
        <f>IF('Statement of Marks'!D141="","",'Statement of Marks'!D141)</f>
        <v/>
      </c>
      <c r="E137" s="387" t="str">
        <f>IF('Statement of Marks'!E141="","",'Statement of Marks'!E141)</f>
        <v/>
      </c>
      <c r="F137" s="387" t="str">
        <f>IF('Statement of Marks'!F141="","",'Statement of Marks'!F141)</f>
        <v/>
      </c>
      <c r="G137" s="387" t="str">
        <f>IF('Statement of Marks'!G141="","",'Statement of Marks'!G141)</f>
        <v/>
      </c>
      <c r="H137" s="388" t="str">
        <f>IF('Statement of Marks'!H141="","",'Statement of Marks'!H141)</f>
        <v/>
      </c>
      <c r="I137" s="388" t="str">
        <f>IF('Statement of Marks'!I141="","",'Statement of Marks'!I141)</f>
        <v/>
      </c>
      <c r="J137" s="598" t="str">
        <f>IF('Statement of Marks'!GY141="","",'Statement of Marks'!GY141)</f>
        <v/>
      </c>
      <c r="K137" s="834" t="str">
        <f>IF(B137="","",IF('Statement of Marks'!GZ141="","",'Statement of Marks'!GZ141))</f>
        <v/>
      </c>
      <c r="L137" s="839" t="str">
        <f>IF('Statement of Marks'!HC141="","",'Statement of Marks'!HC141)</f>
        <v/>
      </c>
      <c r="M137" s="389" t="str">
        <f>IF('Statement of Marks'!HB141="","",'Statement of Marks'!HB141)</f>
        <v/>
      </c>
      <c r="N137" s="610" t="str">
        <f>IF('Statement of Marks'!HD141="","",'Statement of Marks'!HD141)</f>
        <v/>
      </c>
      <c r="O137" s="390" t="str">
        <f>IF(J137="FAIL","",IF('Statement of Marks'!GU141="","",'Statement of Marks'!GU141))</f>
        <v xml:space="preserve">    </v>
      </c>
      <c r="P137" s="391" t="str">
        <f>IF('Supp. Result Entry'!AS140="","",'Supp. Result Entry'!AS140)</f>
        <v/>
      </c>
      <c r="Q137" s="392" t="str">
        <f>IF('Supp. Result Entry'!AT140="","",'Supp. Result Entry'!AT140)</f>
        <v/>
      </c>
      <c r="R137" s="393" t="str">
        <f>IF('Statement of Marks'!HG141="","",'Statement of Marks'!HG141)</f>
        <v/>
      </c>
      <c r="S137" s="394" t="str">
        <f>IF('Statement of Marks'!FH141="","",'Statement of Marks'!FH141)</f>
        <v/>
      </c>
      <c r="BM137" s="395" t="str">
        <f>'Statement of Marks'!E141</f>
        <v/>
      </c>
      <c r="BN137" s="396" t="str">
        <f t="shared" si="24"/>
        <v/>
      </c>
      <c r="BO137" s="396" t="str">
        <f t="shared" si="25"/>
        <v/>
      </c>
      <c r="BP137" s="396" t="str">
        <f t="shared" si="26"/>
        <v/>
      </c>
      <c r="BQ137" s="396" t="str">
        <f t="shared" si="27"/>
        <v/>
      </c>
      <c r="BR137" s="396" t="str">
        <f t="shared" si="28"/>
        <v/>
      </c>
      <c r="BS137" s="396" t="str">
        <f t="shared" si="29"/>
        <v/>
      </c>
      <c r="BT137" s="396" t="str">
        <f t="shared" si="30"/>
        <v/>
      </c>
      <c r="BU137" s="396" t="str">
        <f t="shared" si="31"/>
        <v/>
      </c>
      <c r="BV137" s="396" t="str">
        <f t="shared" si="32"/>
        <v/>
      </c>
      <c r="BW137" s="396" t="str">
        <f t="shared" si="33"/>
        <v/>
      </c>
      <c r="BX137" s="396" t="str">
        <f t="shared" si="34"/>
        <v/>
      </c>
      <c r="BY137" s="396" t="str">
        <f t="shared" si="35"/>
        <v/>
      </c>
      <c r="BZ137" s="397"/>
    </row>
    <row r="138" spans="1:78" ht="15" customHeight="1">
      <c r="A138" s="386">
        <f>IF('Statement of Marks'!A142="","",'Statement of Marks'!A142)</f>
        <v>135</v>
      </c>
      <c r="B138" s="840" t="str">
        <f>IF('Statement of Marks'!B142="","",'Statement of Marks'!B142)</f>
        <v/>
      </c>
      <c r="C138" s="841" t="str">
        <f>IF('Statement of Marks'!C142="","",'Statement of Marks'!C142)</f>
        <v/>
      </c>
      <c r="D138" s="833" t="str">
        <f>IF('Statement of Marks'!D142="","",'Statement of Marks'!D142)</f>
        <v/>
      </c>
      <c r="E138" s="387" t="str">
        <f>IF('Statement of Marks'!E142="","",'Statement of Marks'!E142)</f>
        <v/>
      </c>
      <c r="F138" s="387" t="str">
        <f>IF('Statement of Marks'!F142="","",'Statement of Marks'!F142)</f>
        <v/>
      </c>
      <c r="G138" s="387" t="str">
        <f>IF('Statement of Marks'!G142="","",'Statement of Marks'!G142)</f>
        <v/>
      </c>
      <c r="H138" s="388" t="str">
        <f>IF('Statement of Marks'!H142="","",'Statement of Marks'!H142)</f>
        <v/>
      </c>
      <c r="I138" s="388" t="str">
        <f>IF('Statement of Marks'!I142="","",'Statement of Marks'!I142)</f>
        <v/>
      </c>
      <c r="J138" s="598" t="str">
        <f>IF('Statement of Marks'!GY142="","",'Statement of Marks'!GY142)</f>
        <v/>
      </c>
      <c r="K138" s="834" t="str">
        <f>IF(B138="","",IF('Statement of Marks'!GZ142="","",'Statement of Marks'!GZ142))</f>
        <v/>
      </c>
      <c r="L138" s="839" t="str">
        <f>IF('Statement of Marks'!HC142="","",'Statement of Marks'!HC142)</f>
        <v/>
      </c>
      <c r="M138" s="389" t="str">
        <f>IF('Statement of Marks'!HB142="","",'Statement of Marks'!HB142)</f>
        <v/>
      </c>
      <c r="N138" s="610" t="str">
        <f>IF('Statement of Marks'!HD142="","",'Statement of Marks'!HD142)</f>
        <v/>
      </c>
      <c r="O138" s="390" t="str">
        <f>IF(J138="FAIL","",IF('Statement of Marks'!GU142="","",'Statement of Marks'!GU142))</f>
        <v xml:space="preserve">    </v>
      </c>
      <c r="P138" s="391" t="str">
        <f>IF('Supp. Result Entry'!AS141="","",'Supp. Result Entry'!AS141)</f>
        <v/>
      </c>
      <c r="Q138" s="392" t="str">
        <f>IF('Supp. Result Entry'!AT141="","",'Supp. Result Entry'!AT141)</f>
        <v/>
      </c>
      <c r="R138" s="393" t="str">
        <f>IF('Statement of Marks'!HG142="","",'Statement of Marks'!HG142)</f>
        <v/>
      </c>
      <c r="S138" s="394" t="str">
        <f>IF('Statement of Marks'!FH142="","",'Statement of Marks'!FH142)</f>
        <v/>
      </c>
      <c r="BM138" s="395" t="str">
        <f>'Statement of Marks'!E142</f>
        <v/>
      </c>
      <c r="BN138" s="396" t="str">
        <f t="shared" si="24"/>
        <v/>
      </c>
      <c r="BO138" s="396" t="str">
        <f t="shared" si="25"/>
        <v/>
      </c>
      <c r="BP138" s="396" t="str">
        <f t="shared" si="26"/>
        <v/>
      </c>
      <c r="BQ138" s="396" t="str">
        <f t="shared" si="27"/>
        <v/>
      </c>
      <c r="BR138" s="396" t="str">
        <f t="shared" si="28"/>
        <v/>
      </c>
      <c r="BS138" s="396" t="str">
        <f t="shared" si="29"/>
        <v/>
      </c>
      <c r="BT138" s="396" t="str">
        <f t="shared" si="30"/>
        <v/>
      </c>
      <c r="BU138" s="396" t="str">
        <f t="shared" si="31"/>
        <v/>
      </c>
      <c r="BV138" s="396" t="str">
        <f t="shared" si="32"/>
        <v/>
      </c>
      <c r="BW138" s="396" t="str">
        <f t="shared" si="33"/>
        <v/>
      </c>
      <c r="BX138" s="396" t="str">
        <f t="shared" si="34"/>
        <v/>
      </c>
      <c r="BY138" s="396" t="str">
        <f t="shared" si="35"/>
        <v/>
      </c>
      <c r="BZ138" s="397"/>
    </row>
    <row r="139" spans="1:78" ht="15" customHeight="1">
      <c r="A139" s="386">
        <f>IF('Statement of Marks'!A143="","",'Statement of Marks'!A143)</f>
        <v>136</v>
      </c>
      <c r="B139" s="840" t="str">
        <f>IF('Statement of Marks'!B143="","",'Statement of Marks'!B143)</f>
        <v/>
      </c>
      <c r="C139" s="841" t="str">
        <f>IF('Statement of Marks'!C143="","",'Statement of Marks'!C143)</f>
        <v/>
      </c>
      <c r="D139" s="833" t="str">
        <f>IF('Statement of Marks'!D143="","",'Statement of Marks'!D143)</f>
        <v/>
      </c>
      <c r="E139" s="387" t="str">
        <f>IF('Statement of Marks'!E143="","",'Statement of Marks'!E143)</f>
        <v/>
      </c>
      <c r="F139" s="387" t="str">
        <f>IF('Statement of Marks'!F143="","",'Statement of Marks'!F143)</f>
        <v/>
      </c>
      <c r="G139" s="387" t="str">
        <f>IF('Statement of Marks'!G143="","",'Statement of Marks'!G143)</f>
        <v/>
      </c>
      <c r="H139" s="388" t="str">
        <f>IF('Statement of Marks'!H143="","",'Statement of Marks'!H143)</f>
        <v/>
      </c>
      <c r="I139" s="388" t="str">
        <f>IF('Statement of Marks'!I143="","",'Statement of Marks'!I143)</f>
        <v/>
      </c>
      <c r="J139" s="598" t="str">
        <f>IF('Statement of Marks'!GY143="","",'Statement of Marks'!GY143)</f>
        <v/>
      </c>
      <c r="K139" s="834" t="str">
        <f>IF(B139="","",IF('Statement of Marks'!GZ143="","",'Statement of Marks'!GZ143))</f>
        <v/>
      </c>
      <c r="L139" s="839" t="str">
        <f>IF('Statement of Marks'!HC143="","",'Statement of Marks'!HC143)</f>
        <v/>
      </c>
      <c r="M139" s="389" t="str">
        <f>IF('Statement of Marks'!HB143="","",'Statement of Marks'!HB143)</f>
        <v/>
      </c>
      <c r="N139" s="610" t="str">
        <f>IF('Statement of Marks'!HD143="","",'Statement of Marks'!HD143)</f>
        <v/>
      </c>
      <c r="O139" s="390" t="str">
        <f>IF(J139="FAIL","",IF('Statement of Marks'!GU143="","",'Statement of Marks'!GU143))</f>
        <v xml:space="preserve">    </v>
      </c>
      <c r="P139" s="391" t="str">
        <f>IF('Supp. Result Entry'!AS142="","",'Supp. Result Entry'!AS142)</f>
        <v/>
      </c>
      <c r="Q139" s="392" t="str">
        <f>IF('Supp. Result Entry'!AT142="","",'Supp. Result Entry'!AT142)</f>
        <v/>
      </c>
      <c r="R139" s="393" t="str">
        <f>IF('Statement of Marks'!HG143="","",'Statement of Marks'!HG143)</f>
        <v/>
      </c>
      <c r="S139" s="394" t="str">
        <f>IF('Statement of Marks'!FH143="","",'Statement of Marks'!FH143)</f>
        <v/>
      </c>
      <c r="BM139" s="395" t="str">
        <f>'Statement of Marks'!E143</f>
        <v/>
      </c>
      <c r="BN139" s="396" t="str">
        <f t="shared" si="24"/>
        <v/>
      </c>
      <c r="BO139" s="396" t="str">
        <f t="shared" si="25"/>
        <v/>
      </c>
      <c r="BP139" s="396" t="str">
        <f t="shared" si="26"/>
        <v/>
      </c>
      <c r="BQ139" s="396" t="str">
        <f t="shared" si="27"/>
        <v/>
      </c>
      <c r="BR139" s="396" t="str">
        <f t="shared" si="28"/>
        <v/>
      </c>
      <c r="BS139" s="396" t="str">
        <f t="shared" si="29"/>
        <v/>
      </c>
      <c r="BT139" s="396" t="str">
        <f t="shared" si="30"/>
        <v/>
      </c>
      <c r="BU139" s="396" t="str">
        <f t="shared" si="31"/>
        <v/>
      </c>
      <c r="BV139" s="396" t="str">
        <f t="shared" si="32"/>
        <v/>
      </c>
      <c r="BW139" s="396" t="str">
        <f t="shared" si="33"/>
        <v/>
      </c>
      <c r="BX139" s="396" t="str">
        <f t="shared" si="34"/>
        <v/>
      </c>
      <c r="BY139" s="396" t="str">
        <f t="shared" si="35"/>
        <v/>
      </c>
      <c r="BZ139" s="397"/>
    </row>
    <row r="140" spans="1:78" ht="15" customHeight="1">
      <c r="A140" s="386">
        <f>IF('Statement of Marks'!A144="","",'Statement of Marks'!A144)</f>
        <v>137</v>
      </c>
      <c r="B140" s="840" t="str">
        <f>IF('Statement of Marks'!B144="","",'Statement of Marks'!B144)</f>
        <v/>
      </c>
      <c r="C140" s="841" t="str">
        <f>IF('Statement of Marks'!C144="","",'Statement of Marks'!C144)</f>
        <v/>
      </c>
      <c r="D140" s="833" t="str">
        <f>IF('Statement of Marks'!D144="","",'Statement of Marks'!D144)</f>
        <v/>
      </c>
      <c r="E140" s="387" t="str">
        <f>IF('Statement of Marks'!E144="","",'Statement of Marks'!E144)</f>
        <v/>
      </c>
      <c r="F140" s="387" t="str">
        <f>IF('Statement of Marks'!F144="","",'Statement of Marks'!F144)</f>
        <v/>
      </c>
      <c r="G140" s="387" t="str">
        <f>IF('Statement of Marks'!G144="","",'Statement of Marks'!G144)</f>
        <v/>
      </c>
      <c r="H140" s="388" t="str">
        <f>IF('Statement of Marks'!H144="","",'Statement of Marks'!H144)</f>
        <v/>
      </c>
      <c r="I140" s="388" t="str">
        <f>IF('Statement of Marks'!I144="","",'Statement of Marks'!I144)</f>
        <v/>
      </c>
      <c r="J140" s="598" t="str">
        <f>IF('Statement of Marks'!GY144="","",'Statement of Marks'!GY144)</f>
        <v/>
      </c>
      <c r="K140" s="834" t="str">
        <f>IF(B140="","",IF('Statement of Marks'!GZ144="","",'Statement of Marks'!GZ144))</f>
        <v/>
      </c>
      <c r="L140" s="839" t="str">
        <f>IF('Statement of Marks'!HC144="","",'Statement of Marks'!HC144)</f>
        <v/>
      </c>
      <c r="M140" s="389" t="str">
        <f>IF('Statement of Marks'!HB144="","",'Statement of Marks'!HB144)</f>
        <v/>
      </c>
      <c r="N140" s="610" t="str">
        <f>IF('Statement of Marks'!HD144="","",'Statement of Marks'!HD144)</f>
        <v/>
      </c>
      <c r="O140" s="390" t="str">
        <f>IF(J140="FAIL","",IF('Statement of Marks'!GU144="","",'Statement of Marks'!GU144))</f>
        <v xml:space="preserve">    </v>
      </c>
      <c r="P140" s="391" t="str">
        <f>IF('Supp. Result Entry'!AS143="","",'Supp. Result Entry'!AS143)</f>
        <v/>
      </c>
      <c r="Q140" s="392" t="str">
        <f>IF('Supp. Result Entry'!AT143="","",'Supp. Result Entry'!AT143)</f>
        <v/>
      </c>
      <c r="R140" s="393" t="str">
        <f>IF('Statement of Marks'!HG144="","",'Statement of Marks'!HG144)</f>
        <v/>
      </c>
      <c r="S140" s="394" t="str">
        <f>IF('Statement of Marks'!FH144="","",'Statement of Marks'!FH144)</f>
        <v/>
      </c>
      <c r="BM140" s="395" t="str">
        <f>'Statement of Marks'!E144</f>
        <v/>
      </c>
      <c r="BN140" s="396" t="str">
        <f t="shared" si="24"/>
        <v/>
      </c>
      <c r="BO140" s="396" t="str">
        <f t="shared" si="25"/>
        <v/>
      </c>
      <c r="BP140" s="396" t="str">
        <f t="shared" si="26"/>
        <v/>
      </c>
      <c r="BQ140" s="396" t="str">
        <f t="shared" si="27"/>
        <v/>
      </c>
      <c r="BR140" s="396" t="str">
        <f t="shared" si="28"/>
        <v/>
      </c>
      <c r="BS140" s="396" t="str">
        <f t="shared" si="29"/>
        <v/>
      </c>
      <c r="BT140" s="396" t="str">
        <f t="shared" si="30"/>
        <v/>
      </c>
      <c r="BU140" s="396" t="str">
        <f t="shared" si="31"/>
        <v/>
      </c>
      <c r="BV140" s="396" t="str">
        <f t="shared" si="32"/>
        <v/>
      </c>
      <c r="BW140" s="396" t="str">
        <f t="shared" si="33"/>
        <v/>
      </c>
      <c r="BX140" s="396" t="str">
        <f t="shared" si="34"/>
        <v/>
      </c>
      <c r="BY140" s="396" t="str">
        <f t="shared" si="35"/>
        <v/>
      </c>
      <c r="BZ140" s="397"/>
    </row>
    <row r="141" spans="1:78" ht="15" customHeight="1">
      <c r="A141" s="386">
        <f>IF('Statement of Marks'!A145="","",'Statement of Marks'!A145)</f>
        <v>138</v>
      </c>
      <c r="B141" s="840" t="str">
        <f>IF('Statement of Marks'!B145="","",'Statement of Marks'!B145)</f>
        <v/>
      </c>
      <c r="C141" s="841" t="str">
        <f>IF('Statement of Marks'!C145="","",'Statement of Marks'!C145)</f>
        <v/>
      </c>
      <c r="D141" s="833" t="str">
        <f>IF('Statement of Marks'!D145="","",'Statement of Marks'!D145)</f>
        <v/>
      </c>
      <c r="E141" s="387" t="str">
        <f>IF('Statement of Marks'!E145="","",'Statement of Marks'!E145)</f>
        <v/>
      </c>
      <c r="F141" s="387" t="str">
        <f>IF('Statement of Marks'!F145="","",'Statement of Marks'!F145)</f>
        <v/>
      </c>
      <c r="G141" s="387" t="str">
        <f>IF('Statement of Marks'!G145="","",'Statement of Marks'!G145)</f>
        <v/>
      </c>
      <c r="H141" s="388" t="str">
        <f>IF('Statement of Marks'!H145="","",'Statement of Marks'!H145)</f>
        <v/>
      </c>
      <c r="I141" s="388" t="str">
        <f>IF('Statement of Marks'!I145="","",'Statement of Marks'!I145)</f>
        <v/>
      </c>
      <c r="J141" s="598" t="str">
        <f>IF('Statement of Marks'!GY145="","",'Statement of Marks'!GY145)</f>
        <v/>
      </c>
      <c r="K141" s="834" t="str">
        <f>IF(B141="","",IF('Statement of Marks'!GZ145="","",'Statement of Marks'!GZ145))</f>
        <v/>
      </c>
      <c r="L141" s="839" t="str">
        <f>IF('Statement of Marks'!HC145="","",'Statement of Marks'!HC145)</f>
        <v/>
      </c>
      <c r="M141" s="389" t="str">
        <f>IF('Statement of Marks'!HB145="","",'Statement of Marks'!HB145)</f>
        <v/>
      </c>
      <c r="N141" s="610" t="str">
        <f>IF('Statement of Marks'!HD145="","",'Statement of Marks'!HD145)</f>
        <v/>
      </c>
      <c r="O141" s="390" t="str">
        <f>IF(J141="FAIL","",IF('Statement of Marks'!GU145="","",'Statement of Marks'!GU145))</f>
        <v xml:space="preserve">    </v>
      </c>
      <c r="P141" s="391" t="str">
        <f>IF('Supp. Result Entry'!AS144="","",'Supp. Result Entry'!AS144)</f>
        <v/>
      </c>
      <c r="Q141" s="392" t="str">
        <f>IF('Supp. Result Entry'!AT144="","",'Supp. Result Entry'!AT144)</f>
        <v/>
      </c>
      <c r="R141" s="393" t="str">
        <f>IF('Statement of Marks'!HG145="","",'Statement of Marks'!HG145)</f>
        <v/>
      </c>
      <c r="S141" s="394" t="str">
        <f>IF('Statement of Marks'!FH145="","",'Statement of Marks'!FH145)</f>
        <v/>
      </c>
      <c r="BM141" s="395" t="str">
        <f>'Statement of Marks'!E145</f>
        <v/>
      </c>
      <c r="BN141" s="396" t="str">
        <f t="shared" si="24"/>
        <v/>
      </c>
      <c r="BO141" s="396" t="str">
        <f t="shared" si="25"/>
        <v/>
      </c>
      <c r="BP141" s="396" t="str">
        <f t="shared" si="26"/>
        <v/>
      </c>
      <c r="BQ141" s="396" t="str">
        <f t="shared" si="27"/>
        <v/>
      </c>
      <c r="BR141" s="396" t="str">
        <f t="shared" si="28"/>
        <v/>
      </c>
      <c r="BS141" s="396" t="str">
        <f t="shared" si="29"/>
        <v/>
      </c>
      <c r="BT141" s="396" t="str">
        <f t="shared" si="30"/>
        <v/>
      </c>
      <c r="BU141" s="396" t="str">
        <f t="shared" si="31"/>
        <v/>
      </c>
      <c r="BV141" s="396" t="str">
        <f t="shared" si="32"/>
        <v/>
      </c>
      <c r="BW141" s="396" t="str">
        <f t="shared" si="33"/>
        <v/>
      </c>
      <c r="BX141" s="396" t="str">
        <f t="shared" si="34"/>
        <v/>
      </c>
      <c r="BY141" s="396" t="str">
        <f t="shared" si="35"/>
        <v/>
      </c>
      <c r="BZ141" s="397"/>
    </row>
    <row r="142" spans="1:78" ht="15" customHeight="1">
      <c r="A142" s="386">
        <f>IF('Statement of Marks'!A146="","",'Statement of Marks'!A146)</f>
        <v>139</v>
      </c>
      <c r="B142" s="840" t="str">
        <f>IF('Statement of Marks'!B146="","",'Statement of Marks'!B146)</f>
        <v/>
      </c>
      <c r="C142" s="841" t="str">
        <f>IF('Statement of Marks'!C146="","",'Statement of Marks'!C146)</f>
        <v/>
      </c>
      <c r="D142" s="833" t="str">
        <f>IF('Statement of Marks'!D146="","",'Statement of Marks'!D146)</f>
        <v/>
      </c>
      <c r="E142" s="387" t="str">
        <f>IF('Statement of Marks'!E146="","",'Statement of Marks'!E146)</f>
        <v/>
      </c>
      <c r="F142" s="387" t="str">
        <f>IF('Statement of Marks'!F146="","",'Statement of Marks'!F146)</f>
        <v/>
      </c>
      <c r="G142" s="387" t="str">
        <f>IF('Statement of Marks'!G146="","",'Statement of Marks'!G146)</f>
        <v/>
      </c>
      <c r="H142" s="388" t="str">
        <f>IF('Statement of Marks'!H146="","",'Statement of Marks'!H146)</f>
        <v/>
      </c>
      <c r="I142" s="388" t="str">
        <f>IF('Statement of Marks'!I146="","",'Statement of Marks'!I146)</f>
        <v/>
      </c>
      <c r="J142" s="598" t="str">
        <f>IF('Statement of Marks'!GY146="","",'Statement of Marks'!GY146)</f>
        <v/>
      </c>
      <c r="K142" s="834" t="str">
        <f>IF(B142="","",IF('Statement of Marks'!GZ146="","",'Statement of Marks'!GZ146))</f>
        <v/>
      </c>
      <c r="L142" s="839" t="str">
        <f>IF('Statement of Marks'!HC146="","",'Statement of Marks'!HC146)</f>
        <v/>
      </c>
      <c r="M142" s="389" t="str">
        <f>IF('Statement of Marks'!HB146="","",'Statement of Marks'!HB146)</f>
        <v/>
      </c>
      <c r="N142" s="610" t="str">
        <f>IF('Statement of Marks'!HD146="","",'Statement of Marks'!HD146)</f>
        <v/>
      </c>
      <c r="O142" s="390" t="str">
        <f>IF(J142="FAIL","",IF('Statement of Marks'!GU146="","",'Statement of Marks'!GU146))</f>
        <v xml:space="preserve">    </v>
      </c>
      <c r="P142" s="391" t="str">
        <f>IF('Supp. Result Entry'!AS145="","",'Supp. Result Entry'!AS145)</f>
        <v/>
      </c>
      <c r="Q142" s="392" t="str">
        <f>IF('Supp. Result Entry'!AT145="","",'Supp. Result Entry'!AT145)</f>
        <v/>
      </c>
      <c r="R142" s="393" t="str">
        <f>IF('Statement of Marks'!HG146="","",'Statement of Marks'!HG146)</f>
        <v/>
      </c>
      <c r="S142" s="394" t="str">
        <f>IF('Statement of Marks'!FH146="","",'Statement of Marks'!FH146)</f>
        <v/>
      </c>
      <c r="BM142" s="395" t="str">
        <f>'Statement of Marks'!E146</f>
        <v/>
      </c>
      <c r="BN142" s="396" t="str">
        <f t="shared" si="24"/>
        <v/>
      </c>
      <c r="BO142" s="396" t="str">
        <f t="shared" si="25"/>
        <v/>
      </c>
      <c r="BP142" s="396" t="str">
        <f t="shared" si="26"/>
        <v/>
      </c>
      <c r="BQ142" s="396" t="str">
        <f t="shared" si="27"/>
        <v/>
      </c>
      <c r="BR142" s="396" t="str">
        <f t="shared" si="28"/>
        <v/>
      </c>
      <c r="BS142" s="396" t="str">
        <f t="shared" si="29"/>
        <v/>
      </c>
      <c r="BT142" s="396" t="str">
        <f t="shared" si="30"/>
        <v/>
      </c>
      <c r="BU142" s="396" t="str">
        <f t="shared" si="31"/>
        <v/>
      </c>
      <c r="BV142" s="396" t="str">
        <f t="shared" si="32"/>
        <v/>
      </c>
      <c r="BW142" s="396" t="str">
        <f t="shared" si="33"/>
        <v/>
      </c>
      <c r="BX142" s="396" t="str">
        <f t="shared" si="34"/>
        <v/>
      </c>
      <c r="BY142" s="396" t="str">
        <f t="shared" si="35"/>
        <v/>
      </c>
      <c r="BZ142" s="397"/>
    </row>
    <row r="143" spans="1:78" ht="15" customHeight="1">
      <c r="A143" s="386">
        <f>IF('Statement of Marks'!A147="","",'Statement of Marks'!A147)</f>
        <v>140</v>
      </c>
      <c r="B143" s="840" t="str">
        <f>IF('Statement of Marks'!B147="","",'Statement of Marks'!B147)</f>
        <v/>
      </c>
      <c r="C143" s="841" t="str">
        <f>IF('Statement of Marks'!C147="","",'Statement of Marks'!C147)</f>
        <v/>
      </c>
      <c r="D143" s="833" t="str">
        <f>IF('Statement of Marks'!D147="","",'Statement of Marks'!D147)</f>
        <v/>
      </c>
      <c r="E143" s="387" t="str">
        <f>IF('Statement of Marks'!E147="","",'Statement of Marks'!E147)</f>
        <v/>
      </c>
      <c r="F143" s="387" t="str">
        <f>IF('Statement of Marks'!F147="","",'Statement of Marks'!F147)</f>
        <v/>
      </c>
      <c r="G143" s="387" t="str">
        <f>IF('Statement of Marks'!G147="","",'Statement of Marks'!G147)</f>
        <v/>
      </c>
      <c r="H143" s="388" t="str">
        <f>IF('Statement of Marks'!H147="","",'Statement of Marks'!H147)</f>
        <v/>
      </c>
      <c r="I143" s="388" t="str">
        <f>IF('Statement of Marks'!I147="","",'Statement of Marks'!I147)</f>
        <v/>
      </c>
      <c r="J143" s="598" t="str">
        <f>IF('Statement of Marks'!GY147="","",'Statement of Marks'!GY147)</f>
        <v/>
      </c>
      <c r="K143" s="834" t="str">
        <f>IF(B143="","",IF('Statement of Marks'!GZ147="","",'Statement of Marks'!GZ147))</f>
        <v/>
      </c>
      <c r="L143" s="839" t="str">
        <f>IF('Statement of Marks'!HC147="","",'Statement of Marks'!HC147)</f>
        <v/>
      </c>
      <c r="M143" s="389" t="str">
        <f>IF('Statement of Marks'!HB147="","",'Statement of Marks'!HB147)</f>
        <v/>
      </c>
      <c r="N143" s="610" t="str">
        <f>IF('Statement of Marks'!HD147="","",'Statement of Marks'!HD147)</f>
        <v/>
      </c>
      <c r="O143" s="390" t="str">
        <f>IF(J143="FAIL","",IF('Statement of Marks'!GU147="","",'Statement of Marks'!GU147))</f>
        <v xml:space="preserve">    </v>
      </c>
      <c r="P143" s="391" t="str">
        <f>IF('Supp. Result Entry'!AS146="","",'Supp. Result Entry'!AS146)</f>
        <v/>
      </c>
      <c r="Q143" s="392" t="str">
        <f>IF('Supp. Result Entry'!AT146="","",'Supp. Result Entry'!AT146)</f>
        <v/>
      </c>
      <c r="R143" s="393" t="str">
        <f>IF('Statement of Marks'!HG147="","",'Statement of Marks'!HG147)</f>
        <v/>
      </c>
      <c r="S143" s="394" t="str">
        <f>IF('Statement of Marks'!FH147="","",'Statement of Marks'!FH147)</f>
        <v/>
      </c>
      <c r="BM143" s="395" t="str">
        <f>'Statement of Marks'!E147</f>
        <v/>
      </c>
      <c r="BN143" s="396" t="str">
        <f t="shared" si="24"/>
        <v/>
      </c>
      <c r="BO143" s="396" t="str">
        <f t="shared" si="25"/>
        <v/>
      </c>
      <c r="BP143" s="396" t="str">
        <f t="shared" si="26"/>
        <v/>
      </c>
      <c r="BQ143" s="396" t="str">
        <f t="shared" si="27"/>
        <v/>
      </c>
      <c r="BR143" s="396" t="str">
        <f t="shared" si="28"/>
        <v/>
      </c>
      <c r="BS143" s="396" t="str">
        <f t="shared" si="29"/>
        <v/>
      </c>
      <c r="BT143" s="396" t="str">
        <f t="shared" si="30"/>
        <v/>
      </c>
      <c r="BU143" s="396" t="str">
        <f t="shared" si="31"/>
        <v/>
      </c>
      <c r="BV143" s="396" t="str">
        <f t="shared" si="32"/>
        <v/>
      </c>
      <c r="BW143" s="396" t="str">
        <f t="shared" si="33"/>
        <v/>
      </c>
      <c r="BX143" s="396" t="str">
        <f t="shared" si="34"/>
        <v/>
      </c>
      <c r="BY143" s="396" t="str">
        <f t="shared" si="35"/>
        <v/>
      </c>
      <c r="BZ143" s="397"/>
    </row>
    <row r="144" spans="1:78" ht="15" customHeight="1">
      <c r="A144" s="386">
        <f>IF('Statement of Marks'!A148="","",'Statement of Marks'!A148)</f>
        <v>141</v>
      </c>
      <c r="B144" s="840" t="str">
        <f>IF('Statement of Marks'!B148="","",'Statement of Marks'!B148)</f>
        <v/>
      </c>
      <c r="C144" s="841" t="str">
        <f>IF('Statement of Marks'!C148="","",'Statement of Marks'!C148)</f>
        <v/>
      </c>
      <c r="D144" s="833" t="str">
        <f>IF('Statement of Marks'!D148="","",'Statement of Marks'!D148)</f>
        <v/>
      </c>
      <c r="E144" s="387" t="str">
        <f>IF('Statement of Marks'!E148="","",'Statement of Marks'!E148)</f>
        <v/>
      </c>
      <c r="F144" s="387" t="str">
        <f>IF('Statement of Marks'!F148="","",'Statement of Marks'!F148)</f>
        <v/>
      </c>
      <c r="G144" s="387" t="str">
        <f>IF('Statement of Marks'!G148="","",'Statement of Marks'!G148)</f>
        <v/>
      </c>
      <c r="H144" s="388" t="str">
        <f>IF('Statement of Marks'!H148="","",'Statement of Marks'!H148)</f>
        <v/>
      </c>
      <c r="I144" s="388" t="str">
        <f>IF('Statement of Marks'!I148="","",'Statement of Marks'!I148)</f>
        <v/>
      </c>
      <c r="J144" s="598" t="str">
        <f>IF('Statement of Marks'!GY148="","",'Statement of Marks'!GY148)</f>
        <v/>
      </c>
      <c r="K144" s="834" t="str">
        <f>IF(B144="","",IF('Statement of Marks'!GZ148="","",'Statement of Marks'!GZ148))</f>
        <v/>
      </c>
      <c r="L144" s="839" t="str">
        <f>IF('Statement of Marks'!HC148="","",'Statement of Marks'!HC148)</f>
        <v/>
      </c>
      <c r="M144" s="389" t="str">
        <f>IF('Statement of Marks'!HB148="","",'Statement of Marks'!HB148)</f>
        <v/>
      </c>
      <c r="N144" s="610" t="str">
        <f>IF('Statement of Marks'!HD148="","",'Statement of Marks'!HD148)</f>
        <v/>
      </c>
      <c r="O144" s="390" t="str">
        <f>IF(J144="FAIL","",IF('Statement of Marks'!GU148="","",'Statement of Marks'!GU148))</f>
        <v xml:space="preserve">    </v>
      </c>
      <c r="P144" s="391" t="str">
        <f>IF('Supp. Result Entry'!AS147="","",'Supp. Result Entry'!AS147)</f>
        <v/>
      </c>
      <c r="Q144" s="392" t="str">
        <f>IF('Supp. Result Entry'!AT147="","",'Supp. Result Entry'!AT147)</f>
        <v/>
      </c>
      <c r="R144" s="393" t="str">
        <f>IF('Statement of Marks'!HG148="","",'Statement of Marks'!HG148)</f>
        <v/>
      </c>
      <c r="S144" s="394" t="str">
        <f>IF('Statement of Marks'!FH148="","",'Statement of Marks'!FH148)</f>
        <v/>
      </c>
      <c r="BM144" s="395" t="str">
        <f>'Statement of Marks'!E148</f>
        <v/>
      </c>
      <c r="BN144" s="396" t="str">
        <f t="shared" si="24"/>
        <v/>
      </c>
      <c r="BO144" s="396" t="str">
        <f t="shared" si="25"/>
        <v/>
      </c>
      <c r="BP144" s="396" t="str">
        <f t="shared" si="26"/>
        <v/>
      </c>
      <c r="BQ144" s="396" t="str">
        <f t="shared" si="27"/>
        <v/>
      </c>
      <c r="BR144" s="396" t="str">
        <f t="shared" si="28"/>
        <v/>
      </c>
      <c r="BS144" s="396" t="str">
        <f t="shared" si="29"/>
        <v/>
      </c>
      <c r="BT144" s="396" t="str">
        <f t="shared" si="30"/>
        <v/>
      </c>
      <c r="BU144" s="396" t="str">
        <f t="shared" si="31"/>
        <v/>
      </c>
      <c r="BV144" s="396" t="str">
        <f t="shared" si="32"/>
        <v/>
      </c>
      <c r="BW144" s="396" t="str">
        <f t="shared" si="33"/>
        <v/>
      </c>
      <c r="BX144" s="396" t="str">
        <f t="shared" si="34"/>
        <v/>
      </c>
      <c r="BY144" s="396" t="str">
        <f t="shared" si="35"/>
        <v/>
      </c>
      <c r="BZ144" s="397"/>
    </row>
    <row r="145" spans="1:78" ht="15" customHeight="1">
      <c r="A145" s="386">
        <f>IF('Statement of Marks'!A149="","",'Statement of Marks'!A149)</f>
        <v>142</v>
      </c>
      <c r="B145" s="840" t="str">
        <f>IF('Statement of Marks'!B149="","",'Statement of Marks'!B149)</f>
        <v/>
      </c>
      <c r="C145" s="841" t="str">
        <f>IF('Statement of Marks'!C149="","",'Statement of Marks'!C149)</f>
        <v/>
      </c>
      <c r="D145" s="833" t="str">
        <f>IF('Statement of Marks'!D149="","",'Statement of Marks'!D149)</f>
        <v/>
      </c>
      <c r="E145" s="387" t="str">
        <f>IF('Statement of Marks'!E149="","",'Statement of Marks'!E149)</f>
        <v/>
      </c>
      <c r="F145" s="387" t="str">
        <f>IF('Statement of Marks'!F149="","",'Statement of Marks'!F149)</f>
        <v/>
      </c>
      <c r="G145" s="387" t="str">
        <f>IF('Statement of Marks'!G149="","",'Statement of Marks'!G149)</f>
        <v/>
      </c>
      <c r="H145" s="388" t="str">
        <f>IF('Statement of Marks'!H149="","",'Statement of Marks'!H149)</f>
        <v/>
      </c>
      <c r="I145" s="388" t="str">
        <f>IF('Statement of Marks'!I149="","",'Statement of Marks'!I149)</f>
        <v/>
      </c>
      <c r="J145" s="598" t="str">
        <f>IF('Statement of Marks'!GY149="","",'Statement of Marks'!GY149)</f>
        <v/>
      </c>
      <c r="K145" s="834" t="str">
        <f>IF(B145="","",IF('Statement of Marks'!GZ149="","",'Statement of Marks'!GZ149))</f>
        <v/>
      </c>
      <c r="L145" s="839" t="str">
        <f>IF('Statement of Marks'!HC149="","",'Statement of Marks'!HC149)</f>
        <v/>
      </c>
      <c r="M145" s="389" t="str">
        <f>IF('Statement of Marks'!HB149="","",'Statement of Marks'!HB149)</f>
        <v/>
      </c>
      <c r="N145" s="610" t="str">
        <f>IF('Statement of Marks'!HD149="","",'Statement of Marks'!HD149)</f>
        <v/>
      </c>
      <c r="O145" s="390" t="str">
        <f>IF(J145="FAIL","",IF('Statement of Marks'!GU149="","",'Statement of Marks'!GU149))</f>
        <v xml:space="preserve">    </v>
      </c>
      <c r="P145" s="391" t="str">
        <f>IF('Supp. Result Entry'!AS148="","",'Supp. Result Entry'!AS148)</f>
        <v/>
      </c>
      <c r="Q145" s="392" t="str">
        <f>IF('Supp. Result Entry'!AT148="","",'Supp. Result Entry'!AT148)</f>
        <v/>
      </c>
      <c r="R145" s="393" t="str">
        <f>IF('Statement of Marks'!HG149="","",'Statement of Marks'!HG149)</f>
        <v/>
      </c>
      <c r="S145" s="394" t="str">
        <f>IF('Statement of Marks'!FH149="","",'Statement of Marks'!FH149)</f>
        <v/>
      </c>
      <c r="BM145" s="395" t="str">
        <f>'Statement of Marks'!E149</f>
        <v/>
      </c>
      <c r="BN145" s="396" t="str">
        <f t="shared" si="24"/>
        <v/>
      </c>
      <c r="BO145" s="396" t="str">
        <f t="shared" si="25"/>
        <v/>
      </c>
      <c r="BP145" s="396" t="str">
        <f t="shared" si="26"/>
        <v/>
      </c>
      <c r="BQ145" s="396" t="str">
        <f t="shared" si="27"/>
        <v/>
      </c>
      <c r="BR145" s="396" t="str">
        <f t="shared" si="28"/>
        <v/>
      </c>
      <c r="BS145" s="396" t="str">
        <f t="shared" si="29"/>
        <v/>
      </c>
      <c r="BT145" s="396" t="str">
        <f t="shared" si="30"/>
        <v/>
      </c>
      <c r="BU145" s="396" t="str">
        <f t="shared" si="31"/>
        <v/>
      </c>
      <c r="BV145" s="396" t="str">
        <f t="shared" si="32"/>
        <v/>
      </c>
      <c r="BW145" s="396" t="str">
        <f t="shared" si="33"/>
        <v/>
      </c>
      <c r="BX145" s="396" t="str">
        <f t="shared" si="34"/>
        <v/>
      </c>
      <c r="BY145" s="396" t="str">
        <f t="shared" si="35"/>
        <v/>
      </c>
      <c r="BZ145" s="397"/>
    </row>
    <row r="146" spans="1:78" ht="15" customHeight="1">
      <c r="A146" s="386">
        <f>IF('Statement of Marks'!A150="","",'Statement of Marks'!A150)</f>
        <v>143</v>
      </c>
      <c r="B146" s="840" t="str">
        <f>IF('Statement of Marks'!B150="","",'Statement of Marks'!B150)</f>
        <v/>
      </c>
      <c r="C146" s="841" t="str">
        <f>IF('Statement of Marks'!C150="","",'Statement of Marks'!C150)</f>
        <v/>
      </c>
      <c r="D146" s="833" t="str">
        <f>IF('Statement of Marks'!D150="","",'Statement of Marks'!D150)</f>
        <v/>
      </c>
      <c r="E146" s="387" t="str">
        <f>IF('Statement of Marks'!E150="","",'Statement of Marks'!E150)</f>
        <v/>
      </c>
      <c r="F146" s="387" t="str">
        <f>IF('Statement of Marks'!F150="","",'Statement of Marks'!F150)</f>
        <v/>
      </c>
      <c r="G146" s="387" t="str">
        <f>IF('Statement of Marks'!G150="","",'Statement of Marks'!G150)</f>
        <v/>
      </c>
      <c r="H146" s="388" t="str">
        <f>IF('Statement of Marks'!H150="","",'Statement of Marks'!H150)</f>
        <v/>
      </c>
      <c r="I146" s="388" t="str">
        <f>IF('Statement of Marks'!I150="","",'Statement of Marks'!I150)</f>
        <v/>
      </c>
      <c r="J146" s="598" t="str">
        <f>IF('Statement of Marks'!GY150="","",'Statement of Marks'!GY150)</f>
        <v/>
      </c>
      <c r="K146" s="834" t="str">
        <f>IF(B146="","",IF('Statement of Marks'!GZ150="","",'Statement of Marks'!GZ150))</f>
        <v/>
      </c>
      <c r="L146" s="839" t="str">
        <f>IF('Statement of Marks'!HC150="","",'Statement of Marks'!HC150)</f>
        <v/>
      </c>
      <c r="M146" s="389" t="str">
        <f>IF('Statement of Marks'!HB150="","",'Statement of Marks'!HB150)</f>
        <v/>
      </c>
      <c r="N146" s="610" t="str">
        <f>IF('Statement of Marks'!HD150="","",'Statement of Marks'!HD150)</f>
        <v/>
      </c>
      <c r="O146" s="390" t="str">
        <f>IF(J146="FAIL","",IF('Statement of Marks'!GU150="","",'Statement of Marks'!GU150))</f>
        <v xml:space="preserve">    </v>
      </c>
      <c r="P146" s="391" t="str">
        <f>IF('Supp. Result Entry'!AS149="","",'Supp. Result Entry'!AS149)</f>
        <v/>
      </c>
      <c r="Q146" s="392" t="str">
        <f>IF('Supp. Result Entry'!AT149="","",'Supp. Result Entry'!AT149)</f>
        <v/>
      </c>
      <c r="R146" s="393" t="str">
        <f>IF('Statement of Marks'!HG150="","",'Statement of Marks'!HG150)</f>
        <v/>
      </c>
      <c r="S146" s="394" t="str">
        <f>IF('Statement of Marks'!FH150="","",'Statement of Marks'!FH150)</f>
        <v/>
      </c>
      <c r="BM146" s="395" t="str">
        <f>'Statement of Marks'!E150</f>
        <v/>
      </c>
      <c r="BN146" s="396" t="str">
        <f t="shared" si="24"/>
        <v/>
      </c>
      <c r="BO146" s="396" t="str">
        <f t="shared" si="25"/>
        <v/>
      </c>
      <c r="BP146" s="396" t="str">
        <f t="shared" si="26"/>
        <v/>
      </c>
      <c r="BQ146" s="396" t="str">
        <f t="shared" si="27"/>
        <v/>
      </c>
      <c r="BR146" s="396" t="str">
        <f t="shared" si="28"/>
        <v/>
      </c>
      <c r="BS146" s="396" t="str">
        <f t="shared" si="29"/>
        <v/>
      </c>
      <c r="BT146" s="396" t="str">
        <f t="shared" si="30"/>
        <v/>
      </c>
      <c r="BU146" s="396" t="str">
        <f t="shared" si="31"/>
        <v/>
      </c>
      <c r="BV146" s="396" t="str">
        <f t="shared" si="32"/>
        <v/>
      </c>
      <c r="BW146" s="396" t="str">
        <f t="shared" si="33"/>
        <v/>
      </c>
      <c r="BX146" s="396" t="str">
        <f t="shared" si="34"/>
        <v/>
      </c>
      <c r="BY146" s="396" t="str">
        <f t="shared" si="35"/>
        <v/>
      </c>
      <c r="BZ146" s="397"/>
    </row>
    <row r="147" spans="1:78" ht="15" customHeight="1">
      <c r="A147" s="386">
        <f>IF('Statement of Marks'!A151="","",'Statement of Marks'!A151)</f>
        <v>144</v>
      </c>
      <c r="B147" s="840" t="str">
        <f>IF('Statement of Marks'!B151="","",'Statement of Marks'!B151)</f>
        <v/>
      </c>
      <c r="C147" s="841" t="str">
        <f>IF('Statement of Marks'!C151="","",'Statement of Marks'!C151)</f>
        <v/>
      </c>
      <c r="D147" s="833" t="str">
        <f>IF('Statement of Marks'!D151="","",'Statement of Marks'!D151)</f>
        <v/>
      </c>
      <c r="E147" s="387" t="str">
        <f>IF('Statement of Marks'!E151="","",'Statement of Marks'!E151)</f>
        <v/>
      </c>
      <c r="F147" s="387" t="str">
        <f>IF('Statement of Marks'!F151="","",'Statement of Marks'!F151)</f>
        <v/>
      </c>
      <c r="G147" s="387" t="str">
        <f>IF('Statement of Marks'!G151="","",'Statement of Marks'!G151)</f>
        <v/>
      </c>
      <c r="H147" s="388" t="str">
        <f>IF('Statement of Marks'!H151="","",'Statement of Marks'!H151)</f>
        <v/>
      </c>
      <c r="I147" s="388" t="str">
        <f>IF('Statement of Marks'!I151="","",'Statement of Marks'!I151)</f>
        <v/>
      </c>
      <c r="J147" s="598" t="str">
        <f>IF('Statement of Marks'!GY151="","",'Statement of Marks'!GY151)</f>
        <v/>
      </c>
      <c r="K147" s="834" t="str">
        <f>IF(B147="","",IF('Statement of Marks'!GZ151="","",'Statement of Marks'!GZ151))</f>
        <v/>
      </c>
      <c r="L147" s="839" t="str">
        <f>IF('Statement of Marks'!HC151="","",'Statement of Marks'!HC151)</f>
        <v/>
      </c>
      <c r="M147" s="389" t="str">
        <f>IF('Statement of Marks'!HB151="","",'Statement of Marks'!HB151)</f>
        <v/>
      </c>
      <c r="N147" s="610" t="str">
        <f>IF('Statement of Marks'!HD151="","",'Statement of Marks'!HD151)</f>
        <v/>
      </c>
      <c r="O147" s="390" t="str">
        <f>IF(J147="FAIL","",IF('Statement of Marks'!GU151="","",'Statement of Marks'!GU151))</f>
        <v xml:space="preserve">    </v>
      </c>
      <c r="P147" s="391" t="str">
        <f>IF('Supp. Result Entry'!AS150="","",'Supp. Result Entry'!AS150)</f>
        <v/>
      </c>
      <c r="Q147" s="392" t="str">
        <f>IF('Supp. Result Entry'!AT150="","",'Supp. Result Entry'!AT150)</f>
        <v/>
      </c>
      <c r="R147" s="393" t="str">
        <f>IF('Statement of Marks'!HG151="","",'Statement of Marks'!HG151)</f>
        <v/>
      </c>
      <c r="S147" s="394" t="str">
        <f>IF('Statement of Marks'!FH151="","",'Statement of Marks'!FH151)</f>
        <v/>
      </c>
      <c r="BM147" s="395" t="str">
        <f>'Statement of Marks'!E151</f>
        <v/>
      </c>
      <c r="BN147" s="396" t="str">
        <f t="shared" si="24"/>
        <v/>
      </c>
      <c r="BO147" s="396" t="str">
        <f t="shared" si="25"/>
        <v/>
      </c>
      <c r="BP147" s="396" t="str">
        <f t="shared" si="26"/>
        <v/>
      </c>
      <c r="BQ147" s="396" t="str">
        <f t="shared" si="27"/>
        <v/>
      </c>
      <c r="BR147" s="396" t="str">
        <f t="shared" si="28"/>
        <v/>
      </c>
      <c r="BS147" s="396" t="str">
        <f t="shared" si="29"/>
        <v/>
      </c>
      <c r="BT147" s="396" t="str">
        <f t="shared" si="30"/>
        <v/>
      </c>
      <c r="BU147" s="396" t="str">
        <f t="shared" si="31"/>
        <v/>
      </c>
      <c r="BV147" s="396" t="str">
        <f t="shared" si="32"/>
        <v/>
      </c>
      <c r="BW147" s="396" t="str">
        <f t="shared" si="33"/>
        <v/>
      </c>
      <c r="BX147" s="396" t="str">
        <f t="shared" si="34"/>
        <v/>
      </c>
      <c r="BY147" s="396" t="str">
        <f t="shared" si="35"/>
        <v/>
      </c>
      <c r="BZ147" s="397"/>
    </row>
    <row r="148" spans="1:78" ht="15" customHeight="1">
      <c r="A148" s="386">
        <f>IF('Statement of Marks'!A152="","",'Statement of Marks'!A152)</f>
        <v>145</v>
      </c>
      <c r="B148" s="840" t="str">
        <f>IF('Statement of Marks'!B152="","",'Statement of Marks'!B152)</f>
        <v/>
      </c>
      <c r="C148" s="841" t="str">
        <f>IF('Statement of Marks'!C152="","",'Statement of Marks'!C152)</f>
        <v/>
      </c>
      <c r="D148" s="833" t="str">
        <f>IF('Statement of Marks'!D152="","",'Statement of Marks'!D152)</f>
        <v/>
      </c>
      <c r="E148" s="387" t="str">
        <f>IF('Statement of Marks'!E152="","",'Statement of Marks'!E152)</f>
        <v/>
      </c>
      <c r="F148" s="387" t="str">
        <f>IF('Statement of Marks'!F152="","",'Statement of Marks'!F152)</f>
        <v/>
      </c>
      <c r="G148" s="387" t="str">
        <f>IF('Statement of Marks'!G152="","",'Statement of Marks'!G152)</f>
        <v/>
      </c>
      <c r="H148" s="388" t="str">
        <f>IF('Statement of Marks'!H152="","",'Statement of Marks'!H152)</f>
        <v/>
      </c>
      <c r="I148" s="388" t="str">
        <f>IF('Statement of Marks'!I152="","",'Statement of Marks'!I152)</f>
        <v/>
      </c>
      <c r="J148" s="598" t="str">
        <f>IF('Statement of Marks'!GY152="","",'Statement of Marks'!GY152)</f>
        <v/>
      </c>
      <c r="K148" s="834" t="str">
        <f>IF(B148="","",IF('Statement of Marks'!GZ152="","",'Statement of Marks'!GZ152))</f>
        <v/>
      </c>
      <c r="L148" s="839" t="str">
        <f>IF('Statement of Marks'!HC152="","",'Statement of Marks'!HC152)</f>
        <v/>
      </c>
      <c r="M148" s="389" t="str">
        <f>IF('Statement of Marks'!HB152="","",'Statement of Marks'!HB152)</f>
        <v/>
      </c>
      <c r="N148" s="610" t="str">
        <f>IF('Statement of Marks'!HD152="","",'Statement of Marks'!HD152)</f>
        <v/>
      </c>
      <c r="O148" s="390" t="str">
        <f>IF(J148="FAIL","",IF('Statement of Marks'!GU152="","",'Statement of Marks'!GU152))</f>
        <v xml:space="preserve">    </v>
      </c>
      <c r="P148" s="391" t="str">
        <f>IF('Supp. Result Entry'!AS151="","",'Supp. Result Entry'!AS151)</f>
        <v/>
      </c>
      <c r="Q148" s="392" t="str">
        <f>IF('Supp. Result Entry'!AT151="","",'Supp. Result Entry'!AT151)</f>
        <v/>
      </c>
      <c r="R148" s="393" t="str">
        <f>IF('Statement of Marks'!HG152="","",'Statement of Marks'!HG152)</f>
        <v/>
      </c>
      <c r="S148" s="394" t="str">
        <f>IF('Statement of Marks'!FH152="","",'Statement of Marks'!FH152)</f>
        <v/>
      </c>
      <c r="BM148" s="395" t="str">
        <f>'Statement of Marks'!E152</f>
        <v/>
      </c>
      <c r="BN148" s="396" t="str">
        <f t="shared" si="24"/>
        <v/>
      </c>
      <c r="BO148" s="396" t="str">
        <f t="shared" si="25"/>
        <v/>
      </c>
      <c r="BP148" s="396" t="str">
        <f t="shared" si="26"/>
        <v/>
      </c>
      <c r="BQ148" s="396" t="str">
        <f t="shared" si="27"/>
        <v/>
      </c>
      <c r="BR148" s="396" t="str">
        <f t="shared" si="28"/>
        <v/>
      </c>
      <c r="BS148" s="396" t="str">
        <f t="shared" si="29"/>
        <v/>
      </c>
      <c r="BT148" s="396" t="str">
        <f t="shared" si="30"/>
        <v/>
      </c>
      <c r="BU148" s="396" t="str">
        <f t="shared" si="31"/>
        <v/>
      </c>
      <c r="BV148" s="396" t="str">
        <f t="shared" si="32"/>
        <v/>
      </c>
      <c r="BW148" s="396" t="str">
        <f t="shared" si="33"/>
        <v/>
      </c>
      <c r="BX148" s="396" t="str">
        <f t="shared" si="34"/>
        <v/>
      </c>
      <c r="BY148" s="396" t="str">
        <f t="shared" si="35"/>
        <v/>
      </c>
      <c r="BZ148" s="397"/>
    </row>
    <row r="149" spans="1:78" ht="15" customHeight="1">
      <c r="A149" s="386">
        <f>IF('Statement of Marks'!A153="","",'Statement of Marks'!A153)</f>
        <v>146</v>
      </c>
      <c r="B149" s="840" t="str">
        <f>IF('Statement of Marks'!B153="","",'Statement of Marks'!B153)</f>
        <v/>
      </c>
      <c r="C149" s="841" t="str">
        <f>IF('Statement of Marks'!C153="","",'Statement of Marks'!C153)</f>
        <v/>
      </c>
      <c r="D149" s="833" t="str">
        <f>IF('Statement of Marks'!D153="","",'Statement of Marks'!D153)</f>
        <v/>
      </c>
      <c r="E149" s="387" t="str">
        <f>IF('Statement of Marks'!E153="","",'Statement of Marks'!E153)</f>
        <v/>
      </c>
      <c r="F149" s="387" t="str">
        <f>IF('Statement of Marks'!F153="","",'Statement of Marks'!F153)</f>
        <v/>
      </c>
      <c r="G149" s="387" t="str">
        <f>IF('Statement of Marks'!G153="","",'Statement of Marks'!G153)</f>
        <v/>
      </c>
      <c r="H149" s="388" t="str">
        <f>IF('Statement of Marks'!H153="","",'Statement of Marks'!H153)</f>
        <v/>
      </c>
      <c r="I149" s="388" t="str">
        <f>IF('Statement of Marks'!I153="","",'Statement of Marks'!I153)</f>
        <v/>
      </c>
      <c r="J149" s="598" t="str">
        <f>IF('Statement of Marks'!GY153="","",'Statement of Marks'!GY153)</f>
        <v/>
      </c>
      <c r="K149" s="834" t="str">
        <f>IF(B149="","",IF('Statement of Marks'!GZ153="","",'Statement of Marks'!GZ153))</f>
        <v/>
      </c>
      <c r="L149" s="839" t="str">
        <f>IF('Statement of Marks'!HC153="","",'Statement of Marks'!HC153)</f>
        <v/>
      </c>
      <c r="M149" s="389" t="str">
        <f>IF('Statement of Marks'!HB153="","",'Statement of Marks'!HB153)</f>
        <v/>
      </c>
      <c r="N149" s="610" t="str">
        <f>IF('Statement of Marks'!HD153="","",'Statement of Marks'!HD153)</f>
        <v/>
      </c>
      <c r="O149" s="390" t="str">
        <f>IF(J149="FAIL","",IF('Statement of Marks'!GU153="","",'Statement of Marks'!GU153))</f>
        <v xml:space="preserve">    </v>
      </c>
      <c r="P149" s="391" t="str">
        <f>IF('Supp. Result Entry'!AS152="","",'Supp. Result Entry'!AS152)</f>
        <v/>
      </c>
      <c r="Q149" s="392" t="str">
        <f>IF('Supp. Result Entry'!AT152="","",'Supp. Result Entry'!AT152)</f>
        <v/>
      </c>
      <c r="R149" s="393" t="str">
        <f>IF('Statement of Marks'!HG153="","",'Statement of Marks'!HG153)</f>
        <v/>
      </c>
      <c r="S149" s="394" t="str">
        <f>IF('Statement of Marks'!FH153="","",'Statement of Marks'!FH153)</f>
        <v/>
      </c>
      <c r="BM149" s="395" t="str">
        <f>'Statement of Marks'!E153</f>
        <v/>
      </c>
      <c r="BN149" s="396" t="str">
        <f t="shared" si="24"/>
        <v/>
      </c>
      <c r="BO149" s="396" t="str">
        <f t="shared" si="25"/>
        <v/>
      </c>
      <c r="BP149" s="396" t="str">
        <f t="shared" si="26"/>
        <v/>
      </c>
      <c r="BQ149" s="396" t="str">
        <f t="shared" si="27"/>
        <v/>
      </c>
      <c r="BR149" s="396" t="str">
        <f t="shared" si="28"/>
        <v/>
      </c>
      <c r="BS149" s="396" t="str">
        <f t="shared" si="29"/>
        <v/>
      </c>
      <c r="BT149" s="396" t="str">
        <f t="shared" si="30"/>
        <v/>
      </c>
      <c r="BU149" s="396" t="str">
        <f t="shared" si="31"/>
        <v/>
      </c>
      <c r="BV149" s="396" t="str">
        <f t="shared" si="32"/>
        <v/>
      </c>
      <c r="BW149" s="396" t="str">
        <f t="shared" si="33"/>
        <v/>
      </c>
      <c r="BX149" s="396" t="str">
        <f t="shared" si="34"/>
        <v/>
      </c>
      <c r="BY149" s="396" t="str">
        <f t="shared" si="35"/>
        <v/>
      </c>
      <c r="BZ149" s="397"/>
    </row>
    <row r="150" spans="1:78" ht="15" customHeight="1">
      <c r="A150" s="386">
        <f>IF('Statement of Marks'!A154="","",'Statement of Marks'!A154)</f>
        <v>147</v>
      </c>
      <c r="B150" s="840" t="str">
        <f>IF('Statement of Marks'!B154="","",'Statement of Marks'!B154)</f>
        <v/>
      </c>
      <c r="C150" s="841" t="str">
        <f>IF('Statement of Marks'!C154="","",'Statement of Marks'!C154)</f>
        <v/>
      </c>
      <c r="D150" s="833" t="str">
        <f>IF('Statement of Marks'!D154="","",'Statement of Marks'!D154)</f>
        <v/>
      </c>
      <c r="E150" s="387" t="str">
        <f>IF('Statement of Marks'!E154="","",'Statement of Marks'!E154)</f>
        <v/>
      </c>
      <c r="F150" s="387" t="str">
        <f>IF('Statement of Marks'!F154="","",'Statement of Marks'!F154)</f>
        <v/>
      </c>
      <c r="G150" s="387" t="str">
        <f>IF('Statement of Marks'!G154="","",'Statement of Marks'!G154)</f>
        <v/>
      </c>
      <c r="H150" s="388" t="str">
        <f>IF('Statement of Marks'!H154="","",'Statement of Marks'!H154)</f>
        <v/>
      </c>
      <c r="I150" s="388" t="str">
        <f>IF('Statement of Marks'!I154="","",'Statement of Marks'!I154)</f>
        <v/>
      </c>
      <c r="J150" s="598" t="str">
        <f>IF('Statement of Marks'!GY154="","",'Statement of Marks'!GY154)</f>
        <v/>
      </c>
      <c r="K150" s="834" t="str">
        <f>IF(B150="","",IF('Statement of Marks'!GZ154="","",'Statement of Marks'!GZ154))</f>
        <v/>
      </c>
      <c r="L150" s="839" t="str">
        <f>IF('Statement of Marks'!HC154="","",'Statement of Marks'!HC154)</f>
        <v/>
      </c>
      <c r="M150" s="389" t="str">
        <f>IF('Statement of Marks'!HB154="","",'Statement of Marks'!HB154)</f>
        <v/>
      </c>
      <c r="N150" s="610" t="str">
        <f>IF('Statement of Marks'!HD154="","",'Statement of Marks'!HD154)</f>
        <v/>
      </c>
      <c r="O150" s="390" t="str">
        <f>IF(J150="FAIL","",IF('Statement of Marks'!GU154="","",'Statement of Marks'!GU154))</f>
        <v xml:space="preserve">    </v>
      </c>
      <c r="P150" s="391" t="str">
        <f>IF('Supp. Result Entry'!AS153="","",'Supp. Result Entry'!AS153)</f>
        <v/>
      </c>
      <c r="Q150" s="392" t="str">
        <f>IF('Supp. Result Entry'!AT153="","",'Supp. Result Entry'!AT153)</f>
        <v/>
      </c>
      <c r="R150" s="393" t="str">
        <f>IF('Statement of Marks'!HG154="","",'Statement of Marks'!HG154)</f>
        <v/>
      </c>
      <c r="S150" s="394" t="str">
        <f>IF('Statement of Marks'!FH154="","",'Statement of Marks'!FH154)</f>
        <v/>
      </c>
      <c r="BM150" s="395" t="str">
        <f>'Statement of Marks'!E154</f>
        <v/>
      </c>
      <c r="BN150" s="396" t="str">
        <f t="shared" si="24"/>
        <v/>
      </c>
      <c r="BO150" s="396" t="str">
        <f t="shared" si="25"/>
        <v/>
      </c>
      <c r="BP150" s="396" t="str">
        <f t="shared" si="26"/>
        <v/>
      </c>
      <c r="BQ150" s="396" t="str">
        <f t="shared" si="27"/>
        <v/>
      </c>
      <c r="BR150" s="396" t="str">
        <f t="shared" si="28"/>
        <v/>
      </c>
      <c r="BS150" s="396" t="str">
        <f t="shared" si="29"/>
        <v/>
      </c>
      <c r="BT150" s="396" t="str">
        <f t="shared" si="30"/>
        <v/>
      </c>
      <c r="BU150" s="396" t="str">
        <f t="shared" si="31"/>
        <v/>
      </c>
      <c r="BV150" s="396" t="str">
        <f t="shared" si="32"/>
        <v/>
      </c>
      <c r="BW150" s="396" t="str">
        <f t="shared" si="33"/>
        <v/>
      </c>
      <c r="BX150" s="396" t="str">
        <f t="shared" si="34"/>
        <v/>
      </c>
      <c r="BY150" s="396" t="str">
        <f t="shared" si="35"/>
        <v/>
      </c>
      <c r="BZ150" s="397"/>
    </row>
    <row r="151" spans="1:78" ht="15" customHeight="1">
      <c r="A151" s="386">
        <f>IF('Statement of Marks'!A155="","",'Statement of Marks'!A155)</f>
        <v>148</v>
      </c>
      <c r="B151" s="840" t="str">
        <f>IF('Statement of Marks'!B155="","",'Statement of Marks'!B155)</f>
        <v/>
      </c>
      <c r="C151" s="841" t="str">
        <f>IF('Statement of Marks'!C155="","",'Statement of Marks'!C155)</f>
        <v/>
      </c>
      <c r="D151" s="833" t="str">
        <f>IF('Statement of Marks'!D155="","",'Statement of Marks'!D155)</f>
        <v/>
      </c>
      <c r="E151" s="387" t="str">
        <f>IF('Statement of Marks'!E155="","",'Statement of Marks'!E155)</f>
        <v/>
      </c>
      <c r="F151" s="387" t="str">
        <f>IF('Statement of Marks'!F155="","",'Statement of Marks'!F155)</f>
        <v/>
      </c>
      <c r="G151" s="387" t="str">
        <f>IF('Statement of Marks'!G155="","",'Statement of Marks'!G155)</f>
        <v/>
      </c>
      <c r="H151" s="388" t="str">
        <f>IF('Statement of Marks'!H155="","",'Statement of Marks'!H155)</f>
        <v/>
      </c>
      <c r="I151" s="388" t="str">
        <f>IF('Statement of Marks'!I155="","",'Statement of Marks'!I155)</f>
        <v/>
      </c>
      <c r="J151" s="598" t="str">
        <f>IF('Statement of Marks'!GY155="","",'Statement of Marks'!GY155)</f>
        <v/>
      </c>
      <c r="K151" s="834" t="str">
        <f>IF(B151="","",IF('Statement of Marks'!GZ155="","",'Statement of Marks'!GZ155))</f>
        <v/>
      </c>
      <c r="L151" s="839" t="str">
        <f>IF('Statement of Marks'!HC155="","",'Statement of Marks'!HC155)</f>
        <v/>
      </c>
      <c r="M151" s="389" t="str">
        <f>IF('Statement of Marks'!HB155="","",'Statement of Marks'!HB155)</f>
        <v/>
      </c>
      <c r="N151" s="610" t="str">
        <f>IF('Statement of Marks'!HD155="","",'Statement of Marks'!HD155)</f>
        <v/>
      </c>
      <c r="O151" s="390" t="str">
        <f>IF(J151="FAIL","",IF('Statement of Marks'!GU155="","",'Statement of Marks'!GU155))</f>
        <v xml:space="preserve">    </v>
      </c>
      <c r="P151" s="391" t="str">
        <f>IF('Supp. Result Entry'!AS154="","",'Supp. Result Entry'!AS154)</f>
        <v/>
      </c>
      <c r="Q151" s="392" t="str">
        <f>IF('Supp. Result Entry'!AT154="","",'Supp. Result Entry'!AT154)</f>
        <v/>
      </c>
      <c r="R151" s="393" t="str">
        <f>IF('Statement of Marks'!HG155="","",'Statement of Marks'!HG155)</f>
        <v/>
      </c>
      <c r="S151" s="394" t="str">
        <f>IF('Statement of Marks'!FH155="","",'Statement of Marks'!FH155)</f>
        <v/>
      </c>
      <c r="BM151" s="395" t="str">
        <f>'Statement of Marks'!E155</f>
        <v/>
      </c>
      <c r="BN151" s="396" t="str">
        <f t="shared" si="24"/>
        <v/>
      </c>
      <c r="BO151" s="396" t="str">
        <f t="shared" si="25"/>
        <v/>
      </c>
      <c r="BP151" s="396" t="str">
        <f t="shared" si="26"/>
        <v/>
      </c>
      <c r="BQ151" s="396" t="str">
        <f t="shared" si="27"/>
        <v/>
      </c>
      <c r="BR151" s="396" t="str">
        <f t="shared" si="28"/>
        <v/>
      </c>
      <c r="BS151" s="396" t="str">
        <f t="shared" si="29"/>
        <v/>
      </c>
      <c r="BT151" s="396" t="str">
        <f t="shared" si="30"/>
        <v/>
      </c>
      <c r="BU151" s="396" t="str">
        <f t="shared" si="31"/>
        <v/>
      </c>
      <c r="BV151" s="396" t="str">
        <f t="shared" si="32"/>
        <v/>
      </c>
      <c r="BW151" s="396" t="str">
        <f t="shared" si="33"/>
        <v/>
      </c>
      <c r="BX151" s="396" t="str">
        <f t="shared" si="34"/>
        <v/>
      </c>
      <c r="BY151" s="396" t="str">
        <f t="shared" si="35"/>
        <v/>
      </c>
      <c r="BZ151" s="397"/>
    </row>
    <row r="152" spans="1:78" ht="15" customHeight="1">
      <c r="A152" s="386">
        <f>IF('Statement of Marks'!A156="","",'Statement of Marks'!A156)</f>
        <v>149</v>
      </c>
      <c r="B152" s="840" t="str">
        <f>IF('Statement of Marks'!B156="","",'Statement of Marks'!B156)</f>
        <v/>
      </c>
      <c r="C152" s="841" t="str">
        <f>IF('Statement of Marks'!C156="","",'Statement of Marks'!C156)</f>
        <v/>
      </c>
      <c r="D152" s="833" t="str">
        <f>IF('Statement of Marks'!D156="","",'Statement of Marks'!D156)</f>
        <v/>
      </c>
      <c r="E152" s="387" t="str">
        <f>IF('Statement of Marks'!E156="","",'Statement of Marks'!E156)</f>
        <v/>
      </c>
      <c r="F152" s="387" t="str">
        <f>IF('Statement of Marks'!F156="","",'Statement of Marks'!F156)</f>
        <v/>
      </c>
      <c r="G152" s="387" t="str">
        <f>IF('Statement of Marks'!G156="","",'Statement of Marks'!G156)</f>
        <v/>
      </c>
      <c r="H152" s="388" t="str">
        <f>IF('Statement of Marks'!H156="","",'Statement of Marks'!H156)</f>
        <v/>
      </c>
      <c r="I152" s="388" t="str">
        <f>IF('Statement of Marks'!I156="","",'Statement of Marks'!I156)</f>
        <v/>
      </c>
      <c r="J152" s="598" t="str">
        <f>IF('Statement of Marks'!GY156="","",'Statement of Marks'!GY156)</f>
        <v/>
      </c>
      <c r="K152" s="834" t="str">
        <f>IF(B152="","",IF('Statement of Marks'!GZ156="","",'Statement of Marks'!GZ156))</f>
        <v/>
      </c>
      <c r="L152" s="839" t="str">
        <f>IF('Statement of Marks'!HC156="","",'Statement of Marks'!HC156)</f>
        <v/>
      </c>
      <c r="M152" s="389" t="str">
        <f>IF('Statement of Marks'!HB156="","",'Statement of Marks'!HB156)</f>
        <v/>
      </c>
      <c r="N152" s="610" t="str">
        <f>IF('Statement of Marks'!HD156="","",'Statement of Marks'!HD156)</f>
        <v/>
      </c>
      <c r="O152" s="390" t="str">
        <f>IF(J152="FAIL","",IF('Statement of Marks'!GU156="","",'Statement of Marks'!GU156))</f>
        <v xml:space="preserve">    </v>
      </c>
      <c r="P152" s="391" t="str">
        <f>IF('Supp. Result Entry'!AS155="","",'Supp. Result Entry'!AS155)</f>
        <v/>
      </c>
      <c r="Q152" s="392" t="str">
        <f>IF('Supp. Result Entry'!AT155="","",'Supp. Result Entry'!AT155)</f>
        <v/>
      </c>
      <c r="R152" s="393" t="str">
        <f>IF('Statement of Marks'!HG156="","",'Statement of Marks'!HG156)</f>
        <v/>
      </c>
      <c r="S152" s="394" t="str">
        <f>IF('Statement of Marks'!FH156="","",'Statement of Marks'!FH156)</f>
        <v/>
      </c>
      <c r="BM152" s="395" t="str">
        <f>'Statement of Marks'!E156</f>
        <v/>
      </c>
      <c r="BN152" s="396" t="str">
        <f t="shared" si="24"/>
        <v/>
      </c>
      <c r="BO152" s="396" t="str">
        <f t="shared" si="25"/>
        <v/>
      </c>
      <c r="BP152" s="396" t="str">
        <f t="shared" si="26"/>
        <v/>
      </c>
      <c r="BQ152" s="396" t="str">
        <f t="shared" si="27"/>
        <v/>
      </c>
      <c r="BR152" s="396" t="str">
        <f t="shared" si="28"/>
        <v/>
      </c>
      <c r="BS152" s="396" t="str">
        <f t="shared" si="29"/>
        <v/>
      </c>
      <c r="BT152" s="396" t="str">
        <f t="shared" si="30"/>
        <v/>
      </c>
      <c r="BU152" s="396" t="str">
        <f t="shared" si="31"/>
        <v/>
      </c>
      <c r="BV152" s="396" t="str">
        <f t="shared" si="32"/>
        <v/>
      </c>
      <c r="BW152" s="396" t="str">
        <f t="shared" si="33"/>
        <v/>
      </c>
      <c r="BX152" s="396" t="str">
        <f t="shared" si="34"/>
        <v/>
      </c>
      <c r="BY152" s="396" t="str">
        <f t="shared" si="35"/>
        <v/>
      </c>
      <c r="BZ152" s="397"/>
    </row>
    <row r="153" spans="1:78" ht="15" customHeight="1">
      <c r="A153" s="386">
        <f>IF('Statement of Marks'!A157="","",'Statement of Marks'!A157)</f>
        <v>150</v>
      </c>
      <c r="B153" s="840" t="str">
        <f>IF('Statement of Marks'!B157="","",'Statement of Marks'!B157)</f>
        <v/>
      </c>
      <c r="C153" s="841" t="str">
        <f>IF('Statement of Marks'!C157="","",'Statement of Marks'!C157)</f>
        <v/>
      </c>
      <c r="D153" s="833" t="str">
        <f>IF('Statement of Marks'!D157="","",'Statement of Marks'!D157)</f>
        <v/>
      </c>
      <c r="E153" s="387" t="str">
        <f>IF('Statement of Marks'!E157="","",'Statement of Marks'!E157)</f>
        <v/>
      </c>
      <c r="F153" s="387" t="str">
        <f>IF('Statement of Marks'!F157="","",'Statement of Marks'!F157)</f>
        <v/>
      </c>
      <c r="G153" s="387" t="str">
        <f>IF('Statement of Marks'!G157="","",'Statement of Marks'!G157)</f>
        <v/>
      </c>
      <c r="H153" s="388" t="str">
        <f>IF('Statement of Marks'!H157="","",'Statement of Marks'!H157)</f>
        <v/>
      </c>
      <c r="I153" s="388" t="str">
        <f>IF('Statement of Marks'!I157="","",'Statement of Marks'!I157)</f>
        <v/>
      </c>
      <c r="J153" s="598" t="str">
        <f>IF('Statement of Marks'!GY157="","",'Statement of Marks'!GY157)</f>
        <v/>
      </c>
      <c r="K153" s="834" t="str">
        <f>IF(B153="","",IF('Statement of Marks'!GZ157="","",'Statement of Marks'!GZ157))</f>
        <v/>
      </c>
      <c r="L153" s="839" t="str">
        <f>IF('Statement of Marks'!HC157="","",'Statement of Marks'!HC157)</f>
        <v/>
      </c>
      <c r="M153" s="389" t="str">
        <f>IF('Statement of Marks'!HB157="","",'Statement of Marks'!HB157)</f>
        <v/>
      </c>
      <c r="N153" s="610" t="str">
        <f>IF('Statement of Marks'!HD157="","",'Statement of Marks'!HD157)</f>
        <v/>
      </c>
      <c r="O153" s="390" t="str">
        <f>IF(J153="FAIL","",IF('Statement of Marks'!GU157="","",'Statement of Marks'!GU157))</f>
        <v xml:space="preserve">    </v>
      </c>
      <c r="P153" s="391" t="str">
        <f>IF('Supp. Result Entry'!AS156="","",'Supp. Result Entry'!AS156)</f>
        <v/>
      </c>
      <c r="Q153" s="392" t="str">
        <f>IF('Supp. Result Entry'!AT156="","",'Supp. Result Entry'!AT156)</f>
        <v/>
      </c>
      <c r="R153" s="393" t="str">
        <f>IF('Statement of Marks'!HG157="","",'Statement of Marks'!HG157)</f>
        <v/>
      </c>
      <c r="S153" s="394" t="str">
        <f>IF('Statement of Marks'!FH157="","",'Statement of Marks'!FH157)</f>
        <v/>
      </c>
      <c r="BM153" s="395" t="str">
        <f>'Statement of Marks'!E157</f>
        <v/>
      </c>
      <c r="BN153" s="396" t="str">
        <f t="shared" si="24"/>
        <v/>
      </c>
      <c r="BO153" s="396" t="str">
        <f t="shared" si="25"/>
        <v/>
      </c>
      <c r="BP153" s="396" t="str">
        <f t="shared" si="26"/>
        <v/>
      </c>
      <c r="BQ153" s="396" t="str">
        <f t="shared" si="27"/>
        <v/>
      </c>
      <c r="BR153" s="396" t="str">
        <f t="shared" si="28"/>
        <v/>
      </c>
      <c r="BS153" s="396" t="str">
        <f t="shared" si="29"/>
        <v/>
      </c>
      <c r="BT153" s="396" t="str">
        <f t="shared" si="30"/>
        <v/>
      </c>
      <c r="BU153" s="396" t="str">
        <f t="shared" si="31"/>
        <v/>
      </c>
      <c r="BV153" s="396" t="str">
        <f t="shared" si="32"/>
        <v/>
      </c>
      <c r="BW153" s="396" t="str">
        <f t="shared" si="33"/>
        <v/>
      </c>
      <c r="BX153" s="396" t="str">
        <f t="shared" si="34"/>
        <v/>
      </c>
      <c r="BY153" s="396" t="str">
        <f t="shared" si="35"/>
        <v/>
      </c>
      <c r="BZ153" s="397"/>
    </row>
    <row r="154" spans="1:78" ht="15" customHeight="1">
      <c r="A154" s="386">
        <f>IF('Statement of Marks'!A158="","",'Statement of Marks'!A158)</f>
        <v>151</v>
      </c>
      <c r="B154" s="840" t="str">
        <f>IF('Statement of Marks'!B158="","",'Statement of Marks'!B158)</f>
        <v/>
      </c>
      <c r="C154" s="841" t="str">
        <f>IF('Statement of Marks'!C158="","",'Statement of Marks'!C158)</f>
        <v/>
      </c>
      <c r="D154" s="833" t="str">
        <f>IF('Statement of Marks'!D158="","",'Statement of Marks'!D158)</f>
        <v/>
      </c>
      <c r="E154" s="387" t="str">
        <f>IF('Statement of Marks'!E158="","",'Statement of Marks'!E158)</f>
        <v/>
      </c>
      <c r="F154" s="387" t="str">
        <f>IF('Statement of Marks'!F158="","",'Statement of Marks'!F158)</f>
        <v/>
      </c>
      <c r="G154" s="387" t="str">
        <f>IF('Statement of Marks'!G158="","",'Statement of Marks'!G158)</f>
        <v/>
      </c>
      <c r="H154" s="388" t="str">
        <f>IF('Statement of Marks'!H158="","",'Statement of Marks'!H158)</f>
        <v/>
      </c>
      <c r="I154" s="388" t="str">
        <f>IF('Statement of Marks'!I158="","",'Statement of Marks'!I158)</f>
        <v/>
      </c>
      <c r="J154" s="598" t="str">
        <f>IF('Statement of Marks'!GY158="","",'Statement of Marks'!GY158)</f>
        <v/>
      </c>
      <c r="K154" s="834" t="str">
        <f>IF(B154="","",IF('Statement of Marks'!GZ158="","",'Statement of Marks'!GZ158))</f>
        <v/>
      </c>
      <c r="L154" s="839" t="str">
        <f>IF('Statement of Marks'!HC158="","",'Statement of Marks'!HC158)</f>
        <v/>
      </c>
      <c r="M154" s="389" t="str">
        <f>IF('Statement of Marks'!HB158="","",'Statement of Marks'!HB158)</f>
        <v/>
      </c>
      <c r="N154" s="610" t="str">
        <f>IF('Statement of Marks'!HD158="","",'Statement of Marks'!HD158)</f>
        <v/>
      </c>
      <c r="O154" s="390" t="str">
        <f>IF(J154="FAIL","",IF('Statement of Marks'!GU158="","",'Statement of Marks'!GU158))</f>
        <v xml:space="preserve">    </v>
      </c>
      <c r="P154" s="391" t="str">
        <f>IF('Supp. Result Entry'!AS157="","",'Supp. Result Entry'!AS157)</f>
        <v/>
      </c>
      <c r="Q154" s="392" t="str">
        <f>IF('Supp. Result Entry'!AT157="","",'Supp. Result Entry'!AT157)</f>
        <v/>
      </c>
      <c r="R154" s="393" t="str">
        <f>IF('Statement of Marks'!HG158="","",'Statement of Marks'!HG158)</f>
        <v/>
      </c>
      <c r="S154" s="394" t="str">
        <f>IF('Statement of Marks'!FH158="","",'Statement of Marks'!FH158)</f>
        <v/>
      </c>
      <c r="BM154" s="395" t="str">
        <f>'Statement of Marks'!E158</f>
        <v/>
      </c>
      <c r="BN154" s="396" t="str">
        <f t="shared" si="24"/>
        <v/>
      </c>
      <c r="BO154" s="396" t="str">
        <f t="shared" si="25"/>
        <v/>
      </c>
      <c r="BP154" s="396" t="str">
        <f t="shared" si="26"/>
        <v/>
      </c>
      <c r="BQ154" s="396" t="str">
        <f t="shared" si="27"/>
        <v/>
      </c>
      <c r="BR154" s="396" t="str">
        <f t="shared" si="28"/>
        <v/>
      </c>
      <c r="BS154" s="396" t="str">
        <f t="shared" si="29"/>
        <v/>
      </c>
      <c r="BT154" s="396" t="str">
        <f t="shared" si="30"/>
        <v/>
      </c>
      <c r="BU154" s="396" t="str">
        <f t="shared" si="31"/>
        <v/>
      </c>
      <c r="BV154" s="396" t="str">
        <f t="shared" si="32"/>
        <v/>
      </c>
      <c r="BW154" s="396" t="str">
        <f t="shared" si="33"/>
        <v/>
      </c>
      <c r="BX154" s="396" t="str">
        <f t="shared" si="34"/>
        <v/>
      </c>
      <c r="BY154" s="396" t="str">
        <f t="shared" si="35"/>
        <v/>
      </c>
      <c r="BZ154" s="397"/>
    </row>
    <row r="155" spans="1:78" ht="15" customHeight="1">
      <c r="A155" s="386">
        <f>IF('Statement of Marks'!A159="","",'Statement of Marks'!A159)</f>
        <v>152</v>
      </c>
      <c r="B155" s="840" t="str">
        <f>IF('Statement of Marks'!B159="","",'Statement of Marks'!B159)</f>
        <v/>
      </c>
      <c r="C155" s="841" t="str">
        <f>IF('Statement of Marks'!C159="","",'Statement of Marks'!C159)</f>
        <v/>
      </c>
      <c r="D155" s="833" t="str">
        <f>IF('Statement of Marks'!D159="","",'Statement of Marks'!D159)</f>
        <v/>
      </c>
      <c r="E155" s="387" t="str">
        <f>IF('Statement of Marks'!E159="","",'Statement of Marks'!E159)</f>
        <v/>
      </c>
      <c r="F155" s="387" t="str">
        <f>IF('Statement of Marks'!F159="","",'Statement of Marks'!F159)</f>
        <v/>
      </c>
      <c r="G155" s="387" t="str">
        <f>IF('Statement of Marks'!G159="","",'Statement of Marks'!G159)</f>
        <v/>
      </c>
      <c r="H155" s="388" t="str">
        <f>IF('Statement of Marks'!H159="","",'Statement of Marks'!H159)</f>
        <v/>
      </c>
      <c r="I155" s="388" t="str">
        <f>IF('Statement of Marks'!I159="","",'Statement of Marks'!I159)</f>
        <v/>
      </c>
      <c r="J155" s="598" t="str">
        <f>IF('Statement of Marks'!GY159="","",'Statement of Marks'!GY159)</f>
        <v/>
      </c>
      <c r="K155" s="834" t="str">
        <f>IF(B155="","",IF('Statement of Marks'!GZ159="","",'Statement of Marks'!GZ159))</f>
        <v/>
      </c>
      <c r="L155" s="839" t="str">
        <f>IF('Statement of Marks'!HC159="","",'Statement of Marks'!HC159)</f>
        <v/>
      </c>
      <c r="M155" s="389" t="str">
        <f>IF('Statement of Marks'!HB159="","",'Statement of Marks'!HB159)</f>
        <v/>
      </c>
      <c r="N155" s="610" t="str">
        <f>IF('Statement of Marks'!HD159="","",'Statement of Marks'!HD159)</f>
        <v/>
      </c>
      <c r="O155" s="390" t="str">
        <f>IF(J155="FAIL","",IF('Statement of Marks'!GU159="","",'Statement of Marks'!GU159))</f>
        <v xml:space="preserve">    </v>
      </c>
      <c r="P155" s="391" t="str">
        <f>IF('Supp. Result Entry'!AS158="","",'Supp. Result Entry'!AS158)</f>
        <v/>
      </c>
      <c r="Q155" s="392" t="str">
        <f>IF('Supp. Result Entry'!AT158="","",'Supp. Result Entry'!AT158)</f>
        <v/>
      </c>
      <c r="R155" s="393" t="str">
        <f>IF('Statement of Marks'!HG159="","",'Statement of Marks'!HG159)</f>
        <v/>
      </c>
      <c r="S155" s="394" t="str">
        <f>IF('Statement of Marks'!FH159="","",'Statement of Marks'!FH159)</f>
        <v/>
      </c>
      <c r="BM155" s="395" t="str">
        <f>'Statement of Marks'!E159</f>
        <v/>
      </c>
      <c r="BN155" s="396" t="str">
        <f t="shared" si="24"/>
        <v/>
      </c>
      <c r="BO155" s="396" t="str">
        <f t="shared" si="25"/>
        <v/>
      </c>
      <c r="BP155" s="396" t="str">
        <f t="shared" si="26"/>
        <v/>
      </c>
      <c r="BQ155" s="396" t="str">
        <f t="shared" si="27"/>
        <v/>
      </c>
      <c r="BR155" s="396" t="str">
        <f t="shared" si="28"/>
        <v/>
      </c>
      <c r="BS155" s="396" t="str">
        <f t="shared" si="29"/>
        <v/>
      </c>
      <c r="BT155" s="396" t="str">
        <f t="shared" si="30"/>
        <v/>
      </c>
      <c r="BU155" s="396" t="str">
        <f t="shared" si="31"/>
        <v/>
      </c>
      <c r="BV155" s="396" t="str">
        <f t="shared" si="32"/>
        <v/>
      </c>
      <c r="BW155" s="396" t="str">
        <f t="shared" si="33"/>
        <v/>
      </c>
      <c r="BX155" s="396" t="str">
        <f t="shared" si="34"/>
        <v/>
      </c>
      <c r="BY155" s="396" t="str">
        <f t="shared" si="35"/>
        <v/>
      </c>
      <c r="BZ155" s="397"/>
    </row>
    <row r="156" spans="1:78" ht="15" customHeight="1">
      <c r="A156" s="386">
        <f>IF('Statement of Marks'!A160="","",'Statement of Marks'!A160)</f>
        <v>153</v>
      </c>
      <c r="B156" s="840" t="str">
        <f>IF('Statement of Marks'!B160="","",'Statement of Marks'!B160)</f>
        <v/>
      </c>
      <c r="C156" s="841" t="str">
        <f>IF('Statement of Marks'!C160="","",'Statement of Marks'!C160)</f>
        <v/>
      </c>
      <c r="D156" s="833" t="str">
        <f>IF('Statement of Marks'!D160="","",'Statement of Marks'!D160)</f>
        <v/>
      </c>
      <c r="E156" s="387" t="str">
        <f>IF('Statement of Marks'!E160="","",'Statement of Marks'!E160)</f>
        <v/>
      </c>
      <c r="F156" s="387" t="str">
        <f>IF('Statement of Marks'!F160="","",'Statement of Marks'!F160)</f>
        <v/>
      </c>
      <c r="G156" s="387" t="str">
        <f>IF('Statement of Marks'!G160="","",'Statement of Marks'!G160)</f>
        <v/>
      </c>
      <c r="H156" s="388" t="str">
        <f>IF('Statement of Marks'!H160="","",'Statement of Marks'!H160)</f>
        <v/>
      </c>
      <c r="I156" s="388" t="str">
        <f>IF('Statement of Marks'!I160="","",'Statement of Marks'!I160)</f>
        <v/>
      </c>
      <c r="J156" s="598" t="str">
        <f>IF('Statement of Marks'!GY160="","",'Statement of Marks'!GY160)</f>
        <v/>
      </c>
      <c r="K156" s="834" t="str">
        <f>IF(B156="","",IF('Statement of Marks'!GZ160="","",'Statement of Marks'!GZ160))</f>
        <v/>
      </c>
      <c r="L156" s="839" t="str">
        <f>IF('Statement of Marks'!HC160="","",'Statement of Marks'!HC160)</f>
        <v/>
      </c>
      <c r="M156" s="389" t="str">
        <f>IF('Statement of Marks'!HB160="","",'Statement of Marks'!HB160)</f>
        <v/>
      </c>
      <c r="N156" s="610" t="str">
        <f>IF('Statement of Marks'!HD160="","",'Statement of Marks'!HD160)</f>
        <v/>
      </c>
      <c r="O156" s="390" t="str">
        <f>IF(J156="FAIL","",IF('Statement of Marks'!GU160="","",'Statement of Marks'!GU160))</f>
        <v xml:space="preserve">    </v>
      </c>
      <c r="P156" s="391" t="str">
        <f>IF('Supp. Result Entry'!AS159="","",'Supp. Result Entry'!AS159)</f>
        <v/>
      </c>
      <c r="Q156" s="392" t="str">
        <f>IF('Supp. Result Entry'!AT159="","",'Supp. Result Entry'!AT159)</f>
        <v/>
      </c>
      <c r="R156" s="393" t="str">
        <f>IF('Statement of Marks'!HG160="","",'Statement of Marks'!HG160)</f>
        <v/>
      </c>
      <c r="S156" s="394" t="str">
        <f>IF('Statement of Marks'!FH160="","",'Statement of Marks'!FH160)</f>
        <v/>
      </c>
      <c r="BM156" s="395" t="str">
        <f>'Statement of Marks'!E160</f>
        <v/>
      </c>
      <c r="BN156" s="396" t="str">
        <f t="shared" si="24"/>
        <v/>
      </c>
      <c r="BO156" s="396" t="str">
        <f t="shared" si="25"/>
        <v/>
      </c>
      <c r="BP156" s="396" t="str">
        <f t="shared" si="26"/>
        <v/>
      </c>
      <c r="BQ156" s="396" t="str">
        <f t="shared" si="27"/>
        <v/>
      </c>
      <c r="BR156" s="396" t="str">
        <f t="shared" si="28"/>
        <v/>
      </c>
      <c r="BS156" s="396" t="str">
        <f t="shared" si="29"/>
        <v/>
      </c>
      <c r="BT156" s="396" t="str">
        <f t="shared" si="30"/>
        <v/>
      </c>
      <c r="BU156" s="396" t="str">
        <f t="shared" si="31"/>
        <v/>
      </c>
      <c r="BV156" s="396" t="str">
        <f t="shared" si="32"/>
        <v/>
      </c>
      <c r="BW156" s="396" t="str">
        <f t="shared" si="33"/>
        <v/>
      </c>
      <c r="BX156" s="396" t="str">
        <f t="shared" si="34"/>
        <v/>
      </c>
      <c r="BY156" s="396" t="str">
        <f t="shared" si="35"/>
        <v/>
      </c>
      <c r="BZ156" s="397"/>
    </row>
    <row r="157" spans="1:78" ht="15" customHeight="1">
      <c r="A157" s="386">
        <f>IF('Statement of Marks'!A161="","",'Statement of Marks'!A161)</f>
        <v>154</v>
      </c>
      <c r="B157" s="840" t="str">
        <f>IF('Statement of Marks'!B161="","",'Statement of Marks'!B161)</f>
        <v/>
      </c>
      <c r="C157" s="841" t="str">
        <f>IF('Statement of Marks'!C161="","",'Statement of Marks'!C161)</f>
        <v/>
      </c>
      <c r="D157" s="833" t="str">
        <f>IF('Statement of Marks'!D161="","",'Statement of Marks'!D161)</f>
        <v/>
      </c>
      <c r="E157" s="387" t="str">
        <f>IF('Statement of Marks'!E161="","",'Statement of Marks'!E161)</f>
        <v/>
      </c>
      <c r="F157" s="387" t="str">
        <f>IF('Statement of Marks'!F161="","",'Statement of Marks'!F161)</f>
        <v/>
      </c>
      <c r="G157" s="387" t="str">
        <f>IF('Statement of Marks'!G161="","",'Statement of Marks'!G161)</f>
        <v/>
      </c>
      <c r="H157" s="388" t="str">
        <f>IF('Statement of Marks'!H161="","",'Statement of Marks'!H161)</f>
        <v/>
      </c>
      <c r="I157" s="388" t="str">
        <f>IF('Statement of Marks'!I161="","",'Statement of Marks'!I161)</f>
        <v/>
      </c>
      <c r="J157" s="598" t="str">
        <f>IF('Statement of Marks'!GY161="","",'Statement of Marks'!GY161)</f>
        <v/>
      </c>
      <c r="K157" s="834" t="str">
        <f>IF(B157="","",IF('Statement of Marks'!GZ161="","",'Statement of Marks'!GZ161))</f>
        <v/>
      </c>
      <c r="L157" s="839" t="str">
        <f>IF('Statement of Marks'!HC161="","",'Statement of Marks'!HC161)</f>
        <v/>
      </c>
      <c r="M157" s="389" t="str">
        <f>IF('Statement of Marks'!HB161="","",'Statement of Marks'!HB161)</f>
        <v/>
      </c>
      <c r="N157" s="610" t="str">
        <f>IF('Statement of Marks'!HD161="","",'Statement of Marks'!HD161)</f>
        <v/>
      </c>
      <c r="O157" s="390" t="str">
        <f>IF(J157="FAIL","",IF('Statement of Marks'!GU161="","",'Statement of Marks'!GU161))</f>
        <v xml:space="preserve">    </v>
      </c>
      <c r="P157" s="391" t="str">
        <f>IF('Supp. Result Entry'!AS160="","",'Supp. Result Entry'!AS160)</f>
        <v/>
      </c>
      <c r="Q157" s="392" t="str">
        <f>IF('Supp. Result Entry'!AT160="","",'Supp. Result Entry'!AT160)</f>
        <v/>
      </c>
      <c r="R157" s="393" t="str">
        <f>IF('Statement of Marks'!HG161="","",'Statement of Marks'!HG161)</f>
        <v/>
      </c>
      <c r="S157" s="394" t="str">
        <f>IF('Statement of Marks'!FH161="","",'Statement of Marks'!FH161)</f>
        <v/>
      </c>
      <c r="BM157" s="395" t="str">
        <f>'Statement of Marks'!E161</f>
        <v/>
      </c>
      <c r="BN157" s="396" t="str">
        <f t="shared" si="24"/>
        <v/>
      </c>
      <c r="BO157" s="396" t="str">
        <f t="shared" si="25"/>
        <v/>
      </c>
      <c r="BP157" s="396" t="str">
        <f t="shared" si="26"/>
        <v/>
      </c>
      <c r="BQ157" s="396" t="str">
        <f t="shared" si="27"/>
        <v/>
      </c>
      <c r="BR157" s="396" t="str">
        <f t="shared" si="28"/>
        <v/>
      </c>
      <c r="BS157" s="396" t="str">
        <f t="shared" si="29"/>
        <v/>
      </c>
      <c r="BT157" s="396" t="str">
        <f t="shared" si="30"/>
        <v/>
      </c>
      <c r="BU157" s="396" t="str">
        <f t="shared" si="31"/>
        <v/>
      </c>
      <c r="BV157" s="396" t="str">
        <f t="shared" si="32"/>
        <v/>
      </c>
      <c r="BW157" s="396" t="str">
        <f t="shared" si="33"/>
        <v/>
      </c>
      <c r="BX157" s="396" t="str">
        <f t="shared" si="34"/>
        <v/>
      </c>
      <c r="BY157" s="396" t="str">
        <f t="shared" si="35"/>
        <v/>
      </c>
      <c r="BZ157" s="397"/>
    </row>
    <row r="158" spans="1:78" ht="15" customHeight="1">
      <c r="A158" s="386">
        <f>IF('Statement of Marks'!A162="","",'Statement of Marks'!A162)</f>
        <v>155</v>
      </c>
      <c r="B158" s="840" t="str">
        <f>IF('Statement of Marks'!B162="","",'Statement of Marks'!B162)</f>
        <v/>
      </c>
      <c r="C158" s="841" t="str">
        <f>IF('Statement of Marks'!C162="","",'Statement of Marks'!C162)</f>
        <v/>
      </c>
      <c r="D158" s="833" t="str">
        <f>IF('Statement of Marks'!D162="","",'Statement of Marks'!D162)</f>
        <v/>
      </c>
      <c r="E158" s="387" t="str">
        <f>IF('Statement of Marks'!E162="","",'Statement of Marks'!E162)</f>
        <v/>
      </c>
      <c r="F158" s="387" t="str">
        <f>IF('Statement of Marks'!F162="","",'Statement of Marks'!F162)</f>
        <v/>
      </c>
      <c r="G158" s="387" t="str">
        <f>IF('Statement of Marks'!G162="","",'Statement of Marks'!G162)</f>
        <v/>
      </c>
      <c r="H158" s="388" t="str">
        <f>IF('Statement of Marks'!H162="","",'Statement of Marks'!H162)</f>
        <v/>
      </c>
      <c r="I158" s="388" t="str">
        <f>IF('Statement of Marks'!I162="","",'Statement of Marks'!I162)</f>
        <v/>
      </c>
      <c r="J158" s="598" t="str">
        <f>IF('Statement of Marks'!GY162="","",'Statement of Marks'!GY162)</f>
        <v/>
      </c>
      <c r="K158" s="834" t="str">
        <f>IF(B158="","",IF('Statement of Marks'!GZ162="","",'Statement of Marks'!GZ162))</f>
        <v/>
      </c>
      <c r="L158" s="839" t="str">
        <f>IF('Statement of Marks'!HC162="","",'Statement of Marks'!HC162)</f>
        <v/>
      </c>
      <c r="M158" s="389" t="str">
        <f>IF('Statement of Marks'!HB162="","",'Statement of Marks'!HB162)</f>
        <v/>
      </c>
      <c r="N158" s="610" t="str">
        <f>IF('Statement of Marks'!HD162="","",'Statement of Marks'!HD162)</f>
        <v/>
      </c>
      <c r="O158" s="390" t="str">
        <f>IF(J158="FAIL","",IF('Statement of Marks'!GU162="","",'Statement of Marks'!GU162))</f>
        <v xml:space="preserve">    </v>
      </c>
      <c r="P158" s="391" t="str">
        <f>IF('Supp. Result Entry'!AS161="","",'Supp. Result Entry'!AS161)</f>
        <v/>
      </c>
      <c r="Q158" s="392" t="str">
        <f>IF('Supp. Result Entry'!AT161="","",'Supp. Result Entry'!AT161)</f>
        <v/>
      </c>
      <c r="R158" s="393" t="str">
        <f>IF('Statement of Marks'!HG162="","",'Statement of Marks'!HG162)</f>
        <v/>
      </c>
      <c r="S158" s="394" t="str">
        <f>IF('Statement of Marks'!FH162="","",'Statement of Marks'!FH162)</f>
        <v/>
      </c>
      <c r="BM158" s="395" t="str">
        <f>'Statement of Marks'!E162</f>
        <v/>
      </c>
      <c r="BN158" s="396" t="str">
        <f t="shared" si="24"/>
        <v/>
      </c>
      <c r="BO158" s="396" t="str">
        <f t="shared" si="25"/>
        <v/>
      </c>
      <c r="BP158" s="396" t="str">
        <f t="shared" si="26"/>
        <v/>
      </c>
      <c r="BQ158" s="396" t="str">
        <f t="shared" si="27"/>
        <v/>
      </c>
      <c r="BR158" s="396" t="str">
        <f t="shared" si="28"/>
        <v/>
      </c>
      <c r="BS158" s="396" t="str">
        <f t="shared" si="29"/>
        <v/>
      </c>
      <c r="BT158" s="396" t="str">
        <f t="shared" si="30"/>
        <v/>
      </c>
      <c r="BU158" s="396" t="str">
        <f t="shared" si="31"/>
        <v/>
      </c>
      <c r="BV158" s="396" t="str">
        <f t="shared" si="32"/>
        <v/>
      </c>
      <c r="BW158" s="396" t="str">
        <f t="shared" si="33"/>
        <v/>
      </c>
      <c r="BX158" s="396" t="str">
        <f t="shared" si="34"/>
        <v/>
      </c>
      <c r="BY158" s="396" t="str">
        <f t="shared" si="35"/>
        <v/>
      </c>
      <c r="BZ158" s="397"/>
    </row>
    <row r="159" spans="1:78" ht="15" customHeight="1">
      <c r="A159" s="386">
        <f>IF('Statement of Marks'!A163="","",'Statement of Marks'!A163)</f>
        <v>156</v>
      </c>
      <c r="B159" s="840" t="str">
        <f>IF('Statement of Marks'!B163="","",'Statement of Marks'!B163)</f>
        <v/>
      </c>
      <c r="C159" s="841" t="str">
        <f>IF('Statement of Marks'!C163="","",'Statement of Marks'!C163)</f>
        <v/>
      </c>
      <c r="D159" s="833" t="str">
        <f>IF('Statement of Marks'!D163="","",'Statement of Marks'!D163)</f>
        <v/>
      </c>
      <c r="E159" s="387" t="str">
        <f>IF('Statement of Marks'!E163="","",'Statement of Marks'!E163)</f>
        <v/>
      </c>
      <c r="F159" s="387" t="str">
        <f>IF('Statement of Marks'!F163="","",'Statement of Marks'!F163)</f>
        <v/>
      </c>
      <c r="G159" s="387" t="str">
        <f>IF('Statement of Marks'!G163="","",'Statement of Marks'!G163)</f>
        <v/>
      </c>
      <c r="H159" s="388" t="str">
        <f>IF('Statement of Marks'!H163="","",'Statement of Marks'!H163)</f>
        <v/>
      </c>
      <c r="I159" s="388" t="str">
        <f>IF('Statement of Marks'!I163="","",'Statement of Marks'!I163)</f>
        <v/>
      </c>
      <c r="J159" s="598" t="str">
        <f>IF('Statement of Marks'!GY163="","",'Statement of Marks'!GY163)</f>
        <v/>
      </c>
      <c r="K159" s="834" t="str">
        <f>IF(B159="","",IF('Statement of Marks'!GZ163="","",'Statement of Marks'!GZ163))</f>
        <v/>
      </c>
      <c r="L159" s="839" t="str">
        <f>IF('Statement of Marks'!HC163="","",'Statement of Marks'!HC163)</f>
        <v/>
      </c>
      <c r="M159" s="389" t="str">
        <f>IF('Statement of Marks'!HB163="","",'Statement of Marks'!HB163)</f>
        <v/>
      </c>
      <c r="N159" s="610" t="str">
        <f>IF('Statement of Marks'!HD163="","",'Statement of Marks'!HD163)</f>
        <v/>
      </c>
      <c r="O159" s="390" t="str">
        <f>IF(J159="FAIL","",IF('Statement of Marks'!GU163="","",'Statement of Marks'!GU163))</f>
        <v xml:space="preserve">    </v>
      </c>
      <c r="P159" s="391" t="str">
        <f>IF('Supp. Result Entry'!AS162="","",'Supp. Result Entry'!AS162)</f>
        <v/>
      </c>
      <c r="Q159" s="392" t="str">
        <f>IF('Supp. Result Entry'!AT162="","",'Supp. Result Entry'!AT162)</f>
        <v/>
      </c>
      <c r="R159" s="393" t="str">
        <f>IF('Statement of Marks'!HG163="","",'Statement of Marks'!HG163)</f>
        <v/>
      </c>
      <c r="S159" s="394" t="str">
        <f>IF('Statement of Marks'!FH163="","",'Statement of Marks'!FH163)</f>
        <v/>
      </c>
      <c r="BM159" s="395" t="str">
        <f>'Statement of Marks'!E163</f>
        <v/>
      </c>
      <c r="BN159" s="396" t="str">
        <f t="shared" si="24"/>
        <v/>
      </c>
      <c r="BO159" s="396" t="str">
        <f t="shared" si="25"/>
        <v/>
      </c>
      <c r="BP159" s="396" t="str">
        <f t="shared" si="26"/>
        <v/>
      </c>
      <c r="BQ159" s="396" t="str">
        <f t="shared" si="27"/>
        <v/>
      </c>
      <c r="BR159" s="396" t="str">
        <f t="shared" si="28"/>
        <v/>
      </c>
      <c r="BS159" s="396" t="str">
        <f t="shared" si="29"/>
        <v/>
      </c>
      <c r="BT159" s="396" t="str">
        <f t="shared" si="30"/>
        <v/>
      </c>
      <c r="BU159" s="396" t="str">
        <f t="shared" si="31"/>
        <v/>
      </c>
      <c r="BV159" s="396" t="str">
        <f t="shared" si="32"/>
        <v/>
      </c>
      <c r="BW159" s="396" t="str">
        <f t="shared" si="33"/>
        <v/>
      </c>
      <c r="BX159" s="396" t="str">
        <f t="shared" si="34"/>
        <v/>
      </c>
      <c r="BY159" s="396" t="str">
        <f t="shared" si="35"/>
        <v/>
      </c>
      <c r="BZ159" s="397"/>
    </row>
    <row r="160" spans="1:78" ht="15" customHeight="1">
      <c r="A160" s="386">
        <f>IF('Statement of Marks'!A164="","",'Statement of Marks'!A164)</f>
        <v>157</v>
      </c>
      <c r="B160" s="840" t="str">
        <f>IF('Statement of Marks'!B164="","",'Statement of Marks'!B164)</f>
        <v/>
      </c>
      <c r="C160" s="841" t="str">
        <f>IF('Statement of Marks'!C164="","",'Statement of Marks'!C164)</f>
        <v/>
      </c>
      <c r="D160" s="833" t="str">
        <f>IF('Statement of Marks'!D164="","",'Statement of Marks'!D164)</f>
        <v/>
      </c>
      <c r="E160" s="387" t="str">
        <f>IF('Statement of Marks'!E164="","",'Statement of Marks'!E164)</f>
        <v/>
      </c>
      <c r="F160" s="387" t="str">
        <f>IF('Statement of Marks'!F164="","",'Statement of Marks'!F164)</f>
        <v/>
      </c>
      <c r="G160" s="387" t="str">
        <f>IF('Statement of Marks'!G164="","",'Statement of Marks'!G164)</f>
        <v/>
      </c>
      <c r="H160" s="388" t="str">
        <f>IF('Statement of Marks'!H164="","",'Statement of Marks'!H164)</f>
        <v/>
      </c>
      <c r="I160" s="388" t="str">
        <f>IF('Statement of Marks'!I164="","",'Statement of Marks'!I164)</f>
        <v/>
      </c>
      <c r="J160" s="598" t="str">
        <f>IF('Statement of Marks'!GY164="","",'Statement of Marks'!GY164)</f>
        <v/>
      </c>
      <c r="K160" s="834" t="str">
        <f>IF(B160="","",IF('Statement of Marks'!GZ164="","",'Statement of Marks'!GZ164))</f>
        <v/>
      </c>
      <c r="L160" s="839" t="str">
        <f>IF('Statement of Marks'!HC164="","",'Statement of Marks'!HC164)</f>
        <v/>
      </c>
      <c r="M160" s="389" t="str">
        <f>IF('Statement of Marks'!HB164="","",'Statement of Marks'!HB164)</f>
        <v/>
      </c>
      <c r="N160" s="610" t="str">
        <f>IF('Statement of Marks'!HD164="","",'Statement of Marks'!HD164)</f>
        <v/>
      </c>
      <c r="O160" s="390" t="str">
        <f>IF(J160="FAIL","",IF('Statement of Marks'!GU164="","",'Statement of Marks'!GU164))</f>
        <v xml:space="preserve">    </v>
      </c>
      <c r="P160" s="391" t="str">
        <f>IF('Supp. Result Entry'!AS163="","",'Supp. Result Entry'!AS163)</f>
        <v/>
      </c>
      <c r="Q160" s="392" t="str">
        <f>IF('Supp. Result Entry'!AT163="","",'Supp. Result Entry'!AT163)</f>
        <v/>
      </c>
      <c r="R160" s="393" t="str">
        <f>IF('Statement of Marks'!HG164="","",'Statement of Marks'!HG164)</f>
        <v/>
      </c>
      <c r="S160" s="394" t="str">
        <f>IF('Statement of Marks'!FH164="","",'Statement of Marks'!FH164)</f>
        <v/>
      </c>
      <c r="BM160" s="395" t="str">
        <f>'Statement of Marks'!E164</f>
        <v/>
      </c>
      <c r="BN160" s="396" t="str">
        <f t="shared" si="24"/>
        <v/>
      </c>
      <c r="BO160" s="396" t="str">
        <f t="shared" si="25"/>
        <v/>
      </c>
      <c r="BP160" s="396" t="str">
        <f t="shared" si="26"/>
        <v/>
      </c>
      <c r="BQ160" s="396" t="str">
        <f t="shared" si="27"/>
        <v/>
      </c>
      <c r="BR160" s="396" t="str">
        <f t="shared" si="28"/>
        <v/>
      </c>
      <c r="BS160" s="396" t="str">
        <f t="shared" si="29"/>
        <v/>
      </c>
      <c r="BT160" s="396" t="str">
        <f t="shared" si="30"/>
        <v/>
      </c>
      <c r="BU160" s="396" t="str">
        <f t="shared" si="31"/>
        <v/>
      </c>
      <c r="BV160" s="396" t="str">
        <f t="shared" si="32"/>
        <v/>
      </c>
      <c r="BW160" s="396" t="str">
        <f t="shared" si="33"/>
        <v/>
      </c>
      <c r="BX160" s="396" t="str">
        <f t="shared" si="34"/>
        <v/>
      </c>
      <c r="BY160" s="396" t="str">
        <f t="shared" si="35"/>
        <v/>
      </c>
      <c r="BZ160" s="397"/>
    </row>
    <row r="161" spans="1:78" ht="15" customHeight="1">
      <c r="A161" s="386">
        <f>IF('Statement of Marks'!A165="","",'Statement of Marks'!A165)</f>
        <v>158</v>
      </c>
      <c r="B161" s="840" t="str">
        <f>IF('Statement of Marks'!B165="","",'Statement of Marks'!B165)</f>
        <v/>
      </c>
      <c r="C161" s="841" t="str">
        <f>IF('Statement of Marks'!C165="","",'Statement of Marks'!C165)</f>
        <v/>
      </c>
      <c r="D161" s="833" t="str">
        <f>IF('Statement of Marks'!D165="","",'Statement of Marks'!D165)</f>
        <v/>
      </c>
      <c r="E161" s="387" t="str">
        <f>IF('Statement of Marks'!E165="","",'Statement of Marks'!E165)</f>
        <v/>
      </c>
      <c r="F161" s="387" t="str">
        <f>IF('Statement of Marks'!F165="","",'Statement of Marks'!F165)</f>
        <v/>
      </c>
      <c r="G161" s="387" t="str">
        <f>IF('Statement of Marks'!G165="","",'Statement of Marks'!G165)</f>
        <v/>
      </c>
      <c r="H161" s="388" t="str">
        <f>IF('Statement of Marks'!H165="","",'Statement of Marks'!H165)</f>
        <v/>
      </c>
      <c r="I161" s="388" t="str">
        <f>IF('Statement of Marks'!I165="","",'Statement of Marks'!I165)</f>
        <v/>
      </c>
      <c r="J161" s="598" t="str">
        <f>IF('Statement of Marks'!GY165="","",'Statement of Marks'!GY165)</f>
        <v/>
      </c>
      <c r="K161" s="834" t="str">
        <f>IF(B161="","",IF('Statement of Marks'!GZ165="","",'Statement of Marks'!GZ165))</f>
        <v/>
      </c>
      <c r="L161" s="839" t="str">
        <f>IF('Statement of Marks'!HC165="","",'Statement of Marks'!HC165)</f>
        <v/>
      </c>
      <c r="M161" s="389" t="str">
        <f>IF('Statement of Marks'!HB165="","",'Statement of Marks'!HB165)</f>
        <v/>
      </c>
      <c r="N161" s="610" t="str">
        <f>IF('Statement of Marks'!HD165="","",'Statement of Marks'!HD165)</f>
        <v/>
      </c>
      <c r="O161" s="390" t="str">
        <f>IF(J161="FAIL","",IF('Statement of Marks'!GU165="","",'Statement of Marks'!GU165))</f>
        <v xml:space="preserve">    </v>
      </c>
      <c r="P161" s="391" t="str">
        <f>IF('Supp. Result Entry'!AS164="","",'Supp. Result Entry'!AS164)</f>
        <v/>
      </c>
      <c r="Q161" s="392" t="str">
        <f>IF('Supp. Result Entry'!AT164="","",'Supp. Result Entry'!AT164)</f>
        <v/>
      </c>
      <c r="R161" s="393" t="str">
        <f>IF('Statement of Marks'!HG165="","",'Statement of Marks'!HG165)</f>
        <v/>
      </c>
      <c r="S161" s="394" t="str">
        <f>IF('Statement of Marks'!FH165="","",'Statement of Marks'!FH165)</f>
        <v/>
      </c>
      <c r="BM161" s="395" t="str">
        <f>'Statement of Marks'!E165</f>
        <v/>
      </c>
      <c r="BN161" s="396" t="str">
        <f t="shared" si="24"/>
        <v/>
      </c>
      <c r="BO161" s="396" t="str">
        <f t="shared" si="25"/>
        <v/>
      </c>
      <c r="BP161" s="396" t="str">
        <f t="shared" si="26"/>
        <v/>
      </c>
      <c r="BQ161" s="396" t="str">
        <f t="shared" si="27"/>
        <v/>
      </c>
      <c r="BR161" s="396" t="str">
        <f t="shared" si="28"/>
        <v/>
      </c>
      <c r="BS161" s="396" t="str">
        <f t="shared" si="29"/>
        <v/>
      </c>
      <c r="BT161" s="396" t="str">
        <f t="shared" si="30"/>
        <v/>
      </c>
      <c r="BU161" s="396" t="str">
        <f t="shared" si="31"/>
        <v/>
      </c>
      <c r="BV161" s="396" t="str">
        <f t="shared" si="32"/>
        <v/>
      </c>
      <c r="BW161" s="396" t="str">
        <f t="shared" si="33"/>
        <v/>
      </c>
      <c r="BX161" s="396" t="str">
        <f t="shared" si="34"/>
        <v/>
      </c>
      <c r="BY161" s="396" t="str">
        <f t="shared" si="35"/>
        <v/>
      </c>
      <c r="BZ161" s="397"/>
    </row>
    <row r="162" spans="1:78" ht="15" customHeight="1">
      <c r="A162" s="386">
        <f>IF('Statement of Marks'!A166="","",'Statement of Marks'!A166)</f>
        <v>159</v>
      </c>
      <c r="B162" s="840" t="str">
        <f>IF('Statement of Marks'!B166="","",'Statement of Marks'!B166)</f>
        <v/>
      </c>
      <c r="C162" s="841" t="str">
        <f>IF('Statement of Marks'!C166="","",'Statement of Marks'!C166)</f>
        <v/>
      </c>
      <c r="D162" s="833" t="str">
        <f>IF('Statement of Marks'!D166="","",'Statement of Marks'!D166)</f>
        <v/>
      </c>
      <c r="E162" s="387" t="str">
        <f>IF('Statement of Marks'!E166="","",'Statement of Marks'!E166)</f>
        <v/>
      </c>
      <c r="F162" s="387" t="str">
        <f>IF('Statement of Marks'!F166="","",'Statement of Marks'!F166)</f>
        <v/>
      </c>
      <c r="G162" s="387" t="str">
        <f>IF('Statement of Marks'!G166="","",'Statement of Marks'!G166)</f>
        <v/>
      </c>
      <c r="H162" s="388" t="str">
        <f>IF('Statement of Marks'!H166="","",'Statement of Marks'!H166)</f>
        <v/>
      </c>
      <c r="I162" s="388" t="str">
        <f>IF('Statement of Marks'!I166="","",'Statement of Marks'!I166)</f>
        <v/>
      </c>
      <c r="J162" s="598" t="str">
        <f>IF('Statement of Marks'!GY166="","",'Statement of Marks'!GY166)</f>
        <v/>
      </c>
      <c r="K162" s="834" t="str">
        <f>IF(B162="","",IF('Statement of Marks'!GZ166="","",'Statement of Marks'!GZ166))</f>
        <v/>
      </c>
      <c r="L162" s="839" t="str">
        <f>IF('Statement of Marks'!HC166="","",'Statement of Marks'!HC166)</f>
        <v/>
      </c>
      <c r="M162" s="389" t="str">
        <f>IF('Statement of Marks'!HB166="","",'Statement of Marks'!HB166)</f>
        <v/>
      </c>
      <c r="N162" s="610" t="str">
        <f>IF('Statement of Marks'!HD166="","",'Statement of Marks'!HD166)</f>
        <v/>
      </c>
      <c r="O162" s="390" t="str">
        <f>IF(J162="FAIL","",IF('Statement of Marks'!GU166="","",'Statement of Marks'!GU166))</f>
        <v xml:space="preserve">    </v>
      </c>
      <c r="P162" s="391" t="str">
        <f>IF('Supp. Result Entry'!AS165="","",'Supp. Result Entry'!AS165)</f>
        <v/>
      </c>
      <c r="Q162" s="392" t="str">
        <f>IF('Supp. Result Entry'!AT165="","",'Supp. Result Entry'!AT165)</f>
        <v/>
      </c>
      <c r="R162" s="393" t="str">
        <f>IF('Statement of Marks'!HG166="","",'Statement of Marks'!HG166)</f>
        <v/>
      </c>
      <c r="S162" s="394" t="str">
        <f>IF('Statement of Marks'!FH166="","",'Statement of Marks'!FH166)</f>
        <v/>
      </c>
      <c r="BM162" s="395" t="str">
        <f>'Statement of Marks'!E166</f>
        <v/>
      </c>
      <c r="BN162" s="396" t="str">
        <f t="shared" si="24"/>
        <v/>
      </c>
      <c r="BO162" s="396" t="str">
        <f t="shared" si="25"/>
        <v/>
      </c>
      <c r="BP162" s="396" t="str">
        <f t="shared" si="26"/>
        <v/>
      </c>
      <c r="BQ162" s="396" t="str">
        <f t="shared" si="27"/>
        <v/>
      </c>
      <c r="BR162" s="396" t="str">
        <f t="shared" si="28"/>
        <v/>
      </c>
      <c r="BS162" s="396" t="str">
        <f t="shared" si="29"/>
        <v/>
      </c>
      <c r="BT162" s="396" t="str">
        <f t="shared" si="30"/>
        <v/>
      </c>
      <c r="BU162" s="396" t="str">
        <f t="shared" si="31"/>
        <v/>
      </c>
      <c r="BV162" s="396" t="str">
        <f t="shared" si="32"/>
        <v/>
      </c>
      <c r="BW162" s="396" t="str">
        <f t="shared" si="33"/>
        <v/>
      </c>
      <c r="BX162" s="396" t="str">
        <f t="shared" si="34"/>
        <v/>
      </c>
      <c r="BY162" s="396" t="str">
        <f t="shared" si="35"/>
        <v/>
      </c>
      <c r="BZ162" s="397"/>
    </row>
    <row r="163" spans="1:78" ht="15" customHeight="1">
      <c r="A163" s="386">
        <f>IF('Statement of Marks'!A167="","",'Statement of Marks'!A167)</f>
        <v>160</v>
      </c>
      <c r="B163" s="840" t="str">
        <f>IF('Statement of Marks'!B167="","",'Statement of Marks'!B167)</f>
        <v/>
      </c>
      <c r="C163" s="841" t="str">
        <f>IF('Statement of Marks'!C167="","",'Statement of Marks'!C167)</f>
        <v/>
      </c>
      <c r="D163" s="833" t="str">
        <f>IF('Statement of Marks'!D167="","",'Statement of Marks'!D167)</f>
        <v/>
      </c>
      <c r="E163" s="387" t="str">
        <f>IF('Statement of Marks'!E167="","",'Statement of Marks'!E167)</f>
        <v/>
      </c>
      <c r="F163" s="387" t="str">
        <f>IF('Statement of Marks'!F167="","",'Statement of Marks'!F167)</f>
        <v/>
      </c>
      <c r="G163" s="387" t="str">
        <f>IF('Statement of Marks'!G167="","",'Statement of Marks'!G167)</f>
        <v/>
      </c>
      <c r="H163" s="388" t="str">
        <f>IF('Statement of Marks'!H167="","",'Statement of Marks'!H167)</f>
        <v/>
      </c>
      <c r="I163" s="388" t="str">
        <f>IF('Statement of Marks'!I167="","",'Statement of Marks'!I167)</f>
        <v/>
      </c>
      <c r="J163" s="598" t="str">
        <f>IF('Statement of Marks'!GY167="","",'Statement of Marks'!GY167)</f>
        <v/>
      </c>
      <c r="K163" s="834" t="str">
        <f>IF(B163="","",IF('Statement of Marks'!GZ167="","",'Statement of Marks'!GZ167))</f>
        <v/>
      </c>
      <c r="L163" s="839" t="str">
        <f>IF('Statement of Marks'!HC167="","",'Statement of Marks'!HC167)</f>
        <v/>
      </c>
      <c r="M163" s="389" t="str">
        <f>IF('Statement of Marks'!HB167="","",'Statement of Marks'!HB167)</f>
        <v/>
      </c>
      <c r="N163" s="610" t="str">
        <f>IF('Statement of Marks'!HD167="","",'Statement of Marks'!HD167)</f>
        <v/>
      </c>
      <c r="O163" s="390" t="str">
        <f>IF(J163="FAIL","",IF('Statement of Marks'!GU167="","",'Statement of Marks'!GU167))</f>
        <v xml:space="preserve">    </v>
      </c>
      <c r="P163" s="391" t="str">
        <f>IF('Supp. Result Entry'!AS166="","",'Supp. Result Entry'!AS166)</f>
        <v/>
      </c>
      <c r="Q163" s="392" t="str">
        <f>IF('Supp. Result Entry'!AT166="","",'Supp. Result Entry'!AT166)</f>
        <v/>
      </c>
      <c r="R163" s="393" t="str">
        <f>IF('Statement of Marks'!HG167="","",'Statement of Marks'!HG167)</f>
        <v/>
      </c>
      <c r="S163" s="394" t="str">
        <f>IF('Statement of Marks'!FH167="","",'Statement of Marks'!FH167)</f>
        <v/>
      </c>
      <c r="BM163" s="395" t="str">
        <f>'Statement of Marks'!E167</f>
        <v/>
      </c>
      <c r="BN163" s="396" t="str">
        <f t="shared" si="24"/>
        <v/>
      </c>
      <c r="BO163" s="396" t="str">
        <f t="shared" si="25"/>
        <v/>
      </c>
      <c r="BP163" s="396" t="str">
        <f t="shared" si="26"/>
        <v/>
      </c>
      <c r="BQ163" s="396" t="str">
        <f t="shared" si="27"/>
        <v/>
      </c>
      <c r="BR163" s="396" t="str">
        <f t="shared" si="28"/>
        <v/>
      </c>
      <c r="BS163" s="396" t="str">
        <f t="shared" si="29"/>
        <v/>
      </c>
      <c r="BT163" s="396" t="str">
        <f t="shared" si="30"/>
        <v/>
      </c>
      <c r="BU163" s="396" t="str">
        <f t="shared" si="31"/>
        <v/>
      </c>
      <c r="BV163" s="396" t="str">
        <f t="shared" si="32"/>
        <v/>
      </c>
      <c r="BW163" s="396" t="str">
        <f t="shared" si="33"/>
        <v/>
      </c>
      <c r="BX163" s="396" t="str">
        <f t="shared" si="34"/>
        <v/>
      </c>
      <c r="BY163" s="396" t="str">
        <f t="shared" si="35"/>
        <v/>
      </c>
      <c r="BZ163" s="397"/>
    </row>
    <row r="164" spans="1:78" ht="15" customHeight="1">
      <c r="A164" s="386">
        <f>IF('Statement of Marks'!A168="","",'Statement of Marks'!A168)</f>
        <v>161</v>
      </c>
      <c r="B164" s="840" t="str">
        <f>IF('Statement of Marks'!B168="","",'Statement of Marks'!B168)</f>
        <v/>
      </c>
      <c r="C164" s="841" t="str">
        <f>IF('Statement of Marks'!C168="","",'Statement of Marks'!C168)</f>
        <v/>
      </c>
      <c r="D164" s="833" t="str">
        <f>IF('Statement of Marks'!D168="","",'Statement of Marks'!D168)</f>
        <v/>
      </c>
      <c r="E164" s="387" t="str">
        <f>IF('Statement of Marks'!E168="","",'Statement of Marks'!E168)</f>
        <v/>
      </c>
      <c r="F164" s="387" t="str">
        <f>IF('Statement of Marks'!F168="","",'Statement of Marks'!F168)</f>
        <v/>
      </c>
      <c r="G164" s="387" t="str">
        <f>IF('Statement of Marks'!G168="","",'Statement of Marks'!G168)</f>
        <v/>
      </c>
      <c r="H164" s="388" t="str">
        <f>IF('Statement of Marks'!H168="","",'Statement of Marks'!H168)</f>
        <v/>
      </c>
      <c r="I164" s="388" t="str">
        <f>IF('Statement of Marks'!I168="","",'Statement of Marks'!I168)</f>
        <v/>
      </c>
      <c r="J164" s="598" t="str">
        <f>IF('Statement of Marks'!GY168="","",'Statement of Marks'!GY168)</f>
        <v/>
      </c>
      <c r="K164" s="834" t="str">
        <f>IF(B164="","",IF('Statement of Marks'!GZ168="","",'Statement of Marks'!GZ168))</f>
        <v/>
      </c>
      <c r="L164" s="839" t="str">
        <f>IF('Statement of Marks'!HC168="","",'Statement of Marks'!HC168)</f>
        <v/>
      </c>
      <c r="M164" s="389" t="str">
        <f>IF('Statement of Marks'!HB168="","",'Statement of Marks'!HB168)</f>
        <v/>
      </c>
      <c r="N164" s="610" t="str">
        <f>IF('Statement of Marks'!HD168="","",'Statement of Marks'!HD168)</f>
        <v/>
      </c>
      <c r="O164" s="390" t="str">
        <f>IF(J164="FAIL","",IF('Statement of Marks'!GU168="","",'Statement of Marks'!GU168))</f>
        <v xml:space="preserve">    </v>
      </c>
      <c r="P164" s="391" t="str">
        <f>IF('Supp. Result Entry'!AS167="","",'Supp. Result Entry'!AS167)</f>
        <v/>
      </c>
      <c r="Q164" s="392" t="str">
        <f>IF('Supp. Result Entry'!AT167="","",'Supp. Result Entry'!AT167)</f>
        <v/>
      </c>
      <c r="R164" s="393" t="str">
        <f>IF('Statement of Marks'!HG168="","",'Statement of Marks'!HG168)</f>
        <v/>
      </c>
      <c r="S164" s="394" t="str">
        <f>IF('Statement of Marks'!FH168="","",'Statement of Marks'!FH168)</f>
        <v/>
      </c>
      <c r="BM164" s="395" t="str">
        <f>'Statement of Marks'!E168</f>
        <v/>
      </c>
      <c r="BN164" s="396" t="str">
        <f t="shared" si="24"/>
        <v/>
      </c>
      <c r="BO164" s="396" t="str">
        <f t="shared" si="25"/>
        <v/>
      </c>
      <c r="BP164" s="396" t="str">
        <f t="shared" si="26"/>
        <v/>
      </c>
      <c r="BQ164" s="396" t="str">
        <f t="shared" si="27"/>
        <v/>
      </c>
      <c r="BR164" s="396" t="str">
        <f t="shared" si="28"/>
        <v/>
      </c>
      <c r="BS164" s="396" t="str">
        <f t="shared" si="29"/>
        <v/>
      </c>
      <c r="BT164" s="396" t="str">
        <f t="shared" si="30"/>
        <v/>
      </c>
      <c r="BU164" s="396" t="str">
        <f t="shared" si="31"/>
        <v/>
      </c>
      <c r="BV164" s="396" t="str">
        <f t="shared" si="32"/>
        <v/>
      </c>
      <c r="BW164" s="396" t="str">
        <f t="shared" si="33"/>
        <v/>
      </c>
      <c r="BX164" s="396" t="str">
        <f t="shared" si="34"/>
        <v/>
      </c>
      <c r="BY164" s="396" t="str">
        <f t="shared" si="35"/>
        <v/>
      </c>
      <c r="BZ164" s="397"/>
    </row>
    <row r="165" spans="1:78" ht="15" customHeight="1">
      <c r="A165" s="386">
        <f>IF('Statement of Marks'!A169="","",'Statement of Marks'!A169)</f>
        <v>162</v>
      </c>
      <c r="B165" s="840" t="str">
        <f>IF('Statement of Marks'!B169="","",'Statement of Marks'!B169)</f>
        <v/>
      </c>
      <c r="C165" s="841" t="str">
        <f>IF('Statement of Marks'!C169="","",'Statement of Marks'!C169)</f>
        <v/>
      </c>
      <c r="D165" s="833" t="str">
        <f>IF('Statement of Marks'!D169="","",'Statement of Marks'!D169)</f>
        <v/>
      </c>
      <c r="E165" s="387" t="str">
        <f>IF('Statement of Marks'!E169="","",'Statement of Marks'!E169)</f>
        <v/>
      </c>
      <c r="F165" s="387" t="str">
        <f>IF('Statement of Marks'!F169="","",'Statement of Marks'!F169)</f>
        <v/>
      </c>
      <c r="G165" s="387" t="str">
        <f>IF('Statement of Marks'!G169="","",'Statement of Marks'!G169)</f>
        <v/>
      </c>
      <c r="H165" s="388" t="str">
        <f>IF('Statement of Marks'!H169="","",'Statement of Marks'!H169)</f>
        <v/>
      </c>
      <c r="I165" s="388" t="str">
        <f>IF('Statement of Marks'!I169="","",'Statement of Marks'!I169)</f>
        <v/>
      </c>
      <c r="J165" s="598" t="str">
        <f>IF('Statement of Marks'!GY169="","",'Statement of Marks'!GY169)</f>
        <v/>
      </c>
      <c r="K165" s="834" t="str">
        <f>IF(B165="","",IF('Statement of Marks'!GZ169="","",'Statement of Marks'!GZ169))</f>
        <v/>
      </c>
      <c r="L165" s="839" t="str">
        <f>IF('Statement of Marks'!HC169="","",'Statement of Marks'!HC169)</f>
        <v/>
      </c>
      <c r="M165" s="389" t="str">
        <f>IF('Statement of Marks'!HB169="","",'Statement of Marks'!HB169)</f>
        <v/>
      </c>
      <c r="N165" s="610" t="str">
        <f>IF('Statement of Marks'!HD169="","",'Statement of Marks'!HD169)</f>
        <v/>
      </c>
      <c r="O165" s="390" t="str">
        <f>IF(J165="FAIL","",IF('Statement of Marks'!GU169="","",'Statement of Marks'!GU169))</f>
        <v xml:space="preserve">    </v>
      </c>
      <c r="P165" s="391" t="str">
        <f>IF('Supp. Result Entry'!AS168="","",'Supp. Result Entry'!AS168)</f>
        <v/>
      </c>
      <c r="Q165" s="392" t="str">
        <f>IF('Supp. Result Entry'!AT168="","",'Supp. Result Entry'!AT168)</f>
        <v/>
      </c>
      <c r="R165" s="393" t="str">
        <f>IF('Statement of Marks'!HG169="","",'Statement of Marks'!HG169)</f>
        <v/>
      </c>
      <c r="S165" s="394" t="str">
        <f>IF('Statement of Marks'!FH169="","",'Statement of Marks'!FH169)</f>
        <v/>
      </c>
      <c r="BM165" s="395" t="str">
        <f>'Statement of Marks'!E169</f>
        <v/>
      </c>
      <c r="BN165" s="396" t="str">
        <f t="shared" si="24"/>
        <v/>
      </c>
      <c r="BO165" s="396" t="str">
        <f t="shared" si="25"/>
        <v/>
      </c>
      <c r="BP165" s="396" t="str">
        <f t="shared" si="26"/>
        <v/>
      </c>
      <c r="BQ165" s="396" t="str">
        <f t="shared" si="27"/>
        <v/>
      </c>
      <c r="BR165" s="396" t="str">
        <f t="shared" si="28"/>
        <v/>
      </c>
      <c r="BS165" s="396" t="str">
        <f t="shared" si="29"/>
        <v/>
      </c>
      <c r="BT165" s="396" t="str">
        <f t="shared" si="30"/>
        <v/>
      </c>
      <c r="BU165" s="396" t="str">
        <f t="shared" si="31"/>
        <v/>
      </c>
      <c r="BV165" s="396" t="str">
        <f t="shared" si="32"/>
        <v/>
      </c>
      <c r="BW165" s="396" t="str">
        <f t="shared" si="33"/>
        <v/>
      </c>
      <c r="BX165" s="396" t="str">
        <f t="shared" si="34"/>
        <v/>
      </c>
      <c r="BY165" s="396" t="str">
        <f t="shared" si="35"/>
        <v/>
      </c>
      <c r="BZ165" s="397"/>
    </row>
    <row r="166" spans="1:78" ht="15" customHeight="1">
      <c r="A166" s="386">
        <f>IF('Statement of Marks'!A170="","",'Statement of Marks'!A170)</f>
        <v>163</v>
      </c>
      <c r="B166" s="840" t="str">
        <f>IF('Statement of Marks'!B170="","",'Statement of Marks'!B170)</f>
        <v/>
      </c>
      <c r="C166" s="841" t="str">
        <f>IF('Statement of Marks'!C170="","",'Statement of Marks'!C170)</f>
        <v/>
      </c>
      <c r="D166" s="833" t="str">
        <f>IF('Statement of Marks'!D170="","",'Statement of Marks'!D170)</f>
        <v/>
      </c>
      <c r="E166" s="387" t="str">
        <f>IF('Statement of Marks'!E170="","",'Statement of Marks'!E170)</f>
        <v/>
      </c>
      <c r="F166" s="387" t="str">
        <f>IF('Statement of Marks'!F170="","",'Statement of Marks'!F170)</f>
        <v/>
      </c>
      <c r="G166" s="387" t="str">
        <f>IF('Statement of Marks'!G170="","",'Statement of Marks'!G170)</f>
        <v/>
      </c>
      <c r="H166" s="388" t="str">
        <f>IF('Statement of Marks'!H170="","",'Statement of Marks'!H170)</f>
        <v/>
      </c>
      <c r="I166" s="388" t="str">
        <f>IF('Statement of Marks'!I170="","",'Statement of Marks'!I170)</f>
        <v/>
      </c>
      <c r="J166" s="598" t="str">
        <f>IF('Statement of Marks'!GY170="","",'Statement of Marks'!GY170)</f>
        <v/>
      </c>
      <c r="K166" s="834" t="str">
        <f>IF(B166="","",IF('Statement of Marks'!GZ170="","",'Statement of Marks'!GZ170))</f>
        <v/>
      </c>
      <c r="L166" s="839" t="str">
        <f>IF('Statement of Marks'!HC170="","",'Statement of Marks'!HC170)</f>
        <v/>
      </c>
      <c r="M166" s="389" t="str">
        <f>IF('Statement of Marks'!HB170="","",'Statement of Marks'!HB170)</f>
        <v/>
      </c>
      <c r="N166" s="610" t="str">
        <f>IF('Statement of Marks'!HD170="","",'Statement of Marks'!HD170)</f>
        <v/>
      </c>
      <c r="O166" s="390" t="str">
        <f>IF(J166="FAIL","",IF('Statement of Marks'!GU170="","",'Statement of Marks'!GU170))</f>
        <v xml:space="preserve">    </v>
      </c>
      <c r="P166" s="391" t="str">
        <f>IF('Supp. Result Entry'!AS169="","",'Supp. Result Entry'!AS169)</f>
        <v/>
      </c>
      <c r="Q166" s="392" t="str">
        <f>IF('Supp. Result Entry'!AT169="","",'Supp. Result Entry'!AT169)</f>
        <v/>
      </c>
      <c r="R166" s="393" t="str">
        <f>IF('Statement of Marks'!HG170="","",'Statement of Marks'!HG170)</f>
        <v/>
      </c>
      <c r="S166" s="394" t="str">
        <f>IF('Statement of Marks'!FH170="","",'Statement of Marks'!FH170)</f>
        <v/>
      </c>
      <c r="BM166" s="395" t="str">
        <f>'Statement of Marks'!E170</f>
        <v/>
      </c>
      <c r="BN166" s="396" t="str">
        <f t="shared" si="24"/>
        <v/>
      </c>
      <c r="BO166" s="396" t="str">
        <f t="shared" si="25"/>
        <v/>
      </c>
      <c r="BP166" s="396" t="str">
        <f t="shared" si="26"/>
        <v/>
      </c>
      <c r="BQ166" s="396" t="str">
        <f t="shared" si="27"/>
        <v/>
      </c>
      <c r="BR166" s="396" t="str">
        <f t="shared" si="28"/>
        <v/>
      </c>
      <c r="BS166" s="396" t="str">
        <f t="shared" si="29"/>
        <v/>
      </c>
      <c r="BT166" s="396" t="str">
        <f t="shared" si="30"/>
        <v/>
      </c>
      <c r="BU166" s="396" t="str">
        <f t="shared" si="31"/>
        <v/>
      </c>
      <c r="BV166" s="396" t="str">
        <f t="shared" si="32"/>
        <v/>
      </c>
      <c r="BW166" s="396" t="str">
        <f t="shared" si="33"/>
        <v/>
      </c>
      <c r="BX166" s="396" t="str">
        <f t="shared" si="34"/>
        <v/>
      </c>
      <c r="BY166" s="396" t="str">
        <f t="shared" si="35"/>
        <v/>
      </c>
      <c r="BZ166" s="397"/>
    </row>
    <row r="167" spans="1:78" ht="15" customHeight="1">
      <c r="A167" s="386">
        <f>IF('Statement of Marks'!A171="","",'Statement of Marks'!A171)</f>
        <v>164</v>
      </c>
      <c r="B167" s="840" t="str">
        <f>IF('Statement of Marks'!B171="","",'Statement of Marks'!B171)</f>
        <v/>
      </c>
      <c r="C167" s="841" t="str">
        <f>IF('Statement of Marks'!C171="","",'Statement of Marks'!C171)</f>
        <v/>
      </c>
      <c r="D167" s="833" t="str">
        <f>IF('Statement of Marks'!D171="","",'Statement of Marks'!D171)</f>
        <v/>
      </c>
      <c r="E167" s="387" t="str">
        <f>IF('Statement of Marks'!E171="","",'Statement of Marks'!E171)</f>
        <v/>
      </c>
      <c r="F167" s="387" t="str">
        <f>IF('Statement of Marks'!F171="","",'Statement of Marks'!F171)</f>
        <v/>
      </c>
      <c r="G167" s="387" t="str">
        <f>IF('Statement of Marks'!G171="","",'Statement of Marks'!G171)</f>
        <v/>
      </c>
      <c r="H167" s="388" t="str">
        <f>IF('Statement of Marks'!H171="","",'Statement of Marks'!H171)</f>
        <v/>
      </c>
      <c r="I167" s="388" t="str">
        <f>IF('Statement of Marks'!I171="","",'Statement of Marks'!I171)</f>
        <v/>
      </c>
      <c r="J167" s="598" t="str">
        <f>IF('Statement of Marks'!GY171="","",'Statement of Marks'!GY171)</f>
        <v/>
      </c>
      <c r="K167" s="834" t="str">
        <f>IF(B167="","",IF('Statement of Marks'!GZ171="","",'Statement of Marks'!GZ171))</f>
        <v/>
      </c>
      <c r="L167" s="839" t="str">
        <f>IF('Statement of Marks'!HC171="","",'Statement of Marks'!HC171)</f>
        <v/>
      </c>
      <c r="M167" s="389" t="str">
        <f>IF('Statement of Marks'!HB171="","",'Statement of Marks'!HB171)</f>
        <v/>
      </c>
      <c r="N167" s="610" t="str">
        <f>IF('Statement of Marks'!HD171="","",'Statement of Marks'!HD171)</f>
        <v/>
      </c>
      <c r="O167" s="390" t="str">
        <f>IF(J167="FAIL","",IF('Statement of Marks'!GU171="","",'Statement of Marks'!GU171))</f>
        <v xml:space="preserve">    </v>
      </c>
      <c r="P167" s="391" t="str">
        <f>IF('Supp. Result Entry'!AS170="","",'Supp. Result Entry'!AS170)</f>
        <v/>
      </c>
      <c r="Q167" s="392" t="str">
        <f>IF('Supp. Result Entry'!AT170="","",'Supp. Result Entry'!AT170)</f>
        <v/>
      </c>
      <c r="R167" s="393" t="str">
        <f>IF('Statement of Marks'!HG171="","",'Statement of Marks'!HG171)</f>
        <v/>
      </c>
      <c r="S167" s="394" t="str">
        <f>IF('Statement of Marks'!FH171="","",'Statement of Marks'!FH171)</f>
        <v/>
      </c>
      <c r="BM167" s="395" t="str">
        <f>'Statement of Marks'!E171</f>
        <v/>
      </c>
      <c r="BN167" s="396" t="str">
        <f t="shared" si="24"/>
        <v/>
      </c>
      <c r="BO167" s="396" t="str">
        <f t="shared" si="25"/>
        <v/>
      </c>
      <c r="BP167" s="396" t="str">
        <f t="shared" si="26"/>
        <v/>
      </c>
      <c r="BQ167" s="396" t="str">
        <f t="shared" si="27"/>
        <v/>
      </c>
      <c r="BR167" s="396" t="str">
        <f t="shared" si="28"/>
        <v/>
      </c>
      <c r="BS167" s="396" t="str">
        <f t="shared" si="29"/>
        <v/>
      </c>
      <c r="BT167" s="396" t="str">
        <f t="shared" si="30"/>
        <v/>
      </c>
      <c r="BU167" s="396" t="str">
        <f t="shared" si="31"/>
        <v/>
      </c>
      <c r="BV167" s="396" t="str">
        <f t="shared" si="32"/>
        <v/>
      </c>
      <c r="BW167" s="396" t="str">
        <f t="shared" si="33"/>
        <v/>
      </c>
      <c r="BX167" s="396" t="str">
        <f t="shared" si="34"/>
        <v/>
      </c>
      <c r="BY167" s="396" t="str">
        <f t="shared" si="35"/>
        <v/>
      </c>
      <c r="BZ167" s="397"/>
    </row>
    <row r="168" spans="1:78" ht="15" customHeight="1">
      <c r="A168" s="386">
        <f>IF('Statement of Marks'!A172="","",'Statement of Marks'!A172)</f>
        <v>165</v>
      </c>
      <c r="B168" s="840" t="str">
        <f>IF('Statement of Marks'!B172="","",'Statement of Marks'!B172)</f>
        <v/>
      </c>
      <c r="C168" s="841" t="str">
        <f>IF('Statement of Marks'!C172="","",'Statement of Marks'!C172)</f>
        <v/>
      </c>
      <c r="D168" s="833" t="str">
        <f>IF('Statement of Marks'!D172="","",'Statement of Marks'!D172)</f>
        <v/>
      </c>
      <c r="E168" s="387" t="str">
        <f>IF('Statement of Marks'!E172="","",'Statement of Marks'!E172)</f>
        <v/>
      </c>
      <c r="F168" s="387" t="str">
        <f>IF('Statement of Marks'!F172="","",'Statement of Marks'!F172)</f>
        <v/>
      </c>
      <c r="G168" s="387" t="str">
        <f>IF('Statement of Marks'!G172="","",'Statement of Marks'!G172)</f>
        <v/>
      </c>
      <c r="H168" s="388" t="str">
        <f>IF('Statement of Marks'!H172="","",'Statement of Marks'!H172)</f>
        <v/>
      </c>
      <c r="I168" s="388" t="str">
        <f>IF('Statement of Marks'!I172="","",'Statement of Marks'!I172)</f>
        <v/>
      </c>
      <c r="J168" s="598" t="str">
        <f>IF('Statement of Marks'!GY172="","",'Statement of Marks'!GY172)</f>
        <v/>
      </c>
      <c r="K168" s="834" t="str">
        <f>IF(B168="","",IF('Statement of Marks'!GZ172="","",'Statement of Marks'!GZ172))</f>
        <v/>
      </c>
      <c r="L168" s="839" t="str">
        <f>IF('Statement of Marks'!HC172="","",'Statement of Marks'!HC172)</f>
        <v/>
      </c>
      <c r="M168" s="389" t="str">
        <f>IF('Statement of Marks'!HB172="","",'Statement of Marks'!HB172)</f>
        <v/>
      </c>
      <c r="N168" s="610" t="str">
        <f>IF('Statement of Marks'!HD172="","",'Statement of Marks'!HD172)</f>
        <v/>
      </c>
      <c r="O168" s="390" t="str">
        <f>IF(J168="FAIL","",IF('Statement of Marks'!GU172="","",'Statement of Marks'!GU172))</f>
        <v xml:space="preserve">    </v>
      </c>
      <c r="P168" s="391" t="str">
        <f>IF('Supp. Result Entry'!AS171="","",'Supp. Result Entry'!AS171)</f>
        <v/>
      </c>
      <c r="Q168" s="392" t="str">
        <f>IF('Supp. Result Entry'!AT171="","",'Supp. Result Entry'!AT171)</f>
        <v/>
      </c>
      <c r="R168" s="393" t="str">
        <f>IF('Statement of Marks'!HG172="","",'Statement of Marks'!HG172)</f>
        <v/>
      </c>
      <c r="S168" s="394" t="str">
        <f>IF('Statement of Marks'!FH172="","",'Statement of Marks'!FH172)</f>
        <v/>
      </c>
      <c r="BM168" s="395" t="str">
        <f>'Statement of Marks'!E172</f>
        <v/>
      </c>
      <c r="BN168" s="396" t="str">
        <f t="shared" si="24"/>
        <v/>
      </c>
      <c r="BO168" s="396" t="str">
        <f t="shared" si="25"/>
        <v/>
      </c>
      <c r="BP168" s="396" t="str">
        <f t="shared" si="26"/>
        <v/>
      </c>
      <c r="BQ168" s="396" t="str">
        <f t="shared" si="27"/>
        <v/>
      </c>
      <c r="BR168" s="396" t="str">
        <f t="shared" si="28"/>
        <v/>
      </c>
      <c r="BS168" s="396" t="str">
        <f t="shared" si="29"/>
        <v/>
      </c>
      <c r="BT168" s="396" t="str">
        <f t="shared" si="30"/>
        <v/>
      </c>
      <c r="BU168" s="396" t="str">
        <f t="shared" si="31"/>
        <v/>
      </c>
      <c r="BV168" s="396" t="str">
        <f t="shared" si="32"/>
        <v/>
      </c>
      <c r="BW168" s="396" t="str">
        <f t="shared" si="33"/>
        <v/>
      </c>
      <c r="BX168" s="396" t="str">
        <f t="shared" si="34"/>
        <v/>
      </c>
      <c r="BY168" s="396" t="str">
        <f t="shared" si="35"/>
        <v/>
      </c>
      <c r="BZ168" s="397"/>
    </row>
    <row r="169" spans="1:78" ht="15" customHeight="1">
      <c r="A169" s="386">
        <f>IF('Statement of Marks'!A173="","",'Statement of Marks'!A173)</f>
        <v>166</v>
      </c>
      <c r="B169" s="840" t="str">
        <f>IF('Statement of Marks'!B173="","",'Statement of Marks'!B173)</f>
        <v/>
      </c>
      <c r="C169" s="841" t="str">
        <f>IF('Statement of Marks'!C173="","",'Statement of Marks'!C173)</f>
        <v/>
      </c>
      <c r="D169" s="833" t="str">
        <f>IF('Statement of Marks'!D173="","",'Statement of Marks'!D173)</f>
        <v/>
      </c>
      <c r="E169" s="387" t="str">
        <f>IF('Statement of Marks'!E173="","",'Statement of Marks'!E173)</f>
        <v/>
      </c>
      <c r="F169" s="387" t="str">
        <f>IF('Statement of Marks'!F173="","",'Statement of Marks'!F173)</f>
        <v/>
      </c>
      <c r="G169" s="387" t="str">
        <f>IF('Statement of Marks'!G173="","",'Statement of Marks'!G173)</f>
        <v/>
      </c>
      <c r="H169" s="388" t="str">
        <f>IF('Statement of Marks'!H173="","",'Statement of Marks'!H173)</f>
        <v/>
      </c>
      <c r="I169" s="388" t="str">
        <f>IF('Statement of Marks'!I173="","",'Statement of Marks'!I173)</f>
        <v/>
      </c>
      <c r="J169" s="598" t="str">
        <f>IF('Statement of Marks'!GY173="","",'Statement of Marks'!GY173)</f>
        <v/>
      </c>
      <c r="K169" s="834" t="str">
        <f>IF(B169="","",IF('Statement of Marks'!GZ173="","",'Statement of Marks'!GZ173))</f>
        <v/>
      </c>
      <c r="L169" s="839" t="str">
        <f>IF('Statement of Marks'!HC173="","",'Statement of Marks'!HC173)</f>
        <v/>
      </c>
      <c r="M169" s="389" t="str">
        <f>IF('Statement of Marks'!HB173="","",'Statement of Marks'!HB173)</f>
        <v/>
      </c>
      <c r="N169" s="610" t="str">
        <f>IF('Statement of Marks'!HD173="","",'Statement of Marks'!HD173)</f>
        <v/>
      </c>
      <c r="O169" s="390" t="str">
        <f>IF(J169="FAIL","",IF('Statement of Marks'!GU173="","",'Statement of Marks'!GU173))</f>
        <v xml:space="preserve">    </v>
      </c>
      <c r="P169" s="391" t="str">
        <f>IF('Supp. Result Entry'!AS172="","",'Supp. Result Entry'!AS172)</f>
        <v/>
      </c>
      <c r="Q169" s="392" t="str">
        <f>IF('Supp. Result Entry'!AT172="","",'Supp. Result Entry'!AT172)</f>
        <v/>
      </c>
      <c r="R169" s="393" t="str">
        <f>IF('Statement of Marks'!HG173="","",'Statement of Marks'!HG173)</f>
        <v/>
      </c>
      <c r="S169" s="394" t="str">
        <f>IF('Statement of Marks'!FH173="","",'Statement of Marks'!FH173)</f>
        <v/>
      </c>
      <c r="BM169" s="395" t="str">
        <f>'Statement of Marks'!E173</f>
        <v/>
      </c>
      <c r="BN169" s="396" t="str">
        <f t="shared" si="24"/>
        <v/>
      </c>
      <c r="BO169" s="396" t="str">
        <f t="shared" si="25"/>
        <v/>
      </c>
      <c r="BP169" s="396" t="str">
        <f t="shared" si="26"/>
        <v/>
      </c>
      <c r="BQ169" s="396" t="str">
        <f t="shared" si="27"/>
        <v/>
      </c>
      <c r="BR169" s="396" t="str">
        <f t="shared" si="28"/>
        <v/>
      </c>
      <c r="BS169" s="396" t="str">
        <f t="shared" si="29"/>
        <v/>
      </c>
      <c r="BT169" s="396" t="str">
        <f t="shared" si="30"/>
        <v/>
      </c>
      <c r="BU169" s="396" t="str">
        <f t="shared" si="31"/>
        <v/>
      </c>
      <c r="BV169" s="396" t="str">
        <f t="shared" si="32"/>
        <v/>
      </c>
      <c r="BW169" s="396" t="str">
        <f t="shared" si="33"/>
        <v/>
      </c>
      <c r="BX169" s="396" t="str">
        <f t="shared" si="34"/>
        <v/>
      </c>
      <c r="BY169" s="396" t="str">
        <f t="shared" si="35"/>
        <v/>
      </c>
      <c r="BZ169" s="397"/>
    </row>
    <row r="170" spans="1:78" ht="15" customHeight="1">
      <c r="A170" s="386">
        <f>IF('Statement of Marks'!A174="","",'Statement of Marks'!A174)</f>
        <v>167</v>
      </c>
      <c r="B170" s="840" t="str">
        <f>IF('Statement of Marks'!B174="","",'Statement of Marks'!B174)</f>
        <v/>
      </c>
      <c r="C170" s="841" t="str">
        <f>IF('Statement of Marks'!C174="","",'Statement of Marks'!C174)</f>
        <v/>
      </c>
      <c r="D170" s="833" t="str">
        <f>IF('Statement of Marks'!D174="","",'Statement of Marks'!D174)</f>
        <v/>
      </c>
      <c r="E170" s="387" t="str">
        <f>IF('Statement of Marks'!E174="","",'Statement of Marks'!E174)</f>
        <v/>
      </c>
      <c r="F170" s="387" t="str">
        <f>IF('Statement of Marks'!F174="","",'Statement of Marks'!F174)</f>
        <v/>
      </c>
      <c r="G170" s="387" t="str">
        <f>IF('Statement of Marks'!G174="","",'Statement of Marks'!G174)</f>
        <v/>
      </c>
      <c r="H170" s="388" t="str">
        <f>IF('Statement of Marks'!H174="","",'Statement of Marks'!H174)</f>
        <v/>
      </c>
      <c r="I170" s="388" t="str">
        <f>IF('Statement of Marks'!I174="","",'Statement of Marks'!I174)</f>
        <v/>
      </c>
      <c r="J170" s="598" t="str">
        <f>IF('Statement of Marks'!GY174="","",'Statement of Marks'!GY174)</f>
        <v/>
      </c>
      <c r="K170" s="834" t="str">
        <f>IF(B170="","",IF('Statement of Marks'!GZ174="","",'Statement of Marks'!GZ174))</f>
        <v/>
      </c>
      <c r="L170" s="839" t="str">
        <f>IF('Statement of Marks'!HC174="","",'Statement of Marks'!HC174)</f>
        <v/>
      </c>
      <c r="M170" s="389" t="str">
        <f>IF('Statement of Marks'!HB174="","",'Statement of Marks'!HB174)</f>
        <v/>
      </c>
      <c r="N170" s="610" t="str">
        <f>IF('Statement of Marks'!HD174="","",'Statement of Marks'!HD174)</f>
        <v/>
      </c>
      <c r="O170" s="390" t="str">
        <f>IF(J170="FAIL","",IF('Statement of Marks'!GU174="","",'Statement of Marks'!GU174))</f>
        <v xml:space="preserve">    </v>
      </c>
      <c r="P170" s="391" t="str">
        <f>IF('Supp. Result Entry'!AS173="","",'Supp. Result Entry'!AS173)</f>
        <v/>
      </c>
      <c r="Q170" s="392" t="str">
        <f>IF('Supp. Result Entry'!AT173="","",'Supp. Result Entry'!AT173)</f>
        <v/>
      </c>
      <c r="R170" s="393" t="str">
        <f>IF('Statement of Marks'!HG174="","",'Statement of Marks'!HG174)</f>
        <v/>
      </c>
      <c r="S170" s="394" t="str">
        <f>IF('Statement of Marks'!FH174="","",'Statement of Marks'!FH174)</f>
        <v/>
      </c>
      <c r="BM170" s="395" t="str">
        <f>'Statement of Marks'!E174</f>
        <v/>
      </c>
      <c r="BN170" s="396" t="str">
        <f t="shared" si="24"/>
        <v/>
      </c>
      <c r="BO170" s="396" t="str">
        <f t="shared" si="25"/>
        <v/>
      </c>
      <c r="BP170" s="396" t="str">
        <f t="shared" si="26"/>
        <v/>
      </c>
      <c r="BQ170" s="396" t="str">
        <f t="shared" si="27"/>
        <v/>
      </c>
      <c r="BR170" s="396" t="str">
        <f t="shared" si="28"/>
        <v/>
      </c>
      <c r="BS170" s="396" t="str">
        <f t="shared" si="29"/>
        <v/>
      </c>
      <c r="BT170" s="396" t="str">
        <f t="shared" si="30"/>
        <v/>
      </c>
      <c r="BU170" s="396" t="str">
        <f t="shared" si="31"/>
        <v/>
      </c>
      <c r="BV170" s="396" t="str">
        <f t="shared" si="32"/>
        <v/>
      </c>
      <c r="BW170" s="396" t="str">
        <f t="shared" si="33"/>
        <v/>
      </c>
      <c r="BX170" s="396" t="str">
        <f t="shared" si="34"/>
        <v/>
      </c>
      <c r="BY170" s="396" t="str">
        <f t="shared" si="35"/>
        <v/>
      </c>
      <c r="BZ170" s="397"/>
    </row>
    <row r="171" spans="1:78" ht="15" customHeight="1">
      <c r="A171" s="386">
        <f>IF('Statement of Marks'!A175="","",'Statement of Marks'!A175)</f>
        <v>168</v>
      </c>
      <c r="B171" s="840" t="str">
        <f>IF('Statement of Marks'!B175="","",'Statement of Marks'!B175)</f>
        <v/>
      </c>
      <c r="C171" s="841" t="str">
        <f>IF('Statement of Marks'!C175="","",'Statement of Marks'!C175)</f>
        <v/>
      </c>
      <c r="D171" s="833" t="str">
        <f>IF('Statement of Marks'!D175="","",'Statement of Marks'!D175)</f>
        <v/>
      </c>
      <c r="E171" s="387" t="str">
        <f>IF('Statement of Marks'!E175="","",'Statement of Marks'!E175)</f>
        <v/>
      </c>
      <c r="F171" s="387" t="str">
        <f>IF('Statement of Marks'!F175="","",'Statement of Marks'!F175)</f>
        <v/>
      </c>
      <c r="G171" s="387" t="str">
        <f>IF('Statement of Marks'!G175="","",'Statement of Marks'!G175)</f>
        <v/>
      </c>
      <c r="H171" s="388" t="str">
        <f>IF('Statement of Marks'!H175="","",'Statement of Marks'!H175)</f>
        <v/>
      </c>
      <c r="I171" s="388" t="str">
        <f>IF('Statement of Marks'!I175="","",'Statement of Marks'!I175)</f>
        <v/>
      </c>
      <c r="J171" s="598" t="str">
        <f>IF('Statement of Marks'!GY175="","",'Statement of Marks'!GY175)</f>
        <v/>
      </c>
      <c r="K171" s="834" t="str">
        <f>IF(B171="","",IF('Statement of Marks'!GZ175="","",'Statement of Marks'!GZ175))</f>
        <v/>
      </c>
      <c r="L171" s="839" t="str">
        <f>IF('Statement of Marks'!HC175="","",'Statement of Marks'!HC175)</f>
        <v/>
      </c>
      <c r="M171" s="389" t="str">
        <f>IF('Statement of Marks'!HB175="","",'Statement of Marks'!HB175)</f>
        <v/>
      </c>
      <c r="N171" s="610" t="str">
        <f>IF('Statement of Marks'!HD175="","",'Statement of Marks'!HD175)</f>
        <v/>
      </c>
      <c r="O171" s="390" t="str">
        <f>IF(J171="FAIL","",IF('Statement of Marks'!GU175="","",'Statement of Marks'!GU175))</f>
        <v xml:space="preserve">    </v>
      </c>
      <c r="P171" s="391" t="str">
        <f>IF('Supp. Result Entry'!AS174="","",'Supp. Result Entry'!AS174)</f>
        <v/>
      </c>
      <c r="Q171" s="392" t="str">
        <f>IF('Supp. Result Entry'!AT174="","",'Supp. Result Entry'!AT174)</f>
        <v/>
      </c>
      <c r="R171" s="393" t="str">
        <f>IF('Statement of Marks'!HG175="","",'Statement of Marks'!HG175)</f>
        <v/>
      </c>
      <c r="S171" s="394" t="str">
        <f>IF('Statement of Marks'!FH175="","",'Statement of Marks'!FH175)</f>
        <v/>
      </c>
      <c r="BM171" s="395" t="str">
        <f>'Statement of Marks'!E175</f>
        <v/>
      </c>
      <c r="BN171" s="396" t="str">
        <f t="shared" si="24"/>
        <v/>
      </c>
      <c r="BO171" s="396" t="str">
        <f t="shared" si="25"/>
        <v/>
      </c>
      <c r="BP171" s="396" t="str">
        <f t="shared" si="26"/>
        <v/>
      </c>
      <c r="BQ171" s="396" t="str">
        <f t="shared" si="27"/>
        <v/>
      </c>
      <c r="BR171" s="396" t="str">
        <f t="shared" si="28"/>
        <v/>
      </c>
      <c r="BS171" s="396" t="str">
        <f t="shared" si="29"/>
        <v/>
      </c>
      <c r="BT171" s="396" t="str">
        <f t="shared" si="30"/>
        <v/>
      </c>
      <c r="BU171" s="396" t="str">
        <f t="shared" si="31"/>
        <v/>
      </c>
      <c r="BV171" s="396" t="str">
        <f t="shared" si="32"/>
        <v/>
      </c>
      <c r="BW171" s="396" t="str">
        <f t="shared" si="33"/>
        <v/>
      </c>
      <c r="BX171" s="396" t="str">
        <f t="shared" si="34"/>
        <v/>
      </c>
      <c r="BY171" s="396" t="str">
        <f t="shared" si="35"/>
        <v/>
      </c>
      <c r="BZ171" s="397"/>
    </row>
    <row r="172" spans="1:78" ht="15" customHeight="1">
      <c r="A172" s="386">
        <f>IF('Statement of Marks'!A176="","",'Statement of Marks'!A176)</f>
        <v>169</v>
      </c>
      <c r="B172" s="840" t="str">
        <f>IF('Statement of Marks'!B176="","",'Statement of Marks'!B176)</f>
        <v/>
      </c>
      <c r="C172" s="841" t="str">
        <f>IF('Statement of Marks'!C176="","",'Statement of Marks'!C176)</f>
        <v/>
      </c>
      <c r="D172" s="833" t="str">
        <f>IF('Statement of Marks'!D176="","",'Statement of Marks'!D176)</f>
        <v/>
      </c>
      <c r="E172" s="387" t="str">
        <f>IF('Statement of Marks'!E176="","",'Statement of Marks'!E176)</f>
        <v/>
      </c>
      <c r="F172" s="387" t="str">
        <f>IF('Statement of Marks'!F176="","",'Statement of Marks'!F176)</f>
        <v/>
      </c>
      <c r="G172" s="387" t="str">
        <f>IF('Statement of Marks'!G176="","",'Statement of Marks'!G176)</f>
        <v/>
      </c>
      <c r="H172" s="388" t="str">
        <f>IF('Statement of Marks'!H176="","",'Statement of Marks'!H176)</f>
        <v/>
      </c>
      <c r="I172" s="388" t="str">
        <f>IF('Statement of Marks'!I176="","",'Statement of Marks'!I176)</f>
        <v/>
      </c>
      <c r="J172" s="598" t="str">
        <f>IF('Statement of Marks'!GY176="","",'Statement of Marks'!GY176)</f>
        <v/>
      </c>
      <c r="K172" s="834" t="str">
        <f>IF(B172="","",IF('Statement of Marks'!GZ176="","",'Statement of Marks'!GZ176))</f>
        <v/>
      </c>
      <c r="L172" s="839" t="str">
        <f>IF('Statement of Marks'!HC176="","",'Statement of Marks'!HC176)</f>
        <v/>
      </c>
      <c r="M172" s="389" t="str">
        <f>IF('Statement of Marks'!HB176="","",'Statement of Marks'!HB176)</f>
        <v/>
      </c>
      <c r="N172" s="610" t="str">
        <f>IF('Statement of Marks'!HD176="","",'Statement of Marks'!HD176)</f>
        <v/>
      </c>
      <c r="O172" s="390" t="str">
        <f>IF(J172="FAIL","",IF('Statement of Marks'!GU176="","",'Statement of Marks'!GU176))</f>
        <v xml:space="preserve">    </v>
      </c>
      <c r="P172" s="391" t="str">
        <f>IF('Supp. Result Entry'!AS175="","",'Supp. Result Entry'!AS175)</f>
        <v/>
      </c>
      <c r="Q172" s="392" t="str">
        <f>IF('Supp. Result Entry'!AT175="","",'Supp. Result Entry'!AT175)</f>
        <v/>
      </c>
      <c r="R172" s="393" t="str">
        <f>IF('Statement of Marks'!HG176="","",'Statement of Marks'!HG176)</f>
        <v/>
      </c>
      <c r="S172" s="394" t="str">
        <f>IF('Statement of Marks'!FH176="","",'Statement of Marks'!FH176)</f>
        <v/>
      </c>
      <c r="BM172" s="395" t="str">
        <f>'Statement of Marks'!E176</f>
        <v/>
      </c>
      <c r="BN172" s="396" t="str">
        <f t="shared" si="24"/>
        <v/>
      </c>
      <c r="BO172" s="396" t="str">
        <f t="shared" si="25"/>
        <v/>
      </c>
      <c r="BP172" s="396" t="str">
        <f t="shared" si="26"/>
        <v/>
      </c>
      <c r="BQ172" s="396" t="str">
        <f t="shared" si="27"/>
        <v/>
      </c>
      <c r="BR172" s="396" t="str">
        <f t="shared" si="28"/>
        <v/>
      </c>
      <c r="BS172" s="396" t="str">
        <f t="shared" si="29"/>
        <v/>
      </c>
      <c r="BT172" s="396" t="str">
        <f t="shared" si="30"/>
        <v/>
      </c>
      <c r="BU172" s="396" t="str">
        <f t="shared" si="31"/>
        <v/>
      </c>
      <c r="BV172" s="396" t="str">
        <f t="shared" si="32"/>
        <v/>
      </c>
      <c r="BW172" s="396" t="str">
        <f t="shared" si="33"/>
        <v/>
      </c>
      <c r="BX172" s="396" t="str">
        <f t="shared" si="34"/>
        <v/>
      </c>
      <c r="BY172" s="396" t="str">
        <f t="shared" si="35"/>
        <v/>
      </c>
      <c r="BZ172" s="397"/>
    </row>
    <row r="173" spans="1:78" ht="15" customHeight="1">
      <c r="A173" s="386">
        <f>IF('Statement of Marks'!A177="","",'Statement of Marks'!A177)</f>
        <v>170</v>
      </c>
      <c r="B173" s="840" t="str">
        <f>IF('Statement of Marks'!B177="","",'Statement of Marks'!B177)</f>
        <v/>
      </c>
      <c r="C173" s="841" t="str">
        <f>IF('Statement of Marks'!C177="","",'Statement of Marks'!C177)</f>
        <v/>
      </c>
      <c r="D173" s="833" t="str">
        <f>IF('Statement of Marks'!D177="","",'Statement of Marks'!D177)</f>
        <v/>
      </c>
      <c r="E173" s="387" t="str">
        <f>IF('Statement of Marks'!E177="","",'Statement of Marks'!E177)</f>
        <v/>
      </c>
      <c r="F173" s="387" t="str">
        <f>IF('Statement of Marks'!F177="","",'Statement of Marks'!F177)</f>
        <v/>
      </c>
      <c r="G173" s="387" t="str">
        <f>IF('Statement of Marks'!G177="","",'Statement of Marks'!G177)</f>
        <v/>
      </c>
      <c r="H173" s="388" t="str">
        <f>IF('Statement of Marks'!H177="","",'Statement of Marks'!H177)</f>
        <v/>
      </c>
      <c r="I173" s="388" t="str">
        <f>IF('Statement of Marks'!I177="","",'Statement of Marks'!I177)</f>
        <v/>
      </c>
      <c r="J173" s="598" t="str">
        <f>IF('Statement of Marks'!GY177="","",'Statement of Marks'!GY177)</f>
        <v/>
      </c>
      <c r="K173" s="834" t="str">
        <f>IF(B173="","",IF('Statement of Marks'!GZ177="","",'Statement of Marks'!GZ177))</f>
        <v/>
      </c>
      <c r="L173" s="839" t="str">
        <f>IF('Statement of Marks'!HC177="","",'Statement of Marks'!HC177)</f>
        <v/>
      </c>
      <c r="M173" s="389" t="str">
        <f>IF('Statement of Marks'!HB177="","",'Statement of Marks'!HB177)</f>
        <v/>
      </c>
      <c r="N173" s="610" t="str">
        <f>IF('Statement of Marks'!HD177="","",'Statement of Marks'!HD177)</f>
        <v/>
      </c>
      <c r="O173" s="390" t="str">
        <f>IF(J173="FAIL","",IF('Statement of Marks'!GU177="","",'Statement of Marks'!GU177))</f>
        <v xml:space="preserve">    </v>
      </c>
      <c r="P173" s="391" t="str">
        <f>IF('Supp. Result Entry'!AS176="","",'Supp. Result Entry'!AS176)</f>
        <v/>
      </c>
      <c r="Q173" s="392" t="str">
        <f>IF('Supp. Result Entry'!AT176="","",'Supp. Result Entry'!AT176)</f>
        <v/>
      </c>
      <c r="R173" s="393" t="str">
        <f>IF('Statement of Marks'!HG177="","",'Statement of Marks'!HG177)</f>
        <v/>
      </c>
      <c r="S173" s="394" t="str">
        <f>IF('Statement of Marks'!FH177="","",'Statement of Marks'!FH177)</f>
        <v/>
      </c>
      <c r="BM173" s="395" t="str">
        <f>'Statement of Marks'!E177</f>
        <v/>
      </c>
      <c r="BN173" s="396" t="str">
        <f t="shared" si="24"/>
        <v/>
      </c>
      <c r="BO173" s="396" t="str">
        <f t="shared" si="25"/>
        <v/>
      </c>
      <c r="BP173" s="396" t="str">
        <f t="shared" si="26"/>
        <v/>
      </c>
      <c r="BQ173" s="396" t="str">
        <f t="shared" si="27"/>
        <v/>
      </c>
      <c r="BR173" s="396" t="str">
        <f t="shared" si="28"/>
        <v/>
      </c>
      <c r="BS173" s="396" t="str">
        <f t="shared" si="29"/>
        <v/>
      </c>
      <c r="BT173" s="396" t="str">
        <f t="shared" si="30"/>
        <v/>
      </c>
      <c r="BU173" s="396" t="str">
        <f t="shared" si="31"/>
        <v/>
      </c>
      <c r="BV173" s="396" t="str">
        <f t="shared" si="32"/>
        <v/>
      </c>
      <c r="BW173" s="396" t="str">
        <f t="shared" si="33"/>
        <v/>
      </c>
      <c r="BX173" s="396" t="str">
        <f t="shared" si="34"/>
        <v/>
      </c>
      <c r="BY173" s="396" t="str">
        <f t="shared" si="35"/>
        <v/>
      </c>
      <c r="BZ173" s="397"/>
    </row>
    <row r="174" spans="1:78" ht="15" customHeight="1">
      <c r="A174" s="386">
        <f>IF('Statement of Marks'!A178="","",'Statement of Marks'!A178)</f>
        <v>171</v>
      </c>
      <c r="B174" s="840" t="str">
        <f>IF('Statement of Marks'!B178="","",'Statement of Marks'!B178)</f>
        <v/>
      </c>
      <c r="C174" s="841" t="str">
        <f>IF('Statement of Marks'!C178="","",'Statement of Marks'!C178)</f>
        <v/>
      </c>
      <c r="D174" s="833" t="str">
        <f>IF('Statement of Marks'!D178="","",'Statement of Marks'!D178)</f>
        <v/>
      </c>
      <c r="E174" s="387" t="str">
        <f>IF('Statement of Marks'!E178="","",'Statement of Marks'!E178)</f>
        <v/>
      </c>
      <c r="F174" s="387" t="str">
        <f>IF('Statement of Marks'!F178="","",'Statement of Marks'!F178)</f>
        <v/>
      </c>
      <c r="G174" s="387" t="str">
        <f>IF('Statement of Marks'!G178="","",'Statement of Marks'!G178)</f>
        <v/>
      </c>
      <c r="H174" s="388" t="str">
        <f>IF('Statement of Marks'!H178="","",'Statement of Marks'!H178)</f>
        <v/>
      </c>
      <c r="I174" s="388" t="str">
        <f>IF('Statement of Marks'!I178="","",'Statement of Marks'!I178)</f>
        <v/>
      </c>
      <c r="J174" s="598" t="str">
        <f>IF('Statement of Marks'!GY178="","",'Statement of Marks'!GY178)</f>
        <v/>
      </c>
      <c r="K174" s="834" t="str">
        <f>IF(B174="","",IF('Statement of Marks'!GZ178="","",'Statement of Marks'!GZ178))</f>
        <v/>
      </c>
      <c r="L174" s="839" t="str">
        <f>IF('Statement of Marks'!HC178="","",'Statement of Marks'!HC178)</f>
        <v/>
      </c>
      <c r="M174" s="389" t="str">
        <f>IF('Statement of Marks'!HB178="","",'Statement of Marks'!HB178)</f>
        <v/>
      </c>
      <c r="N174" s="610" t="str">
        <f>IF('Statement of Marks'!HD178="","",'Statement of Marks'!HD178)</f>
        <v/>
      </c>
      <c r="O174" s="390" t="str">
        <f>IF(J174="FAIL","",IF('Statement of Marks'!GU178="","",'Statement of Marks'!GU178))</f>
        <v xml:space="preserve">    </v>
      </c>
      <c r="P174" s="391" t="str">
        <f>IF('Supp. Result Entry'!AS177="","",'Supp. Result Entry'!AS177)</f>
        <v/>
      </c>
      <c r="Q174" s="392" t="str">
        <f>IF('Supp. Result Entry'!AT177="","",'Supp. Result Entry'!AT177)</f>
        <v/>
      </c>
      <c r="R174" s="393" t="str">
        <f>IF('Statement of Marks'!HG178="","",'Statement of Marks'!HG178)</f>
        <v/>
      </c>
      <c r="S174" s="394" t="str">
        <f>IF('Statement of Marks'!FH178="","",'Statement of Marks'!FH178)</f>
        <v/>
      </c>
      <c r="BM174" s="395" t="str">
        <f>'Statement of Marks'!E178</f>
        <v/>
      </c>
      <c r="BN174" s="396" t="str">
        <f t="shared" si="24"/>
        <v/>
      </c>
      <c r="BO174" s="396" t="str">
        <f t="shared" si="25"/>
        <v/>
      </c>
      <c r="BP174" s="396" t="str">
        <f t="shared" si="26"/>
        <v/>
      </c>
      <c r="BQ174" s="396" t="str">
        <f t="shared" si="27"/>
        <v/>
      </c>
      <c r="BR174" s="396" t="str">
        <f t="shared" si="28"/>
        <v/>
      </c>
      <c r="BS174" s="396" t="str">
        <f t="shared" si="29"/>
        <v/>
      </c>
      <c r="BT174" s="396" t="str">
        <f t="shared" si="30"/>
        <v/>
      </c>
      <c r="BU174" s="396" t="str">
        <f t="shared" si="31"/>
        <v/>
      </c>
      <c r="BV174" s="396" t="str">
        <f t="shared" si="32"/>
        <v/>
      </c>
      <c r="BW174" s="396" t="str">
        <f t="shared" si="33"/>
        <v/>
      </c>
      <c r="BX174" s="396" t="str">
        <f t="shared" si="34"/>
        <v/>
      </c>
      <c r="BY174" s="396" t="str">
        <f t="shared" si="35"/>
        <v/>
      </c>
      <c r="BZ174" s="397"/>
    </row>
    <row r="175" spans="1:78" ht="15" customHeight="1">
      <c r="A175" s="386">
        <f>IF('Statement of Marks'!A179="","",'Statement of Marks'!A179)</f>
        <v>172</v>
      </c>
      <c r="B175" s="840" t="str">
        <f>IF('Statement of Marks'!B179="","",'Statement of Marks'!B179)</f>
        <v/>
      </c>
      <c r="C175" s="841" t="str">
        <f>IF('Statement of Marks'!C179="","",'Statement of Marks'!C179)</f>
        <v/>
      </c>
      <c r="D175" s="833" t="str">
        <f>IF('Statement of Marks'!D179="","",'Statement of Marks'!D179)</f>
        <v/>
      </c>
      <c r="E175" s="387" t="str">
        <f>IF('Statement of Marks'!E179="","",'Statement of Marks'!E179)</f>
        <v/>
      </c>
      <c r="F175" s="387" t="str">
        <f>IF('Statement of Marks'!F179="","",'Statement of Marks'!F179)</f>
        <v/>
      </c>
      <c r="G175" s="387" t="str">
        <f>IF('Statement of Marks'!G179="","",'Statement of Marks'!G179)</f>
        <v/>
      </c>
      <c r="H175" s="388" t="str">
        <f>IF('Statement of Marks'!H179="","",'Statement of Marks'!H179)</f>
        <v/>
      </c>
      <c r="I175" s="388" t="str">
        <f>IF('Statement of Marks'!I179="","",'Statement of Marks'!I179)</f>
        <v/>
      </c>
      <c r="J175" s="598" t="str">
        <f>IF('Statement of Marks'!GY179="","",'Statement of Marks'!GY179)</f>
        <v/>
      </c>
      <c r="K175" s="834" t="str">
        <f>IF(B175="","",IF('Statement of Marks'!GZ179="","",'Statement of Marks'!GZ179))</f>
        <v/>
      </c>
      <c r="L175" s="839" t="str">
        <f>IF('Statement of Marks'!HC179="","",'Statement of Marks'!HC179)</f>
        <v/>
      </c>
      <c r="M175" s="389" t="str">
        <f>IF('Statement of Marks'!HB179="","",'Statement of Marks'!HB179)</f>
        <v/>
      </c>
      <c r="N175" s="610" t="str">
        <f>IF('Statement of Marks'!HD179="","",'Statement of Marks'!HD179)</f>
        <v/>
      </c>
      <c r="O175" s="390" t="str">
        <f>IF(J175="FAIL","",IF('Statement of Marks'!GU179="","",'Statement of Marks'!GU179))</f>
        <v xml:space="preserve">    </v>
      </c>
      <c r="P175" s="391" t="str">
        <f>IF('Supp. Result Entry'!AS178="","",'Supp. Result Entry'!AS178)</f>
        <v/>
      </c>
      <c r="Q175" s="392" t="str">
        <f>IF('Supp. Result Entry'!AT178="","",'Supp. Result Entry'!AT178)</f>
        <v/>
      </c>
      <c r="R175" s="393" t="str">
        <f>IF('Statement of Marks'!HG179="","",'Statement of Marks'!HG179)</f>
        <v/>
      </c>
      <c r="S175" s="394" t="str">
        <f>IF('Statement of Marks'!FH179="","",'Statement of Marks'!FH179)</f>
        <v/>
      </c>
      <c r="BM175" s="395" t="str">
        <f>'Statement of Marks'!E179</f>
        <v/>
      </c>
      <c r="BN175" s="396" t="str">
        <f t="shared" si="24"/>
        <v/>
      </c>
      <c r="BO175" s="396" t="str">
        <f t="shared" si="25"/>
        <v/>
      </c>
      <c r="BP175" s="396" t="str">
        <f t="shared" si="26"/>
        <v/>
      </c>
      <c r="BQ175" s="396" t="str">
        <f t="shared" si="27"/>
        <v/>
      </c>
      <c r="BR175" s="396" t="str">
        <f t="shared" si="28"/>
        <v/>
      </c>
      <c r="BS175" s="396" t="str">
        <f t="shared" si="29"/>
        <v/>
      </c>
      <c r="BT175" s="396" t="str">
        <f t="shared" si="30"/>
        <v/>
      </c>
      <c r="BU175" s="396" t="str">
        <f t="shared" si="31"/>
        <v/>
      </c>
      <c r="BV175" s="396" t="str">
        <f t="shared" si="32"/>
        <v/>
      </c>
      <c r="BW175" s="396" t="str">
        <f t="shared" si="33"/>
        <v/>
      </c>
      <c r="BX175" s="396" t="str">
        <f t="shared" si="34"/>
        <v/>
      </c>
      <c r="BY175" s="396" t="str">
        <f t="shared" si="35"/>
        <v/>
      </c>
      <c r="BZ175" s="397"/>
    </row>
    <row r="176" spans="1:78" ht="15" customHeight="1">
      <c r="A176" s="386">
        <f>IF('Statement of Marks'!A180="","",'Statement of Marks'!A180)</f>
        <v>173</v>
      </c>
      <c r="B176" s="840" t="str">
        <f>IF('Statement of Marks'!B180="","",'Statement of Marks'!B180)</f>
        <v/>
      </c>
      <c r="C176" s="841" t="str">
        <f>IF('Statement of Marks'!C180="","",'Statement of Marks'!C180)</f>
        <v/>
      </c>
      <c r="D176" s="833" t="str">
        <f>IF('Statement of Marks'!D180="","",'Statement of Marks'!D180)</f>
        <v/>
      </c>
      <c r="E176" s="387" t="str">
        <f>IF('Statement of Marks'!E180="","",'Statement of Marks'!E180)</f>
        <v/>
      </c>
      <c r="F176" s="387" t="str">
        <f>IF('Statement of Marks'!F180="","",'Statement of Marks'!F180)</f>
        <v/>
      </c>
      <c r="G176" s="387" t="str">
        <f>IF('Statement of Marks'!G180="","",'Statement of Marks'!G180)</f>
        <v/>
      </c>
      <c r="H176" s="388" t="str">
        <f>IF('Statement of Marks'!H180="","",'Statement of Marks'!H180)</f>
        <v/>
      </c>
      <c r="I176" s="388" t="str">
        <f>IF('Statement of Marks'!I180="","",'Statement of Marks'!I180)</f>
        <v/>
      </c>
      <c r="J176" s="598" t="str">
        <f>IF('Statement of Marks'!GY180="","",'Statement of Marks'!GY180)</f>
        <v/>
      </c>
      <c r="K176" s="834" t="str">
        <f>IF(B176="","",IF('Statement of Marks'!GZ180="","",'Statement of Marks'!GZ180))</f>
        <v/>
      </c>
      <c r="L176" s="839" t="str">
        <f>IF('Statement of Marks'!HC180="","",'Statement of Marks'!HC180)</f>
        <v/>
      </c>
      <c r="M176" s="389" t="str">
        <f>IF('Statement of Marks'!HB180="","",'Statement of Marks'!HB180)</f>
        <v/>
      </c>
      <c r="N176" s="610" t="str">
        <f>IF('Statement of Marks'!HD180="","",'Statement of Marks'!HD180)</f>
        <v/>
      </c>
      <c r="O176" s="390" t="str">
        <f>IF(J176="FAIL","",IF('Statement of Marks'!GU180="","",'Statement of Marks'!GU180))</f>
        <v xml:space="preserve">    </v>
      </c>
      <c r="P176" s="391" t="str">
        <f>IF('Supp. Result Entry'!AS179="","",'Supp. Result Entry'!AS179)</f>
        <v/>
      </c>
      <c r="Q176" s="392" t="str">
        <f>IF('Supp. Result Entry'!AT179="","",'Supp. Result Entry'!AT179)</f>
        <v/>
      </c>
      <c r="R176" s="393" t="str">
        <f>IF('Statement of Marks'!HG180="","",'Statement of Marks'!HG180)</f>
        <v/>
      </c>
      <c r="S176" s="394" t="str">
        <f>IF('Statement of Marks'!FH180="","",'Statement of Marks'!FH180)</f>
        <v/>
      </c>
      <c r="BM176" s="395" t="str">
        <f>'Statement of Marks'!E180</f>
        <v/>
      </c>
      <c r="BN176" s="396" t="str">
        <f t="shared" si="24"/>
        <v/>
      </c>
      <c r="BO176" s="396" t="str">
        <f t="shared" si="25"/>
        <v/>
      </c>
      <c r="BP176" s="396" t="str">
        <f t="shared" si="26"/>
        <v/>
      </c>
      <c r="BQ176" s="396" t="str">
        <f t="shared" si="27"/>
        <v/>
      </c>
      <c r="BR176" s="396" t="str">
        <f t="shared" si="28"/>
        <v/>
      </c>
      <c r="BS176" s="396" t="str">
        <f t="shared" si="29"/>
        <v/>
      </c>
      <c r="BT176" s="396" t="str">
        <f t="shared" si="30"/>
        <v/>
      </c>
      <c r="BU176" s="396" t="str">
        <f t="shared" si="31"/>
        <v/>
      </c>
      <c r="BV176" s="396" t="str">
        <f t="shared" si="32"/>
        <v/>
      </c>
      <c r="BW176" s="396" t="str">
        <f t="shared" si="33"/>
        <v/>
      </c>
      <c r="BX176" s="396" t="str">
        <f t="shared" si="34"/>
        <v/>
      </c>
      <c r="BY176" s="396" t="str">
        <f t="shared" si="35"/>
        <v/>
      </c>
      <c r="BZ176" s="397"/>
    </row>
    <row r="177" spans="1:78" ht="15" customHeight="1">
      <c r="A177" s="386">
        <f>IF('Statement of Marks'!A181="","",'Statement of Marks'!A181)</f>
        <v>174</v>
      </c>
      <c r="B177" s="840" t="str">
        <f>IF('Statement of Marks'!B181="","",'Statement of Marks'!B181)</f>
        <v/>
      </c>
      <c r="C177" s="841" t="str">
        <f>IF('Statement of Marks'!C181="","",'Statement of Marks'!C181)</f>
        <v/>
      </c>
      <c r="D177" s="833" t="str">
        <f>IF('Statement of Marks'!D181="","",'Statement of Marks'!D181)</f>
        <v/>
      </c>
      <c r="E177" s="387" t="str">
        <f>IF('Statement of Marks'!E181="","",'Statement of Marks'!E181)</f>
        <v/>
      </c>
      <c r="F177" s="387" t="str">
        <f>IF('Statement of Marks'!F181="","",'Statement of Marks'!F181)</f>
        <v/>
      </c>
      <c r="G177" s="387" t="str">
        <f>IF('Statement of Marks'!G181="","",'Statement of Marks'!G181)</f>
        <v/>
      </c>
      <c r="H177" s="388" t="str">
        <f>IF('Statement of Marks'!H181="","",'Statement of Marks'!H181)</f>
        <v/>
      </c>
      <c r="I177" s="388" t="str">
        <f>IF('Statement of Marks'!I181="","",'Statement of Marks'!I181)</f>
        <v/>
      </c>
      <c r="J177" s="598" t="str">
        <f>IF('Statement of Marks'!GY181="","",'Statement of Marks'!GY181)</f>
        <v/>
      </c>
      <c r="K177" s="834" t="str">
        <f>IF(B177="","",IF('Statement of Marks'!GZ181="","",'Statement of Marks'!GZ181))</f>
        <v/>
      </c>
      <c r="L177" s="839" t="str">
        <f>IF('Statement of Marks'!HC181="","",'Statement of Marks'!HC181)</f>
        <v/>
      </c>
      <c r="M177" s="389" t="str">
        <f>IF('Statement of Marks'!HB181="","",'Statement of Marks'!HB181)</f>
        <v/>
      </c>
      <c r="N177" s="610" t="str">
        <f>IF('Statement of Marks'!HD181="","",'Statement of Marks'!HD181)</f>
        <v/>
      </c>
      <c r="O177" s="390" t="str">
        <f>IF(J177="FAIL","",IF('Statement of Marks'!GU181="","",'Statement of Marks'!GU181))</f>
        <v xml:space="preserve">    </v>
      </c>
      <c r="P177" s="391" t="str">
        <f>IF('Supp. Result Entry'!AS180="","",'Supp. Result Entry'!AS180)</f>
        <v/>
      </c>
      <c r="Q177" s="392" t="str">
        <f>IF('Supp. Result Entry'!AT180="","",'Supp. Result Entry'!AT180)</f>
        <v/>
      </c>
      <c r="R177" s="393" t="str">
        <f>IF('Statement of Marks'!HG181="","",'Statement of Marks'!HG181)</f>
        <v/>
      </c>
      <c r="S177" s="394" t="str">
        <f>IF('Statement of Marks'!FH181="","",'Statement of Marks'!FH181)</f>
        <v/>
      </c>
      <c r="BM177" s="395" t="str">
        <f>'Statement of Marks'!E181</f>
        <v/>
      </c>
      <c r="BN177" s="396" t="str">
        <f t="shared" si="24"/>
        <v/>
      </c>
      <c r="BO177" s="396" t="str">
        <f t="shared" si="25"/>
        <v/>
      </c>
      <c r="BP177" s="396" t="str">
        <f t="shared" si="26"/>
        <v/>
      </c>
      <c r="BQ177" s="396" t="str">
        <f t="shared" si="27"/>
        <v/>
      </c>
      <c r="BR177" s="396" t="str">
        <f t="shared" si="28"/>
        <v/>
      </c>
      <c r="BS177" s="396" t="str">
        <f t="shared" si="29"/>
        <v/>
      </c>
      <c r="BT177" s="396" t="str">
        <f t="shared" si="30"/>
        <v/>
      </c>
      <c r="BU177" s="396" t="str">
        <f t="shared" si="31"/>
        <v/>
      </c>
      <c r="BV177" s="396" t="str">
        <f t="shared" si="32"/>
        <v/>
      </c>
      <c r="BW177" s="396" t="str">
        <f t="shared" si="33"/>
        <v/>
      </c>
      <c r="BX177" s="396" t="str">
        <f t="shared" si="34"/>
        <v/>
      </c>
      <c r="BY177" s="396" t="str">
        <f t="shared" si="35"/>
        <v/>
      </c>
      <c r="BZ177" s="397"/>
    </row>
    <row r="178" spans="1:78" ht="15" customHeight="1">
      <c r="A178" s="386">
        <f>IF('Statement of Marks'!A182="","",'Statement of Marks'!A182)</f>
        <v>175</v>
      </c>
      <c r="B178" s="840" t="str">
        <f>IF('Statement of Marks'!B182="","",'Statement of Marks'!B182)</f>
        <v/>
      </c>
      <c r="C178" s="841" t="str">
        <f>IF('Statement of Marks'!C182="","",'Statement of Marks'!C182)</f>
        <v/>
      </c>
      <c r="D178" s="833" t="str">
        <f>IF('Statement of Marks'!D182="","",'Statement of Marks'!D182)</f>
        <v/>
      </c>
      <c r="E178" s="387" t="str">
        <f>IF('Statement of Marks'!E182="","",'Statement of Marks'!E182)</f>
        <v/>
      </c>
      <c r="F178" s="387" t="str">
        <f>IF('Statement of Marks'!F182="","",'Statement of Marks'!F182)</f>
        <v/>
      </c>
      <c r="G178" s="387" t="str">
        <f>IF('Statement of Marks'!G182="","",'Statement of Marks'!G182)</f>
        <v/>
      </c>
      <c r="H178" s="388" t="str">
        <f>IF('Statement of Marks'!H182="","",'Statement of Marks'!H182)</f>
        <v/>
      </c>
      <c r="I178" s="388" t="str">
        <f>IF('Statement of Marks'!I182="","",'Statement of Marks'!I182)</f>
        <v/>
      </c>
      <c r="J178" s="598" t="str">
        <f>IF('Statement of Marks'!GY182="","",'Statement of Marks'!GY182)</f>
        <v/>
      </c>
      <c r="K178" s="834" t="str">
        <f>IF(B178="","",IF('Statement of Marks'!GZ182="","",'Statement of Marks'!GZ182))</f>
        <v/>
      </c>
      <c r="L178" s="839" t="str">
        <f>IF('Statement of Marks'!HC182="","",'Statement of Marks'!HC182)</f>
        <v/>
      </c>
      <c r="M178" s="389" t="str">
        <f>IF('Statement of Marks'!HB182="","",'Statement of Marks'!HB182)</f>
        <v/>
      </c>
      <c r="N178" s="610" t="str">
        <f>IF('Statement of Marks'!HD182="","",'Statement of Marks'!HD182)</f>
        <v/>
      </c>
      <c r="O178" s="390" t="str">
        <f>IF(J178="FAIL","",IF('Statement of Marks'!GU182="","",'Statement of Marks'!GU182))</f>
        <v xml:space="preserve">    </v>
      </c>
      <c r="P178" s="391" t="str">
        <f>IF('Supp. Result Entry'!AS181="","",'Supp. Result Entry'!AS181)</f>
        <v/>
      </c>
      <c r="Q178" s="392" t="str">
        <f>IF('Supp. Result Entry'!AT181="","",'Supp. Result Entry'!AT181)</f>
        <v/>
      </c>
      <c r="R178" s="393" t="str">
        <f>IF('Statement of Marks'!HG182="","",'Statement of Marks'!HG182)</f>
        <v/>
      </c>
      <c r="S178" s="394" t="str">
        <f>IF('Statement of Marks'!FH182="","",'Statement of Marks'!FH182)</f>
        <v/>
      </c>
      <c r="BM178" s="395" t="str">
        <f>'Statement of Marks'!E182</f>
        <v/>
      </c>
      <c r="BN178" s="396" t="str">
        <f t="shared" si="24"/>
        <v/>
      </c>
      <c r="BO178" s="396" t="str">
        <f t="shared" si="25"/>
        <v/>
      </c>
      <c r="BP178" s="396" t="str">
        <f t="shared" si="26"/>
        <v/>
      </c>
      <c r="BQ178" s="396" t="str">
        <f t="shared" si="27"/>
        <v/>
      </c>
      <c r="BR178" s="396" t="str">
        <f t="shared" si="28"/>
        <v/>
      </c>
      <c r="BS178" s="396" t="str">
        <f t="shared" si="29"/>
        <v/>
      </c>
      <c r="BT178" s="396" t="str">
        <f t="shared" si="30"/>
        <v/>
      </c>
      <c r="BU178" s="396" t="str">
        <f t="shared" si="31"/>
        <v/>
      </c>
      <c r="BV178" s="396" t="str">
        <f t="shared" si="32"/>
        <v/>
      </c>
      <c r="BW178" s="396" t="str">
        <f t="shared" si="33"/>
        <v/>
      </c>
      <c r="BX178" s="396" t="str">
        <f t="shared" si="34"/>
        <v/>
      </c>
      <c r="BY178" s="396" t="str">
        <f t="shared" si="35"/>
        <v/>
      </c>
      <c r="BZ178" s="397"/>
    </row>
    <row r="179" spans="1:78" ht="15" customHeight="1">
      <c r="A179" s="386">
        <f>IF('Statement of Marks'!A183="","",'Statement of Marks'!A183)</f>
        <v>176</v>
      </c>
      <c r="B179" s="840" t="str">
        <f>IF('Statement of Marks'!B183="","",'Statement of Marks'!B183)</f>
        <v/>
      </c>
      <c r="C179" s="841" t="str">
        <f>IF('Statement of Marks'!C183="","",'Statement of Marks'!C183)</f>
        <v/>
      </c>
      <c r="D179" s="833" t="str">
        <f>IF('Statement of Marks'!D183="","",'Statement of Marks'!D183)</f>
        <v/>
      </c>
      <c r="E179" s="387" t="str">
        <f>IF('Statement of Marks'!E183="","",'Statement of Marks'!E183)</f>
        <v/>
      </c>
      <c r="F179" s="387" t="str">
        <f>IF('Statement of Marks'!F183="","",'Statement of Marks'!F183)</f>
        <v/>
      </c>
      <c r="G179" s="387" t="str">
        <f>IF('Statement of Marks'!G183="","",'Statement of Marks'!G183)</f>
        <v/>
      </c>
      <c r="H179" s="388" t="str">
        <f>IF('Statement of Marks'!H183="","",'Statement of Marks'!H183)</f>
        <v/>
      </c>
      <c r="I179" s="388" t="str">
        <f>IF('Statement of Marks'!I183="","",'Statement of Marks'!I183)</f>
        <v/>
      </c>
      <c r="J179" s="598" t="str">
        <f>IF('Statement of Marks'!GY183="","",'Statement of Marks'!GY183)</f>
        <v/>
      </c>
      <c r="K179" s="834" t="str">
        <f>IF(B179="","",IF('Statement of Marks'!GZ183="","",'Statement of Marks'!GZ183))</f>
        <v/>
      </c>
      <c r="L179" s="839" t="str">
        <f>IF('Statement of Marks'!HC183="","",'Statement of Marks'!HC183)</f>
        <v/>
      </c>
      <c r="M179" s="389" t="str">
        <f>IF('Statement of Marks'!HB183="","",'Statement of Marks'!HB183)</f>
        <v/>
      </c>
      <c r="N179" s="610" t="str">
        <f>IF('Statement of Marks'!HD183="","",'Statement of Marks'!HD183)</f>
        <v/>
      </c>
      <c r="O179" s="390" t="str">
        <f>IF(J179="FAIL","",IF('Statement of Marks'!GU183="","",'Statement of Marks'!GU183))</f>
        <v xml:space="preserve">    </v>
      </c>
      <c r="P179" s="391" t="str">
        <f>IF('Supp. Result Entry'!AS182="","",'Supp. Result Entry'!AS182)</f>
        <v/>
      </c>
      <c r="Q179" s="392" t="str">
        <f>IF('Supp. Result Entry'!AT182="","",'Supp. Result Entry'!AT182)</f>
        <v/>
      </c>
      <c r="R179" s="393" t="str">
        <f>IF('Statement of Marks'!HG183="","",'Statement of Marks'!HG183)</f>
        <v/>
      </c>
      <c r="S179" s="394" t="str">
        <f>IF('Statement of Marks'!FH183="","",'Statement of Marks'!FH183)</f>
        <v/>
      </c>
      <c r="BM179" s="395" t="str">
        <f>'Statement of Marks'!E183</f>
        <v/>
      </c>
      <c r="BN179" s="396" t="str">
        <f t="shared" si="24"/>
        <v/>
      </c>
      <c r="BO179" s="396" t="str">
        <f t="shared" si="25"/>
        <v/>
      </c>
      <c r="BP179" s="396" t="str">
        <f t="shared" si="26"/>
        <v/>
      </c>
      <c r="BQ179" s="396" t="str">
        <f t="shared" si="27"/>
        <v/>
      </c>
      <c r="BR179" s="396" t="str">
        <f t="shared" si="28"/>
        <v/>
      </c>
      <c r="BS179" s="396" t="str">
        <f t="shared" si="29"/>
        <v/>
      </c>
      <c r="BT179" s="396" t="str">
        <f t="shared" si="30"/>
        <v/>
      </c>
      <c r="BU179" s="396" t="str">
        <f t="shared" si="31"/>
        <v/>
      </c>
      <c r="BV179" s="396" t="str">
        <f t="shared" si="32"/>
        <v/>
      </c>
      <c r="BW179" s="396" t="str">
        <f t="shared" si="33"/>
        <v/>
      </c>
      <c r="BX179" s="396" t="str">
        <f t="shared" si="34"/>
        <v/>
      </c>
      <c r="BY179" s="396" t="str">
        <f t="shared" si="35"/>
        <v/>
      </c>
      <c r="BZ179" s="397"/>
    </row>
    <row r="180" spans="1:78" ht="15" customHeight="1">
      <c r="A180" s="386">
        <f>IF('Statement of Marks'!A184="","",'Statement of Marks'!A184)</f>
        <v>177</v>
      </c>
      <c r="B180" s="840" t="str">
        <f>IF('Statement of Marks'!B184="","",'Statement of Marks'!B184)</f>
        <v/>
      </c>
      <c r="C180" s="841" t="str">
        <f>IF('Statement of Marks'!C184="","",'Statement of Marks'!C184)</f>
        <v/>
      </c>
      <c r="D180" s="833" t="str">
        <f>IF('Statement of Marks'!D184="","",'Statement of Marks'!D184)</f>
        <v/>
      </c>
      <c r="E180" s="387" t="str">
        <f>IF('Statement of Marks'!E184="","",'Statement of Marks'!E184)</f>
        <v/>
      </c>
      <c r="F180" s="387" t="str">
        <f>IF('Statement of Marks'!F184="","",'Statement of Marks'!F184)</f>
        <v/>
      </c>
      <c r="G180" s="387" t="str">
        <f>IF('Statement of Marks'!G184="","",'Statement of Marks'!G184)</f>
        <v/>
      </c>
      <c r="H180" s="388" t="str">
        <f>IF('Statement of Marks'!H184="","",'Statement of Marks'!H184)</f>
        <v/>
      </c>
      <c r="I180" s="388" t="str">
        <f>IF('Statement of Marks'!I184="","",'Statement of Marks'!I184)</f>
        <v/>
      </c>
      <c r="J180" s="598" t="str">
        <f>IF('Statement of Marks'!GY184="","",'Statement of Marks'!GY184)</f>
        <v/>
      </c>
      <c r="K180" s="834" t="str">
        <f>IF(B180="","",IF('Statement of Marks'!GZ184="","",'Statement of Marks'!GZ184))</f>
        <v/>
      </c>
      <c r="L180" s="839" t="str">
        <f>IF('Statement of Marks'!HC184="","",'Statement of Marks'!HC184)</f>
        <v/>
      </c>
      <c r="M180" s="389" t="str">
        <f>IF('Statement of Marks'!HB184="","",'Statement of Marks'!HB184)</f>
        <v/>
      </c>
      <c r="N180" s="610" t="str">
        <f>IF('Statement of Marks'!HD184="","",'Statement of Marks'!HD184)</f>
        <v/>
      </c>
      <c r="O180" s="390" t="str">
        <f>IF(J180="FAIL","",IF('Statement of Marks'!GU184="","",'Statement of Marks'!GU184))</f>
        <v xml:space="preserve">    </v>
      </c>
      <c r="P180" s="391" t="str">
        <f>IF('Supp. Result Entry'!AS183="","",'Supp. Result Entry'!AS183)</f>
        <v/>
      </c>
      <c r="Q180" s="392" t="str">
        <f>IF('Supp. Result Entry'!AT183="","",'Supp. Result Entry'!AT183)</f>
        <v/>
      </c>
      <c r="R180" s="393" t="str">
        <f>IF('Statement of Marks'!HG184="","",'Statement of Marks'!HG184)</f>
        <v/>
      </c>
      <c r="S180" s="394" t="str">
        <f>IF('Statement of Marks'!FH184="","",'Statement of Marks'!FH184)</f>
        <v/>
      </c>
      <c r="BM180" s="395" t="str">
        <f>'Statement of Marks'!E184</f>
        <v/>
      </c>
      <c r="BN180" s="396" t="str">
        <f t="shared" si="24"/>
        <v/>
      </c>
      <c r="BO180" s="396" t="str">
        <f t="shared" si="25"/>
        <v/>
      </c>
      <c r="BP180" s="396" t="str">
        <f t="shared" si="26"/>
        <v/>
      </c>
      <c r="BQ180" s="396" t="str">
        <f t="shared" si="27"/>
        <v/>
      </c>
      <c r="BR180" s="396" t="str">
        <f t="shared" si="28"/>
        <v/>
      </c>
      <c r="BS180" s="396" t="str">
        <f t="shared" si="29"/>
        <v/>
      </c>
      <c r="BT180" s="396" t="str">
        <f t="shared" si="30"/>
        <v/>
      </c>
      <c r="BU180" s="396" t="str">
        <f t="shared" si="31"/>
        <v/>
      </c>
      <c r="BV180" s="396" t="str">
        <f t="shared" si="32"/>
        <v/>
      </c>
      <c r="BW180" s="396" t="str">
        <f t="shared" si="33"/>
        <v/>
      </c>
      <c r="BX180" s="396" t="str">
        <f t="shared" si="34"/>
        <v/>
      </c>
      <c r="BY180" s="396" t="str">
        <f t="shared" si="35"/>
        <v/>
      </c>
      <c r="BZ180" s="397"/>
    </row>
    <row r="181" spans="1:78" ht="15" customHeight="1">
      <c r="A181" s="386">
        <f>IF('Statement of Marks'!A185="","",'Statement of Marks'!A185)</f>
        <v>178</v>
      </c>
      <c r="B181" s="840" t="str">
        <f>IF('Statement of Marks'!B185="","",'Statement of Marks'!B185)</f>
        <v/>
      </c>
      <c r="C181" s="841" t="str">
        <f>IF('Statement of Marks'!C185="","",'Statement of Marks'!C185)</f>
        <v/>
      </c>
      <c r="D181" s="833" t="str">
        <f>IF('Statement of Marks'!D185="","",'Statement of Marks'!D185)</f>
        <v/>
      </c>
      <c r="E181" s="387" t="str">
        <f>IF('Statement of Marks'!E185="","",'Statement of Marks'!E185)</f>
        <v/>
      </c>
      <c r="F181" s="387" t="str">
        <f>IF('Statement of Marks'!F185="","",'Statement of Marks'!F185)</f>
        <v/>
      </c>
      <c r="G181" s="387" t="str">
        <f>IF('Statement of Marks'!G185="","",'Statement of Marks'!G185)</f>
        <v/>
      </c>
      <c r="H181" s="388" t="str">
        <f>IF('Statement of Marks'!H185="","",'Statement of Marks'!H185)</f>
        <v/>
      </c>
      <c r="I181" s="388" t="str">
        <f>IF('Statement of Marks'!I185="","",'Statement of Marks'!I185)</f>
        <v/>
      </c>
      <c r="J181" s="598" t="str">
        <f>IF('Statement of Marks'!GY185="","",'Statement of Marks'!GY185)</f>
        <v/>
      </c>
      <c r="K181" s="834" t="str">
        <f>IF(B181="","",IF('Statement of Marks'!GZ185="","",'Statement of Marks'!GZ185))</f>
        <v/>
      </c>
      <c r="L181" s="839" t="str">
        <f>IF('Statement of Marks'!HC185="","",'Statement of Marks'!HC185)</f>
        <v/>
      </c>
      <c r="M181" s="389" t="str">
        <f>IF('Statement of Marks'!HB185="","",'Statement of Marks'!HB185)</f>
        <v/>
      </c>
      <c r="N181" s="610" t="str">
        <f>IF('Statement of Marks'!HD185="","",'Statement of Marks'!HD185)</f>
        <v/>
      </c>
      <c r="O181" s="390" t="str">
        <f>IF(J181="FAIL","",IF('Statement of Marks'!GU185="","",'Statement of Marks'!GU185))</f>
        <v xml:space="preserve">    </v>
      </c>
      <c r="P181" s="391" t="str">
        <f>IF('Supp. Result Entry'!AS184="","",'Supp. Result Entry'!AS184)</f>
        <v/>
      </c>
      <c r="Q181" s="392" t="str">
        <f>IF('Supp. Result Entry'!AT184="","",'Supp. Result Entry'!AT184)</f>
        <v/>
      </c>
      <c r="R181" s="393" t="str">
        <f>IF('Statement of Marks'!HG185="","",'Statement of Marks'!HG185)</f>
        <v/>
      </c>
      <c r="S181" s="394" t="str">
        <f>IF('Statement of Marks'!FH185="","",'Statement of Marks'!FH185)</f>
        <v/>
      </c>
      <c r="BM181" s="395" t="str">
        <f>'Statement of Marks'!E185</f>
        <v/>
      </c>
      <c r="BN181" s="396" t="str">
        <f t="shared" si="24"/>
        <v/>
      </c>
      <c r="BO181" s="396" t="str">
        <f t="shared" si="25"/>
        <v/>
      </c>
      <c r="BP181" s="396" t="str">
        <f t="shared" si="26"/>
        <v/>
      </c>
      <c r="BQ181" s="396" t="str">
        <f t="shared" si="27"/>
        <v/>
      </c>
      <c r="BR181" s="396" t="str">
        <f t="shared" si="28"/>
        <v/>
      </c>
      <c r="BS181" s="396" t="str">
        <f t="shared" si="29"/>
        <v/>
      </c>
      <c r="BT181" s="396" t="str">
        <f t="shared" si="30"/>
        <v/>
      </c>
      <c r="BU181" s="396" t="str">
        <f t="shared" si="31"/>
        <v/>
      </c>
      <c r="BV181" s="396" t="str">
        <f t="shared" si="32"/>
        <v/>
      </c>
      <c r="BW181" s="396" t="str">
        <f t="shared" si="33"/>
        <v/>
      </c>
      <c r="BX181" s="396" t="str">
        <f t="shared" si="34"/>
        <v/>
      </c>
      <c r="BY181" s="396" t="str">
        <f t="shared" si="35"/>
        <v/>
      </c>
      <c r="BZ181" s="397"/>
    </row>
    <row r="182" spans="1:78" ht="15" customHeight="1">
      <c r="A182" s="386">
        <f>IF('Statement of Marks'!A186="","",'Statement of Marks'!A186)</f>
        <v>179</v>
      </c>
      <c r="B182" s="840" t="str">
        <f>IF('Statement of Marks'!B186="","",'Statement of Marks'!B186)</f>
        <v/>
      </c>
      <c r="C182" s="841" t="str">
        <f>IF('Statement of Marks'!C186="","",'Statement of Marks'!C186)</f>
        <v/>
      </c>
      <c r="D182" s="833" t="str">
        <f>IF('Statement of Marks'!D186="","",'Statement of Marks'!D186)</f>
        <v/>
      </c>
      <c r="E182" s="387" t="str">
        <f>IF('Statement of Marks'!E186="","",'Statement of Marks'!E186)</f>
        <v/>
      </c>
      <c r="F182" s="387" t="str">
        <f>IF('Statement of Marks'!F186="","",'Statement of Marks'!F186)</f>
        <v/>
      </c>
      <c r="G182" s="387" t="str">
        <f>IF('Statement of Marks'!G186="","",'Statement of Marks'!G186)</f>
        <v/>
      </c>
      <c r="H182" s="388" t="str">
        <f>IF('Statement of Marks'!H186="","",'Statement of Marks'!H186)</f>
        <v/>
      </c>
      <c r="I182" s="388" t="str">
        <f>IF('Statement of Marks'!I186="","",'Statement of Marks'!I186)</f>
        <v/>
      </c>
      <c r="J182" s="598" t="str">
        <f>IF('Statement of Marks'!GY186="","",'Statement of Marks'!GY186)</f>
        <v/>
      </c>
      <c r="K182" s="834" t="str">
        <f>IF(B182="","",IF('Statement of Marks'!GZ186="","",'Statement of Marks'!GZ186))</f>
        <v/>
      </c>
      <c r="L182" s="839" t="str">
        <f>IF('Statement of Marks'!HC186="","",'Statement of Marks'!HC186)</f>
        <v/>
      </c>
      <c r="M182" s="389" t="str">
        <f>IF('Statement of Marks'!HB186="","",'Statement of Marks'!HB186)</f>
        <v/>
      </c>
      <c r="N182" s="610" t="str">
        <f>IF('Statement of Marks'!HD186="","",'Statement of Marks'!HD186)</f>
        <v/>
      </c>
      <c r="O182" s="390" t="str">
        <f>IF(J182="FAIL","",IF('Statement of Marks'!GU186="","",'Statement of Marks'!GU186))</f>
        <v xml:space="preserve">    </v>
      </c>
      <c r="P182" s="391" t="str">
        <f>IF('Supp. Result Entry'!AS185="","",'Supp. Result Entry'!AS185)</f>
        <v/>
      </c>
      <c r="Q182" s="392" t="str">
        <f>IF('Supp. Result Entry'!AT185="","",'Supp. Result Entry'!AT185)</f>
        <v/>
      </c>
      <c r="R182" s="393" t="str">
        <f>IF('Statement of Marks'!HG186="","",'Statement of Marks'!HG186)</f>
        <v/>
      </c>
      <c r="S182" s="394" t="str">
        <f>IF('Statement of Marks'!FH186="","",'Statement of Marks'!FH186)</f>
        <v/>
      </c>
      <c r="BM182" s="395" t="str">
        <f>'Statement of Marks'!E186</f>
        <v/>
      </c>
      <c r="BN182" s="396" t="str">
        <f t="shared" si="24"/>
        <v/>
      </c>
      <c r="BO182" s="396" t="str">
        <f t="shared" si="25"/>
        <v/>
      </c>
      <c r="BP182" s="396" t="str">
        <f t="shared" si="26"/>
        <v/>
      </c>
      <c r="BQ182" s="396" t="str">
        <f t="shared" si="27"/>
        <v/>
      </c>
      <c r="BR182" s="396" t="str">
        <f t="shared" si="28"/>
        <v/>
      </c>
      <c r="BS182" s="396" t="str">
        <f t="shared" si="29"/>
        <v/>
      </c>
      <c r="BT182" s="396" t="str">
        <f t="shared" si="30"/>
        <v/>
      </c>
      <c r="BU182" s="396" t="str">
        <f t="shared" si="31"/>
        <v/>
      </c>
      <c r="BV182" s="396" t="str">
        <f t="shared" si="32"/>
        <v/>
      </c>
      <c r="BW182" s="396" t="str">
        <f t="shared" si="33"/>
        <v/>
      </c>
      <c r="BX182" s="396" t="str">
        <f t="shared" si="34"/>
        <v/>
      </c>
      <c r="BY182" s="396" t="str">
        <f t="shared" si="35"/>
        <v/>
      </c>
      <c r="BZ182" s="397"/>
    </row>
    <row r="183" spans="1:78" ht="15" customHeight="1">
      <c r="A183" s="386">
        <f>IF('Statement of Marks'!A187="","",'Statement of Marks'!A187)</f>
        <v>180</v>
      </c>
      <c r="B183" s="840" t="str">
        <f>IF('Statement of Marks'!B187="","",'Statement of Marks'!B187)</f>
        <v/>
      </c>
      <c r="C183" s="841" t="str">
        <f>IF('Statement of Marks'!C187="","",'Statement of Marks'!C187)</f>
        <v/>
      </c>
      <c r="D183" s="833" t="str">
        <f>IF('Statement of Marks'!D187="","",'Statement of Marks'!D187)</f>
        <v/>
      </c>
      <c r="E183" s="387" t="str">
        <f>IF('Statement of Marks'!E187="","",'Statement of Marks'!E187)</f>
        <v/>
      </c>
      <c r="F183" s="387" t="str">
        <f>IF('Statement of Marks'!F187="","",'Statement of Marks'!F187)</f>
        <v/>
      </c>
      <c r="G183" s="387" t="str">
        <f>IF('Statement of Marks'!G187="","",'Statement of Marks'!G187)</f>
        <v/>
      </c>
      <c r="H183" s="388" t="str">
        <f>IF('Statement of Marks'!H187="","",'Statement of Marks'!H187)</f>
        <v/>
      </c>
      <c r="I183" s="388" t="str">
        <f>IF('Statement of Marks'!I187="","",'Statement of Marks'!I187)</f>
        <v/>
      </c>
      <c r="J183" s="598" t="str">
        <f>IF('Statement of Marks'!GY187="","",'Statement of Marks'!GY187)</f>
        <v/>
      </c>
      <c r="K183" s="834" t="str">
        <f>IF(B183="","",IF('Statement of Marks'!GZ187="","",'Statement of Marks'!GZ187))</f>
        <v/>
      </c>
      <c r="L183" s="839" t="str">
        <f>IF('Statement of Marks'!HC187="","",'Statement of Marks'!HC187)</f>
        <v/>
      </c>
      <c r="M183" s="389" t="str">
        <f>IF('Statement of Marks'!HB187="","",'Statement of Marks'!HB187)</f>
        <v/>
      </c>
      <c r="N183" s="610" t="str">
        <f>IF('Statement of Marks'!HD187="","",'Statement of Marks'!HD187)</f>
        <v/>
      </c>
      <c r="O183" s="390" t="str">
        <f>IF(J183="FAIL","",IF('Statement of Marks'!GU187="","",'Statement of Marks'!GU187))</f>
        <v xml:space="preserve">    </v>
      </c>
      <c r="P183" s="391" t="str">
        <f>IF('Supp. Result Entry'!AS186="","",'Supp. Result Entry'!AS186)</f>
        <v/>
      </c>
      <c r="Q183" s="392" t="str">
        <f>IF('Supp. Result Entry'!AT186="","",'Supp. Result Entry'!AT186)</f>
        <v/>
      </c>
      <c r="R183" s="393" t="str">
        <f>IF('Statement of Marks'!HG187="","",'Statement of Marks'!HG187)</f>
        <v/>
      </c>
      <c r="S183" s="394" t="str">
        <f>IF('Statement of Marks'!FH187="","",'Statement of Marks'!FH187)</f>
        <v/>
      </c>
      <c r="BM183" s="395" t="str">
        <f>'Statement of Marks'!E187</f>
        <v/>
      </c>
      <c r="BN183" s="396" t="str">
        <f t="shared" si="24"/>
        <v/>
      </c>
      <c r="BO183" s="396" t="str">
        <f t="shared" si="25"/>
        <v/>
      </c>
      <c r="BP183" s="396" t="str">
        <f t="shared" si="26"/>
        <v/>
      </c>
      <c r="BQ183" s="396" t="str">
        <f t="shared" si="27"/>
        <v/>
      </c>
      <c r="BR183" s="396" t="str">
        <f t="shared" si="28"/>
        <v/>
      </c>
      <c r="BS183" s="396" t="str">
        <f t="shared" si="29"/>
        <v/>
      </c>
      <c r="BT183" s="396" t="str">
        <f t="shared" si="30"/>
        <v/>
      </c>
      <c r="BU183" s="396" t="str">
        <f t="shared" si="31"/>
        <v/>
      </c>
      <c r="BV183" s="396" t="str">
        <f t="shared" si="32"/>
        <v/>
      </c>
      <c r="BW183" s="396" t="str">
        <f t="shared" si="33"/>
        <v/>
      </c>
      <c r="BX183" s="396" t="str">
        <f t="shared" si="34"/>
        <v/>
      </c>
      <c r="BY183" s="396" t="str">
        <f t="shared" si="35"/>
        <v/>
      </c>
      <c r="BZ183" s="397"/>
    </row>
    <row r="184" spans="1:78" ht="15" customHeight="1">
      <c r="A184" s="386">
        <f>IF('Statement of Marks'!A188="","",'Statement of Marks'!A188)</f>
        <v>181</v>
      </c>
      <c r="B184" s="840" t="str">
        <f>IF('Statement of Marks'!B188="","",'Statement of Marks'!B188)</f>
        <v/>
      </c>
      <c r="C184" s="841" t="str">
        <f>IF('Statement of Marks'!C188="","",'Statement of Marks'!C188)</f>
        <v/>
      </c>
      <c r="D184" s="833" t="str">
        <f>IF('Statement of Marks'!D188="","",'Statement of Marks'!D188)</f>
        <v/>
      </c>
      <c r="E184" s="387" t="str">
        <f>IF('Statement of Marks'!E188="","",'Statement of Marks'!E188)</f>
        <v/>
      </c>
      <c r="F184" s="387" t="str">
        <f>IF('Statement of Marks'!F188="","",'Statement of Marks'!F188)</f>
        <v/>
      </c>
      <c r="G184" s="387" t="str">
        <f>IF('Statement of Marks'!G188="","",'Statement of Marks'!G188)</f>
        <v/>
      </c>
      <c r="H184" s="388" t="str">
        <f>IF('Statement of Marks'!H188="","",'Statement of Marks'!H188)</f>
        <v/>
      </c>
      <c r="I184" s="388" t="str">
        <f>IF('Statement of Marks'!I188="","",'Statement of Marks'!I188)</f>
        <v/>
      </c>
      <c r="J184" s="598" t="str">
        <f>IF('Statement of Marks'!GY188="","",'Statement of Marks'!GY188)</f>
        <v/>
      </c>
      <c r="K184" s="834" t="str">
        <f>IF(B184="","",IF('Statement of Marks'!GZ188="","",'Statement of Marks'!GZ188))</f>
        <v/>
      </c>
      <c r="L184" s="839" t="str">
        <f>IF('Statement of Marks'!HC188="","",'Statement of Marks'!HC188)</f>
        <v/>
      </c>
      <c r="M184" s="389" t="str">
        <f>IF('Statement of Marks'!HB188="","",'Statement of Marks'!HB188)</f>
        <v/>
      </c>
      <c r="N184" s="610" t="str">
        <f>IF('Statement of Marks'!HD188="","",'Statement of Marks'!HD188)</f>
        <v/>
      </c>
      <c r="O184" s="390" t="str">
        <f>IF(J184="FAIL","",IF('Statement of Marks'!GU188="","",'Statement of Marks'!GU188))</f>
        <v xml:space="preserve">    </v>
      </c>
      <c r="P184" s="391" t="str">
        <f>IF('Supp. Result Entry'!AS187="","",'Supp. Result Entry'!AS187)</f>
        <v/>
      </c>
      <c r="Q184" s="392" t="str">
        <f>IF('Supp. Result Entry'!AT187="","",'Supp. Result Entry'!AT187)</f>
        <v/>
      </c>
      <c r="R184" s="393" t="str">
        <f>IF('Statement of Marks'!HG188="","",'Statement of Marks'!HG188)</f>
        <v/>
      </c>
      <c r="S184" s="394" t="str">
        <f>IF('Statement of Marks'!FH188="","",'Statement of Marks'!FH188)</f>
        <v/>
      </c>
      <c r="BM184" s="395" t="str">
        <f>'Statement of Marks'!E188</f>
        <v/>
      </c>
      <c r="BN184" s="396" t="str">
        <f t="shared" si="24"/>
        <v/>
      </c>
      <c r="BO184" s="396" t="str">
        <f t="shared" si="25"/>
        <v/>
      </c>
      <c r="BP184" s="396" t="str">
        <f t="shared" si="26"/>
        <v/>
      </c>
      <c r="BQ184" s="396" t="str">
        <f t="shared" si="27"/>
        <v/>
      </c>
      <c r="BR184" s="396" t="str">
        <f t="shared" si="28"/>
        <v/>
      </c>
      <c r="BS184" s="396" t="str">
        <f t="shared" si="29"/>
        <v/>
      </c>
      <c r="BT184" s="396" t="str">
        <f t="shared" si="30"/>
        <v/>
      </c>
      <c r="BU184" s="396" t="str">
        <f t="shared" si="31"/>
        <v/>
      </c>
      <c r="BV184" s="396" t="str">
        <f t="shared" si="32"/>
        <v/>
      </c>
      <c r="BW184" s="396" t="str">
        <f t="shared" si="33"/>
        <v/>
      </c>
      <c r="BX184" s="396" t="str">
        <f t="shared" si="34"/>
        <v/>
      </c>
      <c r="BY184" s="396" t="str">
        <f t="shared" si="35"/>
        <v/>
      </c>
      <c r="BZ184" s="397"/>
    </row>
    <row r="185" spans="1:78" ht="15" customHeight="1">
      <c r="A185" s="386">
        <f>IF('Statement of Marks'!A189="","",'Statement of Marks'!A189)</f>
        <v>182</v>
      </c>
      <c r="B185" s="840" t="str">
        <f>IF('Statement of Marks'!B189="","",'Statement of Marks'!B189)</f>
        <v/>
      </c>
      <c r="C185" s="841" t="str">
        <f>IF('Statement of Marks'!C189="","",'Statement of Marks'!C189)</f>
        <v/>
      </c>
      <c r="D185" s="833" t="str">
        <f>IF('Statement of Marks'!D189="","",'Statement of Marks'!D189)</f>
        <v/>
      </c>
      <c r="E185" s="387" t="str">
        <f>IF('Statement of Marks'!E189="","",'Statement of Marks'!E189)</f>
        <v/>
      </c>
      <c r="F185" s="387" t="str">
        <f>IF('Statement of Marks'!F189="","",'Statement of Marks'!F189)</f>
        <v/>
      </c>
      <c r="G185" s="387" t="str">
        <f>IF('Statement of Marks'!G189="","",'Statement of Marks'!G189)</f>
        <v/>
      </c>
      <c r="H185" s="388" t="str">
        <f>IF('Statement of Marks'!H189="","",'Statement of Marks'!H189)</f>
        <v/>
      </c>
      <c r="I185" s="388" t="str">
        <f>IF('Statement of Marks'!I189="","",'Statement of Marks'!I189)</f>
        <v/>
      </c>
      <c r="J185" s="598" t="str">
        <f>IF('Statement of Marks'!GY189="","",'Statement of Marks'!GY189)</f>
        <v/>
      </c>
      <c r="K185" s="834" t="str">
        <f>IF(B185="","",IF('Statement of Marks'!GZ189="","",'Statement of Marks'!GZ189))</f>
        <v/>
      </c>
      <c r="L185" s="839" t="str">
        <f>IF('Statement of Marks'!HC189="","",'Statement of Marks'!HC189)</f>
        <v/>
      </c>
      <c r="M185" s="389" t="str">
        <f>IF('Statement of Marks'!HB189="","",'Statement of Marks'!HB189)</f>
        <v/>
      </c>
      <c r="N185" s="610" t="str">
        <f>IF('Statement of Marks'!HD189="","",'Statement of Marks'!HD189)</f>
        <v/>
      </c>
      <c r="O185" s="390" t="str">
        <f>IF(J185="FAIL","",IF('Statement of Marks'!GU189="","",'Statement of Marks'!GU189))</f>
        <v xml:space="preserve">    </v>
      </c>
      <c r="P185" s="391" t="str">
        <f>IF('Supp. Result Entry'!AS188="","",'Supp. Result Entry'!AS188)</f>
        <v/>
      </c>
      <c r="Q185" s="392" t="str">
        <f>IF('Supp. Result Entry'!AT188="","",'Supp. Result Entry'!AT188)</f>
        <v/>
      </c>
      <c r="R185" s="393" t="str">
        <f>IF('Statement of Marks'!HG189="","",'Statement of Marks'!HG189)</f>
        <v/>
      </c>
      <c r="S185" s="394" t="str">
        <f>IF('Statement of Marks'!FH189="","",'Statement of Marks'!FH189)</f>
        <v/>
      </c>
      <c r="BM185" s="395" t="str">
        <f>'Statement of Marks'!E189</f>
        <v/>
      </c>
      <c r="BN185" s="396" t="str">
        <f t="shared" si="24"/>
        <v/>
      </c>
      <c r="BO185" s="396" t="str">
        <f t="shared" si="25"/>
        <v/>
      </c>
      <c r="BP185" s="396" t="str">
        <f t="shared" si="26"/>
        <v/>
      </c>
      <c r="BQ185" s="396" t="str">
        <f t="shared" si="27"/>
        <v/>
      </c>
      <c r="BR185" s="396" t="str">
        <f t="shared" si="28"/>
        <v/>
      </c>
      <c r="BS185" s="396" t="str">
        <f t="shared" si="29"/>
        <v/>
      </c>
      <c r="BT185" s="396" t="str">
        <f t="shared" si="30"/>
        <v/>
      </c>
      <c r="BU185" s="396" t="str">
        <f t="shared" si="31"/>
        <v/>
      </c>
      <c r="BV185" s="396" t="str">
        <f t="shared" si="32"/>
        <v/>
      </c>
      <c r="BW185" s="396" t="str">
        <f t="shared" si="33"/>
        <v/>
      </c>
      <c r="BX185" s="396" t="str">
        <f t="shared" si="34"/>
        <v/>
      </c>
      <c r="BY185" s="396" t="str">
        <f t="shared" si="35"/>
        <v/>
      </c>
      <c r="BZ185" s="397"/>
    </row>
    <row r="186" spans="1:78" ht="15" customHeight="1">
      <c r="A186" s="386">
        <f>IF('Statement of Marks'!A190="","",'Statement of Marks'!A190)</f>
        <v>183</v>
      </c>
      <c r="B186" s="840" t="str">
        <f>IF('Statement of Marks'!B190="","",'Statement of Marks'!B190)</f>
        <v/>
      </c>
      <c r="C186" s="841" t="str">
        <f>IF('Statement of Marks'!C190="","",'Statement of Marks'!C190)</f>
        <v/>
      </c>
      <c r="D186" s="833" t="str">
        <f>IF('Statement of Marks'!D190="","",'Statement of Marks'!D190)</f>
        <v/>
      </c>
      <c r="E186" s="387" t="str">
        <f>IF('Statement of Marks'!E190="","",'Statement of Marks'!E190)</f>
        <v/>
      </c>
      <c r="F186" s="387" t="str">
        <f>IF('Statement of Marks'!F190="","",'Statement of Marks'!F190)</f>
        <v/>
      </c>
      <c r="G186" s="387" t="str">
        <f>IF('Statement of Marks'!G190="","",'Statement of Marks'!G190)</f>
        <v/>
      </c>
      <c r="H186" s="388" t="str">
        <f>IF('Statement of Marks'!H190="","",'Statement of Marks'!H190)</f>
        <v/>
      </c>
      <c r="I186" s="388" t="str">
        <f>IF('Statement of Marks'!I190="","",'Statement of Marks'!I190)</f>
        <v/>
      </c>
      <c r="J186" s="598" t="str">
        <f>IF('Statement of Marks'!GY190="","",'Statement of Marks'!GY190)</f>
        <v/>
      </c>
      <c r="K186" s="834" t="str">
        <f>IF(B186="","",IF('Statement of Marks'!GZ190="","",'Statement of Marks'!GZ190))</f>
        <v/>
      </c>
      <c r="L186" s="839" t="str">
        <f>IF('Statement of Marks'!HC190="","",'Statement of Marks'!HC190)</f>
        <v/>
      </c>
      <c r="M186" s="389" t="str">
        <f>IF('Statement of Marks'!HB190="","",'Statement of Marks'!HB190)</f>
        <v/>
      </c>
      <c r="N186" s="610" t="str">
        <f>IF('Statement of Marks'!HD190="","",'Statement of Marks'!HD190)</f>
        <v/>
      </c>
      <c r="O186" s="390" t="str">
        <f>IF(J186="FAIL","",IF('Statement of Marks'!GU190="","",'Statement of Marks'!GU190))</f>
        <v xml:space="preserve">    </v>
      </c>
      <c r="P186" s="391" t="str">
        <f>IF('Supp. Result Entry'!AS189="","",'Supp. Result Entry'!AS189)</f>
        <v/>
      </c>
      <c r="Q186" s="392" t="str">
        <f>IF('Supp. Result Entry'!AT189="","",'Supp. Result Entry'!AT189)</f>
        <v/>
      </c>
      <c r="R186" s="393" t="str">
        <f>IF('Statement of Marks'!HG190="","",'Statement of Marks'!HG190)</f>
        <v/>
      </c>
      <c r="S186" s="394" t="str">
        <f>IF('Statement of Marks'!FH190="","",'Statement of Marks'!FH190)</f>
        <v/>
      </c>
      <c r="BM186" s="395" t="str">
        <f>'Statement of Marks'!E190</f>
        <v/>
      </c>
      <c r="BN186" s="396" t="str">
        <f t="shared" si="24"/>
        <v/>
      </c>
      <c r="BO186" s="396" t="str">
        <f t="shared" si="25"/>
        <v/>
      </c>
      <c r="BP186" s="396" t="str">
        <f t="shared" si="26"/>
        <v/>
      </c>
      <c r="BQ186" s="396" t="str">
        <f t="shared" si="27"/>
        <v/>
      </c>
      <c r="BR186" s="396" t="str">
        <f t="shared" si="28"/>
        <v/>
      </c>
      <c r="BS186" s="396" t="str">
        <f t="shared" si="29"/>
        <v/>
      </c>
      <c r="BT186" s="396" t="str">
        <f t="shared" si="30"/>
        <v/>
      </c>
      <c r="BU186" s="396" t="str">
        <f t="shared" si="31"/>
        <v/>
      </c>
      <c r="BV186" s="396" t="str">
        <f t="shared" si="32"/>
        <v/>
      </c>
      <c r="BW186" s="396" t="str">
        <f t="shared" si="33"/>
        <v/>
      </c>
      <c r="BX186" s="396" t="str">
        <f t="shared" si="34"/>
        <v/>
      </c>
      <c r="BY186" s="396" t="str">
        <f t="shared" si="35"/>
        <v/>
      </c>
      <c r="BZ186" s="397"/>
    </row>
    <row r="187" spans="1:78" ht="15" customHeight="1">
      <c r="A187" s="386">
        <f>IF('Statement of Marks'!A191="","",'Statement of Marks'!A191)</f>
        <v>184</v>
      </c>
      <c r="B187" s="840" t="str">
        <f>IF('Statement of Marks'!B191="","",'Statement of Marks'!B191)</f>
        <v/>
      </c>
      <c r="C187" s="841" t="str">
        <f>IF('Statement of Marks'!C191="","",'Statement of Marks'!C191)</f>
        <v/>
      </c>
      <c r="D187" s="833" t="str">
        <f>IF('Statement of Marks'!D191="","",'Statement of Marks'!D191)</f>
        <v/>
      </c>
      <c r="E187" s="387" t="str">
        <f>IF('Statement of Marks'!E191="","",'Statement of Marks'!E191)</f>
        <v/>
      </c>
      <c r="F187" s="387" t="str">
        <f>IF('Statement of Marks'!F191="","",'Statement of Marks'!F191)</f>
        <v/>
      </c>
      <c r="G187" s="387" t="str">
        <f>IF('Statement of Marks'!G191="","",'Statement of Marks'!G191)</f>
        <v/>
      </c>
      <c r="H187" s="388" t="str">
        <f>IF('Statement of Marks'!H191="","",'Statement of Marks'!H191)</f>
        <v/>
      </c>
      <c r="I187" s="388" t="str">
        <f>IF('Statement of Marks'!I191="","",'Statement of Marks'!I191)</f>
        <v/>
      </c>
      <c r="J187" s="598" t="str">
        <f>IF('Statement of Marks'!GY191="","",'Statement of Marks'!GY191)</f>
        <v/>
      </c>
      <c r="K187" s="834" t="str">
        <f>IF(B187="","",IF('Statement of Marks'!GZ191="","",'Statement of Marks'!GZ191))</f>
        <v/>
      </c>
      <c r="L187" s="839" t="str">
        <f>IF('Statement of Marks'!HC191="","",'Statement of Marks'!HC191)</f>
        <v/>
      </c>
      <c r="M187" s="389" t="str">
        <f>IF('Statement of Marks'!HB191="","",'Statement of Marks'!HB191)</f>
        <v/>
      </c>
      <c r="N187" s="610" t="str">
        <f>IF('Statement of Marks'!HD191="","",'Statement of Marks'!HD191)</f>
        <v/>
      </c>
      <c r="O187" s="390" t="str">
        <f>IF(J187="FAIL","",IF('Statement of Marks'!GU191="","",'Statement of Marks'!GU191))</f>
        <v xml:space="preserve">    </v>
      </c>
      <c r="P187" s="391" t="str">
        <f>IF('Supp. Result Entry'!AS190="","",'Supp. Result Entry'!AS190)</f>
        <v/>
      </c>
      <c r="Q187" s="392" t="str">
        <f>IF('Supp. Result Entry'!AT190="","",'Supp. Result Entry'!AT190)</f>
        <v/>
      </c>
      <c r="R187" s="393" t="str">
        <f>IF('Statement of Marks'!HG191="","",'Statement of Marks'!HG191)</f>
        <v/>
      </c>
      <c r="S187" s="394" t="str">
        <f>IF('Statement of Marks'!FH191="","",'Statement of Marks'!FH191)</f>
        <v/>
      </c>
      <c r="BM187" s="395" t="str">
        <f>'Statement of Marks'!E191</f>
        <v/>
      </c>
      <c r="BN187" s="396" t="str">
        <f t="shared" si="24"/>
        <v/>
      </c>
      <c r="BO187" s="396" t="str">
        <f t="shared" si="25"/>
        <v/>
      </c>
      <c r="BP187" s="396" t="str">
        <f t="shared" si="26"/>
        <v/>
      </c>
      <c r="BQ187" s="396" t="str">
        <f t="shared" si="27"/>
        <v/>
      </c>
      <c r="BR187" s="396" t="str">
        <f t="shared" si="28"/>
        <v/>
      </c>
      <c r="BS187" s="396" t="str">
        <f t="shared" si="29"/>
        <v/>
      </c>
      <c r="BT187" s="396" t="str">
        <f t="shared" si="30"/>
        <v/>
      </c>
      <c r="BU187" s="396" t="str">
        <f t="shared" si="31"/>
        <v/>
      </c>
      <c r="BV187" s="396" t="str">
        <f t="shared" si="32"/>
        <v/>
      </c>
      <c r="BW187" s="396" t="str">
        <f t="shared" si="33"/>
        <v/>
      </c>
      <c r="BX187" s="396" t="str">
        <f t="shared" si="34"/>
        <v/>
      </c>
      <c r="BY187" s="396" t="str">
        <f t="shared" si="35"/>
        <v/>
      </c>
      <c r="BZ187" s="397"/>
    </row>
    <row r="188" spans="1:78" ht="15" customHeight="1">
      <c r="A188" s="386">
        <f>IF('Statement of Marks'!A192="","",'Statement of Marks'!A192)</f>
        <v>185</v>
      </c>
      <c r="B188" s="840" t="str">
        <f>IF('Statement of Marks'!B192="","",'Statement of Marks'!B192)</f>
        <v/>
      </c>
      <c r="C188" s="841" t="str">
        <f>IF('Statement of Marks'!C192="","",'Statement of Marks'!C192)</f>
        <v/>
      </c>
      <c r="D188" s="833" t="str">
        <f>IF('Statement of Marks'!D192="","",'Statement of Marks'!D192)</f>
        <v/>
      </c>
      <c r="E188" s="387" t="str">
        <f>IF('Statement of Marks'!E192="","",'Statement of Marks'!E192)</f>
        <v/>
      </c>
      <c r="F188" s="387" t="str">
        <f>IF('Statement of Marks'!F192="","",'Statement of Marks'!F192)</f>
        <v/>
      </c>
      <c r="G188" s="387" t="str">
        <f>IF('Statement of Marks'!G192="","",'Statement of Marks'!G192)</f>
        <v/>
      </c>
      <c r="H188" s="388" t="str">
        <f>IF('Statement of Marks'!H192="","",'Statement of Marks'!H192)</f>
        <v/>
      </c>
      <c r="I188" s="388" t="str">
        <f>IF('Statement of Marks'!I192="","",'Statement of Marks'!I192)</f>
        <v/>
      </c>
      <c r="J188" s="598" t="str">
        <f>IF('Statement of Marks'!GY192="","",'Statement of Marks'!GY192)</f>
        <v/>
      </c>
      <c r="K188" s="834" t="str">
        <f>IF(B188="","",IF('Statement of Marks'!GZ192="","",'Statement of Marks'!GZ192))</f>
        <v/>
      </c>
      <c r="L188" s="839" t="str">
        <f>IF('Statement of Marks'!HC192="","",'Statement of Marks'!HC192)</f>
        <v/>
      </c>
      <c r="M188" s="389" t="str">
        <f>IF('Statement of Marks'!HB192="","",'Statement of Marks'!HB192)</f>
        <v/>
      </c>
      <c r="N188" s="610" t="str">
        <f>IF('Statement of Marks'!HD192="","",'Statement of Marks'!HD192)</f>
        <v/>
      </c>
      <c r="O188" s="390" t="str">
        <f>IF(J188="FAIL","",IF('Statement of Marks'!GU192="","",'Statement of Marks'!GU192))</f>
        <v xml:space="preserve">    </v>
      </c>
      <c r="P188" s="391" t="str">
        <f>IF('Supp. Result Entry'!AS191="","",'Supp. Result Entry'!AS191)</f>
        <v/>
      </c>
      <c r="Q188" s="392" t="str">
        <f>IF('Supp. Result Entry'!AT191="","",'Supp. Result Entry'!AT191)</f>
        <v/>
      </c>
      <c r="R188" s="393" t="str">
        <f>IF('Statement of Marks'!HG192="","",'Statement of Marks'!HG192)</f>
        <v/>
      </c>
      <c r="S188" s="394" t="str">
        <f>IF('Statement of Marks'!FH192="","",'Statement of Marks'!FH192)</f>
        <v/>
      </c>
      <c r="BM188" s="395" t="str">
        <f>'Statement of Marks'!E192</f>
        <v/>
      </c>
      <c r="BN188" s="396" t="str">
        <f t="shared" si="24"/>
        <v/>
      </c>
      <c r="BO188" s="396" t="str">
        <f t="shared" si="25"/>
        <v/>
      </c>
      <c r="BP188" s="396" t="str">
        <f t="shared" si="26"/>
        <v/>
      </c>
      <c r="BQ188" s="396" t="str">
        <f t="shared" si="27"/>
        <v/>
      </c>
      <c r="BR188" s="396" t="str">
        <f t="shared" si="28"/>
        <v/>
      </c>
      <c r="BS188" s="396" t="str">
        <f t="shared" si="29"/>
        <v/>
      </c>
      <c r="BT188" s="396" t="str">
        <f t="shared" si="30"/>
        <v/>
      </c>
      <c r="BU188" s="396" t="str">
        <f t="shared" si="31"/>
        <v/>
      </c>
      <c r="BV188" s="396" t="str">
        <f t="shared" si="32"/>
        <v/>
      </c>
      <c r="BW188" s="396" t="str">
        <f t="shared" si="33"/>
        <v/>
      </c>
      <c r="BX188" s="396" t="str">
        <f t="shared" si="34"/>
        <v/>
      </c>
      <c r="BY188" s="396" t="str">
        <f t="shared" si="35"/>
        <v/>
      </c>
      <c r="BZ188" s="397"/>
    </row>
    <row r="189" spans="1:78" ht="15" customHeight="1">
      <c r="A189" s="386">
        <f>IF('Statement of Marks'!A193="","",'Statement of Marks'!A193)</f>
        <v>186</v>
      </c>
      <c r="B189" s="840" t="str">
        <f>IF('Statement of Marks'!B193="","",'Statement of Marks'!B193)</f>
        <v/>
      </c>
      <c r="C189" s="841" t="str">
        <f>IF('Statement of Marks'!C193="","",'Statement of Marks'!C193)</f>
        <v/>
      </c>
      <c r="D189" s="833" t="str">
        <f>IF('Statement of Marks'!D193="","",'Statement of Marks'!D193)</f>
        <v/>
      </c>
      <c r="E189" s="387" t="str">
        <f>IF('Statement of Marks'!E193="","",'Statement of Marks'!E193)</f>
        <v/>
      </c>
      <c r="F189" s="387" t="str">
        <f>IF('Statement of Marks'!F193="","",'Statement of Marks'!F193)</f>
        <v/>
      </c>
      <c r="G189" s="387" t="str">
        <f>IF('Statement of Marks'!G193="","",'Statement of Marks'!G193)</f>
        <v/>
      </c>
      <c r="H189" s="388" t="str">
        <f>IF('Statement of Marks'!H193="","",'Statement of Marks'!H193)</f>
        <v/>
      </c>
      <c r="I189" s="388" t="str">
        <f>IF('Statement of Marks'!I193="","",'Statement of Marks'!I193)</f>
        <v/>
      </c>
      <c r="J189" s="598" t="str">
        <f>IF('Statement of Marks'!GY193="","",'Statement of Marks'!GY193)</f>
        <v/>
      </c>
      <c r="K189" s="834" t="str">
        <f>IF(B189="","",IF('Statement of Marks'!GZ193="","",'Statement of Marks'!GZ193))</f>
        <v/>
      </c>
      <c r="L189" s="839" t="str">
        <f>IF('Statement of Marks'!HC193="","",'Statement of Marks'!HC193)</f>
        <v/>
      </c>
      <c r="M189" s="389" t="str">
        <f>IF('Statement of Marks'!HB193="","",'Statement of Marks'!HB193)</f>
        <v/>
      </c>
      <c r="N189" s="610" t="str">
        <f>IF('Statement of Marks'!HD193="","",'Statement of Marks'!HD193)</f>
        <v/>
      </c>
      <c r="O189" s="390" t="str">
        <f>IF(J189="FAIL","",IF('Statement of Marks'!GU193="","",'Statement of Marks'!GU193))</f>
        <v xml:space="preserve">    </v>
      </c>
      <c r="P189" s="391" t="str">
        <f>IF('Supp. Result Entry'!AS192="","",'Supp. Result Entry'!AS192)</f>
        <v/>
      </c>
      <c r="Q189" s="392" t="str">
        <f>IF('Supp. Result Entry'!AT192="","",'Supp. Result Entry'!AT192)</f>
        <v/>
      </c>
      <c r="R189" s="393" t="str">
        <f>IF('Statement of Marks'!HG193="","",'Statement of Marks'!HG193)</f>
        <v/>
      </c>
      <c r="S189" s="394" t="str">
        <f>IF('Statement of Marks'!FH193="","",'Statement of Marks'!FH193)</f>
        <v/>
      </c>
      <c r="BM189" s="395" t="str">
        <f>'Statement of Marks'!E193</f>
        <v/>
      </c>
      <c r="BN189" s="396" t="str">
        <f t="shared" si="24"/>
        <v/>
      </c>
      <c r="BO189" s="396" t="str">
        <f t="shared" si="25"/>
        <v/>
      </c>
      <c r="BP189" s="396" t="str">
        <f t="shared" si="26"/>
        <v/>
      </c>
      <c r="BQ189" s="396" t="str">
        <f t="shared" si="27"/>
        <v/>
      </c>
      <c r="BR189" s="396" t="str">
        <f t="shared" si="28"/>
        <v/>
      </c>
      <c r="BS189" s="396" t="str">
        <f t="shared" si="29"/>
        <v/>
      </c>
      <c r="BT189" s="396" t="str">
        <f t="shared" si="30"/>
        <v/>
      </c>
      <c r="BU189" s="396" t="str">
        <f t="shared" si="31"/>
        <v/>
      </c>
      <c r="BV189" s="396" t="str">
        <f t="shared" si="32"/>
        <v/>
      </c>
      <c r="BW189" s="396" t="str">
        <f t="shared" si="33"/>
        <v/>
      </c>
      <c r="BX189" s="396" t="str">
        <f t="shared" si="34"/>
        <v/>
      </c>
      <c r="BY189" s="396" t="str">
        <f t="shared" si="35"/>
        <v/>
      </c>
      <c r="BZ189" s="397"/>
    </row>
    <row r="190" spans="1:78" ht="15" customHeight="1">
      <c r="A190" s="386">
        <f>IF('Statement of Marks'!A194="","",'Statement of Marks'!A194)</f>
        <v>187</v>
      </c>
      <c r="B190" s="840" t="str">
        <f>IF('Statement of Marks'!B194="","",'Statement of Marks'!B194)</f>
        <v/>
      </c>
      <c r="C190" s="841" t="str">
        <f>IF('Statement of Marks'!C194="","",'Statement of Marks'!C194)</f>
        <v/>
      </c>
      <c r="D190" s="833" t="str">
        <f>IF('Statement of Marks'!D194="","",'Statement of Marks'!D194)</f>
        <v/>
      </c>
      <c r="E190" s="387" t="str">
        <f>IF('Statement of Marks'!E194="","",'Statement of Marks'!E194)</f>
        <v/>
      </c>
      <c r="F190" s="387" t="str">
        <f>IF('Statement of Marks'!F194="","",'Statement of Marks'!F194)</f>
        <v/>
      </c>
      <c r="G190" s="387" t="str">
        <f>IF('Statement of Marks'!G194="","",'Statement of Marks'!G194)</f>
        <v/>
      </c>
      <c r="H190" s="388" t="str">
        <f>IF('Statement of Marks'!H194="","",'Statement of Marks'!H194)</f>
        <v/>
      </c>
      <c r="I190" s="388" t="str">
        <f>IF('Statement of Marks'!I194="","",'Statement of Marks'!I194)</f>
        <v/>
      </c>
      <c r="J190" s="598" t="str">
        <f>IF('Statement of Marks'!GY194="","",'Statement of Marks'!GY194)</f>
        <v/>
      </c>
      <c r="K190" s="834" t="str">
        <f>IF(B190="","",IF('Statement of Marks'!GZ194="","",'Statement of Marks'!GZ194))</f>
        <v/>
      </c>
      <c r="L190" s="839" t="str">
        <f>IF('Statement of Marks'!HC194="","",'Statement of Marks'!HC194)</f>
        <v/>
      </c>
      <c r="M190" s="389" t="str">
        <f>IF('Statement of Marks'!HB194="","",'Statement of Marks'!HB194)</f>
        <v/>
      </c>
      <c r="N190" s="610" t="str">
        <f>IF('Statement of Marks'!HD194="","",'Statement of Marks'!HD194)</f>
        <v/>
      </c>
      <c r="O190" s="390" t="str">
        <f>IF(J190="FAIL","",IF('Statement of Marks'!GU194="","",'Statement of Marks'!GU194))</f>
        <v xml:space="preserve">    </v>
      </c>
      <c r="P190" s="391" t="str">
        <f>IF('Supp. Result Entry'!AS193="","",'Supp. Result Entry'!AS193)</f>
        <v/>
      </c>
      <c r="Q190" s="392" t="str">
        <f>IF('Supp. Result Entry'!AT193="","",'Supp. Result Entry'!AT193)</f>
        <v/>
      </c>
      <c r="R190" s="393" t="str">
        <f>IF('Statement of Marks'!HG194="","",'Statement of Marks'!HG194)</f>
        <v/>
      </c>
      <c r="S190" s="394" t="str">
        <f>IF('Statement of Marks'!FH194="","",'Statement of Marks'!FH194)</f>
        <v/>
      </c>
      <c r="BM190" s="395" t="str">
        <f>'Statement of Marks'!E194</f>
        <v/>
      </c>
      <c r="BN190" s="396" t="str">
        <f t="shared" si="24"/>
        <v/>
      </c>
      <c r="BO190" s="396" t="str">
        <f t="shared" si="25"/>
        <v/>
      </c>
      <c r="BP190" s="396" t="str">
        <f t="shared" si="26"/>
        <v/>
      </c>
      <c r="BQ190" s="396" t="str">
        <f t="shared" si="27"/>
        <v/>
      </c>
      <c r="BR190" s="396" t="str">
        <f t="shared" si="28"/>
        <v/>
      </c>
      <c r="BS190" s="396" t="str">
        <f t="shared" si="29"/>
        <v/>
      </c>
      <c r="BT190" s="396" t="str">
        <f t="shared" si="30"/>
        <v/>
      </c>
      <c r="BU190" s="396" t="str">
        <f t="shared" si="31"/>
        <v/>
      </c>
      <c r="BV190" s="396" t="str">
        <f t="shared" si="32"/>
        <v/>
      </c>
      <c r="BW190" s="396" t="str">
        <f t="shared" si="33"/>
        <v/>
      </c>
      <c r="BX190" s="396" t="str">
        <f t="shared" si="34"/>
        <v/>
      </c>
      <c r="BY190" s="396" t="str">
        <f t="shared" si="35"/>
        <v/>
      </c>
      <c r="BZ190" s="397"/>
    </row>
    <row r="191" spans="1:78" ht="15" customHeight="1">
      <c r="A191" s="386">
        <f>IF('Statement of Marks'!A195="","",'Statement of Marks'!A195)</f>
        <v>188</v>
      </c>
      <c r="B191" s="840" t="str">
        <f>IF('Statement of Marks'!B195="","",'Statement of Marks'!B195)</f>
        <v/>
      </c>
      <c r="C191" s="841" t="str">
        <f>IF('Statement of Marks'!C195="","",'Statement of Marks'!C195)</f>
        <v/>
      </c>
      <c r="D191" s="833" t="str">
        <f>IF('Statement of Marks'!D195="","",'Statement of Marks'!D195)</f>
        <v/>
      </c>
      <c r="E191" s="387" t="str">
        <f>IF('Statement of Marks'!E195="","",'Statement of Marks'!E195)</f>
        <v/>
      </c>
      <c r="F191" s="387" t="str">
        <f>IF('Statement of Marks'!F195="","",'Statement of Marks'!F195)</f>
        <v/>
      </c>
      <c r="G191" s="387" t="str">
        <f>IF('Statement of Marks'!G195="","",'Statement of Marks'!G195)</f>
        <v/>
      </c>
      <c r="H191" s="388" t="str">
        <f>IF('Statement of Marks'!H195="","",'Statement of Marks'!H195)</f>
        <v/>
      </c>
      <c r="I191" s="388" t="str">
        <f>IF('Statement of Marks'!I195="","",'Statement of Marks'!I195)</f>
        <v/>
      </c>
      <c r="J191" s="598" t="str">
        <f>IF('Statement of Marks'!GY195="","",'Statement of Marks'!GY195)</f>
        <v/>
      </c>
      <c r="K191" s="834" t="str">
        <f>IF(B191="","",IF('Statement of Marks'!GZ195="","",'Statement of Marks'!GZ195))</f>
        <v/>
      </c>
      <c r="L191" s="839" t="str">
        <f>IF('Statement of Marks'!HC195="","",'Statement of Marks'!HC195)</f>
        <v/>
      </c>
      <c r="M191" s="389" t="str">
        <f>IF('Statement of Marks'!HB195="","",'Statement of Marks'!HB195)</f>
        <v/>
      </c>
      <c r="N191" s="610" t="str">
        <f>IF('Statement of Marks'!HD195="","",'Statement of Marks'!HD195)</f>
        <v/>
      </c>
      <c r="O191" s="390" t="str">
        <f>IF(J191="FAIL","",IF('Statement of Marks'!GU195="","",'Statement of Marks'!GU195))</f>
        <v xml:space="preserve">    </v>
      </c>
      <c r="P191" s="391" t="str">
        <f>IF('Supp. Result Entry'!AS194="","",'Supp. Result Entry'!AS194)</f>
        <v/>
      </c>
      <c r="Q191" s="392" t="str">
        <f>IF('Supp. Result Entry'!AT194="","",'Supp. Result Entry'!AT194)</f>
        <v/>
      </c>
      <c r="R191" s="393" t="str">
        <f>IF('Statement of Marks'!HG195="","",'Statement of Marks'!HG195)</f>
        <v/>
      </c>
      <c r="S191" s="394" t="str">
        <f>IF('Statement of Marks'!FH195="","",'Statement of Marks'!FH195)</f>
        <v/>
      </c>
      <c r="BM191" s="395" t="str">
        <f>'Statement of Marks'!E195</f>
        <v/>
      </c>
      <c r="BN191" s="396" t="str">
        <f t="shared" si="24"/>
        <v/>
      </c>
      <c r="BO191" s="396" t="str">
        <f t="shared" si="25"/>
        <v/>
      </c>
      <c r="BP191" s="396" t="str">
        <f t="shared" si="26"/>
        <v/>
      </c>
      <c r="BQ191" s="396" t="str">
        <f t="shared" si="27"/>
        <v/>
      </c>
      <c r="BR191" s="396" t="str">
        <f t="shared" si="28"/>
        <v/>
      </c>
      <c r="BS191" s="396" t="str">
        <f t="shared" si="29"/>
        <v/>
      </c>
      <c r="BT191" s="396" t="str">
        <f t="shared" si="30"/>
        <v/>
      </c>
      <c r="BU191" s="396" t="str">
        <f t="shared" si="31"/>
        <v/>
      </c>
      <c r="BV191" s="396" t="str">
        <f t="shared" si="32"/>
        <v/>
      </c>
      <c r="BW191" s="396" t="str">
        <f t="shared" si="33"/>
        <v/>
      </c>
      <c r="BX191" s="396" t="str">
        <f t="shared" si="34"/>
        <v/>
      </c>
      <c r="BY191" s="396" t="str">
        <f t="shared" si="35"/>
        <v/>
      </c>
      <c r="BZ191" s="397"/>
    </row>
    <row r="192" spans="1:78" ht="15" customHeight="1">
      <c r="A192" s="386">
        <f>IF('Statement of Marks'!A196="","",'Statement of Marks'!A196)</f>
        <v>189</v>
      </c>
      <c r="B192" s="840" t="str">
        <f>IF('Statement of Marks'!B196="","",'Statement of Marks'!B196)</f>
        <v/>
      </c>
      <c r="C192" s="841" t="str">
        <f>IF('Statement of Marks'!C196="","",'Statement of Marks'!C196)</f>
        <v/>
      </c>
      <c r="D192" s="833" t="str">
        <f>IF('Statement of Marks'!D196="","",'Statement of Marks'!D196)</f>
        <v/>
      </c>
      <c r="E192" s="387" t="str">
        <f>IF('Statement of Marks'!E196="","",'Statement of Marks'!E196)</f>
        <v/>
      </c>
      <c r="F192" s="387" t="str">
        <f>IF('Statement of Marks'!F196="","",'Statement of Marks'!F196)</f>
        <v/>
      </c>
      <c r="G192" s="387" t="str">
        <f>IF('Statement of Marks'!G196="","",'Statement of Marks'!G196)</f>
        <v/>
      </c>
      <c r="H192" s="388" t="str">
        <f>IF('Statement of Marks'!H196="","",'Statement of Marks'!H196)</f>
        <v/>
      </c>
      <c r="I192" s="388" t="str">
        <f>IF('Statement of Marks'!I196="","",'Statement of Marks'!I196)</f>
        <v/>
      </c>
      <c r="J192" s="598" t="str">
        <f>IF('Statement of Marks'!GY196="","",'Statement of Marks'!GY196)</f>
        <v/>
      </c>
      <c r="K192" s="834" t="str">
        <f>IF(B192="","",IF('Statement of Marks'!GZ196="","",'Statement of Marks'!GZ196))</f>
        <v/>
      </c>
      <c r="L192" s="839" t="str">
        <f>IF('Statement of Marks'!HC196="","",'Statement of Marks'!HC196)</f>
        <v/>
      </c>
      <c r="M192" s="389" t="str">
        <f>IF('Statement of Marks'!HB196="","",'Statement of Marks'!HB196)</f>
        <v/>
      </c>
      <c r="N192" s="610" t="str">
        <f>IF('Statement of Marks'!HD196="","",'Statement of Marks'!HD196)</f>
        <v/>
      </c>
      <c r="O192" s="390" t="str">
        <f>IF(J192="FAIL","",IF('Statement of Marks'!GU196="","",'Statement of Marks'!GU196))</f>
        <v xml:space="preserve">    </v>
      </c>
      <c r="P192" s="391" t="str">
        <f>IF('Supp. Result Entry'!AS195="","",'Supp. Result Entry'!AS195)</f>
        <v/>
      </c>
      <c r="Q192" s="392" t="str">
        <f>IF('Supp. Result Entry'!AT195="","",'Supp. Result Entry'!AT195)</f>
        <v/>
      </c>
      <c r="R192" s="393" t="str">
        <f>IF('Statement of Marks'!HG196="","",'Statement of Marks'!HG196)</f>
        <v/>
      </c>
      <c r="S192" s="394" t="str">
        <f>IF('Statement of Marks'!FH196="","",'Statement of Marks'!FH196)</f>
        <v/>
      </c>
      <c r="BM192" s="395" t="str">
        <f>'Statement of Marks'!E196</f>
        <v/>
      </c>
      <c r="BN192" s="396" t="str">
        <f t="shared" si="24"/>
        <v/>
      </c>
      <c r="BO192" s="396" t="str">
        <f t="shared" si="25"/>
        <v/>
      </c>
      <c r="BP192" s="396" t="str">
        <f t="shared" si="26"/>
        <v/>
      </c>
      <c r="BQ192" s="396" t="str">
        <f t="shared" si="27"/>
        <v/>
      </c>
      <c r="BR192" s="396" t="str">
        <f t="shared" si="28"/>
        <v/>
      </c>
      <c r="BS192" s="396" t="str">
        <f t="shared" si="29"/>
        <v/>
      </c>
      <c r="BT192" s="396" t="str">
        <f t="shared" si="30"/>
        <v/>
      </c>
      <c r="BU192" s="396" t="str">
        <f t="shared" si="31"/>
        <v/>
      </c>
      <c r="BV192" s="396" t="str">
        <f t="shared" si="32"/>
        <v/>
      </c>
      <c r="BW192" s="396" t="str">
        <f t="shared" si="33"/>
        <v/>
      </c>
      <c r="BX192" s="396" t="str">
        <f t="shared" si="34"/>
        <v/>
      </c>
      <c r="BY192" s="396" t="str">
        <f t="shared" si="35"/>
        <v/>
      </c>
      <c r="BZ192" s="397"/>
    </row>
    <row r="193" spans="1:78" ht="15" customHeight="1">
      <c r="A193" s="386">
        <f>IF('Statement of Marks'!A197="","",'Statement of Marks'!A197)</f>
        <v>190</v>
      </c>
      <c r="B193" s="840" t="str">
        <f>IF('Statement of Marks'!B197="","",'Statement of Marks'!B197)</f>
        <v/>
      </c>
      <c r="C193" s="841" t="str">
        <f>IF('Statement of Marks'!C197="","",'Statement of Marks'!C197)</f>
        <v/>
      </c>
      <c r="D193" s="833" t="str">
        <f>IF('Statement of Marks'!D197="","",'Statement of Marks'!D197)</f>
        <v/>
      </c>
      <c r="E193" s="387" t="str">
        <f>IF('Statement of Marks'!E197="","",'Statement of Marks'!E197)</f>
        <v/>
      </c>
      <c r="F193" s="387" t="str">
        <f>IF('Statement of Marks'!F197="","",'Statement of Marks'!F197)</f>
        <v/>
      </c>
      <c r="G193" s="387" t="str">
        <f>IF('Statement of Marks'!G197="","",'Statement of Marks'!G197)</f>
        <v/>
      </c>
      <c r="H193" s="388" t="str">
        <f>IF('Statement of Marks'!H197="","",'Statement of Marks'!H197)</f>
        <v/>
      </c>
      <c r="I193" s="388" t="str">
        <f>IF('Statement of Marks'!I197="","",'Statement of Marks'!I197)</f>
        <v/>
      </c>
      <c r="J193" s="598" t="str">
        <f>IF('Statement of Marks'!GY197="","",'Statement of Marks'!GY197)</f>
        <v/>
      </c>
      <c r="K193" s="834" t="str">
        <f>IF(B193="","",IF('Statement of Marks'!GZ197="","",'Statement of Marks'!GZ197))</f>
        <v/>
      </c>
      <c r="L193" s="839" t="str">
        <f>IF('Statement of Marks'!HC197="","",'Statement of Marks'!HC197)</f>
        <v/>
      </c>
      <c r="M193" s="389" t="str">
        <f>IF('Statement of Marks'!HB197="","",'Statement of Marks'!HB197)</f>
        <v/>
      </c>
      <c r="N193" s="610" t="str">
        <f>IF('Statement of Marks'!HD197="","",'Statement of Marks'!HD197)</f>
        <v/>
      </c>
      <c r="O193" s="390" t="str">
        <f>IF(J193="FAIL","",IF('Statement of Marks'!GU197="","",'Statement of Marks'!GU197))</f>
        <v xml:space="preserve">    </v>
      </c>
      <c r="P193" s="391" t="str">
        <f>IF('Supp. Result Entry'!AS196="","",'Supp. Result Entry'!AS196)</f>
        <v/>
      </c>
      <c r="Q193" s="392" t="str">
        <f>IF('Supp. Result Entry'!AT196="","",'Supp. Result Entry'!AT196)</f>
        <v/>
      </c>
      <c r="R193" s="393" t="str">
        <f>IF('Statement of Marks'!HG197="","",'Statement of Marks'!HG197)</f>
        <v/>
      </c>
      <c r="S193" s="394" t="str">
        <f>IF('Statement of Marks'!FH197="","",'Statement of Marks'!FH197)</f>
        <v/>
      </c>
      <c r="BM193" s="395" t="str">
        <f>'Statement of Marks'!E197</f>
        <v/>
      </c>
      <c r="BN193" s="396" t="str">
        <f t="shared" si="24"/>
        <v/>
      </c>
      <c r="BO193" s="396" t="str">
        <f t="shared" si="25"/>
        <v/>
      </c>
      <c r="BP193" s="396" t="str">
        <f t="shared" si="26"/>
        <v/>
      </c>
      <c r="BQ193" s="396" t="str">
        <f t="shared" si="27"/>
        <v/>
      </c>
      <c r="BR193" s="396" t="str">
        <f t="shared" si="28"/>
        <v/>
      </c>
      <c r="BS193" s="396" t="str">
        <f t="shared" si="29"/>
        <v/>
      </c>
      <c r="BT193" s="396" t="str">
        <f t="shared" si="30"/>
        <v/>
      </c>
      <c r="BU193" s="396" t="str">
        <f t="shared" si="31"/>
        <v/>
      </c>
      <c r="BV193" s="396" t="str">
        <f t="shared" si="32"/>
        <v/>
      </c>
      <c r="BW193" s="396" t="str">
        <f t="shared" si="33"/>
        <v/>
      </c>
      <c r="BX193" s="396" t="str">
        <f t="shared" si="34"/>
        <v/>
      </c>
      <c r="BY193" s="396" t="str">
        <f t="shared" si="35"/>
        <v/>
      </c>
      <c r="BZ193" s="397"/>
    </row>
    <row r="194" spans="1:78" ht="15" customHeight="1">
      <c r="A194" s="386">
        <f>IF('Statement of Marks'!A198="","",'Statement of Marks'!A198)</f>
        <v>191</v>
      </c>
      <c r="B194" s="840" t="str">
        <f>IF('Statement of Marks'!B198="","",'Statement of Marks'!B198)</f>
        <v/>
      </c>
      <c r="C194" s="841" t="str">
        <f>IF('Statement of Marks'!C198="","",'Statement of Marks'!C198)</f>
        <v/>
      </c>
      <c r="D194" s="833" t="str">
        <f>IF('Statement of Marks'!D198="","",'Statement of Marks'!D198)</f>
        <v/>
      </c>
      <c r="E194" s="387" t="str">
        <f>IF('Statement of Marks'!E198="","",'Statement of Marks'!E198)</f>
        <v/>
      </c>
      <c r="F194" s="387" t="str">
        <f>IF('Statement of Marks'!F198="","",'Statement of Marks'!F198)</f>
        <v/>
      </c>
      <c r="G194" s="387" t="str">
        <f>IF('Statement of Marks'!G198="","",'Statement of Marks'!G198)</f>
        <v/>
      </c>
      <c r="H194" s="388" t="str">
        <f>IF('Statement of Marks'!H198="","",'Statement of Marks'!H198)</f>
        <v/>
      </c>
      <c r="I194" s="388" t="str">
        <f>IF('Statement of Marks'!I198="","",'Statement of Marks'!I198)</f>
        <v/>
      </c>
      <c r="J194" s="598" t="str">
        <f>IF('Statement of Marks'!GY198="","",'Statement of Marks'!GY198)</f>
        <v/>
      </c>
      <c r="K194" s="834" t="str">
        <f>IF(B194="","",IF('Statement of Marks'!GZ198="","",'Statement of Marks'!GZ198))</f>
        <v/>
      </c>
      <c r="L194" s="839" t="str">
        <f>IF('Statement of Marks'!HC198="","",'Statement of Marks'!HC198)</f>
        <v/>
      </c>
      <c r="M194" s="389" t="str">
        <f>IF('Statement of Marks'!HB198="","",'Statement of Marks'!HB198)</f>
        <v/>
      </c>
      <c r="N194" s="610" t="str">
        <f>IF('Statement of Marks'!HD198="","",'Statement of Marks'!HD198)</f>
        <v/>
      </c>
      <c r="O194" s="390" t="str">
        <f>IF(J194="FAIL","",IF('Statement of Marks'!GU198="","",'Statement of Marks'!GU198))</f>
        <v xml:space="preserve">    </v>
      </c>
      <c r="P194" s="391" t="str">
        <f>IF('Supp. Result Entry'!AS197="","",'Supp. Result Entry'!AS197)</f>
        <v/>
      </c>
      <c r="Q194" s="392" t="str">
        <f>IF('Supp. Result Entry'!AT197="","",'Supp. Result Entry'!AT197)</f>
        <v/>
      </c>
      <c r="R194" s="393" t="str">
        <f>IF('Statement of Marks'!HG198="","",'Statement of Marks'!HG198)</f>
        <v/>
      </c>
      <c r="S194" s="394" t="str">
        <f>IF('Statement of Marks'!FH198="","",'Statement of Marks'!FH198)</f>
        <v/>
      </c>
      <c r="BM194" s="395" t="str">
        <f>'Statement of Marks'!E198</f>
        <v/>
      </c>
      <c r="BN194" s="396" t="str">
        <f t="shared" si="24"/>
        <v/>
      </c>
      <c r="BO194" s="396" t="str">
        <f t="shared" si="25"/>
        <v/>
      </c>
      <c r="BP194" s="396" t="str">
        <f t="shared" si="26"/>
        <v/>
      </c>
      <c r="BQ194" s="396" t="str">
        <f t="shared" si="27"/>
        <v/>
      </c>
      <c r="BR194" s="396" t="str">
        <f t="shared" si="28"/>
        <v/>
      </c>
      <c r="BS194" s="396" t="str">
        <f t="shared" si="29"/>
        <v/>
      </c>
      <c r="BT194" s="396" t="str">
        <f t="shared" si="30"/>
        <v/>
      </c>
      <c r="BU194" s="396" t="str">
        <f t="shared" si="31"/>
        <v/>
      </c>
      <c r="BV194" s="396" t="str">
        <f t="shared" si="32"/>
        <v/>
      </c>
      <c r="BW194" s="396" t="str">
        <f t="shared" si="33"/>
        <v/>
      </c>
      <c r="BX194" s="396" t="str">
        <f t="shared" si="34"/>
        <v/>
      </c>
      <c r="BY194" s="396" t="str">
        <f t="shared" si="35"/>
        <v/>
      </c>
      <c r="BZ194" s="397"/>
    </row>
    <row r="195" spans="1:78" ht="15" customHeight="1">
      <c r="A195" s="386">
        <f>IF('Statement of Marks'!A199="","",'Statement of Marks'!A199)</f>
        <v>192</v>
      </c>
      <c r="B195" s="840" t="str">
        <f>IF('Statement of Marks'!B199="","",'Statement of Marks'!B199)</f>
        <v/>
      </c>
      <c r="C195" s="841" t="str">
        <f>IF('Statement of Marks'!C199="","",'Statement of Marks'!C199)</f>
        <v/>
      </c>
      <c r="D195" s="833" t="str">
        <f>IF('Statement of Marks'!D199="","",'Statement of Marks'!D199)</f>
        <v/>
      </c>
      <c r="E195" s="387" t="str">
        <f>IF('Statement of Marks'!E199="","",'Statement of Marks'!E199)</f>
        <v/>
      </c>
      <c r="F195" s="387" t="str">
        <f>IF('Statement of Marks'!F199="","",'Statement of Marks'!F199)</f>
        <v/>
      </c>
      <c r="G195" s="387" t="str">
        <f>IF('Statement of Marks'!G199="","",'Statement of Marks'!G199)</f>
        <v/>
      </c>
      <c r="H195" s="388" t="str">
        <f>IF('Statement of Marks'!H199="","",'Statement of Marks'!H199)</f>
        <v/>
      </c>
      <c r="I195" s="388" t="str">
        <f>IF('Statement of Marks'!I199="","",'Statement of Marks'!I199)</f>
        <v/>
      </c>
      <c r="J195" s="598" t="str">
        <f>IF('Statement of Marks'!GY199="","",'Statement of Marks'!GY199)</f>
        <v/>
      </c>
      <c r="K195" s="834" t="str">
        <f>IF(B195="","",IF('Statement of Marks'!GZ199="","",'Statement of Marks'!GZ199))</f>
        <v/>
      </c>
      <c r="L195" s="839" t="str">
        <f>IF('Statement of Marks'!HC199="","",'Statement of Marks'!HC199)</f>
        <v/>
      </c>
      <c r="M195" s="389" t="str">
        <f>IF('Statement of Marks'!HB199="","",'Statement of Marks'!HB199)</f>
        <v/>
      </c>
      <c r="N195" s="610" t="str">
        <f>IF('Statement of Marks'!HD199="","",'Statement of Marks'!HD199)</f>
        <v/>
      </c>
      <c r="O195" s="390" t="str">
        <f>IF(J195="FAIL","",IF('Statement of Marks'!GU199="","",'Statement of Marks'!GU199))</f>
        <v xml:space="preserve">    </v>
      </c>
      <c r="P195" s="391" t="str">
        <f>IF('Supp. Result Entry'!AS198="","",'Supp. Result Entry'!AS198)</f>
        <v/>
      </c>
      <c r="Q195" s="392" t="str">
        <f>IF('Supp. Result Entry'!AT198="","",'Supp. Result Entry'!AT198)</f>
        <v/>
      </c>
      <c r="R195" s="393" t="str">
        <f>IF('Statement of Marks'!HG199="","",'Statement of Marks'!HG199)</f>
        <v/>
      </c>
      <c r="S195" s="394" t="str">
        <f>IF('Statement of Marks'!FH199="","",'Statement of Marks'!FH199)</f>
        <v/>
      </c>
      <c r="BM195" s="395" t="str">
        <f>'Statement of Marks'!E199</f>
        <v/>
      </c>
      <c r="BN195" s="396" t="str">
        <f t="shared" si="24"/>
        <v/>
      </c>
      <c r="BO195" s="396" t="str">
        <f t="shared" si="25"/>
        <v/>
      </c>
      <c r="BP195" s="396" t="str">
        <f t="shared" si="26"/>
        <v/>
      </c>
      <c r="BQ195" s="396" t="str">
        <f t="shared" si="27"/>
        <v/>
      </c>
      <c r="BR195" s="396" t="str">
        <f t="shared" si="28"/>
        <v/>
      </c>
      <c r="BS195" s="396" t="str">
        <f t="shared" si="29"/>
        <v/>
      </c>
      <c r="BT195" s="396" t="str">
        <f t="shared" si="30"/>
        <v/>
      </c>
      <c r="BU195" s="396" t="str">
        <f t="shared" si="31"/>
        <v/>
      </c>
      <c r="BV195" s="396" t="str">
        <f t="shared" si="32"/>
        <v/>
      </c>
      <c r="BW195" s="396" t="str">
        <f t="shared" si="33"/>
        <v/>
      </c>
      <c r="BX195" s="396" t="str">
        <f t="shared" si="34"/>
        <v/>
      </c>
      <c r="BY195" s="396" t="str">
        <f t="shared" si="35"/>
        <v/>
      </c>
      <c r="BZ195" s="397"/>
    </row>
    <row r="196" spans="1:78" ht="15" customHeight="1">
      <c r="A196" s="386">
        <f>IF('Statement of Marks'!A200="","",'Statement of Marks'!A200)</f>
        <v>193</v>
      </c>
      <c r="B196" s="840" t="str">
        <f>IF('Statement of Marks'!B200="","",'Statement of Marks'!B200)</f>
        <v/>
      </c>
      <c r="C196" s="841" t="str">
        <f>IF('Statement of Marks'!C200="","",'Statement of Marks'!C200)</f>
        <v/>
      </c>
      <c r="D196" s="833" t="str">
        <f>IF('Statement of Marks'!D200="","",'Statement of Marks'!D200)</f>
        <v/>
      </c>
      <c r="E196" s="387" t="str">
        <f>IF('Statement of Marks'!E200="","",'Statement of Marks'!E200)</f>
        <v/>
      </c>
      <c r="F196" s="387" t="str">
        <f>IF('Statement of Marks'!F200="","",'Statement of Marks'!F200)</f>
        <v/>
      </c>
      <c r="G196" s="387" t="str">
        <f>IF('Statement of Marks'!G200="","",'Statement of Marks'!G200)</f>
        <v/>
      </c>
      <c r="H196" s="388" t="str">
        <f>IF('Statement of Marks'!H200="","",'Statement of Marks'!H200)</f>
        <v/>
      </c>
      <c r="I196" s="388" t="str">
        <f>IF('Statement of Marks'!I200="","",'Statement of Marks'!I200)</f>
        <v/>
      </c>
      <c r="J196" s="598" t="str">
        <f>IF('Statement of Marks'!GY200="","",'Statement of Marks'!GY200)</f>
        <v/>
      </c>
      <c r="K196" s="834" t="str">
        <f>IF(B196="","",IF('Statement of Marks'!GZ200="","",'Statement of Marks'!GZ200))</f>
        <v/>
      </c>
      <c r="L196" s="839" t="str">
        <f>IF('Statement of Marks'!HC200="","",'Statement of Marks'!HC200)</f>
        <v/>
      </c>
      <c r="M196" s="389" t="str">
        <f>IF('Statement of Marks'!HB200="","",'Statement of Marks'!HB200)</f>
        <v/>
      </c>
      <c r="N196" s="610" t="str">
        <f>IF('Statement of Marks'!HD200="","",'Statement of Marks'!HD200)</f>
        <v/>
      </c>
      <c r="O196" s="390" t="str">
        <f>IF(J196="FAIL","",IF('Statement of Marks'!GU200="","",'Statement of Marks'!GU200))</f>
        <v xml:space="preserve">    </v>
      </c>
      <c r="P196" s="391" t="str">
        <f>IF('Supp. Result Entry'!AS199="","",'Supp. Result Entry'!AS199)</f>
        <v/>
      </c>
      <c r="Q196" s="392" t="str">
        <f>IF('Supp. Result Entry'!AT199="","",'Supp. Result Entry'!AT199)</f>
        <v/>
      </c>
      <c r="R196" s="393" t="str">
        <f>IF('Statement of Marks'!HG200="","",'Statement of Marks'!HG200)</f>
        <v/>
      </c>
      <c r="S196" s="394" t="str">
        <f>IF('Statement of Marks'!FH200="","",'Statement of Marks'!FH200)</f>
        <v/>
      </c>
      <c r="BM196" s="395" t="str">
        <f>'Statement of Marks'!E200</f>
        <v/>
      </c>
      <c r="BN196" s="396" t="str">
        <f t="shared" si="24"/>
        <v/>
      </c>
      <c r="BO196" s="396" t="str">
        <f t="shared" si="25"/>
        <v/>
      </c>
      <c r="BP196" s="396" t="str">
        <f t="shared" si="26"/>
        <v/>
      </c>
      <c r="BQ196" s="396" t="str">
        <f t="shared" si="27"/>
        <v/>
      </c>
      <c r="BR196" s="396" t="str">
        <f t="shared" si="28"/>
        <v/>
      </c>
      <c r="BS196" s="396" t="str">
        <f t="shared" si="29"/>
        <v/>
      </c>
      <c r="BT196" s="396" t="str">
        <f t="shared" si="30"/>
        <v/>
      </c>
      <c r="BU196" s="396" t="str">
        <f t="shared" si="31"/>
        <v/>
      </c>
      <c r="BV196" s="396" t="str">
        <f t="shared" si="32"/>
        <v/>
      </c>
      <c r="BW196" s="396" t="str">
        <f t="shared" si="33"/>
        <v/>
      </c>
      <c r="BX196" s="396" t="str">
        <f t="shared" si="34"/>
        <v/>
      </c>
      <c r="BY196" s="396" t="str">
        <f t="shared" si="35"/>
        <v/>
      </c>
      <c r="BZ196" s="397"/>
    </row>
    <row r="197" spans="1:78" ht="15" customHeight="1">
      <c r="A197" s="386">
        <f>IF('Statement of Marks'!A201="","",'Statement of Marks'!A201)</f>
        <v>194</v>
      </c>
      <c r="B197" s="840" t="str">
        <f>IF('Statement of Marks'!B201="","",'Statement of Marks'!B201)</f>
        <v/>
      </c>
      <c r="C197" s="841" t="str">
        <f>IF('Statement of Marks'!C201="","",'Statement of Marks'!C201)</f>
        <v/>
      </c>
      <c r="D197" s="833" t="str">
        <f>IF('Statement of Marks'!D201="","",'Statement of Marks'!D201)</f>
        <v/>
      </c>
      <c r="E197" s="387" t="str">
        <f>IF('Statement of Marks'!E201="","",'Statement of Marks'!E201)</f>
        <v/>
      </c>
      <c r="F197" s="387" t="str">
        <f>IF('Statement of Marks'!F201="","",'Statement of Marks'!F201)</f>
        <v/>
      </c>
      <c r="G197" s="387" t="str">
        <f>IF('Statement of Marks'!G201="","",'Statement of Marks'!G201)</f>
        <v/>
      </c>
      <c r="H197" s="388" t="str">
        <f>IF('Statement of Marks'!H201="","",'Statement of Marks'!H201)</f>
        <v/>
      </c>
      <c r="I197" s="388" t="str">
        <f>IF('Statement of Marks'!I201="","",'Statement of Marks'!I201)</f>
        <v/>
      </c>
      <c r="J197" s="598" t="str">
        <f>IF('Statement of Marks'!GY201="","",'Statement of Marks'!GY201)</f>
        <v/>
      </c>
      <c r="K197" s="834" t="str">
        <f>IF(B197="","",IF('Statement of Marks'!GZ201="","",'Statement of Marks'!GZ201))</f>
        <v/>
      </c>
      <c r="L197" s="839" t="str">
        <f>IF('Statement of Marks'!HC201="","",'Statement of Marks'!HC201)</f>
        <v/>
      </c>
      <c r="M197" s="389" t="str">
        <f>IF('Statement of Marks'!HB201="","",'Statement of Marks'!HB201)</f>
        <v/>
      </c>
      <c r="N197" s="610" t="str">
        <f>IF('Statement of Marks'!HD201="","",'Statement of Marks'!HD201)</f>
        <v/>
      </c>
      <c r="O197" s="390" t="str">
        <f>IF(J197="FAIL","",IF('Statement of Marks'!GU201="","",'Statement of Marks'!GU201))</f>
        <v xml:space="preserve">    </v>
      </c>
      <c r="P197" s="391" t="str">
        <f>IF('Supp. Result Entry'!AS200="","",'Supp. Result Entry'!AS200)</f>
        <v/>
      </c>
      <c r="Q197" s="392" t="str">
        <f>IF('Supp. Result Entry'!AT200="","",'Supp. Result Entry'!AT200)</f>
        <v/>
      </c>
      <c r="R197" s="393" t="str">
        <f>IF('Statement of Marks'!HG201="","",'Statement of Marks'!HG201)</f>
        <v/>
      </c>
      <c r="S197" s="394" t="str">
        <f>IF('Statement of Marks'!FH201="","",'Statement of Marks'!FH201)</f>
        <v/>
      </c>
      <c r="BM197" s="395" t="str">
        <f>'Statement of Marks'!E201</f>
        <v/>
      </c>
      <c r="BN197" s="396" t="str">
        <f t="shared" ref="BN197:BN203" si="36">IFERROR(IF(AND(M197="",R197="",H197="SC",I197="M"),J197,IF(AND(M197="",H197="SC",I197="M"),R197,IF(AND(R197="",H197="SC",I197="M"),M197,""))),"")</f>
        <v/>
      </c>
      <c r="BO197" s="396" t="str">
        <f t="shared" ref="BO197:BO203" si="37">IFERROR(IF(AND(M197="",R197="",H197="SC",I197="F"),J197,IF(AND(M197="",H197="SC",I197="F"),R197,IF(AND(R197="",H197="SC",I197="F"),M197,""))),"")</f>
        <v/>
      </c>
      <c r="BP197" s="396" t="str">
        <f t="shared" ref="BP197:BP203" si="38">IFERROR(IF(AND(M197="",R197="",H197="ST",I197="M"),J197,IF(AND(M197="",H197="ST",I197="M"),R197,IF(AND(R197="",H197="ST",I197="M"),M197,""))),"")</f>
        <v/>
      </c>
      <c r="BQ197" s="396" t="str">
        <f t="shared" ref="BQ197:BQ203" si="39">IFERROR(IF(AND(M197="",R197="",H197="ST",I197="F"),J197,IF(AND(M197="",H197="ST",I197="F"),R197,IF(AND(R197="",H197="ST",I197="F"),M197,""))),"")</f>
        <v/>
      </c>
      <c r="BR197" s="396" t="str">
        <f t="shared" ref="BR197:BR203" si="40">IFERROR(IF(AND(M197="",R197="",H197="OBC",I197="M"),J197,IF(AND(M197="",H197="OBC",I197="M"),R197,IF(AND(R197="",H197="OBC",I197="M"),M197,""))),"")</f>
        <v/>
      </c>
      <c r="BS197" s="396" t="str">
        <f t="shared" ref="BS197:BS203" si="41">IFERROR(IF(AND(M197="",R197="",H197="OBC",I197="F"),J197,IF(AND(M197="",H197="OBC",I197="F"),R197,IF(AND(R197="",H197="OBC",I197="F"),M197,""))),"")</f>
        <v/>
      </c>
      <c r="BT197" s="396" t="str">
        <f t="shared" ref="BT197:BT203" si="42">IFERROR(IF(AND(M197="",R197="",H197="GEN",I197="M"),J197,IF(AND(M197="",H197="GEN",I197="M"),R197,IF(AND(R197="",H197="GEN",I197="M"),M197,""))),"")</f>
        <v/>
      </c>
      <c r="BU197" s="396" t="str">
        <f t="shared" ref="BU197:BU203" si="43">IFERROR(IF(AND(M197="",R197="",H197="GEN",I197="F"),J197,IF(AND(M197="",H197="GEN",I197="F"),R197,IF(AND(R197="",H197="GEN",I197="F"),M197,""))),"")</f>
        <v/>
      </c>
      <c r="BV197" s="396" t="str">
        <f t="shared" ref="BV197:BV203" si="44">IFERROR(IF(AND(M197="",R197="",H197="MIN",I197="M"),J197,IF(AND(M197="",H197="MIN",I197="M"),R197,IF(AND(R197="",H197="MIN",I197="M"),M197,""))),"")</f>
        <v/>
      </c>
      <c r="BW197" s="396" t="str">
        <f t="shared" ref="BW197:BW203" si="45">IFERROR(IF(AND(M197="",R197="",H197="MIN",I197="F"),J197,IF(AND(M197="",H197="MIN",I197="F"),R197,IF(AND(R197="",H197="MIN",I197="F"),M197,""))),"")</f>
        <v/>
      </c>
      <c r="BX197" s="396" t="str">
        <f t="shared" ref="BX197:BX203" si="46">IFERROR(IF(AND(M197="",R197="",H197="SBC",I197="M"),J197,IF(AND(M197="",H197="SBC",I197="M"),R197,IF(AND(R197="",H197="SBC",I197="M"),M197,""))),"")</f>
        <v/>
      </c>
      <c r="BY197" s="396" t="str">
        <f t="shared" ref="BY197:BY203" si="47">IFERROR(IF(AND(M197="",R197="",H197="SBC",I197="F"),J197,IF(AND(M197="",H197="SBC",I197="F"),R197,IF(AND(R197="",H197="SBC",I197="F"),M197,""))),"")</f>
        <v/>
      </c>
      <c r="BZ197" s="397"/>
    </row>
    <row r="198" spans="1:78" ht="15" customHeight="1">
      <c r="A198" s="386">
        <f>IF('Statement of Marks'!A202="","",'Statement of Marks'!A202)</f>
        <v>195</v>
      </c>
      <c r="B198" s="840" t="str">
        <f>IF('Statement of Marks'!B202="","",'Statement of Marks'!B202)</f>
        <v/>
      </c>
      <c r="C198" s="841" t="str">
        <f>IF('Statement of Marks'!C202="","",'Statement of Marks'!C202)</f>
        <v/>
      </c>
      <c r="D198" s="833" t="str">
        <f>IF('Statement of Marks'!D202="","",'Statement of Marks'!D202)</f>
        <v/>
      </c>
      <c r="E198" s="387" t="str">
        <f>IF('Statement of Marks'!E202="","",'Statement of Marks'!E202)</f>
        <v/>
      </c>
      <c r="F198" s="387" t="str">
        <f>IF('Statement of Marks'!F202="","",'Statement of Marks'!F202)</f>
        <v/>
      </c>
      <c r="G198" s="387" t="str">
        <f>IF('Statement of Marks'!G202="","",'Statement of Marks'!G202)</f>
        <v/>
      </c>
      <c r="H198" s="388" t="str">
        <f>IF('Statement of Marks'!H202="","",'Statement of Marks'!H202)</f>
        <v/>
      </c>
      <c r="I198" s="388" t="str">
        <f>IF('Statement of Marks'!I202="","",'Statement of Marks'!I202)</f>
        <v/>
      </c>
      <c r="J198" s="598" t="str">
        <f>IF('Statement of Marks'!GY202="","",'Statement of Marks'!GY202)</f>
        <v/>
      </c>
      <c r="K198" s="834" t="str">
        <f>IF(B198="","",IF('Statement of Marks'!GZ202="","",'Statement of Marks'!GZ202))</f>
        <v/>
      </c>
      <c r="L198" s="839" t="str">
        <f>IF('Statement of Marks'!HC202="","",'Statement of Marks'!HC202)</f>
        <v/>
      </c>
      <c r="M198" s="389" t="str">
        <f>IF('Statement of Marks'!HB202="","",'Statement of Marks'!HB202)</f>
        <v/>
      </c>
      <c r="N198" s="610" t="str">
        <f>IF('Statement of Marks'!HD202="","",'Statement of Marks'!HD202)</f>
        <v/>
      </c>
      <c r="O198" s="390" t="str">
        <f>IF(J198="FAIL","",IF('Statement of Marks'!GU202="","",'Statement of Marks'!GU202))</f>
        <v xml:space="preserve">    </v>
      </c>
      <c r="P198" s="391" t="str">
        <f>IF('Supp. Result Entry'!AS201="","",'Supp. Result Entry'!AS201)</f>
        <v/>
      </c>
      <c r="Q198" s="392" t="str">
        <f>IF('Supp. Result Entry'!AT201="","",'Supp. Result Entry'!AT201)</f>
        <v/>
      </c>
      <c r="R198" s="393" t="str">
        <f>IF('Statement of Marks'!HG202="","",'Statement of Marks'!HG202)</f>
        <v/>
      </c>
      <c r="S198" s="394" t="str">
        <f>IF('Statement of Marks'!FH202="","",'Statement of Marks'!FH202)</f>
        <v/>
      </c>
      <c r="BM198" s="395" t="str">
        <f>'Statement of Marks'!E202</f>
        <v/>
      </c>
      <c r="BN198" s="396" t="str">
        <f t="shared" si="36"/>
        <v/>
      </c>
      <c r="BO198" s="396" t="str">
        <f t="shared" si="37"/>
        <v/>
      </c>
      <c r="BP198" s="396" t="str">
        <f t="shared" si="38"/>
        <v/>
      </c>
      <c r="BQ198" s="396" t="str">
        <f t="shared" si="39"/>
        <v/>
      </c>
      <c r="BR198" s="396" t="str">
        <f t="shared" si="40"/>
        <v/>
      </c>
      <c r="BS198" s="396" t="str">
        <f t="shared" si="41"/>
        <v/>
      </c>
      <c r="BT198" s="396" t="str">
        <f t="shared" si="42"/>
        <v/>
      </c>
      <c r="BU198" s="396" t="str">
        <f t="shared" si="43"/>
        <v/>
      </c>
      <c r="BV198" s="396" t="str">
        <f t="shared" si="44"/>
        <v/>
      </c>
      <c r="BW198" s="396" t="str">
        <f t="shared" si="45"/>
        <v/>
      </c>
      <c r="BX198" s="396" t="str">
        <f t="shared" si="46"/>
        <v/>
      </c>
      <c r="BY198" s="396" t="str">
        <f t="shared" si="47"/>
        <v/>
      </c>
      <c r="BZ198" s="397"/>
    </row>
    <row r="199" spans="1:78" ht="15" customHeight="1">
      <c r="A199" s="386">
        <f>IF('Statement of Marks'!A203="","",'Statement of Marks'!A203)</f>
        <v>196</v>
      </c>
      <c r="B199" s="840" t="str">
        <f>IF('Statement of Marks'!B203="","",'Statement of Marks'!B203)</f>
        <v/>
      </c>
      <c r="C199" s="841" t="str">
        <f>IF('Statement of Marks'!C203="","",'Statement of Marks'!C203)</f>
        <v/>
      </c>
      <c r="D199" s="833" t="str">
        <f>IF('Statement of Marks'!D203="","",'Statement of Marks'!D203)</f>
        <v/>
      </c>
      <c r="E199" s="387" t="str">
        <f>IF('Statement of Marks'!E203="","",'Statement of Marks'!E203)</f>
        <v/>
      </c>
      <c r="F199" s="387" t="str">
        <f>IF('Statement of Marks'!F203="","",'Statement of Marks'!F203)</f>
        <v/>
      </c>
      <c r="G199" s="387" t="str">
        <f>IF('Statement of Marks'!G203="","",'Statement of Marks'!G203)</f>
        <v/>
      </c>
      <c r="H199" s="388" t="str">
        <f>IF('Statement of Marks'!H203="","",'Statement of Marks'!H203)</f>
        <v/>
      </c>
      <c r="I199" s="388" t="str">
        <f>IF('Statement of Marks'!I203="","",'Statement of Marks'!I203)</f>
        <v/>
      </c>
      <c r="J199" s="598" t="str">
        <f>IF('Statement of Marks'!GY203="","",'Statement of Marks'!GY203)</f>
        <v/>
      </c>
      <c r="K199" s="834" t="str">
        <f>IF(B199="","",IF('Statement of Marks'!GZ203="","",'Statement of Marks'!GZ203))</f>
        <v/>
      </c>
      <c r="L199" s="839" t="str">
        <f>IF('Statement of Marks'!HC203="","",'Statement of Marks'!HC203)</f>
        <v/>
      </c>
      <c r="M199" s="389" t="str">
        <f>IF('Statement of Marks'!HB203="","",'Statement of Marks'!HB203)</f>
        <v/>
      </c>
      <c r="N199" s="610" t="str">
        <f>IF('Statement of Marks'!HD203="","",'Statement of Marks'!HD203)</f>
        <v/>
      </c>
      <c r="O199" s="390" t="str">
        <f>IF(J199="FAIL","",IF('Statement of Marks'!GU203="","",'Statement of Marks'!GU203))</f>
        <v xml:space="preserve">    </v>
      </c>
      <c r="P199" s="391" t="str">
        <f>IF('Supp. Result Entry'!AS202="","",'Supp. Result Entry'!AS202)</f>
        <v/>
      </c>
      <c r="Q199" s="392" t="str">
        <f>IF('Supp. Result Entry'!AT202="","",'Supp. Result Entry'!AT202)</f>
        <v/>
      </c>
      <c r="R199" s="393" t="str">
        <f>IF('Statement of Marks'!HG203="","",'Statement of Marks'!HG203)</f>
        <v/>
      </c>
      <c r="S199" s="394" t="str">
        <f>IF('Statement of Marks'!FH203="","",'Statement of Marks'!FH203)</f>
        <v/>
      </c>
      <c r="BM199" s="395" t="str">
        <f>'Statement of Marks'!E203</f>
        <v/>
      </c>
      <c r="BN199" s="396" t="str">
        <f t="shared" si="36"/>
        <v/>
      </c>
      <c r="BO199" s="396" t="str">
        <f t="shared" si="37"/>
        <v/>
      </c>
      <c r="BP199" s="396" t="str">
        <f t="shared" si="38"/>
        <v/>
      </c>
      <c r="BQ199" s="396" t="str">
        <f t="shared" si="39"/>
        <v/>
      </c>
      <c r="BR199" s="396" t="str">
        <f t="shared" si="40"/>
        <v/>
      </c>
      <c r="BS199" s="396" t="str">
        <f t="shared" si="41"/>
        <v/>
      </c>
      <c r="BT199" s="396" t="str">
        <f t="shared" si="42"/>
        <v/>
      </c>
      <c r="BU199" s="396" t="str">
        <f t="shared" si="43"/>
        <v/>
      </c>
      <c r="BV199" s="396" t="str">
        <f t="shared" si="44"/>
        <v/>
      </c>
      <c r="BW199" s="396" t="str">
        <f t="shared" si="45"/>
        <v/>
      </c>
      <c r="BX199" s="396" t="str">
        <f t="shared" si="46"/>
        <v/>
      </c>
      <c r="BY199" s="396" t="str">
        <f t="shared" si="47"/>
        <v/>
      </c>
      <c r="BZ199" s="397"/>
    </row>
    <row r="200" spans="1:78" ht="15" customHeight="1">
      <c r="A200" s="386">
        <f>IF('Statement of Marks'!A204="","",'Statement of Marks'!A204)</f>
        <v>197</v>
      </c>
      <c r="B200" s="840" t="str">
        <f>IF('Statement of Marks'!B204="","",'Statement of Marks'!B204)</f>
        <v/>
      </c>
      <c r="C200" s="841" t="str">
        <f>IF('Statement of Marks'!C204="","",'Statement of Marks'!C204)</f>
        <v/>
      </c>
      <c r="D200" s="833" t="str">
        <f>IF('Statement of Marks'!D204="","",'Statement of Marks'!D204)</f>
        <v/>
      </c>
      <c r="E200" s="387" t="str">
        <f>IF('Statement of Marks'!E204="","",'Statement of Marks'!E204)</f>
        <v/>
      </c>
      <c r="F200" s="387" t="str">
        <f>IF('Statement of Marks'!F204="","",'Statement of Marks'!F204)</f>
        <v/>
      </c>
      <c r="G200" s="387" t="str">
        <f>IF('Statement of Marks'!G204="","",'Statement of Marks'!G204)</f>
        <v/>
      </c>
      <c r="H200" s="388" t="str">
        <f>IF('Statement of Marks'!H204="","",'Statement of Marks'!H204)</f>
        <v/>
      </c>
      <c r="I200" s="388" t="str">
        <f>IF('Statement of Marks'!I204="","",'Statement of Marks'!I204)</f>
        <v/>
      </c>
      <c r="J200" s="598" t="str">
        <f>IF('Statement of Marks'!GY204="","",'Statement of Marks'!GY204)</f>
        <v/>
      </c>
      <c r="K200" s="834" t="str">
        <f>IF(B200="","",IF('Statement of Marks'!GZ204="","",'Statement of Marks'!GZ204))</f>
        <v/>
      </c>
      <c r="L200" s="839" t="str">
        <f>IF('Statement of Marks'!HC204="","",'Statement of Marks'!HC204)</f>
        <v/>
      </c>
      <c r="M200" s="389" t="str">
        <f>IF('Statement of Marks'!HB204="","",'Statement of Marks'!HB204)</f>
        <v/>
      </c>
      <c r="N200" s="610" t="str">
        <f>IF('Statement of Marks'!HD204="","",'Statement of Marks'!HD204)</f>
        <v/>
      </c>
      <c r="O200" s="390" t="str">
        <f>IF(J200="FAIL","",IF('Statement of Marks'!GU204="","",'Statement of Marks'!GU204))</f>
        <v xml:space="preserve">    </v>
      </c>
      <c r="P200" s="391" t="str">
        <f>IF('Supp. Result Entry'!AS203="","",'Supp. Result Entry'!AS203)</f>
        <v/>
      </c>
      <c r="Q200" s="392" t="str">
        <f>IF('Supp. Result Entry'!AT203="","",'Supp. Result Entry'!AT203)</f>
        <v/>
      </c>
      <c r="R200" s="393" t="str">
        <f>IF('Statement of Marks'!HG204="","",'Statement of Marks'!HG204)</f>
        <v/>
      </c>
      <c r="S200" s="394" t="str">
        <f>IF('Statement of Marks'!FH204="","",'Statement of Marks'!FH204)</f>
        <v/>
      </c>
      <c r="BM200" s="395" t="str">
        <f>'Statement of Marks'!E204</f>
        <v/>
      </c>
      <c r="BN200" s="396" t="str">
        <f t="shared" si="36"/>
        <v/>
      </c>
      <c r="BO200" s="396" t="str">
        <f t="shared" si="37"/>
        <v/>
      </c>
      <c r="BP200" s="396" t="str">
        <f t="shared" si="38"/>
        <v/>
      </c>
      <c r="BQ200" s="396" t="str">
        <f t="shared" si="39"/>
        <v/>
      </c>
      <c r="BR200" s="396" t="str">
        <f t="shared" si="40"/>
        <v/>
      </c>
      <c r="BS200" s="396" t="str">
        <f t="shared" si="41"/>
        <v/>
      </c>
      <c r="BT200" s="396" t="str">
        <f t="shared" si="42"/>
        <v/>
      </c>
      <c r="BU200" s="396" t="str">
        <f t="shared" si="43"/>
        <v/>
      </c>
      <c r="BV200" s="396" t="str">
        <f t="shared" si="44"/>
        <v/>
      </c>
      <c r="BW200" s="396" t="str">
        <f t="shared" si="45"/>
        <v/>
      </c>
      <c r="BX200" s="396" t="str">
        <f t="shared" si="46"/>
        <v/>
      </c>
      <c r="BY200" s="396" t="str">
        <f t="shared" si="47"/>
        <v/>
      </c>
      <c r="BZ200" s="397"/>
    </row>
    <row r="201" spans="1:78" ht="15" customHeight="1">
      <c r="A201" s="386">
        <f>IF('Statement of Marks'!A205="","",'Statement of Marks'!A205)</f>
        <v>198</v>
      </c>
      <c r="B201" s="840" t="str">
        <f>IF('Statement of Marks'!B205="","",'Statement of Marks'!B205)</f>
        <v/>
      </c>
      <c r="C201" s="841" t="str">
        <f>IF('Statement of Marks'!C205="","",'Statement of Marks'!C205)</f>
        <v/>
      </c>
      <c r="D201" s="833" t="str">
        <f>IF('Statement of Marks'!D205="","",'Statement of Marks'!D205)</f>
        <v/>
      </c>
      <c r="E201" s="387" t="str">
        <f>IF('Statement of Marks'!E205="","",'Statement of Marks'!E205)</f>
        <v/>
      </c>
      <c r="F201" s="387" t="str">
        <f>IF('Statement of Marks'!F205="","",'Statement of Marks'!F205)</f>
        <v/>
      </c>
      <c r="G201" s="387" t="str">
        <f>IF('Statement of Marks'!G205="","",'Statement of Marks'!G205)</f>
        <v/>
      </c>
      <c r="H201" s="388" t="str">
        <f>IF('Statement of Marks'!H205="","",'Statement of Marks'!H205)</f>
        <v/>
      </c>
      <c r="I201" s="388" t="str">
        <f>IF('Statement of Marks'!I205="","",'Statement of Marks'!I205)</f>
        <v/>
      </c>
      <c r="J201" s="598" t="str">
        <f>IF('Statement of Marks'!GY205="","",'Statement of Marks'!GY205)</f>
        <v/>
      </c>
      <c r="K201" s="834" t="str">
        <f>IF(B201="","",IF('Statement of Marks'!GZ205="","",'Statement of Marks'!GZ205))</f>
        <v/>
      </c>
      <c r="L201" s="839" t="str">
        <f>IF('Statement of Marks'!HC205="","",'Statement of Marks'!HC205)</f>
        <v/>
      </c>
      <c r="M201" s="389" t="str">
        <f>IF('Statement of Marks'!HB205="","",'Statement of Marks'!HB205)</f>
        <v/>
      </c>
      <c r="N201" s="610" t="str">
        <f>IF('Statement of Marks'!HD205="","",'Statement of Marks'!HD205)</f>
        <v/>
      </c>
      <c r="O201" s="390" t="str">
        <f>IF(J201="FAIL","",IF('Statement of Marks'!GU205="","",'Statement of Marks'!GU205))</f>
        <v xml:space="preserve">    </v>
      </c>
      <c r="P201" s="391" t="str">
        <f>IF('Supp. Result Entry'!AS204="","",'Supp. Result Entry'!AS204)</f>
        <v/>
      </c>
      <c r="Q201" s="392" t="str">
        <f>IF('Supp. Result Entry'!AT204="","",'Supp. Result Entry'!AT204)</f>
        <v/>
      </c>
      <c r="R201" s="393" t="str">
        <f>IF('Statement of Marks'!HG205="","",'Statement of Marks'!HG205)</f>
        <v/>
      </c>
      <c r="S201" s="394" t="str">
        <f>IF('Statement of Marks'!FH205="","",'Statement of Marks'!FH205)</f>
        <v/>
      </c>
      <c r="BM201" s="395" t="str">
        <f>'Statement of Marks'!E205</f>
        <v/>
      </c>
      <c r="BN201" s="396" t="str">
        <f t="shared" si="36"/>
        <v/>
      </c>
      <c r="BO201" s="396" t="str">
        <f t="shared" si="37"/>
        <v/>
      </c>
      <c r="BP201" s="396" t="str">
        <f t="shared" si="38"/>
        <v/>
      </c>
      <c r="BQ201" s="396" t="str">
        <f t="shared" si="39"/>
        <v/>
      </c>
      <c r="BR201" s="396" t="str">
        <f t="shared" si="40"/>
        <v/>
      </c>
      <c r="BS201" s="396" t="str">
        <f t="shared" si="41"/>
        <v/>
      </c>
      <c r="BT201" s="396" t="str">
        <f t="shared" si="42"/>
        <v/>
      </c>
      <c r="BU201" s="396" t="str">
        <f t="shared" si="43"/>
        <v/>
      </c>
      <c r="BV201" s="396" t="str">
        <f t="shared" si="44"/>
        <v/>
      </c>
      <c r="BW201" s="396" t="str">
        <f t="shared" si="45"/>
        <v/>
      </c>
      <c r="BX201" s="396" t="str">
        <f t="shared" si="46"/>
        <v/>
      </c>
      <c r="BY201" s="396" t="str">
        <f t="shared" si="47"/>
        <v/>
      </c>
      <c r="BZ201" s="397"/>
    </row>
    <row r="202" spans="1:78" ht="15" customHeight="1">
      <c r="A202" s="386">
        <f>IF('Statement of Marks'!A206="","",'Statement of Marks'!A206)</f>
        <v>199</v>
      </c>
      <c r="B202" s="840" t="str">
        <f>IF('Statement of Marks'!B206="","",'Statement of Marks'!B206)</f>
        <v/>
      </c>
      <c r="C202" s="841" t="str">
        <f>IF('Statement of Marks'!C206="","",'Statement of Marks'!C206)</f>
        <v/>
      </c>
      <c r="D202" s="833" t="str">
        <f>IF('Statement of Marks'!D206="","",'Statement of Marks'!D206)</f>
        <v/>
      </c>
      <c r="E202" s="387" t="str">
        <f>IF('Statement of Marks'!E206="","",'Statement of Marks'!E206)</f>
        <v/>
      </c>
      <c r="F202" s="387" t="str">
        <f>IF('Statement of Marks'!F206="","",'Statement of Marks'!F206)</f>
        <v/>
      </c>
      <c r="G202" s="387" t="str">
        <f>IF('Statement of Marks'!G206="","",'Statement of Marks'!G206)</f>
        <v/>
      </c>
      <c r="H202" s="388" t="str">
        <f>IF('Statement of Marks'!H206="","",'Statement of Marks'!H206)</f>
        <v/>
      </c>
      <c r="I202" s="388" t="str">
        <f>IF('Statement of Marks'!I206="","",'Statement of Marks'!I206)</f>
        <v/>
      </c>
      <c r="J202" s="598" t="str">
        <f>IF('Statement of Marks'!GY206="","",'Statement of Marks'!GY206)</f>
        <v/>
      </c>
      <c r="K202" s="834" t="str">
        <f>IF(B202="","",IF('Statement of Marks'!GZ206="","",'Statement of Marks'!GZ206))</f>
        <v/>
      </c>
      <c r="L202" s="839" t="str">
        <f>IF('Statement of Marks'!HC206="","",'Statement of Marks'!HC206)</f>
        <v/>
      </c>
      <c r="M202" s="389" t="str">
        <f>IF('Statement of Marks'!HB206="","",'Statement of Marks'!HB206)</f>
        <v/>
      </c>
      <c r="N202" s="610" t="str">
        <f>IF('Statement of Marks'!HD206="","",'Statement of Marks'!HD206)</f>
        <v/>
      </c>
      <c r="O202" s="390" t="str">
        <f>IF(J202="FAIL","",IF('Statement of Marks'!GU206="","",'Statement of Marks'!GU206))</f>
        <v xml:space="preserve">    </v>
      </c>
      <c r="P202" s="391" t="str">
        <f>IF('Supp. Result Entry'!AS205="","",'Supp. Result Entry'!AS205)</f>
        <v/>
      </c>
      <c r="Q202" s="392" t="str">
        <f>IF('Supp. Result Entry'!AT205="","",'Supp. Result Entry'!AT205)</f>
        <v/>
      </c>
      <c r="R202" s="393" t="str">
        <f>IF('Statement of Marks'!HG206="","",'Statement of Marks'!HG206)</f>
        <v/>
      </c>
      <c r="S202" s="394" t="str">
        <f>IF('Statement of Marks'!FH206="","",'Statement of Marks'!FH206)</f>
        <v/>
      </c>
      <c r="BM202" s="395" t="str">
        <f>'Statement of Marks'!E206</f>
        <v/>
      </c>
      <c r="BN202" s="396" t="str">
        <f t="shared" si="36"/>
        <v/>
      </c>
      <c r="BO202" s="396" t="str">
        <f t="shared" si="37"/>
        <v/>
      </c>
      <c r="BP202" s="396" t="str">
        <f t="shared" si="38"/>
        <v/>
      </c>
      <c r="BQ202" s="396" t="str">
        <f t="shared" si="39"/>
        <v/>
      </c>
      <c r="BR202" s="396" t="str">
        <f t="shared" si="40"/>
        <v/>
      </c>
      <c r="BS202" s="396" t="str">
        <f t="shared" si="41"/>
        <v/>
      </c>
      <c r="BT202" s="396" t="str">
        <f t="shared" si="42"/>
        <v/>
      </c>
      <c r="BU202" s="396" t="str">
        <f t="shared" si="43"/>
        <v/>
      </c>
      <c r="BV202" s="396" t="str">
        <f t="shared" si="44"/>
        <v/>
      </c>
      <c r="BW202" s="396" t="str">
        <f t="shared" si="45"/>
        <v/>
      </c>
      <c r="BX202" s="396" t="str">
        <f t="shared" si="46"/>
        <v/>
      </c>
      <c r="BY202" s="396" t="str">
        <f t="shared" si="47"/>
        <v/>
      </c>
      <c r="BZ202" s="397"/>
    </row>
    <row r="203" spans="1:78" ht="15" customHeight="1">
      <c r="A203" s="386">
        <f>IF('Statement of Marks'!A207="","",'Statement of Marks'!A207)</f>
        <v>200</v>
      </c>
      <c r="B203" s="840" t="str">
        <f>IF('Statement of Marks'!B207="","",'Statement of Marks'!B207)</f>
        <v/>
      </c>
      <c r="C203" s="841" t="str">
        <f>IF('Statement of Marks'!C207="","",'Statement of Marks'!C207)</f>
        <v/>
      </c>
      <c r="D203" s="833" t="str">
        <f>IF('Statement of Marks'!D207="","",'Statement of Marks'!D207)</f>
        <v/>
      </c>
      <c r="E203" s="387" t="str">
        <f>IF('Statement of Marks'!E207="","",'Statement of Marks'!E207)</f>
        <v/>
      </c>
      <c r="F203" s="387" t="str">
        <f>IF('Statement of Marks'!F207="","",'Statement of Marks'!F207)</f>
        <v/>
      </c>
      <c r="G203" s="387" t="str">
        <f>IF('Statement of Marks'!G207="","",'Statement of Marks'!G207)</f>
        <v/>
      </c>
      <c r="H203" s="388" t="str">
        <f>IF('Statement of Marks'!H207="","",'Statement of Marks'!H207)</f>
        <v/>
      </c>
      <c r="I203" s="388" t="str">
        <f>IF('Statement of Marks'!I207="","",'Statement of Marks'!I207)</f>
        <v/>
      </c>
      <c r="J203" s="598" t="str">
        <f>IF('Statement of Marks'!GY207="","",'Statement of Marks'!GY207)</f>
        <v/>
      </c>
      <c r="K203" s="834" t="str">
        <f>IF(B203="","",IF('Statement of Marks'!GZ207="","",'Statement of Marks'!GZ207))</f>
        <v/>
      </c>
      <c r="L203" s="839" t="str">
        <f>IF('Statement of Marks'!HC207="","",'Statement of Marks'!HC207)</f>
        <v/>
      </c>
      <c r="M203" s="389" t="str">
        <f>IF('Statement of Marks'!HB207="","",'Statement of Marks'!HB207)</f>
        <v/>
      </c>
      <c r="N203" s="610" t="str">
        <f>IF('Statement of Marks'!HD207="","",'Statement of Marks'!HD207)</f>
        <v/>
      </c>
      <c r="O203" s="390" t="str">
        <f>IF(J203="FAIL","",IF('Statement of Marks'!GU207="","",'Statement of Marks'!GU207))</f>
        <v xml:space="preserve">    </v>
      </c>
      <c r="P203" s="391" t="str">
        <f>IF('Supp. Result Entry'!AS206="","",'Supp. Result Entry'!AS206)</f>
        <v/>
      </c>
      <c r="Q203" s="392" t="str">
        <f>IF('Supp. Result Entry'!AT206="","",'Supp. Result Entry'!AT206)</f>
        <v/>
      </c>
      <c r="R203" s="393" t="str">
        <f>IF('Statement of Marks'!HG207="","",'Statement of Marks'!HG207)</f>
        <v/>
      </c>
      <c r="S203" s="394" t="str">
        <f>IF('Statement of Marks'!FH207="","",'Statement of Marks'!FH207)</f>
        <v/>
      </c>
      <c r="BM203" s="395" t="str">
        <f>'Statement of Marks'!E207</f>
        <v/>
      </c>
      <c r="BN203" s="396" t="str">
        <f t="shared" si="36"/>
        <v/>
      </c>
      <c r="BO203" s="396" t="str">
        <f t="shared" si="37"/>
        <v/>
      </c>
      <c r="BP203" s="396" t="str">
        <f t="shared" si="38"/>
        <v/>
      </c>
      <c r="BQ203" s="396" t="str">
        <f t="shared" si="39"/>
        <v/>
      </c>
      <c r="BR203" s="396" t="str">
        <f t="shared" si="40"/>
        <v/>
      </c>
      <c r="BS203" s="396" t="str">
        <f t="shared" si="41"/>
        <v/>
      </c>
      <c r="BT203" s="396" t="str">
        <f t="shared" si="42"/>
        <v/>
      </c>
      <c r="BU203" s="396" t="str">
        <f t="shared" si="43"/>
        <v/>
      </c>
      <c r="BV203" s="396" t="str">
        <f t="shared" si="44"/>
        <v/>
      </c>
      <c r="BW203" s="396" t="str">
        <f t="shared" si="45"/>
        <v/>
      </c>
      <c r="BX203" s="396" t="str">
        <f t="shared" si="46"/>
        <v/>
      </c>
      <c r="BY203" s="396" t="str">
        <f t="shared" si="47"/>
        <v/>
      </c>
      <c r="BZ203" s="397"/>
    </row>
    <row r="204" spans="1:78" ht="8.25" customHeight="1" thickBot="1">
      <c r="A204" s="1525"/>
      <c r="B204" s="1526"/>
      <c r="C204" s="1526"/>
      <c r="D204" s="1526"/>
      <c r="E204" s="1526"/>
      <c r="F204" s="1526"/>
      <c r="G204" s="1526"/>
      <c r="H204" s="1526"/>
      <c r="I204" s="1526"/>
      <c r="J204" s="1526"/>
      <c r="K204" s="1526"/>
      <c r="L204" s="1526"/>
      <c r="M204" s="1526"/>
      <c r="N204" s="1526"/>
      <c r="O204" s="1526"/>
      <c r="P204" s="1526"/>
      <c r="Q204" s="1526"/>
      <c r="R204" s="1526"/>
      <c r="S204" s="1527"/>
      <c r="BM204" s="1474"/>
      <c r="BN204" s="1475"/>
      <c r="BO204" s="1475"/>
      <c r="BP204" s="1475"/>
      <c r="BQ204" s="1475"/>
      <c r="BR204" s="1475"/>
      <c r="BS204" s="1475"/>
      <c r="BT204" s="1475"/>
      <c r="BU204" s="1475"/>
      <c r="BV204" s="1475"/>
      <c r="BW204" s="1475"/>
      <c r="BX204" s="1475"/>
      <c r="BY204" s="1475"/>
      <c r="BZ204" s="1476"/>
    </row>
    <row r="205" spans="1:78" ht="15" customHeight="1" thickTop="1">
      <c r="A205" s="399"/>
      <c r="B205" s="400" t="s">
        <v>93</v>
      </c>
      <c r="C205" s="400"/>
      <c r="D205" s="1477" t="s">
        <v>222</v>
      </c>
      <c r="E205" s="1478"/>
      <c r="F205" s="829" t="s">
        <v>224</v>
      </c>
      <c r="G205" s="829" t="s">
        <v>225</v>
      </c>
      <c r="H205" s="1479" t="s">
        <v>47</v>
      </c>
      <c r="I205" s="1480"/>
      <c r="J205" s="1481" t="str">
        <f>IF('Master Sheet'!D11="Hindi","परिणाम तैयारकर्ता","Signature of the maker")</f>
        <v>परिणाम तैयारकर्ता</v>
      </c>
      <c r="K205" s="1482"/>
      <c r="L205" s="1483"/>
      <c r="M205" s="1493" t="str">
        <f>CONCATENATE("( ",UPPER('Master Sheet'!D16)," )")</f>
        <v>( SURESH KUMAR )</v>
      </c>
      <c r="N205" s="1494"/>
      <c r="O205" s="1495"/>
      <c r="P205" s="1504" t="str">
        <f>CONCATENATE("( ",UPPER('Master Sheet'!D12)," )")</f>
        <v>( DEWANANAD )</v>
      </c>
      <c r="Q205" s="1505"/>
      <c r="R205" s="1505"/>
      <c r="S205" s="1506"/>
      <c r="BM205" s="401"/>
      <c r="BN205" s="1487" t="str">
        <f>BM1</f>
        <v>tkfrokj ifj.kke</v>
      </c>
      <c r="BO205" s="1487"/>
      <c r="BP205" s="1487"/>
      <c r="BQ205" s="1487"/>
      <c r="BR205" s="1487"/>
      <c r="BS205" s="1487"/>
      <c r="BT205" s="1487"/>
      <c r="BU205" s="1487"/>
      <c r="BV205" s="1487"/>
      <c r="BW205" s="1487"/>
      <c r="BX205" s="1487"/>
      <c r="BY205" s="1487"/>
      <c r="BZ205" s="1488"/>
    </row>
    <row r="206" spans="1:78" ht="15" customHeight="1">
      <c r="A206" s="399"/>
      <c r="B206" s="400" t="s">
        <v>93</v>
      </c>
      <c r="C206" s="400"/>
      <c r="D206" s="1489" t="str">
        <f>IF('Master Sheet'!$D$11="Hindi","कुल प्रविष्ट","Total appeared")</f>
        <v>कुल प्रविष्ट</v>
      </c>
      <c r="E206" s="1490"/>
      <c r="F206" s="828">
        <f>COUNTA(B4:B203)-COUNTIF(B4:B203,"nso")-COUNTBLANK(B4:B203)</f>
        <v>11</v>
      </c>
      <c r="G206" s="402">
        <f>COUNTIF(J4:J203,"SUPPLEMENTARY")</f>
        <v>2</v>
      </c>
      <c r="H206" s="1491">
        <f>F206</f>
        <v>11</v>
      </c>
      <c r="I206" s="1492"/>
      <c r="J206" s="1484"/>
      <c r="K206" s="1485"/>
      <c r="L206" s="1486"/>
      <c r="M206" s="1496"/>
      <c r="N206" s="1497"/>
      <c r="O206" s="1498"/>
      <c r="P206" s="1507"/>
      <c r="Q206" s="1508"/>
      <c r="R206" s="1508"/>
      <c r="S206" s="1509"/>
      <c r="BM206" s="403"/>
      <c r="BN206" s="404" t="str">
        <f t="shared" ref="BN206:BY206" si="48">BN3</f>
        <v>SC BOYS</v>
      </c>
      <c r="BO206" s="404" t="str">
        <f t="shared" si="48"/>
        <v>SC GIRLS</v>
      </c>
      <c r="BP206" s="404" t="str">
        <f t="shared" si="48"/>
        <v>ST BOYS</v>
      </c>
      <c r="BQ206" s="404" t="str">
        <f t="shared" si="48"/>
        <v>ST GIRLS</v>
      </c>
      <c r="BR206" s="404" t="str">
        <f t="shared" si="48"/>
        <v>OBC BOYS</v>
      </c>
      <c r="BS206" s="404" t="str">
        <f t="shared" si="48"/>
        <v>OBC GIRLS</v>
      </c>
      <c r="BT206" s="404" t="str">
        <f t="shared" si="48"/>
        <v>GEN BOYS</v>
      </c>
      <c r="BU206" s="404" t="str">
        <f t="shared" si="48"/>
        <v>GEN GIRLS</v>
      </c>
      <c r="BV206" s="404" t="str">
        <f t="shared" si="48"/>
        <v>MIN BOYS</v>
      </c>
      <c r="BW206" s="404" t="str">
        <f t="shared" si="48"/>
        <v>MIN GIRLS</v>
      </c>
      <c r="BX206" s="404" t="str">
        <f t="shared" si="48"/>
        <v>SBC BOYS</v>
      </c>
      <c r="BY206" s="404" t="str">
        <f t="shared" si="48"/>
        <v>SBC GIRLS</v>
      </c>
      <c r="BZ206" s="405" t="s">
        <v>92</v>
      </c>
    </row>
    <row r="207" spans="1:78" ht="15" customHeight="1">
      <c r="A207" s="399"/>
      <c r="B207" s="400" t="s">
        <v>93</v>
      </c>
      <c r="C207" s="400"/>
      <c r="D207" s="1513" t="str">
        <f>IF('Master Sheet'!$D$11="Hindi","प्रथम श्रेणी","1st Div.")</f>
        <v>प्रथम श्रेणी</v>
      </c>
      <c r="E207" s="1514"/>
      <c r="F207" s="406">
        <f>COUNTIF(M4:M203,"I")</f>
        <v>4</v>
      </c>
      <c r="G207" s="406">
        <f>COUNTIF(R4:R203,"I")</f>
        <v>0</v>
      </c>
      <c r="H207" s="1515">
        <f>F207+G207</f>
        <v>4</v>
      </c>
      <c r="I207" s="1516"/>
      <c r="J207" s="1481" t="str">
        <f>IF('Master Sheet'!D11="Hindi","हस्ताक्षर कक्षाध्यापक","Signature of the class teacher")</f>
        <v>हस्ताक्षर कक्षाध्यापक</v>
      </c>
      <c r="K207" s="1482"/>
      <c r="L207" s="1483"/>
      <c r="M207" s="1493" t="str">
        <f>CONCATENATE("( ",UPPER('Master Sheet'!D17)," )")</f>
        <v>( YOGESH )</v>
      </c>
      <c r="N207" s="1494"/>
      <c r="O207" s="1495"/>
      <c r="P207" s="1507"/>
      <c r="Q207" s="1508"/>
      <c r="R207" s="1508"/>
      <c r="S207" s="1509"/>
      <c r="BM207" s="768" t="str">
        <f>'Statement of Marks'!GY210</f>
        <v>प्रथम श्रेणी</v>
      </c>
      <c r="BN207" s="407">
        <f>COUNTIF(BN4:BN203,"I")</f>
        <v>0</v>
      </c>
      <c r="BO207" s="407">
        <f t="shared" ref="BO207:BY207" si="49">COUNTIF(BO4:BO203,"I")</f>
        <v>1</v>
      </c>
      <c r="BP207" s="407">
        <f t="shared" si="49"/>
        <v>1</v>
      </c>
      <c r="BQ207" s="407">
        <f t="shared" si="49"/>
        <v>0</v>
      </c>
      <c r="BR207" s="407">
        <f t="shared" si="49"/>
        <v>0</v>
      </c>
      <c r="BS207" s="407">
        <f t="shared" si="49"/>
        <v>0</v>
      </c>
      <c r="BT207" s="407">
        <f t="shared" si="49"/>
        <v>1</v>
      </c>
      <c r="BU207" s="407">
        <f t="shared" si="49"/>
        <v>0</v>
      </c>
      <c r="BV207" s="407">
        <f t="shared" si="49"/>
        <v>0</v>
      </c>
      <c r="BW207" s="407">
        <f t="shared" si="49"/>
        <v>0</v>
      </c>
      <c r="BX207" s="407">
        <f t="shared" si="49"/>
        <v>0</v>
      </c>
      <c r="BY207" s="407">
        <f t="shared" si="49"/>
        <v>1</v>
      </c>
      <c r="BZ207" s="408">
        <f>SUM(BN207:BY207)</f>
        <v>4</v>
      </c>
    </row>
    <row r="208" spans="1:78" ht="15" customHeight="1">
      <c r="A208" s="399"/>
      <c r="B208" s="400" t="s">
        <v>93</v>
      </c>
      <c r="C208" s="400"/>
      <c r="D208" s="1513" t="str">
        <f>IF('Master Sheet'!$D$11="Hindi","द्वितीय श्रेणी","2nd Div.")</f>
        <v>द्वितीय श्रेणी</v>
      </c>
      <c r="E208" s="1514"/>
      <c r="F208" s="409">
        <f>COUNTIF(M4:M203,"II")</f>
        <v>2</v>
      </c>
      <c r="G208" s="409">
        <f>COUNTIF(R4:R203,"II")</f>
        <v>1</v>
      </c>
      <c r="H208" s="1515">
        <f>F208+G208</f>
        <v>3</v>
      </c>
      <c r="I208" s="1516"/>
      <c r="J208" s="1484"/>
      <c r="K208" s="1485"/>
      <c r="L208" s="1486"/>
      <c r="M208" s="1496"/>
      <c r="N208" s="1497"/>
      <c r="O208" s="1498"/>
      <c r="P208" s="1507"/>
      <c r="Q208" s="1508"/>
      <c r="R208" s="1508"/>
      <c r="S208" s="1509"/>
      <c r="BM208" s="768" t="str">
        <f>'Statement of Marks'!GY211</f>
        <v>द्वितीय श्रेणी</v>
      </c>
      <c r="BN208" s="407">
        <f t="shared" ref="BN208" si="50">COUNTIF(BN4:BN203,"II")</f>
        <v>0</v>
      </c>
      <c r="BO208" s="407">
        <f t="shared" ref="BO208:BY208" si="51">COUNTIF(BO4:BO203,"II")</f>
        <v>0</v>
      </c>
      <c r="BP208" s="407">
        <f t="shared" si="51"/>
        <v>0</v>
      </c>
      <c r="BQ208" s="407">
        <f t="shared" si="51"/>
        <v>0</v>
      </c>
      <c r="BR208" s="407">
        <f t="shared" si="51"/>
        <v>2</v>
      </c>
      <c r="BS208" s="407">
        <f t="shared" si="51"/>
        <v>0</v>
      </c>
      <c r="BT208" s="407">
        <f t="shared" si="51"/>
        <v>1</v>
      </c>
      <c r="BU208" s="407">
        <f t="shared" si="51"/>
        <v>0</v>
      </c>
      <c r="BV208" s="407">
        <f t="shared" si="51"/>
        <v>0</v>
      </c>
      <c r="BW208" s="407">
        <f t="shared" si="51"/>
        <v>0</v>
      </c>
      <c r="BX208" s="407">
        <f t="shared" si="51"/>
        <v>0</v>
      </c>
      <c r="BY208" s="407">
        <f t="shared" si="51"/>
        <v>0</v>
      </c>
      <c r="BZ208" s="408">
        <f t="shared" ref="BZ208:BZ214" si="52">SUM(BN208:BY208)</f>
        <v>3</v>
      </c>
    </row>
    <row r="209" spans="1:78" ht="15" customHeight="1">
      <c r="A209" s="399"/>
      <c r="B209" s="400" t="s">
        <v>93</v>
      </c>
      <c r="C209" s="400"/>
      <c r="D209" s="1513" t="str">
        <f>IF('Master Sheet'!$D$11="Hindi","तृतीय श्रेणी","3rd Div.")</f>
        <v>तृतीय श्रेणी</v>
      </c>
      <c r="E209" s="1514"/>
      <c r="F209" s="402">
        <f>COUNTIF(M4:M203,"III")</f>
        <v>2</v>
      </c>
      <c r="G209" s="406">
        <f>COUNTIF(R4:R203,"III")</f>
        <v>1</v>
      </c>
      <c r="H209" s="1523">
        <f>F209+G209</f>
        <v>3</v>
      </c>
      <c r="I209" s="1524"/>
      <c r="J209" s="1481" t="str">
        <f>IF('Master Sheet'!D11="Hindi","हस्ताक्षर जांचकर्ता","Signature of the checker")</f>
        <v>हस्ताक्षर जांचकर्ता</v>
      </c>
      <c r="K209" s="1482"/>
      <c r="L209" s="1483"/>
      <c r="M209" s="1493" t="str">
        <f>CONCATENATE("( ",UPPER('Master Sheet'!D15)," )")</f>
        <v>( RAKESH KUMAR )</v>
      </c>
      <c r="N209" s="1494"/>
      <c r="O209" s="1495"/>
      <c r="P209" s="1507"/>
      <c r="Q209" s="1508"/>
      <c r="R209" s="1508"/>
      <c r="S209" s="1509"/>
      <c r="BM209" s="768" t="str">
        <f>'Statement of Marks'!GY212</f>
        <v>तृतीय श्रेणी</v>
      </c>
      <c r="BN209" s="407">
        <f t="shared" ref="BN209" si="53">COUNTIF(BN4:BN203,"III")</f>
        <v>0</v>
      </c>
      <c r="BO209" s="407">
        <f t="shared" ref="BO209:BY209" si="54">COUNTIF(BO4:BO203,"III")</f>
        <v>0</v>
      </c>
      <c r="BP209" s="407">
        <f t="shared" si="54"/>
        <v>0</v>
      </c>
      <c r="BQ209" s="407">
        <f t="shared" si="54"/>
        <v>0</v>
      </c>
      <c r="BR209" s="407">
        <f t="shared" si="54"/>
        <v>1</v>
      </c>
      <c r="BS209" s="407">
        <f t="shared" si="54"/>
        <v>0</v>
      </c>
      <c r="BT209" s="407">
        <f t="shared" si="54"/>
        <v>0</v>
      </c>
      <c r="BU209" s="407">
        <f t="shared" si="54"/>
        <v>0</v>
      </c>
      <c r="BV209" s="407">
        <f t="shared" si="54"/>
        <v>1</v>
      </c>
      <c r="BW209" s="407">
        <f t="shared" si="54"/>
        <v>0</v>
      </c>
      <c r="BX209" s="407">
        <f t="shared" si="54"/>
        <v>1</v>
      </c>
      <c r="BY209" s="407">
        <f t="shared" si="54"/>
        <v>0</v>
      </c>
      <c r="BZ209" s="408">
        <f t="shared" si="52"/>
        <v>3</v>
      </c>
    </row>
    <row r="210" spans="1:78" ht="15" customHeight="1">
      <c r="A210" s="399"/>
      <c r="B210" s="400" t="s">
        <v>93</v>
      </c>
      <c r="C210" s="400"/>
      <c r="D210" s="1489" t="str">
        <f>IF('Master Sheet'!D11="Hindi","कुल उत्तीर्ण","Total Pass")</f>
        <v>कुल उत्तीर्ण</v>
      </c>
      <c r="E210" s="1490"/>
      <c r="F210" s="828">
        <f>COUNTIF(J4:J203,"PASS")+COUNTIF(J4:J203,"BY GRACE PASS")</f>
        <v>8</v>
      </c>
      <c r="G210" s="410">
        <f>COUNTIF(P4:P203,"PASS")</f>
        <v>2</v>
      </c>
      <c r="H210" s="1491">
        <f t="shared" ref="H210" si="55">F210+G210</f>
        <v>10</v>
      </c>
      <c r="I210" s="1492"/>
      <c r="J210" s="1484"/>
      <c r="K210" s="1485"/>
      <c r="L210" s="1486"/>
      <c r="M210" s="1496"/>
      <c r="N210" s="1497"/>
      <c r="O210" s="1498"/>
      <c r="P210" s="1510"/>
      <c r="Q210" s="1511"/>
      <c r="R210" s="1511"/>
      <c r="S210" s="1512"/>
      <c r="BM210" s="768" t="str">
        <f>'Statement of Marks'!GY213</f>
        <v>उतीर्ण</v>
      </c>
      <c r="BN210" s="407">
        <f>SUM(BN207,BN208,BN209)</f>
        <v>0</v>
      </c>
      <c r="BO210" s="407">
        <f t="shared" ref="BO210:BY210" si="56">SUM(BO207,BO208,BO209)</f>
        <v>1</v>
      </c>
      <c r="BP210" s="407">
        <f t="shared" si="56"/>
        <v>1</v>
      </c>
      <c r="BQ210" s="407">
        <f t="shared" si="56"/>
        <v>0</v>
      </c>
      <c r="BR210" s="407">
        <f t="shared" si="56"/>
        <v>3</v>
      </c>
      <c r="BS210" s="407">
        <f t="shared" si="56"/>
        <v>0</v>
      </c>
      <c r="BT210" s="407">
        <f t="shared" si="56"/>
        <v>2</v>
      </c>
      <c r="BU210" s="407">
        <f t="shared" si="56"/>
        <v>0</v>
      </c>
      <c r="BV210" s="407">
        <f t="shared" si="56"/>
        <v>1</v>
      </c>
      <c r="BW210" s="407">
        <f t="shared" si="56"/>
        <v>0</v>
      </c>
      <c r="BX210" s="407">
        <f t="shared" si="56"/>
        <v>1</v>
      </c>
      <c r="BY210" s="407">
        <f t="shared" si="56"/>
        <v>1</v>
      </c>
      <c r="BZ210" s="408">
        <f t="shared" si="52"/>
        <v>10</v>
      </c>
    </row>
    <row r="211" spans="1:78" ht="15" customHeight="1">
      <c r="A211" s="411"/>
      <c r="B211" s="412" t="s">
        <v>93</v>
      </c>
      <c r="C211" s="412"/>
      <c r="D211" s="1519" t="str">
        <f>IF('Master Sheet'!$D$11="Hindi","उतीर्ण प्रतिशत","Pass %")</f>
        <v>उतीर्ण प्रतिशत</v>
      </c>
      <c r="E211" s="1519"/>
      <c r="F211" s="413">
        <f>IF(F206=0,"",F210/F206*100)</f>
        <v>72.727272727272734</v>
      </c>
      <c r="G211" s="414">
        <f>IF(G206=0,"",G210/G206*100)</f>
        <v>100</v>
      </c>
      <c r="H211" s="1520">
        <f>IF(H206=0,"",H210/H206*100)</f>
        <v>90.909090909090907</v>
      </c>
      <c r="I211" s="1520"/>
      <c r="J211" s="1521" t="str">
        <f>IF('Master Sheet'!D11="Hindi","हस्ताक्षर परीक्षा प्रभारी","Signature of the exam. Incharge")</f>
        <v>हस्ताक्षर परीक्षा प्रभारी</v>
      </c>
      <c r="K211" s="1521"/>
      <c r="L211" s="1521"/>
      <c r="M211" s="1503" t="str">
        <f>CONCATENATE("( ",UPPER('Master Sheet'!D14)," )")</f>
        <v>( HEERALAL JAT )</v>
      </c>
      <c r="N211" s="1503"/>
      <c r="O211" s="1503"/>
      <c r="P211" s="1499" t="str">
        <f>IF('Master Sheet'!D11="Hindi","हस्ताक्षर मय सील मोहर संस्था प्रधान","Signature &amp; Seal of the Head of the Institution")</f>
        <v>हस्ताक्षर मय सील मोहर संस्था प्रधान</v>
      </c>
      <c r="Q211" s="1499"/>
      <c r="R211" s="1499"/>
      <c r="S211" s="1500"/>
      <c r="BM211" s="768" t="str">
        <f>'Statement of Marks'!GY214</f>
        <v>पूरक</v>
      </c>
      <c r="BN211" s="407">
        <f>COUNTIF(BN4:BN203,"SUPPLEMENTARY")</f>
        <v>0</v>
      </c>
      <c r="BO211" s="407">
        <f t="shared" ref="BO211:BY211" si="57">COUNTIF(BO4:BO203,"SUPPLEMENTARY")</f>
        <v>0</v>
      </c>
      <c r="BP211" s="407">
        <f t="shared" si="57"/>
        <v>0</v>
      </c>
      <c r="BQ211" s="407">
        <f t="shared" si="57"/>
        <v>0</v>
      </c>
      <c r="BR211" s="407">
        <f t="shared" si="57"/>
        <v>0</v>
      </c>
      <c r="BS211" s="407">
        <f t="shared" si="57"/>
        <v>0</v>
      </c>
      <c r="BT211" s="407">
        <f t="shared" si="57"/>
        <v>0</v>
      </c>
      <c r="BU211" s="407">
        <f t="shared" si="57"/>
        <v>0</v>
      </c>
      <c r="BV211" s="407">
        <f t="shared" si="57"/>
        <v>0</v>
      </c>
      <c r="BW211" s="407">
        <f t="shared" si="57"/>
        <v>0</v>
      </c>
      <c r="BX211" s="407">
        <f t="shared" si="57"/>
        <v>0</v>
      </c>
      <c r="BY211" s="407">
        <f t="shared" si="57"/>
        <v>0</v>
      </c>
      <c r="BZ211" s="408">
        <f>SUM(BN211:BY211)</f>
        <v>0</v>
      </c>
    </row>
    <row r="212" spans="1:78" ht="15" customHeight="1" thickBot="1">
      <c r="A212" s="399"/>
      <c r="B212" s="400" t="s">
        <v>93</v>
      </c>
      <c r="C212" s="400"/>
      <c r="D212" s="1519" t="str">
        <f>IF('Master Sheet'!$D$11="Hindi","अनुतीर्ण","Failed")</f>
        <v>अनुतीर्ण</v>
      </c>
      <c r="E212" s="1519"/>
      <c r="F212" s="402">
        <f>COUNTIF(J4:J203,"FAIL")</f>
        <v>1</v>
      </c>
      <c r="G212" s="402">
        <f>COUNTIF(P4:P203,"FAIL")</f>
        <v>0</v>
      </c>
      <c r="H212" s="1522">
        <f>SUM(F212,G212)</f>
        <v>1</v>
      </c>
      <c r="I212" s="1522"/>
      <c r="J212" s="1521"/>
      <c r="K212" s="1521"/>
      <c r="L212" s="1521"/>
      <c r="M212" s="1503"/>
      <c r="N212" s="1503"/>
      <c r="O212" s="1503"/>
      <c r="P212" s="1501"/>
      <c r="Q212" s="1501"/>
      <c r="R212" s="1501"/>
      <c r="S212" s="1502"/>
      <c r="BM212" s="768" t="str">
        <f>'Statement of Marks'!GY217</f>
        <v>पुनः परीक्षा</v>
      </c>
      <c r="BN212" s="415">
        <f>COUNTIF(BN4:BN203,"RE-EXAM")</f>
        <v>0</v>
      </c>
      <c r="BO212" s="415">
        <f t="shared" ref="BO212:BY212" si="58">COUNTIF(BO4:BO203,"RE-EXAM")</f>
        <v>0</v>
      </c>
      <c r="BP212" s="415">
        <f t="shared" si="58"/>
        <v>0</v>
      </c>
      <c r="BQ212" s="415">
        <f t="shared" si="58"/>
        <v>0</v>
      </c>
      <c r="BR212" s="415">
        <f t="shared" si="58"/>
        <v>0</v>
      </c>
      <c r="BS212" s="415">
        <f t="shared" si="58"/>
        <v>0</v>
      </c>
      <c r="BT212" s="415">
        <f t="shared" si="58"/>
        <v>0</v>
      </c>
      <c r="BU212" s="415">
        <f t="shared" si="58"/>
        <v>0</v>
      </c>
      <c r="BV212" s="415">
        <f t="shared" si="58"/>
        <v>0</v>
      </c>
      <c r="BW212" s="415">
        <f t="shared" si="58"/>
        <v>0</v>
      </c>
      <c r="BX212" s="415">
        <f t="shared" si="58"/>
        <v>0</v>
      </c>
      <c r="BY212" s="415">
        <f t="shared" si="58"/>
        <v>0</v>
      </c>
      <c r="BZ212" s="408">
        <f t="shared" si="52"/>
        <v>0</v>
      </c>
    </row>
    <row r="213" spans="1:78" ht="17.100000000000001" customHeight="1" thickTop="1">
      <c r="BM213" s="768" t="str">
        <f>'Statement of Marks'!GY215</f>
        <v>अनुतीर्ण</v>
      </c>
      <c r="BN213" s="407">
        <f>COUNTIF(BN4:BN203,"FAIL")</f>
        <v>0</v>
      </c>
      <c r="BO213" s="407">
        <f t="shared" ref="BO213:BY213" si="59">COUNTIF(BO4:BO203,"FAIL")</f>
        <v>1</v>
      </c>
      <c r="BP213" s="407">
        <f t="shared" si="59"/>
        <v>0</v>
      </c>
      <c r="BQ213" s="407">
        <f t="shared" si="59"/>
        <v>0</v>
      </c>
      <c r="BR213" s="407">
        <f t="shared" si="59"/>
        <v>0</v>
      </c>
      <c r="BS213" s="407">
        <f t="shared" si="59"/>
        <v>0</v>
      </c>
      <c r="BT213" s="407">
        <f t="shared" si="59"/>
        <v>0</v>
      </c>
      <c r="BU213" s="407">
        <f t="shared" si="59"/>
        <v>0</v>
      </c>
      <c r="BV213" s="407">
        <f t="shared" si="59"/>
        <v>0</v>
      </c>
      <c r="BW213" s="407">
        <f t="shared" si="59"/>
        <v>0</v>
      </c>
      <c r="BX213" s="407">
        <f t="shared" si="59"/>
        <v>0</v>
      </c>
      <c r="BY213" s="407">
        <f t="shared" si="59"/>
        <v>0</v>
      </c>
      <c r="BZ213" s="408">
        <f>SUM(BN213:BY213)</f>
        <v>1</v>
      </c>
    </row>
    <row r="214" spans="1:78" ht="15">
      <c r="BM214" s="768" t="str">
        <f>IF('Master Sheet'!D11="Hindi","कुल प्रविष्ट","Total appeared")</f>
        <v>कुल प्रविष्ट</v>
      </c>
      <c r="BN214" s="407">
        <f>SUM(BN210:BN213)</f>
        <v>0</v>
      </c>
      <c r="BO214" s="407">
        <f t="shared" ref="BO214:BY214" si="60">SUM(BO210:BO213)</f>
        <v>2</v>
      </c>
      <c r="BP214" s="407">
        <f t="shared" si="60"/>
        <v>1</v>
      </c>
      <c r="BQ214" s="407">
        <f t="shared" si="60"/>
        <v>0</v>
      </c>
      <c r="BR214" s="407">
        <f t="shared" si="60"/>
        <v>3</v>
      </c>
      <c r="BS214" s="407">
        <f t="shared" si="60"/>
        <v>0</v>
      </c>
      <c r="BT214" s="407">
        <f t="shared" si="60"/>
        <v>2</v>
      </c>
      <c r="BU214" s="407">
        <f t="shared" si="60"/>
        <v>0</v>
      </c>
      <c r="BV214" s="407">
        <f t="shared" si="60"/>
        <v>1</v>
      </c>
      <c r="BW214" s="407">
        <f t="shared" si="60"/>
        <v>0</v>
      </c>
      <c r="BX214" s="407">
        <f t="shared" si="60"/>
        <v>1</v>
      </c>
      <c r="BY214" s="407">
        <f t="shared" si="60"/>
        <v>1</v>
      </c>
      <c r="BZ214" s="408">
        <f t="shared" si="52"/>
        <v>11</v>
      </c>
    </row>
    <row r="215" spans="1:78" ht="15">
      <c r="BM215" s="768" t="str">
        <f>'Statement of Marks'!GY216</f>
        <v>उतीर्ण प्रतिशत</v>
      </c>
      <c r="BN215" s="419" t="str">
        <f>IF(BN214=0,"",BN210/BN214*100)</f>
        <v/>
      </c>
      <c r="BO215" s="419">
        <f t="shared" ref="BO215:BY215" si="61">IF(BO214=0,"",BO210/BO214*100)</f>
        <v>50</v>
      </c>
      <c r="BP215" s="419">
        <f t="shared" si="61"/>
        <v>100</v>
      </c>
      <c r="BQ215" s="419" t="str">
        <f t="shared" si="61"/>
        <v/>
      </c>
      <c r="BR215" s="419">
        <f t="shared" si="61"/>
        <v>100</v>
      </c>
      <c r="BS215" s="419" t="str">
        <f t="shared" si="61"/>
        <v/>
      </c>
      <c r="BT215" s="419">
        <f t="shared" si="61"/>
        <v>100</v>
      </c>
      <c r="BU215" s="419" t="str">
        <f t="shared" si="61"/>
        <v/>
      </c>
      <c r="BV215" s="419">
        <f t="shared" si="61"/>
        <v>100</v>
      </c>
      <c r="BW215" s="419" t="str">
        <f t="shared" si="61"/>
        <v/>
      </c>
      <c r="BX215" s="419">
        <f t="shared" si="61"/>
        <v>100</v>
      </c>
      <c r="BY215" s="419">
        <f t="shared" si="61"/>
        <v>100</v>
      </c>
      <c r="BZ215" s="420">
        <f>IF(BZ214=0,"",BZ210/BZ214*100)</f>
        <v>90.909090909090907</v>
      </c>
    </row>
    <row r="216" spans="1:78" ht="16.5" customHeight="1" thickBot="1">
      <c r="BM216" s="768" t="str">
        <f>'Statement of Marks'!GY218</f>
        <v>नाम पृथक</v>
      </c>
      <c r="BN216" s="421">
        <f>COUNTIF(BN4:BN203,"NSO")</f>
        <v>0</v>
      </c>
      <c r="BO216" s="421">
        <f t="shared" ref="BO216:BY216" si="62">COUNTIF(BO4:BO203,"NSO")</f>
        <v>0</v>
      </c>
      <c r="BP216" s="421">
        <f t="shared" si="62"/>
        <v>0</v>
      </c>
      <c r="BQ216" s="421">
        <f t="shared" si="62"/>
        <v>0</v>
      </c>
      <c r="BR216" s="421">
        <f t="shared" si="62"/>
        <v>0</v>
      </c>
      <c r="BS216" s="421">
        <f t="shared" si="62"/>
        <v>0</v>
      </c>
      <c r="BT216" s="421">
        <f t="shared" si="62"/>
        <v>0</v>
      </c>
      <c r="BU216" s="421">
        <f t="shared" si="62"/>
        <v>0</v>
      </c>
      <c r="BV216" s="421">
        <f t="shared" si="62"/>
        <v>0</v>
      </c>
      <c r="BW216" s="421">
        <f t="shared" si="62"/>
        <v>0</v>
      </c>
      <c r="BX216" s="421">
        <f t="shared" si="62"/>
        <v>0</v>
      </c>
      <c r="BY216" s="421">
        <f t="shared" si="62"/>
        <v>0</v>
      </c>
      <c r="BZ216" s="422">
        <f>SUM(BN216:BY216)</f>
        <v>0</v>
      </c>
    </row>
    <row r="217" spans="1:78" ht="15.75" thickTop="1"/>
    <row r="218" spans="1:78" ht="12.75" customHeight="1"/>
    <row r="219" spans="1:78" ht="12.75" customHeight="1"/>
    <row r="220" spans="1:78" ht="12.75" customHeight="1"/>
    <row r="221" spans="1:78" ht="12.75" customHeight="1"/>
    <row r="222" spans="1:78" ht="12.75" customHeight="1"/>
    <row r="223" spans="1:78" ht="12.75" customHeight="1"/>
    <row r="224" spans="1:78"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1E2" sheet="1" objects="1" scenarios="1" formatCells="0" formatColumns="0" formatRows="0"/>
  <protectedRanges>
    <protectedRange password="DC77" sqref="A207:F210 H207:S210 A211:S212 A1:S1 A2:M3 O2:S3 A4:S206" name="Range1"/>
    <protectedRange password="DC77" sqref="N2:N3" name="Range1_1"/>
  </protectedRanges>
  <mergeCells count="47">
    <mergeCell ref="N2:N3"/>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S204"/>
    <mergeCell ref="M209:O210"/>
    <mergeCell ref="P211:S212"/>
    <mergeCell ref="M211:O212"/>
    <mergeCell ref="P205:S210"/>
    <mergeCell ref="D208:E208"/>
    <mergeCell ref="H208:I208"/>
    <mergeCell ref="M207:O208"/>
    <mergeCell ref="BM204:BZ204"/>
    <mergeCell ref="D205:E205"/>
    <mergeCell ref="H205:I205"/>
    <mergeCell ref="J205:L206"/>
    <mergeCell ref="BN205:BZ205"/>
    <mergeCell ref="D206:E206"/>
    <mergeCell ref="H206:I206"/>
    <mergeCell ref="M205:O206"/>
    <mergeCell ref="O1:S1"/>
    <mergeCell ref="A1:M1"/>
    <mergeCell ref="S2:S3"/>
    <mergeCell ref="BM1:BZ2"/>
    <mergeCell ref="B2:C2"/>
    <mergeCell ref="E2:E3"/>
    <mergeCell ref="F2:F3"/>
    <mergeCell ref="G2:G3"/>
    <mergeCell ref="K2:K3"/>
    <mergeCell ref="L2:L3"/>
    <mergeCell ref="M2:M3"/>
    <mergeCell ref="O2:O3"/>
    <mergeCell ref="P2:P3"/>
    <mergeCell ref="Q2:Q3"/>
    <mergeCell ref="R2:R3"/>
    <mergeCell ref="H2:I2"/>
  </mergeCells>
  <conditionalFormatting sqref="H206:J206 H205:I205 F205 J208:J211 BN205:BZ206 BZ216 BZ207:BZ214 I3 BN1:BZ3 B2 J2 A203:B203 BM1:BM216 H210:I212 A2:A204 C4:I203 S4:S203 O4:O203 B3:C203 D2:H2 H207:H208">
    <cfRule type="cellIs" dxfId="113" priority="185" stopIfTrue="1" operator="equal">
      <formula>0</formula>
    </cfRule>
  </conditionalFormatting>
  <conditionalFormatting sqref="J213:J217 H205:I205 F205 J206:J211 J2">
    <cfRule type="containsText" dxfId="112" priority="184" stopIfTrue="1" operator="containsText" text="iwjd">
      <formula>NOT(ISERROR(SEARCH("iwjd",F2)))</formula>
    </cfRule>
  </conditionalFormatting>
  <conditionalFormatting sqref="J4:J203">
    <cfRule type="containsText" dxfId="111" priority="183" stopIfTrue="1" operator="containsText" text="iwjd">
      <formula>NOT(ISERROR(SEARCH("iwjd",J4)))</formula>
    </cfRule>
  </conditionalFormatting>
  <conditionalFormatting sqref="H2:H3 I3">
    <cfRule type="containsText" dxfId="110" priority="181" stopIfTrue="1" operator="containsText" text="ST">
      <formula>NOT(ISERROR(SEARCH("ST",H2)))</formula>
    </cfRule>
    <cfRule type="containsText" dxfId="109" priority="182" stopIfTrue="1" operator="containsText" text="SC">
      <formula>NOT(ISERROR(SEARCH("SC",H2)))</formula>
    </cfRule>
  </conditionalFormatting>
  <conditionalFormatting sqref="H4:I203">
    <cfRule type="containsText" dxfId="108" priority="178" stopIfTrue="1" operator="containsText" text="OBC">
      <formula>NOT(ISERROR(SEARCH("OBC",H4)))</formula>
    </cfRule>
    <cfRule type="containsText" dxfId="107" priority="179" stopIfTrue="1" operator="containsText" text="ST">
      <formula>NOT(ISERROR(SEARCH("ST",H4)))</formula>
    </cfRule>
    <cfRule type="containsText" dxfId="106" priority="180" stopIfTrue="1" operator="containsText" text="SC">
      <formula>NOT(ISERROR(SEARCH("SC",H4)))</formula>
    </cfRule>
  </conditionalFormatting>
  <conditionalFormatting sqref="P4:R203 BN4:BZ203">
    <cfRule type="containsText" dxfId="105" priority="176" stopIfTrue="1" operator="containsText" text="mRrh.kZ">
      <formula>NOT(ISERROR(SEARCH("mRrh.kZ",P4)))</formula>
    </cfRule>
    <cfRule type="containsText" dxfId="104" priority="177" stopIfTrue="1" operator="containsText" text="vuqRrh.kZ">
      <formula>NOT(ISERROR(SEARCH("vuqRrh.kZ",P4)))</formula>
    </cfRule>
  </conditionalFormatting>
  <conditionalFormatting sqref="BN207:BZ216">
    <cfRule type="cellIs" dxfId="103" priority="171" operator="equal">
      <formula>0</formula>
    </cfRule>
  </conditionalFormatting>
  <conditionalFormatting sqref="R4:R203 BN4:BZ203">
    <cfRule type="containsText" dxfId="102" priority="167" operator="containsText" text="iwjd">
      <formula>NOT(ISERROR(SEARCH("iwjd",R4)))</formula>
    </cfRule>
    <cfRule type="containsText" dxfId="101" priority="168" operator="containsText" text="uke i`Fkd">
      <formula>NOT(ISERROR(SEARCH("uke i`Fkd",R4)))</formula>
    </cfRule>
    <cfRule type="containsText" dxfId="100" priority="169" operator="containsText" text="iqu% ijh{k">
      <formula>NOT(ISERROR(SEARCH("iqu% ijh{k",R4)))</formula>
    </cfRule>
    <cfRule type="containsText" dxfId="99" priority="170" operator="containsText" text="vuqRrh.kZ">
      <formula>NOT(ISERROR(SEARCH("vuqRrh.kZ",R4)))</formula>
    </cfRule>
  </conditionalFormatting>
  <conditionalFormatting sqref="A2:B3 I3 J2 B3:C3 D2:H2">
    <cfRule type="cellIs" dxfId="98" priority="88" stopIfTrue="1" operator="equal">
      <formula>0</formula>
    </cfRule>
  </conditionalFormatting>
  <conditionalFormatting sqref="J2">
    <cfRule type="containsText" dxfId="97" priority="87" stopIfTrue="1" operator="containsText" text="iwjd">
      <formula>NOT(ISERROR(SEARCH("iwjd",J2)))</formula>
    </cfRule>
  </conditionalFormatting>
  <conditionalFormatting sqref="H2:H3 I3">
    <cfRule type="containsText" dxfId="96" priority="85" stopIfTrue="1" operator="containsText" text="ST">
      <formula>NOT(ISERROR(SEARCH("ST",H2)))</formula>
    </cfRule>
    <cfRule type="containsText" dxfId="95" priority="86" stopIfTrue="1" operator="containsText" text="SC">
      <formula>NOT(ISERROR(SEARCH("SC",H2)))</formula>
    </cfRule>
  </conditionalFormatting>
  <conditionalFormatting sqref="H2:H3 I3">
    <cfRule type="containsText" dxfId="94" priority="83" stopIfTrue="1" operator="containsText" text="ST">
      <formula>NOT(ISERROR(SEARCH("ST",H2)))</formula>
    </cfRule>
    <cfRule type="containsText" dxfId="93" priority="84" stopIfTrue="1" operator="containsText" text="SC">
      <formula>NOT(ISERROR(SEARCH("SC",H2)))</formula>
    </cfRule>
  </conditionalFormatting>
  <conditionalFormatting sqref="O1">
    <cfRule type="cellIs" dxfId="92" priority="82" stopIfTrue="1" operator="equal">
      <formula>0</formula>
    </cfRule>
  </conditionalFormatting>
  <conditionalFormatting sqref="F205">
    <cfRule type="cellIs" dxfId="91" priority="81" stopIfTrue="1" operator="equal">
      <formula>0</formula>
    </cfRule>
  </conditionalFormatting>
  <conditionalFormatting sqref="F205">
    <cfRule type="containsText" dxfId="90" priority="80" stopIfTrue="1" operator="containsText" text="iwjd">
      <formula>NOT(ISERROR(SEARCH("iwjd",F205)))</formula>
    </cfRule>
  </conditionalFormatting>
  <conditionalFormatting sqref="G205">
    <cfRule type="cellIs" dxfId="89" priority="79" stopIfTrue="1" operator="equal">
      <formula>0</formula>
    </cfRule>
  </conditionalFormatting>
  <conditionalFormatting sqref="G205">
    <cfRule type="containsText" dxfId="88" priority="78" stopIfTrue="1" operator="containsText" text="iwjd">
      <formula>NOT(ISERROR(SEARCH("iwjd",G205)))</formula>
    </cfRule>
  </conditionalFormatting>
  <conditionalFormatting sqref="G205">
    <cfRule type="cellIs" dxfId="87" priority="77" stopIfTrue="1" operator="equal">
      <formula>0</formula>
    </cfRule>
  </conditionalFormatting>
  <conditionalFormatting sqref="G205">
    <cfRule type="containsText" dxfId="86" priority="76" stopIfTrue="1" operator="containsText" text="iwjd">
      <formula>NOT(ISERROR(SEARCH("iwjd",G205)))</formula>
    </cfRule>
  </conditionalFormatting>
  <conditionalFormatting sqref="H205:I205">
    <cfRule type="cellIs" dxfId="85" priority="75" stopIfTrue="1" operator="equal">
      <formula>0</formula>
    </cfRule>
  </conditionalFormatting>
  <conditionalFormatting sqref="H205:I205">
    <cfRule type="containsText" dxfId="84" priority="74" stopIfTrue="1" operator="containsText" text="iwjd">
      <formula>NOT(ISERROR(SEARCH("iwjd",H205)))</formula>
    </cfRule>
  </conditionalFormatting>
  <conditionalFormatting sqref="H205:I205">
    <cfRule type="cellIs" dxfId="83" priority="73" stopIfTrue="1" operator="equal">
      <formula>0</formula>
    </cfRule>
  </conditionalFormatting>
  <conditionalFormatting sqref="H205:I205">
    <cfRule type="containsText" dxfId="82" priority="72" stopIfTrue="1" operator="containsText" text="iwjd">
      <formula>NOT(ISERROR(SEARCH("iwjd",H205)))</formula>
    </cfRule>
  </conditionalFormatting>
  <conditionalFormatting sqref="J206 J208:J211">
    <cfRule type="cellIs" dxfId="81" priority="71" stopIfTrue="1" operator="equal">
      <formula>0</formula>
    </cfRule>
  </conditionalFormatting>
  <conditionalFormatting sqref="J206:J211">
    <cfRule type="containsText" dxfId="80" priority="70" stopIfTrue="1" operator="containsText" text="iwjd">
      <formula>NOT(ISERROR(SEARCH("iwjd",J206)))</formula>
    </cfRule>
  </conditionalFormatting>
  <conditionalFormatting sqref="J206 J208:J211">
    <cfRule type="cellIs" dxfId="79" priority="69" stopIfTrue="1" operator="equal">
      <formula>0</formula>
    </cfRule>
  </conditionalFormatting>
  <conditionalFormatting sqref="J206:J211">
    <cfRule type="containsText" dxfId="78" priority="68" stopIfTrue="1" operator="containsText" text="iwjd">
      <formula>NOT(ISERROR(SEARCH("iwjd",J206)))</formula>
    </cfRule>
  </conditionalFormatting>
  <conditionalFormatting sqref="J206 J208:J211">
    <cfRule type="cellIs" dxfId="77" priority="67" stopIfTrue="1" operator="equal">
      <formula>0</formula>
    </cfRule>
  </conditionalFormatting>
  <conditionalFormatting sqref="J206:J211">
    <cfRule type="containsText" dxfId="76" priority="66" stopIfTrue="1" operator="containsText" text="iwjd">
      <formula>NOT(ISERROR(SEARCH("iwjd",J206)))</formula>
    </cfRule>
  </conditionalFormatting>
  <conditionalFormatting sqref="P211">
    <cfRule type="cellIs" dxfId="75" priority="65" stopIfTrue="1" operator="equal">
      <formula>0</formula>
    </cfRule>
  </conditionalFormatting>
  <conditionalFormatting sqref="P211">
    <cfRule type="containsText" dxfId="74" priority="64" stopIfTrue="1" operator="containsText" text="iwjd">
      <formula>NOT(ISERROR(SEARCH("iwjd",P211)))</formula>
    </cfRule>
  </conditionalFormatting>
  <conditionalFormatting sqref="I4:I203">
    <cfRule type="expression" dxfId="73" priority="62">
      <formula>I4="F"</formula>
    </cfRule>
    <cfRule type="expression" dxfId="72" priority="63">
      <formula>I4="M"</formula>
    </cfRule>
  </conditionalFormatting>
  <conditionalFormatting sqref="L4:L203">
    <cfRule type="expression" dxfId="71" priority="58">
      <formula>L4=""</formula>
    </cfRule>
    <cfRule type="top10" dxfId="70" priority="60" rank="3"/>
    <cfRule type="top10" dxfId="69" priority="61" percent="1" rank="3"/>
  </conditionalFormatting>
  <conditionalFormatting sqref="I3">
    <cfRule type="cellIs" dxfId="68" priority="57" stopIfTrue="1" operator="equal">
      <formula>0</formula>
    </cfRule>
  </conditionalFormatting>
  <conditionalFormatting sqref="H3:I3">
    <cfRule type="containsText" dxfId="67" priority="55" stopIfTrue="1" operator="containsText" text="ST">
      <formula>NOT(ISERROR(SEARCH("ST",H3)))</formula>
    </cfRule>
    <cfRule type="containsText" dxfId="66" priority="56" stopIfTrue="1" operator="containsText" text="SC">
      <formula>NOT(ISERROR(SEARCH("SC",H3)))</formula>
    </cfRule>
  </conditionalFormatting>
  <conditionalFormatting sqref="I3">
    <cfRule type="cellIs" dxfId="65" priority="54" stopIfTrue="1" operator="equal">
      <formula>0</formula>
    </cfRule>
  </conditionalFormatting>
  <conditionalFormatting sqref="H3:I3">
    <cfRule type="containsText" dxfId="64" priority="52" stopIfTrue="1" operator="containsText" text="ST">
      <formula>NOT(ISERROR(SEARCH("ST",H3)))</formula>
    </cfRule>
    <cfRule type="containsText" dxfId="63" priority="53" stopIfTrue="1" operator="containsText" text="SC">
      <formula>NOT(ISERROR(SEARCH("SC",H3)))</formula>
    </cfRule>
  </conditionalFormatting>
  <conditionalFormatting sqref="H3:I3">
    <cfRule type="containsText" dxfId="62" priority="50" stopIfTrue="1" operator="containsText" text="ST">
      <formula>NOT(ISERROR(SEARCH("ST",H3)))</formula>
    </cfRule>
    <cfRule type="containsText" dxfId="61" priority="51" stopIfTrue="1" operator="containsText" text="SC">
      <formula>NOT(ISERROR(SEARCH("SC",H3)))</formula>
    </cfRule>
  </conditionalFormatting>
  <conditionalFormatting sqref="J206 J208:J211">
    <cfRule type="cellIs" dxfId="60" priority="49" stopIfTrue="1" operator="equal">
      <formula>0</formula>
    </cfRule>
  </conditionalFormatting>
  <conditionalFormatting sqref="J206:J211">
    <cfRule type="containsText" dxfId="59" priority="48" stopIfTrue="1" operator="containsText" text="iwjd">
      <formula>NOT(ISERROR(SEARCH("iwjd",J206)))</formula>
    </cfRule>
  </conditionalFormatting>
  <conditionalFormatting sqref="J206 J208:J211">
    <cfRule type="cellIs" dxfId="58" priority="47" stopIfTrue="1" operator="equal">
      <formula>0</formula>
    </cfRule>
  </conditionalFormatting>
  <conditionalFormatting sqref="J206:J211">
    <cfRule type="containsText" dxfId="57" priority="46" stopIfTrue="1" operator="containsText" text="iwjd">
      <formula>NOT(ISERROR(SEARCH("iwjd",J206)))</formula>
    </cfRule>
  </conditionalFormatting>
  <conditionalFormatting sqref="J206 J208:J211">
    <cfRule type="cellIs" dxfId="56" priority="45" stopIfTrue="1" operator="equal">
      <formula>0</formula>
    </cfRule>
  </conditionalFormatting>
  <conditionalFormatting sqref="J206:J211">
    <cfRule type="containsText" dxfId="55" priority="44" stopIfTrue="1" operator="containsText" text="iwjd">
      <formula>NOT(ISERROR(SEARCH("iwjd",J206)))</formula>
    </cfRule>
  </conditionalFormatting>
  <conditionalFormatting sqref="J206 J208:J211">
    <cfRule type="cellIs" dxfId="54" priority="43" stopIfTrue="1" operator="equal">
      <formula>0</formula>
    </cfRule>
  </conditionalFormatting>
  <conditionalFormatting sqref="J206:J211">
    <cfRule type="containsText" dxfId="53" priority="42" stopIfTrue="1" operator="containsText" text="iwjd">
      <formula>NOT(ISERROR(SEARCH("iwjd",J206)))</formula>
    </cfRule>
  </conditionalFormatting>
  <conditionalFormatting sqref="J206 J208:J211">
    <cfRule type="cellIs" dxfId="52" priority="41" stopIfTrue="1" operator="equal">
      <formula>0</formula>
    </cfRule>
  </conditionalFormatting>
  <conditionalFormatting sqref="J206:J211">
    <cfRule type="containsText" dxfId="51" priority="40" stopIfTrue="1" operator="containsText" text="iwjd">
      <formula>NOT(ISERROR(SEARCH("iwjd",J206)))</formula>
    </cfRule>
  </conditionalFormatting>
  <conditionalFormatting sqref="P211">
    <cfRule type="cellIs" dxfId="50" priority="39" stopIfTrue="1" operator="equal">
      <formula>0</formula>
    </cfRule>
  </conditionalFormatting>
  <conditionalFormatting sqref="P211">
    <cfRule type="containsText" dxfId="49" priority="38" stopIfTrue="1" operator="containsText" text="iwjd">
      <formula>NOT(ISERROR(SEARCH("iwjd",P211)))</formula>
    </cfRule>
  </conditionalFormatting>
  <conditionalFormatting sqref="D4:D203">
    <cfRule type="cellIs" dxfId="48" priority="37" stopIfTrue="1" operator="equal">
      <formula>0</formula>
    </cfRule>
  </conditionalFormatting>
  <conditionalFormatting sqref="J4:J203">
    <cfRule type="containsText" dxfId="47" priority="36" stopIfTrue="1" operator="containsText" text="iwjd">
      <formula>NOT(ISERROR(SEARCH("iwjd",J4)))</formula>
    </cfRule>
  </conditionalFormatting>
  <conditionalFormatting sqref="J4:J203">
    <cfRule type="containsText" dxfId="46" priority="31" stopIfTrue="1" operator="containsText" text="G1">
      <formula>NOT(ISERROR(SEARCH("G1",J4)))</formula>
    </cfRule>
    <cfRule type="containsText" dxfId="45" priority="32" stopIfTrue="1" operator="containsText" text="G2">
      <formula>NOT(ISERROR(SEARCH("G2",J4)))</formula>
    </cfRule>
    <cfRule type="containsText" dxfId="44" priority="33" stopIfTrue="1" operator="containsText" text="G1">
      <formula>NOT(ISERROR(SEARCH("G1",J4)))</formula>
    </cfRule>
    <cfRule type="containsText" dxfId="43" priority="34" stopIfTrue="1" operator="containsText" text="S">
      <formula>NOT(ISERROR(SEARCH("S",J4)))</formula>
    </cfRule>
    <cfRule type="containsText" dxfId="42" priority="35" stopIfTrue="1" operator="containsText" text="F">
      <formula>NOT(ISERROR(SEARCH("F",J4)))</formula>
    </cfRule>
  </conditionalFormatting>
  <conditionalFormatting sqref="J4:J203">
    <cfRule type="containsText" dxfId="41" priority="28" stopIfTrue="1" operator="containsText" text="RA">
      <formula>NOT(ISERROR(SEARCH("RA",J4)))</formula>
    </cfRule>
    <cfRule type="containsText" dxfId="40" priority="29" stopIfTrue="1" operator="containsText" text="ML">
      <formula>NOT(ISERROR(SEARCH("ML",J4)))</formula>
    </cfRule>
    <cfRule type="containsText" dxfId="39" priority="30" stopIfTrue="1" operator="containsText" text="ML">
      <formula>NOT(ISERROR(SEARCH("ML",J4)))</formula>
    </cfRule>
  </conditionalFormatting>
  <conditionalFormatting sqref="J4:J203">
    <cfRule type="containsText" dxfId="38" priority="27" stopIfTrue="1" operator="containsText" text="S">
      <formula>NOT(ISERROR(SEARCH("S",J4)))</formula>
    </cfRule>
  </conditionalFormatting>
  <conditionalFormatting sqref="J4:J203">
    <cfRule type="containsText" dxfId="37" priority="26" stopIfTrue="1" operator="containsText" text="G1">
      <formula>NOT(ISERROR(SEARCH("G1",J4)))</formula>
    </cfRule>
  </conditionalFormatting>
  <conditionalFormatting sqref="J4:J203">
    <cfRule type="containsText" dxfId="36" priority="25" stopIfTrue="1" operator="containsText" text="NA">
      <formula>NOT(ISERROR(SEARCH("NA",J4)))</formula>
    </cfRule>
  </conditionalFormatting>
  <conditionalFormatting sqref="J4:J203">
    <cfRule type="containsText" dxfId="35" priority="24" operator="containsText" text="D">
      <formula>NOT(ISERROR(SEARCH("D",J4)))</formula>
    </cfRule>
  </conditionalFormatting>
  <conditionalFormatting sqref="J4:J203">
    <cfRule type="cellIs" dxfId="34" priority="22" stopIfTrue="1" operator="equal">
      <formula>0</formula>
    </cfRule>
    <cfRule type="cellIs" dxfId="33" priority="23" stopIfTrue="1" operator="equal">
      <formula>0</formula>
    </cfRule>
  </conditionalFormatting>
  <conditionalFormatting sqref="J4:J203">
    <cfRule type="containsText" dxfId="32" priority="18" stopIfTrue="1" operator="containsText" text="G2">
      <formula>NOT(ISERROR(SEARCH("G2",J4)))</formula>
    </cfRule>
    <cfRule type="containsText" dxfId="31" priority="19" stopIfTrue="1" operator="containsText" text="G1">
      <formula>NOT(ISERROR(SEARCH("G1",J4)))</formula>
    </cfRule>
    <cfRule type="containsText" dxfId="30" priority="20" stopIfTrue="1" operator="containsText" text="S">
      <formula>NOT(ISERROR(SEARCH("S",J4)))</formula>
    </cfRule>
    <cfRule type="containsText" dxfId="29" priority="21" stopIfTrue="1" operator="containsText" text="F">
      <formula>NOT(ISERROR(SEARCH("F",J4)))</formula>
    </cfRule>
  </conditionalFormatting>
  <conditionalFormatting sqref="J4:J203">
    <cfRule type="containsText" dxfId="28" priority="17" stopIfTrue="1" operator="containsText" text="NA">
      <formula>NOT(ISERROR(SEARCH("NA",J4)))</formula>
    </cfRule>
  </conditionalFormatting>
  <conditionalFormatting sqref="J4:J203">
    <cfRule type="containsText" dxfId="27" priority="15" stopIfTrue="1" operator="containsText" text="NA">
      <formula>NOT(ISERROR(SEARCH("NA",J4)))</formula>
    </cfRule>
    <cfRule type="containsText" dxfId="26" priority="16" stopIfTrue="1" operator="containsText" text="ML">
      <formula>NOT(ISERROR(SEARCH("ML",J4)))</formula>
    </cfRule>
  </conditionalFormatting>
  <conditionalFormatting sqref="J4:J203">
    <cfRule type="containsText" dxfId="25" priority="13" stopIfTrue="1" operator="containsText" text="vuqRrh.kZ">
      <formula>NOT(ISERROR(SEARCH("vuqRrh.kZ",J4)))</formula>
    </cfRule>
    <cfRule type="containsText" dxfId="24" priority="14" stopIfTrue="1" operator="containsText" text="lk- mRrh.kZ">
      <formula>NOT(ISERROR(SEARCH("lk- mRrh.kZ",J4)))</formula>
    </cfRule>
  </conditionalFormatting>
  <conditionalFormatting sqref="J4:J203">
    <cfRule type="containsText" dxfId="23" priority="12" stopIfTrue="1" operator="containsText" text="iwjd">
      <formula>NOT(ISERROR(SEARCH("iwjd",J4)))</formula>
    </cfRule>
  </conditionalFormatting>
  <conditionalFormatting sqref="J4:J203">
    <cfRule type="expression" dxfId="22" priority="7" stopIfTrue="1">
      <formula>$J4="SUPPLEMENTARY"</formula>
    </cfRule>
    <cfRule type="expression" dxfId="21" priority="8" stopIfTrue="1">
      <formula>J4="NSO"</formula>
    </cfRule>
    <cfRule type="containsText" dxfId="20" priority="9" stopIfTrue="1" operator="containsText" text="iwjd">
      <formula>NOT(ISERROR(SEARCH("iwjd",J4)))</formula>
    </cfRule>
    <cfRule type="containsText" dxfId="19" priority="10" stopIfTrue="1" operator="containsText" text="vuRrh.kZ">
      <formula>NOT(ISERROR(SEARCH("vuRrh.kZ",J4)))</formula>
    </cfRule>
    <cfRule type="containsText" dxfId="18" priority="11" stopIfTrue="1" operator="containsText" text="mRrh.kZ">
      <formula>NOT(ISERROR(SEARCH("mRrh.kZ",J4)))</formula>
    </cfRule>
  </conditionalFormatting>
  <conditionalFormatting sqref="J4:J203">
    <cfRule type="containsText" dxfId="17" priority="6" stopIfTrue="1" operator="containsText" text="iu% ijh{kk">
      <formula>NOT(ISERROR(SEARCH("iu% ijh{kk",J4)))</formula>
    </cfRule>
  </conditionalFormatting>
  <conditionalFormatting sqref="J4:J203">
    <cfRule type="containsText" dxfId="16" priority="5" stopIfTrue="1" operator="containsText" text="iqu% ijh{kk">
      <formula>NOT(ISERROR(SEARCH("iqu% ijh{kk",J4)))</formula>
    </cfRule>
  </conditionalFormatting>
  <conditionalFormatting sqref="N4:N202">
    <cfRule type="cellIs" dxfId="15" priority="4" stopIfTrue="1" operator="greaterThan">
      <formula>0</formula>
    </cfRule>
  </conditionalFormatting>
  <conditionalFormatting sqref="N4:N202">
    <cfRule type="top10" dxfId="14" priority="3" stopIfTrue="1" bottom="1" rank="3"/>
  </conditionalFormatting>
  <conditionalFormatting sqref="N203">
    <cfRule type="cellIs" dxfId="13" priority="2" stopIfTrue="1" operator="greaterThan">
      <formula>0</formula>
    </cfRule>
  </conditionalFormatting>
  <conditionalFormatting sqref="N203">
    <cfRule type="top10" dxfId="12" priority="1" stopIfTrue="1" bottom="1" rank="3"/>
  </conditionalFormatting>
  <pageMargins left="0.45" right="0.2" top="0.5" bottom="0.25" header="0.3" footer="0.3"/>
  <pageSetup paperSize="9" scale="88"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instruction</vt:lpstr>
      <vt:lpstr>Master Sheet</vt:lpstr>
      <vt:lpstr>Student DATA Entry</vt:lpstr>
      <vt:lpstr>Marks Entry</vt:lpstr>
      <vt:lpstr>Statement of Marks</vt:lpstr>
      <vt:lpstr>Green sheet</vt:lpstr>
      <vt:lpstr>Supp. Result Entry</vt:lpstr>
      <vt:lpstr>Teacher &amp; Cat. Wise Result</vt:lpstr>
      <vt:lpstr>Result Aggregate</vt:lpstr>
      <vt:lpstr>Result Subject-wise</vt:lpstr>
      <vt:lpstr>MARKSHEET</vt:lpstr>
      <vt:lpstr>Double MarkSheet</vt:lpstr>
      <vt:lpstr>Marksheet After Supp. Result</vt:lpstr>
      <vt:lpstr>'Double MarkSheet'!Print_Area</vt:lpstr>
      <vt:lpstr>'Green sheet'!Print_Area</vt:lpstr>
      <vt:lpstr>MARKSHEET!Print_Area</vt:lpstr>
      <vt:lpstr>'Marksheet After Supp. Result'!Print_Area</vt:lpstr>
      <vt:lpstr>'Result Subject-wise'!Print_Area</vt:lpstr>
      <vt:lpstr>'Statement of Marks'!Print_Area</vt:lpstr>
      <vt:lpstr>'Teacher &amp; Cat. Wise Result'!Print_Area</vt:lpstr>
      <vt:lpstr>rolln</vt:lpstr>
      <vt:lpstr>Subject</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2025-04-24T11:04:00Z</cp:lastPrinted>
  <dcterms:created xsi:type="dcterms:W3CDTF">2017-08-30T13:27:31Z</dcterms:created>
  <dcterms:modified xsi:type="dcterms:W3CDTF">2026-03-02T05:37:16Z</dcterms:modified>
</cp:coreProperties>
</file>